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tables/table7.xml" ContentType="application/vnd.openxmlformats-officedocument.spreadsheetml.table+xml"/>
  <Override PartName="/xl/queryTables/queryTable1.xml" ContentType="application/vnd.openxmlformats-officedocument.spreadsheetml.queryTable+xml"/>
  <Override PartName="/xl/tables/table8.xml" ContentType="application/vnd.openxmlformats-officedocument.spreadsheetml.table+xml"/>
  <Override PartName="/xl/queryTables/queryTable2.xml" ContentType="application/vnd.openxmlformats-officedocument.spreadsheetml.queryTable+xml"/>
  <Override PartName="/xl/tables/table9.xml" ContentType="application/vnd.openxmlformats-officedocument.spreadsheetml.table+xml"/>
  <Override PartName="/xl/queryTables/queryTable3.xml" ContentType="application/vnd.openxmlformats-officedocument.spreadsheetml.queryTable+xml"/>
  <Override PartName="/xl/tables/table10.xml" ContentType="application/vnd.openxmlformats-officedocument.spreadsheetml.table+xml"/>
  <Override PartName="/xl/queryTables/queryTable4.xml" ContentType="application/vnd.openxmlformats-officedocument.spreadsheetml.queryTable+xml"/>
  <Override PartName="/xl/tables/table11.xml" ContentType="application/vnd.openxmlformats-officedocument.spreadsheetml.table+xml"/>
  <Override PartName="/xl/queryTables/queryTable5.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https://energyfuturesinitiative.sharepoint.com/Shared Documents/International Programs/KAPSARC A Global Hydrogen Future/Workstream 3/WS3 Final Report Due Dec2023/"/>
    </mc:Choice>
  </mc:AlternateContent>
  <xr:revisionPtr revIDLastSave="63" documentId="8_{D48AE0D4-5CE5-46D5-9B62-E4A76C4CDC48}" xr6:coauthVersionLast="47" xr6:coauthVersionMax="47" xr10:uidLastSave="{BAB58A33-8E56-4440-B3BD-BBFE7749539E}"/>
  <bookViews>
    <workbookView xWindow="-110" yWindow="-110" windowWidth="19420" windowHeight="10300" firstSheet="11" activeTab="12" xr2:uid="{94A999BF-E24D-4048-BD5E-D1B18CFC75D5}"/>
  </bookViews>
  <sheets>
    <sheet name="Readme" sheetId="24" r:id="rId1"/>
    <sheet name="Countries" sheetId="1" r:id="rId2"/>
    <sheet name="H2_Production" sheetId="2" r:id="rId3"/>
    <sheet name="Refineries" sheetId="15" r:id="rId4"/>
    <sheet name="Steel_Production" sheetId="11" r:id="rId5"/>
    <sheet name="Ammonia_Production" sheetId="20" r:id="rId6"/>
    <sheet name="Natural_Gas_Infrastructure" sheetId="12" r:id="rId7"/>
    <sheet name="Natural_Gas_Pipelines" sheetId="23" r:id="rId8"/>
    <sheet name="Business Model Examples" sheetId="4" state="hidden" r:id="rId9"/>
    <sheet name="Business Model Pivot" sheetId="6" state="hidden" r:id="rId10"/>
    <sheet name="National_Strategies" sheetId="8" r:id="rId11"/>
    <sheet name="National_Strategies_Pivot" sheetId="10" r:id="rId12"/>
    <sheet name="FID_Internationally" sheetId="7" r:id="rId13"/>
    <sheet name="FID_Pivot" sheetId="13" r:id="rId14"/>
    <sheet name="Australia" sheetId="16" r:id="rId15"/>
    <sheet name="Conversion" sheetId="3" r:id="rId16"/>
  </sheets>
  <definedNames>
    <definedName name="_xlnm._FilterDatabase" localSheetId="14" hidden="1">Australia!$A$1:$X$101</definedName>
    <definedName name="_xlnm._FilterDatabase" localSheetId="1" hidden="1">Countries!$A$1:$D$205</definedName>
    <definedName name="ExternalData_1" localSheetId="14" hidden="1">Australia!$A$1:$X$101</definedName>
    <definedName name="ExternalData_2" localSheetId="14" hidden="1">Australia!$CN$1:$CZ$10</definedName>
    <definedName name="ExternalData_3" localSheetId="14" hidden="1">Australia!$DD$1:$DP$19</definedName>
    <definedName name="ExternalData_4" localSheetId="14" hidden="1">Australia!$EM$1:$EU$3</definedName>
    <definedName name="ExternalData_5" localSheetId="14" hidden="1">Australia!$FG$1:$GU$126</definedName>
  </definedNames>
  <calcPr calcId="191028"/>
  <pivotCaches>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70" i="2" l="1"/>
  <c r="H1195" i="7"/>
  <c r="S1176" i="7"/>
  <c r="S1177" i="7"/>
  <c r="S1178" i="7"/>
  <c r="S1180" i="7"/>
  <c r="S1181" i="7"/>
  <c r="S1182" i="7"/>
  <c r="S1183" i="7"/>
  <c r="S1184" i="7"/>
  <c r="S1185" i="7"/>
  <c r="S1190" i="7"/>
  <c r="S1191" i="7"/>
  <c r="S1192" i="7"/>
  <c r="S1193" i="7"/>
  <c r="S1194" i="7"/>
  <c r="S1172" i="7"/>
  <c r="S1173" i="7"/>
  <c r="S1174"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S164" i="7"/>
  <c r="S166" i="7"/>
  <c r="S167" i="7"/>
  <c r="S168" i="7"/>
  <c r="S171" i="7"/>
  <c r="S172" i="7"/>
  <c r="S173" i="7"/>
  <c r="S174" i="7"/>
  <c r="S175" i="7"/>
  <c r="S177" i="7"/>
  <c r="S162" i="7"/>
  <c r="J161" i="7"/>
  <c r="J162" i="7"/>
  <c r="J163" i="7"/>
  <c r="J164" i="7"/>
  <c r="J165" i="7"/>
  <c r="J166" i="7"/>
  <c r="J167" i="7"/>
  <c r="J168" i="7"/>
  <c r="J169" i="7"/>
  <c r="J170" i="7"/>
  <c r="J171" i="7"/>
  <c r="J172" i="7"/>
  <c r="J173" i="7"/>
  <c r="J174" i="7"/>
  <c r="J175" i="7"/>
  <c r="J176" i="7"/>
  <c r="J177" i="7"/>
  <c r="J178" i="7"/>
  <c r="S1161" i="7"/>
  <c r="S1163" i="7"/>
  <c r="S1164" i="7"/>
  <c r="S1165" i="7"/>
  <c r="S1166" i="7"/>
  <c r="S1167" i="7"/>
  <c r="S1168" i="7"/>
  <c r="S1169" i="7"/>
  <c r="S1170" i="7"/>
  <c r="S1160" i="7"/>
  <c r="J1160" i="7"/>
  <c r="J1161" i="7"/>
  <c r="J1162" i="7"/>
  <c r="J1163" i="7"/>
  <c r="J1164" i="7"/>
  <c r="J1165" i="7"/>
  <c r="J1166" i="7"/>
  <c r="J1167" i="7"/>
  <c r="J1168" i="7"/>
  <c r="J1169" i="7"/>
  <c r="J1170" i="7"/>
  <c r="S1138" i="7"/>
  <c r="S1139" i="7"/>
  <c r="S1140" i="7"/>
  <c r="S1141" i="7"/>
  <c r="S1142" i="7"/>
  <c r="S1143" i="7"/>
  <c r="S1144" i="7"/>
  <c r="S1147" i="7"/>
  <c r="S1148" i="7"/>
  <c r="S1149" i="7"/>
  <c r="S1150" i="7"/>
  <c r="S1151" i="7"/>
  <c r="S1152" i="7"/>
  <c r="S1153" i="7"/>
  <c r="S1154" i="7"/>
  <c r="S1155" i="7"/>
  <c r="S1156" i="7"/>
  <c r="S1157" i="7"/>
  <c r="S1158" i="7"/>
  <c r="S1159" i="7"/>
  <c r="J1138" i="7"/>
  <c r="J1139" i="7"/>
  <c r="J1140" i="7"/>
  <c r="J1141" i="7"/>
  <c r="J1142" i="7"/>
  <c r="J1143" i="7"/>
  <c r="J1144" i="7"/>
  <c r="J1145" i="7"/>
  <c r="J1146" i="7"/>
  <c r="J1147" i="7"/>
  <c r="J1148" i="7"/>
  <c r="J1149" i="7"/>
  <c r="J1150" i="7"/>
  <c r="J1151" i="7"/>
  <c r="J1152" i="7"/>
  <c r="J1153" i="7"/>
  <c r="J1154" i="7"/>
  <c r="J1155" i="7"/>
  <c r="J1156" i="7"/>
  <c r="J1157" i="7"/>
  <c r="J1158" i="7"/>
  <c r="J1159" i="7"/>
  <c r="S1095" i="7"/>
  <c r="S1096" i="7"/>
  <c r="S1097" i="7"/>
  <c r="S1098" i="7"/>
  <c r="S1099" i="7"/>
  <c r="S1100" i="7"/>
  <c r="S1101" i="7"/>
  <c r="S1102" i="7"/>
  <c r="S1103" i="7"/>
  <c r="S1106" i="7"/>
  <c r="S1107" i="7"/>
  <c r="S1108" i="7"/>
  <c r="S1109" i="7"/>
  <c r="S1110" i="7"/>
  <c r="S1111" i="7"/>
  <c r="S1113" i="7"/>
  <c r="S1114" i="7"/>
  <c r="S1115" i="7"/>
  <c r="S1116" i="7"/>
  <c r="S1117" i="7"/>
  <c r="S1118" i="7"/>
  <c r="S1119" i="7"/>
  <c r="S1120" i="7"/>
  <c r="S1122" i="7"/>
  <c r="S1123" i="7"/>
  <c r="S1124" i="7"/>
  <c r="S1125" i="7"/>
  <c r="S1127" i="7"/>
  <c r="S1128" i="7"/>
  <c r="S1129" i="7"/>
  <c r="S1130" i="7"/>
  <c r="S1131" i="7"/>
  <c r="S1132" i="7"/>
  <c r="S1133" i="7"/>
  <c r="S1134" i="7"/>
  <c r="S1135" i="7"/>
  <c r="S1136" i="7"/>
  <c r="S1137" i="7"/>
  <c r="S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094"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26" i="7"/>
  <c r="J1027" i="7"/>
  <c r="J1028" i="7"/>
  <c r="J1029" i="7"/>
  <c r="J1030" i="7"/>
  <c r="J1024" i="7"/>
  <c r="J1025" i="7"/>
  <c r="J1023" i="7"/>
  <c r="J1022" i="7"/>
  <c r="J1020" i="7"/>
  <c r="J1019" i="7"/>
  <c r="J1012" i="7"/>
  <c r="J1021" i="7"/>
  <c r="J1011" i="7"/>
  <c r="H1369" i="2"/>
  <c r="H1357" i="2"/>
  <c r="H1358" i="2"/>
  <c r="H1359" i="2"/>
  <c r="H1360" i="2"/>
  <c r="H1361" i="2"/>
  <c r="H1362" i="2"/>
  <c r="H1363" i="2"/>
  <c r="H1364" i="2"/>
  <c r="H1365" i="2"/>
  <c r="H1366" i="2"/>
  <c r="H1368" i="2"/>
  <c r="H1345" i="2"/>
  <c r="H1346" i="2"/>
  <c r="H1347" i="2"/>
  <c r="H1348" i="2"/>
  <c r="H1349" i="2"/>
  <c r="H1350" i="2"/>
  <c r="H1351" i="2"/>
  <c r="H1352" i="2"/>
  <c r="H1353" i="2"/>
  <c r="H1354" i="2"/>
  <c r="H1355" i="2"/>
  <c r="H1356" i="2"/>
  <c r="H1344"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19" i="2"/>
  <c r="H1320" i="2"/>
  <c r="H1304" i="2"/>
  <c r="H1305" i="2"/>
  <c r="H1306" i="2"/>
  <c r="H1307" i="2"/>
  <c r="H1308" i="2"/>
  <c r="H1309" i="2"/>
  <c r="H1310" i="2"/>
  <c r="H1311" i="2"/>
  <c r="H1312" i="2"/>
  <c r="H1313" i="2"/>
  <c r="H1314" i="2"/>
  <c r="H1315" i="2"/>
  <c r="H1316" i="2"/>
  <c r="H1317" i="2"/>
  <c r="H1318"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273" i="2"/>
  <c r="H1274" i="2"/>
  <c r="H1275" i="2"/>
  <c r="H1276" i="2"/>
  <c r="H1277" i="2"/>
  <c r="H1261" i="2"/>
  <c r="H1262" i="2"/>
  <c r="H1263" i="2"/>
  <c r="H1264" i="2"/>
  <c r="H1265" i="2"/>
  <c r="H1266" i="2"/>
  <c r="H1267" i="2"/>
  <c r="H1268" i="2"/>
  <c r="H1269" i="2"/>
  <c r="H1270" i="2"/>
  <c r="H1271" i="2"/>
  <c r="H1272" i="2"/>
  <c r="H1256" i="2"/>
  <c r="H1257" i="2"/>
  <c r="H1258" i="2"/>
  <c r="H1259" i="2"/>
  <c r="H1260"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14"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179" i="2"/>
  <c r="H1178" i="2"/>
  <c r="H1172" i="2"/>
  <c r="H1173" i="2"/>
  <c r="H1174" i="2"/>
  <c r="H1175" i="2"/>
  <c r="H1176" i="2"/>
  <c r="H1177" i="2"/>
  <c r="H1170" i="2"/>
  <c r="H1171" i="2"/>
  <c r="H1169" i="2"/>
  <c r="H1168" i="2"/>
  <c r="H1166" i="2"/>
  <c r="H1167" i="2"/>
  <c r="H1151" i="2"/>
  <c r="H1152" i="2"/>
  <c r="H1153" i="2"/>
  <c r="H1154" i="2"/>
  <c r="H1155" i="2"/>
  <c r="H1156" i="2"/>
  <c r="H1157" i="2"/>
  <c r="H1158" i="2"/>
  <c r="H1159" i="2"/>
  <c r="H1160" i="2"/>
  <c r="H1161" i="2"/>
  <c r="H1162" i="2"/>
  <c r="H1163" i="2"/>
  <c r="H1164" i="2"/>
  <c r="H1165" i="2"/>
  <c r="H1148" i="2"/>
  <c r="H1149" i="2"/>
  <c r="H1150" i="2"/>
  <c r="H1146" i="2"/>
  <c r="H1147" i="2"/>
  <c r="H1145" i="2"/>
  <c r="H1144" i="2"/>
  <c r="H1143" i="2"/>
  <c r="H1142" i="2"/>
  <c r="H1140" i="2"/>
  <c r="H1141" i="2"/>
  <c r="H1132" i="2"/>
  <c r="H1133" i="2"/>
  <c r="H1134" i="2"/>
  <c r="H1135" i="2"/>
  <c r="H1136" i="2"/>
  <c r="H1137" i="2"/>
  <c r="H1138" i="2"/>
  <c r="H1139" i="2"/>
  <c r="H1126" i="2"/>
  <c r="H1127" i="2"/>
  <c r="H1128" i="2"/>
  <c r="H1129" i="2"/>
  <c r="H1130" i="2"/>
  <c r="H1131"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094" i="2"/>
  <c r="H1095" i="2"/>
  <c r="H1096" i="2"/>
  <c r="H1097" i="2"/>
  <c r="H1098" i="2"/>
  <c r="H1099" i="2"/>
  <c r="H1092" i="2"/>
  <c r="H1093" i="2"/>
  <c r="H1089" i="2"/>
  <c r="H1090" i="2"/>
  <c r="H1091" i="2"/>
  <c r="H1086" i="2"/>
  <c r="H1087" i="2"/>
  <c r="H1088" i="2"/>
  <c r="H1081" i="2"/>
  <c r="H1082" i="2"/>
  <c r="H1083" i="2"/>
  <c r="H1084" i="2"/>
  <c r="H1085" i="2"/>
  <c r="H1080"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46" i="2"/>
  <c r="H1047" i="2"/>
  <c r="H1048" i="2"/>
  <c r="H1049" i="2"/>
  <c r="H1050" i="2"/>
  <c r="H1051" i="2"/>
  <c r="H1052" i="2"/>
  <c r="H1042" i="2"/>
  <c r="H1043" i="2"/>
  <c r="H1044" i="2"/>
  <c r="H1045" i="2"/>
  <c r="H1039" i="2"/>
  <c r="H1040" i="2"/>
  <c r="H1041" i="2"/>
  <c r="H1031" i="2"/>
  <c r="H1032" i="2"/>
  <c r="H1033" i="2"/>
  <c r="H1034" i="2"/>
  <c r="H1035" i="2"/>
  <c r="H1036" i="2"/>
  <c r="H1037" i="2"/>
  <c r="H1038" i="2"/>
  <c r="H1028" i="2"/>
  <c r="H1029" i="2"/>
  <c r="H1030" i="2"/>
  <c r="H1021" i="2"/>
  <c r="H1022" i="2"/>
  <c r="H1023" i="2"/>
  <c r="H1024" i="2"/>
  <c r="H1025" i="2"/>
  <c r="H1026" i="2"/>
  <c r="H1027" i="2"/>
  <c r="H1016" i="2"/>
  <c r="H1017" i="2"/>
  <c r="H1018" i="2"/>
  <c r="H1019" i="2"/>
  <c r="H1020" i="2"/>
  <c r="H1014" i="2"/>
  <c r="H1015" i="2"/>
  <c r="H1004" i="2"/>
  <c r="H1005" i="2"/>
  <c r="H1006" i="2"/>
  <c r="H1007" i="2"/>
  <c r="H1008" i="2"/>
  <c r="H1009" i="2"/>
  <c r="H1010" i="2"/>
  <c r="H1011" i="2"/>
  <c r="H1012" i="2"/>
  <c r="H1013" i="2"/>
  <c r="H1002" i="2"/>
  <c r="H1003" i="2"/>
  <c r="H1000" i="2"/>
  <c r="H1001" i="2"/>
  <c r="H996" i="2"/>
  <c r="H997" i="2"/>
  <c r="H998" i="2"/>
  <c r="H999" i="2"/>
  <c r="H995" i="2"/>
  <c r="H993" i="2"/>
  <c r="H994" i="2"/>
  <c r="H987" i="2"/>
  <c r="H988" i="2"/>
  <c r="H989" i="2"/>
  <c r="H990" i="2"/>
  <c r="H991" i="2"/>
  <c r="H992" i="2"/>
  <c r="H977" i="2"/>
  <c r="H978" i="2"/>
  <c r="H979" i="2"/>
  <c r="H980" i="2"/>
  <c r="H981" i="2"/>
  <c r="H982" i="2"/>
  <c r="H983" i="2"/>
  <c r="H984" i="2"/>
  <c r="H985" i="2"/>
  <c r="H986" i="2"/>
  <c r="H975" i="2"/>
  <c r="H976" i="2"/>
  <c r="H969" i="2"/>
  <c r="H970" i="2"/>
  <c r="H971" i="2"/>
  <c r="H972" i="2"/>
  <c r="H973" i="2"/>
  <c r="H974" i="2"/>
  <c r="H955" i="2"/>
  <c r="H956" i="2"/>
  <c r="H957" i="2"/>
  <c r="H958" i="2"/>
  <c r="H959" i="2"/>
  <c r="H960" i="2"/>
  <c r="H961" i="2"/>
  <c r="H962" i="2"/>
  <c r="H963" i="2"/>
  <c r="H964" i="2"/>
  <c r="H965" i="2"/>
  <c r="H966" i="2"/>
  <c r="H967" i="2"/>
  <c r="H968" i="2"/>
  <c r="H951" i="2"/>
  <c r="H952" i="2"/>
  <c r="H953" i="2"/>
  <c r="H954" i="2"/>
  <c r="H946" i="2"/>
  <c r="H947" i="2"/>
  <c r="H948" i="2"/>
  <c r="H949" i="2"/>
  <c r="H950" i="2"/>
  <c r="H938" i="2"/>
  <c r="H939" i="2"/>
  <c r="H940" i="2"/>
  <c r="H941" i="2"/>
  <c r="H942" i="2"/>
  <c r="H943" i="2"/>
  <c r="H944" i="2"/>
  <c r="H945" i="2"/>
  <c r="H924" i="2"/>
  <c r="H925" i="2"/>
  <c r="H926" i="2"/>
  <c r="H927" i="2"/>
  <c r="H928" i="2"/>
  <c r="H929" i="2"/>
  <c r="H930" i="2"/>
  <c r="H931" i="2"/>
  <c r="H932" i="2"/>
  <c r="H933" i="2"/>
  <c r="H934" i="2"/>
  <c r="H935" i="2"/>
  <c r="H936" i="2"/>
  <c r="H937" i="2"/>
  <c r="H923" i="2"/>
  <c r="H921" i="2"/>
  <c r="H92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866" i="2"/>
  <c r="H867" i="2"/>
  <c r="H868" i="2"/>
  <c r="H869" i="2"/>
  <c r="H870" i="2"/>
  <c r="H871" i="2"/>
  <c r="H872" i="2"/>
  <c r="H873" i="2"/>
  <c r="H874" i="2"/>
  <c r="H875" i="2"/>
  <c r="H876" i="2"/>
  <c r="H877" i="2"/>
  <c r="H878" i="2"/>
  <c r="H879" i="2"/>
  <c r="H880" i="2"/>
  <c r="H881" i="2"/>
  <c r="H882" i="2"/>
  <c r="H860" i="2"/>
  <c r="H861" i="2"/>
  <c r="H862" i="2"/>
  <c r="H863" i="2"/>
  <c r="H864" i="2"/>
  <c r="H865" i="2"/>
  <c r="H852" i="2"/>
  <c r="H853" i="2"/>
  <c r="H854" i="2"/>
  <c r="H855" i="2"/>
  <c r="H856" i="2"/>
  <c r="H857" i="2"/>
  <c r="H858" i="2"/>
  <c r="H859" i="2"/>
  <c r="H850" i="2"/>
  <c r="H851" i="2"/>
  <c r="H828" i="2"/>
  <c r="H829" i="2"/>
  <c r="H830" i="2"/>
  <c r="H831" i="2"/>
  <c r="H832" i="2"/>
  <c r="H833" i="2"/>
  <c r="H834" i="2"/>
  <c r="H835" i="2"/>
  <c r="H836" i="2"/>
  <c r="H837" i="2"/>
  <c r="H838" i="2"/>
  <c r="H839" i="2"/>
  <c r="H840" i="2"/>
  <c r="H841" i="2"/>
  <c r="H842" i="2"/>
  <c r="H843" i="2"/>
  <c r="H844" i="2"/>
  <c r="H845" i="2"/>
  <c r="H846" i="2"/>
  <c r="H847" i="2"/>
  <c r="H848" i="2"/>
  <c r="H849" i="2"/>
  <c r="H820" i="2"/>
  <c r="H821" i="2"/>
  <c r="H822" i="2"/>
  <c r="H823" i="2"/>
  <c r="H824" i="2"/>
  <c r="H825" i="2"/>
  <c r="H826" i="2"/>
  <c r="H827" i="2"/>
  <c r="H813" i="2"/>
  <c r="H814" i="2"/>
  <c r="H815" i="2"/>
  <c r="H816" i="2"/>
  <c r="H817" i="2"/>
  <c r="H818" i="2"/>
  <c r="H819" i="2"/>
  <c r="H789" i="2"/>
  <c r="H790" i="2"/>
  <c r="H791" i="2"/>
  <c r="H792" i="2"/>
  <c r="H793" i="2"/>
  <c r="H794" i="2"/>
  <c r="H795" i="2"/>
  <c r="H796" i="2"/>
  <c r="H797" i="2"/>
  <c r="H798" i="2"/>
  <c r="H799" i="2"/>
  <c r="H800" i="2"/>
  <c r="H801" i="2"/>
  <c r="H802" i="2"/>
  <c r="H803" i="2"/>
  <c r="H804" i="2"/>
  <c r="H805" i="2"/>
  <c r="H806" i="2"/>
  <c r="H807" i="2"/>
  <c r="H808" i="2"/>
  <c r="H809" i="2"/>
  <c r="H810" i="2"/>
  <c r="H811" i="2"/>
  <c r="H812" i="2"/>
  <c r="H785" i="2"/>
  <c r="H786" i="2"/>
  <c r="H787" i="2"/>
  <c r="H788" i="2"/>
  <c r="H781" i="2"/>
  <c r="H782" i="2"/>
  <c r="H783" i="2"/>
  <c r="H784" i="2"/>
  <c r="H764" i="2"/>
  <c r="H765" i="2"/>
  <c r="H766" i="2"/>
  <c r="H767" i="2"/>
  <c r="H768" i="2"/>
  <c r="H769" i="2"/>
  <c r="H770" i="2"/>
  <c r="H771" i="2"/>
  <c r="H772" i="2"/>
  <c r="H773" i="2"/>
  <c r="H774" i="2"/>
  <c r="H775" i="2"/>
  <c r="H776" i="2"/>
  <c r="H777" i="2"/>
  <c r="H778" i="2"/>
  <c r="H779" i="2"/>
  <c r="H780" i="2"/>
  <c r="H745" i="2"/>
  <c r="H746" i="2"/>
  <c r="H747" i="2"/>
  <c r="H748" i="2"/>
  <c r="H749" i="2"/>
  <c r="H750" i="2"/>
  <c r="H751" i="2"/>
  <c r="H752" i="2"/>
  <c r="H753" i="2"/>
  <c r="H754" i="2"/>
  <c r="H755" i="2"/>
  <c r="H756" i="2"/>
  <c r="H757" i="2"/>
  <c r="H758" i="2"/>
  <c r="H759" i="2"/>
  <c r="H760" i="2"/>
  <c r="H761" i="2"/>
  <c r="H762" i="2"/>
  <c r="H763" i="2"/>
  <c r="H744" i="2"/>
  <c r="H743" i="2"/>
  <c r="H742" i="2"/>
  <c r="H741" i="2"/>
  <c r="H739" i="2"/>
  <c r="H738" i="2"/>
  <c r="H737" i="2"/>
  <c r="H736" i="2"/>
  <c r="H735" i="2"/>
  <c r="H734" i="2"/>
  <c r="H733" i="2"/>
  <c r="H732" i="2"/>
  <c r="H731" i="2"/>
  <c r="H729" i="2"/>
  <c r="H728" i="2"/>
  <c r="H727" i="2"/>
  <c r="H726" i="2"/>
  <c r="H725" i="2"/>
  <c r="H724" i="2"/>
  <c r="H723" i="2"/>
  <c r="H722" i="2"/>
  <c r="H721" i="2"/>
  <c r="H720" i="2"/>
  <c r="H719" i="2"/>
  <c r="H718" i="2"/>
  <c r="H717" i="2"/>
  <c r="H716" i="2"/>
  <c r="H715" i="2"/>
  <c r="H714" i="2"/>
  <c r="H713" i="2"/>
  <c r="H712" i="2"/>
  <c r="H711" i="2"/>
  <c r="H710" i="2"/>
  <c r="H709" i="2"/>
  <c r="H708" i="2"/>
  <c r="H705" i="2"/>
  <c r="H706" i="2"/>
  <c r="H704" i="2"/>
  <c r="H703" i="2"/>
  <c r="H702" i="2"/>
  <c r="H701" i="2"/>
  <c r="H700" i="2"/>
  <c r="H699" i="2"/>
  <c r="H698" i="2"/>
  <c r="H697" i="2"/>
  <c r="H696" i="2"/>
  <c r="H695" i="2"/>
  <c r="H694" i="2"/>
  <c r="H693" i="2"/>
  <c r="H692" i="2"/>
  <c r="H690" i="2"/>
  <c r="H689" i="2"/>
  <c r="H686" i="2"/>
  <c r="H685" i="2"/>
  <c r="H683" i="2"/>
  <c r="H682" i="2"/>
  <c r="H681" i="2"/>
  <c r="H680" i="2"/>
  <c r="H679" i="2"/>
  <c r="H678" i="2"/>
  <c r="H677" i="2"/>
  <c r="H676" i="2"/>
  <c r="H675" i="2"/>
  <c r="H674" i="2"/>
  <c r="H669" i="2"/>
  <c r="H668" i="2"/>
  <c r="H666" i="2"/>
  <c r="H665" i="2"/>
  <c r="H664" i="2"/>
  <c r="H663" i="2"/>
  <c r="H662" i="2"/>
  <c r="H661" i="2"/>
  <c r="H660" i="2"/>
  <c r="H659" i="2"/>
  <c r="H658" i="2"/>
  <c r="H657" i="2"/>
  <c r="H655" i="2"/>
  <c r="H654" i="2"/>
  <c r="H653" i="2"/>
  <c r="H652" i="2"/>
  <c r="H651" i="2"/>
  <c r="H650" i="2"/>
  <c r="H649" i="2"/>
  <c r="H648" i="2"/>
  <c r="H647" i="2"/>
  <c r="H646" i="2"/>
  <c r="H645" i="2"/>
  <c r="H644" i="2"/>
  <c r="H643" i="2"/>
  <c r="H642" i="2"/>
  <c r="H641" i="2"/>
  <c r="H640" i="2"/>
  <c r="H639" i="2"/>
  <c r="H638" i="2"/>
  <c r="H637" i="2"/>
  <c r="H636" i="2"/>
  <c r="H635" i="2"/>
  <c r="H614" i="2"/>
  <c r="H634" i="2"/>
  <c r="H633" i="2"/>
  <c r="H632" i="2"/>
  <c r="H631" i="2"/>
  <c r="H630" i="2"/>
  <c r="H629" i="2"/>
  <c r="H628" i="2"/>
  <c r="H627" i="2"/>
  <c r="H626" i="2"/>
  <c r="H625" i="2"/>
  <c r="H624" i="2"/>
  <c r="H623" i="2"/>
  <c r="H622" i="2"/>
  <c r="H621" i="2"/>
  <c r="H620" i="2"/>
  <c r="H619" i="2"/>
  <c r="H618" i="2"/>
  <c r="H616" i="2"/>
  <c r="H617" i="2"/>
  <c r="H615" i="2"/>
  <c r="H613" i="2"/>
  <c r="H612" i="2"/>
  <c r="H611" i="2"/>
  <c r="H610" i="2"/>
  <c r="H609" i="2"/>
  <c r="H608" i="2"/>
  <c r="H607" i="2"/>
  <c r="H606" i="2"/>
  <c r="H605" i="2"/>
  <c r="H604" i="2"/>
  <c r="H603" i="2"/>
  <c r="H602" i="2"/>
  <c r="H601" i="2"/>
  <c r="H600" i="2"/>
  <c r="H599" i="2"/>
  <c r="H598" i="2"/>
  <c r="H597" i="2"/>
  <c r="H596" i="2"/>
  <c r="H595" i="2"/>
  <c r="H594"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7" i="2"/>
  <c r="H538"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3" i="2"/>
  <c r="H492" i="2"/>
  <c r="H491" i="2"/>
  <c r="H490" i="2"/>
  <c r="H488" i="2"/>
  <c r="H487" i="2"/>
  <c r="H486" i="2"/>
  <c r="H485" i="2"/>
  <c r="H484" i="2"/>
  <c r="H483" i="2"/>
  <c r="H482" i="2"/>
  <c r="H481" i="2"/>
  <c r="H480" i="2"/>
  <c r="H479" i="2"/>
  <c r="H478" i="2"/>
  <c r="H477" i="2"/>
  <c r="H476" i="2"/>
  <c r="H475" i="2"/>
  <c r="H474" i="2"/>
  <c r="H473" i="2"/>
  <c r="H472" i="2"/>
  <c r="H471" i="2"/>
  <c r="H470" i="2"/>
  <c r="H468" i="2"/>
  <c r="H469" i="2"/>
  <c r="H467" i="2"/>
  <c r="H466" i="2"/>
  <c r="H465" i="2"/>
  <c r="H464" i="2"/>
  <c r="H463" i="2"/>
  <c r="H462" i="2"/>
  <c r="H461" i="2"/>
  <c r="H460" i="2"/>
  <c r="H459" i="2"/>
  <c r="H458" i="2"/>
  <c r="H457" i="2"/>
  <c r="H456" i="2"/>
  <c r="H455" i="2"/>
  <c r="H338" i="12"/>
  <c r="H335" i="12"/>
  <c r="H331" i="12"/>
  <c r="H325" i="12"/>
  <c r="H322" i="12"/>
  <c r="H321" i="12"/>
  <c r="H319" i="12"/>
  <c r="H277" i="12"/>
  <c r="H276" i="12"/>
  <c r="H237" i="12"/>
  <c r="H231" i="12"/>
  <c r="V1020" i="7"/>
  <c r="H96" i="12"/>
  <c r="H92" i="12"/>
  <c r="V1019" i="7"/>
  <c r="V1018" i="7"/>
  <c r="J1018" i="7"/>
  <c r="H84" i="12"/>
  <c r="H71" i="12"/>
  <c r="H69" i="12"/>
  <c r="H66" i="12"/>
  <c r="H64" i="12"/>
  <c r="H61" i="12"/>
  <c r="H30" i="12"/>
  <c r="H29" i="12"/>
  <c r="H28" i="12"/>
  <c r="H23" i="12"/>
  <c r="H22" i="12"/>
  <c r="H21" i="12"/>
  <c r="H20" i="12"/>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E1394" i="11" s="1"/>
  <c r="A2" i="1"/>
  <c r="A35" i="12" s="1"/>
  <c r="F1422" i="11"/>
  <c r="F1154" i="11"/>
  <c r="V1017" i="7"/>
  <c r="J1017" i="7"/>
  <c r="V1016" i="7"/>
  <c r="J1016" i="7"/>
  <c r="V1015" i="7"/>
  <c r="J1015" i="7"/>
  <c r="V1014" i="7"/>
  <c r="J1014" i="7"/>
  <c r="V1013" i="7"/>
  <c r="J1013" i="7"/>
  <c r="V1012" i="7"/>
  <c r="H454" i="2"/>
  <c r="H453" i="2"/>
  <c r="H452" i="2"/>
  <c r="H450" i="2"/>
  <c r="H451" i="2"/>
  <c r="H449" i="2"/>
  <c r="H448" i="2"/>
  <c r="H447" i="2"/>
  <c r="H446" i="2"/>
  <c r="H445" i="2"/>
  <c r="H444" i="2"/>
  <c r="H443" i="2"/>
  <c r="H442" i="2"/>
  <c r="H441" i="2"/>
  <c r="H440" i="2"/>
  <c r="H439" i="2"/>
  <c r="H438" i="2"/>
  <c r="H437" i="2"/>
  <c r="H436" i="2"/>
  <c r="H435" i="2"/>
  <c r="H434" i="2"/>
  <c r="H433" i="2"/>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2" i="8"/>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2" i="4"/>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1" i="2"/>
  <c r="H402" i="2"/>
  <c r="H400" i="2"/>
  <c r="H399" i="2"/>
  <c r="V1011" i="7"/>
  <c r="H398" i="2"/>
  <c r="H397" i="2"/>
  <c r="H396" i="2"/>
  <c r="H395" i="2"/>
  <c r="H394" i="2"/>
  <c r="H393" i="2"/>
  <c r="H392" i="2"/>
  <c r="H391" i="2"/>
  <c r="H390" i="2"/>
  <c r="H389" i="2"/>
  <c r="H388" i="2"/>
  <c r="H387" i="2"/>
  <c r="H386" i="2"/>
  <c r="E1085" i="11" l="1"/>
  <c r="E1199" i="11"/>
  <c r="E676" i="11"/>
  <c r="A1129" i="2"/>
  <c r="E1334" i="11"/>
  <c r="A1225" i="2"/>
  <c r="E1323" i="11"/>
  <c r="E451" i="11"/>
  <c r="E1019" i="11"/>
  <c r="E611" i="11"/>
  <c r="E1290" i="11"/>
  <c r="E1266" i="11"/>
  <c r="E1250" i="11"/>
  <c r="E1242" i="11"/>
  <c r="E1234" i="11"/>
  <c r="E787" i="11"/>
  <c r="E745" i="11"/>
  <c r="E700" i="11"/>
  <c r="E659" i="11"/>
  <c r="A157" i="12"/>
  <c r="A125" i="12"/>
  <c r="A251" i="12"/>
  <c r="A912" i="2"/>
  <c r="E1319" i="11"/>
  <c r="E1265" i="11"/>
  <c r="E785" i="11"/>
  <c r="A122" i="12"/>
  <c r="A520" i="2"/>
  <c r="A895" i="2"/>
  <c r="A1361" i="2"/>
  <c r="A1357" i="2"/>
  <c r="A1335" i="2"/>
  <c r="A1343" i="2"/>
  <c r="A1326" i="2"/>
  <c r="A1257" i="2"/>
  <c r="A1219" i="2"/>
  <c r="A1227" i="2"/>
  <c r="A1235" i="2"/>
  <c r="A1243" i="2"/>
  <c r="A1251" i="2"/>
  <c r="A1214" i="2"/>
  <c r="A1186" i="2"/>
  <c r="A1194" i="2"/>
  <c r="A1202" i="2"/>
  <c r="A1210" i="2"/>
  <c r="A1170" i="2"/>
  <c r="A1166" i="2"/>
  <c r="A1157" i="2"/>
  <c r="A1146" i="2"/>
  <c r="A1142" i="2"/>
  <c r="A1130" i="2"/>
  <c r="A1104" i="2"/>
  <c r="A1112" i="2"/>
  <c r="A1120" i="2"/>
  <c r="A1099" i="2"/>
  <c r="A1087" i="2"/>
  <c r="A1082" i="2"/>
  <c r="A1055" i="2"/>
  <c r="A1063" i="2"/>
  <c r="A1071" i="2"/>
  <c r="A1079" i="2"/>
  <c r="A1033" i="2"/>
  <c r="A1025" i="2"/>
  <c r="A1017" i="2"/>
  <c r="A1011" i="2"/>
  <c r="A989" i="2"/>
  <c r="A972" i="2"/>
  <c r="A961" i="2"/>
  <c r="A954" i="2"/>
  <c r="A948" i="2"/>
  <c r="A945" i="2"/>
  <c r="A931" i="2"/>
  <c r="A922" i="2"/>
  <c r="A889" i="2"/>
  <c r="A897" i="2"/>
  <c r="A905" i="2"/>
  <c r="A913" i="2"/>
  <c r="A883" i="2"/>
  <c r="A868" i="2"/>
  <c r="A876" i="2"/>
  <c r="A861" i="2"/>
  <c r="A855" i="2"/>
  <c r="A851" i="2"/>
  <c r="A815" i="2"/>
  <c r="A794" i="2"/>
  <c r="A802" i="2"/>
  <c r="A810" i="2"/>
  <c r="A771" i="2"/>
  <c r="A779" i="2"/>
  <c r="A746" i="2"/>
  <c r="A754" i="2"/>
  <c r="A762" i="2"/>
  <c r="A739" i="2"/>
  <c r="A716" i="2"/>
  <c r="A724" i="2"/>
  <c r="A732" i="2"/>
  <c r="A693" i="2"/>
  <c r="A701" i="2"/>
  <c r="A688" i="2"/>
  <c r="A636" i="2"/>
  <c r="A644" i="2"/>
  <c r="A652" i="2"/>
  <c r="A616" i="2"/>
  <c r="A624" i="2"/>
  <c r="A632" i="2"/>
  <c r="A586" i="2"/>
  <c r="A576" i="2"/>
  <c r="A584" i="2"/>
  <c r="A551" i="2"/>
  <c r="A559" i="2"/>
  <c r="A567" i="2"/>
  <c r="A549" i="2"/>
  <c r="A500" i="2"/>
  <c r="A508" i="2"/>
  <c r="A1369" i="2"/>
  <c r="A1362" i="2"/>
  <c r="A1336" i="2"/>
  <c r="A1332" i="2"/>
  <c r="A1327" i="2"/>
  <c r="A1258" i="2"/>
  <c r="A1220" i="2"/>
  <c r="A1228" i="2"/>
  <c r="A1236" i="2"/>
  <c r="A1244" i="2"/>
  <c r="A1252" i="2"/>
  <c r="A1187" i="2"/>
  <c r="A1195" i="2"/>
  <c r="A1203" i="2"/>
  <c r="A1211" i="2"/>
  <c r="A1171" i="2"/>
  <c r="A1167" i="2"/>
  <c r="A1165" i="2"/>
  <c r="A1158" i="2"/>
  <c r="A1147" i="2"/>
  <c r="A1131" i="2"/>
  <c r="A1105" i="2"/>
  <c r="A1113" i="2"/>
  <c r="A1121" i="2"/>
  <c r="A1094" i="2"/>
  <c r="A1089" i="2"/>
  <c r="A1088" i="2"/>
  <c r="A1083" i="2"/>
  <c r="A1056" i="2"/>
  <c r="A1064" i="2"/>
  <c r="A1072" i="2"/>
  <c r="A1034" i="2"/>
  <c r="A1028" i="2"/>
  <c r="A1026" i="2"/>
  <c r="A1018" i="2"/>
  <c r="A1012" i="2"/>
  <c r="A995" i="2"/>
  <c r="A991" i="2"/>
  <c r="A973" i="2"/>
  <c r="A962" i="2"/>
  <c r="A955" i="2"/>
  <c r="A949" i="2"/>
  <c r="A938" i="2"/>
  <c r="A924" i="2"/>
  <c r="A932" i="2"/>
  <c r="A890" i="2"/>
  <c r="A898" i="2"/>
  <c r="A906" i="2"/>
  <c r="A914" i="2"/>
  <c r="A869" i="2"/>
  <c r="A877" i="2"/>
  <c r="A862" i="2"/>
  <c r="A856" i="2"/>
  <c r="A816" i="2"/>
  <c r="A795" i="2"/>
  <c r="A803" i="2"/>
  <c r="A811" i="2"/>
  <c r="A785" i="2"/>
  <c r="A772" i="2"/>
  <c r="A780" i="2"/>
  <c r="A747" i="2"/>
  <c r="A755" i="2"/>
  <c r="A763" i="2"/>
  <c r="A709" i="2"/>
  <c r="A717" i="2"/>
  <c r="A725" i="2"/>
  <c r="A733" i="2"/>
  <c r="A694" i="2"/>
  <c r="A702" i="2"/>
  <c r="A689" i="2"/>
  <c r="A679" i="2"/>
  <c r="A637" i="2"/>
  <c r="A645" i="2"/>
  <c r="A635" i="2"/>
  <c r="A617" i="2"/>
  <c r="A625" i="2"/>
  <c r="A633" i="2"/>
  <c r="A587" i="2"/>
  <c r="A577" i="2"/>
  <c r="A572" i="2"/>
  <c r="A552" i="2"/>
  <c r="A560" i="2"/>
  <c r="A568" i="2"/>
  <c r="A548" i="2"/>
  <c r="A501" i="2"/>
  <c r="A1363" i="2"/>
  <c r="A1337" i="2"/>
  <c r="A1320" i="2"/>
  <c r="A1328" i="2"/>
  <c r="A1259" i="2"/>
  <c r="A1221" i="2"/>
  <c r="A1229" i="2"/>
  <c r="A1237" i="2"/>
  <c r="A1245" i="2"/>
  <c r="A1253" i="2"/>
  <c r="A1188" i="2"/>
  <c r="A1196" i="2"/>
  <c r="A1204" i="2"/>
  <c r="A1212" i="2"/>
  <c r="A1151" i="2"/>
  <c r="A1159" i="2"/>
  <c r="A1106" i="2"/>
  <c r="A1114" i="2"/>
  <c r="A1122" i="2"/>
  <c r="A1092" i="2"/>
  <c r="A1090" i="2"/>
  <c r="A1084" i="2"/>
  <c r="A1057" i="2"/>
  <c r="A1065" i="2"/>
  <c r="A1073" i="2"/>
  <c r="A1035" i="2"/>
  <c r="A1029" i="2"/>
  <c r="A1019" i="2"/>
  <c r="A1005" i="2"/>
  <c r="A1013" i="2"/>
  <c r="A1001" i="2"/>
  <c r="A996" i="2"/>
  <c r="A992" i="2"/>
  <c r="A974" i="2"/>
  <c r="A963" i="2"/>
  <c r="A950" i="2"/>
  <c r="A939" i="2"/>
  <c r="A925" i="2"/>
  <c r="A933" i="2"/>
  <c r="A891" i="2"/>
  <c r="A899" i="2"/>
  <c r="A907" i="2"/>
  <c r="A915" i="2"/>
  <c r="A870" i="2"/>
  <c r="A878" i="2"/>
  <c r="A863" i="2"/>
  <c r="A857" i="2"/>
  <c r="A817" i="2"/>
  <c r="A796" i="2"/>
  <c r="A804" i="2"/>
  <c r="A812" i="2"/>
  <c r="A786" i="2"/>
  <c r="A765" i="2"/>
  <c r="A773" i="2"/>
  <c r="A764" i="2"/>
  <c r="A748" i="2"/>
  <c r="A756" i="2"/>
  <c r="A744" i="2"/>
  <c r="A710" i="2"/>
  <c r="A718" i="2"/>
  <c r="A726" i="2"/>
  <c r="A734" i="2"/>
  <c r="A695" i="2"/>
  <c r="A703" i="2"/>
  <c r="A690" i="2"/>
  <c r="A680" i="2"/>
  <c r="A638" i="2"/>
  <c r="A646" i="2"/>
  <c r="A618" i="2"/>
  <c r="A626" i="2"/>
  <c r="A634" i="2"/>
  <c r="A606" i="2"/>
  <c r="A588" i="2"/>
  <c r="A578" i="2"/>
  <c r="A553" i="2"/>
  <c r="A561" i="2"/>
  <c r="A569" i="2"/>
  <c r="A541" i="2"/>
  <c r="A502" i="2"/>
  <c r="A510" i="2"/>
  <c r="A1364" i="2"/>
  <c r="A1338" i="2"/>
  <c r="A1321" i="2"/>
  <c r="A1329" i="2"/>
  <c r="A1260" i="2"/>
  <c r="A1222" i="2"/>
  <c r="A1230" i="2"/>
  <c r="A1238" i="2"/>
  <c r="A1246" i="2"/>
  <c r="A1254" i="2"/>
  <c r="A1181" i="2"/>
  <c r="A1189" i="2"/>
  <c r="A1197" i="2"/>
  <c r="A1205" i="2"/>
  <c r="A1213" i="2"/>
  <c r="A1169" i="2"/>
  <c r="A1152" i="2"/>
  <c r="A1160" i="2"/>
  <c r="A1148" i="2"/>
  <c r="A1140" i="2"/>
  <c r="A1107" i="2"/>
  <c r="A1115" i="2"/>
  <c r="A1123" i="2"/>
  <c r="A1093" i="2"/>
  <c r="A1091" i="2"/>
  <c r="A1085" i="2"/>
  <c r="A1058" i="2"/>
  <c r="A1066" i="2"/>
  <c r="A1074" i="2"/>
  <c r="A1042" i="2"/>
  <c r="A1036" i="2"/>
  <c r="A1030" i="2"/>
  <c r="A1027" i="2"/>
  <c r="A1020" i="2"/>
  <c r="A1006" i="2"/>
  <c r="A1004" i="2"/>
  <c r="A1000" i="2"/>
  <c r="A956" i="2"/>
  <c r="A964" i="2"/>
  <c r="A946" i="2"/>
  <c r="A940" i="2"/>
  <c r="A926" i="2"/>
  <c r="A934" i="2"/>
  <c r="A884" i="2"/>
  <c r="A892" i="2"/>
  <c r="A900" i="2"/>
  <c r="A908" i="2"/>
  <c r="A916" i="2"/>
  <c r="A871" i="2"/>
  <c r="A879" i="2"/>
  <c r="A864" i="2"/>
  <c r="A858" i="2"/>
  <c r="A818" i="2"/>
  <c r="A797" i="2"/>
  <c r="A805" i="2"/>
  <c r="A789" i="2"/>
  <c r="A787" i="2"/>
  <c r="A766" i="2"/>
  <c r="A774" i="2"/>
  <c r="A749" i="2"/>
  <c r="A757" i="2"/>
  <c r="A711" i="2"/>
  <c r="A719" i="2"/>
  <c r="A727" i="2"/>
  <c r="A735" i="2"/>
  <c r="A696" i="2"/>
  <c r="A704" i="2"/>
  <c r="A684" i="2"/>
  <c r="A681" i="2"/>
  <c r="A675" i="2"/>
  <c r="A639" i="2"/>
  <c r="A647" i="2"/>
  <c r="A611" i="2"/>
  <c r="A619" i="2"/>
  <c r="A627" i="2"/>
  <c r="A610" i="2"/>
  <c r="A607" i="2"/>
  <c r="A589" i="2"/>
  <c r="A579" i="2"/>
  <c r="A554" i="2"/>
  <c r="A562" i="2"/>
  <c r="A570" i="2"/>
  <c r="A542" i="2"/>
  <c r="A503" i="2"/>
  <c r="A511" i="2"/>
  <c r="A1365" i="2"/>
  <c r="A1339" i="2"/>
  <c r="A1322" i="2"/>
  <c r="A1330" i="2"/>
  <c r="A1256" i="2"/>
  <c r="A1223" i="2"/>
  <c r="A1231" i="2"/>
  <c r="A1239" i="2"/>
  <c r="A1247" i="2"/>
  <c r="A1255" i="2"/>
  <c r="A1182" i="2"/>
  <c r="A1190" i="2"/>
  <c r="A1198" i="2"/>
  <c r="A1206" i="2"/>
  <c r="A1180" i="2"/>
  <c r="A1153" i="2"/>
  <c r="A1161" i="2"/>
  <c r="A1149" i="2"/>
  <c r="A1144" i="2"/>
  <c r="A1141" i="2"/>
  <c r="A1126" i="2"/>
  <c r="A1100" i="2"/>
  <c r="A1108" i="2"/>
  <c r="A1116" i="2"/>
  <c r="A1124" i="2"/>
  <c r="A1095" i="2"/>
  <c r="A1059" i="2"/>
  <c r="A1067" i="2"/>
  <c r="A1075" i="2"/>
  <c r="A1043" i="2"/>
  <c r="A1037" i="2"/>
  <c r="A1021" i="2"/>
  <c r="A1007" i="2"/>
  <c r="A957" i="2"/>
  <c r="A965" i="2"/>
  <c r="A951" i="2"/>
  <c r="A941" i="2"/>
  <c r="A927" i="2"/>
  <c r="A935" i="2"/>
  <c r="A885" i="2"/>
  <c r="A893" i="2"/>
  <c r="A901" i="2"/>
  <c r="A909" i="2"/>
  <c r="A917" i="2"/>
  <c r="A872" i="2"/>
  <c r="A880" i="2"/>
  <c r="A865" i="2"/>
  <c r="A859" i="2"/>
  <c r="A819" i="2"/>
  <c r="A798" i="2"/>
  <c r="A806" i="2"/>
  <c r="A790" i="2"/>
  <c r="A788" i="2"/>
  <c r="A767" i="2"/>
  <c r="A775" i="2"/>
  <c r="A750" i="2"/>
  <c r="A758" i="2"/>
  <c r="A712" i="2"/>
  <c r="A720" i="2"/>
  <c r="A728" i="2"/>
  <c r="A736" i="2"/>
  <c r="A697" i="2"/>
  <c r="A705" i="2"/>
  <c r="A682" i="2"/>
  <c r="A676" i="2"/>
  <c r="A640" i="2"/>
  <c r="A648" i="2"/>
  <c r="A612" i="2"/>
  <c r="A620" i="2"/>
  <c r="A628" i="2"/>
  <c r="A608" i="2"/>
  <c r="A590" i="2"/>
  <c r="A580" i="2"/>
  <c r="A555" i="2"/>
  <c r="A563" i="2"/>
  <c r="A571" i="2"/>
  <c r="A543" i="2"/>
  <c r="A539" i="2"/>
  <c r="A504" i="2"/>
  <c r="A1358" i="2"/>
  <c r="A1366" i="2"/>
  <c r="A1344" i="2"/>
  <c r="A1340" i="2"/>
  <c r="A1323" i="2"/>
  <c r="A1331" i="2"/>
  <c r="A1224" i="2"/>
  <c r="A1232" i="2"/>
  <c r="A1240" i="2"/>
  <c r="A1248" i="2"/>
  <c r="A1216" i="2"/>
  <c r="A1183" i="2"/>
  <c r="A1191" i="2"/>
  <c r="A1199" i="2"/>
  <c r="A1207" i="2"/>
  <c r="A1179" i="2"/>
  <c r="A1168" i="2"/>
  <c r="A1154" i="2"/>
  <c r="A1162" i="2"/>
  <c r="A1150" i="2"/>
  <c r="A1139" i="2"/>
  <c r="A1127" i="2"/>
  <c r="A1101" i="2"/>
  <c r="A1109" i="2"/>
  <c r="A1117" i="2"/>
  <c r="A1125" i="2"/>
  <c r="A1096" i="2"/>
  <c r="A1080" i="2"/>
  <c r="A1060" i="2"/>
  <c r="A1068" i="2"/>
  <c r="A1076" i="2"/>
  <c r="A1044" i="2"/>
  <c r="A1038" i="2"/>
  <c r="A1022" i="2"/>
  <c r="A1008" i="2"/>
  <c r="A993" i="2"/>
  <c r="A990" i="2"/>
  <c r="A969" i="2"/>
  <c r="A958" i="2"/>
  <c r="A966" i="2"/>
  <c r="A952" i="2"/>
  <c r="A942" i="2"/>
  <c r="A928" i="2"/>
  <c r="A936" i="2"/>
  <c r="A886" i="2"/>
  <c r="A894" i="2"/>
  <c r="A902" i="2"/>
  <c r="A910" i="2"/>
  <c r="A918" i="2"/>
  <c r="A873" i="2"/>
  <c r="A881" i="2"/>
  <c r="A852" i="2"/>
  <c r="A791" i="2"/>
  <c r="A799" i="2"/>
  <c r="A807" i="2"/>
  <c r="A768" i="2"/>
  <c r="A776" i="2"/>
  <c r="A751" i="2"/>
  <c r="A759" i="2"/>
  <c r="A743" i="2"/>
  <c r="A713" i="2"/>
  <c r="A721" i="2"/>
  <c r="A729" i="2"/>
  <c r="A737" i="2"/>
  <c r="A698" i="2"/>
  <c r="A706" i="2"/>
  <c r="A685" i="2"/>
  <c r="A683" i="2"/>
  <c r="A677" i="2"/>
  <c r="A641" i="2"/>
  <c r="A649" i="2"/>
  <c r="A613" i="2"/>
  <c r="A621" i="2"/>
  <c r="A629" i="2"/>
  <c r="A609" i="2"/>
  <c r="A573" i="2"/>
  <c r="A581" i="2"/>
  <c r="A556" i="2"/>
  <c r="A564" i="2"/>
  <c r="A550" i="2"/>
  <c r="A544" i="2"/>
  <c r="A497" i="2"/>
  <c r="A1324" i="2"/>
  <c r="A1226" i="2"/>
  <c r="A1201" i="2"/>
  <c r="A1155" i="2"/>
  <c r="A1086" i="2"/>
  <c r="A1053" i="2"/>
  <c r="A1014" i="2"/>
  <c r="A1002" i="2"/>
  <c r="A959" i="2"/>
  <c r="A930" i="2"/>
  <c r="A896" i="2"/>
  <c r="A882" i="2"/>
  <c r="A800" i="2"/>
  <c r="A778" i="2"/>
  <c r="A760" i="2"/>
  <c r="A722" i="2"/>
  <c r="A707" i="2"/>
  <c r="A687" i="2"/>
  <c r="A651" i="2"/>
  <c r="A574" i="2"/>
  <c r="A545" i="2"/>
  <c r="A505" i="2"/>
  <c r="A516" i="2"/>
  <c r="A524" i="2"/>
  <c r="A532" i="2"/>
  <c r="A493" i="2"/>
  <c r="A478" i="2"/>
  <c r="A486" i="2"/>
  <c r="A471" i="2"/>
  <c r="A468" i="2"/>
  <c r="A462" i="2"/>
  <c r="A324" i="12"/>
  <c r="A323" i="12"/>
  <c r="A308" i="12"/>
  <c r="A258" i="12"/>
  <c r="A252" i="12"/>
  <c r="A206" i="12"/>
  <c r="A198" i="12"/>
  <c r="A189" i="12"/>
  <c r="A178" i="12"/>
  <c r="A166" i="12"/>
  <c r="A86" i="12"/>
  <c r="A94" i="12"/>
  <c r="A102" i="12"/>
  <c r="A110" i="12"/>
  <c r="A118" i="12"/>
  <c r="A126" i="12"/>
  <c r="A134" i="12"/>
  <c r="A142" i="12"/>
  <c r="A150" i="12"/>
  <c r="A158" i="12"/>
  <c r="A61" i="12"/>
  <c r="A34" i="12"/>
  <c r="A1325" i="2"/>
  <c r="A1233" i="2"/>
  <c r="A1208" i="2"/>
  <c r="A1156" i="2"/>
  <c r="A1054" i="2"/>
  <c r="A1015" i="2"/>
  <c r="A1003" i="2"/>
  <c r="A960" i="2"/>
  <c r="A937" i="2"/>
  <c r="A923" i="2"/>
  <c r="A903" i="2"/>
  <c r="A866" i="2"/>
  <c r="A860" i="2"/>
  <c r="A801" i="2"/>
  <c r="A761" i="2"/>
  <c r="A723" i="2"/>
  <c r="A691" i="2"/>
  <c r="A575" i="2"/>
  <c r="A540" i="2"/>
  <c r="A506" i="2"/>
  <c r="A517" i="2"/>
  <c r="A525" i="2"/>
  <c r="A533" i="2"/>
  <c r="A494" i="2"/>
  <c r="A479" i="2"/>
  <c r="A487" i="2"/>
  <c r="A472" i="2"/>
  <c r="A469" i="2"/>
  <c r="A463" i="2"/>
  <c r="A316" i="12"/>
  <c r="A315" i="12"/>
  <c r="A259" i="12"/>
  <c r="A249" i="12"/>
  <c r="A207" i="12"/>
  <c r="A199" i="12"/>
  <c r="A190" i="12"/>
  <c r="A176" i="12"/>
  <c r="A165" i="12"/>
  <c r="A87" i="12"/>
  <c r="A95" i="12"/>
  <c r="A103" i="12"/>
  <c r="A111" i="12"/>
  <c r="A119" i="12"/>
  <c r="A127" i="12"/>
  <c r="A135" i="12"/>
  <c r="A143" i="12"/>
  <c r="A151" i="12"/>
  <c r="A159" i="12"/>
  <c r="A40" i="12"/>
  <c r="A1319" i="2"/>
  <c r="A1234" i="2"/>
  <c r="A1209" i="2"/>
  <c r="A1163" i="2"/>
  <c r="A1102" i="2"/>
  <c r="A1061" i="2"/>
  <c r="A1045" i="2"/>
  <c r="A1031" i="2"/>
  <c r="A987" i="2"/>
  <c r="A967" i="2"/>
  <c r="A921" i="2"/>
  <c r="A904" i="2"/>
  <c r="A853" i="2"/>
  <c r="A808" i="2"/>
  <c r="A730" i="2"/>
  <c r="A614" i="2"/>
  <c r="A582" i="2"/>
  <c r="A557" i="2"/>
  <c r="A507" i="2"/>
  <c r="A518" i="2"/>
  <c r="A526" i="2"/>
  <c r="A534" i="2"/>
  <c r="A495" i="2"/>
  <c r="A480" i="2"/>
  <c r="A488" i="2"/>
  <c r="A473" i="2"/>
  <c r="A470" i="2"/>
  <c r="A464" i="2"/>
  <c r="A317" i="12"/>
  <c r="A260" i="12"/>
  <c r="A202" i="12"/>
  <c r="A192" i="12"/>
  <c r="A184" i="12"/>
  <c r="A177" i="12"/>
  <c r="A162" i="12"/>
  <c r="A88" i="12"/>
  <c r="A96" i="12"/>
  <c r="A104" i="12"/>
  <c r="A112" i="12"/>
  <c r="A120" i="12"/>
  <c r="A128" i="12"/>
  <c r="A136" i="12"/>
  <c r="A144" i="12"/>
  <c r="A152" i="12"/>
  <c r="A160" i="12"/>
  <c r="A41" i="12"/>
  <c r="A1241" i="2"/>
  <c r="A1184" i="2"/>
  <c r="A1164" i="2"/>
  <c r="A1103" i="2"/>
  <c r="A1062" i="2"/>
  <c r="A1032" i="2"/>
  <c r="A994" i="2"/>
  <c r="A988" i="2"/>
  <c r="A968" i="2"/>
  <c r="A911" i="2"/>
  <c r="A854" i="2"/>
  <c r="A809" i="2"/>
  <c r="A731" i="2"/>
  <c r="A674" i="2"/>
  <c r="A615" i="2"/>
  <c r="A583" i="2"/>
  <c r="A558" i="2"/>
  <c r="A509" i="2"/>
  <c r="A519" i="2"/>
  <c r="A527" i="2"/>
  <c r="A535" i="2"/>
  <c r="A489" i="2"/>
  <c r="A481" i="2"/>
  <c r="A477" i="2"/>
  <c r="A474" i="2"/>
  <c r="A465" i="2"/>
  <c r="A461" i="2"/>
  <c r="A318" i="12"/>
  <c r="A264" i="12"/>
  <c r="A261" i="12"/>
  <c r="A193" i="12"/>
  <c r="A191" i="12"/>
  <c r="A181" i="12"/>
  <c r="A175" i="12"/>
  <c r="A163" i="12"/>
  <c r="A89" i="12"/>
  <c r="A97" i="12"/>
  <c r="A105" i="12"/>
  <c r="A113" i="12"/>
  <c r="A121" i="12"/>
  <c r="A129" i="12"/>
  <c r="A137" i="12"/>
  <c r="A145" i="12"/>
  <c r="A153" i="12"/>
  <c r="A81" i="12"/>
  <c r="A65" i="12"/>
  <c r="A39" i="12"/>
  <c r="A1360" i="2"/>
  <c r="A1334" i="2"/>
  <c r="A1217" i="2"/>
  <c r="A1249" i="2"/>
  <c r="A1192" i="2"/>
  <c r="A1111" i="2"/>
  <c r="A1070" i="2"/>
  <c r="A1016" i="2"/>
  <c r="A1010" i="2"/>
  <c r="A943" i="2"/>
  <c r="A887" i="2"/>
  <c r="A919" i="2"/>
  <c r="A867" i="2"/>
  <c r="A814" i="2"/>
  <c r="A769" i="2"/>
  <c r="A745" i="2"/>
  <c r="A740" i="2"/>
  <c r="A708" i="2"/>
  <c r="A692" i="2"/>
  <c r="A642" i="2"/>
  <c r="A623" i="2"/>
  <c r="A566" i="2"/>
  <c r="A513" i="2"/>
  <c r="A521" i="2"/>
  <c r="A529" i="2"/>
  <c r="A537" i="2"/>
  <c r="A490" i="2"/>
  <c r="A483" i="2"/>
  <c r="A476" i="2"/>
  <c r="A326" i="12"/>
  <c r="A320" i="12"/>
  <c r="A314" i="12"/>
  <c r="A255" i="12"/>
  <c r="A254" i="12"/>
  <c r="A203" i="12"/>
  <c r="A195" i="12"/>
  <c r="A186" i="12"/>
  <c r="A183" i="12"/>
  <c r="A169" i="12"/>
  <c r="A83" i="12"/>
  <c r="A91" i="12"/>
  <c r="A99" i="12"/>
  <c r="A107" i="12"/>
  <c r="A115" i="12"/>
  <c r="A123" i="12"/>
  <c r="A131" i="12"/>
  <c r="A139" i="12"/>
  <c r="A147" i="12"/>
  <c r="A155" i="12"/>
  <c r="A80" i="12"/>
  <c r="A63" i="12"/>
  <c r="A36" i="12"/>
  <c r="A1367" i="2"/>
  <c r="A1341" i="2"/>
  <c r="A1218" i="2"/>
  <c r="A1250" i="2"/>
  <c r="A1193" i="2"/>
  <c r="A1128" i="2"/>
  <c r="A1118" i="2"/>
  <c r="A1097" i="2"/>
  <c r="A1081" i="2"/>
  <c r="A1077" i="2"/>
  <c r="A1023" i="2"/>
  <c r="A970" i="2"/>
  <c r="A953" i="2"/>
  <c r="A944" i="2"/>
  <c r="A888" i="2"/>
  <c r="A920" i="2"/>
  <c r="A874" i="2"/>
  <c r="A850" i="2"/>
  <c r="A792" i="2"/>
  <c r="A770" i="2"/>
  <c r="A752" i="2"/>
  <c r="A714" i="2"/>
  <c r="A699" i="2"/>
  <c r="A678" i="2"/>
  <c r="A643" i="2"/>
  <c r="A630" i="2"/>
  <c r="A604" i="2"/>
  <c r="A498" i="2"/>
  <c r="A514" i="2"/>
  <c r="A522" i="2"/>
  <c r="A530" i="2"/>
  <c r="A538" i="2"/>
  <c r="A491" i="2"/>
  <c r="A484" i="2"/>
  <c r="A466" i="2"/>
  <c r="A325" i="12"/>
  <c r="A321" i="12"/>
  <c r="A312" i="12"/>
  <c r="A256" i="12"/>
  <c r="A250" i="12"/>
  <c r="A204" i="12"/>
  <c r="A196" i="12"/>
  <c r="A187" i="12"/>
  <c r="A180" i="12"/>
  <c r="A168" i="12"/>
  <c r="A84" i="12"/>
  <c r="A92" i="12"/>
  <c r="A100" i="12"/>
  <c r="A108" i="12"/>
  <c r="A116" i="12"/>
  <c r="A124" i="12"/>
  <c r="A132" i="12"/>
  <c r="A140" i="12"/>
  <c r="A148" i="12"/>
  <c r="A156" i="12"/>
  <c r="A78" i="12"/>
  <c r="A62" i="12"/>
  <c r="A37" i="12"/>
  <c r="E1402" i="11"/>
  <c r="E1338" i="11"/>
  <c r="E1324" i="11"/>
  <c r="E1291" i="11"/>
  <c r="E1283" i="11"/>
  <c r="E1275" i="11"/>
  <c r="E1267" i="11"/>
  <c r="E1259" i="11"/>
  <c r="E1251" i="11"/>
  <c r="E1243" i="11"/>
  <c r="E1235" i="11"/>
  <c r="E1207" i="11"/>
  <c r="E1090" i="11"/>
  <c r="E1036" i="11"/>
  <c r="E788" i="11"/>
  <c r="E769" i="11"/>
  <c r="E747" i="11"/>
  <c r="E724" i="11"/>
  <c r="E705" i="11"/>
  <c r="E683" i="11"/>
  <c r="E660" i="11"/>
  <c r="E641" i="11"/>
  <c r="E619" i="11"/>
  <c r="E7" i="11"/>
  <c r="A38" i="12"/>
  <c r="A79" i="12"/>
  <c r="A130" i="12"/>
  <c r="A98" i="12"/>
  <c r="A182" i="12"/>
  <c r="A528" i="2"/>
  <c r="A686" i="2"/>
  <c r="A742" i="2"/>
  <c r="A777" i="2"/>
  <c r="A1069" i="2"/>
  <c r="A1242" i="2"/>
  <c r="E1332" i="11"/>
  <c r="E1273" i="11"/>
  <c r="E1233" i="11"/>
  <c r="E740" i="11"/>
  <c r="E635" i="11"/>
  <c r="A90" i="12"/>
  <c r="A793" i="2"/>
  <c r="E2" i="11"/>
  <c r="E1378" i="11"/>
  <c r="E1331" i="11"/>
  <c r="E1303" i="11"/>
  <c r="E1288" i="11"/>
  <c r="E1280" i="11"/>
  <c r="E1272" i="11"/>
  <c r="E1264" i="11"/>
  <c r="E1256" i="11"/>
  <c r="E1248" i="11"/>
  <c r="E1240" i="11"/>
  <c r="E1232" i="11"/>
  <c r="E1101" i="11"/>
  <c r="E1082" i="11"/>
  <c r="E951" i="11"/>
  <c r="E780" i="11"/>
  <c r="E761" i="11"/>
  <c r="E739" i="11"/>
  <c r="E716" i="11"/>
  <c r="E697" i="11"/>
  <c r="E675" i="11"/>
  <c r="E652" i="11"/>
  <c r="E633" i="11"/>
  <c r="E546" i="11"/>
  <c r="A64" i="12"/>
  <c r="A149" i="12"/>
  <c r="A117" i="12"/>
  <c r="A85" i="12"/>
  <c r="A197" i="12"/>
  <c r="A257" i="12"/>
  <c r="A322" i="12"/>
  <c r="A467" i="2"/>
  <c r="A515" i="2"/>
  <c r="A585" i="2"/>
  <c r="A605" i="2"/>
  <c r="A622" i="2"/>
  <c r="A753" i="2"/>
  <c r="A813" i="2"/>
  <c r="A1024" i="2"/>
  <c r="A1185" i="2"/>
  <c r="A1359" i="2"/>
  <c r="E1274" i="11"/>
  <c r="E1258" i="11"/>
  <c r="A188" i="12"/>
  <c r="A523" i="2"/>
  <c r="A1009" i="2"/>
  <c r="E1289" i="11"/>
  <c r="E1257" i="11"/>
  <c r="E1106" i="11"/>
  <c r="E763" i="11"/>
  <c r="E699" i="11"/>
  <c r="E557" i="11"/>
  <c r="A185" i="12"/>
  <c r="A947" i="2"/>
  <c r="E1434" i="11"/>
  <c r="E1370" i="11"/>
  <c r="E1330" i="11"/>
  <c r="E1295" i="11"/>
  <c r="E1287" i="11"/>
  <c r="E1279" i="11"/>
  <c r="E1271" i="11"/>
  <c r="E1263" i="11"/>
  <c r="E1255" i="11"/>
  <c r="E1247" i="11"/>
  <c r="E1239" i="11"/>
  <c r="E1231" i="11"/>
  <c r="E1100" i="11"/>
  <c r="E1077" i="11"/>
  <c r="E949" i="11"/>
  <c r="E779" i="11"/>
  <c r="E756" i="11"/>
  <c r="E737" i="11"/>
  <c r="E715" i="11"/>
  <c r="E692" i="11"/>
  <c r="E673" i="11"/>
  <c r="E651" i="11"/>
  <c r="E628" i="11"/>
  <c r="E521" i="11"/>
  <c r="A146" i="12"/>
  <c r="A114" i="12"/>
  <c r="A82" i="12"/>
  <c r="A161" i="12"/>
  <c r="A194" i="12"/>
  <c r="A263" i="12"/>
  <c r="A319" i="12"/>
  <c r="A475" i="2"/>
  <c r="A512" i="2"/>
  <c r="A565" i="2"/>
  <c r="A929" i="2"/>
  <c r="A1143" i="2"/>
  <c r="A1342" i="2"/>
  <c r="E1282" i="11"/>
  <c r="E764" i="11"/>
  <c r="E723" i="11"/>
  <c r="E681" i="11"/>
  <c r="E636" i="11"/>
  <c r="A93" i="12"/>
  <c r="A485" i="2"/>
  <c r="E1386" i="11"/>
  <c r="E1281" i="11"/>
  <c r="E1241" i="11"/>
  <c r="E1084" i="11"/>
  <c r="E721" i="11"/>
  <c r="E657" i="11"/>
  <c r="A262" i="12"/>
  <c r="A631" i="2"/>
  <c r="A875" i="2"/>
  <c r="A1368" i="2"/>
  <c r="A1345" i="2"/>
  <c r="E68" i="11"/>
  <c r="E1426" i="11"/>
  <c r="E1362" i="11"/>
  <c r="E1328" i="11"/>
  <c r="E1294" i="11"/>
  <c r="E1286" i="11"/>
  <c r="E1278" i="11"/>
  <c r="E1270" i="11"/>
  <c r="E1262" i="11"/>
  <c r="E1254" i="11"/>
  <c r="E1246" i="11"/>
  <c r="E1238" i="11"/>
  <c r="E1230" i="11"/>
  <c r="E1098" i="11"/>
  <c r="E1076" i="11"/>
  <c r="E796" i="11"/>
  <c r="E777" i="11"/>
  <c r="E755" i="11"/>
  <c r="E732" i="11"/>
  <c r="E713" i="11"/>
  <c r="E691" i="11"/>
  <c r="E668" i="11"/>
  <c r="E649" i="11"/>
  <c r="E627" i="11"/>
  <c r="A141" i="12"/>
  <c r="A109" i="12"/>
  <c r="A167" i="12"/>
  <c r="A205" i="12"/>
  <c r="A496" i="2"/>
  <c r="A499" i="2"/>
  <c r="A650" i="2"/>
  <c r="A971" i="2"/>
  <c r="A1333" i="2"/>
  <c r="E1249" i="11"/>
  <c r="E952" i="11"/>
  <c r="A154" i="12"/>
  <c r="A482" i="2"/>
  <c r="A1200" i="2"/>
  <c r="E3" i="11"/>
  <c r="E22" i="11"/>
  <c r="E465" i="11"/>
  <c r="E569" i="11"/>
  <c r="E621" i="11"/>
  <c r="E629" i="11"/>
  <c r="E637" i="11"/>
  <c r="E645" i="11"/>
  <c r="E653" i="11"/>
  <c r="E661" i="11"/>
  <c r="E669" i="11"/>
  <c r="E677" i="11"/>
  <c r="E685" i="11"/>
  <c r="E693" i="11"/>
  <c r="E701" i="11"/>
  <c r="E709" i="11"/>
  <c r="E717" i="11"/>
  <c r="E725" i="11"/>
  <c r="E733" i="11"/>
  <c r="E741" i="11"/>
  <c r="E749" i="11"/>
  <c r="E757" i="11"/>
  <c r="E765" i="11"/>
  <c r="E773" i="11"/>
  <c r="E781" i="11"/>
  <c r="E789" i="11"/>
  <c r="E901" i="11"/>
  <c r="E953" i="11"/>
  <c r="E1052" i="11"/>
  <c r="E1078" i="11"/>
  <c r="E1086" i="11"/>
  <c r="E1094" i="11"/>
  <c r="E1102" i="11"/>
  <c r="E1215" i="11"/>
  <c r="E4" i="11"/>
  <c r="E350" i="11"/>
  <c r="E480" i="11"/>
  <c r="E579" i="11"/>
  <c r="E622" i="11"/>
  <c r="E630" i="11"/>
  <c r="E638" i="11"/>
  <c r="E646" i="11"/>
  <c r="E654" i="11"/>
  <c r="E662" i="11"/>
  <c r="E670" i="11"/>
  <c r="E678" i="11"/>
  <c r="E686" i="11"/>
  <c r="E694" i="11"/>
  <c r="E702" i="11"/>
  <c r="E710" i="11"/>
  <c r="E718" i="11"/>
  <c r="E726" i="11"/>
  <c r="E734" i="11"/>
  <c r="E742" i="11"/>
  <c r="E750" i="11"/>
  <c r="E758" i="11"/>
  <c r="E766" i="11"/>
  <c r="E774" i="11"/>
  <c r="E782" i="11"/>
  <c r="E790" i="11"/>
  <c r="E913" i="11"/>
  <c r="E993" i="11"/>
  <c r="E1060" i="11"/>
  <c r="E1079" i="11"/>
  <c r="E1087" i="11"/>
  <c r="E1095" i="11"/>
  <c r="E1103" i="11"/>
  <c r="E1223" i="11"/>
  <c r="E5" i="11"/>
  <c r="E369" i="11"/>
  <c r="E494" i="11"/>
  <c r="E589" i="11"/>
  <c r="E623" i="11"/>
  <c r="E631" i="11"/>
  <c r="E639" i="11"/>
  <c r="E647" i="11"/>
  <c r="E655" i="11"/>
  <c r="E663" i="11"/>
  <c r="E671" i="11"/>
  <c r="E679" i="11"/>
  <c r="E687" i="11"/>
  <c r="E695" i="11"/>
  <c r="E703" i="11"/>
  <c r="E711" i="11"/>
  <c r="E719" i="11"/>
  <c r="E727" i="11"/>
  <c r="E735" i="11"/>
  <c r="E743" i="11"/>
  <c r="E751" i="11"/>
  <c r="E759" i="11"/>
  <c r="E767" i="11"/>
  <c r="E775" i="11"/>
  <c r="E783" i="11"/>
  <c r="E791" i="11"/>
  <c r="E923" i="11"/>
  <c r="E997" i="11"/>
  <c r="E1068" i="11"/>
  <c r="E1080" i="11"/>
  <c r="E1088" i="11"/>
  <c r="E1096" i="11"/>
  <c r="E1104" i="11"/>
  <c r="E1226" i="11"/>
  <c r="E6" i="11"/>
  <c r="E387" i="11"/>
  <c r="E507" i="11"/>
  <c r="E601" i="11"/>
  <c r="E624" i="11"/>
  <c r="E632" i="11"/>
  <c r="E640" i="11"/>
  <c r="E648" i="11"/>
  <c r="E656" i="11"/>
  <c r="E664" i="11"/>
  <c r="E672" i="11"/>
  <c r="E680" i="11"/>
  <c r="E688" i="11"/>
  <c r="E696" i="11"/>
  <c r="E704" i="11"/>
  <c r="E712" i="11"/>
  <c r="E720" i="11"/>
  <c r="E728" i="11"/>
  <c r="E736" i="11"/>
  <c r="E744" i="11"/>
  <c r="E752" i="11"/>
  <c r="E760" i="11"/>
  <c r="E768" i="11"/>
  <c r="E776" i="11"/>
  <c r="E784" i="11"/>
  <c r="E792" i="11"/>
  <c r="E933" i="11"/>
  <c r="E1009" i="11"/>
  <c r="E1073" i="11"/>
  <c r="E1081" i="11"/>
  <c r="E1089" i="11"/>
  <c r="E1097" i="11"/>
  <c r="E1105" i="11"/>
  <c r="E1227" i="11"/>
  <c r="E8" i="11"/>
  <c r="E421" i="11"/>
  <c r="E533" i="11"/>
  <c r="E618" i="11"/>
  <c r="E626" i="11"/>
  <c r="E634" i="11"/>
  <c r="E642" i="11"/>
  <c r="E650" i="11"/>
  <c r="E658" i="11"/>
  <c r="E666" i="11"/>
  <c r="E674" i="11"/>
  <c r="E682" i="11"/>
  <c r="E690" i="11"/>
  <c r="E698" i="11"/>
  <c r="E706" i="11"/>
  <c r="E714" i="11"/>
  <c r="E722" i="11"/>
  <c r="E730" i="11"/>
  <c r="E738" i="11"/>
  <c r="E746" i="11"/>
  <c r="E754" i="11"/>
  <c r="E762" i="11"/>
  <c r="E770" i="11"/>
  <c r="E778" i="11"/>
  <c r="E786" i="11"/>
  <c r="E794" i="11"/>
  <c r="E950" i="11"/>
  <c r="E1028" i="11"/>
  <c r="E1075" i="11"/>
  <c r="E1083" i="11"/>
  <c r="E1091" i="11"/>
  <c r="E1099" i="11"/>
  <c r="E1107" i="11"/>
  <c r="E20" i="11"/>
  <c r="E435" i="11"/>
  <c r="E1418" i="11"/>
  <c r="E1354" i="11"/>
  <c r="E1327" i="11"/>
  <c r="E1293" i="11"/>
  <c r="E1285" i="11"/>
  <c r="E1277" i="11"/>
  <c r="E1269" i="11"/>
  <c r="E1261" i="11"/>
  <c r="E1253" i="11"/>
  <c r="E1245" i="11"/>
  <c r="E1237" i="11"/>
  <c r="E1229" i="11"/>
  <c r="E1093" i="11"/>
  <c r="E1074" i="11"/>
  <c r="E795" i="11"/>
  <c r="E772" i="11"/>
  <c r="E753" i="11"/>
  <c r="E731" i="11"/>
  <c r="E708" i="11"/>
  <c r="E689" i="11"/>
  <c r="E667" i="11"/>
  <c r="E644" i="11"/>
  <c r="E625" i="11"/>
  <c r="E405" i="11"/>
  <c r="A138" i="12"/>
  <c r="A106" i="12"/>
  <c r="A174" i="12"/>
  <c r="A208" i="12"/>
  <c r="A536" i="2"/>
  <c r="A700" i="2"/>
  <c r="A738" i="2"/>
  <c r="A1119" i="2"/>
  <c r="A997" i="2"/>
  <c r="E1410" i="11"/>
  <c r="E1346" i="11"/>
  <c r="E1326" i="11"/>
  <c r="E1292" i="11"/>
  <c r="E1284" i="11"/>
  <c r="E1276" i="11"/>
  <c r="E1268" i="11"/>
  <c r="E1260" i="11"/>
  <c r="E1252" i="11"/>
  <c r="E1244" i="11"/>
  <c r="E1236" i="11"/>
  <c r="E1228" i="11"/>
  <c r="E1092" i="11"/>
  <c r="E1044" i="11"/>
  <c r="E793" i="11"/>
  <c r="E771" i="11"/>
  <c r="E748" i="11"/>
  <c r="E729" i="11"/>
  <c r="E707" i="11"/>
  <c r="E684" i="11"/>
  <c r="E665" i="11"/>
  <c r="E643" i="11"/>
  <c r="E620" i="11"/>
  <c r="E21" i="11"/>
  <c r="A133" i="12"/>
  <c r="A101" i="12"/>
  <c r="A179" i="12"/>
  <c r="A311" i="12"/>
  <c r="A492" i="2"/>
  <c r="A531" i="2"/>
  <c r="A715" i="2"/>
  <c r="A1078" i="2"/>
  <c r="A1098" i="2"/>
  <c r="A1110" i="2"/>
  <c r="A1215" i="2"/>
  <c r="E1423" i="11"/>
  <c r="E1399" i="11"/>
  <c r="E1367" i="11"/>
  <c r="E1343" i="11"/>
  <c r="E1212" i="11"/>
  <c r="E1180" i="11"/>
  <c r="E1156" i="11"/>
  <c r="E991" i="11"/>
  <c r="E898" i="11"/>
  <c r="E874" i="11"/>
  <c r="E850" i="11"/>
  <c r="E825" i="11"/>
  <c r="E1430" i="11"/>
  <c r="E1406" i="11"/>
  <c r="E1390" i="11"/>
  <c r="E1366" i="11"/>
  <c r="E1350" i="11"/>
  <c r="E1311" i="11"/>
  <c r="E1299" i="11"/>
  <c r="E1219" i="11"/>
  <c r="E1179" i="11"/>
  <c r="E1429" i="11"/>
  <c r="E1421" i="11"/>
  <c r="E1413" i="11"/>
  <c r="E1405" i="11"/>
  <c r="E1397" i="11"/>
  <c r="E1389" i="11"/>
  <c r="E1381" i="11"/>
  <c r="E1373" i="11"/>
  <c r="E1365" i="11"/>
  <c r="E1357" i="11"/>
  <c r="E1349" i="11"/>
  <c r="E1341" i="11"/>
  <c r="E1322" i="11"/>
  <c r="E1309" i="11"/>
  <c r="E1298" i="11"/>
  <c r="E1218" i="11"/>
  <c r="E1210" i="11"/>
  <c r="E1202" i="11"/>
  <c r="E1194" i="11"/>
  <c r="E1186" i="11"/>
  <c r="E1178" i="11"/>
  <c r="E1170" i="11"/>
  <c r="E1162" i="11"/>
  <c r="E1154" i="11"/>
  <c r="E1146" i="11"/>
  <c r="E1137" i="11"/>
  <c r="E1123" i="11"/>
  <c r="E1115" i="11"/>
  <c r="E987" i="11"/>
  <c r="E955" i="11"/>
  <c r="E942" i="11"/>
  <c r="E934" i="11"/>
  <c r="E896" i="11"/>
  <c r="E888" i="11"/>
  <c r="E880" i="11"/>
  <c r="E872" i="11"/>
  <c r="E864" i="11"/>
  <c r="E856" i="11"/>
  <c r="E848" i="11"/>
  <c r="E839" i="11"/>
  <c r="E831" i="11"/>
  <c r="E823" i="11"/>
  <c r="E815" i="11"/>
  <c r="E807" i="11"/>
  <c r="E799" i="11"/>
  <c r="E40" i="11"/>
  <c r="E32" i="11"/>
  <c r="E24" i="11"/>
  <c r="A1040" i="2"/>
  <c r="A1051" i="2"/>
  <c r="A1132" i="2"/>
  <c r="A1177" i="2"/>
  <c r="A1269" i="2"/>
  <c r="A1273" i="2"/>
  <c r="A1301" i="2"/>
  <c r="A1293" i="2"/>
  <c r="A1285" i="2"/>
  <c r="A1312" i="2"/>
  <c r="A1304" i="2"/>
  <c r="A1352" i="2"/>
  <c r="E1415" i="11"/>
  <c r="E1383" i="11"/>
  <c r="E1351" i="11"/>
  <c r="E1313" i="11"/>
  <c r="E1220" i="11"/>
  <c r="E1188" i="11"/>
  <c r="E1140" i="11"/>
  <c r="E1109" i="11"/>
  <c r="E944" i="11"/>
  <c r="E882" i="11"/>
  <c r="E858" i="11"/>
  <c r="E833" i="11"/>
  <c r="E809" i="11"/>
  <c r="E1422" i="11"/>
  <c r="E1382" i="11"/>
  <c r="E1428" i="11"/>
  <c r="E1420" i="11"/>
  <c r="E1412" i="11"/>
  <c r="E1404" i="11"/>
  <c r="E1396" i="11"/>
  <c r="E1388" i="11"/>
  <c r="E1380" i="11"/>
  <c r="E1372" i="11"/>
  <c r="E1364" i="11"/>
  <c r="E1356" i="11"/>
  <c r="E1348" i="11"/>
  <c r="E1340" i="11"/>
  <c r="E1321" i="11"/>
  <c r="E1305" i="11"/>
  <c r="E1297" i="11"/>
  <c r="E1225" i="11"/>
  <c r="E1217" i="11"/>
  <c r="E1209" i="11"/>
  <c r="E1201" i="11"/>
  <c r="E1193" i="11"/>
  <c r="E1185" i="11"/>
  <c r="E1177" i="11"/>
  <c r="E1169" i="11"/>
  <c r="E1161" i="11"/>
  <c r="E1153" i="11"/>
  <c r="E1145" i="11"/>
  <c r="E1135" i="11"/>
  <c r="E1122" i="11"/>
  <c r="E1114" i="11"/>
  <c r="E985" i="11"/>
  <c r="E941" i="11"/>
  <c r="E895" i="11"/>
  <c r="E887" i="11"/>
  <c r="E879" i="11"/>
  <c r="E871" i="11"/>
  <c r="E863" i="11"/>
  <c r="E855" i="11"/>
  <c r="E847" i="11"/>
  <c r="E838" i="11"/>
  <c r="E830" i="11"/>
  <c r="E822" i="11"/>
  <c r="E814" i="11"/>
  <c r="E806" i="11"/>
  <c r="E798" i="11"/>
  <c r="E39" i="11"/>
  <c r="E31" i="11"/>
  <c r="E23" i="11"/>
  <c r="A1039" i="2"/>
  <c r="A1046" i="2"/>
  <c r="A1050" i="2"/>
  <c r="A1176" i="2"/>
  <c r="A1268" i="2"/>
  <c r="A1300" i="2"/>
  <c r="A1292" i="2"/>
  <c r="A1284" i="2"/>
  <c r="A1311" i="2"/>
  <c r="A1351" i="2"/>
  <c r="E1427" i="11"/>
  <c r="E1419" i="11"/>
  <c r="E1411" i="11"/>
  <c r="E1403" i="11"/>
  <c r="E1395" i="11"/>
  <c r="E1387" i="11"/>
  <c r="E1379" i="11"/>
  <c r="E1371" i="11"/>
  <c r="E1363" i="11"/>
  <c r="E1355" i="11"/>
  <c r="E1347" i="11"/>
  <c r="E1339" i="11"/>
  <c r="E1320" i="11"/>
  <c r="E1304" i="11"/>
  <c r="E1296" i="11"/>
  <c r="E1224" i="11"/>
  <c r="E1216" i="11"/>
  <c r="E1208" i="11"/>
  <c r="E1200" i="11"/>
  <c r="E1192" i="11"/>
  <c r="E1184" i="11"/>
  <c r="E1176" i="11"/>
  <c r="E1168" i="11"/>
  <c r="E1160" i="11"/>
  <c r="E1152" i="11"/>
  <c r="E1144" i="11"/>
  <c r="E1129" i="11"/>
  <c r="E1121" i="11"/>
  <c r="E1113" i="11"/>
  <c r="E979" i="11"/>
  <c r="E940" i="11"/>
  <c r="E894" i="11"/>
  <c r="E886" i="11"/>
  <c r="E878" i="11"/>
  <c r="E870" i="11"/>
  <c r="E862" i="11"/>
  <c r="E854" i="11"/>
  <c r="E846" i="11"/>
  <c r="E837" i="11"/>
  <c r="E829" i="11"/>
  <c r="E821" i="11"/>
  <c r="E813" i="11"/>
  <c r="E805" i="11"/>
  <c r="E797" i="11"/>
  <c r="E46" i="11"/>
  <c r="E38" i="11"/>
  <c r="E30" i="11"/>
  <c r="A1049" i="2"/>
  <c r="A1138" i="2"/>
  <c r="A1175" i="2"/>
  <c r="A1267" i="2"/>
  <c r="A1299" i="2"/>
  <c r="A1291" i="2"/>
  <c r="A1283" i="2"/>
  <c r="A1318" i="2"/>
  <c r="A1310" i="2"/>
  <c r="A1350" i="2"/>
  <c r="E1191" i="11"/>
  <c r="E1183" i="11"/>
  <c r="E1175" i="11"/>
  <c r="E1167" i="11"/>
  <c r="E1159" i="11"/>
  <c r="E1151" i="11"/>
  <c r="E1143" i="11"/>
  <c r="E1128" i="11"/>
  <c r="E1120" i="11"/>
  <c r="E1112" i="11"/>
  <c r="E977" i="11"/>
  <c r="E939" i="11"/>
  <c r="E893" i="11"/>
  <c r="E885" i="11"/>
  <c r="E877" i="11"/>
  <c r="E869" i="11"/>
  <c r="E861" i="11"/>
  <c r="E853" i="11"/>
  <c r="E845" i="11"/>
  <c r="E836" i="11"/>
  <c r="E828" i="11"/>
  <c r="E820" i="11"/>
  <c r="E812" i="11"/>
  <c r="E804" i="11"/>
  <c r="E45" i="11"/>
  <c r="E37" i="11"/>
  <c r="E29" i="11"/>
  <c r="A1048" i="2"/>
  <c r="A1137" i="2"/>
  <c r="A1174" i="2"/>
  <c r="A1266" i="2"/>
  <c r="A1298" i="2"/>
  <c r="A1290" i="2"/>
  <c r="A1282" i="2"/>
  <c r="A1317" i="2"/>
  <c r="A1309" i="2"/>
  <c r="A1349" i="2"/>
  <c r="E1425" i="11"/>
  <c r="E1409" i="11"/>
  <c r="E1393" i="11"/>
  <c r="E1377" i="11"/>
  <c r="E1361" i="11"/>
  <c r="E1345" i="11"/>
  <c r="E1337" i="11"/>
  <c r="E1318" i="11"/>
  <c r="E1302" i="11"/>
  <c r="E1214" i="11"/>
  <c r="E1198" i="11"/>
  <c r="E1182" i="11"/>
  <c r="E1166" i="11"/>
  <c r="E1150" i="11"/>
  <c r="E1127" i="11"/>
  <c r="E1119" i="11"/>
  <c r="E971" i="11"/>
  <c r="E938" i="11"/>
  <c r="E892" i="11"/>
  <c r="E876" i="11"/>
  <c r="E868" i="11"/>
  <c r="E860" i="11"/>
  <c r="E852" i="11"/>
  <c r="E844" i="11"/>
  <c r="E835" i="11"/>
  <c r="E819" i="11"/>
  <c r="E811" i="11"/>
  <c r="E803" i="11"/>
  <c r="E44" i="11"/>
  <c r="E36" i="11"/>
  <c r="E28" i="11"/>
  <c r="A1047" i="2"/>
  <c r="A1136" i="2"/>
  <c r="A1145" i="2"/>
  <c r="A1173" i="2"/>
  <c r="A1261" i="2"/>
  <c r="A1265" i="2"/>
  <c r="A1277" i="2"/>
  <c r="A1297" i="2"/>
  <c r="A1289" i="2"/>
  <c r="A1281" i="2"/>
  <c r="A1316" i="2"/>
  <c r="A1308" i="2"/>
  <c r="A1356" i="2"/>
  <c r="A1348" i="2"/>
  <c r="E1433" i="11"/>
  <c r="E1417" i="11"/>
  <c r="E1401" i="11"/>
  <c r="E1385" i="11"/>
  <c r="E1369" i="11"/>
  <c r="E1353" i="11"/>
  <c r="E1222" i="11"/>
  <c r="E1206" i="11"/>
  <c r="E1190" i="11"/>
  <c r="E1174" i="11"/>
  <c r="E1158" i="11"/>
  <c r="E1142" i="11"/>
  <c r="E1111" i="11"/>
  <c r="E884" i="11"/>
  <c r="E827" i="11"/>
  <c r="E1432" i="11"/>
  <c r="E1424" i="11"/>
  <c r="E1416" i="11"/>
  <c r="E1408" i="11"/>
  <c r="E1400" i="11"/>
  <c r="E1392" i="11"/>
  <c r="E1384" i="11"/>
  <c r="E1376" i="11"/>
  <c r="E1368" i="11"/>
  <c r="E1360" i="11"/>
  <c r="E1352" i="11"/>
  <c r="E1344" i="11"/>
  <c r="E1336" i="11"/>
  <c r="E1317" i="11"/>
  <c r="E1301" i="11"/>
  <c r="E1221" i="11"/>
  <c r="E1213" i="11"/>
  <c r="E1205" i="11"/>
  <c r="E1197" i="11"/>
  <c r="E1189" i="11"/>
  <c r="E1181" i="11"/>
  <c r="E1173" i="11"/>
  <c r="E1165" i="11"/>
  <c r="E1157" i="11"/>
  <c r="E1149" i="11"/>
  <c r="E1141" i="11"/>
  <c r="E1126" i="11"/>
  <c r="E1118" i="11"/>
  <c r="E1110" i="11"/>
  <c r="E992" i="11"/>
  <c r="E969" i="11"/>
  <c r="E937" i="11"/>
  <c r="E899" i="11"/>
  <c r="E891" i="11"/>
  <c r="E883" i="11"/>
  <c r="E875" i="11"/>
  <c r="E867" i="11"/>
  <c r="E859" i="11"/>
  <c r="E851" i="11"/>
  <c r="E843" i="11"/>
  <c r="E834" i="11"/>
  <c r="E826" i="11"/>
  <c r="E818" i="11"/>
  <c r="E810" i="11"/>
  <c r="E802" i="11"/>
  <c r="E43" i="11"/>
  <c r="E35" i="11"/>
  <c r="E27" i="11"/>
  <c r="A1135" i="2"/>
  <c r="A1172" i="2"/>
  <c r="A1272" i="2"/>
  <c r="A1264" i="2"/>
  <c r="A1276" i="2"/>
  <c r="A1296" i="2"/>
  <c r="A1288" i="2"/>
  <c r="A1280" i="2"/>
  <c r="A1315" i="2"/>
  <c r="A1307" i="2"/>
  <c r="A1355" i="2"/>
  <c r="A1347" i="2"/>
  <c r="E1431" i="11"/>
  <c r="E1391" i="11"/>
  <c r="E1359" i="11"/>
  <c r="E1335" i="11"/>
  <c r="E1300" i="11"/>
  <c r="E1196" i="11"/>
  <c r="E1164" i="11"/>
  <c r="E1125" i="11"/>
  <c r="E936" i="11"/>
  <c r="E890" i="11"/>
  <c r="E866" i="11"/>
  <c r="E842" i="11"/>
  <c r="E817" i="11"/>
  <c r="E42" i="11"/>
  <c r="E34" i="11"/>
  <c r="E26" i="11"/>
  <c r="A1041" i="2"/>
  <c r="A1134" i="2"/>
  <c r="A1178" i="2"/>
  <c r="A1271" i="2"/>
  <c r="A1263" i="2"/>
  <c r="A1275" i="2"/>
  <c r="A1303" i="2"/>
  <c r="A1295" i="2"/>
  <c r="A1287" i="2"/>
  <c r="A1279" i="2"/>
  <c r="A1314" i="2"/>
  <c r="A1306" i="2"/>
  <c r="A1354" i="2"/>
  <c r="A1346" i="2"/>
  <c r="E1407" i="11"/>
  <c r="E1375" i="11"/>
  <c r="E1204" i="11"/>
  <c r="E1172" i="11"/>
  <c r="E1148" i="11"/>
  <c r="E1117" i="11"/>
  <c r="E963" i="11"/>
  <c r="E801" i="11"/>
  <c r="E1414" i="11"/>
  <c r="E1398" i="11"/>
  <c r="E1374" i="11"/>
  <c r="E1358" i="11"/>
  <c r="E1342" i="11"/>
  <c r="E1211" i="11"/>
  <c r="E1203" i="11"/>
  <c r="E1195" i="11"/>
  <c r="E1187" i="11"/>
  <c r="E1171" i="11"/>
  <c r="E1163" i="11"/>
  <c r="E1155" i="11"/>
  <c r="E1147" i="11"/>
  <c r="E1139" i="11"/>
  <c r="E1124" i="11"/>
  <c r="E1116" i="11"/>
  <c r="E1108" i="11"/>
  <c r="E990" i="11"/>
  <c r="E961" i="11"/>
  <c r="E943" i="11"/>
  <c r="E935" i="11"/>
  <c r="E897" i="11"/>
  <c r="E889" i="11"/>
  <c r="E881" i="11"/>
  <c r="E873" i="11"/>
  <c r="E865" i="11"/>
  <c r="E857" i="11"/>
  <c r="E849" i="11"/>
  <c r="E841" i="11"/>
  <c r="E832" i="11"/>
  <c r="E824" i="11"/>
  <c r="E816" i="11"/>
  <c r="E808" i="11"/>
  <c r="E800" i="11"/>
  <c r="E41" i="11"/>
  <c r="E33" i="11"/>
  <c r="E25" i="11"/>
  <c r="A1052" i="2"/>
  <c r="A1133" i="2"/>
  <c r="A1270" i="2"/>
  <c r="A1262" i="2"/>
  <c r="A1274" i="2"/>
  <c r="A1302" i="2"/>
  <c r="A1294" i="2"/>
  <c r="A1286" i="2"/>
  <c r="A1278" i="2"/>
  <c r="A1313" i="2"/>
  <c r="A1305" i="2"/>
  <c r="A1353" i="2"/>
  <c r="E1314" i="11"/>
  <c r="E1306" i="11"/>
  <c r="E1138" i="11"/>
  <c r="E1130" i="11"/>
  <c r="E988" i="11"/>
  <c r="E980" i="11"/>
  <c r="E972" i="11"/>
  <c r="E964" i="11"/>
  <c r="E956" i="11"/>
  <c r="A977" i="2"/>
  <c r="A979" i="2"/>
  <c r="A986" i="2"/>
  <c r="A978" i="2"/>
  <c r="E1312" i="11"/>
  <c r="E1136" i="11"/>
  <c r="E986" i="11"/>
  <c r="E978" i="11"/>
  <c r="E970" i="11"/>
  <c r="E962" i="11"/>
  <c r="E954" i="11"/>
  <c r="E840" i="11"/>
  <c r="A976" i="2"/>
  <c r="A985" i="2"/>
  <c r="A975" i="2"/>
  <c r="A984" i="2"/>
  <c r="E1310" i="11"/>
  <c r="E1134" i="11"/>
  <c r="E984" i="11"/>
  <c r="E976" i="11"/>
  <c r="E968" i="11"/>
  <c r="E960" i="11"/>
  <c r="A983" i="2"/>
  <c r="E1133" i="11"/>
  <c r="E983" i="11"/>
  <c r="E975" i="11"/>
  <c r="E967" i="11"/>
  <c r="E959" i="11"/>
  <c r="A982" i="2"/>
  <c r="A999" i="2"/>
  <c r="E1316" i="11"/>
  <c r="E1308" i="11"/>
  <c r="E1132" i="11"/>
  <c r="E982" i="11"/>
  <c r="E974" i="11"/>
  <c r="E966" i="11"/>
  <c r="E958" i="11"/>
  <c r="A981" i="2"/>
  <c r="A998" i="2"/>
  <c r="E1315" i="11"/>
  <c r="E1307" i="11"/>
  <c r="E1131" i="11"/>
  <c r="E989" i="11"/>
  <c r="E981" i="11"/>
  <c r="E973" i="11"/>
  <c r="E965" i="11"/>
  <c r="E957" i="11"/>
  <c r="A980" i="2"/>
  <c r="E1070" i="11"/>
  <c r="E1062" i="11"/>
  <c r="E1054" i="11"/>
  <c r="E1046" i="11"/>
  <c r="E1038" i="11"/>
  <c r="E1030" i="11"/>
  <c r="E1021" i="11"/>
  <c r="E1011" i="11"/>
  <c r="E1001" i="11"/>
  <c r="E925" i="11"/>
  <c r="E915" i="11"/>
  <c r="E905" i="11"/>
  <c r="E613" i="11"/>
  <c r="E603" i="11"/>
  <c r="E593" i="11"/>
  <c r="E581" i="11"/>
  <c r="E571" i="11"/>
  <c r="E561" i="11"/>
  <c r="E549" i="11"/>
  <c r="E537" i="11"/>
  <c r="E523" i="11"/>
  <c r="E511" i="11"/>
  <c r="E498" i="11"/>
  <c r="E483" i="11"/>
  <c r="E469" i="11"/>
  <c r="E453" i="11"/>
  <c r="E440" i="11"/>
  <c r="E425" i="11"/>
  <c r="E410" i="11"/>
  <c r="E392" i="11"/>
  <c r="E373" i="11"/>
  <c r="E355" i="11"/>
  <c r="E337" i="11"/>
  <c r="E318" i="11"/>
  <c r="E300" i="11"/>
  <c r="E282" i="11"/>
  <c r="E264" i="11"/>
  <c r="E245" i="11"/>
  <c r="E227" i="11"/>
  <c r="E204" i="11"/>
  <c r="E178" i="11"/>
  <c r="E156" i="11"/>
  <c r="E131" i="11"/>
  <c r="E105" i="11"/>
  <c r="E83" i="11"/>
  <c r="E58" i="11"/>
  <c r="E16" i="11"/>
  <c r="A55" i="12"/>
  <c r="E1333" i="11"/>
  <c r="E1325" i="11"/>
  <c r="E1069" i="11"/>
  <c r="E1061" i="11"/>
  <c r="E1053" i="11"/>
  <c r="E1045" i="11"/>
  <c r="E1037" i="11"/>
  <c r="E1029" i="11"/>
  <c r="E1020" i="11"/>
  <c r="E1010" i="11"/>
  <c r="E999" i="11"/>
  <c r="E924" i="11"/>
  <c r="E914" i="11"/>
  <c r="E903" i="11"/>
  <c r="E612" i="11"/>
  <c r="E602" i="11"/>
  <c r="E591" i="11"/>
  <c r="E580" i="11"/>
  <c r="E570" i="11"/>
  <c r="E559" i="11"/>
  <c r="E547" i="11"/>
  <c r="E535" i="11"/>
  <c r="E522" i="11"/>
  <c r="E509" i="11"/>
  <c r="E497" i="11"/>
  <c r="E481" i="11"/>
  <c r="E467" i="11"/>
  <c r="E452" i="11"/>
  <c r="E437" i="11"/>
  <c r="E424" i="11"/>
  <c r="E406" i="11"/>
  <c r="E388" i="11"/>
  <c r="E370" i="11"/>
  <c r="E352" i="11"/>
  <c r="E333" i="11"/>
  <c r="E315" i="11"/>
  <c r="E297" i="11"/>
  <c r="E278" i="11"/>
  <c r="E260" i="11"/>
  <c r="E242" i="11"/>
  <c r="E224" i="11"/>
  <c r="E202" i="11"/>
  <c r="E177" i="11"/>
  <c r="E150" i="11"/>
  <c r="E129" i="11"/>
  <c r="E104" i="11"/>
  <c r="E77" i="11"/>
  <c r="E56" i="11"/>
  <c r="E13" i="11"/>
  <c r="A46" i="12"/>
  <c r="E332" i="11"/>
  <c r="E314" i="11"/>
  <c r="E296" i="11"/>
  <c r="E277" i="11"/>
  <c r="E259" i="11"/>
  <c r="E241" i="11"/>
  <c r="E222" i="11"/>
  <c r="E196" i="11"/>
  <c r="E174" i="11"/>
  <c r="E149" i="11"/>
  <c r="E123" i="11"/>
  <c r="E101" i="11"/>
  <c r="E76" i="11"/>
  <c r="E50" i="11"/>
  <c r="A45" i="12"/>
  <c r="A70" i="12"/>
  <c r="E1067" i="11"/>
  <c r="E1059" i="11"/>
  <c r="E1051" i="11"/>
  <c r="E1043" i="11"/>
  <c r="E1035" i="11"/>
  <c r="E1027" i="11"/>
  <c r="E1018" i="11"/>
  <c r="E1007" i="11"/>
  <c r="E996" i="11"/>
  <c r="E948" i="11"/>
  <c r="E932" i="11"/>
  <c r="E922" i="11"/>
  <c r="E911" i="11"/>
  <c r="E900" i="11"/>
  <c r="E610" i="11"/>
  <c r="E599" i="11"/>
  <c r="E588" i="11"/>
  <c r="E578" i="11"/>
  <c r="E567" i="11"/>
  <c r="E556" i="11"/>
  <c r="E545" i="11"/>
  <c r="E531" i="11"/>
  <c r="E519" i="11"/>
  <c r="E506" i="11"/>
  <c r="E492" i="11"/>
  <c r="E478" i="11"/>
  <c r="E462" i="11"/>
  <c r="E449" i="11"/>
  <c r="E434" i="11"/>
  <c r="E419" i="11"/>
  <c r="E403" i="11"/>
  <c r="E385" i="11"/>
  <c r="E366" i="11"/>
  <c r="E348" i="11"/>
  <c r="E330" i="11"/>
  <c r="E312" i="11"/>
  <c r="E293" i="11"/>
  <c r="E275" i="11"/>
  <c r="E257" i="11"/>
  <c r="E238" i="11"/>
  <c r="E220" i="11"/>
  <c r="E195" i="11"/>
  <c r="E169" i="11"/>
  <c r="E147" i="11"/>
  <c r="E122" i="11"/>
  <c r="E96" i="11"/>
  <c r="E74" i="11"/>
  <c r="E49" i="11"/>
  <c r="A68" i="12"/>
  <c r="E1066" i="11"/>
  <c r="E1058" i="11"/>
  <c r="E1050" i="11"/>
  <c r="E1042" i="11"/>
  <c r="E1034" i="11"/>
  <c r="E1026" i="11"/>
  <c r="E1017" i="11"/>
  <c r="E1005" i="11"/>
  <c r="E995" i="11"/>
  <c r="E947" i="11"/>
  <c r="E931" i="11"/>
  <c r="E921" i="11"/>
  <c r="E909" i="11"/>
  <c r="E609" i="11"/>
  <c r="E597" i="11"/>
  <c r="E587" i="11"/>
  <c r="E577" i="11"/>
  <c r="E565" i="11"/>
  <c r="E555" i="11"/>
  <c r="E543" i="11"/>
  <c r="E530" i="11"/>
  <c r="E517" i="11"/>
  <c r="E505" i="11"/>
  <c r="E490" i="11"/>
  <c r="E476" i="11"/>
  <c r="E461" i="11"/>
  <c r="E446" i="11"/>
  <c r="E433" i="11"/>
  <c r="E417" i="11"/>
  <c r="E401" i="11"/>
  <c r="E382" i="11"/>
  <c r="E364" i="11"/>
  <c r="E346" i="11"/>
  <c r="E328" i="11"/>
  <c r="E309" i="11"/>
  <c r="E291" i="11"/>
  <c r="E273" i="11"/>
  <c r="E254" i="11"/>
  <c r="E236" i="11"/>
  <c r="E214" i="11"/>
  <c r="E193" i="11"/>
  <c r="E168" i="11"/>
  <c r="E141" i="11"/>
  <c r="E120" i="11"/>
  <c r="E94" i="11"/>
  <c r="A829" i="2"/>
  <c r="A837" i="2"/>
  <c r="A845" i="2"/>
  <c r="A822" i="2"/>
  <c r="A781" i="2"/>
  <c r="A669" i="2"/>
  <c r="A658" i="2"/>
  <c r="A666" i="2"/>
  <c r="A594" i="2"/>
  <c r="A602" i="2"/>
  <c r="A455" i="2"/>
  <c r="A335" i="12"/>
  <c r="A266" i="12"/>
  <c r="A274" i="12"/>
  <c r="A282" i="12"/>
  <c r="A290" i="12"/>
  <c r="A298" i="12"/>
  <c r="A306" i="12"/>
  <c r="A830" i="2"/>
  <c r="A838" i="2"/>
  <c r="A846" i="2"/>
  <c r="A823" i="2"/>
  <c r="A782" i="2"/>
  <c r="A670" i="2"/>
  <c r="A659" i="2"/>
  <c r="A656" i="2"/>
  <c r="A595" i="2"/>
  <c r="A603" i="2"/>
  <c r="A328" i="12"/>
  <c r="A336" i="12"/>
  <c r="A313" i="12"/>
  <c r="A267" i="12"/>
  <c r="A275" i="12"/>
  <c r="A283" i="12"/>
  <c r="A291" i="12"/>
  <c r="A299" i="12"/>
  <c r="A265" i="12"/>
  <c r="A234" i="12"/>
  <c r="A242" i="12"/>
  <c r="A216" i="12"/>
  <c r="A224" i="12"/>
  <c r="A171" i="12"/>
  <c r="A71" i="12"/>
  <c r="A44" i="12"/>
  <c r="A52" i="12"/>
  <c r="A60" i="12"/>
  <c r="E9" i="11"/>
  <c r="A831" i="2"/>
  <c r="A839" i="2"/>
  <c r="A847" i="2"/>
  <c r="A824" i="2"/>
  <c r="A783" i="2"/>
  <c r="A671" i="2"/>
  <c r="A660" i="2"/>
  <c r="A596" i="2"/>
  <c r="A591" i="2"/>
  <c r="A329" i="12"/>
  <c r="A337" i="12"/>
  <c r="A268" i="12"/>
  <c r="A276" i="12"/>
  <c r="A284" i="12"/>
  <c r="A292" i="12"/>
  <c r="A300" i="12"/>
  <c r="A235" i="12"/>
  <c r="A243" i="12"/>
  <c r="A217" i="12"/>
  <c r="A225" i="12"/>
  <c r="A172" i="12"/>
  <c r="A832" i="2"/>
  <c r="A840" i="2"/>
  <c r="A848" i="2"/>
  <c r="A825" i="2"/>
  <c r="A784" i="2"/>
  <c r="A741" i="2"/>
  <c r="A672" i="2"/>
  <c r="A661" i="2"/>
  <c r="A597" i="2"/>
  <c r="A546" i="2"/>
  <c r="A456" i="2"/>
  <c r="A330" i="12"/>
  <c r="A338" i="12"/>
  <c r="A833" i="2"/>
  <c r="A841" i="2"/>
  <c r="A849" i="2"/>
  <c r="A826" i="2"/>
  <c r="A673" i="2"/>
  <c r="A662" i="2"/>
  <c r="A598" i="2"/>
  <c r="A547" i="2"/>
  <c r="A457" i="2"/>
  <c r="A331" i="12"/>
  <c r="A327" i="12"/>
  <c r="A310" i="12"/>
  <c r="A270" i="12"/>
  <c r="A278" i="12"/>
  <c r="A834" i="2"/>
  <c r="A842" i="2"/>
  <c r="A828" i="2"/>
  <c r="A827" i="2"/>
  <c r="A663" i="2"/>
  <c r="A654" i="2"/>
  <c r="A599" i="2"/>
  <c r="A835" i="2"/>
  <c r="A836" i="2"/>
  <c r="A844" i="2"/>
  <c r="A821" i="2"/>
  <c r="A668" i="2"/>
  <c r="A657" i="2"/>
  <c r="A665" i="2"/>
  <c r="A653" i="2"/>
  <c r="A593" i="2"/>
  <c r="A601" i="2"/>
  <c r="A460" i="2"/>
  <c r="A334" i="12"/>
  <c r="A307" i="12"/>
  <c r="A273" i="12"/>
  <c r="A281" i="12"/>
  <c r="A289" i="12"/>
  <c r="A297" i="12"/>
  <c r="A305" i="12"/>
  <c r="A253" i="12"/>
  <c r="A232" i="12"/>
  <c r="A240" i="12"/>
  <c r="A248" i="12"/>
  <c r="A214" i="12"/>
  <c r="A222" i="12"/>
  <c r="A69" i="12"/>
  <c r="A77" i="12"/>
  <c r="A50" i="12"/>
  <c r="A58" i="12"/>
  <c r="E15" i="11"/>
  <c r="E47" i="11"/>
  <c r="E55" i="11"/>
  <c r="E63" i="11"/>
  <c r="E71" i="11"/>
  <c r="E79" i="11"/>
  <c r="E87" i="11"/>
  <c r="E95" i="11"/>
  <c r="E103" i="11"/>
  <c r="E111" i="11"/>
  <c r="E119" i="11"/>
  <c r="E127" i="11"/>
  <c r="E135" i="11"/>
  <c r="E143" i="11"/>
  <c r="E151" i="11"/>
  <c r="E159" i="11"/>
  <c r="E167" i="11"/>
  <c r="E175" i="11"/>
  <c r="E183" i="11"/>
  <c r="E191" i="11"/>
  <c r="E199" i="11"/>
  <c r="E207" i="11"/>
  <c r="E215" i="11"/>
  <c r="E223" i="11"/>
  <c r="E231" i="11"/>
  <c r="E239" i="11"/>
  <c r="E247" i="11"/>
  <c r="E255" i="11"/>
  <c r="E263" i="11"/>
  <c r="E271" i="11"/>
  <c r="E279" i="11"/>
  <c r="E287" i="11"/>
  <c r="E295" i="11"/>
  <c r="E303" i="11"/>
  <c r="E311" i="11"/>
  <c r="E319" i="11"/>
  <c r="E327" i="11"/>
  <c r="E335" i="11"/>
  <c r="E343" i="11"/>
  <c r="E351" i="11"/>
  <c r="E359" i="11"/>
  <c r="E367" i="11"/>
  <c r="E375" i="11"/>
  <c r="E383" i="11"/>
  <c r="E391" i="11"/>
  <c r="E399" i="11"/>
  <c r="E407" i="11"/>
  <c r="E415" i="11"/>
  <c r="E423" i="11"/>
  <c r="E431" i="11"/>
  <c r="E439" i="11"/>
  <c r="E447" i="11"/>
  <c r="E455" i="11"/>
  <c r="E463" i="11"/>
  <c r="E471" i="11"/>
  <c r="E479" i="11"/>
  <c r="E487" i="11"/>
  <c r="E495" i="11"/>
  <c r="A458" i="2"/>
  <c r="A277" i="12"/>
  <c r="A294" i="12"/>
  <c r="A229" i="12"/>
  <c r="A241" i="12"/>
  <c r="A210" i="12"/>
  <c r="A221" i="12"/>
  <c r="A173" i="12"/>
  <c r="A75" i="12"/>
  <c r="A51" i="12"/>
  <c r="A33" i="12"/>
  <c r="E12" i="11"/>
  <c r="E54" i="11"/>
  <c r="E64" i="11"/>
  <c r="E73" i="11"/>
  <c r="E82" i="11"/>
  <c r="E91" i="11"/>
  <c r="E100" i="11"/>
  <c r="E109" i="11"/>
  <c r="E118" i="11"/>
  <c r="E128" i="11"/>
  <c r="E137" i="11"/>
  <c r="E146" i="11"/>
  <c r="E155" i="11"/>
  <c r="E164" i="11"/>
  <c r="E173" i="11"/>
  <c r="E182" i="11"/>
  <c r="E192" i="11"/>
  <c r="E201" i="11"/>
  <c r="E210" i="11"/>
  <c r="E219" i="11"/>
  <c r="E228" i="11"/>
  <c r="E237" i="11"/>
  <c r="E246" i="11"/>
  <c r="E256" i="11"/>
  <c r="E265" i="11"/>
  <c r="E274" i="11"/>
  <c r="E283" i="11"/>
  <c r="E292" i="11"/>
  <c r="E301" i="11"/>
  <c r="E310" i="11"/>
  <c r="E320" i="11"/>
  <c r="E329" i="11"/>
  <c r="E338" i="11"/>
  <c r="E347" i="11"/>
  <c r="E356" i="11"/>
  <c r="E365" i="11"/>
  <c r="E374" i="11"/>
  <c r="E384" i="11"/>
  <c r="E393" i="11"/>
  <c r="E402" i="11"/>
  <c r="E411" i="11"/>
  <c r="E420" i="11"/>
  <c r="E429" i="11"/>
  <c r="E438" i="11"/>
  <c r="E448" i="11"/>
  <c r="E457" i="11"/>
  <c r="E466" i="11"/>
  <c r="E475" i="11"/>
  <c r="E484" i="11"/>
  <c r="E493" i="11"/>
  <c r="E502" i="11"/>
  <c r="E510" i="11"/>
  <c r="E518" i="11"/>
  <c r="E526" i="11"/>
  <c r="E534" i="11"/>
  <c r="E542" i="11"/>
  <c r="E550" i="11"/>
  <c r="E558" i="11"/>
  <c r="E566" i="11"/>
  <c r="E574" i="11"/>
  <c r="E582" i="11"/>
  <c r="E590" i="11"/>
  <c r="E598" i="11"/>
  <c r="E606" i="11"/>
  <c r="E614" i="11"/>
  <c r="E902" i="11"/>
  <c r="E910" i="11"/>
  <c r="E918" i="11"/>
  <c r="E926" i="11"/>
  <c r="E998" i="11"/>
  <c r="E1006" i="11"/>
  <c r="E1014" i="11"/>
  <c r="E1022" i="11"/>
  <c r="A592" i="2"/>
  <c r="A459" i="2"/>
  <c r="A279" i="12"/>
  <c r="A295" i="12"/>
  <c r="A230" i="12"/>
  <c r="A244" i="12"/>
  <c r="A211" i="12"/>
  <c r="A223" i="12"/>
  <c r="A170" i="12"/>
  <c r="A76" i="12"/>
  <c r="A53" i="12"/>
  <c r="A655" i="2"/>
  <c r="A600" i="2"/>
  <c r="A280" i="12"/>
  <c r="A296" i="12"/>
  <c r="A231" i="12"/>
  <c r="A245" i="12"/>
  <c r="A212" i="12"/>
  <c r="A226" i="12"/>
  <c r="A67" i="12"/>
  <c r="A66" i="12"/>
  <c r="A43" i="12"/>
  <c r="A54" i="12"/>
  <c r="E14" i="11"/>
  <c r="E48" i="11"/>
  <c r="E57" i="11"/>
  <c r="E66" i="11"/>
  <c r="E75" i="11"/>
  <c r="E84" i="11"/>
  <c r="E93" i="11"/>
  <c r="E102" i="11"/>
  <c r="E112" i="11"/>
  <c r="E121" i="11"/>
  <c r="E130" i="11"/>
  <c r="E139" i="11"/>
  <c r="E148" i="11"/>
  <c r="E157" i="11"/>
  <c r="E166" i="11"/>
  <c r="E176" i="11"/>
  <c r="E185" i="11"/>
  <c r="E194" i="11"/>
  <c r="E203" i="11"/>
  <c r="E212" i="11"/>
  <c r="E221" i="11"/>
  <c r="E230" i="11"/>
  <c r="E240" i="11"/>
  <c r="E249" i="11"/>
  <c r="E258" i="11"/>
  <c r="E267" i="11"/>
  <c r="E276" i="11"/>
  <c r="E285" i="11"/>
  <c r="E294" i="11"/>
  <c r="E304" i="11"/>
  <c r="E313" i="11"/>
  <c r="E322" i="11"/>
  <c r="E331" i="11"/>
  <c r="E340" i="11"/>
  <c r="E349" i="11"/>
  <c r="E358" i="11"/>
  <c r="E368" i="11"/>
  <c r="E377" i="11"/>
  <c r="E386" i="11"/>
  <c r="E395" i="11"/>
  <c r="E404" i="11"/>
  <c r="E413" i="11"/>
  <c r="E422" i="11"/>
  <c r="E432" i="11"/>
  <c r="E441" i="11"/>
  <c r="E450" i="11"/>
  <c r="E459" i="11"/>
  <c r="E468" i="11"/>
  <c r="E477" i="11"/>
  <c r="E486" i="11"/>
  <c r="E496" i="11"/>
  <c r="E504" i="11"/>
  <c r="E512" i="11"/>
  <c r="E520" i="11"/>
  <c r="E528" i="11"/>
  <c r="E536" i="11"/>
  <c r="E544" i="11"/>
  <c r="E552" i="11"/>
  <c r="E560" i="11"/>
  <c r="E568" i="11"/>
  <c r="E576" i="11"/>
  <c r="E584" i="11"/>
  <c r="E592" i="11"/>
  <c r="E600" i="11"/>
  <c r="E608" i="11"/>
  <c r="E616" i="11"/>
  <c r="E904" i="11"/>
  <c r="E912" i="11"/>
  <c r="E920" i="11"/>
  <c r="E928" i="11"/>
  <c r="E1000" i="11"/>
  <c r="E1008" i="11"/>
  <c r="E1016" i="11"/>
  <c r="A667" i="2"/>
  <c r="A332" i="12"/>
  <c r="A309" i="12"/>
  <c r="A285" i="12"/>
  <c r="A301" i="12"/>
  <c r="A233" i="12"/>
  <c r="A246" i="12"/>
  <c r="A213" i="12"/>
  <c r="A227" i="12"/>
  <c r="A333" i="12"/>
  <c r="A286" i="12"/>
  <c r="A302" i="12"/>
  <c r="A236" i="12"/>
  <c r="A247" i="12"/>
  <c r="A215" i="12"/>
  <c r="A209" i="12"/>
  <c r="A201" i="12"/>
  <c r="A269" i="12"/>
  <c r="A287" i="12"/>
  <c r="A303" i="12"/>
  <c r="A237" i="12"/>
  <c r="A228" i="12"/>
  <c r="A218" i="12"/>
  <c r="A200" i="12"/>
  <c r="A72" i="12"/>
  <c r="A47" i="12"/>
  <c r="A57" i="12"/>
  <c r="E18" i="11"/>
  <c r="E51" i="11"/>
  <c r="E60" i="11"/>
  <c r="E69" i="11"/>
  <c r="E78" i="11"/>
  <c r="E88" i="11"/>
  <c r="E97" i="11"/>
  <c r="E106" i="11"/>
  <c r="E115" i="11"/>
  <c r="E124" i="11"/>
  <c r="E133" i="11"/>
  <c r="E142" i="11"/>
  <c r="E152" i="11"/>
  <c r="E161" i="11"/>
  <c r="E170" i="11"/>
  <c r="E179" i="11"/>
  <c r="E188" i="11"/>
  <c r="E197" i="11"/>
  <c r="E206" i="11"/>
  <c r="E216" i="11"/>
  <c r="E225" i="11"/>
  <c r="E234" i="11"/>
  <c r="E243" i="11"/>
  <c r="E252" i="11"/>
  <c r="E261" i="11"/>
  <c r="E270" i="11"/>
  <c r="E280" i="11"/>
  <c r="E289" i="11"/>
  <c r="E298" i="11"/>
  <c r="E307" i="11"/>
  <c r="E316" i="11"/>
  <c r="E325" i="11"/>
  <c r="E334" i="11"/>
  <c r="E344" i="11"/>
  <c r="E353" i="11"/>
  <c r="E362" i="11"/>
  <c r="E371" i="11"/>
  <c r="E380" i="11"/>
  <c r="E389" i="11"/>
  <c r="E398" i="11"/>
  <c r="E408" i="11"/>
  <c r="A843" i="2"/>
  <c r="A664" i="2"/>
  <c r="A271" i="12"/>
  <c r="A288" i="12"/>
  <c r="A304" i="12"/>
  <c r="A238" i="12"/>
  <c r="A219" i="12"/>
  <c r="A73" i="12"/>
  <c r="A48" i="12"/>
  <c r="A59" i="12"/>
  <c r="E10" i="11"/>
  <c r="E19" i="11"/>
  <c r="E52" i="11"/>
  <c r="E61" i="11"/>
  <c r="E70" i="11"/>
  <c r="E80" i="11"/>
  <c r="E89" i="11"/>
  <c r="E98" i="11"/>
  <c r="E107" i="11"/>
  <c r="E116" i="11"/>
  <c r="E125" i="11"/>
  <c r="E134" i="11"/>
  <c r="E144" i="11"/>
  <c r="E153" i="11"/>
  <c r="E162" i="11"/>
  <c r="E171" i="11"/>
  <c r="E180" i="11"/>
  <c r="E189" i="11"/>
  <c r="E198" i="11"/>
  <c r="E208" i="11"/>
  <c r="E217" i="11"/>
  <c r="E226" i="11"/>
  <c r="E235" i="11"/>
  <c r="E244" i="11"/>
  <c r="E253" i="11"/>
  <c r="E262" i="11"/>
  <c r="E272" i="11"/>
  <c r="E281" i="11"/>
  <c r="E290" i="11"/>
  <c r="E299" i="11"/>
  <c r="E308" i="11"/>
  <c r="E317" i="11"/>
  <c r="E326" i="11"/>
  <c r="E336" i="11"/>
  <c r="E345" i="11"/>
  <c r="E354" i="11"/>
  <c r="E363" i="11"/>
  <c r="E372" i="11"/>
  <c r="E381" i="11"/>
  <c r="E390" i="11"/>
  <c r="E400" i="11"/>
  <c r="E409" i="11"/>
  <c r="E418" i="11"/>
  <c r="E427" i="11"/>
  <c r="E436" i="11"/>
  <c r="E445" i="11"/>
  <c r="E454" i="11"/>
  <c r="E464" i="11"/>
  <c r="E473" i="11"/>
  <c r="E482" i="11"/>
  <c r="E491" i="11"/>
  <c r="E500" i="11"/>
  <c r="E508" i="11"/>
  <c r="E516" i="11"/>
  <c r="E524" i="11"/>
  <c r="E532" i="11"/>
  <c r="E540" i="11"/>
  <c r="E548" i="11"/>
  <c r="A820" i="2"/>
  <c r="A272" i="12"/>
  <c r="A293" i="12"/>
  <c r="A239" i="12"/>
  <c r="A220" i="12"/>
  <c r="A164" i="12"/>
  <c r="A74" i="12"/>
  <c r="A49" i="12"/>
  <c r="A42" i="12"/>
  <c r="E11" i="11"/>
  <c r="E53" i="11"/>
  <c r="E62" i="11"/>
  <c r="E72" i="11"/>
  <c r="E81" i="11"/>
  <c r="E90" i="11"/>
  <c r="E99" i="11"/>
  <c r="E108" i="11"/>
  <c r="E117" i="11"/>
  <c r="E126" i="11"/>
  <c r="E136" i="11"/>
  <c r="E145" i="11"/>
  <c r="E154" i="11"/>
  <c r="E163" i="11"/>
  <c r="E172" i="11"/>
  <c r="E181" i="11"/>
  <c r="E190" i="11"/>
  <c r="E200" i="11"/>
  <c r="E209" i="11"/>
  <c r="E218" i="11"/>
  <c r="E1329" i="11"/>
  <c r="E1065" i="11"/>
  <c r="E1057" i="11"/>
  <c r="E1049" i="11"/>
  <c r="E1041" i="11"/>
  <c r="E1033" i="11"/>
  <c r="E1025" i="11"/>
  <c r="E1015" i="11"/>
  <c r="E1004" i="11"/>
  <c r="E994" i="11"/>
  <c r="E946" i="11"/>
  <c r="E930" i="11"/>
  <c r="E919" i="11"/>
  <c r="E908" i="11"/>
  <c r="E607" i="11"/>
  <c r="E596" i="11"/>
  <c r="E586" i="11"/>
  <c r="E575" i="11"/>
  <c r="E564" i="11"/>
  <c r="E554" i="11"/>
  <c r="E541" i="11"/>
  <c r="E529" i="11"/>
  <c r="E515" i="11"/>
  <c r="E503" i="11"/>
  <c r="E489" i="11"/>
  <c r="E474" i="11"/>
  <c r="E460" i="11"/>
  <c r="E444" i="11"/>
  <c r="E430" i="11"/>
  <c r="E416" i="11"/>
  <c r="E397" i="11"/>
  <c r="E379" i="11"/>
  <c r="E361" i="11"/>
  <c r="E342" i="11"/>
  <c r="E324" i="11"/>
  <c r="E306" i="11"/>
  <c r="E288" i="11"/>
  <c r="E269" i="11"/>
  <c r="E251" i="11"/>
  <c r="E233" i="11"/>
  <c r="E213" i="11"/>
  <c r="E187" i="11"/>
  <c r="E165" i="11"/>
  <c r="E140" i="11"/>
  <c r="E114" i="11"/>
  <c r="E92" i="11"/>
  <c r="E67" i="11"/>
  <c r="E1072" i="11"/>
  <c r="E1064" i="11"/>
  <c r="E1056" i="11"/>
  <c r="E1048" i="11"/>
  <c r="E1040" i="11"/>
  <c r="E1032" i="11"/>
  <c r="E1024" i="11"/>
  <c r="E1013" i="11"/>
  <c r="E1003" i="11"/>
  <c r="E945" i="11"/>
  <c r="E929" i="11"/>
  <c r="E917" i="11"/>
  <c r="E907" i="11"/>
  <c r="E617" i="11"/>
  <c r="E605" i="11"/>
  <c r="E595" i="11"/>
  <c r="E585" i="11"/>
  <c r="E573" i="11"/>
  <c r="E563" i="11"/>
  <c r="E553" i="11"/>
  <c r="E539" i="11"/>
  <c r="E527" i="11"/>
  <c r="E514" i="11"/>
  <c r="E501" i="11"/>
  <c r="E488" i="11"/>
  <c r="E472" i="11"/>
  <c r="E458" i="11"/>
  <c r="E443" i="11"/>
  <c r="E428" i="11"/>
  <c r="E414" i="11"/>
  <c r="E396" i="11"/>
  <c r="E378" i="11"/>
  <c r="E360" i="11"/>
  <c r="E341" i="11"/>
  <c r="E323" i="11"/>
  <c r="E305" i="11"/>
  <c r="E286" i="11"/>
  <c r="E268" i="11"/>
  <c r="E250" i="11"/>
  <c r="E232" i="11"/>
  <c r="E211" i="11"/>
  <c r="E186" i="11"/>
  <c r="E160" i="11"/>
  <c r="E138" i="11"/>
  <c r="E113" i="11"/>
  <c r="E86" i="11"/>
  <c r="E65" i="11"/>
  <c r="E1071" i="11"/>
  <c r="E1063" i="11"/>
  <c r="E1055" i="11"/>
  <c r="E1047" i="11"/>
  <c r="E1039" i="11"/>
  <c r="E1031" i="11"/>
  <c r="E1023" i="11"/>
  <c r="E1012" i="11"/>
  <c r="E1002" i="11"/>
  <c r="E927" i="11"/>
  <c r="E916" i="11"/>
  <c r="E906" i="11"/>
  <c r="E615" i="11"/>
  <c r="E604" i="11"/>
  <c r="E594" i="11"/>
  <c r="E583" i="11"/>
  <c r="E572" i="11"/>
  <c r="E562" i="11"/>
  <c r="E551" i="11"/>
  <c r="E538" i="11"/>
  <c r="E525" i="11"/>
  <c r="E513" i="11"/>
  <c r="E499" i="11"/>
  <c r="E485" i="11"/>
  <c r="E470" i="11"/>
  <c r="E456" i="11"/>
  <c r="E442" i="11"/>
  <c r="E426" i="11"/>
  <c r="E412" i="11"/>
  <c r="E394" i="11"/>
  <c r="E376" i="11"/>
  <c r="E357" i="11"/>
  <c r="E339" i="11"/>
  <c r="E321" i="11"/>
  <c r="E302" i="11"/>
  <c r="E284" i="11"/>
  <c r="E266" i="11"/>
  <c r="E248" i="11"/>
  <c r="E229" i="11"/>
  <c r="E205" i="11"/>
  <c r="E184" i="11"/>
  <c r="E158" i="11"/>
  <c r="E132" i="11"/>
  <c r="E110" i="11"/>
  <c r="E85" i="11"/>
  <c r="E59" i="11"/>
  <c r="E17" i="11"/>
  <c r="A56" i="12"/>
  <c r="A30" i="12"/>
  <c r="A24" i="12"/>
  <c r="A29" i="12"/>
  <c r="A23" i="12"/>
  <c r="A20" i="12"/>
  <c r="A25" i="12"/>
  <c r="A21" i="12"/>
  <c r="A26" i="12"/>
  <c r="A32" i="12"/>
  <c r="A27" i="12"/>
  <c r="A22" i="12"/>
  <c r="A28" i="12"/>
  <c r="V1010" i="7" l="1"/>
  <c r="V1008" i="7"/>
  <c r="V1007" i="7"/>
  <c r="V1004" i="7"/>
  <c r="V1005" i="7"/>
  <c r="V1006" i="7"/>
  <c r="V102" i="7"/>
  <c r="V103" i="7"/>
  <c r="V999" i="7"/>
  <c r="V104" i="7"/>
  <c r="V1003" i="7"/>
  <c r="AS2" i="16"/>
  <c r="AO1" i="16"/>
  <c r="AP1" i="16"/>
  <c r="AQ1" i="16"/>
  <c r="AR1" i="16"/>
  <c r="AS1" i="16"/>
  <c r="AT1" i="16"/>
  <c r="AU1" i="16"/>
  <c r="AV1" i="16"/>
  <c r="AW1" i="16"/>
  <c r="AX1" i="16"/>
  <c r="AY1" i="16"/>
  <c r="AZ1" i="16"/>
  <c r="BA1" i="16"/>
  <c r="BB1" i="16"/>
  <c r="BC1" i="16"/>
  <c r="BD1" i="16"/>
  <c r="BE1" i="16"/>
  <c r="BF1" i="16"/>
  <c r="BG1" i="16"/>
  <c r="BH1" i="16"/>
  <c r="BI1" i="16"/>
  <c r="BJ1" i="16"/>
  <c r="BK1" i="16"/>
  <c r="BL1" i="16"/>
  <c r="BM1" i="16"/>
  <c r="BN1" i="16"/>
  <c r="BO1" i="16"/>
  <c r="BP1" i="16"/>
  <c r="BQ1" i="16"/>
  <c r="BR1" i="16"/>
  <c r="BS1" i="16"/>
  <c r="BT1" i="16"/>
  <c r="BU1" i="16"/>
  <c r="BV1" i="16"/>
  <c r="BW1" i="16"/>
  <c r="BX1" i="16"/>
  <c r="AQ2" i="16"/>
  <c r="AR2" i="16"/>
  <c r="AU2" i="16"/>
  <c r="AV2" i="16"/>
  <c r="AW2" i="16"/>
  <c r="AX2" i="16"/>
  <c r="AY2" i="16"/>
  <c r="AZ2" i="16"/>
  <c r="BA2" i="16"/>
  <c r="BB2" i="16"/>
  <c r="BC2" i="16"/>
  <c r="BD2" i="16"/>
  <c r="BE2" i="16"/>
  <c r="BF2" i="16"/>
  <c r="BG2" i="16"/>
  <c r="BH2" i="16"/>
  <c r="BI2" i="16"/>
  <c r="BJ2" i="16"/>
  <c r="BK2" i="16"/>
  <c r="BL2" i="16"/>
  <c r="BM2" i="16"/>
  <c r="BN2" i="16"/>
  <c r="BO2" i="16"/>
  <c r="BP2" i="16"/>
  <c r="BQ2" i="16"/>
  <c r="BR2" i="16"/>
  <c r="BS2" i="16"/>
  <c r="BT2" i="16"/>
  <c r="BU2" i="16"/>
  <c r="BV2" i="16"/>
  <c r="BW2" i="16"/>
  <c r="BX2" i="16"/>
  <c r="AN2" i="16"/>
  <c r="AN1" i="16"/>
  <c r="J78" i="7"/>
  <c r="J79" i="7"/>
  <c r="V100" i="7"/>
  <c r="V1002" i="7"/>
  <c r="V101" i="7"/>
  <c r="V105" i="7"/>
  <c r="V106" i="7"/>
  <c r="V107" i="7"/>
  <c r="V108" i="7"/>
  <c r="V109" i="7"/>
  <c r="V110" i="7"/>
  <c r="V111" i="7"/>
  <c r="V112" i="7"/>
  <c r="V113" i="7"/>
  <c r="P160" i="7"/>
  <c r="P159" i="7"/>
  <c r="J159" i="7"/>
  <c r="J158" i="7"/>
  <c r="P158" i="7"/>
  <c r="J157" i="7"/>
  <c r="P157" i="7"/>
  <c r="P155" i="7"/>
  <c r="I154" i="7"/>
  <c r="P152" i="7"/>
  <c r="I150" i="7"/>
  <c r="I149" i="7"/>
  <c r="P144" i="7"/>
  <c r="I144" i="7"/>
  <c r="P143" i="7"/>
  <c r="I141" i="7"/>
  <c r="J140" i="7"/>
  <c r="I140" i="7" s="1"/>
  <c r="P139" i="7"/>
  <c r="P138" i="7"/>
  <c r="J136" i="7"/>
  <c r="J134" i="7"/>
  <c r="I134" i="7" s="1"/>
  <c r="I132" i="7"/>
  <c r="J132" i="7" s="1"/>
  <c r="J131" i="7"/>
  <c r="J130" i="7"/>
  <c r="I130" i="7" s="1"/>
  <c r="J129" i="7"/>
  <c r="I129" i="7" s="1"/>
  <c r="I128" i="7"/>
  <c r="P128" i="7"/>
  <c r="P126" i="7"/>
  <c r="I125" i="7"/>
  <c r="P125" i="7"/>
  <c r="J124" i="7"/>
  <c r="I123" i="7"/>
  <c r="P123" i="7"/>
  <c r="P121" i="7"/>
  <c r="I118" i="7"/>
  <c r="P117" i="7"/>
  <c r="P116" i="7"/>
  <c r="J116" i="7"/>
  <c r="P114" i="7"/>
  <c r="I99" i="7"/>
  <c r="P99" i="7"/>
  <c r="I98" i="7"/>
  <c r="I97" i="7"/>
  <c r="I96" i="7"/>
  <c r="I95" i="7"/>
  <c r="J93" i="7"/>
  <c r="J90" i="7"/>
  <c r="I89" i="7"/>
  <c r="J88" i="7"/>
  <c r="I87" i="7"/>
  <c r="J85" i="7"/>
  <c r="I84" i="7"/>
  <c r="P84" i="7"/>
  <c r="P83" i="7"/>
  <c r="P82" i="7"/>
  <c r="I82" i="7"/>
  <c r="J81" i="7"/>
  <c r="V2" i="7"/>
  <c r="V3" i="7"/>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I80" i="7"/>
  <c r="P79" i="7"/>
  <c r="P2" i="7"/>
  <c r="P77" i="7"/>
  <c r="P43" i="7"/>
  <c r="P42" i="7"/>
  <c r="P40" i="7"/>
  <c r="P39" i="7"/>
  <c r="P37" i="7"/>
  <c r="P34" i="7"/>
  <c r="P32" i="7"/>
  <c r="P31" i="7"/>
  <c r="P30" i="7"/>
  <c r="P29" i="7"/>
  <c r="P28" i="7"/>
  <c r="P27" i="7"/>
  <c r="P26" i="7"/>
  <c r="P25" i="7"/>
  <c r="P24" i="7"/>
  <c r="P23" i="7"/>
  <c r="P22" i="7"/>
  <c r="P20" i="7"/>
  <c r="P19" i="7"/>
  <c r="P18" i="7"/>
  <c r="J3" i="7"/>
  <c r="J5" i="7"/>
  <c r="J6" i="7"/>
  <c r="J7" i="7"/>
  <c r="J8" i="7"/>
  <c r="J9" i="7"/>
  <c r="J10" i="7"/>
  <c r="J11" i="7"/>
  <c r="J12" i="7"/>
  <c r="J13" i="7"/>
  <c r="J14" i="7"/>
  <c r="J15" i="7"/>
  <c r="J16" i="7"/>
  <c r="J17" i="7"/>
  <c r="J19" i="7"/>
  <c r="J20" i="7"/>
  <c r="J22" i="7"/>
  <c r="J23" i="7"/>
  <c r="J24" i="7"/>
  <c r="J25" i="7"/>
  <c r="J26" i="7"/>
  <c r="J28" i="7"/>
  <c r="J29" i="7"/>
  <c r="J30" i="7"/>
  <c r="J31" i="7"/>
  <c r="J32" i="7"/>
  <c r="J33" i="7"/>
  <c r="J34" i="7"/>
  <c r="J35" i="7"/>
  <c r="J36" i="7"/>
  <c r="J37" i="7"/>
  <c r="J38" i="7"/>
  <c r="J39" i="7"/>
  <c r="J40" i="7"/>
  <c r="J41" i="7"/>
  <c r="J43" i="7"/>
  <c r="J45" i="7"/>
  <c r="J46" i="7"/>
  <c r="J47" i="7"/>
  <c r="J48" i="7"/>
  <c r="J49" i="7"/>
  <c r="J50" i="7"/>
  <c r="J51" i="7"/>
  <c r="J52" i="7"/>
  <c r="J55" i="7"/>
  <c r="J56" i="7"/>
  <c r="J59" i="7"/>
  <c r="J60" i="7"/>
  <c r="J61" i="7"/>
  <c r="J62" i="7"/>
  <c r="J63" i="7"/>
  <c r="J66" i="7"/>
  <c r="J67" i="7"/>
  <c r="J68" i="7"/>
  <c r="J71" i="7"/>
  <c r="J72" i="7"/>
  <c r="J73" i="7"/>
  <c r="H17" i="12"/>
  <c r="H16" i="12"/>
  <c r="H15" i="12"/>
  <c r="H14" i="12"/>
  <c r="H11" i="12"/>
  <c r="H9" i="12"/>
  <c r="H385" i="2"/>
  <c r="H384" i="2"/>
  <c r="H383" i="2"/>
  <c r="H382" i="2"/>
  <c r="H381" i="2"/>
  <c r="H380" i="2"/>
  <c r="H379" i="2"/>
  <c r="H378" i="2"/>
  <c r="I21" i="7"/>
  <c r="AP2" i="16"/>
  <c r="AO2" i="16"/>
  <c r="B2" i="4"/>
  <c r="L32" i="8"/>
  <c r="L31" i="8"/>
  <c r="L30" i="8"/>
  <c r="L29" i="8"/>
  <c r="L28" i="8"/>
  <c r="L27" i="8"/>
  <c r="L20" i="8"/>
  <c r="L21" i="8"/>
  <c r="L22" i="8"/>
  <c r="L23" i="8"/>
  <c r="L24" i="8"/>
  <c r="L25" i="8"/>
  <c r="L26" i="8"/>
  <c r="L19" i="8"/>
  <c r="L15" i="8"/>
  <c r="L16" i="8"/>
  <c r="L17" i="8"/>
  <c r="L18" i="8"/>
  <c r="L5" i="8"/>
  <c r="L6" i="8"/>
  <c r="L7" i="8"/>
  <c r="L8" i="8"/>
  <c r="L9" i="8"/>
  <c r="L10" i="8"/>
  <c r="L11" i="8"/>
  <c r="L12" i="8"/>
  <c r="L13" i="8"/>
  <c r="L14" i="8"/>
  <c r="G6" i="8"/>
  <c r="G7" i="8"/>
  <c r="G8" i="8"/>
  <c r="G9" i="8"/>
  <c r="G10" i="8"/>
  <c r="G11" i="8"/>
  <c r="G12" i="8"/>
  <c r="G13" i="8"/>
  <c r="G14" i="8"/>
  <c r="G15" i="8"/>
  <c r="G16" i="8"/>
  <c r="G17" i="8"/>
  <c r="G18" i="8"/>
  <c r="G19" i="8"/>
  <c r="G20" i="8"/>
  <c r="G21" i="8"/>
  <c r="G22" i="8"/>
  <c r="G23" i="8"/>
  <c r="G24" i="8"/>
  <c r="G25" i="8"/>
  <c r="G26" i="8"/>
  <c r="G27" i="8"/>
  <c r="G28" i="8"/>
  <c r="G29" i="8"/>
  <c r="G30" i="8"/>
  <c r="G31" i="8"/>
  <c r="G32" i="8"/>
  <c r="G5" i="8"/>
  <c r="L4" i="8"/>
  <c r="G4" i="8"/>
  <c r="L3" i="8"/>
  <c r="G3" i="8"/>
  <c r="G2" i="8"/>
  <c r="AT2" i="16" s="1"/>
  <c r="L2" i="8"/>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3" i="4"/>
  <c r="B44" i="4"/>
  <c r="B45" i="4"/>
  <c r="B46" i="4"/>
  <c r="B47" i="4"/>
  <c r="B48" i="4"/>
  <c r="B49" i="4"/>
  <c r="B50" i="4"/>
  <c r="B51" i="4"/>
  <c r="B52" i="4"/>
  <c r="B53" i="4"/>
  <c r="B54" i="4"/>
  <c r="B55" i="4"/>
  <c r="B56" i="4"/>
  <c r="B57" i="4"/>
  <c r="B58" i="4"/>
  <c r="B59" i="4"/>
  <c r="B60" i="4"/>
  <c r="B61" i="4"/>
  <c r="B62" i="4"/>
  <c r="B3" i="4"/>
  <c r="B4" i="4"/>
  <c r="B5" i="4"/>
  <c r="B6" i="4"/>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0" i="2"/>
  <c r="J21" i="7" l="1"/>
  <c r="I1195" i="7"/>
  <c r="H259" i="2"/>
  <c r="H256" i="2"/>
  <c r="H255" i="2"/>
  <c r="H253" i="2"/>
  <c r="H252" i="2"/>
  <c r="H251" i="2"/>
  <c r="H250" i="2"/>
  <c r="H249" i="2"/>
  <c r="H248" i="2"/>
  <c r="H247" i="2"/>
  <c r="H246" i="2"/>
  <c r="H245" i="2"/>
  <c r="H244" i="2"/>
  <c r="H243" i="2"/>
  <c r="H240" i="2"/>
  <c r="H241" i="2"/>
  <c r="H242"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0" i="2"/>
  <c r="H191" i="2"/>
  <c r="H196" i="2"/>
  <c r="H195" i="2"/>
  <c r="H194" i="2"/>
  <c r="H193" i="2"/>
  <c r="H192" i="2"/>
  <c r="H189" i="2"/>
  <c r="H188" i="2"/>
  <c r="H187" i="2"/>
  <c r="H186" i="2"/>
  <c r="H185" i="2"/>
  <c r="H184" i="2"/>
  <c r="H183" i="2"/>
  <c r="H182" i="2"/>
  <c r="H181" i="2"/>
  <c r="H180" i="2"/>
  <c r="H179" i="2"/>
  <c r="H178" i="2"/>
  <c r="H177" i="2"/>
  <c r="H176" i="2"/>
  <c r="H175" i="2"/>
  <c r="H174" i="2"/>
  <c r="H173" i="2"/>
  <c r="H172" i="2"/>
  <c r="H171" i="2"/>
  <c r="H165" i="2"/>
  <c r="H166" i="2"/>
  <c r="H167" i="2"/>
  <c r="H168" i="2"/>
  <c r="H169" i="2"/>
  <c r="H170" i="2"/>
  <c r="H164" i="2"/>
  <c r="H163" i="2"/>
  <c r="H162" i="2"/>
  <c r="H161" i="2"/>
  <c r="H160" i="2"/>
  <c r="H159" i="2"/>
  <c r="H157" i="2"/>
  <c r="H156" i="2"/>
  <c r="H155" i="2"/>
  <c r="H154" i="2"/>
  <c r="H153" i="2"/>
  <c r="H152" i="2"/>
  <c r="H151" i="2"/>
  <c r="H150" i="2"/>
  <c r="H149" i="2"/>
  <c r="H148" i="2"/>
  <c r="H147" i="2"/>
  <c r="H146" i="2"/>
  <c r="H145" i="2"/>
  <c r="H144" i="2"/>
  <c r="H143" i="2"/>
  <c r="H142" i="2"/>
  <c r="H141" i="2"/>
  <c r="H140" i="2"/>
  <c r="H139" i="2"/>
  <c r="H138" i="2"/>
  <c r="H137" i="2"/>
  <c r="H136" i="2"/>
  <c r="H135" i="2"/>
  <c r="H133" i="2"/>
  <c r="H132" i="2"/>
  <c r="H131" i="2"/>
  <c r="H130" i="2"/>
  <c r="H129"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6" i="2"/>
  <c r="H95" i="2"/>
  <c r="H93" i="2"/>
  <c r="H92" i="2"/>
  <c r="H91" i="2"/>
  <c r="H90" i="2"/>
  <c r="H89" i="2"/>
  <c r="H88" i="2"/>
  <c r="H87" i="2"/>
  <c r="H86" i="2"/>
  <c r="H85" i="2"/>
  <c r="H84" i="2"/>
  <c r="H83" i="2"/>
  <c r="H79" i="2"/>
  <c r="H78" i="2"/>
  <c r="H77" i="2"/>
  <c r="H76" i="2"/>
  <c r="H75" i="2"/>
  <c r="H73" i="2"/>
  <c r="H70" i="2"/>
  <c r="H67" i="2"/>
  <c r="H66" i="2"/>
  <c r="H65" i="2"/>
  <c r="H64" i="2"/>
  <c r="H63" i="2"/>
  <c r="H62" i="2"/>
  <c r="H61" i="2"/>
  <c r="H60" i="2"/>
  <c r="H59" i="2"/>
  <c r="H58" i="2"/>
  <c r="H57" i="2"/>
  <c r="H56" i="2"/>
  <c r="H55" i="2"/>
  <c r="H54" i="2"/>
  <c r="H53" i="2"/>
  <c r="H52" i="2"/>
  <c r="H50" i="2"/>
  <c r="H39" i="2"/>
  <c r="H49" i="2"/>
  <c r="H51" i="2"/>
  <c r="H48" i="2"/>
  <c r="H47" i="2"/>
  <c r="H46" i="2"/>
  <c r="H45" i="2"/>
  <c r="H44" i="2"/>
  <c r="H42" i="2"/>
  <c r="H41" i="2"/>
  <c r="H40" i="2"/>
  <c r="H38" i="2"/>
  <c r="H36" i="2"/>
  <c r="H34" i="2"/>
  <c r="H33" i="2"/>
  <c r="H32" i="2"/>
  <c r="H31" i="2"/>
  <c r="H30" i="2"/>
  <c r="H28" i="2"/>
  <c r="H27" i="2"/>
  <c r="H26" i="2"/>
  <c r="H25" i="2"/>
  <c r="H24" i="2"/>
  <c r="H23" i="2"/>
  <c r="H22" i="2"/>
  <c r="H21" i="2"/>
  <c r="H20" i="2"/>
  <c r="H19" i="2"/>
  <c r="H17" i="2"/>
  <c r="H16" i="2"/>
  <c r="H15" i="2"/>
  <c r="H14" i="2"/>
  <c r="H13" i="2"/>
  <c r="H12" i="2"/>
  <c r="H11" i="2"/>
  <c r="H10" i="2"/>
  <c r="H9" i="2"/>
  <c r="H8" i="2"/>
  <c r="H7" i="2" l="1"/>
  <c r="H6" i="2"/>
  <c r="H5" i="2"/>
  <c r="H4" i="2"/>
  <c r="H3" i="2"/>
  <c r="H2" i="2"/>
  <c r="A2" i="2"/>
  <c r="J160" i="7"/>
  <c r="J119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tc={A39345EB-DAE6-4E06-85BA-7BD004C4999C}</author>
  </authors>
  <commentList>
    <comment ref="E17" authorId="0" shapeId="0" xr:uid="{A39345EB-DAE6-4E06-85BA-7BD004C4999C}">
      <text>
        <t>[Threaded comment]
Your version of Excel allows you to read this threaded comment; however, any edits to it will get removed if the file is opened in a newer version of Excel. Learn more: https://go.microsoft.com/fwlink/?linkid=870924
Comment:
    Careful not to double count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343" authorId="0" shapeId="0" xr:uid="{CE2032D3-210E-46CE-8C1C-22EC505AA9F3}">
      <text>
        <r>
          <rPr>
            <sz val="10"/>
            <color rgb="FF000000"/>
            <rFont val="Calibri"/>
            <family val="2"/>
            <scheme val="minor"/>
          </rPr>
          <t>only partly put into production</t>
        </r>
      </text>
    </comment>
    <comment ref="A396" authorId="0" shapeId="0" xr:uid="{04D02A11-805F-4B62-9A7C-9FF8367303F6}">
      <text>
        <r>
          <rPr>
            <sz val="10"/>
            <color rgb="FF000000"/>
            <rFont val="Calibri"/>
            <family val="2"/>
            <scheme val="minor"/>
          </rPr>
          <t xml:space="preserve">Name changed from the original name: Jiangsu Yonggang Group Co., Ltd. because the iron and crude steel making is in this subsidiary plant. </t>
        </r>
      </text>
    </comment>
    <comment ref="A397" authorId="0" shapeId="0" xr:uid="{E310D4C3-4824-45A3-9B4E-6423D169DD81}">
      <text>
        <r>
          <rPr>
            <sz val="10"/>
            <color rgb="FF000000"/>
            <rFont val="Calibri"/>
            <family val="2"/>
            <scheme val="minor"/>
          </rPr>
          <t xml:space="preserve">Name changed from the original name: Jiangsu Yonggang Group Co., Ltd. because the iron and crude steel making is in this subsidiary plant. </t>
        </r>
      </text>
    </comment>
    <comment ref="A398" authorId="0" shapeId="0" xr:uid="{B493C247-E7F7-45D0-B032-F13499E8A376}">
      <text>
        <r>
          <rPr>
            <sz val="10"/>
            <color rgb="FF000000"/>
            <rFont val="Calibri"/>
            <family val="2"/>
            <scheme val="minor"/>
          </rPr>
          <t xml:space="preserve">Name changed from the original name: Jiangsu Yonggang Group Co., Ltd. because the iron and crude steel making is in this subsidiary plant. </t>
        </r>
      </text>
    </comment>
    <comment ref="A399" authorId="0" shapeId="0" xr:uid="{5DB0B63C-84ED-41BE-8E35-A0E77CCE4FC1}">
      <text>
        <r>
          <rPr>
            <sz val="10"/>
            <color rgb="FF000000"/>
            <rFont val="Calibri"/>
            <family val="2"/>
            <scheme val="minor"/>
          </rPr>
          <t xml:space="preserve">Name changed from the original name: Jiangsu Yonggang Group Co., Ltd. because the iron and crude steel making is in this subsidiary plant.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69D00B9-B62E-429B-BB09-3AF05ABB6B52}" keepAlive="1" name="Query - Table1" description="Connection to the 'Table1' query in the workbook." type="5" refreshedVersion="0" background="1" saveData="1">
    <dbPr connection="Provider=Microsoft.Mashup.OleDb.1;Data Source=$Workbook$;Location=Table1;Extended Properties=&quot;&quot;" command="SELECT * FROM [Table1]"/>
  </connection>
  <connection id="2" xr16:uid="{7E8BE8D1-E829-40AE-8198-F73B5630275E}" keepAlive="1" name="Query - Table1 (2)" description="Connection to the 'Table1 (2)' query in the workbook." type="5" refreshedVersion="8" background="1" saveData="1">
    <dbPr connection="Provider=Microsoft.Mashup.OleDb.1;Data Source=$Workbook$;Location=&quot;Table1 (2)&quot;;Extended Properties=&quot;&quot;" command="SELECT * FROM [Table1 (2)]"/>
  </connection>
  <connection id="3" xr16:uid="{6143C15A-F6CA-406E-A8ED-BDEF14478D15}" keepAlive="1" name="Query - Table10" description="Connection to the 'Table10' query in the workbook." type="5" refreshedVersion="0" background="1" saveData="1">
    <dbPr connection="Provider=Microsoft.Mashup.OleDb.1;Data Source=$Workbook$;Location=Table10;Extended Properties=&quot;&quot;" command="SELECT * FROM [Table10]"/>
  </connection>
  <connection id="4" xr16:uid="{627F6649-9A6B-4C92-A68B-45EB99DB30BC}" keepAlive="1" name="Query - Table12" description="Connection to the 'Table12' query in the workbook." type="5" refreshedVersion="0" background="1" saveData="1">
    <dbPr connection="Provider=Microsoft.Mashup.OleDb.1;Data Source=$Workbook$;Location=Table12;Extended Properties=&quot;&quot;" command="SELECT * FROM [Table12]"/>
  </connection>
  <connection id="5" xr16:uid="{658440B5-BFB5-4E23-BC9D-1DF760F6C330}" keepAlive="1" name="Query - Table12 (2)" description="Connection to the 'Table12 (2)' query in the workbook." type="5" refreshedVersion="8" background="1" saveData="1">
    <dbPr connection="Provider=Microsoft.Mashup.OleDb.1;Data Source=$Workbook$;Location=&quot;Table12 (2)&quot;;Extended Properties=&quot;&quot;" command="SELECT * FROM [Table12 (2)]"/>
  </connection>
  <connection id="6" xr16:uid="{E73DCA1E-77F6-4F82-A679-7799EAC777F0}" keepAlive="1" name="Query - Table15" description="Connection to the 'Table15' query in the workbook." type="5" refreshedVersion="0" background="1" saveData="1">
    <dbPr connection="Provider=Microsoft.Mashup.OleDb.1;Data Source=$Workbook$;Location=Table15;Extended Properties=&quot;&quot;" command="SELECT * FROM [Table15]"/>
  </connection>
  <connection id="7" xr16:uid="{045A2788-65AC-4EFD-B3AA-42313CD489B9}" keepAlive="1" name="Query - Table15 (2)" description="Connection to the 'Table15 (2)' query in the workbook." type="5" refreshedVersion="8" background="1" saveData="1">
    <dbPr connection="Provider=Microsoft.Mashup.OleDb.1;Data Source=$Workbook$;Location=&quot;Table15 (2)&quot;;Extended Properties=&quot;&quot;" command="SELECT * FROM [Table15 (2)]"/>
  </connection>
  <connection id="8" xr16:uid="{AC8A38F4-C77C-44BB-9EBD-B2A374FB7832}" keepAlive="1" name="Query - Table4" description="Connection to the 'Table4' query in the workbook." type="5" refreshedVersion="0" background="1" saveData="1">
    <dbPr connection="Provider=Microsoft.Mashup.OleDb.1;Data Source=$Workbook$;Location=Table4;Extended Properties=&quot;&quot;" command="SELECT * FROM [Table4]"/>
  </connection>
  <connection id="9" xr16:uid="{F1E5FA0A-2261-4F66-90ED-15DF70AC816B}" keepAlive="1" name="Query - Table4 (2)" description="Connection to the 'Table4 (2)' query in the workbook." type="5" refreshedVersion="8" background="1" saveData="1">
    <dbPr connection="Provider=Microsoft.Mashup.OleDb.1;Data Source=$Workbook$;Location=&quot;Table4 (2)&quot;;Extended Properties=&quot;&quot;" command="SELECT * FROM [Table4 (2)]"/>
  </connection>
  <connection id="10" xr16:uid="{40A15C3C-1F4B-4E98-83A8-5E456662DF07}" keepAlive="1" name="Query - Table7" description="Connection to the 'Table7' query in the workbook." type="5" refreshedVersion="0" background="1" saveData="1">
    <dbPr connection="Provider=Microsoft.Mashup.OleDb.1;Data Source=$Workbook$;Location=Table7;Extended Properties=&quot;&quot;" command="SELECT * FROM [Table7]"/>
  </connection>
  <connection id="11" xr16:uid="{D18FB341-93E1-44E9-A86F-A2BE1C24B803}" keepAlive="1" name="Query - Table7 (2)" description="Connection to the 'Table7 (2)' query in the workbook." type="5" refreshedVersion="8" background="1" saveData="1">
    <dbPr connection="Provider=Microsoft.Mashup.OleDb.1;Data Source=$Workbook$;Location=&quot;Table7 (2)&quot;;Extended Properties=&quot;&quot;" command="SELECT * FROM [Table7 (2)]"/>
  </connection>
</connections>
</file>

<file path=xl/sharedStrings.xml><?xml version="1.0" encoding="utf-8"?>
<sst xmlns="http://schemas.openxmlformats.org/spreadsheetml/2006/main" count="94821" uniqueCount="26241">
  <si>
    <t>Sheet Name</t>
  </si>
  <si>
    <t>Information</t>
  </si>
  <si>
    <t>Countries</t>
  </si>
  <si>
    <t>Every country in the TIMES model is accounted for in this list. Associated with each country is a GEOID and Region. The GEOID can be merged with a country shapefile in GIS to allow for attribute tables to be created in GIS from information in this database. The Region can be used to create high level summary information for the regions the model is interested in.</t>
  </si>
  <si>
    <t>Refineries</t>
  </si>
  <si>
    <t xml:space="preserve">This is a table of information about the refinery facilities that use hydrogen, are their capacities to produce (bpd). </t>
  </si>
  <si>
    <t>H2_Production</t>
  </si>
  <si>
    <t>Using IHS Markit data, we capture all existing hydrogen production in the world by plant and location, and where possible provide additional information - plant capacity (kg/day), offtaker type (e.g., refinery), or company. It is a dynamic data table that feeds into other pivot tables.</t>
  </si>
  <si>
    <t>Steel_Production</t>
  </si>
  <si>
    <t>This is a data table of all steel plants in the world, broken down by steel capacity, type of technology, and its operational status.</t>
  </si>
  <si>
    <t>Ammonia_Production</t>
  </si>
  <si>
    <t xml:space="preserve">This is a data table of ammonia plants where they can be identified, and their associative emissions. </t>
  </si>
  <si>
    <t>Natural_Gas_Infrastructure</t>
  </si>
  <si>
    <t>This is a data table of all LNG ports that are operational, under construction, or in development and their associative capacities across the world.</t>
  </si>
  <si>
    <t>Natural_Gas_Pipelines</t>
  </si>
  <si>
    <t>This is an inventory of all natural gas pipelines throughout the world that are operational, under construction, or in development, and their assocative capacities.</t>
  </si>
  <si>
    <t>National_Strategies</t>
  </si>
  <si>
    <t>The table provides data on 32 country hydrogen strategies at varying stages of accomplishment. It includes data on investment commitments, hydrogen production capacity, production technologies of interest, offtakers of interest, the regulatory landscape, whether they have hub activity, and the date their strategies were released.</t>
  </si>
  <si>
    <t>National_Strategies_Pivot</t>
  </si>
  <si>
    <t>A pivot table of the the National Strategies.</t>
  </si>
  <si>
    <t>FID_Internationally</t>
  </si>
  <si>
    <t>A running database of all hydrogen projects in the world broken down by capacity, stage of development, company involvement, technologies, potential off-takers, and expected year of operation.</t>
  </si>
  <si>
    <t>FID_Pivot</t>
  </si>
  <si>
    <t>A pivot table of the hydrogen projects accounted for in the FID_Internationally sheet.</t>
  </si>
  <si>
    <t>Australia</t>
  </si>
  <si>
    <t xml:space="preserve">Dynamic tables linked to larger tables, but specific to all information about Australia. At the bottom of the sheet are pivot tables drawing information from other sheets with any information relevant to Australia. </t>
  </si>
  <si>
    <t>Conversion</t>
  </si>
  <si>
    <t>A conversion factor for turning SCF to kg of hydrogen.</t>
  </si>
  <si>
    <t>Country</t>
  </si>
  <si>
    <t>GEOID</t>
  </si>
  <si>
    <t>Region</t>
  </si>
  <si>
    <t>ABW</t>
  </si>
  <si>
    <t xml:space="preserve"> Aruba</t>
  </si>
  <si>
    <t>Latin America</t>
  </si>
  <si>
    <t>AZE</t>
  </si>
  <si>
    <t xml:space="preserve"> Azerbaijan</t>
  </si>
  <si>
    <t>Asia Central</t>
  </si>
  <si>
    <t>BGD</t>
  </si>
  <si>
    <t xml:space="preserve"> Bangladesh</t>
  </si>
  <si>
    <t>Asia Emerging</t>
  </si>
  <si>
    <t>BRB</t>
  </si>
  <si>
    <t xml:space="preserve"> Barbados</t>
  </si>
  <si>
    <t>BLR</t>
  </si>
  <si>
    <t xml:space="preserve"> Belarus</t>
  </si>
  <si>
    <t>Europe Emerging</t>
  </si>
  <si>
    <t>BEL</t>
  </si>
  <si>
    <t xml:space="preserve"> Belgium</t>
  </si>
  <si>
    <t>EU 28</t>
  </si>
  <si>
    <t>BLZ</t>
  </si>
  <si>
    <t xml:space="preserve"> Belize</t>
  </si>
  <si>
    <t>BMU</t>
  </si>
  <si>
    <t xml:space="preserve"> Bermuda</t>
  </si>
  <si>
    <t>BTN</t>
  </si>
  <si>
    <t xml:space="preserve"> Bhutan</t>
  </si>
  <si>
    <t>BOL</t>
  </si>
  <si>
    <t xml:space="preserve"> Bolivia</t>
  </si>
  <si>
    <t>BIH</t>
  </si>
  <si>
    <t xml:space="preserve"> Bosnia and Herzegovina</t>
  </si>
  <si>
    <t>BWA</t>
  </si>
  <si>
    <t xml:space="preserve"> Botswana</t>
  </si>
  <si>
    <t>Africa South</t>
  </si>
  <si>
    <t>BRN</t>
  </si>
  <si>
    <t xml:space="preserve"> Brunei</t>
  </si>
  <si>
    <t>BGR</t>
  </si>
  <si>
    <t xml:space="preserve"> Bulgaria</t>
  </si>
  <si>
    <t>BDI</t>
  </si>
  <si>
    <t xml:space="preserve"> Burundi</t>
  </si>
  <si>
    <t>Africa Other</t>
  </si>
  <si>
    <t>KHM</t>
  </si>
  <si>
    <t xml:space="preserve"> Cambodia</t>
  </si>
  <si>
    <t>CMR</t>
  </si>
  <si>
    <t xml:space="preserve"> Cameroon</t>
  </si>
  <si>
    <t>CPV</t>
  </si>
  <si>
    <t xml:space="preserve"> Cape Verde</t>
  </si>
  <si>
    <t>CYM</t>
  </si>
  <si>
    <t xml:space="preserve"> Cayman Islands</t>
  </si>
  <si>
    <t>CAF</t>
  </si>
  <si>
    <t xml:space="preserve"> Central African Republic</t>
  </si>
  <si>
    <t>TCD</t>
  </si>
  <si>
    <t xml:space="preserve"> Chad</t>
  </si>
  <si>
    <t>CHL</t>
  </si>
  <si>
    <t xml:space="preserve"> Chile</t>
  </si>
  <si>
    <t>CHN</t>
  </si>
  <si>
    <t xml:space="preserve"> China</t>
  </si>
  <si>
    <t>China</t>
  </si>
  <si>
    <t>COL</t>
  </si>
  <si>
    <t xml:space="preserve"> Colombia</t>
  </si>
  <si>
    <t>COM</t>
  </si>
  <si>
    <t xml:space="preserve"> Comoros</t>
  </si>
  <si>
    <t>COK</t>
  </si>
  <si>
    <t xml:space="preserve"> Cook Islands</t>
  </si>
  <si>
    <t>CRI</t>
  </si>
  <si>
    <t xml:space="preserve"> Costa Rica</t>
  </si>
  <si>
    <t>HRV</t>
  </si>
  <si>
    <t xml:space="preserve"> Croatia</t>
  </si>
  <si>
    <t>CUB</t>
  </si>
  <si>
    <t xml:space="preserve"> Cuba</t>
  </si>
  <si>
    <t>CUW</t>
  </si>
  <si>
    <t xml:space="preserve"> Curacao</t>
  </si>
  <si>
    <t>CYP</t>
  </si>
  <si>
    <t xml:space="preserve"> Cyprus</t>
  </si>
  <si>
    <t>CZE</t>
  </si>
  <si>
    <t xml:space="preserve"> Czech Republic</t>
  </si>
  <si>
    <t>PRK</t>
  </si>
  <si>
    <t xml:space="preserve"> Dem. People^s Rep. Korea</t>
  </si>
  <si>
    <t>COD</t>
  </si>
  <si>
    <t xml:space="preserve"> Democratic Republic of Congo</t>
  </si>
  <si>
    <t>DNK</t>
  </si>
  <si>
    <t xml:space="preserve"> Denmark</t>
  </si>
  <si>
    <t>DJI</t>
  </si>
  <si>
    <t xml:space="preserve"> Djibouti</t>
  </si>
  <si>
    <t>DMA</t>
  </si>
  <si>
    <t xml:space="preserve"> Dominica</t>
  </si>
  <si>
    <t>DOM</t>
  </si>
  <si>
    <t xml:space="preserve"> Dominican Republic</t>
  </si>
  <si>
    <t>ECU</t>
  </si>
  <si>
    <t xml:space="preserve"> Ecuador</t>
  </si>
  <si>
    <t>SLV</t>
  </si>
  <si>
    <t xml:space="preserve"> El Salvador</t>
  </si>
  <si>
    <t>GNQ</t>
  </si>
  <si>
    <t xml:space="preserve"> Equatorial Guinea</t>
  </si>
  <si>
    <t>ERI</t>
  </si>
  <si>
    <t xml:space="preserve"> Eritrea</t>
  </si>
  <si>
    <t>EST</t>
  </si>
  <si>
    <t xml:space="preserve"> Estonia</t>
  </si>
  <si>
    <t>ETH</t>
  </si>
  <si>
    <t xml:space="preserve"> Ethiopia</t>
  </si>
  <si>
    <t>FJI</t>
  </si>
  <si>
    <t xml:space="preserve"> Fiji</t>
  </si>
  <si>
    <t>FIN</t>
  </si>
  <si>
    <t xml:space="preserve"> Finland</t>
  </si>
  <si>
    <t>FRA</t>
  </si>
  <si>
    <t xml:space="preserve"> France</t>
  </si>
  <si>
    <t>GUF</t>
  </si>
  <si>
    <t xml:space="preserve"> French Guiana</t>
  </si>
  <si>
    <t>PYF</t>
  </si>
  <si>
    <t xml:space="preserve"> French Polynesia</t>
  </si>
  <si>
    <t>GAB</t>
  </si>
  <si>
    <t xml:space="preserve"> Gabon</t>
  </si>
  <si>
    <t>GEO</t>
  </si>
  <si>
    <t xml:space="preserve"> Georgia</t>
  </si>
  <si>
    <t>DEU</t>
  </si>
  <si>
    <t xml:space="preserve"> Germany</t>
  </si>
  <si>
    <t>GRC</t>
  </si>
  <si>
    <t xml:space="preserve"> Greece</t>
  </si>
  <si>
    <t>GRD</t>
  </si>
  <si>
    <t xml:space="preserve"> Grenada</t>
  </si>
  <si>
    <t>GTM</t>
  </si>
  <si>
    <t xml:space="preserve"> Guatemala</t>
  </si>
  <si>
    <t>GIN</t>
  </si>
  <si>
    <t xml:space="preserve"> Guinea</t>
  </si>
  <si>
    <t>GNB</t>
  </si>
  <si>
    <t xml:space="preserve"> Guinea-Bissau</t>
  </si>
  <si>
    <t>GUY</t>
  </si>
  <si>
    <t xml:space="preserve"> Guyana</t>
  </si>
  <si>
    <t>HTI</t>
  </si>
  <si>
    <t xml:space="preserve"> Haiti</t>
  </si>
  <si>
    <t>HND</t>
  </si>
  <si>
    <t xml:space="preserve"> Honduras</t>
  </si>
  <si>
    <t>HUN</t>
  </si>
  <si>
    <t xml:space="preserve"> Hungary</t>
  </si>
  <si>
    <t>IRL</t>
  </si>
  <si>
    <t xml:space="preserve"> Ireland</t>
  </si>
  <si>
    <t>ITA</t>
  </si>
  <si>
    <t xml:space="preserve"> Italy</t>
  </si>
  <si>
    <t>JAM</t>
  </si>
  <si>
    <t xml:space="preserve"> Jamaica</t>
  </si>
  <si>
    <t>KAZ</t>
  </si>
  <si>
    <t xml:space="preserve"> Kazakhstan</t>
  </si>
  <si>
    <t>KEN</t>
  </si>
  <si>
    <t xml:space="preserve"> Kenya</t>
  </si>
  <si>
    <t>KIR</t>
  </si>
  <si>
    <t xml:space="preserve"> Kiribati</t>
  </si>
  <si>
    <t>XKX</t>
  </si>
  <si>
    <t xml:space="preserve"> Kosovo</t>
  </si>
  <si>
    <t>KGZ</t>
  </si>
  <si>
    <t xml:space="preserve"> Kyrgyz Republic</t>
  </si>
  <si>
    <t>LAO</t>
  </si>
  <si>
    <t xml:space="preserve"> Laos</t>
  </si>
  <si>
    <t>LVA</t>
  </si>
  <si>
    <t xml:space="preserve"> Latvia</t>
  </si>
  <si>
    <t>LSO</t>
  </si>
  <si>
    <t xml:space="preserve"> Lesotho</t>
  </si>
  <si>
    <t>LBR</t>
  </si>
  <si>
    <t xml:space="preserve"> Liberia</t>
  </si>
  <si>
    <t>LTU</t>
  </si>
  <si>
    <t xml:space="preserve"> Lithuania</t>
  </si>
  <si>
    <t>LUX</t>
  </si>
  <si>
    <t xml:space="preserve"> Luxembourg</t>
  </si>
  <si>
    <t>MAC</t>
  </si>
  <si>
    <t xml:space="preserve"> Macao SAR</t>
  </si>
  <si>
    <t>MKD</t>
  </si>
  <si>
    <t xml:space="preserve"> Macedonia</t>
  </si>
  <si>
    <t>MDG</t>
  </si>
  <si>
    <t xml:space="preserve"> Madagascar</t>
  </si>
  <si>
    <t>MWI</t>
  </si>
  <si>
    <t xml:space="preserve"> Malawi</t>
  </si>
  <si>
    <t>MYS</t>
  </si>
  <si>
    <t xml:space="preserve"> Malaysia</t>
  </si>
  <si>
    <t>MDV</t>
  </si>
  <si>
    <t xml:space="preserve"> Maldives</t>
  </si>
  <si>
    <t>MLI</t>
  </si>
  <si>
    <t xml:space="preserve"> Mali</t>
  </si>
  <si>
    <t>MLT</t>
  </si>
  <si>
    <t xml:space="preserve"> Malta</t>
  </si>
  <si>
    <t>MRT</t>
  </si>
  <si>
    <t xml:space="preserve"> Mauritania</t>
  </si>
  <si>
    <t>MUS</t>
  </si>
  <si>
    <t xml:space="preserve"> Mauritius</t>
  </si>
  <si>
    <t>MDA</t>
  </si>
  <si>
    <t xml:space="preserve"> Moldova</t>
  </si>
  <si>
    <t>MNG</t>
  </si>
  <si>
    <t xml:space="preserve"> Mongolia</t>
  </si>
  <si>
    <t>MNE</t>
  </si>
  <si>
    <t xml:space="preserve"> Montenegro</t>
  </si>
  <si>
    <t>MSR</t>
  </si>
  <si>
    <t xml:space="preserve"> Montserrat</t>
  </si>
  <si>
    <t>MOZ</t>
  </si>
  <si>
    <t xml:space="preserve"> Mozambique</t>
  </si>
  <si>
    <t>MMR</t>
  </si>
  <si>
    <t xml:space="preserve"> Myanmar</t>
  </si>
  <si>
    <t>NAM</t>
  </si>
  <si>
    <t xml:space="preserve"> Namibia</t>
  </si>
  <si>
    <t>NPL</t>
  </si>
  <si>
    <t xml:space="preserve"> Nepal</t>
  </si>
  <si>
    <t>NLD</t>
  </si>
  <si>
    <t xml:space="preserve"> Netherlands</t>
  </si>
  <si>
    <t>NCL</t>
  </si>
  <si>
    <t xml:space="preserve"> New Caledonia</t>
  </si>
  <si>
    <t>NIC</t>
  </si>
  <si>
    <t xml:space="preserve"> Nicaragua</t>
  </si>
  <si>
    <t>PAK</t>
  </si>
  <si>
    <t xml:space="preserve"> Pakistan</t>
  </si>
  <si>
    <t>PLW</t>
  </si>
  <si>
    <t xml:space="preserve"> Palau</t>
  </si>
  <si>
    <t>PSE</t>
  </si>
  <si>
    <t xml:space="preserve"> Palestine</t>
  </si>
  <si>
    <t>PAN</t>
  </si>
  <si>
    <t xml:space="preserve"> Panama</t>
  </si>
  <si>
    <t>PNG</t>
  </si>
  <si>
    <t xml:space="preserve"> Papua New Guinea</t>
  </si>
  <si>
    <t>PRY</t>
  </si>
  <si>
    <t xml:space="preserve"> Paraguay</t>
  </si>
  <si>
    <t>PER</t>
  </si>
  <si>
    <t xml:space="preserve"> Peru</t>
  </si>
  <si>
    <t>PHL</t>
  </si>
  <si>
    <t xml:space="preserve"> Philippines</t>
  </si>
  <si>
    <t>POL</t>
  </si>
  <si>
    <t xml:space="preserve"> Poland</t>
  </si>
  <si>
    <t>PRT</t>
  </si>
  <si>
    <t xml:space="preserve"> Portugal</t>
  </si>
  <si>
    <t>PRI</t>
  </si>
  <si>
    <t xml:space="preserve"> Puerto Rico</t>
  </si>
  <si>
    <t>COG</t>
  </si>
  <si>
    <t xml:space="preserve"> Republic of Congo</t>
  </si>
  <si>
    <t>ROU</t>
  </si>
  <si>
    <t xml:space="preserve"> Romania</t>
  </si>
  <si>
    <t>RWA</t>
  </si>
  <si>
    <t xml:space="preserve"> Rwanda</t>
  </si>
  <si>
    <t>WSM</t>
  </si>
  <si>
    <t xml:space="preserve"> Samoa</t>
  </si>
  <si>
    <t>SMR</t>
  </si>
  <si>
    <t xml:space="preserve"> San Marino</t>
  </si>
  <si>
    <t>STP</t>
  </si>
  <si>
    <t xml:space="preserve"> Sao Tome and Principe</t>
  </si>
  <si>
    <t>SRB</t>
  </si>
  <si>
    <t xml:space="preserve"> Serbia</t>
  </si>
  <si>
    <t>SYC</t>
  </si>
  <si>
    <t xml:space="preserve"> Seychelles</t>
  </si>
  <si>
    <t>SLE</t>
  </si>
  <si>
    <t xml:space="preserve"> Sierra Leone</t>
  </si>
  <si>
    <t>SXM</t>
  </si>
  <si>
    <t xml:space="preserve"> Sint Maarten (Dutch part)</t>
  </si>
  <si>
    <t>SVK</t>
  </si>
  <si>
    <t xml:space="preserve"> Slovak Republic</t>
  </si>
  <si>
    <t>SVN</t>
  </si>
  <si>
    <t xml:space="preserve"> Slovenia</t>
  </si>
  <si>
    <t>SLB</t>
  </si>
  <si>
    <t xml:space="preserve"> Solomon Islands</t>
  </si>
  <si>
    <t>SOM</t>
  </si>
  <si>
    <t xml:space="preserve"> Somalia</t>
  </si>
  <si>
    <t>SSD</t>
  </si>
  <si>
    <t xml:space="preserve"> South Sudan</t>
  </si>
  <si>
    <t>ESP</t>
  </si>
  <si>
    <t xml:space="preserve"> Spain</t>
  </si>
  <si>
    <t>LKA</t>
  </si>
  <si>
    <t xml:space="preserve"> Sri Lanka</t>
  </si>
  <si>
    <t>KNA</t>
  </si>
  <si>
    <t xml:space="preserve"> St. Kitts and Nevis</t>
  </si>
  <si>
    <t>LCA</t>
  </si>
  <si>
    <t xml:space="preserve"> St. Lucia</t>
  </si>
  <si>
    <t>VCT</t>
  </si>
  <si>
    <t xml:space="preserve"> St. Vincent and the Grenadines</t>
  </si>
  <si>
    <t>SUR</t>
  </si>
  <si>
    <t xml:space="preserve"> Suriname</t>
  </si>
  <si>
    <t>SWZ</t>
  </si>
  <si>
    <t xml:space="preserve"> Swaziland</t>
  </si>
  <si>
    <t>SWE</t>
  </si>
  <si>
    <t xml:space="preserve"> Sweden</t>
  </si>
  <si>
    <t>TJK</t>
  </si>
  <si>
    <t xml:space="preserve"> Tajikistan</t>
  </si>
  <si>
    <t>TZA</t>
  </si>
  <si>
    <t xml:space="preserve"> Tanzania</t>
  </si>
  <si>
    <t>THA</t>
  </si>
  <si>
    <t xml:space="preserve"> Thailand</t>
  </si>
  <si>
    <t>BHS</t>
  </si>
  <si>
    <t xml:space="preserve"> The Bahamas</t>
  </si>
  <si>
    <t>GMB</t>
  </si>
  <si>
    <t xml:space="preserve"> The Gambia</t>
  </si>
  <si>
    <t>TON</t>
  </si>
  <si>
    <t xml:space="preserve"> Tonga</t>
  </si>
  <si>
    <t>TTO</t>
  </si>
  <si>
    <t xml:space="preserve"> Trinidad and Tobago</t>
  </si>
  <si>
    <t>TUR</t>
  </si>
  <si>
    <t xml:space="preserve"> Turkey</t>
  </si>
  <si>
    <t>TKM</t>
  </si>
  <si>
    <t xml:space="preserve"> Turkmenistan</t>
  </si>
  <si>
    <t>TCA</t>
  </si>
  <si>
    <t xml:space="preserve"> Turks and Caicos Islands</t>
  </si>
  <si>
    <t>UGA</t>
  </si>
  <si>
    <t xml:space="preserve"> Uganda</t>
  </si>
  <si>
    <t>UKR</t>
  </si>
  <si>
    <t xml:space="preserve"> Ukraine</t>
  </si>
  <si>
    <t>URY</t>
  </si>
  <si>
    <t xml:space="preserve"> Uruguay</t>
  </si>
  <si>
    <t>UZB</t>
  </si>
  <si>
    <t xml:space="preserve"> Uzbekistan</t>
  </si>
  <si>
    <t>VUT</t>
  </si>
  <si>
    <t xml:space="preserve"> Vanuatu</t>
  </si>
  <si>
    <t>VEN</t>
  </si>
  <si>
    <t xml:space="preserve"> Venezuela</t>
  </si>
  <si>
    <t>VNM</t>
  </si>
  <si>
    <t xml:space="preserve"> Vietnam</t>
  </si>
  <si>
    <t>VIR</t>
  </si>
  <si>
    <t xml:space="preserve"> Virgin Islands</t>
  </si>
  <si>
    <t>ZMB</t>
  </si>
  <si>
    <t xml:space="preserve"> Zambia</t>
  </si>
  <si>
    <t>ZWE</t>
  </si>
  <si>
    <t xml:space="preserve"> Zimbabwe</t>
  </si>
  <si>
    <t>AFG</t>
  </si>
  <si>
    <t>Afghanistan</t>
  </si>
  <si>
    <t>ALB</t>
  </si>
  <si>
    <t>Albania</t>
  </si>
  <si>
    <t>DZA</t>
  </si>
  <si>
    <t>Algeria</t>
  </si>
  <si>
    <t>Africa North</t>
  </si>
  <si>
    <t>AGO</t>
  </si>
  <si>
    <t>Angola</t>
  </si>
  <si>
    <t>ATG</t>
  </si>
  <si>
    <t>Antigua and Barbuda</t>
  </si>
  <si>
    <t>ARG</t>
  </si>
  <si>
    <t>Argentina</t>
  </si>
  <si>
    <t>ARM</t>
  </si>
  <si>
    <t>Armenia</t>
  </si>
  <si>
    <t>AUS</t>
  </si>
  <si>
    <t>AUT</t>
  </si>
  <si>
    <t>Austria</t>
  </si>
  <si>
    <t>BHR</t>
  </si>
  <si>
    <t>Bahrain</t>
  </si>
  <si>
    <t>Gulf Coast Other</t>
  </si>
  <si>
    <t>BEN</t>
  </si>
  <si>
    <t>Benin</t>
  </si>
  <si>
    <t>Africa West</t>
  </si>
  <si>
    <t>BRA</t>
  </si>
  <si>
    <t>Brazil</t>
  </si>
  <si>
    <t>BFA</t>
  </si>
  <si>
    <t>Burkina Faso</t>
  </si>
  <si>
    <t>CAN</t>
  </si>
  <si>
    <t>Canada</t>
  </si>
  <si>
    <t>EGY</t>
  </si>
  <si>
    <t>Egypt</t>
  </si>
  <si>
    <t>Ghana</t>
  </si>
  <si>
    <t>GHA</t>
  </si>
  <si>
    <t>Ghaha</t>
  </si>
  <si>
    <t>GIB</t>
  </si>
  <si>
    <t>Gibraltar</t>
  </si>
  <si>
    <t>Europe Developed</t>
  </si>
  <si>
    <t>HKG</t>
  </si>
  <si>
    <t>Hong Kong SAR</t>
  </si>
  <si>
    <t>Asia Developed</t>
  </si>
  <si>
    <t>ISL</t>
  </si>
  <si>
    <t>Iceland</t>
  </si>
  <si>
    <t>IND</t>
  </si>
  <si>
    <t>India</t>
  </si>
  <si>
    <t>IDN</t>
  </si>
  <si>
    <t>Indonesia</t>
  </si>
  <si>
    <t>IRN</t>
  </si>
  <si>
    <t>Iran</t>
  </si>
  <si>
    <t>Middle East</t>
  </si>
  <si>
    <t>IRQ</t>
  </si>
  <si>
    <t>Iraq</t>
  </si>
  <si>
    <t>ISR</t>
  </si>
  <si>
    <t>Israel</t>
  </si>
  <si>
    <t>CIV</t>
  </si>
  <si>
    <t>Ivory Coast</t>
  </si>
  <si>
    <t>JPN</t>
  </si>
  <si>
    <t>Japan</t>
  </si>
  <si>
    <t>JOR</t>
  </si>
  <si>
    <t>Jordan</t>
  </si>
  <si>
    <t>KWT</t>
  </si>
  <si>
    <t>Kuwait</t>
  </si>
  <si>
    <t>LBN</t>
  </si>
  <si>
    <t>Lebanon</t>
  </si>
  <si>
    <t>LBY</t>
  </si>
  <si>
    <t>Libya</t>
  </si>
  <si>
    <t>MEX</t>
  </si>
  <si>
    <t>Mexico</t>
  </si>
  <si>
    <t>MAR</t>
  </si>
  <si>
    <t>Morocco</t>
  </si>
  <si>
    <t>NZL</t>
  </si>
  <si>
    <t>New Zealand</t>
  </si>
  <si>
    <t>NER</t>
  </si>
  <si>
    <t>Niger</t>
  </si>
  <si>
    <t>NGA</t>
  </si>
  <si>
    <t>Nigeria</t>
  </si>
  <si>
    <t>NOR</t>
  </si>
  <si>
    <t>Norway</t>
  </si>
  <si>
    <t>OMN</t>
  </si>
  <si>
    <t>Oman</t>
  </si>
  <si>
    <t>QAT</t>
  </si>
  <si>
    <t>Qatar</t>
  </si>
  <si>
    <t>RUS</t>
  </si>
  <si>
    <t>Rusia</t>
  </si>
  <si>
    <t>Russia</t>
  </si>
  <si>
    <t>SAU</t>
  </si>
  <si>
    <t>Saudi Arabia</t>
  </si>
  <si>
    <t>SEN</t>
  </si>
  <si>
    <t>Senegal</t>
  </si>
  <si>
    <t>SGP</t>
  </si>
  <si>
    <t>Singapore</t>
  </si>
  <si>
    <t>ZAF</t>
  </si>
  <si>
    <t>South Africa</t>
  </si>
  <si>
    <t>KOR</t>
  </si>
  <si>
    <t>South Korea</t>
  </si>
  <si>
    <t>SDN</t>
  </si>
  <si>
    <t>Sudan</t>
  </si>
  <si>
    <t>CHE</t>
  </si>
  <si>
    <t>Switzerland</t>
  </si>
  <si>
    <t>SYR</t>
  </si>
  <si>
    <t>Syria</t>
  </si>
  <si>
    <t>TWN</t>
  </si>
  <si>
    <t>Taiwan</t>
  </si>
  <si>
    <t>TGO</t>
  </si>
  <si>
    <t>Togo</t>
  </si>
  <si>
    <t>TUN</t>
  </si>
  <si>
    <t>Tunisia</t>
  </si>
  <si>
    <t>ARE</t>
  </si>
  <si>
    <t>United Arab Emirates</t>
  </si>
  <si>
    <t>GBR</t>
  </si>
  <si>
    <t>United Kingdom</t>
  </si>
  <si>
    <t>USA</t>
  </si>
  <si>
    <t>United States</t>
  </si>
  <si>
    <t>YEM</t>
  </si>
  <si>
    <t>Yemen</t>
  </si>
  <si>
    <t>City/Region</t>
  </si>
  <si>
    <t>State</t>
  </si>
  <si>
    <t>Producer</t>
  </si>
  <si>
    <t>Technology</t>
  </si>
  <si>
    <t>On Stream Date</t>
  </si>
  <si>
    <t>Capacity (MW)</t>
  </si>
  <si>
    <t>Hydrogen Production (kg/day)</t>
  </si>
  <si>
    <t>Type</t>
  </si>
  <si>
    <t>Form</t>
  </si>
  <si>
    <t>Demand</t>
  </si>
  <si>
    <t>Latitude</t>
  </si>
  <si>
    <t>Longitude</t>
  </si>
  <si>
    <t>Additional Information</t>
  </si>
  <si>
    <t>Kapolei</t>
  </si>
  <si>
    <t>Hawaii</t>
  </si>
  <si>
    <t>Air Liquide</t>
  </si>
  <si>
    <t>Steam and propane reforming</t>
  </si>
  <si>
    <t>Merchant</t>
  </si>
  <si>
    <t>Gaseous</t>
  </si>
  <si>
    <t>HGM 3000 unit manufactured by H2Gen.</t>
  </si>
  <si>
    <t>Bradley</t>
  </si>
  <si>
    <t>Illinois</t>
  </si>
  <si>
    <t>Purchased</t>
  </si>
  <si>
    <t>Excess hydrogen is purchased from Bunge Foods Group for distribution to end users</t>
  </si>
  <si>
    <t>Conway</t>
  </si>
  <si>
    <t>Kansas</t>
  </si>
  <si>
    <t xml:space="preserve">Excess hydrogen is purchased from Koch Industries Inc. for distribution to end users </t>
  </si>
  <si>
    <t xml:space="preserve">Anacortes </t>
  </si>
  <si>
    <t>Washington</t>
  </si>
  <si>
    <t>Refinery</t>
  </si>
  <si>
    <t>On-site plant for Shell Oil Refinery</t>
  </si>
  <si>
    <t>Dallas</t>
  </si>
  <si>
    <t>Texas</t>
  </si>
  <si>
    <t>Electronics</t>
  </si>
  <si>
    <t>Plant is a former Chemetron Corporation plant. Texas Instruments Inc. is believed to be a major consumer of hydrogen from this plant.</t>
  </si>
  <si>
    <t>El Segundo</t>
  </si>
  <si>
    <t>California</t>
  </si>
  <si>
    <t>“Over-the-fence” arrangement for supply to Chevron. Haldor Topsøe A/S supplied the technology and catalysts. The hydrogen plant replaced an existing plant.</t>
  </si>
  <si>
    <t>Freeport</t>
  </si>
  <si>
    <t>Byproduct Gaseous</t>
  </si>
  <si>
    <t>Chemicals</t>
  </si>
  <si>
    <t>On-site plant for Dow Chemical supplies carbon monoxide for toluene diisocyanate (TDI) production. The by-product hydrogen is purified and sold.</t>
  </si>
  <si>
    <t>Geismar</t>
  </si>
  <si>
    <t>Louisiana</t>
  </si>
  <si>
    <t>Byproduct</t>
  </si>
  <si>
    <t>Merchant sales. Raw product received formerly from Vulcan Chemical and sent to BASF after purification via pipeline. In 2005</t>
  </si>
  <si>
    <t xml:space="preserve"> Vulcan sold the Geismar plant to Oxychem.</t>
  </si>
  <si>
    <t>Kalama</t>
  </si>
  <si>
    <t>Electrolysis</t>
  </si>
  <si>
    <t>Metals</t>
  </si>
  <si>
    <t>Acquired from MG Industries. Hydrogen pipeline customers include BHP Steel and Kalama Chemical Inc. Ultrahigh-purity oxygen is produced for sale as a coproduct.</t>
  </si>
  <si>
    <t>Lake Charles</t>
  </si>
  <si>
    <t>Raw hydrogen is from Axiall Corp.'s (formerly with PPG Industries, Inc.) plant.</t>
  </si>
  <si>
    <t>Rockport</t>
  </si>
  <si>
    <t>Indiana</t>
  </si>
  <si>
    <t>Acquired from MG Industries. On-site plant for AK Steel’s steel strip plant for use in annealing.</t>
  </si>
  <si>
    <t>Rodeo</t>
  </si>
  <si>
    <t>The unit supplies the existing and future requirements of ConocoPhillps’ Rodeo refinery and future hydrogen opportunities in the San Francisco Bay Area. CB&amp;I built the plant.</t>
  </si>
  <si>
    <t>St. Marys</t>
  </si>
  <si>
    <t>Pennsylvania</t>
  </si>
  <si>
    <t>Acquired from MG Industries. Hydrogen pipeline primarily supplies local powder metal producers. UHP oxygen is produced for sale as a coproduct.</t>
  </si>
  <si>
    <t>Bayport</t>
  </si>
  <si>
    <t>Pipeline delivery to ConocoPhillips’ Sweeney refinery at Old Ocean, Texas, and other refineries. Plant built by CB&amp;I. Bayport Industrial complex was expanded in 2016.</t>
  </si>
  <si>
    <t>Corpus Christi</t>
  </si>
  <si>
    <t>Ingleside</t>
  </si>
  <si>
    <t>Old Ocean</t>
  </si>
  <si>
    <t>Plant supplies high-purity hydrogen to the Phillips 66 Sweeny Refinery under a long-term supply agreement. Also serves other customers, taking the total capacity to approximately 1.5 billion cubic feet per day.</t>
  </si>
  <si>
    <t>La Porte</t>
  </si>
  <si>
    <t>By-product hydrogen from Occidental was purified at Deer Park, compressed at La Porte, and pipelined to FMC Corporation’s hydrogen peroxide plant and other local companies.</t>
  </si>
  <si>
    <t>Plant serves industrial customers along the Gulf Coast from Freeport to Port Arthur, Texas, including the 85-mile long pipeline built recently.</t>
  </si>
  <si>
    <t>Butler</t>
  </si>
  <si>
    <t>Air Products</t>
  </si>
  <si>
    <t>On-site for AK Steel Corporation. Excess production is marketed by the Industrial Gases Division.</t>
  </si>
  <si>
    <t>Carson</t>
  </si>
  <si>
    <t>On-site plant. The plant is supplying Shell Oil Products and BP America with high-purity hydrogen. The plant is also connected to Air Products’ existing Los Angeles Basin pipeline network to supply product to other local refineries.</t>
  </si>
  <si>
    <t>Catlettsburg</t>
  </si>
  <si>
    <t>Kentucky</t>
  </si>
  <si>
    <t>“Over-the-fence” arrangement for supply to Marathon Ashland Petroleum’s refinery. Technip design.</t>
  </si>
  <si>
    <t>Cincinnati</t>
  </si>
  <si>
    <t>Ohio</t>
  </si>
  <si>
    <t>Fatty Acids</t>
  </si>
  <si>
    <t>On-site plant for Cognis Corporation’s fatty acids plant.</t>
  </si>
  <si>
    <t>Delaware City</t>
  </si>
  <si>
    <t>Delaware</t>
  </si>
  <si>
    <t>The plant was planned to process streams from PBF's refinery at Delaware City and Paulsboro, New Jersey, mainly to serve the 100 ppm sulfur standards in gasoline by 2017. In 2016, weak financial earnings prompted PBF to indefinitely postpone the project. The refinery is now operating.</t>
  </si>
  <si>
    <t>Gallatin</t>
  </si>
  <si>
    <t>Tennessee</t>
  </si>
  <si>
    <t>Hoegenis powdered metals</t>
  </si>
  <si>
    <t>Hannibal</t>
  </si>
  <si>
    <t>Missouri</t>
  </si>
  <si>
    <t>On-site plant for BASF Corporation’s pesticide plant.</t>
  </si>
  <si>
    <t>Joliet</t>
  </si>
  <si>
    <t>Plant located adjacent to ExxonMobil’s refinery. Plant came onstream in October 2006. Technip design.</t>
  </si>
  <si>
    <t>Massena</t>
  </si>
  <si>
    <t>New York</t>
  </si>
  <si>
    <t>Power</t>
  </si>
  <si>
    <t>The New York Power Authority will provide Air Products with low-cost electricity.</t>
  </si>
  <si>
    <t>Martinez</t>
  </si>
  <si>
    <t>On-site for Tesoro Corporation’s refinery. Expanded from 25 million SCF per day.</t>
  </si>
  <si>
    <t>Middleton</t>
  </si>
  <si>
    <t>Plant will supply hydrogen for AK Steel’s operations and also for the merchant market. Uses the PRISM® Hydrogen Generator.</t>
  </si>
  <si>
    <t>Midland</t>
  </si>
  <si>
    <t>Michigan</t>
  </si>
  <si>
    <t>On-site plant for Cabot Corporation’s fumed silica facility. Plant design by Technip.</t>
  </si>
  <si>
    <t xml:space="preserve">Mont Belview </t>
  </si>
  <si>
    <t>Propane Dehydrogenation</t>
  </si>
  <si>
    <t>APCI signed an agreement with Enterprise Products Operating LLC to build, own, and operate the plant to serve refinery and petrochemical customers via its Gulf Coast Connection Pipeline Systems.</t>
  </si>
  <si>
    <t>New Orleans</t>
  </si>
  <si>
    <t>Plant supplies ExxonMobil’s Chalmette, Louisiana, refinery and other refinery and chemical customers by pipeline. The hydrogen plant had previously supplied Air Product’s ammonia plant in New Orleans, which is now closed. Two additional steam methane reformers supply Air Products and Chemicals, Inc.’s liquid plant. (See listing under liquid producing locations.)</t>
  </si>
  <si>
    <t>Osceola</t>
  </si>
  <si>
    <t>Arkansas</t>
  </si>
  <si>
    <t>The PRISM ® hydrogen generator will supply Big River Steel for hot rolled steel facility via pipelines.</t>
  </si>
  <si>
    <t>Port Arthur</t>
  </si>
  <si>
    <t>Mostly captive for refinery operations.</t>
  </si>
  <si>
    <t>Sacramento</t>
  </si>
  <si>
    <t>Liquid</t>
  </si>
  <si>
    <t>Gas plant supplies Air Products and Chemicals, Inc.’s liquid plant. (See listing under liquid producing locations.)</t>
  </si>
  <si>
    <t>Salisbury</t>
  </si>
  <si>
    <t>Maryland</t>
  </si>
  <si>
    <t>On-site plant for Perdue.</t>
  </si>
  <si>
    <t>St. Charles</t>
  </si>
  <si>
    <t>Air Products and Technip are working to bring on a world-scale hydrogen plant for refinery use that is scheduled to come onstream after 2015. Capacity is believed to be about 100,000 scfd.</t>
  </si>
  <si>
    <t>Tuscola</t>
  </si>
  <si>
    <t>Fumed silica</t>
  </si>
  <si>
    <t>Westlake</t>
  </si>
  <si>
    <t>Plant has a capacity in excess of 100 million standard cubic feet per day and serves ConocoPhillips, Citgo, and other refining companies’ growing requirements for hydrogen. It is also linked to Air Products’ existing hydrogen pipeline network, extending it approximately 40 miles to Lake Charles.</t>
  </si>
  <si>
    <t>Wilmington</t>
  </si>
  <si>
    <t>Customers include Valero’s refinery (50 million SCF per day) and Tesoro (25 million SCF per day). Valero executed a long-term agreement in 2002 for additional volumes.</t>
  </si>
  <si>
    <t>Ascension Parish</t>
  </si>
  <si>
    <t>Transportation</t>
  </si>
  <si>
    <t>Capacity is 750 MMSCFD and will be used in transportation. Plant is expected to be in operation by 2026.</t>
  </si>
  <si>
    <t>Baton Rouge</t>
  </si>
  <si>
    <t>The plant serves ExxonMobil’s refinery and other customers in the region.</t>
  </si>
  <si>
    <t>Convent</t>
  </si>
  <si>
    <t>The facility, located at the Motiva refinery, supplies hydrogen to the Motiva Enterprises LLC and Marathon Ashland Petroleum LLC refineries, as well as other customers along a 90-mile pipeline network from Baton Rouge to Norco, Louisiana.</t>
  </si>
  <si>
    <t>The facility was purchased from Markwest Energy Partners when it was under construction. Both of them have signed an agreement for Air Products to provide hydrogen and steam to MarkWest. MarkWest will combine this with its existing production capabilities to deliver hydrogen to local refinery customers.</t>
  </si>
  <si>
    <t>Garyville</t>
  </si>
  <si>
    <t>Facility supplies Marathon Petroleum Company’s Garyville refinery operations and is onstream in conjunction with Marathon’s refinery expansion project.</t>
  </si>
  <si>
    <t>Gesimar</t>
  </si>
  <si>
    <t>By-product hydrogen and carbon monoxide are recovered from BASF Corporation’s acetylene plant. A substantial portion of the output is used by BASF. It is currently working on increasing its carbon monoxide capacity to supply a formic acid facility that BASF is building. Operations commenced in mid-2014.</t>
  </si>
  <si>
    <t>By-product hydrogen is from Williams Olefins LLC’s ethylene plant.</t>
  </si>
  <si>
    <t>Hydrogen and carbon monoxide are produced as coproducts for oxo alcohol production at Shell’s facility.</t>
  </si>
  <si>
    <t>Chemicals. Capacity if 50 million scfd. Serves Huntsman and connected to the Gulf pipeline network.</t>
  </si>
  <si>
    <t>Supply to Murphy Oil’s hydrocracker. Air Products owns and operates the facility located next to its existing site and supplies the long-term contract via the existing pipeline system.</t>
  </si>
  <si>
    <t>Air Products will build, own, and operate the SMR on land leased at Huntsmann's facility.</t>
  </si>
  <si>
    <t>Plaquemine</t>
  </si>
  <si>
    <t>Hydrogen from Dow Chemical USA’s chlorine–sodium hydroxide plant at Plaquemine, Louisiana, is purified at this location.</t>
  </si>
  <si>
    <t>Supplies additional hydrogen to Valero’s St. Charles refinery and Port Arthur, Texas, facilities. Part of Air Products’ pipeline network extending from the Houston Ship Channel to New Orleans, Louisiana. Start-up during the second half of 2013.</t>
  </si>
  <si>
    <t>Taft</t>
  </si>
  <si>
    <t>Recovered from Occidental Petroleum Corporation.</t>
  </si>
  <si>
    <t>Baytown</t>
  </si>
  <si>
    <t>On-site plant for Bayer Corporation (now Covestro) supplements a captive unit.</t>
  </si>
  <si>
    <t>Air Products receives feedgas from ExxonMobil’s syngas operations. Purified gas goes to ExxonMobil and also to the Texas pipeline serving other customers. Starting in April 2010, additional supply agreements were signed for supply through the West Gulf Coast pipeline network.</t>
  </si>
  <si>
    <t xml:space="preserve">Both products have been sold prior to plant opening. Hydrogen and carbon monoxide (CO) are supplied to Covestro and to other customers linked to Air Products’ Gulf Coast Hydrogen and CO Pipeline Networks. </t>
  </si>
  <si>
    <t>Detroit</t>
  </si>
  <si>
    <t>Product is used at Marathon Petroleum Company expansion project to deal with heavy oil upgrading process.</t>
  </si>
  <si>
    <t>Lakes Charles</t>
  </si>
  <si>
    <t>“Over-the-fence” supply for ConocoPhillip’s oil refinery operations and is connected to the hydrogen pipeline network. Technip-Coflexip design.</t>
  </si>
  <si>
    <t>Hydrogen source is Occidental Petroleum Corporation’s chlorine–sodium hydroxide plant at La Porte, Texas.</t>
  </si>
  <si>
    <t>POX</t>
  </si>
  <si>
    <t>Texaco gasification technology.</t>
  </si>
  <si>
    <t>Luling</t>
  </si>
  <si>
    <t>Product supplies nearby refineries and petrochemical plants via the Gulf Coast pipeline network. Also, additional hydrogen is produced via a clean-up of a hydrogen-rich off-gas feed coming from Monsanto. Monsanto will use steam from Air Products’ SMR process to benefit its Roundup® production plant, whose capacity expanded by 20%. Construction done by Technip.</t>
  </si>
  <si>
    <t>Pasadena</t>
  </si>
  <si>
    <t>Plant was brought onstream to serve Lyondell and others.</t>
  </si>
  <si>
    <t>Primary consumption is by Valero refinery and the balance is sent to the pipeline.</t>
  </si>
  <si>
    <t xml:space="preserve">Deer Park </t>
  </si>
  <si>
    <t>By-product from acetylene manufacture is sold to Shell Chemical Company for oxo chemicals production.</t>
  </si>
  <si>
    <t>Wilberger County</t>
  </si>
  <si>
    <t>The facility is due to begin commercial operations in 2027.</t>
  </si>
  <si>
    <t>Hydrogen is recovered, purified, and sold for refinery use.</t>
  </si>
  <si>
    <t>The plant processes streams from PBF's refinery at Delaware City and Paulsboro, New Jersey, mainly to serve the 100 ppm sulfur standards in gasoline.</t>
  </si>
  <si>
    <t>Clear Lake</t>
  </si>
  <si>
    <t>Coffeyville</t>
  </si>
  <si>
    <t>Coffeyville Resources Refining &amp; Marketing</t>
  </si>
  <si>
    <r>
      <t>The plant with EPC done by CB&amp;I will supply high-purity hydrogen for Coffeyville refinery operations using HYFORMING</t>
    </r>
    <r>
      <rPr>
        <vertAlign val="superscript"/>
        <sz val="7"/>
        <color theme="1"/>
        <rFont val="Arial"/>
        <family val="2"/>
      </rPr>
      <t>TM</t>
    </r>
    <r>
      <rPr>
        <sz val="11"/>
        <color theme="1"/>
        <rFont val="Calibri"/>
        <family val="2"/>
        <scheme val="minor"/>
      </rPr>
      <t xml:space="preserve"> box furnace technology.</t>
    </r>
  </si>
  <si>
    <t xml:space="preserve">Charleston </t>
  </si>
  <si>
    <t>General Hydrogen</t>
  </si>
  <si>
    <t>Plant at Olin site</t>
  </si>
  <si>
    <t>Proctor</t>
  </si>
  <si>
    <t>West Virginia</t>
  </si>
  <si>
    <t>Plant at PPG site.</t>
  </si>
  <si>
    <t>Sauget</t>
  </si>
  <si>
    <t>Industrial Gas Products</t>
  </si>
  <si>
    <t>Crawfordsville</t>
  </si>
  <si>
    <t>Linde</t>
  </si>
  <si>
    <t>From BOC. On-site plant for Nucor Steel.</t>
  </si>
  <si>
    <t>From BOC. On-site plant for Valero refinery’s new diesel hydrotreating unit.</t>
  </si>
  <si>
    <t>Decatur</t>
  </si>
  <si>
    <t>Alabama</t>
  </si>
  <si>
    <t>Food</t>
  </si>
  <si>
    <t>On-site plant for Solutia Inc.’s hexamethylenediamine plant. Hydrogen will also be pipelined to Bunge Foods Group and other customers.</t>
  </si>
  <si>
    <t>The hydrogen is used for producing transportation fuels at Deer Park Refining Company, which is a 50:50 joint venture of Shell and PMI Norteamerica S.A. de C.V., a wholly owned subsidiary of Petroleos Mexicanos (Pemex). Linde invested $50 million to supply the hydrogen via a 14-mile pipeline network connected to its facilities in the Houston Ship Channel. Hydrogen will be used for production of ultra-low sulfur diesel.</t>
  </si>
  <si>
    <t>Lemont</t>
  </si>
  <si>
    <t>From BOC. On-site plant for supply to Citgo Petroleum’s refinery operations. Divested to Matheson as part of Linde-Praxair merger.</t>
  </si>
  <si>
    <t>On-site plant for CITGO to produce ultra-low sulfur diesel. Divested to Matheson as part of Linde-Praxair merger.</t>
  </si>
  <si>
    <t>McIntosh</t>
  </si>
  <si>
    <t>The plant supplies industrial-grade hydrogen for gas oil hydrotreating by Shell. Divested to Matheson as part of Linde-Praxair merger.</t>
  </si>
  <si>
    <t>Salt Lake City</t>
  </si>
  <si>
    <t>Utah</t>
  </si>
  <si>
    <t>From BOC. Facility supplies the Chevron and Holly Corp. oil refineries. Linde supplies Chevron on-site and pipes it to Holly, 5 miles away.</t>
  </si>
  <si>
    <t>Saraland</t>
  </si>
  <si>
    <t>Facility supplies Shell Chemical LP with hydrogen for its 80,000 barrel per day refinery that upgrades heavy gas oil. Divested to Matheson as part of Linde-Praxair merger.</t>
  </si>
  <si>
    <t>Toledo</t>
  </si>
  <si>
    <t>From BOC. Plant supplies the Sunoco and BP America refineries and to other potential customers in the region.</t>
  </si>
  <si>
    <t>Chester</t>
  </si>
  <si>
    <t>From BOC. On-site plant for Weirton Steel for annealing strip steel.</t>
  </si>
  <si>
    <t>Belle</t>
  </si>
  <si>
    <t>On-site plant for DuPont.</t>
  </si>
  <si>
    <t>Belvidere</t>
  </si>
  <si>
    <t>New Jersey</t>
  </si>
  <si>
    <t>On-site plant for DSM.</t>
  </si>
  <si>
    <t>Butte</t>
  </si>
  <si>
    <t>Montana</t>
  </si>
  <si>
    <t>On-site plant for Advanced Silicon Materials Incorporated’s polysilicon manufacturing facility.</t>
  </si>
  <si>
    <t>Deepwater</t>
  </si>
  <si>
    <t>Ecorse</t>
  </si>
  <si>
    <t>Hydrogen is supplied to Rouge Steel, Inc. via a six-mile pipeline. The hydrogen is used in steel annealing.</t>
  </si>
  <si>
    <t>Fairless Hills</t>
  </si>
  <si>
    <t>On-site plant for Puralube and USX Corporation.</t>
  </si>
  <si>
    <t>Hydrogen supply supports an ultra-low-sulfur diesel project. The hydrogen is supplied through Praxair’s Southeast Louisiana pipeline network.</t>
  </si>
  <si>
    <t>Acquired from Liquid Carbonic Industries Corp. in 1996. Original plant was brought onstream in 1971 by Davy Powergas Inc. Linde AG (Germany) supplied cryogenic equipment. Facility was expanded in 1982, 1989, and 1997. Product is pipelined to Rubicon and ICI Americas for isocyanates production. In 1997, a 34-mile pipeline to Baton Rouge, Louisiana, was added to supply an ExxonMobil refinery. In 2019, Linde (formerly Praxair) completied a new project to increase carbon monoxide supply to the region.</t>
  </si>
  <si>
    <t>Supports the industrial gas needs of Exxon, Rubicon Inc., and other customers. Linde (formerly Praxair) is expanding its carbon monoxide production by adding 13 million cubic feet/day carbon monoxide purification train and a new carbon monoxide cold box, started in 2020.</t>
  </si>
  <si>
    <t>Praxair (now Linde) designed, built, and owns a new syngas unit that started in 2020. The produces high-purity CO from a crude syngas feed.</t>
  </si>
  <si>
    <t>Institute</t>
  </si>
  <si>
    <t>Plant primarily used for CO production.</t>
  </si>
  <si>
    <t>Acquired from Liquid Carbonic Industries Corp. in 1996.</t>
  </si>
  <si>
    <t>Hydrogen is pipelined to Citgo Petroleum Corporation for refinery use.</t>
  </si>
  <si>
    <t>Norcross</t>
  </si>
  <si>
    <t>Georgia</t>
  </si>
  <si>
    <t>On-site plant for AT&amp;T’s fiber optics facility. Hydrogen is purified to 99.999% via PSA.</t>
  </si>
  <si>
    <t>On-site plant for AT&amp;T’s fiber optics facility.</t>
  </si>
  <si>
    <t>On-site supply to Motiva Enterprises, LLC for refinery operations. After Motiva's hydrocracker and diesel hydrotreater capacity expansion in 2016, Linde (formerly Praxair) has increased hydrogen supply.</t>
  </si>
  <si>
    <t>On-site supply to Valero for refinery operations.</t>
  </si>
  <si>
    <t>Richmond</t>
  </si>
  <si>
    <t>On-site supply to Chevron Product Company’s Richmond refinery. Technology supplied by Lurgi. Linde (formerly Praxair) will also be constructing a pipeline to supply other Northern California refiners.</t>
  </si>
  <si>
    <t>Seymour</t>
  </si>
  <si>
    <t>On-site plant for Kobelco Metal Powders of America, Inc. Plant uses technology developed by International Fuel Cells Corporation.</t>
  </si>
  <si>
    <t>On-site plant for Valero that consumes 120 mm scfd. Pipeline from this plant will connect to Praxair’s Geismar, Louisiana complex.</t>
  </si>
  <si>
    <t>Texas City</t>
  </si>
  <si>
    <t>The hydrogen plant purifies hydrogen and supplies high-purity hydrogen to Valero's Texas City refinery and to Valero's Houston refinery via pipeline, as well as other customers connected to Praxair's Gulf Coast hydrogen pipeline.</t>
  </si>
  <si>
    <t>On-site plant at Valero’s refinery.</t>
  </si>
  <si>
    <t>Supplies refineries in the Texas City and Port Arthur area along the 300-mile pipeline.</t>
  </si>
  <si>
    <t>Pipeline to ConocoPhillips.</t>
  </si>
  <si>
    <t>West Leechburg</t>
  </si>
  <si>
    <t>On-site plant for ATI Allegheny Ludlum Corp.’s steel mill.</t>
  </si>
  <si>
    <t>Channelview</t>
  </si>
  <si>
    <t>Hydrogen is recovered from Lyondell Petrochemical Company. A portion of the purified hydrogen is returned to Lyondell.</t>
  </si>
  <si>
    <t>Hydrogen is recovered from LyondellBasell (Equistar Chemicals). Approximately half of the recovered hydrogen is used by Millennium Petrochemicals. Linde (formerly Praxair) signed an agreement to supply Solvay Chemicals’ hydrogen peroxide plant. Praxair has also inked an agreement to supply Shell Oil’s Deer Park facility from its pipeline.</t>
  </si>
  <si>
    <t>Mont Belvieu</t>
  </si>
  <si>
    <t>Hydrogen sources include Chevron Chemical Company and Warren Petroleum Company, L.P.</t>
  </si>
  <si>
    <t>Hydrogen is recovered from Dow’s plant. Product is believed to be supplied to BP and others.</t>
  </si>
  <si>
    <t>Linde (formerly Praxair) provides hydrogen to Dow's facility. Hydrogen is distributed through Linde (formerly Praxair)’s US Gulf Coast pipeline network to Dow’s Texas City and Freeport facilities and also serves other customers in the region. Linde (formerly Praxair) already had pipeline access to Texas City and recently extended its US Gulf Coast pipeline systems approximately 46 miles to the Freeport area. The 20-year agreement supplies approximately 170 million standard cubic feet per day of hydrogen and 2,000 tons per day of nitrogen to a 750,000 metric ton-per-year ammonia complex.</t>
  </si>
  <si>
    <t>Olefins by-product.</t>
  </si>
  <si>
    <t>Whiting</t>
  </si>
  <si>
    <t>The pipeline primarily serves accounts in the metals industry.</t>
  </si>
  <si>
    <t>New plant built to supply hydrogen to BP’s Whiting, Indiana, refinery over a 20-year period. Linde (formerly Praxair) will also supply other customers in northern Indiana.</t>
  </si>
  <si>
    <t>Two plants to be built to supply BP’s Whiting refinery for the production of low-sulfur gasoline and diesel and to upgrade heavy Canadian crude to lighter fuels. The plant also supplies hydrogen to other customers in northern Indiana.</t>
  </si>
  <si>
    <t>Lima</t>
  </si>
  <si>
    <t>On-site plant for BP’s butanediol unit. Acquired from Linde as part of Linde-Praxair merger.</t>
  </si>
  <si>
    <t>Supplies hydrogen via pipeline to Husky Energy Petroleum. Acquired from Linde as part of Linde-Praxair merger.</t>
  </si>
  <si>
    <t>Plant supplies Lima Refining Company. Acquired from Linde as part of Linde-Praxair merger.</t>
  </si>
  <si>
    <t>Mobile</t>
  </si>
  <si>
    <t>Capacity is 30 million scfd for producing renewable diesel.</t>
  </si>
  <si>
    <t>Pecos County</t>
  </si>
  <si>
    <t>MMEX Resources Corp</t>
  </si>
  <si>
    <t>Project will utilize the Siemens Energy electrolyzer technology and will utilize solar power for generating power for the  electrolyzers.</t>
  </si>
  <si>
    <t>Beaumount</t>
  </si>
  <si>
    <t>New Fortress Energy</t>
  </si>
  <si>
    <t>Capacity is expected to be about 50 metric tons per day and uses Plug Powers PEM technology. The plant is expected to be designed for scale up to 500 MW.</t>
  </si>
  <si>
    <t>Plug Power</t>
  </si>
  <si>
    <t>Facility is located near Neches River and accessible to industrial users.</t>
  </si>
  <si>
    <t>Prime Gas Inc.</t>
  </si>
  <si>
    <t>T&amp;P Syngas Supply Co</t>
  </si>
  <si>
    <t>Plant supplies 52 million SCF per day of synthesis gas to Sterling Chemicals, Inc. and others. Texaco gasification technology. Linde (formerly Praxair) provides the raw materials and receives the syngas and steam produced. T&amp;P Syngas receives a processing fee for its services. Linde (formerly Praxair) operates the facility.</t>
  </si>
  <si>
    <t>Louisville</t>
  </si>
  <si>
    <t>AarhusKarlsham USA</t>
  </si>
  <si>
    <t>Captive</t>
  </si>
  <si>
    <t>Fats and Oils Hydrogenation</t>
  </si>
  <si>
    <t>Fats and oils hydrogenation. AAK acquired the plant from Golden Foods in 2011.</t>
  </si>
  <si>
    <t>Jacksonville</t>
  </si>
  <si>
    <t>ACH Food Companies Inc</t>
  </si>
  <si>
    <t>Fats and oils hydrogenation. Acquired from Kraft Foods, Inc.</t>
  </si>
  <si>
    <t>Adisseo USA Inc.</t>
  </si>
  <si>
    <t>Chemicals Production</t>
  </si>
  <si>
    <t>St. Joseph</t>
  </si>
  <si>
    <t>Ag Processing Inc</t>
  </si>
  <si>
    <t>Fats and oils hydrogenation</t>
  </si>
  <si>
    <t>Refinery operations. Plant was acquired by Valero from Motiva in 2005. In 2010, PBF Energy, a subsidiary of Switzerland-based Petroplus Holdings bought the refinery from Valero after Valero announced it will be shutting down the unit. PBF Energy commenced production in 2011. Acquired by Air Products in 2020.</t>
  </si>
  <si>
    <t>Huntsville</t>
  </si>
  <si>
    <t>Allegheny Technologies Inc.</t>
  </si>
  <si>
    <r>
      <t>Tungsten and molybdenum metal production.</t>
    </r>
    <r>
      <rPr>
        <vertAlign val="superscript"/>
        <sz val="7"/>
        <color theme="1"/>
        <rFont val="Arial"/>
        <family val="2"/>
      </rPr>
      <t>a</t>
    </r>
  </si>
  <si>
    <t>Torrance</t>
  </si>
  <si>
    <t>Bakersfield</t>
  </si>
  <si>
    <t>Alon USA Energy Corp.</t>
  </si>
  <si>
    <t>Refinery operations. Purchased from Big West in 2010, which purchased the refinery from Shell in 2005.</t>
  </si>
  <si>
    <t>Wright</t>
  </si>
  <si>
    <t>Wyoming</t>
  </si>
  <si>
    <t>Anadarko Petroleum Company</t>
  </si>
  <si>
    <t>ADM</t>
  </si>
  <si>
    <t>Des Moines</t>
  </si>
  <si>
    <t>Iowa</t>
  </si>
  <si>
    <t>Lincoln</t>
  </si>
  <si>
    <t>Nebraska</t>
  </si>
  <si>
    <t>Mankato</t>
  </si>
  <si>
    <t>Minnesota</t>
  </si>
  <si>
    <t>Memphis</t>
  </si>
  <si>
    <t>Arkema Inc</t>
  </si>
  <si>
    <t>Hydrogen peroxide production. Acquired from DuPont in late 1997.</t>
  </si>
  <si>
    <t>Pensacola</t>
  </si>
  <si>
    <t>Florida</t>
  </si>
  <si>
    <t>Ascend Performance Materials</t>
  </si>
  <si>
    <t>BASF</t>
  </si>
  <si>
    <t>Synthesis gas for oxo chemicals.</t>
  </si>
  <si>
    <t>Ferndale</t>
  </si>
  <si>
    <t>BP</t>
  </si>
  <si>
    <t>Toldeo</t>
  </si>
  <si>
    <t>Bunge Foods</t>
  </si>
  <si>
    <t>Chattanooga</t>
  </si>
  <si>
    <t>Council Bluffs</t>
  </si>
  <si>
    <t>Fort Worth</t>
  </si>
  <si>
    <t>Colton Valley</t>
  </si>
  <si>
    <t>Calumet Lubricants</t>
  </si>
  <si>
    <t>Princeton</t>
  </si>
  <si>
    <t>Shreveport</t>
  </si>
  <si>
    <t>Great Falls</t>
  </si>
  <si>
    <t>Caluat Montana Refining LLC</t>
  </si>
  <si>
    <t>Karns City</t>
  </si>
  <si>
    <t>Calumet Penreco LLC</t>
  </si>
  <si>
    <t>White mineral oil and petrolatums. Calumet acquired Penreco in 2008.</t>
  </si>
  <si>
    <t>Charlotte</t>
  </si>
  <si>
    <t>North Carolina</t>
  </si>
  <si>
    <t>Cargill Foods</t>
  </si>
  <si>
    <t>Gainesville</t>
  </si>
  <si>
    <t>Sidney</t>
  </si>
  <si>
    <t>Sioux City</t>
  </si>
  <si>
    <t>Wichita</t>
  </si>
  <si>
    <t>Bayamon</t>
  </si>
  <si>
    <t>Puerto Rico</t>
  </si>
  <si>
    <t>Caribbean Petroleum Corp</t>
  </si>
  <si>
    <t xml:space="preserve">Beaumont </t>
  </si>
  <si>
    <t>The Chemours Company</t>
  </si>
  <si>
    <t>Aniline production</t>
  </si>
  <si>
    <t>Chevron</t>
  </si>
  <si>
    <t>Pascagoula</t>
  </si>
  <si>
    <t>Mississippi</t>
  </si>
  <si>
    <t>Refinery operations. Capacity raised to 280 million scfd total for the two trains in late 2008.</t>
  </si>
  <si>
    <t>Borger</t>
  </si>
  <si>
    <t>Laurel</t>
  </si>
  <si>
    <t>CHS</t>
  </si>
  <si>
    <t>Plant will increase diesel production and process additional crudes at the refinery.</t>
  </si>
  <si>
    <t>CITGO</t>
  </si>
  <si>
    <t>In 2010, Linde built a new plant to supply the Lemont refinery.</t>
  </si>
  <si>
    <t>Covestro</t>
  </si>
  <si>
    <t>Synthesis gas for chemical production. Formerly Miles Inc.</t>
  </si>
  <si>
    <t>Smackover</t>
  </si>
  <si>
    <t>Cross Oil Refining &amp; Marketing</t>
  </si>
  <si>
    <t>Wynnewood</t>
  </si>
  <si>
    <t>Oklahoma</t>
  </si>
  <si>
    <t>CVR Energy</t>
  </si>
  <si>
    <t>Refinery operations. Plant acquired from Gary-Williams Energy in 2011.</t>
  </si>
  <si>
    <t>Anniston</t>
  </si>
  <si>
    <t>Eastman Chemical Company</t>
  </si>
  <si>
    <t>Formerly with Solutia. Eastman acquired Solutia in 2012. Chemicals production. Additional hydrogen is purchased from Lagus Corporation’s pipeline.</t>
  </si>
  <si>
    <t>Kingsport</t>
  </si>
  <si>
    <t>Synthesis gas for oxo chemicals. Plant was built by Lotepro.</t>
  </si>
  <si>
    <t>Longview</t>
  </si>
  <si>
    <t>Vicksburg</t>
  </si>
  <si>
    <t>Ergon Refining Inc</t>
  </si>
  <si>
    <t>Newell</t>
  </si>
  <si>
    <t>Mapleton</t>
  </si>
  <si>
    <t>Evonik</t>
  </si>
  <si>
    <t>Theodore</t>
  </si>
  <si>
    <t>Exxon</t>
  </si>
  <si>
    <t>Billings</t>
  </si>
  <si>
    <t>LaBarge</t>
  </si>
  <si>
    <t>Syngas</t>
  </si>
  <si>
    <t>St. Paul</t>
  </si>
  <si>
    <t>Flint Hills Resources L.P.</t>
  </si>
  <si>
    <t>Euclid</t>
  </si>
  <si>
    <t>GE</t>
  </si>
  <si>
    <t>Production is consumed captively for tungsten metal production and sold locally through Linde and other industrial gas companies.</t>
  </si>
  <si>
    <t>Artesia</t>
  </si>
  <si>
    <t>New Mexico</t>
  </si>
  <si>
    <t>HollyFrontier Corp</t>
  </si>
  <si>
    <t>El Dorado</t>
  </si>
  <si>
    <t>Cheyenne</t>
  </si>
  <si>
    <t>Tuscaloosa</t>
  </si>
  <si>
    <t>Hunt Refining Company</t>
  </si>
  <si>
    <t>Husky Energy Corp</t>
  </si>
  <si>
    <t>Indorama Ventures Xylenes &amp; PTA LLC</t>
  </si>
  <si>
    <t>New Castle</t>
  </si>
  <si>
    <t>Ingredion Inc.</t>
  </si>
  <si>
    <t>Sorbital Production</t>
  </si>
  <si>
    <t>Island Energy</t>
  </si>
  <si>
    <t>Lion Oil Company</t>
  </si>
  <si>
    <t>Marathon</t>
  </si>
  <si>
    <t>Monsanto Company</t>
  </si>
  <si>
    <t>Motiva Enterprises LLC</t>
  </si>
  <si>
    <t>Norco</t>
  </si>
  <si>
    <t>McPherson</t>
  </si>
  <si>
    <t>National Cooperative Refinery Association</t>
  </si>
  <si>
    <t>St Paul Park</t>
  </si>
  <si>
    <t>Northern Tier Energy</t>
  </si>
  <si>
    <t>Bay City</t>
  </si>
  <si>
    <t>OQ Chemicals</t>
  </si>
  <si>
    <t>Par Petroleum Corp</t>
  </si>
  <si>
    <t>Paulsboro</t>
  </si>
  <si>
    <t>PBF Energy</t>
  </si>
  <si>
    <t>Penn A Chem</t>
  </si>
  <si>
    <t>Furfural production</t>
  </si>
  <si>
    <t>Belle Chasse</t>
  </si>
  <si>
    <t xml:space="preserve">Phillips 66 </t>
  </si>
  <si>
    <t>Carson &amp; Wilmington</t>
  </si>
  <si>
    <t>Phillips 66</t>
  </si>
  <si>
    <t>Hartford</t>
  </si>
  <si>
    <t>Linden</t>
  </si>
  <si>
    <t>Ponca City</t>
  </si>
  <si>
    <t>Plains LPG Services</t>
  </si>
  <si>
    <t>Captive for isobutene</t>
  </si>
  <si>
    <t>PMC Biogenix</t>
  </si>
  <si>
    <t>Stuttgart</t>
  </si>
  <si>
    <t>Riceland Foods</t>
  </si>
  <si>
    <t>Richardon International</t>
  </si>
  <si>
    <t>San Joaquin Refining Company</t>
  </si>
  <si>
    <t>Sasol North America Inc</t>
  </si>
  <si>
    <t>Shell</t>
  </si>
  <si>
    <t>Yabucoa</t>
  </si>
  <si>
    <t>Synthesis gas for oxo chemicals</t>
  </si>
  <si>
    <t>Solvay Chemicals Inc</t>
  </si>
  <si>
    <t>Captive for hydrogen peroxide</t>
  </si>
  <si>
    <t>Petrolia</t>
  </si>
  <si>
    <t>Sonneborn</t>
  </si>
  <si>
    <t>Silsbee</t>
  </si>
  <si>
    <t>South Hampton Resources</t>
  </si>
  <si>
    <t>Captive for solvent production and toll processing</t>
  </si>
  <si>
    <t>Commerce City</t>
  </si>
  <si>
    <t>Colorado</t>
  </si>
  <si>
    <t>Suncor Energy USA</t>
  </si>
  <si>
    <t>Marcus Hook</t>
  </si>
  <si>
    <t>Sunoco</t>
  </si>
  <si>
    <t>Kenai</t>
  </si>
  <si>
    <t>Alaska</t>
  </si>
  <si>
    <t>Tesoro Alaska company</t>
  </si>
  <si>
    <t>Tesoro Hawaii company</t>
  </si>
  <si>
    <t>Raleigh</t>
  </si>
  <si>
    <t>Tyco Healthcare Pharma Group</t>
  </si>
  <si>
    <t>Pharmaceuticals</t>
  </si>
  <si>
    <t>Ardmore</t>
  </si>
  <si>
    <t>Valero</t>
  </si>
  <si>
    <t>Benicia</t>
  </si>
  <si>
    <t>Three Rivers</t>
  </si>
  <si>
    <t>Elma</t>
  </si>
  <si>
    <t>Vertellus Performance Chemicals</t>
  </si>
  <si>
    <t>Metal hydride production</t>
  </si>
  <si>
    <t>WRB Refining LLC</t>
  </si>
  <si>
    <t>Wood River</t>
  </si>
  <si>
    <t>Ashtabula</t>
  </si>
  <si>
    <t>Ashta Chemicals</t>
  </si>
  <si>
    <t>Fuel</t>
  </si>
  <si>
    <t>BASF Corporation</t>
  </si>
  <si>
    <t>Hydrogen and carbon monoxide from BASF Corporation’s acetylene plant are purified by Air Products. BASF is a major consumer of the hydrogen and carbon monoxide. Linde (formerly Praxair)constructed a new plant that started in 2020 that produces syngas from crude oil.</t>
  </si>
  <si>
    <t>DOW Chemical</t>
  </si>
  <si>
    <t>Sold to Air Products (30,000 thousand cubic feet per day) for pipeline distribution.</t>
  </si>
  <si>
    <t>Sold to Linde (formerly Praxair), Inc. for distribution via pipeline (36 million SCF per day).</t>
  </si>
  <si>
    <t>Linde (formerly Praxair) is processing, recovering, and compressing by-product hydrogen from Dow’s ethylene production facilities, which includes the ethylene cracker that came on in 2017.</t>
  </si>
  <si>
    <t>Orange</t>
  </si>
  <si>
    <t>DuPont</t>
  </si>
  <si>
    <t>Captive for chemicals and pipelined to DuPont’s Beaumont, Texas, plant for aniline production.</t>
  </si>
  <si>
    <t>Columbus</t>
  </si>
  <si>
    <t>Eka Chemicals Inc</t>
  </si>
  <si>
    <t>Captive for hydrogen peroxide production (20%); remainder burned as fuel or vented.</t>
  </si>
  <si>
    <t>Moses Lake</t>
  </si>
  <si>
    <t>Burned as fuel</t>
  </si>
  <si>
    <t>Equistar Chemicals</t>
  </si>
  <si>
    <t>Excess synthesis gas from the methanol units is sold over the fence to Lyondell for 1,4-butanediol production.</t>
  </si>
  <si>
    <t>Port Edwards</t>
  </si>
  <si>
    <t>Wisconsin</t>
  </si>
  <si>
    <t>Captive for hydrochloric acid production (1,170 thousand SCF per day); fuel. Occidental sold Port Edwards facility to ERCO as part of its acquisition of the Geismar, Louisiana, and Wichita, Kansas, facilities from Vulcan Chemicals.</t>
  </si>
  <si>
    <t>Valdosta</t>
  </si>
  <si>
    <t>Used internally. Most is used as fuel to generate electricity; minor quantities used for chemicals production.</t>
  </si>
  <si>
    <t>Formosa Plastics Corporation</t>
  </si>
  <si>
    <t>Point Comfort</t>
  </si>
  <si>
    <t>Onstream in 1994. Captive for hydrochloric acid.</t>
  </si>
  <si>
    <t>Augusta</t>
  </si>
  <si>
    <t>Kemira</t>
  </si>
  <si>
    <t>Eastover</t>
  </si>
  <si>
    <t>South Carolina</t>
  </si>
  <si>
    <t>MarkWest Energy</t>
  </si>
  <si>
    <t>Occidental</t>
  </si>
  <si>
    <t>Fuel.</t>
  </si>
  <si>
    <t>Fuel (98%), sold for chemical use (2%).</t>
  </si>
  <si>
    <t>Sales via pipeline to Texas Alkyls, Inc. and Air Liquide. Fuel (70%). Plant currently idle. Formerly OxyVinyls.</t>
  </si>
  <si>
    <t>Sales for chemical use, fuel. Facility acquired with acquisition of Vulcan Chemicals.</t>
  </si>
  <si>
    <t>Sales via pipeline to Air Products (10 million SCF per day). Fuel. Formerly OxyVinyls.</t>
  </si>
  <si>
    <t>Vented.</t>
  </si>
  <si>
    <t>Niagara Falls</t>
  </si>
  <si>
    <t>Sales to Linde (formerly Praxair), Inc.</t>
  </si>
  <si>
    <t>Sales to Air Products, fuel.</t>
  </si>
  <si>
    <t>Captive for hydrochloric acid production (2,150 thousand SCF per day); sales for chemical use, fuel. Facility acquired from Vulcan Chemicals.</t>
  </si>
  <si>
    <t>Olin Corporation</t>
  </si>
  <si>
    <t>Captive for hydrochloric acid production (210 thousand SCF per day), fuel. Sales to SunOx General Hydrogen (400 thousand SCF per day).</t>
  </si>
  <si>
    <t>Captive for hydrochloric acid production (980 thousand SCF per day), fuel. United Hydrogen operates an on-site plant and liquefies hydrogen to sell to its customers in high-pressure tube trailers. In mid-2018 it brought its liquefier onstream providing additional volumes of liquid H2 for larger industrial gas customers seeking high-purity hydrogen.</t>
  </si>
  <si>
    <t>Henderson</t>
  </si>
  <si>
    <t>Nevada</t>
  </si>
  <si>
    <t>Captive for hydrochloric acid (1,340 thousand SCF per day). Acquired Pioneer Americas in 2007. Plant shut down in March 2016.</t>
  </si>
  <si>
    <t>Sales to Linde (formerly Praxair) (10 thousand SCF per day) for liquefaction; sales to Ciba Specialty Chemicals Corporation for hydrochloric acid production (850 thousand SCF per day).</t>
  </si>
  <si>
    <t xml:space="preserve">Sold via pipeline to Linde (formerly Praxair) for liquefaction. </t>
  </si>
  <si>
    <t>St. Gabriel</t>
  </si>
  <si>
    <t>Fuel. Acquired Pioneer Americas in 2007.</t>
  </si>
  <si>
    <t>Burkville</t>
  </si>
  <si>
    <t>SABIC Innovative Plastics</t>
  </si>
  <si>
    <t>Mount Vernon</t>
  </si>
  <si>
    <t>Hamilton</t>
  </si>
  <si>
    <t>Tronox Incorporated</t>
  </si>
  <si>
    <t>Westlake Chemical</t>
  </si>
  <si>
    <t>Calvert City</t>
  </si>
  <si>
    <t>Glass</t>
  </si>
  <si>
    <t>Plant built adjacent to Air Liquide (Airgas) ASU, and serves the electrical power generation use, along with applications in metals, glass, chemicals, and food products. Fuel cell use is also targeted.</t>
  </si>
  <si>
    <t>North Las Vegas</t>
  </si>
  <si>
    <t>The plant assists in deployment of hydrogen mobility on the west coast, especially in California, serving zero emission vehicles (ZEVs), including cars, buses, forklifts, and heavy duty trucks. Construction completed in 2021.</t>
  </si>
  <si>
    <t>Casa Grande</t>
  </si>
  <si>
    <t>Arizona</t>
  </si>
  <si>
    <t>The zero-carbon liquid hydrogen facility will use two ThyssenKrupp Nucera electrolyzers to produce gaseous hydrogen, which will be converted to liquid hydrogen. Product will be sold to the hydrogen for mobility market in California and other locations requiring zero-carbon hydrogen.</t>
  </si>
  <si>
    <t>East Chicago</t>
  </si>
  <si>
    <t>Hydrogen from BP Amoco’s Whiting, Indiana, refinery may be purchased and liquefied. A steam methane reformer is also located at the site. Additional gaseous hydrogen is pipelined.</t>
  </si>
  <si>
    <t>High purity. The La Porte H2 liquefier will be integrated with Praxair’s 350-mile gulf coast H2 pipeline network and storage cavern.</t>
  </si>
  <si>
    <t>Hydrogen from Olin’s chlorine–sodium hydroxide plant is purchased and liquefied. Storage capacity is 600,000 gallons. This liquefier is identical to the unit in East Chicago, Indiana; capacity differences reflect feedstock constraints.</t>
  </si>
  <si>
    <t>Hydrogen from Olin Corporation’s and Occidental Chemicals’ chlorine–sodium hydroxide plants in Niagara Falls, New York, is purified at this location. Capacity was increased stepwise from 22 short tons of liquid hydrogen per day to the present capacity in mid-1989 and again in 1993. Storage capacity is 800,000 gallons (91 million cubic feet). Plant expanded by 50% in late 2015.</t>
  </si>
  <si>
    <t>Ontario</t>
  </si>
  <si>
    <t>Purchased natural gas. Plant was originally built to produce 30 short tons per day of hydrogen. The existing facility can produce 25 short tons per day of liquid hydrogen. Gaseous hydrogen is distributed by pipeline for steel production and other uses.</t>
  </si>
  <si>
    <t>Becancour</t>
  </si>
  <si>
    <t>Quebec</t>
  </si>
  <si>
    <t>Low-carbon hydrogen production using PEM electrolysis.</t>
  </si>
  <si>
    <t>Edmonton</t>
  </si>
  <si>
    <t>Alberta</t>
  </si>
  <si>
    <t>SMR w/ CCS</t>
  </si>
  <si>
    <t>Sarnia</t>
  </si>
  <si>
    <t>HydrogenAI Inc</t>
  </si>
  <si>
    <t>Gaseous hydrogen can be supplied by Olin Chemicals Canada Inc.’s nearby chlorine-sodium hydroxide plant (7 metric tons per day), produced from water using newly developed electrolytic cells from Electrolyzer Inc. (3 metric tons per day) or from HydrogenAl’s nearby steam reformer (see listing in the Canadian producers of merchant gaseous hydrogen table).</t>
  </si>
  <si>
    <t>Magog</t>
  </si>
  <si>
    <t>Since mid-1993, up to 12.5 million SCF of hydrogen per day has been supplied by INEOS Nova Chemicals’ nearby styrene plant. Storage capacity is 500,000 gallons.</t>
  </si>
  <si>
    <t>Plant supplies Suncor’s refinery operations. It also serves Imperial Oil’s refineries and other customers in the local area by pipeline.</t>
  </si>
  <si>
    <t>Plant supplies Suncor’s refinery operations and Imperial Oil. The Edmonton plant is also connected to its Heartland Pipeline and supplies to refiners, upgraders, chemical processors, and other industrial locations in the area.</t>
  </si>
  <si>
    <t>Fort Saskatchewan</t>
  </si>
  <si>
    <t>The plant is connected to Air Products’ existing hydrogen pipeline network, which supplies refiners, upgraders, chemical processors, and other industries in the Alberta Industrial Heartland region.</t>
  </si>
  <si>
    <t>Plant supplies hydrogen for the Suncor Energy Products, Inc. and Shell Canada Products refineries located in Sarnia, Ontario. The facility is located on a part of the Shell Manufacturing Centre land and supplies hydrogen by pipeline to Suncor. A portion of hydrogen is also sent to Air Product’s liquefier plant at Sarnia.</t>
  </si>
  <si>
    <t>Scotford</t>
  </si>
  <si>
    <t>Supply to North West's Sturgeon Refinery began operations in 2016 and is connected to the Heartland Pipeline network.</t>
  </si>
  <si>
    <t>Two plants operate at this location. The majority of product serves Norsk Hydro’s adjacent hydrochloric acid plant. Gas can also be used as a feedstock for HydrogenAl’s nearby liquid hydrogen plant.</t>
  </si>
  <si>
    <t>Varennes</t>
  </si>
  <si>
    <t>Hydro-Quebec</t>
  </si>
  <si>
    <t>Construction of an electrolyzer facility with a capacity of about 90 MW. The facility will supply green hydrogen and oxygen to the Recyclage Carbone Varennes (RCV) plant project.</t>
  </si>
  <si>
    <t>By-product hydrogen from INEOS Nova Chemicals’ styrene unit is purified by PSA for distribution by pipeline and in tube trailers. A liquid hydrogen tank provides back-up. Acquired from Liquid Carbonic in 1994.</t>
  </si>
  <si>
    <t>Corunna</t>
  </si>
  <si>
    <t>NOVA Chemicals Corporation</t>
  </si>
  <si>
    <t>Montreal East</t>
  </si>
  <si>
    <t>ParaChem</t>
  </si>
  <si>
    <t>Windsor</t>
  </si>
  <si>
    <t>Regina</t>
  </si>
  <si>
    <t>Saskatchewan</t>
  </si>
  <si>
    <t>Comples</t>
  </si>
  <si>
    <t>Gibbons</t>
  </si>
  <si>
    <t>Evonik Canada Inc</t>
  </si>
  <si>
    <t>Hydrogen peroxide production</t>
  </si>
  <si>
    <t>Prince George</t>
  </si>
  <si>
    <t>British Columbia</t>
  </si>
  <si>
    <t>Lloydminster</t>
  </si>
  <si>
    <t>Darmouth</t>
  </si>
  <si>
    <t>Nova Scotia</t>
  </si>
  <si>
    <t>Imperial Oil Ltd</t>
  </si>
  <si>
    <t>Nanticoke</t>
  </si>
  <si>
    <t>Saint John</t>
  </si>
  <si>
    <t>New Brunswick</t>
  </si>
  <si>
    <t>Irving Oil Limited</t>
  </si>
  <si>
    <t>Maitland</t>
  </si>
  <si>
    <t>Come By Chance</t>
  </si>
  <si>
    <t>Newfoundland</t>
  </si>
  <si>
    <t>North Atlantic Refining</t>
  </si>
  <si>
    <t>Petrochmie Coastal</t>
  </si>
  <si>
    <t>Burnaby</t>
  </si>
  <si>
    <t>Parkland Fuel Corp</t>
  </si>
  <si>
    <t>Oil from sands at Athabasca Oil Sands.</t>
  </si>
  <si>
    <t xml:space="preserve">Suncor Energy </t>
  </si>
  <si>
    <t>Mississauga</t>
  </si>
  <si>
    <t>Suncor Energy</t>
  </si>
  <si>
    <t>Montreal</t>
  </si>
  <si>
    <t>Fort McMurray</t>
  </si>
  <si>
    <t>Point-aux-Trembles</t>
  </si>
  <si>
    <t>Syncrude Canada Limited</t>
  </si>
  <si>
    <t xml:space="preserve">Oil from oil sands. The hydrogen is produced by steam reforming of methane. </t>
  </si>
  <si>
    <t>Levis</t>
  </si>
  <si>
    <t>ArcellorMittal</t>
  </si>
  <si>
    <t>A PSA unit was installed by Liquid Air Engineering in 1992 to purify by-product hydrogen (from coke ovens) for captive use in steel processing. Hydrogen was previously generated by dissociating ammonia.</t>
  </si>
  <si>
    <t>Nackawic</t>
  </si>
  <si>
    <t>AV Nackawic Inc</t>
  </si>
  <si>
    <t>Ceased chemical operation in 2004. Tembec and Aditya Birla formed a joint venture and restarted the plant in 2006.</t>
  </si>
  <si>
    <t>ChemTrade Chemicals</t>
  </si>
  <si>
    <t>Beauharnois</t>
  </si>
  <si>
    <t>Burned as fuel. See listing under PPG Canada.</t>
  </si>
  <si>
    <t>Brandon</t>
  </si>
  <si>
    <t>Manitoba</t>
  </si>
  <si>
    <t>Majority is sold for fuel.</t>
  </si>
  <si>
    <t>Brudeheim</t>
  </si>
  <si>
    <t>About 75% for internal fuel use; some used for ventilation management and remainder vented.</t>
  </si>
  <si>
    <t>Nanaimo</t>
  </si>
  <si>
    <t>North Vancouver</t>
  </si>
  <si>
    <t>Most is burned to generate steam. Minor quantities are sold for the rerefining of oil or used internally for hydrochloric acid.</t>
  </si>
  <si>
    <t>Buckingham</t>
  </si>
  <si>
    <t>Erco Worldwide</t>
  </si>
  <si>
    <t>Grande Prairie</t>
  </si>
  <si>
    <t>Hargrave</t>
  </si>
  <si>
    <t>Saskatoon</t>
  </si>
  <si>
    <t>Vancouver</t>
  </si>
  <si>
    <t>INEOS Styrolution</t>
  </si>
  <si>
    <t>Sales to Air Products (11,500 thousand SCF per day), captive for rubber latex production.</t>
  </si>
  <si>
    <t>Keyera</t>
  </si>
  <si>
    <t>From conversion of butane to isobutylene in the isooctane process. In 2012, Keyera acquired Alberta Envirofuels.</t>
  </si>
  <si>
    <t>Nouryon Pup and Performance Canada Inc.</t>
  </si>
  <si>
    <t>Joffre</t>
  </si>
  <si>
    <t>Ammonia</t>
  </si>
  <si>
    <t>About 80,000 cubic meters sold to Cominco Ltd. for use in ammonia production. A start-up joint venture with Dow for a 2.8 billion pound-per-year ethylene plant (third) came onstream in late 2000.</t>
  </si>
  <si>
    <t>Gaseous hydrogen is pipelined to Arkema’s hydrogen peroxide plant or liquefied by HydrogenAl. Excess hydrogen is used captively to produce hydrochloric acid.</t>
  </si>
  <si>
    <t>Xylene production process.</t>
  </si>
  <si>
    <t>PPG Canada Inc</t>
  </si>
  <si>
    <t>Facility is physically integrated with Canexus’s Beauharnois plant. Some captive use for hydrochloric acid. By-product hydrogen is burned as fuel.</t>
  </si>
  <si>
    <t>Brisbane</t>
  </si>
  <si>
    <t>BOC</t>
  </si>
  <si>
    <t>-27.403763366251873, 153.13415274860353</t>
  </si>
  <si>
    <t>Lytton</t>
  </si>
  <si>
    <t>Ampol</t>
  </si>
  <si>
    <t>Cryogenic</t>
  </si>
  <si>
    <t>-38.01453553577639, 145.20550950359367</t>
  </si>
  <si>
    <t>Melbourne</t>
  </si>
  <si>
    <t>Victria</t>
  </si>
  <si>
    <t>-37.83839757002432, 144.81985393857516</t>
  </si>
  <si>
    <t>Altona Facility</t>
  </si>
  <si>
    <t>Murrin Murrin</t>
  </si>
  <si>
    <t>-28.947930074090678, 121.80404358126755</t>
  </si>
  <si>
    <t>Kwinana</t>
  </si>
  <si>
    <t>Coogee Chemicals</t>
  </si>
  <si>
    <t>-32.244163782850016, 115.77321689509276</t>
  </si>
  <si>
    <t>Hydrochloric acid</t>
  </si>
  <si>
    <t>Gibson Island</t>
  </si>
  <si>
    <t>Incitec Pivot</t>
  </si>
  <si>
    <t>-27.434795674020833, 153.12388240808184</t>
  </si>
  <si>
    <t>Orica</t>
  </si>
  <si>
    <t>Kooragang Island</t>
  </si>
  <si>
    <t>-32.89609468824208, 151.77937916629568</t>
  </si>
  <si>
    <t>Karratha</t>
  </si>
  <si>
    <t>Yara</t>
  </si>
  <si>
    <t>-20.62383170053448, 116.78721354548111</t>
  </si>
  <si>
    <t>Wesfarmers CBSP</t>
  </si>
  <si>
    <t>-32.23446588356059, 115.76656017286321</t>
  </si>
  <si>
    <t>Ichihara, Chiba</t>
  </si>
  <si>
    <t>Cosmo Oil</t>
  </si>
  <si>
    <t>Off-gas and LPG/SMR</t>
  </si>
  <si>
    <t>Sakai, Osaka</t>
  </si>
  <si>
    <t>Methanol/SMR</t>
  </si>
  <si>
    <t>Yokkaichi, Mie</t>
  </si>
  <si>
    <t>Sodegaura, Chiba</t>
  </si>
  <si>
    <t>Fuji Oil Company</t>
  </si>
  <si>
    <t>ENEOS Corporation</t>
  </si>
  <si>
    <t>Kashima, Ibaraki</t>
  </si>
  <si>
    <t>Kawasaki, Kanagawa</t>
  </si>
  <si>
    <t>Naphtha/SNR</t>
  </si>
  <si>
    <t>Kuga-gun, Yamaguchi (Marifu)</t>
  </si>
  <si>
    <t>Kurashiki, Okayama (Mizushima B)</t>
  </si>
  <si>
    <t>Kurashiki, Okayama (Mizushima A)</t>
  </si>
  <si>
    <t>Negishi, Kanagawa</t>
  </si>
  <si>
    <t>Oita, Oita</t>
  </si>
  <si>
    <t>Naphtha</t>
  </si>
  <si>
    <t>Sendai, Miyagi</t>
  </si>
  <si>
    <t>Naphtha LPG/SNR</t>
  </si>
  <si>
    <t>Wakayama, Wakayama</t>
  </si>
  <si>
    <t>Off-gas</t>
  </si>
  <si>
    <t>Chita, Aichi</t>
  </si>
  <si>
    <t>Idemitsu Kosan</t>
  </si>
  <si>
    <t>Tomakomai, Hokkaido</t>
  </si>
  <si>
    <t>KH Neochem</t>
  </si>
  <si>
    <t>Hydrocarbon</t>
  </si>
  <si>
    <t>Kakogawa, Hyogo</t>
  </si>
  <si>
    <t>Kobe Steel</t>
  </si>
  <si>
    <t>Coke oven</t>
  </si>
  <si>
    <t>Mitsubishi Chemical</t>
  </si>
  <si>
    <t>Takaishi, Osaka</t>
  </si>
  <si>
    <t>Mitsui Chemicals</t>
  </si>
  <si>
    <t>Hirohata, Hyogo</t>
  </si>
  <si>
    <t>Nippon Steel</t>
  </si>
  <si>
    <t>Natural gas</t>
  </si>
  <si>
    <t>Muroran, Hokkaido</t>
  </si>
  <si>
    <t>Nagoya, Aichi</t>
  </si>
  <si>
    <t>Nei-gun, Toyama</t>
  </si>
  <si>
    <t>Nissan Chemical Industries</t>
  </si>
  <si>
    <t>Resonac</t>
  </si>
  <si>
    <t>Onoda, Yamaguchi</t>
  </si>
  <si>
    <t>Seibu Oil</t>
  </si>
  <si>
    <t>Showa Yokkaichi Seikyu</t>
  </si>
  <si>
    <t>Kikuma, Ehime</t>
  </si>
  <si>
    <t>Taiyo Oil Company</t>
  </si>
  <si>
    <t>Ube, Yamaguchi</t>
  </si>
  <si>
    <t>Ube Ammonia Industry</t>
  </si>
  <si>
    <t>Hydro Edge</t>
  </si>
  <si>
    <t>Iwatani Industrial Gases</t>
  </si>
  <si>
    <t>Syunan, Yamaguchi</t>
  </si>
  <si>
    <t>Yamaguchi Liquid Hydrogen</t>
  </si>
  <si>
    <t>Minamata, Kumamoto</t>
  </si>
  <si>
    <t>Air Liquide Japan</t>
  </si>
  <si>
    <t>Methanol</t>
  </si>
  <si>
    <t>Niihama, Ehime</t>
  </si>
  <si>
    <t>Amagasaki, Hyogo</t>
  </si>
  <si>
    <t>Air Water</t>
  </si>
  <si>
    <t>LNG</t>
  </si>
  <si>
    <t>Chlor-alkali</t>
  </si>
  <si>
    <t>Nihongi, Niigata</t>
  </si>
  <si>
    <t>Air Water Hydrogen</t>
  </si>
  <si>
    <t>Amagasaki Suiso Kogyo</t>
  </si>
  <si>
    <t>Chiba IS Suiso</t>
  </si>
  <si>
    <t>Omuta, Fukuoka</t>
  </si>
  <si>
    <t>Fukuoka Sanso</t>
  </si>
  <si>
    <t>Namie, Fukushima</t>
  </si>
  <si>
    <t>Fukushima Hydrogen Energy Research Field</t>
  </si>
  <si>
    <t>Iwaki, Fukushima</t>
  </si>
  <si>
    <t>Fukushima Suiso</t>
  </si>
  <si>
    <t>Takaoka, Toyama</t>
  </si>
  <si>
    <t>Hokusan Kaotsu Gas</t>
  </si>
  <si>
    <t>Mizushima, Okayama</t>
  </si>
  <si>
    <t>Saga, Saga</t>
  </si>
  <si>
    <t>Syuunan, Yamaguchi</t>
  </si>
  <si>
    <t>Tobata, Fukuoka</t>
  </si>
  <si>
    <t>Keiyo Suiso</t>
  </si>
  <si>
    <t>Refinery off-gas</t>
  </si>
  <si>
    <t>Kooriyama, Fukushima</t>
  </si>
  <si>
    <t>Kooriyama Suiso Center</t>
  </si>
  <si>
    <t>Nanyo, Yamaguchi</t>
  </si>
  <si>
    <t>Nanyo Ai-Ai Suiso</t>
  </si>
  <si>
    <t>Joetsu, Niigata</t>
  </si>
  <si>
    <t>Niigata Suiso</t>
  </si>
  <si>
    <t>Uozu, Toyama</t>
  </si>
  <si>
    <t>Sakata, Yamagata</t>
  </si>
  <si>
    <t>Toho Sakata Suiso</t>
  </si>
  <si>
    <t>Tosoh Daisui</t>
  </si>
  <si>
    <t>Yokkaichi Oxyton</t>
  </si>
  <si>
    <t>Villach</t>
  </si>
  <si>
    <t>2022</t>
  </si>
  <si>
    <t>On-site supply for Infineon Technologies from 2 MW electrolyzer.</t>
  </si>
  <si>
    <t>Schwechat</t>
  </si>
  <si>
    <t>OMV Refining &amp; Marketing GmbH, Raffinerie Schwechat</t>
  </si>
  <si>
    <t>e-fuels</t>
  </si>
  <si>
    <t>Green hydrogen from 10 MW electrolyzer for hydrogenation of bio-based and fossil fuels.</t>
  </si>
  <si>
    <t>On-site oil refinery.</t>
  </si>
  <si>
    <t>Linz</t>
  </si>
  <si>
    <t>voestalpine Giesserei Linz GmbH</t>
  </si>
  <si>
    <t>Joint project between voestalpine, Siemens, Verbund, and Austrian Power Grid (APG). Pilot electrolysis plants for the decarbonization of the steel industry. 6 MW electrolyzer.</t>
  </si>
  <si>
    <t>Antwerpen</t>
  </si>
  <si>
    <t>Esso Belgium, Antwerp Refinery</t>
  </si>
  <si>
    <t>Subsidiary of ExxonMobil Petroleum &amp; Chemical B.V.B.A.</t>
  </si>
  <si>
    <t>Ghent, Port of Ghent</t>
  </si>
  <si>
    <t>North-C-Methanol 1 &amp; 2</t>
  </si>
  <si>
    <t>Various project partners, including ArcelorMittal, Engie, and Mitsubishi Power. 65 MW electrolyzer by 2024, expansion planned to 300 MW by 2028, and to 600 MW by 2030. For green methanol production.</t>
  </si>
  <si>
    <t>Antwerp, Port of Antwerp-Bruges</t>
  </si>
  <si>
    <t>Power to Methanol Antwerp B.V.</t>
  </si>
  <si>
    <t>Joint project between ENGIE, Fluxys, Indaver, INOVYN, Advario, Participate maatshappij Vlaanderen (PMV), and Port of Antwerp-Bruges. Production of green methanol from CO2 from power plant and electricity from wind and solar.</t>
  </si>
  <si>
    <t>TotalEnergies, Antwerp Refinery</t>
  </si>
  <si>
    <t>Formerly TotalFina Elf SA.</t>
  </si>
  <si>
    <t>Hanstholm</t>
  </si>
  <si>
    <t xml:space="preserve">European Energy </t>
  </si>
  <si>
    <t>Formerly REIntegrate. 50 MW electrolyzer for green methanol production.</t>
  </si>
  <si>
    <t>Kassø, Aabenraa</t>
  </si>
  <si>
    <t>European Energy PV, eMethanol Project</t>
  </si>
  <si>
    <t>Formerly REIntegrate. 50 MW electrolyzer for green methanol production, expandable to 300 MW.</t>
  </si>
  <si>
    <t>Aalborg, Port of Aalborg</t>
  </si>
  <si>
    <t>Green CCU Hub Aalborg</t>
  </si>
  <si>
    <t>Joint project between European Energy A/S, Circle K, Aalborg Airport, Aalborg University, Evida, Green Hydrogen Systems, EMD International A/S, Blue World Technologies, HMK BILCON, DCCNT (The Danish Centre for Carbon Neutral Transport), grid company N1, Green Hub Denmark, and Port of Aalborg. Biomethanol production from biogas.</t>
  </si>
  <si>
    <t>Copenhagen</t>
  </si>
  <si>
    <t>Green Fuels for Denmark</t>
  </si>
  <si>
    <t>Joint project between A.P. Møller – Mærsk, Copenhagen Airports, DFDS, DSV Panalpina, Everfuel, Haldor Topsøe, Nel, Ørsted, and SAS for the production of hydrogen and green methanol from municipal waste. 10 MW electrolyzer scheduled for 2023, expansion to 250 MW by 2027 and to 1.3 GW by 2030 planned.</t>
  </si>
  <si>
    <t>Spøttrup</t>
  </si>
  <si>
    <t>GreenLab Skive P2X A/S</t>
  </si>
  <si>
    <t>Subsidiary of GreenLab. CO2 from biogas plant for biomethanol production.</t>
  </si>
  <si>
    <t>Aarhus</t>
  </si>
  <si>
    <t>Haldor Topsøe</t>
  </si>
  <si>
    <t>Joint project between Haldor Topsoe, Aarhaus University, Sintex, and Blue World. Demonstration plant for production of biomethanol from biogas by SMR.</t>
  </si>
  <si>
    <t>Frederikssund</t>
  </si>
  <si>
    <t>Haldor Topsøe A/S</t>
  </si>
  <si>
    <t>From methanol production.</t>
  </si>
  <si>
    <t>Ramme, Lemvig</t>
  </si>
  <si>
    <t>Joint project between Haldor Topsøe, Skovgaard Energy, and Vestas. Production of green ammonia from 12 MW electrolyzer.</t>
  </si>
  <si>
    <t>Esbjerg</t>
  </si>
  <si>
    <t>HØST PtX Esbjerg</t>
  </si>
  <si>
    <t>Project of Copenhagen Infrastructure Partners (CIP). 1 GW electrolyzer to produce green ammonia.</t>
  </si>
  <si>
    <t>Skive</t>
  </si>
  <si>
    <t>SiemensGamesa</t>
  </si>
  <si>
    <t>Joint project between Siemens Gamesa and Energifonden Skive for green ammonia production from electrolzyer.</t>
  </si>
  <si>
    <t>Kalundborg</t>
  </si>
  <si>
    <t>Statoil Refining Denmark A/S</t>
  </si>
  <si>
    <t>SNR</t>
  </si>
  <si>
    <t/>
  </si>
  <si>
    <t>Vordingborg</t>
  </si>
  <si>
    <t>Vordingborg Biofuel</t>
  </si>
  <si>
    <t>Biomethanol production from biogas plant.</t>
  </si>
  <si>
    <t>Port Jerôme, Notre-Dame-de-Gravenchon</t>
  </si>
  <si>
    <t>ExxonMobil Chemical France</t>
  </si>
  <si>
    <t>Fos-sur-Mer</t>
  </si>
  <si>
    <t>GravitHy</t>
  </si>
  <si>
    <t>Joint project between EIT InnoEnergy, Engie, Forvia, Groupe Idec, Plug, and Primetals Technologies. Green hydrogen from 650 MW electrolyzer for green steel production.</t>
  </si>
  <si>
    <t>Saint-Fons</t>
  </si>
  <si>
    <t>HyDom Project</t>
  </si>
  <si>
    <t>HMDA</t>
  </si>
  <si>
    <t>Joint project between Domo Chemicals and Hynamics, a subsidiary of EDF Group. On-site Domo Chemicals' subsidiary Polytechnyl. Green hydrogen from 85 MW electrolyzer for hexamethylenediamine (HMDA) production.</t>
  </si>
  <si>
    <t>Montalieu-Vercieu</t>
  </si>
  <si>
    <t>Hynovi CCU Project</t>
  </si>
  <si>
    <r>
      <t>Joint project between Vicat and Hynamics. 330 MW electgrolyzer. Green methanol production from CO</t>
    </r>
    <r>
      <rPr>
        <vertAlign val="subscript"/>
        <sz val="7"/>
        <color theme="1"/>
        <rFont val="Arial"/>
        <family val="2"/>
      </rPr>
      <t>2</t>
    </r>
    <r>
      <rPr>
        <sz val="11"/>
        <color theme="1"/>
        <rFont val="Calibri"/>
        <family val="2"/>
        <scheme val="minor"/>
      </rPr>
      <t xml:space="preserve"> from Ciment Vicat's cement plant.</t>
    </r>
  </si>
  <si>
    <t>Port-du-Bec, Vendée</t>
  </si>
  <si>
    <t>Lhyfe</t>
  </si>
  <si>
    <t>Joint project between EIT InnoEnergy, Engie New Ventures, Forvia, Groupe Idec, Plug, and Primetals Technologies. Green hydrogen from 350 MW electrolyzer. Captive for greenfield green steel plant.</t>
  </si>
  <si>
    <t>Dunkerque</t>
  </si>
  <si>
    <t>Liberty Steel Group &amp; Paul Wurth &amp; Stahl-Holding-Saar (SHS)</t>
  </si>
  <si>
    <t>Joint project between Liberty Steel Group, Paul Wurth, and Stahl-Holding-Saar (SHS). 1 GW electrolyzer for 2 million metric tons per year green DRI steel plant by 2030.</t>
  </si>
  <si>
    <t>Lavéra</t>
  </si>
  <si>
    <t>Petroineos Manufacturing France SAS</t>
  </si>
  <si>
    <t>Formerly BP.</t>
  </si>
  <si>
    <t>La Mède, Châteauneuf-les-Martigues</t>
  </si>
  <si>
    <t>Total France, Raffinerie de Provence</t>
  </si>
  <si>
    <t>Biorefinery producing HVO. 40 MW electrolyzer.</t>
  </si>
  <si>
    <t>Gonfreville-L'Orcher, Le Havre</t>
  </si>
  <si>
    <t>TotalEnergies E&amp;P France</t>
  </si>
  <si>
    <t>Donges</t>
  </si>
  <si>
    <t>TotalEnergies France, Raffinerie de Donges</t>
  </si>
  <si>
    <t>Grandpuits-Bailly-Carrois</t>
  </si>
  <si>
    <t>TotalEnergies France, Raffinerie de Grandpuits</t>
  </si>
  <si>
    <t>SAF</t>
  </si>
  <si>
    <t>Conversion from oil refinery to biorefinery. Partly from biogas.</t>
  </si>
  <si>
    <t>TotalEnergies Refining and Marketing S.A.</t>
  </si>
  <si>
    <t>Biorefinery from lignocellulosic biomass.</t>
  </si>
  <si>
    <t>Oulu</t>
  </si>
  <si>
    <t>Kemira Agro Oy</t>
  </si>
  <si>
    <t>Captive for hydrogen peroxide production.</t>
  </si>
  <si>
    <t>Porvoo</t>
  </si>
  <si>
    <t>Neste Oil Oyi</t>
  </si>
  <si>
    <t>Formerly known as Fortum Oil and Gas. Operated by Linde.</t>
  </si>
  <si>
    <t>Captive use for the production of hydrotreated vegetable oil (HVO). Three plants. Plans exist to convert to blue and green hydrogen.</t>
  </si>
  <si>
    <t>Harjavalta</t>
  </si>
  <si>
    <t>Nornickel Harjavalta Oy</t>
  </si>
  <si>
    <t>Formerly Norilsk Nickel Harjavalta Oy and previously Outokumpu Harjavalta Metals Oy.</t>
  </si>
  <si>
    <t>P2X Solutions</t>
  </si>
  <si>
    <t>Green hydrogen from 20 MW electrolyzer for the production of systainable synthetic fuels.</t>
  </si>
  <si>
    <t>Kouvola, Voikkaa</t>
  </si>
  <si>
    <t>Solvay Chemicals Finland Oy</t>
  </si>
  <si>
    <t>Lappeenranta</t>
  </si>
  <si>
    <t>UPM Lappeenranta Biorefinery</t>
  </si>
  <si>
    <t>Biorefinery based on wood.</t>
  </si>
  <si>
    <t>Laage</t>
  </si>
  <si>
    <t>Apex &amp; East Energy</t>
  </si>
  <si>
    <t>Joint project between Apex Energy Teterow GmbH and East Energy Verwaltungs GmbH. Production of green hydrogen with 100 MW electrolyzer.</t>
  </si>
  <si>
    <t>Bremen</t>
  </si>
  <si>
    <t>ArcelorMittal Bremen GmbH</t>
  </si>
  <si>
    <t>Green hydrogen production from 12 MW PME electrolzyer to decarbonize steel production. Expansion to 300 MW planned.</t>
  </si>
  <si>
    <t>Eisenhüttenstadt</t>
  </si>
  <si>
    <t>ArcelorMittal Flachstahl Deutschland</t>
  </si>
  <si>
    <t>Joint project between ArcelorMittal and RWE. Green hydrogen from 70 MW electrolyzer to decarbonize steelmaking. Expansion planned to GW scale.</t>
  </si>
  <si>
    <t>Ludwigshafen</t>
  </si>
  <si>
    <t>BASF SE</t>
  </si>
  <si>
    <t>Captive consumption.</t>
  </si>
  <si>
    <t>Schwarzheide</t>
  </si>
  <si>
    <t>BASF &amp; Siemens</t>
  </si>
  <si>
    <t>Joint project between BASF and Siemens Energy. Green hydrogen from 50 MW PEM electrolyzer on-site BASF. Modular expansions possible.</t>
  </si>
  <si>
    <t>Pyrolysis</t>
  </si>
  <si>
    <t>Joint project between BASF and Siemens Energy. Commercial-scale turquoise hydrogen production from methane pyrolysis.</t>
  </si>
  <si>
    <t>Neustadt</t>
  </si>
  <si>
    <t>Bayernoil Raffineriegesellschaft</t>
  </si>
  <si>
    <t>Owned by Varo Energy (51.4%), Rosneft (25%), Eni (20%), and BP (3.6%). Two locations working as one refinery.</t>
  </si>
  <si>
    <t>Vohburg</t>
  </si>
  <si>
    <t>CRY</t>
  </si>
  <si>
    <t>Wilhelmshaven</t>
  </si>
  <si>
    <t>BlueHyNow Project</t>
  </si>
  <si>
    <t>Joint project between Wintershall DEA and Nord-West Oelleitung (NWO) for the production of blue hydrogen from Norwegian natural gas.</t>
  </si>
  <si>
    <t>Lingen</t>
  </si>
  <si>
    <t>BP Lingen</t>
  </si>
  <si>
    <t>BP &amp; Ørsted</t>
  </si>
  <si>
    <t>Joint project between BP and Ørsted. 50 MW electrolzer, powered by Ørsted offshore wind. Expansion planned to 500 MW.</t>
  </si>
  <si>
    <t>BP &amp; Uniper</t>
  </si>
  <si>
    <t>Joint project between BP and Uniper. On-site BP Lingen. 15 MW electrolyzer.</t>
  </si>
  <si>
    <t>Duisburg</t>
  </si>
  <si>
    <t>Carbon2Chem®</t>
  </si>
  <si>
    <t>Production of green hydrogen with 2 MW electrolyzer to utilize steel mill process gases to produce methanol, ammonia, and higher alcohols.</t>
  </si>
  <si>
    <t>Herzfelde, Rüdersdorf</t>
  </si>
  <si>
    <t>Concrete Chemicals 1 &amp; 2</t>
  </si>
  <si>
    <t>Joint project between Enertrag and Cemex. Green methanol production from 30 MW electrolyzer and CO2 from Cemex's cement plant.</t>
  </si>
  <si>
    <t>Stade</t>
  </si>
  <si>
    <t>Dow, Green MeOH Project</t>
  </si>
  <si>
    <t>Ge MeOHy</t>
  </si>
  <si>
    <t>Green methanol production from 220 MW electrolyzer and CO2 from gas-fired power plant.</t>
  </si>
  <si>
    <t>Leuna</t>
  </si>
  <si>
    <t>e-CO2Met Project</t>
  </si>
  <si>
    <t>Merojecy</t>
  </si>
  <si>
    <t>Joint project between TotalEnergies, Sunfire, and Fraunhofer Institut. On-site Leuna Chemical Park. Green methanol production with green hydrogen from 1 MW electrolyzer and CO2 from nearby Total Raffinerie Mitteldeutschland GmbH. Onstream since 2021.</t>
  </si>
  <si>
    <t>Ingolstadt</t>
  </si>
  <si>
    <t>Gunvor Raffinerie Ingolstadt GmbH</t>
  </si>
  <si>
    <t>Liquefaction capacity is 49 thousand normal cubic meter per day; liquefaction by Linde.</t>
  </si>
  <si>
    <t>Hamburg, Harburg</t>
  </si>
  <si>
    <t>H&amp;R Ölwerke Schindler GmbH</t>
  </si>
  <si>
    <t>PEM electrolyzer with 5 MW.</t>
  </si>
  <si>
    <t>Northern Germany</t>
  </si>
  <si>
    <t>Haldor Topsoe &amp; HydrGEN</t>
  </si>
  <si>
    <t>Joint project between Haldor Topsoe and HydrGEN (subsidiary of Aquamarine Investment Partners) to produce green ammonia from 100 MW electrolyzer powered by offshore wind farms.</t>
  </si>
  <si>
    <t>Harburg, Hamburg</t>
  </si>
  <si>
    <t>Holborn Europa Raffinerie GmbH</t>
  </si>
  <si>
    <t>Owned by Tamoil, a subsidiary of Oilinvest.</t>
  </si>
  <si>
    <t>Lausitz, Brandenburg</t>
  </si>
  <si>
    <t>Hy2gen AG, Jangada Project</t>
  </si>
  <si>
    <t>Production of green methanol from CO2 from nearby industrial sources.</t>
  </si>
  <si>
    <t>Friesoythe</t>
  </si>
  <si>
    <t>Hy2gen AG, Nautilus Project</t>
  </si>
  <si>
    <t>Bremerhaven</t>
  </si>
  <si>
    <t>Hydrogen Lab Bremerhaven</t>
  </si>
  <si>
    <t>Green methanol production from green hydrogen with 2 MW electrolyzer to get expanded to 10 MW by 2025.</t>
  </si>
  <si>
    <t>Köln</t>
  </si>
  <si>
    <t>Ineos Köln GmbH</t>
  </si>
  <si>
    <t>Owned by Ineos. Captive for green ammonia and e-methanol production.</t>
  </si>
  <si>
    <t>Karsruhe</t>
  </si>
  <si>
    <t>MiRO Mineraloelraffinerie Oberrhein GmbH &amp; Co. KG</t>
  </si>
  <si>
    <t>Subsidiary of Klesch Group.</t>
  </si>
  <si>
    <t>Burghausen</t>
  </si>
  <si>
    <t>OMV Deutschland GmbH, Raffinerie Burghausen</t>
  </si>
  <si>
    <t>Schwedt, Oder</t>
  </si>
  <si>
    <t>PCK Raffinerie GmbH</t>
  </si>
  <si>
    <t>Owned by Rosneft (37.5%, Shell (37.5%), and AET-Raffineriebeteiligungs-Gesellschaft mbH (RN Refining &amp; Marketing GmbH und Eni Deutschland GmbH) (25%). Formerly Petrochemie U. Kraft AG.</t>
  </si>
  <si>
    <t>Heide, Hemmingstedt</t>
  </si>
  <si>
    <t>Raffinerie Heide GmbH</t>
  </si>
  <si>
    <t>RHYME Bavaria Project</t>
  </si>
  <si>
    <t>Joint project between Wacker Chemie and Linde. On-site Wacker Chemie. Production of green hydrogen and up to 15,000 metric tons per year of green methanol from 20 MW electrolyzer.</t>
  </si>
  <si>
    <t>Gelsenkirchen</t>
  </si>
  <si>
    <t>Ruhr Oel GmbH</t>
  </si>
  <si>
    <t>Operated by BP Gelsenkirchen GmbH. Owned by BP Europa SE.</t>
  </si>
  <si>
    <t>RWE-BASF H2 Project</t>
  </si>
  <si>
    <t>Joint project between BASF and RWE. 300 MW out of total 2 GW offshore wind capacity dedicated for hydrogen production. On-site RWE power plant.</t>
  </si>
  <si>
    <t>Salzgitter</t>
  </si>
  <si>
    <t>Salzgitter Flachstahl GmbH - GrInHy2.0 Project</t>
  </si>
  <si>
    <t>Joint project between Sunfire, Paul Wurth, Tenova, and CEA. 2.2 MW PEM electrolyzer to study decarbonization of steel production.</t>
  </si>
  <si>
    <t>Sasol Wax GmbH</t>
  </si>
  <si>
    <t>Godorf, Wesseling</t>
  </si>
  <si>
    <t>Shell Deutschland Oil GmbH, Rheinland Refinery</t>
  </si>
  <si>
    <t>Duisburg-Walsum</t>
  </si>
  <si>
    <t>thyssenkrupp Steel - tkH2Steel Project</t>
  </si>
  <si>
    <t>Joint project between Steag and thyssenkrupp Steel. 520 MW electrolyzer for green steel production. Expansion planned to 5 GW.</t>
  </si>
  <si>
    <t>TotalEnergies Raffinerie Mitteldeutschland GmbH</t>
  </si>
  <si>
    <t>Uniper - Green Wilhelmshaven Project</t>
  </si>
  <si>
    <t>Hub and import terminal for green ammonia including 410 MW cracker for splitting ammonia into green hydrogen.</t>
  </si>
  <si>
    <t>Wacker Chemie GmbH</t>
  </si>
  <si>
    <t>Captive for polysilicon production.</t>
  </si>
  <si>
    <t>Hamburg</t>
  </si>
  <si>
    <t>Westküste 100</t>
  </si>
  <si>
    <t>Joint project between Hynamics (EDF), Holcim, OGE, Ørsted, Raffinerie Heide, Stadtwerke Heide, thyssenkrupp, Thüga, Heide Region Development Agency, and Westküste University. Production of methanol with 30 MW electrolyzer and waste CO2 from Holcim's cement plant.</t>
  </si>
  <si>
    <t>Zella-Mehlis</t>
  </si>
  <si>
    <t>Zweckverband für Abfallwirtschaft Südwestthüringen (ZASt)</t>
  </si>
  <si>
    <t>Green methanol production from municipal waste with 10 MW electrolyzer.</t>
  </si>
  <si>
    <t>Aspropyrgos</t>
  </si>
  <si>
    <t>Hellenic Petroleum S.A.</t>
  </si>
  <si>
    <t>Elefsina</t>
  </si>
  <si>
    <t>Thessaloniki</t>
  </si>
  <si>
    <t>Corinth</t>
  </si>
  <si>
    <t>Motor Oil (Hellas) Corinth Refineries SA</t>
  </si>
  <si>
    <t>Western Macedonia</t>
  </si>
  <si>
    <t>White Dragon</t>
  </si>
  <si>
    <t>Joint project between DEPA, Advent Technologies, Damco Energy (Copelouzos Group), PPC, DESFA, Hellenic Petroleum, Motor Oil, Corinth Pipeworks, TAP, and Terna Energy. Green hydrogen from 250 MW electrolyzer powered by solar energy for the gradual replacement of lignite power plants.</t>
  </si>
  <si>
    <t>Svertsengi</t>
  </si>
  <si>
    <t>George Olah Renewable Methanol plant</t>
  </si>
  <si>
    <t>Jointly operated by Carbon Recycling International (CRI) and HS Orka. Captive consumption for green methanol production from CO2 and H2 by proprietary emission-to-liquid (ETL) technology. Onstream in 2012.</t>
  </si>
  <si>
    <t>Reykjanes</t>
  </si>
  <si>
    <t>HS Orka &amp; Hydrogen Ventures Limited (H2V)</t>
  </si>
  <si>
    <t>Joint project between HS Orka and Hydrogen Ventures Limited (H2V). Production of green methanol from 30 MW electrolyzer and CO2 from HS Orka's power plant.</t>
  </si>
  <si>
    <t>Whitegate, Cork</t>
  </si>
  <si>
    <t>Irving Oil Limited, Whitegate Refinery</t>
  </si>
  <si>
    <t>Formerly Phillips 66 and previously Irish Refining PLC.</t>
  </si>
  <si>
    <t>Cork, Bantry Bay</t>
  </si>
  <si>
    <t>Zenith Energy &amp; EI-H2</t>
  </si>
  <si>
    <t>Joint project between Zenith Energy and EI-H2. Green ammonia production on-site Zenith Energy's Bantry Bay terminal.</t>
  </si>
  <si>
    <t>Empoli</t>
  </si>
  <si>
    <t>Alia Servizi Ambientali  Srl</t>
  </si>
  <si>
    <t>Combined methanol and hydrogen plant from waste plant.</t>
  </si>
  <si>
    <t>Falconara Marittima, Ancona</t>
  </si>
  <si>
    <t>api Raffineria di Ancona S.p.A.</t>
  </si>
  <si>
    <t>Gela</t>
  </si>
  <si>
    <t>Eni S.p.A., Raffineria di Gela</t>
  </si>
  <si>
    <t>Conversion to biorefinery. Captive use for the hydrogenation of vegetable oils.</t>
  </si>
  <si>
    <t>Sannazzaro de' Burgondi</t>
  </si>
  <si>
    <t>Eni S.p.A., Raffineria di Sannazzaro</t>
  </si>
  <si>
    <t>Taranto</t>
  </si>
  <si>
    <t>Eni S.p.A., Raffineria di Taranto</t>
  </si>
  <si>
    <t>Porto Marghera</t>
  </si>
  <si>
    <t>Eni S.p.A., Raffineria di Venecia</t>
  </si>
  <si>
    <t>Captive use for the production of hydrotreated vegetable oil (HVO). Retrofitted petroleum refinery.</t>
  </si>
  <si>
    <t>Melilli</t>
  </si>
  <si>
    <t>Erg Petroli S.p.A.</t>
  </si>
  <si>
    <t>Busalla</t>
  </si>
  <si>
    <t>Iplom S.p.A.</t>
  </si>
  <si>
    <t>Priolo Gargallo</t>
  </si>
  <si>
    <t>Lukoil ISAB Refinery</t>
  </si>
  <si>
    <t>Owned 80% by Lukoil, Russia, and 20% by ERG, Italy.</t>
  </si>
  <si>
    <t>Novara</t>
  </si>
  <si>
    <t>Radici Chimica S.p.A.</t>
  </si>
  <si>
    <t>Hydrogenation of phenol.</t>
  </si>
  <si>
    <t>Milazzo</t>
  </si>
  <si>
    <t>Raffineria Milazzo S.C.p.A.</t>
  </si>
  <si>
    <t xml:space="preserve">Jointly owned by eni SpA and Kuwait Petroleum Italia SpA. </t>
  </si>
  <si>
    <t>Sarroch, Cagliari</t>
  </si>
  <si>
    <t>Saras S.p.A. Raffinerie Sarde</t>
  </si>
  <si>
    <t>Owned 100% by Saras SpA, Italy. Supplied to Saras.</t>
  </si>
  <si>
    <t>Biorefinery producing HVO.</t>
  </si>
  <si>
    <t>Sarroch</t>
  </si>
  <si>
    <t>SardHy Green Hydrogen</t>
  </si>
  <si>
    <t>Joint project between Enel Green Power and Saras. 20 MW electrolyzer on-site Saras refinery.</t>
  </si>
  <si>
    <t>Trecate</t>
  </si>
  <si>
    <t>Sarpom‒Società a Responsabilità Limitata Raffineria Padana Olii Minerali S.r.l.</t>
  </si>
  <si>
    <t>Subsidiary of ExxonMobil through Esso.</t>
  </si>
  <si>
    <t>Macherio</t>
  </si>
  <si>
    <t>SIR Industriale S.p.A.</t>
  </si>
  <si>
    <t>Other</t>
  </si>
  <si>
    <t>South Italy Green Hydrogen</t>
  </si>
  <si>
    <t>Joint project between Enel Green Power and Eni. On-site supply of green hydrogen at Eni's biorefinery produced by 20 MW electrolyzer.</t>
  </si>
  <si>
    <t>Joint project between Enel Green Power and Eni. On-site supply of green hydrogen at Eni's refinery produced by 10 MW electrolyzer.</t>
  </si>
  <si>
    <t>Europoort, Rotterdam</t>
  </si>
  <si>
    <t>BP Raffinaderij Rotterdam (BPRR) BV</t>
  </si>
  <si>
    <t>Delfzijl</t>
  </si>
  <si>
    <t>Djewels 1, 2 &amp; 3</t>
  </si>
  <si>
    <t>Joint project between BioMCN, DeNora, Gasunie, Hinicio, HyCC, and McPhy. 20 MW electrolyzer. Expansion planned to 60 MW by 2030. Green hydrogen supplied to BioMCN for green methanol production.</t>
  </si>
  <si>
    <t>Middelburg</t>
  </si>
  <si>
    <t>Eastman Chemical Middelburg B.V.</t>
  </si>
  <si>
    <t>Resins</t>
  </si>
  <si>
    <t>Captive consumption for hydrogenated resins.</t>
  </si>
  <si>
    <t>Esso Nederland B.V.</t>
  </si>
  <si>
    <t>PSA</t>
  </si>
  <si>
    <t>Gunvor Petroleum Rotterdam</t>
  </si>
  <si>
    <t>Formerly Kuwait Petroleum Europoort BV (KPE).</t>
  </si>
  <si>
    <t>Ijmuiden</t>
  </si>
  <si>
    <t>H2ermes</t>
  </si>
  <si>
    <t>Joint project between HyCC, Port of Amsterdam, and Tata Steel. 100 MW electrolyzer on-site Tata Steel to produce green hydrogen to decarbonize Tata Steel's steel production as well as for merchant sales.</t>
  </si>
  <si>
    <t>Delfzijl, Heveskes</t>
  </si>
  <si>
    <t>H2eron</t>
  </si>
  <si>
    <t>Owned by HyCC. 40 MW green hydrogen plant for the production of sustainable aviation fuel (SAF) from organic waste.</t>
  </si>
  <si>
    <t>Rotterdam, Maasvlakte</t>
  </si>
  <si>
    <t>H2-Fifty</t>
  </si>
  <si>
    <t>Joint project between BP and the Hydrogen Chemistry Company (HyCC). Green hydrogen production with 250 MW electrolyzer to decarbonize BP's Rotterdam refinery.</t>
  </si>
  <si>
    <t>Eemshaven</t>
  </si>
  <si>
    <t>HyNetherlands Project</t>
  </si>
  <si>
    <t>Joint project between BioMCN (OCI), EEW Energy from Waste Gmbh (EEW), and Engie. Phase 1 scheduled for 2025 with 100 MW to produde green Methanol at BioMCN, a subsidiary of OCI. Phase 2 expansion to 850 MW by 2030 and Phase 3 expansion to 1.85 GW around 2033.</t>
  </si>
  <si>
    <t>Rozenburg, Pernis</t>
  </si>
  <si>
    <t>Neste Netherlands B.V.</t>
  </si>
  <si>
    <t>Captive use for the production of hydrotreated vegetable oil (HVO).</t>
  </si>
  <si>
    <t>Goeree- Overflakkee</t>
  </si>
  <si>
    <t>Proton Ventures &amp; Siemens &amp; Yara</t>
  </si>
  <si>
    <t>Joint project between Proton Ventures, Siemens, and Yara. Demonstration  plant to produce green ammonia.</t>
  </si>
  <si>
    <t>Bergen op Zoom</t>
  </si>
  <si>
    <t>Sabic Innovative Plastics B.V.</t>
  </si>
  <si>
    <t>Majority owned (70%) by Saudi Aramco. By-product from phosgene production.</t>
  </si>
  <si>
    <t>Green hydrogen from 200 MW electrolyzer for Shell's refinery in Pernis and the Shell Energy and Chemicals Park Rotterdam supplied by pipeline.</t>
  </si>
  <si>
    <t>Shell Nederland Raffinaderij B.V.</t>
  </si>
  <si>
    <t>Amsterdam</t>
  </si>
  <si>
    <t>Synkero B.V.</t>
  </si>
  <si>
    <t>Joint project between SkyNRG, Port of Amsterdam, Royal Schiphol Group, and KLM. Biorefinery for the production of sustainable aviation fuels.</t>
  </si>
  <si>
    <t>Sluiskil</t>
  </si>
  <si>
    <t>Yara Sluiskil B.V.</t>
  </si>
  <si>
    <t>Joint project between Yara and Ørsted.  100 MW wind powered electrolyzer for green ammonia production.</t>
  </si>
  <si>
    <t>Vlissingen</t>
  </si>
  <si>
    <t>Zeeland Refinery N.V.</t>
  </si>
  <si>
    <t>Joint venture between Total (55%) and Lukoil (45%).</t>
  </si>
  <si>
    <t>Hammerfest</t>
  </si>
  <si>
    <t>Barents Blue</t>
  </si>
  <si>
    <t>Project of Horisont Energi. Production of blue ammonia with the CO2 being captured and transported by ship to the Polaris reservoir for storage below the seabed offshore Finnmark.</t>
  </si>
  <si>
    <t>Tønsberg, Slagen Oil Terminal</t>
  </si>
  <si>
    <t>ExxonMobil &amp; Grieg Edge &amp; North Ammonia &amp; GreenH</t>
  </si>
  <si>
    <t>Joint project between ExxonMobil, Grieg Edge, North Ammonia, and GreenH. On-site Esso Norge Slagen oil terminal. Captive for green ammonia production.</t>
  </si>
  <si>
    <t>Kristiansand</t>
  </si>
  <si>
    <t>Glencore Nikkelverk AS</t>
  </si>
  <si>
    <t>Green hydrogen for captive hydrochloric acid production.</t>
  </si>
  <si>
    <t>Fornebu</t>
  </si>
  <si>
    <t>H2Carrier</t>
  </si>
  <si>
    <t>Floating production and storage of green ammonia in P2XFloater™ near shore.</t>
  </si>
  <si>
    <t>Finnmark</t>
  </si>
  <si>
    <t>Horisont Energi &amp; St1 Nordic</t>
  </si>
  <si>
    <t>Joint project between Horisont Energi and St1 Nordic to produce green ammonia from electrolyzer.</t>
  </si>
  <si>
    <t>Rafnes</t>
  </si>
  <si>
    <t>Inovyn Norge AS, Aquarius Green Hydrogen Hub</t>
  </si>
  <si>
    <t>Subsidiary of Ineos.</t>
  </si>
  <si>
    <t>Sauda</t>
  </si>
  <si>
    <t>Iverson eFuels AS</t>
  </si>
  <si>
    <t>Joint project between Trafigura, Hy2gen, and Copenhagen Infrastructure Partners (CIP). Production of green ammonia from 240 MW electrolyzer.</t>
  </si>
  <si>
    <t>Tromsø</t>
  </si>
  <si>
    <t>Magnora &amp; Prime Capital &amp; Troms Kraft</t>
  </si>
  <si>
    <t>Joint project between Magnora ASA, Prime Capital, and Troms Kraft. Production of green ammonia from green hydrogen from hydro and wind power.</t>
  </si>
  <si>
    <t>Mo i Rana</t>
  </si>
  <si>
    <t>Mo Industrial e-Fuels AS</t>
  </si>
  <si>
    <t>Subsidiary of Swiss Liquid Future. Joint project with Elkem, Mo Industripark, thyssenkrupp, and e-fuels2go. Production of green methanol with 94 MW electrolyzer.</t>
  </si>
  <si>
    <t>Nel Hydrogen &amp; Statkraft</t>
  </si>
  <si>
    <t>Joint project between Nel Hydrogen and Statkraft, to produce green hydrogen with 40-50 MW electrolyzer to decarbonize steel production at Celsa Armeringsstål AS.</t>
  </si>
  <si>
    <t>Tofte</t>
  </si>
  <si>
    <t>Silva Green Fuel DA</t>
  </si>
  <si>
    <t>Joint project between Statkraft and Sødra. Wood-based biorefinery.</t>
  </si>
  <si>
    <t>Finnfjord</t>
  </si>
  <si>
    <t>Statkraft &amp; Finnfjord &amp; CRI</t>
  </si>
  <si>
    <t>Joint project between Statkraft, Finnfjord, and Carbon Recycling International (CRI). Methanol from 110 MW electrolyzer and CO2 from Finnfjord's ferrosilicon plant.</t>
  </si>
  <si>
    <t>Herøya, Porsgrunn</t>
  </si>
  <si>
    <t>Yara - Hegra (Herøya Green Ammonia)</t>
  </si>
  <si>
    <t>Green ammonia demonstration plant with 24 MW electrolyzer with Linde technology. Yara aims to completely decarbonize the complex by  2029.</t>
  </si>
  <si>
    <t>Matosinhos, Porto</t>
  </si>
  <si>
    <t>Galp Energia SA, Matosinhos Refinery</t>
  </si>
  <si>
    <t>Sines</t>
  </si>
  <si>
    <t>Galp Energia SA, Sines Refinery</t>
  </si>
  <si>
    <t>MadoquaPower2X</t>
  </si>
  <si>
    <t>Joint project between Madoqua Renewables, Power2X, and Copenhagen Infrastructure Partners’ Energy Transition Fund (CIP). Production of green ammonia with 500 MW electrolyzer.</t>
  </si>
  <si>
    <t>Lavos, Figueira da Foz</t>
  </si>
  <si>
    <t>P2X-Portgual</t>
  </si>
  <si>
    <t>Joint project between The Navigator Company and P2X-Europe to produce sustainable aviation fuels from 85 MW electrolyzer.</t>
  </si>
  <si>
    <t>Tarragona</t>
  </si>
  <si>
    <t>BASF Española S.A.</t>
  </si>
  <si>
    <t>Castellón de la Plana</t>
  </si>
  <si>
    <t>BP Oil Refinería de Castellón, S.A.U.</t>
  </si>
  <si>
    <t>La Rábida, Huelva</t>
  </si>
  <si>
    <t>CEPSA (Compañía Española de Petróleos, S.A.U.)</t>
  </si>
  <si>
    <t>Formerly known as ERTOIL, S.A.</t>
  </si>
  <si>
    <t>San Roque, Cádiz</t>
  </si>
  <si>
    <t>Blanes</t>
  </si>
  <si>
    <t>Domo Polymer Solutions Spain</t>
  </si>
  <si>
    <t>Formerly Solvay Solutions España S.L., Fábrica de Blanes</t>
  </si>
  <si>
    <t>Caldas de Reis, Pontevedra</t>
  </si>
  <si>
    <t>Green UMIA</t>
  </si>
  <si>
    <t>Joint project between Iberdrola and Foresa. Green methanol production</t>
  </si>
  <si>
    <t>Bilbao</t>
  </si>
  <si>
    <t>H2 Green Steel &amp; Iberdrola</t>
  </si>
  <si>
    <t>Jointly owned by H2 Green Steel and Iberdrola. Green hydrogen production from 1 GW electrolyzer for green steel production.</t>
  </si>
  <si>
    <t>Cartagena</t>
  </si>
  <si>
    <t>HyDeal España</t>
  </si>
  <si>
    <t>Joint project between Enagás, Repsol, and Engie. On-site supply for Repsol's Biorefinery producing HVO.</t>
  </si>
  <si>
    <t>Palos, Huelva</t>
  </si>
  <si>
    <t>Iberdrola &amp; Fertiberia</t>
  </si>
  <si>
    <t>Joint project between Fertiberia and Iberdrola in phases to produce green ammonia from 800 MW electrolyzers.</t>
  </si>
  <si>
    <t>Puertollano</t>
  </si>
  <si>
    <t>Sobrado, A Coruña</t>
  </si>
  <si>
    <t>Iberdrola Foresa Methanol 1 &amp; 2</t>
  </si>
  <si>
    <t>Joint project between Iberdrola and Foresa. Green methanol from 100 MW electrolyzer.</t>
  </si>
  <si>
    <t>La Zaida</t>
  </si>
  <si>
    <t>PeroxyChem Spain, S.L.</t>
  </si>
  <si>
    <t>Subsidiary of Evonik. Formerly FMC Foret.</t>
  </si>
  <si>
    <t>Muskiz, Bilbao</t>
  </si>
  <si>
    <t>Petróleos del Norte S.A. (Petronor)</t>
  </si>
  <si>
    <t>Subsidiary of Repsol.</t>
  </si>
  <si>
    <t>Green hydrogen from 2.5 MW electrolyzer to help decarbonizing the refinery.</t>
  </si>
  <si>
    <t>A Coruña</t>
  </si>
  <si>
    <t>Repsol Petroleo, S.A.</t>
  </si>
  <si>
    <t>Biorefinery on-site oil refinery.</t>
  </si>
  <si>
    <t>Cartagena, Murcia</t>
  </si>
  <si>
    <t>Biorefinery on-site existing oil refinery. Production of biojet fuel.</t>
  </si>
  <si>
    <t>Örnsköldsvik</t>
  </si>
  <si>
    <t>FlagshipONE</t>
  </si>
  <si>
    <t>Joint project between Liquid Wind, Ørsted, and Siemens. Green methanol production from 70 MW electrolyzer and CO2 emitted from Övik Energy's combined heat and power (CHP) plant.</t>
  </si>
  <si>
    <t>Sundsvall</t>
  </si>
  <si>
    <t>FlagshipTWO</t>
  </si>
  <si>
    <t xml:space="preserve">Follow-up project of FlagshipONE. Plans to establish 10 facilities by 2030. </t>
  </si>
  <si>
    <t>Boden-Luleå</t>
  </si>
  <si>
    <t>H2 Green Steel</t>
  </si>
  <si>
    <t>Green hydrogen production from 800 MW electrolyzer for green steel production by 2026 expandable to 1.6 GW by 2032.</t>
  </si>
  <si>
    <t>Höganäs</t>
  </si>
  <si>
    <t>Höganäs AB</t>
  </si>
  <si>
    <t>Gällivare</t>
  </si>
  <si>
    <t>Hybrit (Hydrogen Breakthrough Ironmaking Technology)</t>
  </si>
  <si>
    <t>Joint project between SSAB, LKAB, and Vattenfall. Green hydrogen from 500 MW electrolyzer for producing green steel.</t>
  </si>
  <si>
    <t>Luleå, Svartön</t>
  </si>
  <si>
    <t>Joint project between SSAB, LKAB, and Vattenfall. Pilot plant from spring 2021 to 2024. Green hydrogen from 4.5 MW electrolyzer for producing green steel.</t>
  </si>
  <si>
    <t>Luleå</t>
  </si>
  <si>
    <t>Hybrit Project</t>
  </si>
  <si>
    <t>Joint project between SSAB, LKAB and Vattenfall. Mostly for direct reduced iron but also for green methanol production. Underground hydrogen gas storage facility on site.</t>
  </si>
  <si>
    <t>Helsingborg</t>
  </si>
  <si>
    <t>Kemira Kemi AB</t>
  </si>
  <si>
    <t>Nynäshamn</t>
  </si>
  <si>
    <t>Nynas AB</t>
  </si>
  <si>
    <t>Hofors</t>
  </si>
  <si>
    <t>Ovako</t>
  </si>
  <si>
    <t>Green hydrogen production from 20 MW electrolyzer to heat steel prior to rollling and hot forming.</t>
  </si>
  <si>
    <t>Göteborg</t>
  </si>
  <si>
    <t>Preemraff Göteborg AB</t>
  </si>
  <si>
    <t>Subsidiary of Al Muwakaba for Industrial Development &amp; Overseas Commerce (MIDROC), Saudi Arabia.</t>
  </si>
  <si>
    <t>Lysekil</t>
  </si>
  <si>
    <t>Preemraff Lysekil</t>
  </si>
  <si>
    <t>Subsidiary of Al Muwakaba for Industrial Development &amp; Overseas Commerce (MIDROC), Saudi Arabia. Formerly Scanraff AB.</t>
  </si>
  <si>
    <t xml:space="preserve">Subsidiary of Al Muwakaba for Industrial Development &amp; Overseas Commerce (MIDROC), Saudi Arabia. Biorefinery on-site oil refinery. </t>
  </si>
  <si>
    <t>Joint project between Vattenfall and Preem (subsidiary of Al Muwakaba for Industrial Development &amp; Overseas Commerce (MIDROC), Saudi Arabia. 50 MW ectrolyzer for biorefinery on-site oil refinery. Expansion planned to 200-500 MW.</t>
  </si>
  <si>
    <t>Stenungsund</t>
  </si>
  <si>
    <t>Project AIR</t>
  </si>
  <si>
    <t>Joint project between Fortum, Perstorp, Uniper. Green methanol production with 330 WM electrolyzer and CO2 from Perstorp's CCU plant.</t>
  </si>
  <si>
    <t>St1 SCA AB</t>
  </si>
  <si>
    <t>Joint venture between St1 and SCA. On-site St1 Nordic biorefinery.</t>
  </si>
  <si>
    <t>Monthey</t>
  </si>
  <si>
    <t>Hrand Djevahirdjian SA (Djeva)</t>
  </si>
  <si>
    <t>Artificial Gemstones</t>
  </si>
  <si>
    <t xml:space="preserve">Mostly for captive use. Surplus product is marketed through Messer Schweiz AG. </t>
  </si>
  <si>
    <t>Visp</t>
  </si>
  <si>
    <t>Lonza AG</t>
  </si>
  <si>
    <t>Cressier</t>
  </si>
  <si>
    <t>Varo Refining Cressier SA</t>
  </si>
  <si>
    <t>Subsidiary of Varo Energy, part of Vitol Group. Formerly Petroplus Refining Cressier S.A.</t>
  </si>
  <si>
    <t>Immingham, Port of Immingham</t>
  </si>
  <si>
    <t>Air Products &amp; Associated British Ports (ABP)</t>
  </si>
  <si>
    <t>AS</t>
  </si>
  <si>
    <t>Captive for green ammonia production. Associated with Humber Hydrogen Hub (H3).</t>
  </si>
  <si>
    <t>Nigg, Tain</t>
  </si>
  <si>
    <t>Cromarty Clean Fuels Project</t>
  </si>
  <si>
    <t>Owned by Proman. On-site Nigg Oil Terminal. Green methanol production with 300 MW electrolyzer and CO2 from nearby industrial plant.</t>
  </si>
  <si>
    <t>Fawley, Hampshire</t>
  </si>
  <si>
    <t>ExxonMobil Chemical Ltd., Fawley Refinery and Petrochemical Plant</t>
  </si>
  <si>
    <t>Offshore, near Orkney and Shetland Islands</t>
  </si>
  <si>
    <t>Floating production and storage of green ammonia in P2XFloater™ near shore in Scotland off-grid.</t>
  </si>
  <si>
    <t>Grangemouth</t>
  </si>
  <si>
    <t>Petroineos</t>
  </si>
  <si>
    <t>Joint venture between Ineos and PetroChina. Blue hydrogen from 2027 with CO2 piped to Acorn CCS project.</t>
  </si>
  <si>
    <t>Immingham, Hull</t>
  </si>
  <si>
    <t>Phillips 66, Humber Refinery</t>
  </si>
  <si>
    <t>Prax Lindsey Oil Refinery Ltd.</t>
  </si>
  <si>
    <t>Acquired from Total. Formerly known as Total Lindsey Oil Refinery.</t>
  </si>
  <si>
    <t>Felixtowe</t>
  </si>
  <si>
    <t>ScottishPower Renewables</t>
  </si>
  <si>
    <t>Subsidiary of Iberdrola. Green hydrogen from 14 MW electrolyzer. Expansion to 28 MW planned.</t>
  </si>
  <si>
    <t>Milford Haven, Pembroke</t>
  </si>
  <si>
    <t>Valero Energy Corporation, Pembroke Refinery</t>
  </si>
  <si>
    <t>Velocys Altalto plc</t>
  </si>
  <si>
    <t>Biorefinery for the production of sustainable jet fuels from municipal waste.</t>
  </si>
  <si>
    <t>Breitenwang</t>
  </si>
  <si>
    <t>Linde Gas GmbH</t>
  </si>
  <si>
    <t>On-site plant for Metallwerk Plansee.</t>
  </si>
  <si>
    <t>On-site supply for Voestalpine and DSM Fine Chemicals.</t>
  </si>
  <si>
    <t>Plant previously owned by Air Products. Part of the hydrogen is supplied to Borealis Agrolinz Melamin GmbH.</t>
  </si>
  <si>
    <t>St. Martin im Sulmtal</t>
  </si>
  <si>
    <t>On-site plant for Wolfram Bergbau.</t>
  </si>
  <si>
    <t>Gumpoldskirchen</t>
  </si>
  <si>
    <t>Messer Austria GmbH</t>
  </si>
  <si>
    <t>Herzogenburg</t>
  </si>
  <si>
    <t>Distribution only.</t>
  </si>
  <si>
    <t>Weissenstein ob der Drau</t>
  </si>
  <si>
    <t>Raw H2 from Evonik Peroxide GmbH.</t>
  </si>
  <si>
    <t>Air Liquide Belge S.A.-N.V.</t>
  </si>
  <si>
    <t>Pipeline</t>
  </si>
  <si>
    <t>Three units. On BASF site. Supplies refinery and petrochemical sites, including BASF, Covestro, and Neste Oil’s Renewable Diesel plant and feeds pipeline.</t>
  </si>
  <si>
    <t>Feluy</t>
  </si>
  <si>
    <t>TCR</t>
  </si>
  <si>
    <t>Connected to pipeline network.</t>
  </si>
  <si>
    <t>Ghent</t>
  </si>
  <si>
    <t>H2BE Project</t>
  </si>
  <si>
    <t>ATR w/ CCS</t>
  </si>
  <si>
    <t xml:space="preserve">Joint project between Engie and Equinor. Blue hydrogen from natural gas via autothermal reforming (ATR) and CSS. </t>
  </si>
  <si>
    <t>Zeebrugge</t>
  </si>
  <si>
    <t xml:space="preserve">Hyoffwind &amp; John Cockerill &amp; BESIX </t>
  </si>
  <si>
    <t>Joint project between Hyoffwind, John Cockerill, and BESIX. Green hydrogen from 100 MW electrolyzer.</t>
  </si>
  <si>
    <t>Dogger Bank, North Sea Offshore</t>
  </si>
  <si>
    <t>Brintø - Hydrogen Island</t>
  </si>
  <si>
    <t>Owned by Copenhagen Infrastructure Partners (CIP). 10 GW electrolyzer on artificial island in the North Sea from offshore wind.</t>
  </si>
  <si>
    <t>GreenHyScale Project</t>
  </si>
  <si>
    <t>Owned by Green Hydrogen Systems. Green hydrogen from 6 MW. Expansion planned to 100 MW.</t>
  </si>
  <si>
    <t>H2 Energy Europe</t>
  </si>
  <si>
    <t>Jointly owned by Trafigura and H2 Energy Holding.</t>
  </si>
  <si>
    <t>Frederica</t>
  </si>
  <si>
    <t>HySynergy</t>
  </si>
  <si>
    <t>Owned by Everfuel. Project in three phases: Phase 1: 20 MW by 2022, phase 2: 300 MW by 2025, Phase 3: 1 GW by 2030. On-site storage facility planned. On-site Crossbridge Energy's refinery. Surplus hydrogen will be used as fuel for district heating.</t>
  </si>
  <si>
    <t>Klampenborg</t>
  </si>
  <si>
    <t>Strandmollen A/S</t>
  </si>
  <si>
    <t>Green hydrogen from 1 MW electrolyzer.</t>
  </si>
  <si>
    <t>Ejby</t>
  </si>
  <si>
    <t>Strandmøllen A/S</t>
  </si>
  <si>
    <t>Helsinki</t>
  </si>
  <si>
    <t>Linde Gas Ab, Oy</t>
  </si>
  <si>
    <t>Formerly AGA.</t>
  </si>
  <si>
    <t>Kulloo, Kilpilahti</t>
  </si>
  <si>
    <t>On-site Neste oil refinery.</t>
  </si>
  <si>
    <t>Formerly AGA. Long-term on-site supply contract with Neste Oil.</t>
  </si>
  <si>
    <t>Raisio</t>
  </si>
  <si>
    <t>Kokkola</t>
  </si>
  <si>
    <t>Woikoski Ab, Oy</t>
  </si>
  <si>
    <t>Green hydrogen from 9 MW electrolyzer. Connected to pipeline.</t>
  </si>
  <si>
    <t>Voikoski</t>
  </si>
  <si>
    <t>From hydropower.</t>
  </si>
  <si>
    <t>Douai</t>
  </si>
  <si>
    <t>Air Liquide France Industrie (ALFI)</t>
  </si>
  <si>
    <t>Aerospace</t>
  </si>
  <si>
    <t>Raw gas from Versalis France S.A.; by-product from ethylene.</t>
  </si>
  <si>
    <t>Gueugnon</t>
  </si>
  <si>
    <t>Supplies metallurgical company.</t>
  </si>
  <si>
    <t>Lacq, Pau</t>
  </si>
  <si>
    <t>Supply to nearby Arkema plant.</t>
  </si>
  <si>
    <t>On-site supply for Petroineos' Lavera refinery. Rest is fed into an existing local pipeline network.</t>
  </si>
  <si>
    <t>By-product hydrogen from Kem One supplies Air Liquide’s pipeline.</t>
  </si>
  <si>
    <t>Le Péage-de-Roussillon</t>
  </si>
  <si>
    <t>Pipeline for on-site supply for chemical companies on chemical park site.</t>
  </si>
  <si>
    <t>Le Pont de Claix</t>
  </si>
  <si>
    <t>On-site plant for Rhodia.</t>
  </si>
  <si>
    <t>Long-term supply agreement with Esso S.A.F, a subsidiary of ExxonMobil.</t>
  </si>
  <si>
    <t>Connected to pipeline.</t>
  </si>
  <si>
    <t>Air Liquide Normand’Hy</t>
  </si>
  <si>
    <t>Subsidiary of Air Liquide. Supply of green hydrogen from 200 MW electrolyzer to TotalEnergies refinery at Gonfreville as well as merchant sales. Connected to pipeline.</t>
  </si>
  <si>
    <t>H2V Normandy</t>
  </si>
  <si>
    <t>Partly owned by Air Liquide (40%). 200 MW electrolyzer.</t>
  </si>
  <si>
    <t>Chalampé</t>
  </si>
  <si>
    <t>Linde France S.A.</t>
  </si>
  <si>
    <t>On-site plant for BASF’s new hexamethylenediamine (HMDA) plant as well as merchant sales.</t>
  </si>
  <si>
    <t>On-site plant for Butachimie, a joint venture between Solvay and Invista.</t>
  </si>
  <si>
    <t>Masshylia Project</t>
  </si>
  <si>
    <t>Joint project between Total and Engie. On-site TotalEnergies Biorefinery</t>
  </si>
  <si>
    <t>Saint-Leu-d'Esserent</t>
  </si>
  <si>
    <t>Messer France S.A.S.</t>
  </si>
  <si>
    <t>Pipeline to one customer. Formerly Praxair.</t>
  </si>
  <si>
    <t>Andernach</t>
  </si>
  <si>
    <t>Air Liquide Deutschland GmbH</t>
  </si>
  <si>
    <t>On-site supply.</t>
  </si>
  <si>
    <t>Bernburg</t>
  </si>
  <si>
    <t>On-site plant for Solvay Interox.</t>
  </si>
  <si>
    <t>Dormagen</t>
  </si>
  <si>
    <t>TDI</t>
  </si>
  <si>
    <t>On-site supply for Covestro's TDI plant. HyCO plant. Connected to Air Liquide’s Ruhr Pipeline.</t>
  </si>
  <si>
    <t>Jena</t>
  </si>
  <si>
    <t>On-site plant for Schott.</t>
  </si>
  <si>
    <t>Marl</t>
  </si>
  <si>
    <t>Sourced from Evonik's steam reformer. On Marl Chemical Park. Connected to Air Liquide’s Ruhr Pipeline.</t>
  </si>
  <si>
    <t>Minden</t>
  </si>
  <si>
    <t>On-site plant for BASF.</t>
  </si>
  <si>
    <t>Nünchritz</t>
  </si>
  <si>
    <t>On-site plant for ESF Elbe-Stahlwerke Feralpi GmbH and Wacker Chemie.</t>
  </si>
  <si>
    <t>Oberhausen</t>
  </si>
  <si>
    <t>Power-to-gas</t>
  </si>
  <si>
    <t>Green hydrogen from 20 MW electrolyzer, expandable to 30 MW. Connected to pipeline.</t>
  </si>
  <si>
    <t>Offstein</t>
  </si>
  <si>
    <t>On-site plant for Südzucker.</t>
  </si>
  <si>
    <t>Air Liquide Industriegase GmbH &amp; Co. KG</t>
  </si>
  <si>
    <t>On-site supply of hydrogen and carbon monoxide for Dow Deutschland Inc.</t>
  </si>
  <si>
    <t>Lülsdorf-Niederkassel</t>
  </si>
  <si>
    <t>Air Products GmbH</t>
  </si>
  <si>
    <t>CS</t>
  </si>
  <si>
    <t>On-site Evonik.</t>
  </si>
  <si>
    <t>Bad Lauchstädt</t>
  </si>
  <si>
    <t>Energiepark Bad Lauchstädt</t>
  </si>
  <si>
    <t>Joint project between Uniper, VNG Gasspeicher GmbH (VGS), Ontras Gastransport GmbH, DBI Freiberg, and Terrawatt Planungsgesellschaft mbH. 35 MW electrolyzer. Cavern storage facility for green hydrogen.</t>
  </si>
  <si>
    <t>Hamburg, Moorburg</t>
  </si>
  <si>
    <t>Hamburg Green Hydrogen Hub</t>
  </si>
  <si>
    <t>Joint project between Shell, Mitsubishi Heavy Industries, Vattenfall, and Wärme Hamburg. 100 MW electrolyzer. Supply to ArcelorMittal Hamburg for sponge iron production via DRI process using 100% hydrogen.</t>
  </si>
  <si>
    <t>Lubmin</t>
  </si>
  <si>
    <t>HH2E &amp; Met Group</t>
  </si>
  <si>
    <t xml:space="preserve">Joint project between HH2E and Met Group. 100 MW electrolyzer by 2025, including battery storage. Expansion planned for 1 GW by 2030. </t>
  </si>
  <si>
    <t>Emsbüren</t>
  </si>
  <si>
    <t>Hydridge</t>
  </si>
  <si>
    <t>Joint project betweeen Amprion and Open Grid Europe (OGE). 100 MW electrolyzer.</t>
  </si>
  <si>
    <t>Linde &amp; RWE</t>
  </si>
  <si>
    <t>Joint project between Linde and RWE. Two 100 MW PEM electrolyzers from offshore wind. Expansion planned to 2 GW. On-site RWE power plant.</t>
  </si>
  <si>
    <t>Brunsbüttel</t>
  </si>
  <si>
    <t>Linde AG</t>
  </si>
  <si>
    <t>On-site supply of hydrogen and carbon monoxide to Covestro AG.</t>
  </si>
  <si>
    <t>HyCO plant. Connected to pipeline.</t>
  </si>
  <si>
    <t>On-site supply for naphthenic specialty oils producer Nynas AB as well as some merchant sales.</t>
  </si>
  <si>
    <t>On-site supply for Total refinery, DOMO, Dow Chemical, Radici Chimica, and other customers. Additional pipeline system of 500 km length installed between Bitterfeld, Buna, and Leuna to supply various chemical plants.</t>
  </si>
  <si>
    <t>Pilot plant using glycerine by-product from biodiesel production for hydrogen production via pyroreforming.</t>
  </si>
  <si>
    <t>Green hydrogen from 24 MW PEM electrolzyer. On-site Leuna Chemical Complex. Connected to pipeline.</t>
  </si>
  <si>
    <t>SR</t>
  </si>
  <si>
    <t>On-site Wacker.</t>
  </si>
  <si>
    <t>Linde Gas Produktionsgesellschaft mbH &amp; Co. KG</t>
  </si>
  <si>
    <t>On-site plant for Wacker-Chemie for the production of silicon wafers and to OMV's crude oil refinery.</t>
  </si>
  <si>
    <t>Castrop-Rauxel</t>
  </si>
  <si>
    <t>Messer</t>
  </si>
  <si>
    <t>Supply contract with Rütgers for the production of industrial resins.</t>
  </si>
  <si>
    <t>Grenzach-Wyhlen</t>
  </si>
  <si>
    <t>Reallabor-H"-Wyhlen Project</t>
  </si>
  <si>
    <t>Joint project between Messer, EnBW Group, EnergieDienst, Baden-Württemberg Center for Solar Energy and Hydrogen Research, and Dialogik. 6 MW electrolyzer. Marketed by Messer.</t>
  </si>
  <si>
    <t>Wesseling</t>
  </si>
  <si>
    <t>Refhyne Project</t>
  </si>
  <si>
    <t>Operated by Shell. Joint project between SINTEF, Shell, ITM Power, Sphera, and Element Energy. On-site Shell’s Energy and Chemicals Park. 10 MW pilot project, planned to get expanded to 100 MW.</t>
  </si>
  <si>
    <t>Uentrop, Hamm</t>
  </si>
  <si>
    <t>Wasserstoffzentrum Hamm GmbH &amp; Co. KG</t>
  </si>
  <si>
    <t>Joint project between Trianel and Stadtwerke Hamm. 20 MW electrolyzer.</t>
  </si>
  <si>
    <t>Salzbergen</t>
  </si>
  <si>
    <t>Westfalen AG</t>
  </si>
  <si>
    <t>Captive use by SRS Schmierstoffraffinerie Salzbergen GmbH. Part of the production is marketed by Westfalen AG.</t>
  </si>
  <si>
    <t>Falkenhagen</t>
  </si>
  <si>
    <t>WindGas Falkenhagen</t>
  </si>
  <si>
    <t>Subsidiary of Uniper SE. Green hydrogen from 2 MW electrolyzer. Fed into the natural gas network.</t>
  </si>
  <si>
    <t>WindGas Hamburg</t>
  </si>
  <si>
    <t>Subsidiary of Uniper SE. Green hydrogen from 1 MW electrolyzer. Fed into the natural gas network.</t>
  </si>
  <si>
    <t>Wunsiedel</t>
  </si>
  <si>
    <t>Wunsiedel Energy Park</t>
  </si>
  <si>
    <t>Joint project between Siemens (45%), WUN H2 GmbH (45%), and Riessner-Gase (10%). 6 MW PEM electrolyzer by 2021. Expansion planned.</t>
  </si>
  <si>
    <t>Linde Hellas Ltd.</t>
  </si>
  <si>
    <t>Selfoss</t>
  </si>
  <si>
    <t>Landsvirkjun</t>
  </si>
  <si>
    <t>Green hydrogen from 10 MW electrolyzer.</t>
  </si>
  <si>
    <t>Dublin</t>
  </si>
  <si>
    <t>BOC Gases Ireland Ltd.</t>
  </si>
  <si>
    <t>Subsidiary of Linde Group. Green hydrogen from 1 MW electrolyzer.</t>
  </si>
  <si>
    <t>Aghada</t>
  </si>
  <si>
    <t>EIH2</t>
  </si>
  <si>
    <t>Green hydrogen from 50 MW electrolyzer by 2023. Expansion to 1.7 GW and production of green ammonia planned from 2030.</t>
  </si>
  <si>
    <t>Catania</t>
  </si>
  <si>
    <t>Air Liquide Italia S.p.A.</t>
  </si>
  <si>
    <t>Formerly known as Societa per l’Industria dell’Ossigeno e di Altri Gas SpA-SIO. Filling plant only.</t>
  </si>
  <si>
    <t>Over-the-fence supply to ISAB, as well as other customers in the Priolo area.</t>
  </si>
  <si>
    <t>Offshore Mediterranian Sea</t>
  </si>
  <si>
    <t>HyMed</t>
  </si>
  <si>
    <t>Joint project between Aquaterra Energy and Seawind Ocean Technology. Green hydrogen from ultra-deep waters 1 GW wind powered electrolyzers.</t>
  </si>
  <si>
    <t>Linde Gas Italia S.r.l.</t>
  </si>
  <si>
    <t>On-site supply of Raffineria di Milazzo.</t>
  </si>
  <si>
    <t>Carlentini, Syracuse</t>
  </si>
  <si>
    <t>NextHy</t>
  </si>
  <si>
    <t>Joint project between Enel Green Power and Sapio. Wind-powered 4 MW electrolyzer.</t>
  </si>
  <si>
    <t>Ravenna</t>
  </si>
  <si>
    <t>Nippon Gases Italia S.r.l.</t>
  </si>
  <si>
    <t>POX and PSA</t>
  </si>
  <si>
    <t>Subsidiary of Nippon Sanso Holdings Corporation. Formerly Rivoira, a subsidiary of Praxair.</t>
  </si>
  <si>
    <t>San Salvo</t>
  </si>
  <si>
    <t>Brindisi</t>
  </si>
  <si>
    <t>Puglia Green Hydrogen Valley</t>
  </si>
  <si>
    <t>Joint project between Edison (50%), Alboran Hydrogen (40%), and Saipem (10%).</t>
  </si>
  <si>
    <t>Cerignola</t>
  </si>
  <si>
    <t>Puglia Green Hydrogen Valley Project</t>
  </si>
  <si>
    <t>Joint project between Alboran Hydrogen and Saipem.</t>
  </si>
  <si>
    <t>Ferrandina</t>
  </si>
  <si>
    <t>Sapio Srl</t>
  </si>
  <si>
    <t xml:space="preserve">Formerly Crion Srl. Jointly owned 51% by Progefin S.r.l., Italy and 49% by Air Products and Chemicals, Inc., United States. </t>
  </si>
  <si>
    <t>Ferrara</t>
  </si>
  <si>
    <t>Mantova</t>
  </si>
  <si>
    <t>Jointly owned 51% by Progefin S.r.l., Italy and 49% by Air Products and Chemicals, Inc., United States. On-site supply for Versalis.</t>
  </si>
  <si>
    <t>Jointly owned 51% by Progefin S.r.l., Italy and 49% by Air Products and Chemicals, Inc., United States. On-site supply for Italia Energia (IES).</t>
  </si>
  <si>
    <t>Pieve Vergonte</t>
  </si>
  <si>
    <t>Jointly owned 51% by Progefin S.r.l., Italy and 49% by Air Products and Chemicals, Inc., United States. On-site supply for Tessenderlo.</t>
  </si>
  <si>
    <t>Osio Sopra</t>
  </si>
  <si>
    <t>SIAD (Società Italiana Acetilene e Derivati S.p.A.)</t>
  </si>
  <si>
    <t>Owned by Flow-Fin.</t>
  </si>
  <si>
    <t>Cuneo</t>
  </si>
  <si>
    <t>SOL S.p.A.</t>
  </si>
  <si>
    <t>Salerno</t>
  </si>
  <si>
    <t>Air Liquide B.V.</t>
  </si>
  <si>
    <t>Refinery and pipeline</t>
  </si>
  <si>
    <t>On-site supply for Sabic Innovative Plastics B.V. Connected to ExxonMobil and Lyondell via pipeline.</t>
  </si>
  <si>
    <t>Botlek-Rotterdam</t>
  </si>
  <si>
    <t>SMR and PSA</t>
  </si>
  <si>
    <t>Supplies Lyondell, Exxon and Neste Oil's biodiesel plant at Maasvlakte and feeds pipeline. CSS ready.</t>
  </si>
  <si>
    <t>Terneuzen</t>
  </si>
  <si>
    <t>Air Liquide Technical Gases BV</t>
  </si>
  <si>
    <t>Project ELYgator, owned by Air Liquide. Green hydrogen from 200 MW electrolyzer, connected to pipeline.</t>
  </si>
  <si>
    <t>Rozenburg, Botlek-Rotterdam</t>
  </si>
  <si>
    <t>Air Products Nederland B.V.</t>
  </si>
  <si>
    <t>Partly on-site supply for ExxonMobil. Has liquifaction facility.</t>
  </si>
  <si>
    <t>Rotterdam, Europoort</t>
  </si>
  <si>
    <t>BP, Nouryon and Port of Rotterdam Project</t>
  </si>
  <si>
    <t>Joint project between BP, Nouryon and Port of Rotterdam Project. 250 MW electrolyzer.</t>
  </si>
  <si>
    <t>Eemshydrogen Project</t>
  </si>
  <si>
    <t>Operated by RWE. On-site RWE's Eemshaven power plant site, connected to RWE's Westereems wind farm. Production of green hydrogen for merchant market.</t>
  </si>
  <si>
    <t>Amsterdam, Port of Amsterdam</t>
  </si>
  <si>
    <t>H2era</t>
  </si>
  <si>
    <t>Joint project between HyCC and Port of Amsterdam. 500 MW electrolyzer to produce green hydrogen.</t>
  </si>
  <si>
    <t>Delfzijl, Farmsum</t>
  </si>
  <si>
    <t>On-site supply for Delfzijl chemical cluster of green hydrogen from 200 MW electrolyzer.</t>
  </si>
  <si>
    <t>Rotterdam, Port of Rotterdam</t>
  </si>
  <si>
    <t>MultiPLHY</t>
  </si>
  <si>
    <t>Joint project between Neste, Sunfire, CEA, Paul Wurth, and Engie to produce green hydrogen for Neste's biorefinery. Pilot project. 2.5 MW high-temperature electrolyzer to produce sustainable aviation fuel (SAF). Expansion planned by 2025 or later.</t>
  </si>
  <si>
    <t>NorthH2 Project</t>
  </si>
  <si>
    <t>Joint project between Eneco, Equinor, Gasunie, Groningen Seaports, RWE, and Shell. 4 GW electrolyzer capacity by 2030 and 10 GW by 2040. Electricity from offshore wind farms. Partly for ammonia and methanol production.</t>
  </si>
  <si>
    <t>Rotterdam-Pernis</t>
  </si>
  <si>
    <t>PerGen</t>
  </si>
  <si>
    <t>Subsidiary of Air Liquide. Cogeneration unit. On-site supply for Shell Netherlands Refinery.</t>
  </si>
  <si>
    <t>SeaH2Land Project</t>
  </si>
  <si>
    <t>Owned by Ørsted. Linked via a 45-kilometer (km) pipeline to industrial demand in the cross-border North Sea Port cluster in the Netherlands and Belgium.</t>
  </si>
  <si>
    <t>Uniper &amp; Port of Rotterdam</t>
  </si>
  <si>
    <t>Joint project between Uniper and Port of Rotterdam.</t>
  </si>
  <si>
    <t>Vision Hydrogen &amp; Virya Energy</t>
  </si>
  <si>
    <t>Joint project between Vision Hydrogen and Virya Energy.</t>
  </si>
  <si>
    <t>Delfzijl, Groningen Seaports</t>
  </si>
  <si>
    <t>VoltH2</t>
  </si>
  <si>
    <t>Green hydrogen from 50 MW electrolyzer by 2024, expansion to 100 MW planned.</t>
  </si>
  <si>
    <t>Terneuzen, Axelse Vlakte</t>
  </si>
  <si>
    <t>Green hydrogen from 25 MW electrolyzer by 2025, expansion to 100 MW by 2030.</t>
  </si>
  <si>
    <t>Green hydrogen from 25 MW electrolyzer by 2025, expansion to 100 MW by 2030.  Includes storage facillities.</t>
  </si>
  <si>
    <t>Jelsa, Suldal</t>
  </si>
  <si>
    <t>Gen2 Energy AS</t>
  </si>
  <si>
    <t>Green hydrogen production from 10 MW electrolyzer. Expansion to 300 MW planned.</t>
  </si>
  <si>
    <t>Meråker</t>
  </si>
  <si>
    <t>Green hydrogen production from 20 MW electrolyzer.</t>
  </si>
  <si>
    <t>Mosjøen</t>
  </si>
  <si>
    <t>Green hydrogen production from 100 MW electrolyzer.</t>
  </si>
  <si>
    <t>Hydrogen Hub Agder</t>
  </si>
  <si>
    <t>Joint project between Everfuel and Greenstat. Green hydrogen from 20 MW electrolyzer. Expansion to 60 MW planned by 2027.</t>
  </si>
  <si>
    <t>Estarreja</t>
  </si>
  <si>
    <t>Air Liquide Portugal - Sociedade Portuguesa do Ar Liquido Lda.</t>
  </si>
  <si>
    <t>Supplies Dow's MDI plant and CUF's aniline facilities. HyCO unit.</t>
  </si>
  <si>
    <t>GreenH2Atlantic</t>
  </si>
  <si>
    <t>Joint project between EDP, Galp, Engie, Bondalti, Martifer, Vestas, McPhy, and Efacec.</t>
  </si>
  <si>
    <t>H2 Hevo-Sines</t>
  </si>
  <si>
    <t>Joint project between Fusion Fuel, KEME Energy, Transition2Green, and HyLAB Collaborative Laboratory. Green hydrogen from 91 MW electrolyzer. Expansion to 606 MW planned by 2026.</t>
  </si>
  <si>
    <t>Joint project between Madoqua Renewables, Power2X, and Copenhagen Infrastructure Partners (CIP). Green hydrogen from 500 MW electrolyzer.</t>
  </si>
  <si>
    <t>Abelló Linde, S.A.</t>
  </si>
  <si>
    <t>HyCO plant on-site Repsol refinery.</t>
  </si>
  <si>
    <t>On-site Elcogas' IGCC power plant. Combined CO2 capture and H2 co-production.</t>
  </si>
  <si>
    <t>Air Liquide España S.A.</t>
  </si>
  <si>
    <t>Torrelavega</t>
  </si>
  <si>
    <t>On-site supply for Solvay.</t>
  </si>
  <si>
    <t>Zaragoza</t>
  </si>
  <si>
    <t>Aragon Hub</t>
  </si>
  <si>
    <t>Joint project between Enagá and Compañía Energética Aragonesa de Renovables (CEAR). 30 MW electrolyzer.</t>
  </si>
  <si>
    <t>Castellón</t>
  </si>
  <si>
    <t>BP &amp; Iberdrola &amp; Enagás</t>
  </si>
  <si>
    <t>Joint project between BP, Iberdrola, and Enagás. 10 MW solar-powered electrolyzer on-site BP. Expansion planned to 115 MW.</t>
  </si>
  <si>
    <t>La Pobla de Mafumet, Tarragona</t>
  </si>
  <si>
    <t>Carburos Metálicos, S.A.</t>
  </si>
  <si>
    <t>Subsidiary of Air Products. HyCO plant. On-site supply for Repsol, Tarragona refinery.</t>
  </si>
  <si>
    <t>Vitoria-Gasteiz</t>
  </si>
  <si>
    <t xml:space="preserve">Subsidiary of Air Products. </t>
  </si>
  <si>
    <t>Andorra, Teruel</t>
  </si>
  <si>
    <t>Catalina Project</t>
  </si>
  <si>
    <t>Joint project between Copenhagen Infrastructure Partners (CIP), Fertiberia, Enagás, Naturgy, and Vestas. 500 MW electrolyzer by 2024, 2 GW by 2028 or later. Supply by pipeline to Fertiberia at Sagunto for green ammonia production.</t>
  </si>
  <si>
    <t>La Robla</t>
  </si>
  <si>
    <t>Clean H2 Project</t>
  </si>
  <si>
    <t>Joint project between Enagás, Naturgy, and Ignis. 280 MW electrolyzer.</t>
  </si>
  <si>
    <t>Enagás &amp; Repsol &amp; Messer &amp; Iqoxe</t>
  </si>
  <si>
    <t>Joint project between Enagás, Repsol, Messer, and Iqoxe. Green hydrogen from 150 MW electrolyzer, expandable to 1 GW by 2027.</t>
  </si>
  <si>
    <t>Algeciras</t>
  </si>
  <si>
    <t>Fisterra Energy &amp; Enagás &amp; White Summit Capital</t>
  </si>
  <si>
    <t>Joint project between Fisterra Energy, Enagás, and White Summit Capital. Green hydrogen from 237 MW electrolyzer.</t>
  </si>
  <si>
    <t>Asturias</t>
  </si>
  <si>
    <t>Green Crane Asturias</t>
  </si>
  <si>
    <t>Joint project between Enagás, Naturgy, and Ignis. 60 MW electrolyzer.</t>
  </si>
  <si>
    <t>Asturias, Veriña</t>
  </si>
  <si>
    <t>Joint project between Enagás, ArcelorMittal, Fertiberia, and DH2 Energy to produce green hydrogen to decarbonize the steel and fertilizer industry. Supply to fertilizer producer Fertiberia at Aviles and to steelmaker ArcelorMittal at Gijón. 7.4 GW of electrolyzer capacity by 2035.</t>
  </si>
  <si>
    <t>El Grao de Castellón</t>
  </si>
  <si>
    <t>Nippon Gases Espana S.L.U</t>
  </si>
  <si>
    <t>Subsidiary of Nippon Sanso Holdings Corporation. Formerly Praxair. On-site supply for BP Oil España S.A.U. Refinería de Castellón.</t>
  </si>
  <si>
    <t>Gijón</t>
  </si>
  <si>
    <t>THF</t>
  </si>
  <si>
    <t>Subsidiary of Nippon Sanso Holdings Corporation. Formerly Praxair. Coke oven gas from ArcelorMittal. On-site supply to DuPont.</t>
  </si>
  <si>
    <t>Subsidiary of Nippon Sanso Holdings Corporation. Formerly Praxair. On-site supply for Petronor refinery.</t>
  </si>
  <si>
    <t>Pinto, Madrid</t>
  </si>
  <si>
    <t xml:space="preserve">Subsidiary of Nippon Sanso Holdings Corporation. Formerly Praxair. </t>
  </si>
  <si>
    <t>Orange.Bat</t>
  </si>
  <si>
    <t>Joint project led by ETRA to decarbonize the ceramics industry with 100 MW electrolyzer from Sunfire to produce green hydrogen.</t>
  </si>
  <si>
    <t>Petróleos del Norte (Petronor)</t>
  </si>
  <si>
    <t>e-Fuels</t>
  </si>
  <si>
    <t>Joint project between Enagás, Repsol, and Petronor. 10 MW electrolyzer for e-fuels production at Petronor Refinery.</t>
  </si>
  <si>
    <t>Lloseta , Mallorca</t>
  </si>
  <si>
    <t>Power to Green Hydrogen Mallorca</t>
  </si>
  <si>
    <t>Joint project between Enagás and Acciona. On-site Cemex.</t>
  </si>
  <si>
    <t>Raven SR</t>
  </si>
  <si>
    <t>Waste-to-hydrogen production facility by propriatary steam reformer.</t>
  </si>
  <si>
    <t>Repsol &amp; Saudi Aramco</t>
  </si>
  <si>
    <t>Joint project between Repsol and Saudi Aramco. Green hydrogen from 10 MW electrolyzer for e-fuels demonstration plant.</t>
  </si>
  <si>
    <t>Surahammar</t>
  </si>
  <si>
    <t>Air Liquide Gas AB</t>
  </si>
  <si>
    <t>Green hydrogen from 1 MW electrolyzer. Connected to pipeline. Supply to Surahammars Bruk, a subsidiary of Tata Steel.</t>
  </si>
  <si>
    <t>Söderhamn</t>
  </si>
  <si>
    <t>Lhyfe &amp; wpd</t>
  </si>
  <si>
    <t>Joint project between Lhyfe and wpd. Green hydrogen from 600 MW electrolyzer powered from offshore wind farm.</t>
  </si>
  <si>
    <t>Borlänge</t>
  </si>
  <si>
    <t>Linde Gas AB</t>
  </si>
  <si>
    <t>Formerly AGA Gas AB.</t>
  </si>
  <si>
    <t>Fagersta</t>
  </si>
  <si>
    <t>Halmstad</t>
  </si>
  <si>
    <t>Sandviken</t>
  </si>
  <si>
    <t>Previously AGA Gas AB. Green hydrogen from 10 MW electrolyzer. Mostly for Sandvik via pipeline.</t>
  </si>
  <si>
    <t>Statkraft &amp; Gothenburg Port Authority</t>
  </si>
  <si>
    <t>Joint project between Statkraft and Gothenburg Port Authority. Green hydrogen from 4 MW electrolyzer.</t>
  </si>
  <si>
    <t>Freienbach</t>
  </si>
  <si>
    <t xml:space="preserve">Alpiq &amp; EW Höfe &amp; Socar </t>
  </si>
  <si>
    <t>Joint project between Alpiq, EW Höfe, and Socar. Green hydrogen from 10 MW electrolyzer.</t>
  </si>
  <si>
    <t>Eglisau-Glattfelden</t>
  </si>
  <si>
    <t>Axpo</t>
  </si>
  <si>
    <t>Green hydrogen from hydropowered 2.5 MW electrolyzer.</t>
  </si>
  <si>
    <t>Wildegg-Brugg</t>
  </si>
  <si>
    <t>Green hydrogen from hydropowered 15 MW electrolyzer.</t>
  </si>
  <si>
    <t>Zurzach</t>
  </si>
  <si>
    <t>Carbagas AG</t>
  </si>
  <si>
    <t>Subsidiary of Air Liquide.</t>
  </si>
  <si>
    <t>Gruyère</t>
  </si>
  <si>
    <t>Gruyère Hydrogen Power (GHP)</t>
  </si>
  <si>
    <t>Subsidiary of Gruyère Energie SA. Green hydrogen from 2 MW hydropowered electrolyzer.</t>
  </si>
  <si>
    <t>Niedergösgen</t>
  </si>
  <si>
    <t>Hydrospider</t>
  </si>
  <si>
    <t>Jointly owned by Alpiq (45%), H2 Energy (45%), and Linde (10%). 2 MW electrolyzer from hydropower for green hydrogen production.</t>
  </si>
  <si>
    <t>Lenzburg</t>
  </si>
  <si>
    <t>Messer Schweiz AG</t>
  </si>
  <si>
    <t>Formerly known as Sauerstoffwerke Lenzburg.</t>
  </si>
  <si>
    <t>St. Gallen</t>
  </si>
  <si>
    <t>Wasserstoffproduktion Ostschweiz AG</t>
  </si>
  <si>
    <t>Joint project between St.Gallisch-Appenzellische Kraftwerke AG (SAK), Osterwalder Gruppe, and SN Energie AG. Green hydrogen from 2 MW electrolyzer from hydropower.</t>
  </si>
  <si>
    <t>Llanwern, Wales</t>
  </si>
  <si>
    <t>Air Products Llanwern Limited</t>
  </si>
  <si>
    <t>On-site plant for British Steel Corp.</t>
  </si>
  <si>
    <t>Greenock, Scotland</t>
  </si>
  <si>
    <t>Air Products, Plc</t>
  </si>
  <si>
    <t>On-site supply for Texas Instruments. High-purity hydrogen supplied by pipeline over the fence.</t>
  </si>
  <si>
    <t>Purfleet</t>
  </si>
  <si>
    <t>Over-the-fence supply for Adm Pura Foods (formerly Van den Bergh Oils) for the hydrogenation of oils.</t>
  </si>
  <si>
    <t>Dalry</t>
  </si>
  <si>
    <t>Subsidiary of Linde Group. Merchant gas. Pipeline to DSM Nutritional Products.</t>
  </si>
  <si>
    <t>Margam, Port Talbot, Wales</t>
  </si>
  <si>
    <t>Subsidiary of Linde Group. Two plants operate at this location. Merchant and pipeline.</t>
  </si>
  <si>
    <t>Middlesbrough</t>
  </si>
  <si>
    <t>Subsidiary of Linde Group. Used by nearby Huntsman plant.</t>
  </si>
  <si>
    <t>Newport, Wales</t>
  </si>
  <si>
    <t>na</t>
  </si>
  <si>
    <t>Subsidiary of Linde Group. On-site supply for Eastman.</t>
  </si>
  <si>
    <t>Saint Helens, Carrington</t>
  </si>
  <si>
    <t>Subsidiary of Linde Group. Supply to glass producer Pilkington by pipeline.</t>
  </si>
  <si>
    <t>Barrow-in-Furness, Cumbria</t>
  </si>
  <si>
    <t>Carlton Power &amp; Cumbria Local Enterprise Partnership &amp; Barrow Borough Council &amp; Electricity North West</t>
  </si>
  <si>
    <t>Joint project between Carlton Power, Cumbria Local Enterprise Partnership, Barrow Borough Council, and Electricity North West. 35 MW electrolyzer.</t>
  </si>
  <si>
    <t>Aberdeen</t>
  </si>
  <si>
    <t>Dolphyn (Deepwater Offshore Local Production of Hydrogen)</t>
  </si>
  <si>
    <t>Owned by Vattenfall. Green hydrogen from 10 MW electrolyzer powered by offshore wind.</t>
  </si>
  <si>
    <t>Flotta, Orkney</t>
  </si>
  <si>
    <t>Flotta Hydrogen Hub</t>
  </si>
  <si>
    <t>Joint project between Offshore Wind Power Limited (OWPL), Repsol, Sinopec, and Uniper. Tidal- and offshore wind-powered hydrogen production.</t>
  </si>
  <si>
    <t>Teesside</t>
  </si>
  <si>
    <t>H2Teesside</t>
  </si>
  <si>
    <t>Joint project between BP (75%) and Adnoc (25%). Production of blue hydrogen with associated CCUS in two phases.</t>
  </si>
  <si>
    <t>Humber Hub Blue Project</t>
  </si>
  <si>
    <t>Joint project between Shell and Uniper. Blue hydrogen with associated CCS to decarbonize Uniper's Killingholme Power Station.</t>
  </si>
  <si>
    <t>Humber Hydrogen Hub (H3)</t>
  </si>
  <si>
    <t>Joint project between Air Products and VPI to decarbonize VPI Immingham's power plant with blue hydrogen and associated CCS. 800 MW electrolyzer.</t>
  </si>
  <si>
    <t>Salt End, Hull</t>
  </si>
  <si>
    <t>Hydrogen to Humber Saltend (H2H Saltend)</t>
  </si>
  <si>
    <t>Led by Equinor. Blue hydrogen production from 600 MW auto thermal reformer (ATR) with carbon capture and storage (CCS) to supply Triton power plant and Saltend Chemicals Park. Additional 1.2 GW planned to supply Keadby Hydrogen power station.</t>
  </si>
  <si>
    <t>HyGreen Teesside</t>
  </si>
  <si>
    <t>Joint project between BP and Masdar. 60 MW electrolyzer by 2025, increase to 500 MW by 2030 for the production of green hydrogen.</t>
  </si>
  <si>
    <t>Stanlow, Ellesmere Port</t>
  </si>
  <si>
    <t>HyNet North West Project</t>
  </si>
  <si>
    <t>Joint project between Essar Oil UK and Progressive Energy. On-site Essar's Stanlow complex. Blue hydrogen with CCS under sea bed in Liverpool Bay. Connected to pipeline.</t>
  </si>
  <si>
    <t>Pembroke Net Zero Centre</t>
  </si>
  <si>
    <t>Owned by RWE. Green hydrogen from 100 MW electrolyzer.</t>
  </si>
  <si>
    <t>Glasgow</t>
  </si>
  <si>
    <t>Subsidiary of Iberdrola. 20 MW electrolyzer powered by Whitelee Windfarm. Includes hydrogen storage facility.</t>
  </si>
  <si>
    <t>Gordonbush</t>
  </si>
  <si>
    <t>SSE Renewables &amp; Siemens Gamesa Renewable Energy</t>
  </si>
  <si>
    <t>Joint project between SSE Renewables and Siemens Gamesa Renewable Energy. Green hydrogen from 100 MW electrolyzer powered by offshore windfarm.</t>
  </si>
  <si>
    <t>Tees Green Hydrogen</t>
  </si>
  <si>
    <t>Joint project between EDF Renewables UK and Hynamics. Green hydrogen from 50 MW electrolyzer. Expansion planned to 500 MW. Supply to British Steel at Scunthorpe.</t>
  </si>
  <si>
    <t>Uniper</t>
  </si>
  <si>
    <t>Green hydrogen from 100 MW electrolyzer to decarbonize Uniper's Killingholme Power Station.</t>
  </si>
  <si>
    <t>Brückl</t>
  </si>
  <si>
    <t>Donau Chemie AG</t>
  </si>
  <si>
    <t>Chlorine-sodium hydroxide</t>
  </si>
  <si>
    <t>Owned 90% by Privatstiftung de Krassny, Austria.</t>
  </si>
  <si>
    <t>Ethylene</t>
  </si>
  <si>
    <t>Rieme, Ghent</t>
  </si>
  <si>
    <t>ArcelorMittal Gent</t>
  </si>
  <si>
    <t>Coke-oven gas</t>
  </si>
  <si>
    <t>BASF Antwerpen N.V.</t>
  </si>
  <si>
    <t>Two units.</t>
  </si>
  <si>
    <t>Kallo, Antwerpen</t>
  </si>
  <si>
    <t>Borealis Kallo N.V.</t>
  </si>
  <si>
    <t>Propane dehydrogenation</t>
  </si>
  <si>
    <t>By-product of propane dehydrogenation. Sold to Air Liquide under long-term agreement.</t>
  </si>
  <si>
    <t>Ineos Styrolution Belgium N.V.</t>
  </si>
  <si>
    <t>Styrene</t>
  </si>
  <si>
    <t>Formerly BASF Antwerpen N.V.</t>
  </si>
  <si>
    <t>Inovyn Belgium N.V.</t>
  </si>
  <si>
    <t>Jemeppe sur Sambre</t>
  </si>
  <si>
    <t>TotalEnergies Antwerp Olefins</t>
  </si>
  <si>
    <t>Subsidiary of TotalEnergies. Formerly Fina Antwerp Olefins, owned 65% by Total and 35% by ExxonMobil.</t>
  </si>
  <si>
    <t>Tessenderlo</t>
  </si>
  <si>
    <t>Vynova Group</t>
  </si>
  <si>
    <t>Borealis Polymers Oy</t>
  </si>
  <si>
    <t>Äetsä, Sastamala</t>
  </si>
  <si>
    <t>Kemira Chemicals Oy</t>
  </si>
  <si>
    <t>Sodium chlorite</t>
  </si>
  <si>
    <t>Formerly Finnish Chemicals.</t>
  </si>
  <si>
    <t>Joutseno</t>
  </si>
  <si>
    <t>Pulp and paper</t>
  </si>
  <si>
    <t>Kemira Oyi</t>
  </si>
  <si>
    <t>Nouryon Finland Oy</t>
  </si>
  <si>
    <t>Jointly owned by Carlyle Group and GIC Private Ltd. Formerly Akzo Nobel and previously Eka Chemicals.</t>
  </si>
  <si>
    <t>Raahe</t>
  </si>
  <si>
    <t>Rautaruukki Corporation (Ruukki)</t>
  </si>
  <si>
    <t>Division of SSAB.</t>
  </si>
  <si>
    <t>Feyzin</t>
  </si>
  <si>
    <t>AP Feyzin</t>
  </si>
  <si>
    <t>Joint venture between Total (57.5%) and Ineos (42.5%).</t>
  </si>
  <si>
    <t>ArcelorMittal Méditerranée</t>
  </si>
  <si>
    <t>Formerly Sollac. From coke plant.</t>
  </si>
  <si>
    <t>Jarrie</t>
  </si>
  <si>
    <t>Arkema</t>
  </si>
  <si>
    <t>Converted to membrane.</t>
  </si>
  <si>
    <t>Saint Auban</t>
  </si>
  <si>
    <t>Arkema S.A.</t>
  </si>
  <si>
    <t>Tavaux</t>
  </si>
  <si>
    <t>Inovyn S.A,</t>
  </si>
  <si>
    <t>Formerly Solvay S.A.</t>
  </si>
  <si>
    <t>Facility on Kem One premises, owned and operated by Linde Gas AG. Three units. Linked to Air Liquide Southeast pipeline.</t>
  </si>
  <si>
    <t>Berre-l'Étang</t>
  </si>
  <si>
    <t>LyondellBasell</t>
  </si>
  <si>
    <t>Formerly Shell.</t>
  </si>
  <si>
    <t>Plombière, Saint-Marcel</t>
  </si>
  <si>
    <t>Métaux Spéciaux SAS</t>
  </si>
  <si>
    <t>Also known as MSSA. Owned 100% by Nippon Soda, Japan. With metal production.</t>
  </si>
  <si>
    <t>Naphtachimie SA</t>
  </si>
  <si>
    <t>Joint venture between Total and Ineos.</t>
  </si>
  <si>
    <t>Ambès</t>
  </si>
  <si>
    <t>Nouryon Pulp and Performance Chemicals S.A.S.</t>
  </si>
  <si>
    <t>Loos</t>
  </si>
  <si>
    <t>PC Loos S.A. (Produits Chimiques de Loos S.A.)</t>
  </si>
  <si>
    <t>CK</t>
  </si>
  <si>
    <t xml:space="preserve">Subsidiary of Tessenderlo Group. </t>
  </si>
  <si>
    <t>TotalEnergies Petrochemicals France SA</t>
  </si>
  <si>
    <t>Vencorex</t>
  </si>
  <si>
    <t>Thann</t>
  </si>
  <si>
    <t>Vynova Mazingarbe SAS</t>
  </si>
  <si>
    <t>Formerly Potasse et Produits Chimiques SAS (PPC) and previously Albemarle. Converted to membrane.</t>
  </si>
  <si>
    <t>On Marl Chemical Park. Raw hydrogen from Vestolit. Connected to Air Liquide’s Ruhr Pipeline.</t>
  </si>
  <si>
    <t>Bottrop</t>
  </si>
  <si>
    <t>ArcelorMittal Bottrop GmbH</t>
  </si>
  <si>
    <t>Also known as Kokserei Prosper. Could be connected to the Air Liquide pipeline close to the production site. Currently, isolation of hydrogen-rich gas mixture is not economical.</t>
  </si>
  <si>
    <t>Acetylene</t>
  </si>
  <si>
    <t>BP Refining and Petrochemicals GmbH</t>
  </si>
  <si>
    <t>Gersthofen</t>
  </si>
  <si>
    <t>CABB International</t>
  </si>
  <si>
    <t>Formerly Clariant. Sales to Air Liquide.</t>
  </si>
  <si>
    <t>Covestro AG</t>
  </si>
  <si>
    <t>Formerly Bayer MaterialScience AG.</t>
  </si>
  <si>
    <t>Captive use.</t>
  </si>
  <si>
    <t>Krefeld-Uerdingen</t>
  </si>
  <si>
    <t>Formerly Bayer. Converted to membrane. Connected to the Air Liquide pipeline.</t>
  </si>
  <si>
    <t>Leverkusen</t>
  </si>
  <si>
    <t>Formerly Bayer MaterialScience AG. Connected to the Air Liquide pipeline.</t>
  </si>
  <si>
    <t>Dow Chemical Company Ltd</t>
  </si>
  <si>
    <t>Böhlen</t>
  </si>
  <si>
    <t>Dow Olefinverbund GmbH</t>
  </si>
  <si>
    <t>Schkopau</t>
  </si>
  <si>
    <t>Formerly DowDuPont Olefinverbund. Mostly captively use.</t>
  </si>
  <si>
    <t>Evonik Industries AG</t>
  </si>
  <si>
    <t>Huckingen, Duisburg</t>
  </si>
  <si>
    <t>Hüttenwerke Krupp Mannesmann GmbH (HKM)</t>
  </si>
  <si>
    <t>Owned by thyssenkrupp Steel Europe AG (50%), Salzgitter Mannesmann GmbH (30%), and Vallourec Tubes SAS (20%). Hydrogen not isolated.</t>
  </si>
  <si>
    <t>Ineos Solvents Marl GmbH</t>
  </si>
  <si>
    <t>Formerly ISP Marl GmbH.</t>
  </si>
  <si>
    <t>Rheinberg</t>
  </si>
  <si>
    <t>Inovyn Deutschland GmbH</t>
  </si>
  <si>
    <t>KBS Kokereibetriebsgesellschaft Schwelgern GmbH</t>
  </si>
  <si>
    <t>Owned by thyssenkrupp Steel Europe AG.</t>
  </si>
  <si>
    <t>Leuna Harze</t>
  </si>
  <si>
    <t>Münchsmünster</t>
  </si>
  <si>
    <t>LyondellBasell Polyolefins GmbH</t>
  </si>
  <si>
    <t>Wesseling, Köln</t>
  </si>
  <si>
    <t>Ibbenbüren</t>
  </si>
  <si>
    <t>Neolyse Ibbenbüren GmbH</t>
  </si>
  <si>
    <t>Joint venture between AkzoNobel Specialty Chemicals and Evonik Industries AG. Partly sold to Messer Griesheim.</t>
  </si>
  <si>
    <t>Bitterfeld</t>
  </si>
  <si>
    <t>Nouryon Industrial Chemicals GmbH</t>
  </si>
  <si>
    <t>Formerly AkzoNobel Industrial Chemicals GmbH. Sales to Linde.</t>
  </si>
  <si>
    <t>Frankfurt am Main</t>
  </si>
  <si>
    <t>Formerly AkzoNobel. Marketed and distributed by Infraserv mostly to customers of the industry park. Converted to membrane.</t>
  </si>
  <si>
    <t>Salzgitter Flachstahl GmbH</t>
  </si>
  <si>
    <t>Trinseo Deutschland GmbH</t>
  </si>
  <si>
    <t>Formerly Styron and previously Dow Olefinverbund.</t>
  </si>
  <si>
    <t>Gendorf</t>
  </si>
  <si>
    <t>Vinnolit GmbH &amp; Co. KG</t>
  </si>
  <si>
    <t>Subsidiary of Westlake Group.</t>
  </si>
  <si>
    <t>Knapsack-Hürth</t>
  </si>
  <si>
    <t>Dillingen</t>
  </si>
  <si>
    <t>Zentralkokerei Saar GmbH (ZKS)</t>
  </si>
  <si>
    <t>Jointly owned by Aktien-Gesellschaft der Dillinger Hüttenwerke and Saarstahl AG.</t>
  </si>
  <si>
    <t>Inofita</t>
  </si>
  <si>
    <t>Kapachim S.A.</t>
  </si>
  <si>
    <t>Marousi, Athens</t>
  </si>
  <si>
    <t>Unilever Knorr</t>
  </si>
  <si>
    <t>Fermoy</t>
  </si>
  <si>
    <t>Micro Bio Irland Ltd.</t>
  </si>
  <si>
    <t>Saline di Volterra</t>
  </si>
  <si>
    <t>Altair Chimica S.p.A.</t>
  </si>
  <si>
    <t>Bussi sul Tirino</t>
  </si>
  <si>
    <t>Caffaro SpA</t>
  </si>
  <si>
    <t>Formerly Solvay Chimica Italia S.p.A.</t>
  </si>
  <si>
    <t>Torviscosa</t>
  </si>
  <si>
    <t>Most captive use and some sales.</t>
  </si>
  <si>
    <t>Assemini, Cagliari</t>
  </si>
  <si>
    <t>Eni Rewind S.p.A</t>
  </si>
  <si>
    <t>Subsidiary of Eni. Captive use.</t>
  </si>
  <si>
    <t>Campochiaro</t>
  </si>
  <si>
    <t>Fater S.p.A.</t>
  </si>
  <si>
    <t>Joint venture between Procter &amp; Gamble and Angelini Group.</t>
  </si>
  <si>
    <t>HydroChem Italia S.r.l.</t>
  </si>
  <si>
    <t>Subsidiary of International Chemical Investors Group (ICIG), through WeylChem Group. Acquired from Tessenderlo.</t>
  </si>
  <si>
    <t>Rosignano</t>
  </si>
  <si>
    <t>Inovyn</t>
  </si>
  <si>
    <t>Subsidiary of Ineos. Formerly Solvay Chimica Italia S.p.A.</t>
  </si>
  <si>
    <t>Italiana Coke  s.r.l.</t>
  </si>
  <si>
    <t>Cairo Montenotte</t>
  </si>
  <si>
    <t>Italiana Coke S.r.l.</t>
  </si>
  <si>
    <t>Piombino, Livorno</t>
  </si>
  <si>
    <t>JSW Steel Italy S.p.A.</t>
  </si>
  <si>
    <t>Formerly Aferpi‒Acciaierie e Ferriere di Piombino S.p.A. and previously Lucchini S.p.A. Steel maker.</t>
  </si>
  <si>
    <t>Versalis S.p.A.</t>
  </si>
  <si>
    <t>Formerly Polimeri and previously EniChem.</t>
  </si>
  <si>
    <t>Dow Benelux B.V.</t>
  </si>
  <si>
    <t>Formerly DowDuPont Benelux B.V. By-product from ethylene production. Partly sold to Yara and ICL-IP.</t>
  </si>
  <si>
    <t>Nouryon Industrial Chemicals B.V.</t>
  </si>
  <si>
    <t>Formerly AkzoNobel Industrial Chemicals.</t>
  </si>
  <si>
    <t>Formerly AkzoNobel Specialty Chemicals. Partly captive use for monochloro-ethanoic acid, partly sold to Teijin Aramid and Delesto B.V.</t>
  </si>
  <si>
    <t>Geleen</t>
  </si>
  <si>
    <t>Sabic Geleen N.V.</t>
  </si>
  <si>
    <t>Majority owned (70%) by Saudi Aramco. Captive use and sold to other companies at Geleen site.</t>
  </si>
  <si>
    <t>Majority owned (70%) by Saudi Aramco.</t>
  </si>
  <si>
    <t>Moerdijk</t>
  </si>
  <si>
    <t>Shell Nederland Chemie B.V.</t>
  </si>
  <si>
    <t>By-product from ethylene production.</t>
  </si>
  <si>
    <t>Velsen-Noord, Ijmuiden</t>
  </si>
  <si>
    <t>Tata Steel</t>
  </si>
  <si>
    <t>Trinseo Netherlands B.V.</t>
  </si>
  <si>
    <t>Formerly Styron and previously Dow Benelux.</t>
  </si>
  <si>
    <t>Sarpsborg</t>
  </si>
  <si>
    <t>Borregaard Industries Ltd.</t>
  </si>
  <si>
    <t>Svelgen</t>
  </si>
  <si>
    <t>Elkem Bremanger</t>
  </si>
  <si>
    <t>Purified used hydrogen from silicon production.</t>
  </si>
  <si>
    <t>Rafnes, Stathelle</t>
  </si>
  <si>
    <t>Inovyn Norge Ltd.</t>
  </si>
  <si>
    <t>Subsidiary of Ineos. Formerly Ineos Chlor Vinyls Ltd. Two units.</t>
  </si>
  <si>
    <t>Noretyl A/S</t>
  </si>
  <si>
    <t>Póvoa de Santa Iria</t>
  </si>
  <si>
    <t>Algora - Sustainable Investments, SGPS, S.A.</t>
  </si>
  <si>
    <t>Formerly Solvay Portugal - Produtos Quimicos, S.A.</t>
  </si>
  <si>
    <t>Bondalti Chemicals</t>
  </si>
  <si>
    <t xml:space="preserve">Formerly CUF-Químicos Industriais (CUF-QI) and previously Quimigal-Química de Portugal, S.A. </t>
  </si>
  <si>
    <t>Formerly CUF-Químicos Industriais (CUF-QI) and previously Quimigal-Química de Portugal, S.A.</t>
  </si>
  <si>
    <t>Repsol Polimeros, S.A.</t>
  </si>
  <si>
    <t>ArcelorMittal Gijón Alambron</t>
  </si>
  <si>
    <t>BASF Sonatrach PropanChem S.A.</t>
  </si>
  <si>
    <t>Pyruvate dehydrogenase</t>
  </si>
  <si>
    <t>Jointly owned by BASF and Sonatrach.</t>
  </si>
  <si>
    <t>Bondalti Cantabria S.A.</t>
  </si>
  <si>
    <t>Formerly Solvay Química, S.L. Some merchant to Air Products and other companies.</t>
  </si>
  <si>
    <t>Covestro, S.L.</t>
  </si>
  <si>
    <t>Dow Chemical Ibérica</t>
  </si>
  <si>
    <t>Hernani</t>
  </si>
  <si>
    <t>Electroquímica de Hernani, S.A. (Eher)</t>
  </si>
  <si>
    <t>Palos de la Frontera, Huelva</t>
  </si>
  <si>
    <t>Electroquimica Onubense S.L.</t>
  </si>
  <si>
    <t>Subsidiary of Salinas del Odiel S.L. Formerly Ercros, S.A. Converted to membrane.</t>
  </si>
  <si>
    <t>Sabiñánigo</t>
  </si>
  <si>
    <t>Ercros, S.A.</t>
  </si>
  <si>
    <t>Vila-seca</t>
  </si>
  <si>
    <t>Monzón</t>
  </si>
  <si>
    <t>Química del Cinca, S.A.</t>
  </si>
  <si>
    <t>Repsol Petroleo, SA</t>
  </si>
  <si>
    <t>Borealis AB</t>
  </si>
  <si>
    <t>Inovyn Sverige AB</t>
  </si>
  <si>
    <t>Subsidiary of Ineos. Formerly Ineos Sverge AB and previously Norsk Hydro. Excess hydrogen sold to Borealis.</t>
  </si>
  <si>
    <t>Alby</t>
  </si>
  <si>
    <t>Nouryon Pulp and Performance Chemicals AB</t>
  </si>
  <si>
    <t>Jointly owned by Carlyle Group and GIC Private Ltd. Formerly AkzoNobel and previously Eka Chemicals.</t>
  </si>
  <si>
    <t>SSAB AB</t>
  </si>
  <si>
    <t>Steel maker. From coke oven gas.</t>
  </si>
  <si>
    <t>Oxelösund</t>
  </si>
  <si>
    <t>Pratteln</t>
  </si>
  <si>
    <t>CABB AG</t>
  </si>
  <si>
    <t>Some captive use. Purification and merchant sales by Air Liquide subsidiary Carbagas.</t>
  </si>
  <si>
    <t>Thetford</t>
  </si>
  <si>
    <t>Brenntag</t>
  </si>
  <si>
    <t>Port Talbot, Margam, Wales</t>
  </si>
  <si>
    <t>British Steel Limited</t>
  </si>
  <si>
    <t>Owned by Jingye Group. Formerly Tata Steel and previously Corus.</t>
  </si>
  <si>
    <t>Scunthorpe</t>
  </si>
  <si>
    <t>Owned by Jingye Group. Formerly Tata Steel and previously Corus.Two production lines.</t>
  </si>
  <si>
    <t>Mossmorran</t>
  </si>
  <si>
    <t>ExxonMobil Chemical Ltd., Fife Ethylene Plant (FEP)</t>
  </si>
  <si>
    <t>West Thurrock</t>
  </si>
  <si>
    <t>Industrial Chemicals Ltd. (ICL)</t>
  </si>
  <si>
    <t>Runcorn</t>
  </si>
  <si>
    <t>Inovyn ChlorVinyls Limited</t>
  </si>
  <si>
    <t>Wilton</t>
  </si>
  <si>
    <t>Sabic UK Petrochemicals Ltd.</t>
  </si>
  <si>
    <t>Majority owned (70%) by Saudi Aramco. Formerly Huntsman.</t>
  </si>
  <si>
    <t>Owned by International Chemical Investors Group (ICIG). Formerly Inovyn ChlorVinyls Ltd. Pipeline and merchant marketed by Linde.</t>
  </si>
  <si>
    <t>Both liquid and gaseous green hydrogen from 100 MW electrolyzer. Connected to pipeline.</t>
  </si>
  <si>
    <t>Waziers</t>
  </si>
  <si>
    <t>Supplies liquid hydrogen to space program Ariane.</t>
  </si>
  <si>
    <t>Raw hydrogen from Gunvor Raffinerie Ingolstadt GmbH.</t>
  </si>
  <si>
    <t>Two liquefiers. Mostly for semiconductors industry.</t>
  </si>
  <si>
    <t>Rozenburg, Botlek Rotterdam</t>
  </si>
  <si>
    <t>Supplies liquid hydrogen to space program Ariane. Expansion to 120 thousand cubic meters per day scheduled for 2025.</t>
  </si>
  <si>
    <t>H2Sines</t>
  </si>
  <si>
    <t>Joint project between EDP, Galp, REN, and Vestas. Production of liquid hydrogen to transport to Rotterdam.</t>
  </si>
  <si>
    <t>Duqm</t>
  </si>
  <si>
    <t>Hyport Oman</t>
  </si>
  <si>
    <t>Joint project between Deme Concessions and OQ Alternative Energy. 250 MW electrolyzer.</t>
  </si>
  <si>
    <t>Seeb</t>
  </si>
  <si>
    <t>Madayn &amp; H2-Industries</t>
  </si>
  <si>
    <t>Joint project between Madayn and H2-Industries. Waste-to-hydrogen plant powered by 300 MW electrolyzer.</t>
  </si>
  <si>
    <t>Mesaieed</t>
  </si>
  <si>
    <t>Gasal Q.S.C.</t>
  </si>
  <si>
    <t>Three hydrogen production units. Connected to pipeline. Supplies Qatar SolarTechnologies (QSTec) and others.</t>
  </si>
  <si>
    <t>Ras Laffan</t>
  </si>
  <si>
    <t>Connected to pipeline. Mainly to Qatar Solar Technologies (QSTech) solar-grade polysilicon plant.</t>
  </si>
  <si>
    <t>Yanbu</t>
  </si>
  <si>
    <t>Air Liquide Arabia (ALAR)</t>
  </si>
  <si>
    <t>Two hydrogen production units. Connected to 16-km hydrogen pipeline network. Long-term supply agreement with Yasref (jointly owned by Saudi Aramco and Sinopec) and Saudi Aramco Mobil Refinery (Samref).</t>
  </si>
  <si>
    <t>Al Jubail</t>
  </si>
  <si>
    <t>Air Products Qudra</t>
  </si>
  <si>
    <t>National Industrial Gases Company (NIGC or Gas)</t>
  </si>
  <si>
    <t>Owned 70% by SABIC and 30% by a group of Saudi Arabian Industrial gases companies.</t>
  </si>
  <si>
    <t>Bilecik</t>
  </si>
  <si>
    <t>Habaş Industrial and Medical Gases Production Industries Inc.</t>
  </si>
  <si>
    <t>Köseköy, Kocaeli</t>
  </si>
  <si>
    <t>Steam reforming of natural gas.</t>
  </si>
  <si>
    <t>Sitra</t>
  </si>
  <si>
    <t>Bahrain Petroleum Company B.S.C. (BAPCO)</t>
  </si>
  <si>
    <t>Bandar Abbas</t>
  </si>
  <si>
    <t>Bandar Abbas Oil Refining Company (TORC)</t>
  </si>
  <si>
    <t>Subsidiary of National Iranian Oil Refining and Distribution Company (NIORDC).</t>
  </si>
  <si>
    <t>Isfahan</t>
  </si>
  <si>
    <t>Esfahan Oil Refining Company (EORC)</t>
  </si>
  <si>
    <t>Subsidiary of National Iranian Oil Refining &amp; Distribution Company (NIORDC).</t>
  </si>
  <si>
    <t>Kaveh Industrial City, Saveh</t>
  </si>
  <si>
    <t>Kaveh Glass Industry Group</t>
  </si>
  <si>
    <t>Captive for float glass production.</t>
  </si>
  <si>
    <t>Persian Gulf Star Oil Company (PGSOC)</t>
  </si>
  <si>
    <t>Captive for gas condensates refinery.</t>
  </si>
  <si>
    <t>Shazand, Arak</t>
  </si>
  <si>
    <t>Shazand Oil Refinery</t>
  </si>
  <si>
    <t>Also known as Arak Oil Refining Company (AORC). Subsidiary of National Iranian Oil Refining &amp; Distribution Company (NIORDC). Two units.</t>
  </si>
  <si>
    <t>Marvdasht, Shiraz</t>
  </si>
  <si>
    <t>Shiraz Oil Refining Company</t>
  </si>
  <si>
    <t>Tabriz</t>
  </si>
  <si>
    <t>Tabriz Oil Refining Company (TORC)</t>
  </si>
  <si>
    <t>Tehran</t>
  </si>
  <si>
    <t>Tehran Oil Refining Company (TORC)</t>
  </si>
  <si>
    <t>Al Zarqa</t>
  </si>
  <si>
    <t>Jordan Petroleum Refinery Co. Ltd. (Jopetrol)</t>
  </si>
  <si>
    <t>Al-Zour</t>
  </si>
  <si>
    <t>Al-Zour New Refinery Project (NRP)</t>
  </si>
  <si>
    <t>Subsidiary of Kuwait Petroleum Corporation (KPC).</t>
  </si>
  <si>
    <t>Mina Abdullah</t>
  </si>
  <si>
    <t>Kuwait National Petroleum Company (KNPC)</t>
  </si>
  <si>
    <t xml:space="preserve">Subsidiary of Kuwait Petroleum Corporation (KPC). </t>
  </si>
  <si>
    <t>Mina Al-Ahmadi</t>
  </si>
  <si>
    <t>Acme Group</t>
  </si>
  <si>
    <t>Green ammonia project from renewable energy in two phases with Phase 2 planned jointly with Scatec.</t>
  </si>
  <si>
    <t>Duqm Refinery and Petrochemical Industries Company L.L.C</t>
  </si>
  <si>
    <t>Joint venture between OQ and Kuwait Petroleum International (KPI).</t>
  </si>
  <si>
    <t>Green Energy Oman (GEO) Project</t>
  </si>
  <si>
    <t>Joint project between InterContinental Energy, OQ, and Enertech for the production of up to 1.8 million metric tons of hydrogen and up to 1 million metric tons green ammonia from 25 GW electrolyzers.</t>
  </si>
  <si>
    <t>Hyport® Duqm</t>
  </si>
  <si>
    <t>Joint project between OQ Alternative Energy, DEME Concessions, and Uniper. Production of green ammonia. Phase 1 with 250 MW electrolyzer, Phase 2 with 500 MW, and Phase 3 with 1.3 GW.</t>
  </si>
  <si>
    <t>Sohar</t>
  </si>
  <si>
    <t>Jindal Shadeed Iron and Steel (JSIS) &amp; Hydrogen Rise</t>
  </si>
  <si>
    <t>Joint project between Jindal Shadeed Iron and Steel and Hydrogen Rise. 35 MW electrolyzer for steel mill. Expansion to 350 MW planned.</t>
  </si>
  <si>
    <t>Salalah Free Zone</t>
  </si>
  <si>
    <t>OQ &amp; ACWA &amp; Air Products</t>
  </si>
  <si>
    <t>Joint project between OQ, Air Products, and ACWA Power for the production of green ammonia in two phases.</t>
  </si>
  <si>
    <t>SalalaH2</t>
  </si>
  <si>
    <t>Joint project between OQ, Marubeni, Linde, and Dubai Transport Co. (Dutco) for the production of green ammonia from 400 MW electrolyzer.</t>
  </si>
  <si>
    <t>Oryx GTL</t>
  </si>
  <si>
    <t>Gas to Liquids</t>
  </si>
  <si>
    <t>Gas to liquids</t>
  </si>
  <si>
    <t>Joint venture between Qatar Petroleum and Sasol.</t>
  </si>
  <si>
    <t>Pearl GTL</t>
  </si>
  <si>
    <t>Joint venture between Qatar Petroleum and Shell.</t>
  </si>
  <si>
    <t>QatarEnergy</t>
  </si>
  <si>
    <t>Joint project between QatarEnergy Renewable Solutions and Qatar Fertiliser. Production of 1.2 million metric tons blue ammonia with the CO2 being sequestred.</t>
  </si>
  <si>
    <t>NEOM Economic Zone</t>
  </si>
  <si>
    <t>NEOM Green Hydrogen Company</t>
  </si>
  <si>
    <t>Joint project between Air Products (33.3%), ACWA Power (33.3%), and NEOM Co (33.4%). Production of green ammonia, marketed by Air Products. From solar energy. Scheduled for 2025.</t>
  </si>
  <si>
    <t>Rabigh</t>
  </si>
  <si>
    <t>Rabigh Refining and Petrochemical Company (Petro Rabigh)</t>
  </si>
  <si>
    <t>Jointly owned by Saudi Aramco, Sumitomo Chemicals, and Saudi investors.</t>
  </si>
  <si>
    <t>Jazan</t>
  </si>
  <si>
    <t>Saudi Aramco, Jazan Refinery</t>
  </si>
  <si>
    <t>Jointly owned between Air Products (50.6%), Aramco (20.0%), ACWA Power (25.0%), and Qudra Energy (4.4%).</t>
  </si>
  <si>
    <t>Ras Tanura</t>
  </si>
  <si>
    <t>Saudi Aramco, Ras Tanura Refinery</t>
  </si>
  <si>
    <t>Riyadh</t>
  </si>
  <si>
    <t>Saudi Aramco, Riyadh Refinery</t>
  </si>
  <si>
    <t>Saudi Aramco Shell Refinery Company (SASREF)</t>
  </si>
  <si>
    <t>Jointly owned by Saudi Aramco and Shell.</t>
  </si>
  <si>
    <t>Saudi Aramco TotalEnergies Refining &amp; Petrochemical (SATORP)</t>
  </si>
  <si>
    <t>Jointly owned by Saudia Aramco (62.5%) and Total (37.5%).</t>
  </si>
  <si>
    <t>Yanbu Aramco Sinopec Refining Company (Yasref) Ltd.</t>
  </si>
  <si>
    <t>Joint venture between Saudi Aramco and China Petrochemical Corporation (Sinopec).</t>
  </si>
  <si>
    <t>Banias</t>
  </si>
  <si>
    <t>Banias Refining Company (BRC)</t>
  </si>
  <si>
    <t>Qattinah, Homs</t>
  </si>
  <si>
    <t>General Company of Homs Refinery</t>
  </si>
  <si>
    <t>Subsidiary of Syrian Petroleum Company (SPC). Also known as Homs Refinery Company.</t>
  </si>
  <si>
    <t>Aliağa, Izmir</t>
  </si>
  <si>
    <t>Socar Turkey Aegean Refinery A.S. (STAR)</t>
  </si>
  <si>
    <t>Owned by Socar (81.5%) and Turcas Petrol (18.5%), a subsidiary of Turcas Energy.</t>
  </si>
  <si>
    <t>Yarimca, Izmit</t>
  </si>
  <si>
    <t>Türkiye Petrol Rafinerileri A.S. (Tüpras)</t>
  </si>
  <si>
    <t>Türkiye Petrol Rafinerileri A.S. (Tüpras), Izmir Refinery</t>
  </si>
  <si>
    <t>Lurgi.</t>
  </si>
  <si>
    <t>Kirikkale</t>
  </si>
  <si>
    <t>Türkiye Petrol Rafinerileri A.S. (Tüpras), Kirikkale Refinery</t>
  </si>
  <si>
    <t>Kizad, Abu Dhabi</t>
  </si>
  <si>
    <t>Abu Dhabi National Energy Company (Taqa)</t>
  </si>
  <si>
    <t>Joint project between Abu Dhabi National Energy Company PJSC (Taqa) and Abu Dhabi Ports to produce green ammonia from 2 GW electrolyzer.</t>
  </si>
  <si>
    <t>Al Ruwais, Abu Dhabi</t>
  </si>
  <si>
    <t>Adnoc &amp; BP</t>
  </si>
  <si>
    <t>Joint project between Adnoc and BP. Production of blue ammonia with the CO2 being sequestred at Al Reyadah, Abu Dhabi.</t>
  </si>
  <si>
    <t>Ruwais, Abu Dhabi</t>
  </si>
  <si>
    <t>Adnoc Refining</t>
  </si>
  <si>
    <t>Subsidiary of Abu Dhabi National Oil Company (ADNOC). Formerly Abu Dhabi Oil Refining Company (Takreer).</t>
  </si>
  <si>
    <t>Fertiglobe &amp; Masdar &amp; Engie</t>
  </si>
  <si>
    <t>Joint project between Fertiglobe, Masdar, and Engie to produce green ammonia from 200 MW electrolyzer.</t>
  </si>
  <si>
    <t>Helios Industry</t>
  </si>
  <si>
    <t>Project of Kezad Group to produce green ammonia from 800 MW electrolyzer in two phases.</t>
  </si>
  <si>
    <t>Hamriyah</t>
  </si>
  <si>
    <t>Sharjah National Oil Corporation (SNOC)</t>
  </si>
  <si>
    <t>Ta’ziz &amp; Fertiglobe &amp; Mitsui &amp; GS Energy</t>
  </si>
  <si>
    <t>Joint project between Ta’ziz, Fertiglobe, Mitsui, and GS Energy. Production of blue ammonia with the CO2 being sequestred  at the commercial CCUS facility in Al Reyadah, Abu Dhabi.</t>
  </si>
  <si>
    <t>Abadan</t>
  </si>
  <si>
    <t>Abadan Oil Refining Company (AORC)</t>
  </si>
  <si>
    <t>Abadan Petrochemical Company</t>
  </si>
  <si>
    <t>Bandar-e Emam Khomeyni</t>
  </si>
  <si>
    <t>Amir Kabir Petrochemical Company</t>
  </si>
  <si>
    <t>Arvand Petrochemical</t>
  </si>
  <si>
    <t xml:space="preserve">Subsidiary of NPC. </t>
  </si>
  <si>
    <t>Assaluyeh</t>
  </si>
  <si>
    <t>Arya Sasol Polymer Company</t>
  </si>
  <si>
    <t>Semnan</t>
  </si>
  <si>
    <t>Chloran Chemical Production Co.</t>
  </si>
  <si>
    <t>Chlor Pars Company</t>
  </si>
  <si>
    <t>Water treatment</t>
  </si>
  <si>
    <t>Water-treatment plant.</t>
  </si>
  <si>
    <t>Esfahan Water</t>
  </si>
  <si>
    <t>Faravaresh Bandar Imam Company</t>
  </si>
  <si>
    <t>Ilam</t>
  </si>
  <si>
    <t>Ilam Petrochemical Company</t>
  </si>
  <si>
    <t>Jam Petrochemical Co.</t>
  </si>
  <si>
    <t>Kavian Petrochemical Co.</t>
  </si>
  <si>
    <t>Karaj</t>
  </si>
  <si>
    <t>Kimia Bon Fouzhan Co.</t>
  </si>
  <si>
    <t>Orumiyeh (Urmia)</t>
  </si>
  <si>
    <t>Kimia Chlorine Kaboodan Chemical Co.</t>
  </si>
  <si>
    <t xml:space="preserve">Subsidiary of Kimia Chlorine Kaboodan Chemical Co. </t>
  </si>
  <si>
    <t>Marun Petrochemical</t>
  </si>
  <si>
    <t>Mashhad</t>
  </si>
  <si>
    <t>Mashhad Soda</t>
  </si>
  <si>
    <t>Morvarid Petrochemical Company</t>
  </si>
  <si>
    <t>Nirouchlor Company</t>
  </si>
  <si>
    <t>Yazd</t>
  </si>
  <si>
    <t>Pars Petrochemical Company</t>
  </si>
  <si>
    <t>Pazargad Chemical Company (PZCC)</t>
  </si>
  <si>
    <t>Subsidiary of NPC.</t>
  </si>
  <si>
    <t>Pazargad Company</t>
  </si>
  <si>
    <t>Ravand Mashhad P.J.S.</t>
  </si>
  <si>
    <t>Arak</t>
  </si>
  <si>
    <t>Shazand Petrochemical Company</t>
  </si>
  <si>
    <t>Tabriz Petrochemical Company</t>
  </si>
  <si>
    <t>Tehran Province Water &amp; Wastewater (TPWW)</t>
  </si>
  <si>
    <t>Khor Al Zubair</t>
  </si>
  <si>
    <t>State Company for Petrochemical Industries</t>
  </si>
  <si>
    <t>Ramat Hovav</t>
  </si>
  <si>
    <t>Adama Agricultural Solutions Ltd.</t>
  </si>
  <si>
    <t>Formerly Makhteshim Chemical Works Ltd.</t>
  </si>
  <si>
    <t>Adama Makhteshim Ltd</t>
  </si>
  <si>
    <t>By-product from crop protection production.</t>
  </si>
  <si>
    <t>Haifa</t>
  </si>
  <si>
    <t>Carmel Olefins Ltd.</t>
  </si>
  <si>
    <t>Sdom</t>
  </si>
  <si>
    <t>Dead Sea Magnesium Ltd. (DSM)</t>
  </si>
  <si>
    <t>Subsidiary of Israel Chemicals Ltd. (ICL).</t>
  </si>
  <si>
    <t>ICL Industrial Products (ICL-IP)</t>
  </si>
  <si>
    <t>Amman</t>
  </si>
  <si>
    <t>Al-Baha Company for Caustic Chlorine Ind.</t>
  </si>
  <si>
    <t>Produces hydrochloric acid</t>
  </si>
  <si>
    <t>Safi</t>
  </si>
  <si>
    <t>Jordan Bromine Company Limited (JBC)</t>
  </si>
  <si>
    <t xml:space="preserve">Jointly owned by Arab Potash Company and Albemarle Corporation. </t>
  </si>
  <si>
    <t>National Chlorine Industries Co. Ltd. (NCI)</t>
  </si>
  <si>
    <t>Shuaiba, Mina Abdullah</t>
  </si>
  <si>
    <t>Eqate Petrochemical Company KSCC</t>
  </si>
  <si>
    <t xml:space="preserve">The Kuwait Styrene Company (TKSC) </t>
  </si>
  <si>
    <t>Operated by Equate Petrochemical Company.</t>
  </si>
  <si>
    <t>Oman Chlorine S.A.O.C.</t>
  </si>
  <si>
    <t>OQ S.O.A.C.</t>
  </si>
  <si>
    <t>Gulf Chlorine W.W.L.</t>
  </si>
  <si>
    <t>Joint venture between Oman Chlorine and Horizon Energy.</t>
  </si>
  <si>
    <t>KLJ Organic Qatar W.L.L</t>
  </si>
  <si>
    <t>Qatar Chemical Company Ltd.</t>
  </si>
  <si>
    <t>Qatar Petrochemical Co. Ltd.</t>
  </si>
  <si>
    <t>Qatar Vinyl Company (QVC)</t>
  </si>
  <si>
    <t>Jointly owned between Qatar Petroleum (55.2%), Qatar Petrochemical Company (31.9%), and Arkema (12.9%).</t>
  </si>
  <si>
    <t>Ras Laffan Olefins Company Limited</t>
  </si>
  <si>
    <t>Advanced Petrochemical Company</t>
  </si>
  <si>
    <t>Previously Advanced Polypropylene.</t>
  </si>
  <si>
    <t>Al-Jubail Petrochemical Co.</t>
  </si>
  <si>
    <t>Al-Waha Petrochemical Company</t>
  </si>
  <si>
    <t>Joint venture between Sahara Petrochemicals Company (75%) and LyondellBasell (25%).</t>
  </si>
  <si>
    <t>Arabian Petrochemical Co.</t>
  </si>
  <si>
    <t>Arabian Petrochemical Company (Petrokemya)</t>
  </si>
  <si>
    <t>Subsidiary of Sabic.</t>
  </si>
  <si>
    <t>Subsidiary of Sabic. Formerly Saudi Petrochemical Company.</t>
  </si>
  <si>
    <t>Dammam</t>
  </si>
  <si>
    <t>Basic Chemical Industries Ltd. (BCI)</t>
  </si>
  <si>
    <t>Three plants.</t>
  </si>
  <si>
    <t>Eastern Petrochemical Co.</t>
  </si>
  <si>
    <t>Jubail Chemical Industries Co. (JANA)</t>
  </si>
  <si>
    <t>Subsidiary of NAMA Chemicals.</t>
  </si>
  <si>
    <t>Jubail United Petrochemical Company</t>
  </si>
  <si>
    <t>National Petrochemical Industrial Co. (Natpet)</t>
  </si>
  <si>
    <t>National Titanium Dioxide Co. Ltd. (Cristal)</t>
  </si>
  <si>
    <t>Sadara Chemical Company</t>
  </si>
  <si>
    <t>Jointly owned by Saudi Aramco and Dow.</t>
  </si>
  <si>
    <t>Sahara &amp; Ma`aden Petrochemicals Company (SAMAPCO)</t>
  </si>
  <si>
    <t>Al Khobar</t>
  </si>
  <si>
    <t>Saline Water Conversion Corp. (SWCC)</t>
  </si>
  <si>
    <t>Saudi Ethylene &amp; Polyethylene Company</t>
  </si>
  <si>
    <t>Saudi Kayan Petrochemical Company</t>
  </si>
  <si>
    <t>Saudi Polymers Company LLC</t>
  </si>
  <si>
    <t>Saudi Polyolefins Co. (SPC)</t>
  </si>
  <si>
    <t>Operated by Tasnee.</t>
  </si>
  <si>
    <t>Saudi Yanbu Petrochemical Company</t>
  </si>
  <si>
    <t>S-Chem</t>
  </si>
  <si>
    <t>Also known as Jubail Chevron Phillips Company. Jointly owned between Chevron Phillips Chemical and Saudi Industrial Investment Group (SIIG).</t>
  </si>
  <si>
    <t>Yanbu National Petrochemical Co.</t>
  </si>
  <si>
    <t>Yalova</t>
  </si>
  <si>
    <t>Ak-Kim Kimya</t>
  </si>
  <si>
    <t>Derince, Kocaeli</t>
  </si>
  <si>
    <t>Koruma Klor Alkali A.Ş</t>
  </si>
  <si>
    <t>Kırıkhan, Hatay</t>
  </si>
  <si>
    <t>Dalaman</t>
  </si>
  <si>
    <t>Mopak Dalaman A.S.</t>
  </si>
  <si>
    <t>Petkim Petrokimya Holding A.S.</t>
  </si>
  <si>
    <t>Mussaffah, Abu Dhabi</t>
  </si>
  <si>
    <t>Al Ghaith Industries LLC</t>
  </si>
  <si>
    <t>Borouge Pte Ltd.</t>
  </si>
  <si>
    <t>Khalifa Industrial Zone, Abu Dhabi</t>
  </si>
  <si>
    <t>Emirates Chemical Factory</t>
  </si>
  <si>
    <t>Abu Dhabi</t>
  </si>
  <si>
    <t>Safe Water Chemicals Company</t>
  </si>
  <si>
    <t>Subsidiary of Al Kout Industrial Projects Co. (AIP).</t>
  </si>
  <si>
    <t>Shaheen Chem Investment LLC</t>
  </si>
  <si>
    <t>Union Chlorine L.L.C.</t>
  </si>
  <si>
    <t>Bir Rebaa North</t>
  </si>
  <si>
    <t>Sonatrach &amp; Eni</t>
  </si>
  <si>
    <t>Joint project between Eni &amp; Sonatrach. Green hydrogen pilot plant from solar energy.</t>
  </si>
  <si>
    <t>Port Said, Suez Canal Economic Zone (SCZone)</t>
  </si>
  <si>
    <t>Fortescue Future Industries (FFI)</t>
  </si>
  <si>
    <t>Joint project between Fortescue Future Industries (FFI), New and Renewable Energy Authority (NREA), General Authority for Suez Canal Economic Zone (SCZONE), Egyptian Electricity Transmission Company (EETC), and Sovereign Fund of Egypt for Investment and Development (TSFE). Green hydrogen and green ammonia project.</t>
  </si>
  <si>
    <t>Globeleq</t>
  </si>
  <si>
    <t>Joint project between Globeleq, New and Renewable Energy Authority (NREA), General Authority for Suez Canal Economic Zone (SCZONE), Sovereign Fund of Egypt for Investment and Development (TSFE), and Egyptian Electricity Transmission Company (EETC). Green hydrogen project. 100 MW electrolyzer with associated green ammonia production, expandable up to 3.6 GW.</t>
  </si>
  <si>
    <t>Nouakchott</t>
  </si>
  <si>
    <t>Project Nour</t>
  </si>
  <si>
    <t>Joint project between Chariot and Total Eren. 10 GW electrolyzer planned.</t>
  </si>
  <si>
    <t>Swakopmund</t>
  </si>
  <si>
    <t>Hydrogène de France (HDF)</t>
  </si>
  <si>
    <t>Green hydrogen from 30 MW electrolyzer.</t>
  </si>
  <si>
    <t>Had Soualem</t>
  </si>
  <si>
    <t>Maghreb Oxygène</t>
  </si>
  <si>
    <t>Boegoebaai, Visagiesfontein</t>
  </si>
  <si>
    <t>Boegoebaai Green Hydrogen Project</t>
  </si>
  <si>
    <t>Joint project between Sasol and Industrial Development Corporation for the production of green hydrogen from 3 GW electrolzyer.</t>
  </si>
  <si>
    <t>Limbe</t>
  </si>
  <si>
    <t>Societe Nationale de Raffinage S.A. (Sonara)</t>
  </si>
  <si>
    <t>Also known as National Refining Company Ltd.</t>
  </si>
  <si>
    <t>Abidjan</t>
  </si>
  <si>
    <t>Société Ivoirienne de Raffinage (SIR)</t>
  </si>
  <si>
    <t>Methane Pyrolysis</t>
  </si>
  <si>
    <t>Ain Sokhna</t>
  </si>
  <si>
    <t>Abu Qir &amp; TotalEnergies</t>
  </si>
  <si>
    <t>Joint project between Abu Qir and TotalEnergies. Green ammonia production from 100 MW electrolyzer.</t>
  </si>
  <si>
    <t>Alexandria</t>
  </si>
  <si>
    <t>Alexandria National Refining and Petrochemicals Company (ANRPC)</t>
  </si>
  <si>
    <t>Captive use as well as supply to AMOC &amp; ELAB.</t>
  </si>
  <si>
    <t>El Mex, Alexandria</t>
  </si>
  <si>
    <t>Alexandria Petroleum Co. (APC)</t>
  </si>
  <si>
    <t>Subsidiary of Egyptian General Petroleum Corporation (EGPC).</t>
  </si>
  <si>
    <t>Alfanar</t>
  </si>
  <si>
    <t>Joint project between Alfanar, New and Renewable Energy Authority (NREA), General Authority for Suez Canal Economic Zone (SCZONE), Sovereign Fund of Egypt for Investment and Development (TSFE), and Egyptian Electricity Transmission Company (EETC). Green ammonia project.</t>
  </si>
  <si>
    <t>Amea Power &amp; EDF Renewables &amp; ZeroWaste</t>
  </si>
  <si>
    <t>Joint project between Amea Power, EDF Renewables, and ZeroWaste. Green ammonia from wind and solar energy.</t>
  </si>
  <si>
    <t>Amryia, Alexandria</t>
  </si>
  <si>
    <t>Amreya Petroleum Refining Company (APRC)</t>
  </si>
  <si>
    <t>Mostorod, Cairo</t>
  </si>
  <si>
    <t>Cairo Oil Refining Co. (CORC), Mostorod Refinery</t>
  </si>
  <si>
    <t>Subsidiary of Egyptian Refinery Co. (ERC).</t>
  </si>
  <si>
    <t>Egyptian Electricity Transmission Company (EETC) &amp; ReNEW Power</t>
  </si>
  <si>
    <t>Joint project between Egyptian Electricity Transmission Company (EETC) and ReNEW Power. Green ammonia project in two phases.</t>
  </si>
  <si>
    <t>Attaka, Suez</t>
  </si>
  <si>
    <t>Masdar &amp; Hassan Allam</t>
  </si>
  <si>
    <t>Joint project between Masdar and Hassan Allam Utilities (HAU). 4 GW electrolyzer by 2030. Production of both green methanol and green ammonia planned.</t>
  </si>
  <si>
    <t>Middle East Oil Refinery (MIDOR)</t>
  </si>
  <si>
    <t>Petrofac &amp; Mediterranean Energy Partners (MEP)</t>
  </si>
  <si>
    <t>Joint project between Petrofac and Mediterranean Energy Partners (MEP). Feasibility study for the production of 125,000 metric tons of green ammonia.</t>
  </si>
  <si>
    <t>Scatec &amp; Fertiglobe</t>
  </si>
  <si>
    <t>Joint project between Scatec and Fertiglobe for the production of green ammonia in three stages.</t>
  </si>
  <si>
    <t>Suez Canal Economic Zone (SCZONE) &amp; H2-Industries</t>
  </si>
  <si>
    <t>Joint project between Suez Canal Economic Zone (SCZONE) and H2-Industries. Waste-to-hydrogen plant from municipal waste.</t>
  </si>
  <si>
    <t>Suez, Suez</t>
  </si>
  <si>
    <t>Suez Oil Processing Co. (SOPC)</t>
  </si>
  <si>
    <t>Total Eren</t>
  </si>
  <si>
    <t>Project to build green ammonia from renewable energy in two stages.</t>
  </si>
  <si>
    <t>Rabat</t>
  </si>
  <si>
    <t>HEVO Ammonia Morocco</t>
  </si>
  <si>
    <t>Joint project between Fusion Fuel and Consolidated Contractors Group (CCC). Captive for green ammonia production.</t>
  </si>
  <si>
    <t>Jorf Lasfar</t>
  </si>
  <si>
    <t>OCP</t>
  </si>
  <si>
    <t>Joint project between OCP and Shell. Captive for green ammonia production.</t>
  </si>
  <si>
    <t>Walvis Bay</t>
  </si>
  <si>
    <t>Hyphen Hydrogen Energy (Pty) Ltd</t>
  </si>
  <si>
    <t>Jointly owned by Nicholas Holding Ltd. and Enertrag. Green hydrogen and green ammonia from 3 GW electrolyzer.</t>
  </si>
  <si>
    <t>Zinder</t>
  </si>
  <si>
    <t>CNPC-Niger Petroleum SA</t>
  </si>
  <si>
    <t>Subsidiary of China National Petroleum Corporation (CNPC).</t>
  </si>
  <si>
    <t>Ibeju-Lekki</t>
  </si>
  <si>
    <t>Dangote Oil, Lekki Refinery</t>
  </si>
  <si>
    <t>Air Liquide technology. Two units.</t>
  </si>
  <si>
    <t>Escravos</t>
  </si>
  <si>
    <t>Escravos Gas-to-liquids (EGTL)</t>
  </si>
  <si>
    <t>Jointly owned by Chevron (75%) and Nigerian National Petroleum Corporation (25%). On-site Gas-to-liquids (GTL) plant.</t>
  </si>
  <si>
    <t>Durban</t>
  </si>
  <si>
    <t>Engen Petroleum Ltd.</t>
  </si>
  <si>
    <t>Majority owned by Petronas.</t>
  </si>
  <si>
    <t>Port of Ngqura, Coega Special Economic Zone</t>
  </si>
  <si>
    <t>Hive Hydrogen &amp; Linde</t>
  </si>
  <si>
    <t>Joint project between Hive Hydrogen and Linde plc. Production of green ammonia.</t>
  </si>
  <si>
    <t>Sasolburg</t>
  </si>
  <si>
    <t>National Petroleum Refiners of South Africa (Pty) Ltd. (Natref)</t>
  </si>
  <si>
    <t>Mossel Bay</t>
  </si>
  <si>
    <t>PetroSA</t>
  </si>
  <si>
    <t>Captive consumption for Gas-to-liquids (GTL) plant. Sasol technology.</t>
  </si>
  <si>
    <t>Sasol, Secunda Synfuels Operations</t>
  </si>
  <si>
    <t>Largest coal-to-liquids plant in the World and also largest emitter of greenhouse gases in the World.</t>
  </si>
  <si>
    <t>Sudapet</t>
  </si>
  <si>
    <t>Neem-Azraq, Muglad</t>
  </si>
  <si>
    <t>Jointly owned by Sudapet (51%) and Gazohim Techno (49%).</t>
  </si>
  <si>
    <t>Chittagong</t>
  </si>
  <si>
    <t>Eastern Refinery</t>
  </si>
  <si>
    <t>A subsidiary of Bangladesh Petroleum Corporation.</t>
  </si>
  <si>
    <t>Bina</t>
  </si>
  <si>
    <t>Bharat Oman Refineries</t>
  </si>
  <si>
    <t>A joint venture of Bharat Petroleum Corp. Ltd. and Oman Oil Company. Expanded in 2019.</t>
  </si>
  <si>
    <t>Cochin</t>
  </si>
  <si>
    <t>Bharat Petroleum</t>
  </si>
  <si>
    <t>Mahul</t>
  </si>
  <si>
    <t>Madras</t>
  </si>
  <si>
    <t>Chennai Petroleum (CPCL)</t>
  </si>
  <si>
    <t>Formerly known as Madras Refineries Limited (MRL)</t>
  </si>
  <si>
    <t>Nagapattinam, Tamilnadu</t>
  </si>
  <si>
    <t>Cauvery Basin grassroots refinery. Expected capacity 3,048 thousand cubic meters per day.</t>
  </si>
  <si>
    <t>Jagdispur</t>
  </si>
  <si>
    <t>Grasim Industries</t>
  </si>
  <si>
    <t>Vadinar, Devbhumi Dwarka, Gujarat</t>
  </si>
  <si>
    <t>Nayara Energy</t>
  </si>
  <si>
    <t>Vadinar Refinery.</t>
  </si>
  <si>
    <t>Mahul, Mumbai</t>
  </si>
  <si>
    <t>Hindustan Petroleum</t>
  </si>
  <si>
    <t>Visakhapatnam</t>
  </si>
  <si>
    <t>Bhatinda</t>
  </si>
  <si>
    <t>HPCL-Mittal Energy</t>
  </si>
  <si>
    <t>Guru Gobind Singh Refinery.</t>
  </si>
  <si>
    <t>Baraumi, Begusarai, Bihar</t>
  </si>
  <si>
    <t>Indian Oil</t>
  </si>
  <si>
    <t xml:space="preserve">Barauni Refinery. </t>
  </si>
  <si>
    <t>Bongaigaon</t>
  </si>
  <si>
    <t xml:space="preserve">Formerly Bongaigaon Refinery &amp; Petrochemicals. </t>
  </si>
  <si>
    <t>Digboi, Assam</t>
  </si>
  <si>
    <t xml:space="preserve">Digboi Refinery. </t>
  </si>
  <si>
    <t>Guwahati</t>
  </si>
  <si>
    <t>Guwahati Refinery.</t>
  </si>
  <si>
    <t>Haldia</t>
  </si>
  <si>
    <t>Koyali, Gujarat</t>
  </si>
  <si>
    <t xml:space="preserve">Gujarat Refinery. </t>
  </si>
  <si>
    <t>Mathura</t>
  </si>
  <si>
    <t>Mathura Refinery.</t>
  </si>
  <si>
    <t>Panipat</t>
  </si>
  <si>
    <t>Panipat Refinery.</t>
  </si>
  <si>
    <t>Paradip</t>
  </si>
  <si>
    <t>Manali</t>
  </si>
  <si>
    <t>Madras Fertilizers</t>
  </si>
  <si>
    <t>Mangalore</t>
  </si>
  <si>
    <t>Mangalore Chemicals &amp; Fertilizers</t>
  </si>
  <si>
    <t>Mangalore Refinery and 
Petrochemicals</t>
  </si>
  <si>
    <t>A subsidiary of Oil and Natural Gas Corporation Limited.</t>
  </si>
  <si>
    <t>National Fertilizers</t>
  </si>
  <si>
    <t>Nangal</t>
  </si>
  <si>
    <t>Vijaipur</t>
  </si>
  <si>
    <t>Numaligarh</t>
  </si>
  <si>
    <t>Numaligarh Refinery</t>
  </si>
  <si>
    <t>Praxair India</t>
  </si>
  <si>
    <t>Wholly owned subsidiary of Linde. Supplies hydrogen and nitrogen to the IOCL refinery at Paradip.</t>
  </si>
  <si>
    <t>Jamnagar</t>
  </si>
  <si>
    <t>Reliance Industries</t>
  </si>
  <si>
    <t>Khalifa</t>
  </si>
  <si>
    <t>Khalifa Coastal Refinery (KCRC)</t>
  </si>
  <si>
    <t>Coastal Refinery. Expected capacity 3,154 thousand cubic meters per day.</t>
  </si>
  <si>
    <t>Rangadia, Anowara</t>
  </si>
  <si>
    <t>Karnafuli Fertilizer (KAFCO)</t>
  </si>
  <si>
    <t>Ashugonj</t>
  </si>
  <si>
    <t>Zia Fertilizer</t>
  </si>
  <si>
    <t>Mundra, Gujarat</t>
  </si>
  <si>
    <t>Adani Wilmar Ltd.</t>
  </si>
  <si>
    <t>Palamau, Jharkhand</t>
  </si>
  <si>
    <t xml:space="preserve">Aditya Birla Chemicals (India) </t>
  </si>
  <si>
    <t>Ahmedabad</t>
  </si>
  <si>
    <t>Aims Industries</t>
  </si>
  <si>
    <t>Surat</t>
  </si>
  <si>
    <t>Kochi</t>
  </si>
  <si>
    <t>Kurkumbh, Maharashtra</t>
  </si>
  <si>
    <t>Alkyl Amines Chemicals</t>
  </si>
  <si>
    <t>Saggonda, Andhra Pradesh</t>
  </si>
  <si>
    <t>The Andhra Sugars Ltd.</t>
  </si>
  <si>
    <t>Mahadevapura, Karnataka</t>
  </si>
  <si>
    <t>Bhuruka Gases</t>
  </si>
  <si>
    <t>Pondicherry, Pondicherry</t>
  </si>
  <si>
    <t>Chemfab Alkalis</t>
  </si>
  <si>
    <t>Bharuch,Gujarat</t>
  </si>
  <si>
    <t>DCM Shriram ltd.</t>
  </si>
  <si>
    <t>Kota, Rajasthan</t>
  </si>
  <si>
    <t>Howrah, West Bengal</t>
  </si>
  <si>
    <t>Ellenbarrie Industrial Gases</t>
  </si>
  <si>
    <t>Kolkata, West Bengal</t>
  </si>
  <si>
    <t>Visakhapatnam, Andhra Pradesh</t>
  </si>
  <si>
    <t>Dahej, Gujarat</t>
  </si>
  <si>
    <t xml:space="preserve">GACL-NALCO Alkalies and Chemicals Private Limited (GNAL) </t>
  </si>
  <si>
    <t>GNAL is a joint venture company of Gujarat Alkalies and Chemicals Limited GACL and National Aluminium Company Limited NALCO.</t>
  </si>
  <si>
    <t>Ghaziabad, Uttar Pradesh</t>
  </si>
  <si>
    <t>Goyal MG Gases</t>
  </si>
  <si>
    <t>Balabhadrapuram, Andhra Pradesh</t>
  </si>
  <si>
    <t>Bharuch, Gujarat</t>
  </si>
  <si>
    <t>Ganjam, Odisha</t>
  </si>
  <si>
    <t>Nagda, Madhya Pradesh</t>
  </si>
  <si>
    <t>Gujarat Alkalies &amp; Chemical</t>
  </si>
  <si>
    <t>Vadodara, Gujarat</t>
  </si>
  <si>
    <t>Hindustan Heavy Chemicals</t>
  </si>
  <si>
    <t>Rasayani, Maharashtra</t>
  </si>
  <si>
    <t>Hindustan Organic Chemicals</t>
  </si>
  <si>
    <t>Patalganga, Maharashtra</t>
  </si>
  <si>
    <t>Inox Air Products</t>
  </si>
  <si>
    <t>Formerly BOC India Limited. Rebranded as Linde India Ltd. in 2012.</t>
  </si>
  <si>
    <t>Kachchh, Gujarat</t>
  </si>
  <si>
    <t xml:space="preserve">Kutch Chemical Industries 
Limited </t>
  </si>
  <si>
    <t>Several sites, including 
on-site plants</t>
  </si>
  <si>
    <t>Linde India</t>
  </si>
  <si>
    <t>Sullurupeta, Andhra Pradesh</t>
  </si>
  <si>
    <t>West Bengal</t>
  </si>
  <si>
    <t>Alwar, Rajasthan</t>
  </si>
  <si>
    <t>Lords Chloro Alkali</t>
  </si>
  <si>
    <t>Meghmani Finechem</t>
  </si>
  <si>
    <t>Modi Nagar, Uttar Pradesh</t>
  </si>
  <si>
    <t>Modi Gas &amp; Chemicals</t>
  </si>
  <si>
    <t>Panipat, Haryana</t>
  </si>
  <si>
    <t>NMC Carbonic Industries</t>
  </si>
  <si>
    <t>Boisar, Maharashtra</t>
  </si>
  <si>
    <t>Pamarox</t>
  </si>
  <si>
    <t>Sriperumbudur, Kancheepuram</t>
  </si>
  <si>
    <t>Wholly owned subsidiary of Linde.</t>
  </si>
  <si>
    <t>Naya Nangal, Punjab</t>
  </si>
  <si>
    <t>Punjab Alkalies &amp; Chemicals</t>
  </si>
  <si>
    <t>Kurnool, Andhra Pradesh</t>
  </si>
  <si>
    <t>TGV Sraac</t>
  </si>
  <si>
    <t>Uttam Air Products</t>
  </si>
  <si>
    <t>Znagar, Zuarinagar, Goa</t>
  </si>
  <si>
    <t>Zuari Agro Chemical</t>
  </si>
  <si>
    <t>Goth Machhi</t>
  </si>
  <si>
    <t>Fauji Fertilizer</t>
  </si>
  <si>
    <t>Sheikhupura</t>
  </si>
  <si>
    <t>Ittehad Chemicals</t>
  </si>
  <si>
    <t>Hasan Abdal / Port Bin Qasim</t>
  </si>
  <si>
    <t>Pakistan Oxygen</t>
  </si>
  <si>
    <t>Electrolysis (Port Bin Qasim). Formerly Linde Pakistan</t>
  </si>
  <si>
    <t>Nimir Industrial Chemicals</t>
  </si>
  <si>
    <t>Faisalabad, Punjab</t>
  </si>
  <si>
    <t>Sitara Chemical Industries</t>
  </si>
  <si>
    <t>Yeosu</t>
  </si>
  <si>
    <t>GS Caltex</t>
  </si>
  <si>
    <t>Busan</t>
  </si>
  <si>
    <t>Hyundai Lube Oil</t>
  </si>
  <si>
    <t>Daesan</t>
  </si>
  <si>
    <t>Hyundai Oilbank</t>
  </si>
  <si>
    <t>Ulsan</t>
  </si>
  <si>
    <t>Lotte Fine Chemical</t>
  </si>
  <si>
    <t>Lotte Ineos Chemical</t>
  </si>
  <si>
    <t>Pohang, Gwnangyang, 
Pohang</t>
  </si>
  <si>
    <t>POSCO</t>
  </si>
  <si>
    <t>SK Innovation</t>
  </si>
  <si>
    <t>Onsan</t>
  </si>
  <si>
    <t>S-Oil</t>
  </si>
  <si>
    <t>Talin</t>
  </si>
  <si>
    <t>CPC Corporation</t>
  </si>
  <si>
    <t>Tao-Yuan</t>
  </si>
  <si>
    <t>Mailiao</t>
  </si>
  <si>
    <t>Formosa Petrochemical</t>
  </si>
  <si>
    <t>Kaohsiung, Kaohsiung Hsien</t>
  </si>
  <si>
    <t>Grand Pacific Petrochemical (GPPC)</t>
  </si>
  <si>
    <t>Kaohsiung</t>
  </si>
  <si>
    <t>Taiwan Styrene Monomer</t>
  </si>
  <si>
    <t>Yeosu, Jeollanam (total)</t>
  </si>
  <si>
    <t>Air Liquide Korea</t>
  </si>
  <si>
    <t>Asan, Chungcheognam</t>
  </si>
  <si>
    <t>Air Products Korea</t>
  </si>
  <si>
    <t>Cheonan, Chungcheognam</t>
  </si>
  <si>
    <t>Gumi, Gyeongsangbuk</t>
  </si>
  <si>
    <t>Gunsan, Jeollabuk</t>
  </si>
  <si>
    <t>Okcheon, Chungcheogbuk</t>
  </si>
  <si>
    <t>Siheung, Gyeonggi</t>
  </si>
  <si>
    <t>Yongin, Gyeonggi</t>
  </si>
  <si>
    <t>Capro</t>
  </si>
  <si>
    <t>Chang Shin Chemical</t>
  </si>
  <si>
    <t>Paju</t>
  </si>
  <si>
    <t>Daesong Industrial Gas</t>
  </si>
  <si>
    <t>Ulsan, Yeosu, Gunsan, Seosan</t>
  </si>
  <si>
    <t>Deokyang</t>
  </si>
  <si>
    <t>Yeosu, Jeollanam</t>
  </si>
  <si>
    <t>Hanwha Chemical</t>
  </si>
  <si>
    <t>Seosan, Chungcheognam</t>
  </si>
  <si>
    <t>Hyosung</t>
  </si>
  <si>
    <t>Isu Chemical</t>
  </si>
  <si>
    <t>Korea Petrochemical</t>
  </si>
  <si>
    <t>Cheongwan, Chungcheogbuk</t>
  </si>
  <si>
    <t>Kyungin Chemical Industrial</t>
  </si>
  <si>
    <t>Hwaseong, Gyeonggi</t>
  </si>
  <si>
    <t>Daesan, Pohang, Giheung (total)</t>
  </si>
  <si>
    <t>Linde Korea</t>
  </si>
  <si>
    <t>SDG</t>
  </si>
  <si>
    <t>SK Advanced</t>
  </si>
  <si>
    <t>(total) Ulsan, Yeosu, Desan, Ansan</t>
  </si>
  <si>
    <t>SPG Chemical</t>
  </si>
  <si>
    <t>Tae Kwang</t>
  </si>
  <si>
    <t>Tainan, Hsinchu</t>
  </si>
  <si>
    <t xml:space="preserve">Air Liquide </t>
  </si>
  <si>
    <t>Air Products San Fu</t>
  </si>
  <si>
    <t>Chupei City, Hsinchu Hsien</t>
  </si>
  <si>
    <t>Luchu City, Taoyuan Hsien</t>
  </si>
  <si>
    <t>Taichung, Taichung Hsien</t>
  </si>
  <si>
    <t>Ho Chun Chemical Gas</t>
  </si>
  <si>
    <t>Hsinchu, Hsinchu Hsien</t>
  </si>
  <si>
    <t>Linde Lien-Hwa Industrial Gases</t>
  </si>
  <si>
    <t xml:space="preserve">Taichung, Taichung Hsien   </t>
  </si>
  <si>
    <t>Taiwan Chlorine Industries</t>
  </si>
  <si>
    <t>Tung Bao</t>
  </si>
  <si>
    <t xml:space="preserve">Shanshang Hsiang, Tainan </t>
  </si>
  <si>
    <t>Tuntex Petrochemicals</t>
  </si>
  <si>
    <t>Linyuan City, Kaohsiung Hsien</t>
  </si>
  <si>
    <t>Yuan Rong Industrial Gases</t>
  </si>
  <si>
    <t>Shulin City, Taipei Hsien</t>
  </si>
  <si>
    <t>Air Liquide Indonesia</t>
  </si>
  <si>
    <t>Cilegon, West Java</t>
  </si>
  <si>
    <t>Air Products Indonesia</t>
  </si>
  <si>
    <t>Gresik, East Java</t>
  </si>
  <si>
    <t>Aneka Gas Industries</t>
  </si>
  <si>
    <t>Jakarta</t>
  </si>
  <si>
    <t>Industrial Gases</t>
  </si>
  <si>
    <t>Indogasraya Utama</t>
  </si>
  <si>
    <t>Semarang, Jawa</t>
  </si>
  <si>
    <t>Linde Indonesia</t>
  </si>
  <si>
    <t>Kendal, Central Java</t>
  </si>
  <si>
    <t>Pabrik Kertas Tjiwi Kimia</t>
  </si>
  <si>
    <t>East Jakarta, Capital Territory</t>
  </si>
  <si>
    <t>Pupuk Sriwidjaja</t>
  </si>
  <si>
    <t>Palembarg, South Sisnatra</t>
  </si>
  <si>
    <t>Samator</t>
  </si>
  <si>
    <t>Risjad, Degussa</t>
  </si>
  <si>
    <t>Sempec Indonesia</t>
  </si>
  <si>
    <t>Sindopex Perotama</t>
  </si>
  <si>
    <t>Sidoarjo, East Java</t>
  </si>
  <si>
    <t>Sulfindo Adiusaha</t>
  </si>
  <si>
    <t>Merak, West Java</t>
  </si>
  <si>
    <t>Eight plants in Java, Sumatra, and Sulawesi</t>
  </si>
  <si>
    <t>Prai, Penang</t>
  </si>
  <si>
    <t>Acidchem International</t>
  </si>
  <si>
    <t>Selangor</t>
  </si>
  <si>
    <t>Banting, Selangor</t>
  </si>
  <si>
    <t>Air Products Malaysia</t>
  </si>
  <si>
    <t>Kuantan, Pahang</t>
  </si>
  <si>
    <t>West Port, Selangor</t>
  </si>
  <si>
    <t>Klang, Selangor</t>
  </si>
  <si>
    <t>Linde Malaysia</t>
  </si>
  <si>
    <t>Kuching</t>
  </si>
  <si>
    <t>Pasir Gudang, Johore</t>
  </si>
  <si>
    <t>Petaling Jaya, Selangor</t>
  </si>
  <si>
    <t>Palm Chemn MSDN, BHD</t>
  </si>
  <si>
    <t>Trengganu</t>
  </si>
  <si>
    <t xml:space="preserve">Perwaja Steel </t>
  </si>
  <si>
    <t>Santa Rosa, Laguna</t>
  </si>
  <si>
    <t>Linde Philippines</t>
  </si>
  <si>
    <t>Consolidated Industrial Gases and Southern Industrial Gases rebranded to Linde Philippines in 2010.</t>
  </si>
  <si>
    <t>Jurong Island</t>
  </si>
  <si>
    <t>Asia Industrial Gases</t>
  </si>
  <si>
    <t>Pulau Sakra</t>
  </si>
  <si>
    <t xml:space="preserve">Chemical Industries (Far East) </t>
  </si>
  <si>
    <t>Pulau Ayer Chawan</t>
  </si>
  <si>
    <t>Esso Singapore</t>
  </si>
  <si>
    <t>ExxonMobil Asia Pacific</t>
  </si>
  <si>
    <t>Linde Singapore</t>
  </si>
  <si>
    <t>National Oxygen</t>
  </si>
  <si>
    <t>Singapore Oxygen Air Liquide</t>
  </si>
  <si>
    <t>Samut Prakan</t>
  </si>
  <si>
    <t>AGC Chemicals (Thailand)</t>
  </si>
  <si>
    <t>Formerly Thasco Chemical.</t>
  </si>
  <si>
    <t>Map Ta Phut</t>
  </si>
  <si>
    <t>Air Liquide Thailand</t>
  </si>
  <si>
    <t>Ayutthaya, Ayutthaya</t>
  </si>
  <si>
    <t>Air Products Industry</t>
  </si>
  <si>
    <t>Bangkok, Krung 
Thep Mahanakhon</t>
  </si>
  <si>
    <t>Chon Buri, Chon Buri</t>
  </si>
  <si>
    <t>Lamphun, Lamphun</t>
  </si>
  <si>
    <t>Rayong</t>
  </si>
  <si>
    <t>Bangkok Industrial Gas (BIG)</t>
  </si>
  <si>
    <r>
      <t>A joint venture between Air Products and several Thai investors, including Bangkok Bank. The commercial operation of the H</t>
    </r>
    <r>
      <rPr>
        <vertAlign val="subscript"/>
        <sz val="7"/>
        <color theme="1"/>
        <rFont val="Arial"/>
        <family val="2"/>
      </rPr>
      <t>2</t>
    </r>
    <r>
      <rPr>
        <sz val="11"/>
        <color theme="1"/>
        <rFont val="Calibri"/>
        <family val="2"/>
        <scheme val="minor"/>
      </rPr>
      <t xml:space="preserve"> plant began at the start of 2019 and is expected to be used in the production process of propylene oxide.</t>
    </r>
  </si>
  <si>
    <t>Songkhla</t>
  </si>
  <si>
    <t>Hatyai Oxygen Co., Ltd</t>
  </si>
  <si>
    <t>Map Ta Put</t>
  </si>
  <si>
    <t>HMC Polymers</t>
  </si>
  <si>
    <t>Linde (Thailand)</t>
  </si>
  <si>
    <t>Thailand Industrial Gases (TIG) rebranded as Linde Thailand in 2012.</t>
  </si>
  <si>
    <t>Formerly Praxair (Thailand).</t>
  </si>
  <si>
    <t>Bangchak</t>
  </si>
  <si>
    <t>Summit Industrial</t>
  </si>
  <si>
    <t>Phu My</t>
  </si>
  <si>
    <t>Linde Gas Vietnam (LGB)</t>
  </si>
  <si>
    <t>Name</t>
  </si>
  <si>
    <t>Prov_State</t>
  </si>
  <si>
    <t>City</t>
  </si>
  <si>
    <t>Capacity (bpd)</t>
  </si>
  <si>
    <t>Source</t>
  </si>
  <si>
    <t>Shell Geelong Refinery</t>
  </si>
  <si>
    <t>Victoria</t>
  </si>
  <si>
    <t>Greater Geelong</t>
  </si>
  <si>
    <t>https://plattslive.com/news-and-insight/refined-products/110722-global-refineries#_ga=2.105279171.1360171110.1685566388-655850396.1684941475</t>
  </si>
  <si>
    <t>Caltex Lytton Refinery</t>
  </si>
  <si>
    <t>Queensland</t>
  </si>
  <si>
    <t>https://www.fractracker.org/2017/12/global-oil-refineries-emissions/</t>
  </si>
  <si>
    <t>NPRC Mizushima Refinery</t>
  </si>
  <si>
    <t>Ehime</t>
  </si>
  <si>
    <t>Kurashiki</t>
  </si>
  <si>
    <t>https://www.fractracker.org/data/</t>
  </si>
  <si>
    <t>ExxonMobil Sakai Refinery</t>
  </si>
  <si>
    <t>Gifu</t>
  </si>
  <si>
    <t>Muroran</t>
  </si>
  <si>
    <t>NPRC Muroran Refinery</t>
  </si>
  <si>
    <t>Cosmo Oil Cosmo Refinery</t>
  </si>
  <si>
    <t>Ibaraki</t>
  </si>
  <si>
    <t>Ichihara</t>
  </si>
  <si>
    <t>ExxonMobil Chiba Refinery</t>
  </si>
  <si>
    <t>Kyokuto Petroleum Ichihara Refinery</t>
  </si>
  <si>
    <t>Showa Yokkaichi Refinery</t>
  </si>
  <si>
    <t>Sodegaura</t>
  </si>
  <si>
    <t>ExxonMobil Kawasaki Refinery</t>
  </si>
  <si>
    <t>Kagawa</t>
  </si>
  <si>
    <t>Kawasaki</t>
  </si>
  <si>
    <t>NPRC Negishi Refinery</t>
  </si>
  <si>
    <t>NPRC Yokohama Refinery</t>
  </si>
  <si>
    <t>Yokohoma</t>
  </si>
  <si>
    <t>Tonen Corp Kawasaki Refinery</t>
  </si>
  <si>
    <t>ExxonMobil Wakayama Refinery</t>
  </si>
  <si>
    <t>Nagano</t>
  </si>
  <si>
    <t>Wakayama</t>
  </si>
  <si>
    <t>ExxonMobil Okinawa Refinery</t>
  </si>
  <si>
    <t>Saga</t>
  </si>
  <si>
    <t>Uruma</t>
  </si>
  <si>
    <t>NPRC Sendai Refinery</t>
  </si>
  <si>
    <t>Toyama</t>
  </si>
  <si>
    <t>Sendai</t>
  </si>
  <si>
    <t>Tohoku Oil Co Sendai Complex Refinery</t>
  </si>
  <si>
    <t>SINOPEC Anqing Company Refinery</t>
  </si>
  <si>
    <t>Anhui</t>
  </si>
  <si>
    <t>Anqing</t>
  </si>
  <si>
    <t>SINOPEC Beijing Yanshan Company Refinery</t>
  </si>
  <si>
    <t>Beijing</t>
  </si>
  <si>
    <t>CNCP (PetroChina) Lanzhou Refinery</t>
  </si>
  <si>
    <t>Gansu</t>
  </si>
  <si>
    <t>Lanzhou</t>
  </si>
  <si>
    <t>SINOPEC CPCC Guangzhou Branch Refinery</t>
  </si>
  <si>
    <t>Guangdong</t>
  </si>
  <si>
    <t>Dongguan</t>
  </si>
  <si>
    <t>SINOPEC Maoming Company Refinery</t>
  </si>
  <si>
    <t>Maoming</t>
  </si>
  <si>
    <t>SINOPEC Beihai Company Refinery</t>
  </si>
  <si>
    <t>Guangxi Zhuang</t>
  </si>
  <si>
    <t>Beihai</t>
  </si>
  <si>
    <t>SINOPEC Cangzhou Company Refinery</t>
  </si>
  <si>
    <t>Hebei</t>
  </si>
  <si>
    <t>Cangzhou</t>
  </si>
  <si>
    <t>CNCP (PetroChina) Daqing Petrochemical Refinery</t>
  </si>
  <si>
    <t>Heilongjiang</t>
  </si>
  <si>
    <t>Daqing</t>
  </si>
  <si>
    <t>SINOPEC Luoyang Company</t>
  </si>
  <si>
    <t>Henan</t>
  </si>
  <si>
    <t>Luoyang</t>
  </si>
  <si>
    <t>SINOPEC Jingmen Company</t>
  </si>
  <si>
    <t>Hubei</t>
  </si>
  <si>
    <t>Jingmen</t>
  </si>
  <si>
    <t>SINOPEC Wuhan Company Refinery</t>
  </si>
  <si>
    <t>Wuhan</t>
  </si>
  <si>
    <t>SINOPEC CPCC Changling Company Refinery</t>
  </si>
  <si>
    <t>Hunan</t>
  </si>
  <si>
    <t>Yueyang</t>
  </si>
  <si>
    <t>SINOPEC Jinling Company Refinery</t>
  </si>
  <si>
    <t>Jiangsu</t>
  </si>
  <si>
    <t>Nanjing</t>
  </si>
  <si>
    <t>SINOPEC Jiujiang Company Refinery</t>
  </si>
  <si>
    <t>Jiangxi</t>
  </si>
  <si>
    <t>Jiujiang</t>
  </si>
  <si>
    <t>CNCP (PetroChina) Jilin Chemical Refinery</t>
  </si>
  <si>
    <t>Jilin</t>
  </si>
  <si>
    <t>CNCP (PetroChina) Dalian Petrochemical Refinery</t>
  </si>
  <si>
    <t>Liaoning</t>
  </si>
  <si>
    <t>Dalian</t>
  </si>
  <si>
    <t>CNCP (PetroChina) Fushun Petrochemical Refinery</t>
  </si>
  <si>
    <t>Fushun</t>
  </si>
  <si>
    <t>CNCP (PetroChina) Jinxi Refinery</t>
  </si>
  <si>
    <t>Jinzhou</t>
  </si>
  <si>
    <t>CNCP (PetroChina) Jinzhou Petrochemical Refinery</t>
  </si>
  <si>
    <t>WEPEC Dalain Refinery</t>
  </si>
  <si>
    <t>SINOPEC Jinan Company</t>
  </si>
  <si>
    <t>Shandong</t>
  </si>
  <si>
    <t>Jinan</t>
  </si>
  <si>
    <t>SINOPEC Qilu Company Refinery</t>
  </si>
  <si>
    <t>Zibo</t>
  </si>
  <si>
    <t>SINOPEC Shanghai Gaoqiao Oil Refinery</t>
  </si>
  <si>
    <t>Shanghai</t>
  </si>
  <si>
    <t>SINOPEC Tianjin Company Refinery</t>
  </si>
  <si>
    <t>Tianjin</t>
  </si>
  <si>
    <t>CNCP (PetroChina) Dushanzi Refinery</t>
  </si>
  <si>
    <t>Xinjiang Uygur</t>
  </si>
  <si>
    <t>Karamay</t>
  </si>
  <si>
    <t>CNCP (PetroChina) Urumqi Petrochemical</t>
  </si>
  <si>
    <t>Urumqi</t>
  </si>
  <si>
    <t>SINOPEC Zhenhai Refinery</t>
  </si>
  <si>
    <t>Zhejiang</t>
  </si>
  <si>
    <t>Ningbo</t>
  </si>
  <si>
    <t>HPCL Visakhapatnam Refinery India</t>
  </si>
  <si>
    <t>Andhra Pradesh</t>
  </si>
  <si>
    <t>Vishakhapatnam</t>
  </si>
  <si>
    <t>IOCL Bongaigaon Refinery and Petrochemicals Ltd. (BRPL)</t>
  </si>
  <si>
    <t>Assam</t>
  </si>
  <si>
    <t>IOCL Digboi Refinery</t>
  </si>
  <si>
    <t>Digboi</t>
  </si>
  <si>
    <t>IOCL Guwahati Refinery</t>
  </si>
  <si>
    <t>Noonmati, Guwahat</t>
  </si>
  <si>
    <t>BPCL Numaligarh Refinery Ltd (NRL) India</t>
  </si>
  <si>
    <t>Numaligarh, Golaghat</t>
  </si>
  <si>
    <t>IOCL Barauni Refinery</t>
  </si>
  <si>
    <t>Bihar</t>
  </si>
  <si>
    <t>Begusarai Barauni</t>
  </si>
  <si>
    <t>Essar Oil Refinery India</t>
  </si>
  <si>
    <t>Gujarat</t>
  </si>
  <si>
    <t>Vadinar in Jamnagar</t>
  </si>
  <si>
    <t>IOCL Gujarat Koyali Refinery</t>
  </si>
  <si>
    <t>Koyali near Vadodara</t>
  </si>
  <si>
    <t>RPL (Reliance Petroleum Limited) Jamnagar Refinery India</t>
  </si>
  <si>
    <t>West of Jamnagar</t>
  </si>
  <si>
    <t>IOCL Panipat Refinery</t>
  </si>
  <si>
    <t>Haryana</t>
  </si>
  <si>
    <t>Baholi Village Panipat</t>
  </si>
  <si>
    <t>MRPL (Mangalore Refinery and Petrochemicals Ltd.) Refinery India</t>
  </si>
  <si>
    <t>Karnataka</t>
  </si>
  <si>
    <t>Mangaluru</t>
  </si>
  <si>
    <t>BPCL Kochi Refineries Ltd (KRL)</t>
  </si>
  <si>
    <t>Kerala</t>
  </si>
  <si>
    <t>Bharat Oman Refinery (BORL) India</t>
  </si>
  <si>
    <t>Madhya Pradesh</t>
  </si>
  <si>
    <t>BPCL Mumbai Refinery</t>
  </si>
  <si>
    <t>Maharashtra</t>
  </si>
  <si>
    <t>Mahul Mumbai</t>
  </si>
  <si>
    <t>HPCL Mumbai Refinery</t>
  </si>
  <si>
    <t>ONGC Uran Refinery</t>
  </si>
  <si>
    <t>Uran</t>
  </si>
  <si>
    <t>CPCL (Chennai Petroleum Corporation) Manali Refinery India</t>
  </si>
  <si>
    <t>Tamil Nadu</t>
  </si>
  <si>
    <t>Tiruvottiyur Chennai</t>
  </si>
  <si>
    <t>CPCL (Chennai Petroleum Corporation) Nagapattinam Refinery India</t>
  </si>
  <si>
    <t>Nagapattinam</t>
  </si>
  <si>
    <t>IOCL Mathura Refinery</t>
  </si>
  <si>
    <t>Uttar Pradesh</t>
  </si>
  <si>
    <t>IOCL Haldia Refinery</t>
  </si>
  <si>
    <t>East Midnapore</t>
  </si>
  <si>
    <t>CNPC Soralchin Adrar Refinery Algeria</t>
  </si>
  <si>
    <t>Adrar</t>
  </si>
  <si>
    <t>Sonatrach Algiers Refinery Algeria</t>
  </si>
  <si>
    <t>Alger</t>
  </si>
  <si>
    <t>Algiers</t>
  </si>
  <si>
    <t>Sonatrach Arzew Refinery Algeria</t>
  </si>
  <si>
    <t>Oran</t>
  </si>
  <si>
    <t>Arzew</t>
  </si>
  <si>
    <t>Sonatrach Hassi Messaoud Refinery Algeria</t>
  </si>
  <si>
    <t>Ouargla</t>
  </si>
  <si>
    <t>Hassi Messaoud</t>
  </si>
  <si>
    <t>Sonatrach Skikda Refinery Algeria</t>
  </si>
  <si>
    <t>Skikda</t>
  </si>
  <si>
    <t>Petrofina Luanda Refinery Angola</t>
  </si>
  <si>
    <t>Luanda</t>
  </si>
  <si>
    <t>Cacuaco</t>
  </si>
  <si>
    <t>Esso(ExxonMobil) Campana Refinery Argentina</t>
  </si>
  <si>
    <t>Buenos Aires</t>
  </si>
  <si>
    <t>Campana</t>
  </si>
  <si>
    <t>Repsol YPF la Plata Refinery Argentina</t>
  </si>
  <si>
    <t>Ensenada</t>
  </si>
  <si>
    <t>Repsol YPF Lujan de Cuyo Refinery Argentina</t>
  </si>
  <si>
    <t>Mendoza</t>
  </si>
  <si>
    <t>Lujan de Cuyo</t>
  </si>
  <si>
    <t>Repsol YPF Plaza Huincul Refinery Argentina</t>
  </si>
  <si>
    <t>Neuquen</t>
  </si>
  <si>
    <t>Confluencia</t>
  </si>
  <si>
    <t>Refinor Campo Duran Refinery Argentina</t>
  </si>
  <si>
    <t>Salta</t>
  </si>
  <si>
    <t>Campo Durán</t>
  </si>
  <si>
    <t>Refisan S.A. San Lorenzo Refinery Argentina</t>
  </si>
  <si>
    <t>Santa Fe</t>
  </si>
  <si>
    <t>San Lorenzo</t>
  </si>
  <si>
    <t>Valero Aruba Refinery Aruba</t>
  </si>
  <si>
    <t>Aruba</t>
  </si>
  <si>
    <t>San Nicolas</t>
  </si>
  <si>
    <t>OMV Schwechat Refinery</t>
  </si>
  <si>
    <t>Lower Austria</t>
  </si>
  <si>
    <t>Wien Umgebung</t>
  </si>
  <si>
    <t>SOCAR Azerineftyag Refinery</t>
  </si>
  <si>
    <t>Baku city</t>
  </si>
  <si>
    <t>Baku</t>
  </si>
  <si>
    <t>SOCAR Haydar Aliev Refinery</t>
  </si>
  <si>
    <t>Petrobangla Chittagong Refinery</t>
  </si>
  <si>
    <t>Slavneft Mozyr Refinery</t>
  </si>
  <si>
    <t>Brest</t>
  </si>
  <si>
    <t>Mazyr</t>
  </si>
  <si>
    <t>Vitol Antwerp N.V. Refinery</t>
  </si>
  <si>
    <t>Antwerp</t>
  </si>
  <si>
    <t>Total Antwerp Refinery Belgium</t>
  </si>
  <si>
    <t>Petroplus BRC Antwerp Refinery Belgium</t>
  </si>
  <si>
    <t>ExxonMobil Antwerp Refinery Belgium</t>
  </si>
  <si>
    <t>Refisur SA. Carlos Montenegro Sucre Refinery</t>
  </si>
  <si>
    <t>Chuquisaca</t>
  </si>
  <si>
    <t>Oropeza</t>
  </si>
  <si>
    <t>Petrobras Gualberto Villarael Cochabamba Refinery</t>
  </si>
  <si>
    <t>Cochabamba</t>
  </si>
  <si>
    <t>Chapare</t>
  </si>
  <si>
    <t>Petrobras Guillermo Elder Bell Santa Cruz Refinery Bolivia</t>
  </si>
  <si>
    <t>Santa Cruz</t>
  </si>
  <si>
    <t>Santa Cruz de la Sierra</t>
  </si>
  <si>
    <t>Petrobras REMAN (Issac Sabba) Manaus Refinery</t>
  </si>
  <si>
    <t>Amazonas</t>
  </si>
  <si>
    <t>Iranduba</t>
  </si>
  <si>
    <t>Petrobras RLAM (Landulpho Alves) Sao Francisco do Conde Refinery</t>
  </si>
  <si>
    <t>Bahia</t>
  </si>
  <si>
    <t>Sao Francisco do Conde</t>
  </si>
  <si>
    <t>Petrobras LUBNOR Fortaleza Refinery</t>
  </si>
  <si>
    <t>Ceara</t>
  </si>
  <si>
    <t>Fortaleza</t>
  </si>
  <si>
    <t>Petrobras REGAP (Gabriel Passos) Betim Refinery</t>
  </si>
  <si>
    <t>Minas Gerais</t>
  </si>
  <si>
    <t>Betim</t>
  </si>
  <si>
    <t>Petrobras REPAR (Pres. Getulio Vargas) Araucaria Refinery</t>
  </si>
  <si>
    <t>Parana</t>
  </si>
  <si>
    <t>Araucaria</t>
  </si>
  <si>
    <t>Grupo Peixoto de Castro/Repsol-YPF Manguinhos Refinery</t>
  </si>
  <si>
    <t>Rio de Janeiro</t>
  </si>
  <si>
    <t>Arraial do Cabo</t>
  </si>
  <si>
    <t>Petrobras REDUC (Duque de Caxias) Refinery</t>
  </si>
  <si>
    <t>Duque de Caxias</t>
  </si>
  <si>
    <t>Ipiranga Pelotas Refinery</t>
  </si>
  <si>
    <t>Rio Grande do Sul</t>
  </si>
  <si>
    <t>Pelotas</t>
  </si>
  <si>
    <t>Petrobras REFAP (Alberto Pasqualini) Canoas Refinery</t>
  </si>
  <si>
    <t>Canoas</t>
  </si>
  <si>
    <t>Petrobras RECAP (Capuava) Maua Refinery</t>
  </si>
  <si>
    <t>Sao Paulo</t>
  </si>
  <si>
    <t>Maua</t>
  </si>
  <si>
    <t>Petrobras REPLAN Paulinia Refinery</t>
  </si>
  <si>
    <t>Paulinia</t>
  </si>
  <si>
    <t>Petrobras REVAP (Henrique Lage) Sao Jose dos Campos Refinery</t>
  </si>
  <si>
    <t>Sao Jose dos Campos</t>
  </si>
  <si>
    <t>Petrobras RPBC (Pres. Bernardes) Cubatao Refinery</t>
  </si>
  <si>
    <t>Cubatao</t>
  </si>
  <si>
    <t>BSP Brunei Refinery</t>
  </si>
  <si>
    <t>Belait</t>
  </si>
  <si>
    <t>Seria</t>
  </si>
  <si>
    <t>LUKEOIL Neftokhim Burgas Refinery Bulgaria</t>
  </si>
  <si>
    <t>Burgas</t>
  </si>
  <si>
    <t>SONARA Limbe Refinery Cameroon</t>
  </si>
  <si>
    <t>Sud-Ouest</t>
  </si>
  <si>
    <t>Fako</t>
  </si>
  <si>
    <t>Empresa Nacional de Petroleo Concon Refinery</t>
  </si>
  <si>
    <t>V Region de Valparaiso</t>
  </si>
  <si>
    <t>Valparaiso</t>
  </si>
  <si>
    <t>Empresa Nacional de Petroleo Bio-Bio Refinery</t>
  </si>
  <si>
    <t>VIII Region del Bio - Bio</t>
  </si>
  <si>
    <t>Concepción</t>
  </si>
  <si>
    <t>Empresa Nacional de Petroleo Gregorio Refinery</t>
  </si>
  <si>
    <t>XII Region de Magallanes y la Antartica Chilena</t>
  </si>
  <si>
    <t>Chacabuco</t>
  </si>
  <si>
    <t>Ecopetrol Cartagena Refinery</t>
  </si>
  <si>
    <t>Bolivar</t>
  </si>
  <si>
    <t>Cartagena de Indias</t>
  </si>
  <si>
    <t>Ecopetrol Barrancabaermeja-Santander Refinery</t>
  </si>
  <si>
    <t>Santander</t>
  </si>
  <si>
    <t>Barrancabermeja</t>
  </si>
  <si>
    <t>CORAF Pointe Noire Refinery Congo</t>
  </si>
  <si>
    <t>Kouilou</t>
  </si>
  <si>
    <t>Loandjili (Pointe Noire</t>
  </si>
  <si>
    <t>Recope Puerto Limon Refinery</t>
  </si>
  <si>
    <t>Limon</t>
  </si>
  <si>
    <t>SMB Abidjan Refinery</t>
  </si>
  <si>
    <t>Lagunes</t>
  </si>
  <si>
    <t>INA Group Rijeka Refinery Croatia</t>
  </si>
  <si>
    <t>Primorsko-Goranska</t>
  </si>
  <si>
    <t>Urinj</t>
  </si>
  <si>
    <t>INA Group Sisak Refinery Croatia</t>
  </si>
  <si>
    <t>Sisacko-Moslavacka</t>
  </si>
  <si>
    <t>Sisak</t>
  </si>
  <si>
    <t>Cupet Cienfuegos Refinery</t>
  </si>
  <si>
    <t>Cienfuegos</t>
  </si>
  <si>
    <t>Cupet Nico Lopez Refinery</t>
  </si>
  <si>
    <t>Ciudad de la Habana</t>
  </si>
  <si>
    <t>Havana</t>
  </si>
  <si>
    <t>Cupet Hermanos Diaz Refinery</t>
  </si>
  <si>
    <t>Santiago de Cuba</t>
  </si>
  <si>
    <t>PARAMO Pardubice Refinery Czech</t>
  </si>
  <si>
    <t>Pardubicky</t>
  </si>
  <si>
    <t>Pardubice</t>
  </si>
  <si>
    <t>Ceska Rafinerska Kralupy Refinery</t>
  </si>
  <si>
    <t>Stredocesky</t>
  </si>
  <si>
    <t>Kralupy</t>
  </si>
  <si>
    <t>Ceska Rafinerska Litvinov Refinery</t>
  </si>
  <si>
    <t>Ustecky</t>
  </si>
  <si>
    <t>Litvinov</t>
  </si>
  <si>
    <t>SHELL Fredericia Refinery Denmark</t>
  </si>
  <si>
    <t>Central Jutland</t>
  </si>
  <si>
    <t>Fredericia</t>
  </si>
  <si>
    <t>StatOil Kalundborg Refinery</t>
  </si>
  <si>
    <t>Zealand</t>
  </si>
  <si>
    <t>Cairo Petroleum Refining Company Tanta Refinery</t>
  </si>
  <si>
    <t>Al Gharbiyah</t>
  </si>
  <si>
    <t>Tanta</t>
  </si>
  <si>
    <t>Alexandria Petroleum Company Amerya Refinery</t>
  </si>
  <si>
    <t>Al Iskandariyah</t>
  </si>
  <si>
    <t>Alexandria Petroleum Company El Mex Refinery</t>
  </si>
  <si>
    <t>MIDOR Alexandria Refinery</t>
  </si>
  <si>
    <t>Cairo Petroleum Refining Company Mostorod Refinery</t>
  </si>
  <si>
    <t>Al Qalyubiyah</t>
  </si>
  <si>
    <t>Cairo</t>
  </si>
  <si>
    <t>El Suez Refining Company Suez Refinery</t>
  </si>
  <si>
    <t>As Suways</t>
  </si>
  <si>
    <t>Suez</t>
  </si>
  <si>
    <t>El-Nasr Petroleum Company Suez Refinery</t>
  </si>
  <si>
    <t>Assyout Petroleum Company Asyut Refinery</t>
  </si>
  <si>
    <t>Asyut</t>
  </si>
  <si>
    <t>El Nasr Refining Wadi Feiran Refinery</t>
  </si>
  <si>
    <t>Helwan</t>
  </si>
  <si>
    <t>.</t>
  </si>
  <si>
    <t>ExxonMobil Acajutla Refinery Argentina</t>
  </si>
  <si>
    <t>Sonsonate</t>
  </si>
  <si>
    <t>Acajutla</t>
  </si>
  <si>
    <t>Fortum Oyj Porvoo Refinery</t>
  </si>
  <si>
    <t>Southern Finland</t>
  </si>
  <si>
    <t>Eastern Uusimaa</t>
  </si>
  <si>
    <t>Fortum Oyj Naantali Refinery</t>
  </si>
  <si>
    <t>Western Finland</t>
  </si>
  <si>
    <t>Finland Proper</t>
  </si>
  <si>
    <t>Shell Reichstett Refinery</t>
  </si>
  <si>
    <t>Bas-Rhin</t>
  </si>
  <si>
    <t>BP Lavera Marseilles Refinery</t>
  </si>
  <si>
    <t>Bouches-du-Rhone</t>
  </si>
  <si>
    <t>Martigues</t>
  </si>
  <si>
    <t>ExxonMobil Fos-sur-Mer Refinery</t>
  </si>
  <si>
    <t>Shell Berre L&amp;apos;Etang Refinery</t>
  </si>
  <si>
    <t>Berre-l'Etang</t>
  </si>
  <si>
    <t>Total Provence Marseilles Refinery</t>
  </si>
  <si>
    <t>Chateauneuf-les-Martigues</t>
  </si>
  <si>
    <t>Total Donges Refinery</t>
  </si>
  <si>
    <t>Loire-Atlantique</t>
  </si>
  <si>
    <t>Total Flandres Mardyck Refinery France</t>
  </si>
  <si>
    <t>Nord</t>
  </si>
  <si>
    <t>Total Feyzin Refinery</t>
  </si>
  <si>
    <t>Rhone</t>
  </si>
  <si>
    <t>Total Grandpuits Refinery</t>
  </si>
  <si>
    <t>Seine-et-Marne</t>
  </si>
  <si>
    <t>Seine-Et-Marne</t>
  </si>
  <si>
    <t>ExxonMobil Port Jerome-Gravenchon Refinery</t>
  </si>
  <si>
    <t>Seine-Maritime</t>
  </si>
  <si>
    <t>Total Gonfreville lOrcher Refinery</t>
  </si>
  <si>
    <t>Total/Shell/Agip Sogara Refinery</t>
  </si>
  <si>
    <t>Ogooue-Maritime</t>
  </si>
  <si>
    <t>Port-Gentil</t>
  </si>
  <si>
    <t>Shell/ExxonMobil/Ruhr Oel/Conoco Karlsruhe Refinery</t>
  </si>
  <si>
    <t>Baden-Wurttemberg</t>
  </si>
  <si>
    <t>Karlsruhe</t>
  </si>
  <si>
    <t>Bayernoil Ingolstadt Refinery</t>
  </si>
  <si>
    <t>Bavaria</t>
  </si>
  <si>
    <t>Oberbayern</t>
  </si>
  <si>
    <t>ExxonMobile Ingolstadt Refinery</t>
  </si>
  <si>
    <t>OMV Burghausen Refinery</t>
  </si>
  <si>
    <t>PCK Raffinerie GmbH Schwedt Refinery</t>
  </si>
  <si>
    <t>Brandenburg</t>
  </si>
  <si>
    <t>Shell Elbe MineralÃ?_x0002_lwerke Hamburg-Harburg Refinery</t>
  </si>
  <si>
    <t>Tamoil Holborn Hamburg Refinery</t>
  </si>
  <si>
    <t>Louis Dreyfus Group Wilhelmshaven Refinery</t>
  </si>
  <si>
    <t>Lower Saxony</t>
  </si>
  <si>
    <t>Weser-Ems</t>
  </si>
  <si>
    <t>Ruhr Oel (BP/PDVSA) Emsland Lingen Refinery</t>
  </si>
  <si>
    <t>Ruhr Oel (BP/PDVSA) Gelsenkirchen Horst Refinery</t>
  </si>
  <si>
    <t>North Rhine-Westphalia</t>
  </si>
  <si>
    <t>Munster</t>
  </si>
  <si>
    <t>Shell Rheinland Werk Godorf Cologne Refinery</t>
  </si>
  <si>
    <t>Cologne</t>
  </si>
  <si>
    <t>Dow Chemical Buna SOW Leuna Refinery</t>
  </si>
  <si>
    <t>Saxony</t>
  </si>
  <si>
    <t>Leipzig</t>
  </si>
  <si>
    <t>TOTAL Raffinerie Mitteldeutschland Spergau Refinery</t>
  </si>
  <si>
    <t>Saxony-Anhalt</t>
  </si>
  <si>
    <t>Halle</t>
  </si>
  <si>
    <t>Shell ErdÃ?_x0002_lwerk Holstein Heide Refinery</t>
  </si>
  <si>
    <t>Schleswig-Holstein</t>
  </si>
  <si>
    <t>TORC Tema Refinery</t>
  </si>
  <si>
    <t>Greater Accra</t>
  </si>
  <si>
    <t>Tema</t>
  </si>
  <si>
    <t>Hellenic Petroleum Aspropyrgos Refinery Greece</t>
  </si>
  <si>
    <t>Attica</t>
  </si>
  <si>
    <t>Hellenic Petroleum Elefsina Refinery</t>
  </si>
  <si>
    <t>Motor Oil Hellas Corinth Refinery</t>
  </si>
  <si>
    <t>Hellenic Petroleum Thessaloniki Refinery</t>
  </si>
  <si>
    <t>Mol Szazhalombatta Refinery</t>
  </si>
  <si>
    <t>Fejer</t>
  </si>
  <si>
    <t>Százhalombatta </t>
  </si>
  <si>
    <t>Pertamina Musi Refinery</t>
  </si>
  <si>
    <t>Aceh</t>
  </si>
  <si>
    <t>Lhokseumawe</t>
  </si>
  <si>
    <t>Pertamina Balongan Refinery</t>
  </si>
  <si>
    <t>Jawa Barat</t>
  </si>
  <si>
    <t>Indramayu</t>
  </si>
  <si>
    <t>Pertamina Cilacap Refinery</t>
  </si>
  <si>
    <t>Jawa Tengah</t>
  </si>
  <si>
    <t>Cilacap</t>
  </si>
  <si>
    <t>Pertamina Balikpapan Refinery</t>
  </si>
  <si>
    <t>Kalimantan Timur</t>
  </si>
  <si>
    <t>Balikpapan</t>
  </si>
  <si>
    <t>Pertamina Dumai Refinery</t>
  </si>
  <si>
    <t>Riau</t>
  </si>
  <si>
    <t>Dumai</t>
  </si>
  <si>
    <t>Pertamina Sungai Pakning Refinery</t>
  </si>
  <si>
    <t>Sumatera Selatan</t>
  </si>
  <si>
    <t>Palembang</t>
  </si>
  <si>
    <t>INOC Haditha Refinery????</t>
  </si>
  <si>
    <t>Al-Anbar</t>
  </si>
  <si>
    <t>Al Haditha</t>
  </si>
  <si>
    <t>INOC Basrah Refinery</t>
  </si>
  <si>
    <t>Al-Basrah</t>
  </si>
  <si>
    <t>Basrah</t>
  </si>
  <si>
    <t>INOC Samawah Refinery????</t>
  </si>
  <si>
    <t>Al-Muthanna</t>
  </si>
  <si>
    <t>As Samawah</t>
  </si>
  <si>
    <t>INOC Kirkuk Refinery</t>
  </si>
  <si>
    <t>As-Sulaymaniyah</t>
  </si>
  <si>
    <t>Kirkuk</t>
  </si>
  <si>
    <t>INOC Daurah Refinery</t>
  </si>
  <si>
    <t>Baghdad</t>
  </si>
  <si>
    <t>Adhamiya</t>
  </si>
  <si>
    <t>INOC Khanaqin/Alwand Refinery????</t>
  </si>
  <si>
    <t>Diyala</t>
  </si>
  <si>
    <t>Khanaqin</t>
  </si>
  <si>
    <t>INOC Baiji North Refinery</t>
  </si>
  <si>
    <t>Salah ad-Din</t>
  </si>
  <si>
    <t>Tikrit</t>
  </si>
  <si>
    <t>INOC Baiji Salahedden Refinery????</t>
  </si>
  <si>
    <t>ConocoPhillips Whitegate Refinery Ireland</t>
  </si>
  <si>
    <t>Cork</t>
  </si>
  <si>
    <t>Whitegate</t>
  </si>
  <si>
    <t>NIOC Shiraz Refinery</t>
  </si>
  <si>
    <t>East Azarbaijan</t>
  </si>
  <si>
    <t>Azarshahr</t>
  </si>
  <si>
    <t>NIOC Tabriz Refinery</t>
  </si>
  <si>
    <t>NIOC Abadan Refinery</t>
  </si>
  <si>
    <t>Khuzestan</t>
  </si>
  <si>
    <t>NIOC Arak Refinery</t>
  </si>
  <si>
    <t>Markazi</t>
  </si>
  <si>
    <t>NIOC Isfahan Refinery</t>
  </si>
  <si>
    <t>Rey</t>
  </si>
  <si>
    <t>Oil Refineries Ltd Ashdod Refinery</t>
  </si>
  <si>
    <t>HaDarom</t>
  </si>
  <si>
    <t>Ashdod</t>
  </si>
  <si>
    <t>Oil Refineries Ltd Ashqelon Refinery</t>
  </si>
  <si>
    <t>Ashkelon</t>
  </si>
  <si>
    <t>API Falconara Marittima Ancona Oil Refinery Italy</t>
  </si>
  <si>
    <t>Ancona</t>
  </si>
  <si>
    <t>Fiumesino</t>
  </si>
  <si>
    <t>Saras SPA Sarroch Oil Refinery Italy</t>
  </si>
  <si>
    <t>Cagliari</t>
  </si>
  <si>
    <t>ENI Gela Oil Refinery Italy</t>
  </si>
  <si>
    <t>Caltanissetta</t>
  </si>
  <si>
    <t>Tamoil Cremona Oil Refinery Italy</t>
  </si>
  <si>
    <t>Cremona</t>
  </si>
  <si>
    <t>Iplom Busalla Oil Refinery Italy</t>
  </si>
  <si>
    <t>Genoa</t>
  </si>
  <si>
    <t>ENI Livorno Oil Refinery Italy</t>
  </si>
  <si>
    <t>Livorno</t>
  </si>
  <si>
    <t>Leghorn</t>
  </si>
  <si>
    <t>Italiana Energia Servizi (IES) Mantua Oil Refinery Italy</t>
  </si>
  <si>
    <t>Mantua</t>
  </si>
  <si>
    <t>Frassino Industrial Estate</t>
  </si>
  <si>
    <t>ENI/Kuwait Petro Milazzo Oil Refinery Italy</t>
  </si>
  <si>
    <t>Messina</t>
  </si>
  <si>
    <t>ExxonMobil/Erg Trecate Oil Refinery Italy</t>
  </si>
  <si>
    <t>San Martino di Trecate</t>
  </si>
  <si>
    <t>ENI Sannazzaro de Burgondi Oil Refinery Italy</t>
  </si>
  <si>
    <t>Pavia</t>
  </si>
  <si>
    <t>Sannazzano</t>
  </si>
  <si>
    <t>Total/ERG Rome Oil Refinery Italy</t>
  </si>
  <si>
    <t>Rome</t>
  </si>
  <si>
    <t>ExxonMobil Augusta Oil Refinery Italy</t>
  </si>
  <si>
    <t>Syracuse</t>
  </si>
  <si>
    <t>ISAB ERG Impianti Nord Oil Refinery Italy</t>
  </si>
  <si>
    <t>ISAB ERG Impianti Sud Oil Refinery Italy</t>
  </si>
  <si>
    <t>ENI Taranto Oil Refinery Italy</t>
  </si>
  <si>
    <t>Punt Rondinella</t>
  </si>
  <si>
    <t>ENI Porto Marghera Oil Refinery Italy</t>
  </si>
  <si>
    <t>Venice</t>
  </si>
  <si>
    <t>San Giuliano</t>
  </si>
  <si>
    <t>Kazmunaigaz Atyrau Refinery</t>
  </si>
  <si>
    <t>Atyrau</t>
  </si>
  <si>
    <t>Makhambetskiy</t>
  </si>
  <si>
    <t>Kazmunaigaz Pavlodar Refinery</t>
  </si>
  <si>
    <t>Pavlodar</t>
  </si>
  <si>
    <t>Pavlodarskiy</t>
  </si>
  <si>
    <t>Kazmunaigaz Shymkent Refinery</t>
  </si>
  <si>
    <t>South Kazakhstan</t>
  </si>
  <si>
    <t>Sayramskiy</t>
  </si>
  <si>
    <t>Kenya Petroleum Mombasa Refinery</t>
  </si>
  <si>
    <t>Coast</t>
  </si>
  <si>
    <t>Mombasa</t>
  </si>
  <si>
    <t>KNPC Mina Abdullah Refinery</t>
  </si>
  <si>
    <t>Al Ahmadi</t>
  </si>
  <si>
    <t>Kuwait City</t>
  </si>
  <si>
    <t>KNPC Mina Al-Ahmadi Refinery</t>
  </si>
  <si>
    <t>KNPC Shuaiba Refinery</t>
  </si>
  <si>
    <t>NOC El-Brega Refinery</t>
  </si>
  <si>
    <t>Ajdabiya</t>
  </si>
  <si>
    <t>Marsa al Brega</t>
  </si>
  <si>
    <t>NOC Zawia Refinery</t>
  </si>
  <si>
    <t>Az Zawiyah</t>
  </si>
  <si>
    <t>Zawia</t>
  </si>
  <si>
    <t>NOC Ras Lanuf Refinery</t>
  </si>
  <si>
    <t>Surt</t>
  </si>
  <si>
    <t>Ras Lanuf</t>
  </si>
  <si>
    <t>Mazeikiu Nafta Butinge Refinery</t>
  </si>
  <si>
    <t>Klaipeda</t>
  </si>
  <si>
    <t>Palangos</t>
  </si>
  <si>
    <t>Petronas Conoco Melaka II Refinery</t>
  </si>
  <si>
    <t>Melaka</t>
  </si>
  <si>
    <t>Melaka Tengah</t>
  </si>
  <si>
    <t>Petronas Melaka I Refinery</t>
  </si>
  <si>
    <t>Esso Port Dickson Refinery</t>
  </si>
  <si>
    <t>Negeri Sembilan</t>
  </si>
  <si>
    <t>Port Dickson</t>
  </si>
  <si>
    <t>Shell Port Dickson Refinery</t>
  </si>
  <si>
    <t>Shell Lutong Refinery</t>
  </si>
  <si>
    <t>Sarawak</t>
  </si>
  <si>
    <t>Miri</t>
  </si>
  <si>
    <t>Petronas Kertih Refinery</t>
  </si>
  <si>
    <t>Terengganu</t>
  </si>
  <si>
    <t>Kemaman</t>
  </si>
  <si>
    <t>Corral Holdings Samir Sidi Kacem Refinery</t>
  </si>
  <si>
    <t>Gharb-Chrarda-Beni Hssen</t>
  </si>
  <si>
    <t>Sidi Kacem</t>
  </si>
  <si>
    <t>Corral Holdings Samir Mohammedia Refinery</t>
  </si>
  <si>
    <t>Grand Casablanca</t>
  </si>
  <si>
    <t>Sidi Bern./Moham.-Znata</t>
  </si>
  <si>
    <t>ExxonMobil Antwerp Refinery</t>
  </si>
  <si>
    <t>Zeeland</t>
  </si>
  <si>
    <t>Total/DOW Chemical Vlissingen Refinery</t>
  </si>
  <si>
    <t>Borsele</t>
  </si>
  <si>
    <t>BP ChevronTexaco Nerefco Refinery</t>
  </si>
  <si>
    <t>Zuid-Holland</t>
  </si>
  <si>
    <t>Rotterdam</t>
  </si>
  <si>
    <t>ExxonMobil Rotterdam Refinery</t>
  </si>
  <si>
    <t>PDVSA Refineria Isla Curacao Refinery</t>
  </si>
  <si>
    <t>Curacao</t>
  </si>
  <si>
    <t>Willemstad</t>
  </si>
  <si>
    <t>New Zealand Refining Company Marsden Point Refinery</t>
  </si>
  <si>
    <t>Northland</t>
  </si>
  <si>
    <t>Whangarei</t>
  </si>
  <si>
    <t>ExxonMobil Managua Refinery</t>
  </si>
  <si>
    <t>Managua</t>
  </si>
  <si>
    <t>WRPG Warri Refinery</t>
  </si>
  <si>
    <t>Delta</t>
  </si>
  <si>
    <t>Warri</t>
  </si>
  <si>
    <t>KRPC Kaduna Refinery</t>
  </si>
  <si>
    <t>Kaduna</t>
  </si>
  <si>
    <t>Chikun</t>
  </si>
  <si>
    <t>PHRC Port Harcourt Refinery</t>
  </si>
  <si>
    <t>Rivers</t>
  </si>
  <si>
    <t>Okrika</t>
  </si>
  <si>
    <t>Statoil Mongstad Crude Oil Refiery Norway</t>
  </si>
  <si>
    <t>Hordaland</t>
  </si>
  <si>
    <t>Mongstad</t>
  </si>
  <si>
    <t>ExxonMobil Slagen Refinery Norway</t>
  </si>
  <si>
    <t>Vestfold</t>
  </si>
  <si>
    <t>Slagentangen</t>
  </si>
  <si>
    <t>PARCO Mid Country (Kot Addu) Refinery Pakistan</t>
  </si>
  <si>
    <t>Punjab</t>
  </si>
  <si>
    <t>Dera Ghazi Khan</t>
  </si>
  <si>
    <t>Bosicor Pakistan Limited Karachi Refinery</t>
  </si>
  <si>
    <t>Sindh</t>
  </si>
  <si>
    <t>Karachi</t>
  </si>
  <si>
    <t>Petroleos Paraguayos</t>
  </si>
  <si>
    <t>Villa Elisa (Petropar) Refinery Paraguay</t>
  </si>
  <si>
    <t>Central</t>
  </si>
  <si>
    <t>Repsol YPF la Pampilla Refinery</t>
  </si>
  <si>
    <t>Arequipa</t>
  </si>
  <si>
    <t>Islay</t>
  </si>
  <si>
    <t>Petron Limay Refinery</t>
  </si>
  <si>
    <t>Bataan</t>
  </si>
  <si>
    <t>Limay</t>
  </si>
  <si>
    <t>Caltex(Chevron) Batangas Refinery</t>
  </si>
  <si>
    <t>Batangas</t>
  </si>
  <si>
    <t>Batangas City</t>
  </si>
  <si>
    <t>Shell Tabangao Batangas Refinery</t>
  </si>
  <si>
    <t>Rafineria Trzebinia Refinery</t>
  </si>
  <si>
    <t>malopolskie</t>
  </si>
  <si>
    <t>Olkusz</t>
  </si>
  <si>
    <t>Mazovian Refinery &amp;amp; Petrochemical Works Plock Refinery</t>
  </si>
  <si>
    <t>mazowieckie</t>
  </si>
  <si>
    <t>Plock</t>
  </si>
  <si>
    <t>Lotos Gdansk Refinery</t>
  </si>
  <si>
    <t>pomorskie</t>
  </si>
  <si>
    <t>Gdansk City</t>
  </si>
  <si>
    <t>Lotos Czechowice Refinery</t>
  </si>
  <si>
    <t>slaskie</t>
  </si>
  <si>
    <t>Pszczyna</t>
  </si>
  <si>
    <t>Galp Energia Porto Refinery</t>
  </si>
  <si>
    <t>Porto</t>
  </si>
  <si>
    <t>Matosinhos</t>
  </si>
  <si>
    <t>Galp Energia Sines Refinery</t>
  </si>
  <si>
    <t>Setubal</t>
  </si>
  <si>
    <t>NODCO Um Said Refinery</t>
  </si>
  <si>
    <t>Al Khawr</t>
  </si>
  <si>
    <t>Ad-Daẖirah</t>
  </si>
  <si>
    <t>Chinese Petroleum Corporation Kaohsiung Refinery</t>
  </si>
  <si>
    <t>Chinese Petroleum Corporation Talin Refinery</t>
  </si>
  <si>
    <t>Yunlin</t>
  </si>
  <si>
    <t>Chinese Petroleum Corporation Taoyuan Refinery</t>
  </si>
  <si>
    <t>Taipei</t>
  </si>
  <si>
    <t>Formosa Mailiao Refinery</t>
  </si>
  <si>
    <t>Changhwa</t>
  </si>
  <si>
    <t>Hanwha Energy Incheon Refinery</t>
  </si>
  <si>
    <t>Chungcheongnam-do</t>
  </si>
  <si>
    <t>Daesan-eup</t>
  </si>
  <si>
    <t>Hyundai Incheon Oil Refinery</t>
  </si>
  <si>
    <t>LG-Caltex(Chevron) Yosu Refinery</t>
  </si>
  <si>
    <t>Jeollanam-do</t>
  </si>
  <si>
    <t>S-Oil Ulsan Refinery</t>
  </si>
  <si>
    <t>Nam-gu</t>
  </si>
  <si>
    <t>SK Corp Ulsan Refinery</t>
  </si>
  <si>
    <t>Ulju-gun</t>
  </si>
  <si>
    <t>Hellenic OKTA Skopje Refinery</t>
  </si>
  <si>
    <t>Butel</t>
  </si>
  <si>
    <t>Skopje</t>
  </si>
  <si>
    <t>Petrom/OMV Arpechim Pitesti Refinery</t>
  </si>
  <si>
    <t>Arges</t>
  </si>
  <si>
    <t>Petrotel-LUKOIL Pitesti Refinery</t>
  </si>
  <si>
    <t>Rompetrol Petromidia Refinery</t>
  </si>
  <si>
    <t>Constanta</t>
  </si>
  <si>
    <t>Petrom/OMV Petrobrazi Ploiesti Refinery</t>
  </si>
  <si>
    <t>Prahova</t>
  </si>
  <si>
    <t>Brazii de Sus</t>
  </si>
  <si>
    <t>Rompetrol Vega Ploiesti Refinery</t>
  </si>
  <si>
    <t>Ploiești</t>
  </si>
  <si>
    <t>Bashneft Novo-Ufa Refinery</t>
  </si>
  <si>
    <t>Bashkortostan</t>
  </si>
  <si>
    <t>Ufimskiy rayon</t>
  </si>
  <si>
    <t>Bashneft Salavatnefteorgsintez Refinery</t>
  </si>
  <si>
    <t>Sterlitamakskiy rayon</t>
  </si>
  <si>
    <t>Bashneft Ufaneftekhim Refinery</t>
  </si>
  <si>
    <t>Blagoveshchenskiy rayon</t>
  </si>
  <si>
    <t>Yukos OAO Angarsk Petrochemical Refinery</t>
  </si>
  <si>
    <t>Irkutsk</t>
  </si>
  <si>
    <t>Angarskiy rayon</t>
  </si>
  <si>
    <t>TNK-BPL Nizhnevartovsk Refinery</t>
  </si>
  <si>
    <t>Khanty-Mansi</t>
  </si>
  <si>
    <t>Nizhnevartovskiy rayon</t>
  </si>
  <si>
    <t>LUKOIL Ukhta Refinery</t>
  </si>
  <si>
    <t>Komi</t>
  </si>
  <si>
    <t>Sosnogorskiy rayon</t>
  </si>
  <si>
    <t>Yukos OAO Achinsk Refinery</t>
  </si>
  <si>
    <t>Krasnoyarsk</t>
  </si>
  <si>
    <t>Achinskiy rayon</t>
  </si>
  <si>
    <t>Surgutneftegas Kirishi Refinery</t>
  </si>
  <si>
    <t>Leningrad</t>
  </si>
  <si>
    <t>Kirishskiy rayon</t>
  </si>
  <si>
    <t>Sibneft/Central Fuel Company Moscow Refinery</t>
  </si>
  <si>
    <t>Moskva</t>
  </si>
  <si>
    <t>Moskva gorsovet</t>
  </si>
  <si>
    <t>LUKOIL Nizhny Novgorod Refinery</t>
  </si>
  <si>
    <t>Nizhegorod</t>
  </si>
  <si>
    <t>Kstovskiy rayon</t>
  </si>
  <si>
    <t>Yukos OAO Kuibyshev Oil Refinery</t>
  </si>
  <si>
    <t>Novosibirsk</t>
  </si>
  <si>
    <t>Kuybyshevskiy rayon</t>
  </si>
  <si>
    <t>Sibneft Omsk Refinery</t>
  </si>
  <si>
    <t>Omsk</t>
  </si>
  <si>
    <t>Omskiy rayon</t>
  </si>
  <si>
    <t>TNK-BP Orsk Refinery</t>
  </si>
  <si>
    <t>Orenburg</t>
  </si>
  <si>
    <t>Gayskiy rayon</t>
  </si>
  <si>
    <t>LUKOIL Perm Refinery</t>
  </si>
  <si>
    <t>Penza</t>
  </si>
  <si>
    <t>Permskiy rayon</t>
  </si>
  <si>
    <t>TNK-BP Ryazan Refinery</t>
  </si>
  <si>
    <t>Rostov</t>
  </si>
  <si>
    <t>Ryazan</t>
  </si>
  <si>
    <t>Yukos OAO Novokuibyshevsk Refinery</t>
  </si>
  <si>
    <t>Samara</t>
  </si>
  <si>
    <t>Volzhskiy rayon</t>
  </si>
  <si>
    <t>Yukos OAO Syzran Refinery</t>
  </si>
  <si>
    <t>Syzranskiy rayon</t>
  </si>
  <si>
    <t>TNK-BPL Saratov Refinery</t>
  </si>
  <si>
    <t>Saratov</t>
  </si>
  <si>
    <t>Saratovskiy rayon</t>
  </si>
  <si>
    <t>Yukos OAO Strezhevoy Refinery</t>
  </si>
  <si>
    <t>Tomsk</t>
  </si>
  <si>
    <t>Aleksandrovskiy rayon</t>
  </si>
  <si>
    <t>LUKOIL Volgograd Refinery</t>
  </si>
  <si>
    <t>Volgograd</t>
  </si>
  <si>
    <t>Svetloyarskiy rayon</t>
  </si>
  <si>
    <t>Slavneft YaNOS Yaroslavl Refinery</t>
  </si>
  <si>
    <t>Yamal-Nenets</t>
  </si>
  <si>
    <t>Yaroslavskiy rayon</t>
  </si>
  <si>
    <t>Saudi Aramco Yanbu Refinery</t>
  </si>
  <si>
    <t>Al Madinah</t>
  </si>
  <si>
    <t>Saudi Aramco/ExxonMobil Yanbu Refinery</t>
  </si>
  <si>
    <t>Saudi Aramco Riyadh Refinery</t>
  </si>
  <si>
    <t>Ar Riyad</t>
  </si>
  <si>
    <t>AOC Khafji Refinery Saudi Arabia</t>
  </si>
  <si>
    <t>Ash Sharqiyah</t>
  </si>
  <si>
    <t>Khafji</t>
  </si>
  <si>
    <t>Saudi Aramco Ras Tanura Refinery</t>
  </si>
  <si>
    <t>Saudi Aramco/Shell Jubail Refinery</t>
  </si>
  <si>
    <t>Rabigh Saudi Aramco Refinery</t>
  </si>
  <si>
    <t>Makkah</t>
  </si>
  <si>
    <t>Saudi Aramco Jiddah Refinery</t>
  </si>
  <si>
    <t>ExxonMobil Singapore Refinery</t>
  </si>
  <si>
    <t>South West</t>
  </si>
  <si>
    <t>Shell Eastern Petroleum Singapore Pulau Bukom Refinery</t>
  </si>
  <si>
    <t>Bukom Island</t>
  </si>
  <si>
    <t>Singapore Refining Corporation Refinery</t>
  </si>
  <si>
    <t>Mol Slovnaft Bratislava Refinery</t>
  </si>
  <si>
    <t>Bratislava</t>
  </si>
  <si>
    <t>Bratislava II</t>
  </si>
  <si>
    <t>Sasol/Total Natref Sasolburg Refinery</t>
  </si>
  <si>
    <t>Free State</t>
  </si>
  <si>
    <t>Petronas Durban Refinery</t>
  </si>
  <si>
    <t>KwaZulu-Natal</t>
  </si>
  <si>
    <t>Shell BP Sapref Durban Refinery</t>
  </si>
  <si>
    <t>Caltex(ChevronTexaco) Capetown Refinery</t>
  </si>
  <si>
    <t>Western Cape</t>
  </si>
  <si>
    <t>Cape Town</t>
  </si>
  <si>
    <t>CEPSA Gibraltar Refinery</t>
  </si>
  <si>
    <t>Andalusia</t>
  </si>
  <si>
    <t>Cadiz</t>
  </si>
  <si>
    <t>CEPSA Palos de la Frontera La RÂ·bida Refinery</t>
  </si>
  <si>
    <t>Huelva</t>
  </si>
  <si>
    <t>Repsol YPF Bilbao Refinery</t>
  </si>
  <si>
    <t>Basque Country</t>
  </si>
  <si>
    <t>Vizcaya</t>
  </si>
  <si>
    <t>CEPSA Tenerife Refinery</t>
  </si>
  <si>
    <t>Canary Islands</t>
  </si>
  <si>
    <t>Las Palmas</t>
  </si>
  <si>
    <t>Repsol YPF Puertollano Refinery</t>
  </si>
  <si>
    <t>Castile-La Mancha</t>
  </si>
  <si>
    <t>Ciudad Real</t>
  </si>
  <si>
    <t>Repsol YPF Tarragona Refinery</t>
  </si>
  <si>
    <t>Catalonia</t>
  </si>
  <si>
    <t>Repsol YPF a Coruna Refinery</t>
  </si>
  <si>
    <t>Galicia</t>
  </si>
  <si>
    <t>A Coruna</t>
  </si>
  <si>
    <t>Repsol YPF Cartagena Refinery</t>
  </si>
  <si>
    <t>Murcia</t>
  </si>
  <si>
    <t>CNPC El Gily Refinery????</t>
  </si>
  <si>
    <t>Khartoum</t>
  </si>
  <si>
    <t>Northern</t>
  </si>
  <si>
    <t>CNPC Khartoum Refinery</t>
  </si>
  <si>
    <t>70 Km North of Khartoum, 13 km east of the Nile</t>
  </si>
  <si>
    <t>CNPC El Obeid Refinery</t>
  </si>
  <si>
    <t>North Kordufan</t>
  </si>
  <si>
    <t>Kordufan</t>
  </si>
  <si>
    <t>CNPC Port Sudan Refinery</t>
  </si>
  <si>
    <t>Red Sea</t>
  </si>
  <si>
    <t>Eastern</t>
  </si>
  <si>
    <t>Nyn0 s Petroleum Nynaeshamn Refinery</t>
  </si>
  <si>
    <t>Stockholm</t>
  </si>
  <si>
    <t>Nynashamn</t>
  </si>
  <si>
    <t>Preem Petroleum Gothenburg Refinery</t>
  </si>
  <si>
    <t>Vastra Gotaland</t>
  </si>
  <si>
    <t>Goteborg</t>
  </si>
  <si>
    <t>Preem Petroleum Lysekil Refinery</t>
  </si>
  <si>
    <t>Petroplus Cressier Refinery</t>
  </si>
  <si>
    <t>NeuchÃ¢tel</t>
  </si>
  <si>
    <t>Cornaux</t>
  </si>
  <si>
    <t>Tamoil Colleombery-Muraz Refinery</t>
  </si>
  <si>
    <t>Valais</t>
  </si>
  <si>
    <t>Collombey-Muraz</t>
  </si>
  <si>
    <t>ExxonMobil Sriracha Refinery</t>
  </si>
  <si>
    <t>Chon Buri</t>
  </si>
  <si>
    <t>Si Racha</t>
  </si>
  <si>
    <t>Thai Oil Co Sriracha Refinery</t>
  </si>
  <si>
    <t>Chevron Star Petroleum Map Ta Phut Refinery Thailand</t>
  </si>
  <si>
    <t>Muang Rayong</t>
  </si>
  <si>
    <t>Shell Rayong Refinery</t>
  </si>
  <si>
    <t>Petrotrin Pointe-a-Pierre Refinery</t>
  </si>
  <si>
    <t>Couva/Tabaquite/Talparo</t>
  </si>
  <si>
    <t>Pointe-a-Pierre</t>
  </si>
  <si>
    <t>Societe Tunisienne des Industries de Raffinage Bizerte Refinery</t>
  </si>
  <si>
    <t>Bizerte</t>
  </si>
  <si>
    <t>Zarzouna</t>
  </si>
  <si>
    <t>Tupras Central Anatolian Refinery</t>
  </si>
  <si>
    <t>Ankara</t>
  </si>
  <si>
    <t>Kırıkkale</t>
  </si>
  <si>
    <t>Tupras Batman Refinery</t>
  </si>
  <si>
    <t>Batman</t>
  </si>
  <si>
    <t>Batman Merkez</t>
  </si>
  <si>
    <t>Tupras Aliaga Refinery</t>
  </si>
  <si>
    <t>Izmir</t>
  </si>
  <si>
    <t>Tupras Izmit Refinery Turkey</t>
  </si>
  <si>
    <t>Kocaeli</t>
  </si>
  <si>
    <t>Korfez</t>
  </si>
  <si>
    <t>Ukrtransneft Neftekhimik Prikarpatya Nadvirna Refinery</t>
  </si>
  <si>
    <t>Kharkiv</t>
  </si>
  <si>
    <t>Nadvirnians'kyi</t>
  </si>
  <si>
    <t>Allianz Oil Kherson Refinery</t>
  </si>
  <si>
    <t>Kherson</t>
  </si>
  <si>
    <t>Bilozers'kyi</t>
  </si>
  <si>
    <t>TNK-BP LINOS Lisichansk Refinery</t>
  </si>
  <si>
    <t>Kirovohrad</t>
  </si>
  <si>
    <t>Popasnians'kyi</t>
  </si>
  <si>
    <t>Ukrtransneft Drogobych Refinery</t>
  </si>
  <si>
    <t>Drohobyts'kyi</t>
  </si>
  <si>
    <t>LUKOIL Odessa Refinery</t>
  </si>
  <si>
    <t>Odessa</t>
  </si>
  <si>
    <t>Ukrtatnafta Kremenchuk Refinery</t>
  </si>
  <si>
    <t>Poltava</t>
  </si>
  <si>
    <t>Kremenchuts'kyi</t>
  </si>
  <si>
    <t>Abu Dhabi National Oil Company Umm Al-Narr Refinery</t>
  </si>
  <si>
    <t>Abu Dhabi Oil Refining Company Al-Ruwais Refinery</t>
  </si>
  <si>
    <t>Ruwais</t>
  </si>
  <si>
    <t>Sharjah Oil Refinery</t>
  </si>
  <si>
    <t>Ajman</t>
  </si>
  <si>
    <t>Sharjah</t>
  </si>
  <si>
    <t>ENOC Jebel Ali Refinery UAE</t>
  </si>
  <si>
    <t>Dubay</t>
  </si>
  <si>
    <t>Metro Oil Fujairah Refinery</t>
  </si>
  <si>
    <t>Fujayrah</t>
  </si>
  <si>
    <t>Fujairah</t>
  </si>
  <si>
    <t>Shell Stanlow Refinery</t>
  </si>
  <si>
    <t>Cheshire</t>
  </si>
  <si>
    <t>BP Coryton Refinery</t>
  </si>
  <si>
    <t>Essex</t>
  </si>
  <si>
    <t>Thurrock</t>
  </si>
  <si>
    <t>Esso Fawley Southampton Refinery UK</t>
  </si>
  <si>
    <t>Hampshire</t>
  </si>
  <si>
    <t>Southhampton Water</t>
  </si>
  <si>
    <t>Petroplus Port Clarence Refinery</t>
  </si>
  <si>
    <t>Hartlepool</t>
  </si>
  <si>
    <t>ConocoPhillips Humber Refinery</t>
  </si>
  <si>
    <t>North Lincolnshire</t>
  </si>
  <si>
    <t>Immingham</t>
  </si>
  <si>
    <t>Total Lindsey Oil Refinery</t>
  </si>
  <si>
    <t>ChevronTexaco Pembroke Refinery</t>
  </si>
  <si>
    <t>Pembrokeshire</t>
  </si>
  <si>
    <t>Angle</t>
  </si>
  <si>
    <t>TotalFinaElf/Murco Milford Haven Refinery</t>
  </si>
  <si>
    <t>Milford Haven</t>
  </si>
  <si>
    <t>BP Grangemouth Refinery</t>
  </si>
  <si>
    <t>West Lothian</t>
  </si>
  <si>
    <t>Falkirk</t>
  </si>
  <si>
    <t>PDVSA Puerto la Cruz/El Chaure Refinery</t>
  </si>
  <si>
    <t>Anzoategui</t>
  </si>
  <si>
    <t>Sotillo</t>
  </si>
  <si>
    <t>PDVSA El Palito Refinery</t>
  </si>
  <si>
    <t>Carabobo</t>
  </si>
  <si>
    <t>El Palito</t>
  </si>
  <si>
    <t>PDVSA Amuay Refinery</t>
  </si>
  <si>
    <t>Falcon</t>
  </si>
  <si>
    <t>Los Tanques</t>
  </si>
  <si>
    <t>PDVSA Cardon Refinery</t>
  </si>
  <si>
    <t>Carirubana</t>
  </si>
  <si>
    <t xml:space="preserve">Goodway Refining LLC </t>
  </si>
  <si>
    <t>Atmore</t>
  </si>
  <si>
    <t>Hunt Refining CO</t>
  </si>
  <si>
    <t>Shell Chemical LP</t>
  </si>
  <si>
    <t>Hilcorp North Slope LLC</t>
  </si>
  <si>
    <t>Prudhoe Bay</t>
  </si>
  <si>
    <t>ConocoPhillips Alaska Inc</t>
  </si>
  <si>
    <t>Petro Star Inc</t>
  </si>
  <si>
    <t>North Pole</t>
  </si>
  <si>
    <t>Valdez</t>
  </si>
  <si>
    <t>Tesoro Alaska Company</t>
  </si>
  <si>
    <t xml:space="preserve">Cross Oil Refining &amp; Market </t>
  </si>
  <si>
    <t xml:space="preserve">Lion Oil Co </t>
  </si>
  <si>
    <t>Talley Asphalt Product Inc</t>
  </si>
  <si>
    <t>Kern</t>
  </si>
  <si>
    <t xml:space="preserve"> -   </t>
  </si>
  <si>
    <t xml:space="preserve">Valero Refining Co </t>
  </si>
  <si>
    <t xml:space="preserve">Wilmington </t>
  </si>
  <si>
    <t>California Asphalt Production Inc</t>
  </si>
  <si>
    <t>Santa Maria</t>
  </si>
  <si>
    <t>Lunday Thagard Co</t>
  </si>
  <si>
    <t>South Gate</t>
  </si>
  <si>
    <t>San Joaquin Refining Co Inc</t>
  </si>
  <si>
    <t>Kern Oil &amp; Refining CO</t>
  </si>
  <si>
    <t>Ultramar Inc</t>
  </si>
  <si>
    <t>Phillips 66 Co</t>
  </si>
  <si>
    <t>Martinez Refining Co LLC</t>
  </si>
  <si>
    <t>Torrance Refining Co LLC</t>
  </si>
  <si>
    <t>Chevron USA Inc</t>
  </si>
  <si>
    <t>Tesoro Refining &amp; Market Co</t>
  </si>
  <si>
    <t>Suncor Energy Inc</t>
  </si>
  <si>
    <t>Commerce City East</t>
  </si>
  <si>
    <t>Delaware City Refining Co LLC</t>
  </si>
  <si>
    <t>Par Hawaii Refining LLC</t>
  </si>
  <si>
    <t>PDV Midwest Refining LLC</t>
  </si>
  <si>
    <t>Marathon Petroleum Co LP</t>
  </si>
  <si>
    <t xml:space="preserve">Robinson </t>
  </si>
  <si>
    <t>ExxonMobil Refining &amp; Supply Co</t>
  </si>
  <si>
    <t>WRB Refining LP</t>
  </si>
  <si>
    <t>Countrymark Refining &amp; Logistics</t>
  </si>
  <si>
    <t>BP Product North America Inc</t>
  </si>
  <si>
    <t>CHS McPherson Refinery Inc</t>
  </si>
  <si>
    <t>Coffeyville Resources Rfg &amp; Mktg</t>
  </si>
  <si>
    <t>HollyFrontier El Dorado Refining LLC</t>
  </si>
  <si>
    <t>El Dorado Refining LLC</t>
  </si>
  <si>
    <t>Calumet Princeton Refining LLC</t>
  </si>
  <si>
    <t>Calumet Cotton Valley Refining LLC</t>
  </si>
  <si>
    <t>Cotton Valley</t>
  </si>
  <si>
    <t>Calumet Shreveport Refining LLC</t>
  </si>
  <si>
    <t>Placid Refining Co</t>
  </si>
  <si>
    <t>Port Allen</t>
  </si>
  <si>
    <t>Alon Refining Krotz Spring Inc</t>
  </si>
  <si>
    <t>Kfrotz Springs</t>
  </si>
  <si>
    <t>Valero Refining - Meraux LLC</t>
  </si>
  <si>
    <t>Meraux</t>
  </si>
  <si>
    <t>Calcasieu Refining Co</t>
  </si>
  <si>
    <t>Chalmette Refining LLC</t>
  </si>
  <si>
    <t>Chalmette</t>
  </si>
  <si>
    <t>Valero Refining New Orleans LLC</t>
  </si>
  <si>
    <t xml:space="preserve">Norco </t>
  </si>
  <si>
    <t>Shell Oil Products US</t>
  </si>
  <si>
    <t>Citgo Petroleum Corp</t>
  </si>
  <si>
    <t>St Paul Park Refining Co LLC</t>
  </si>
  <si>
    <t>Saint Paul</t>
  </si>
  <si>
    <t>Flint Hills Resources LP</t>
  </si>
  <si>
    <t>Hunt Southland Refining Co</t>
  </si>
  <si>
    <t>Sandersville</t>
  </si>
  <si>
    <t>Calumet Montana Refining LLC</t>
  </si>
  <si>
    <t>Cenex Harvest States Coop</t>
  </si>
  <si>
    <t>Foreland Refining Corp</t>
  </si>
  <si>
    <t>Ely</t>
  </si>
  <si>
    <t>Paulsboro Refining Co LLC</t>
  </si>
  <si>
    <t xml:space="preserve">Paulsboro </t>
  </si>
  <si>
    <t>HollyFrontier Navajo Refining LLC</t>
  </si>
  <si>
    <t>North Dakota</t>
  </si>
  <si>
    <t>Mandan</t>
  </si>
  <si>
    <t>Canton</t>
  </si>
  <si>
    <t>BP-Husky Refining LLC</t>
  </si>
  <si>
    <t>Toledo Refining Co LLC</t>
  </si>
  <si>
    <t>Lima Refining Co</t>
  </si>
  <si>
    <t>HollyFrontier Tulsa Refining LLC East</t>
  </si>
  <si>
    <t>Tulsa</t>
  </si>
  <si>
    <t>Wynnewood Refining Co</t>
  </si>
  <si>
    <t>Valero Refining Co Oklahoma</t>
  </si>
  <si>
    <t>HollyFrontier Tulsa Refining LLC West</t>
  </si>
  <si>
    <t>Phillips 66 Company</t>
  </si>
  <si>
    <t>American Refining Group Inc</t>
  </si>
  <si>
    <t>Bradford</t>
  </si>
  <si>
    <t>United Refining Co</t>
  </si>
  <si>
    <t>Warren</t>
  </si>
  <si>
    <t>Monroe Energy LLC</t>
  </si>
  <si>
    <t>Trainer</t>
  </si>
  <si>
    <t>Valero Ref Company Tennessee</t>
  </si>
  <si>
    <t>Lazarus Energy LLC</t>
  </si>
  <si>
    <t>Nixon</t>
  </si>
  <si>
    <t>The San Antonio Refinery LLC</t>
  </si>
  <si>
    <t>San Antonio</t>
  </si>
  <si>
    <t>Petromax Refining Co LLC</t>
  </si>
  <si>
    <t xml:space="preserve">Houston </t>
  </si>
  <si>
    <t>Hartree Channelview LLC</t>
  </si>
  <si>
    <t>Magellan Processing LP</t>
  </si>
  <si>
    <t>Buckeye Texas Processing LLC</t>
  </si>
  <si>
    <t>Alon Usa Energy Inc</t>
  </si>
  <si>
    <t xml:space="preserve">Big Spring </t>
  </si>
  <si>
    <t>Flint Hills Resources LP - Corpus Christi East</t>
  </si>
  <si>
    <t>Corpus Christi East</t>
  </si>
  <si>
    <t>Delek Refining LTD</t>
  </si>
  <si>
    <t>Tyler</t>
  </si>
  <si>
    <t>Diamond Shamrock Refining Co LP - Three Rivers</t>
  </si>
  <si>
    <t>Kinder Morgan Crude &amp; Condensate</t>
  </si>
  <si>
    <t>Galena Park</t>
  </si>
  <si>
    <t>Pasadena Refining Systems Inc</t>
  </si>
  <si>
    <t>Western refining Company LP</t>
  </si>
  <si>
    <t>El Paso</t>
  </si>
  <si>
    <t>Citgo Refining &amp; Chemical Inc</t>
  </si>
  <si>
    <t>Diamond Shamrock Refining Co LP - Sunray</t>
  </si>
  <si>
    <t>Sunray</t>
  </si>
  <si>
    <t>Valero Refining Co Texas LP - Houston</t>
  </si>
  <si>
    <t>Houston</t>
  </si>
  <si>
    <t>Valero Refining Co Texas LP - Texas City</t>
  </si>
  <si>
    <t xml:space="preserve">Texas City </t>
  </si>
  <si>
    <t>TotalEnergies Petrochem &amp; Refg USA</t>
  </si>
  <si>
    <t>Flint Hills Resources LP - Corpus Christi West</t>
  </si>
  <si>
    <t>Corpus Christi West</t>
  </si>
  <si>
    <t>Sweany</t>
  </si>
  <si>
    <t>Houston Refining LP</t>
  </si>
  <si>
    <t>Valero Refining Co Texas LP - Corpus Christi</t>
  </si>
  <si>
    <t>Coprus Christi</t>
  </si>
  <si>
    <t>Dear Park Refining LTD Partnership</t>
  </si>
  <si>
    <t>Dear Park</t>
  </si>
  <si>
    <t>ExxonMobil Refining &amp; Supply Co - Beaumont</t>
  </si>
  <si>
    <t>Beaumont</t>
  </si>
  <si>
    <t>Premcor Refining Group</t>
  </si>
  <si>
    <t>ExxonMobil Refining &amp; Supply Co - Baytown</t>
  </si>
  <si>
    <t>Galveston Bay</t>
  </si>
  <si>
    <t xml:space="preserve">Silver Eagle Refining </t>
  </si>
  <si>
    <t>Woods Cross</t>
  </si>
  <si>
    <t>Best West Oil Co</t>
  </si>
  <si>
    <t>North Salt Lake</t>
  </si>
  <si>
    <t>HollyFrontier Woods Cross Refining LLC</t>
  </si>
  <si>
    <t>US Oil &amp; Refining Co</t>
  </si>
  <si>
    <t>Tacoma</t>
  </si>
  <si>
    <t>Anacortes</t>
  </si>
  <si>
    <t>HollyFrontier Puget Sound Refg LLC</t>
  </si>
  <si>
    <t>Ergon West Virginia Inc</t>
  </si>
  <si>
    <t>Superior Refining Company LLC</t>
  </si>
  <si>
    <t>Superior</t>
  </si>
  <si>
    <t>Silver Eagle Refining</t>
  </si>
  <si>
    <t>Evanston</t>
  </si>
  <si>
    <t>Hermes Consolidated</t>
  </si>
  <si>
    <t>Sinclair Capser Refining Company</t>
  </si>
  <si>
    <t>Evansville</t>
  </si>
  <si>
    <t>Sinclair Wyoming Refining Co</t>
  </si>
  <si>
    <t>Sinclair</t>
  </si>
  <si>
    <t>Oil Sands Contacts</t>
  </si>
  <si>
    <t>Irving Oil Refinery</t>
  </si>
  <si>
    <t xml:space="preserve"> </t>
  </si>
  <si>
    <t>Utrlamar (Valero)</t>
  </si>
  <si>
    <t>Shell Fort Saskatchewan Shell</t>
  </si>
  <si>
    <t>Catlettsburg Refinery</t>
  </si>
  <si>
    <t>Suncor Energy Products Partnership - Edmonton Refinery</t>
  </si>
  <si>
    <t>Suncor Energy Products Partnership - Montreal Refinery</t>
  </si>
  <si>
    <t>Sarnia Refinery Plant</t>
  </si>
  <si>
    <t>North Atlantic Refinery</t>
  </si>
  <si>
    <t>Newfoundland &amp; Labrador</t>
  </si>
  <si>
    <t>Naticoke Refinery</t>
  </si>
  <si>
    <t>Imperial Oil Marine Terminal</t>
  </si>
  <si>
    <t>Dartmouth</t>
  </si>
  <si>
    <t>Suncor Energy Products Partnership - Sarnia Refinery</t>
  </si>
  <si>
    <t>OPTI/Nexen Long Lake</t>
  </si>
  <si>
    <t>Anzac</t>
  </si>
  <si>
    <t>Burnaby Refiner</t>
  </si>
  <si>
    <t>Husky Oil Ltd</t>
  </si>
  <si>
    <t>Moose Jaw</t>
  </si>
  <si>
    <t>Moose jaw</t>
  </si>
  <si>
    <t>Ciudad Madero Refinery</t>
  </si>
  <si>
    <t>Ciudad Madero</t>
  </si>
  <si>
    <t>Salamanca Refinery</t>
  </si>
  <si>
    <t>Guanajuato</t>
  </si>
  <si>
    <t>Tula Refinery</t>
  </si>
  <si>
    <t>Hidalgo</t>
  </si>
  <si>
    <t>Minatitlan Refinery</t>
  </si>
  <si>
    <t>Minatitlan</t>
  </si>
  <si>
    <t>Cadereyta Refinery</t>
  </si>
  <si>
    <t>Nuevo León</t>
  </si>
  <si>
    <t>Salina Cruz Refinery</t>
  </si>
  <si>
    <t>Salina Cruz</t>
  </si>
  <si>
    <t>Steel Plant Name</t>
  </si>
  <si>
    <t>Start Date</t>
  </si>
  <si>
    <t>Status</t>
  </si>
  <si>
    <t>Tonnes per Annum Steel</t>
  </si>
  <si>
    <t>Tonnes per Annum Iron</t>
  </si>
  <si>
    <t>Primary Equipment</t>
  </si>
  <si>
    <t>ETRHB Annaba steel plant</t>
  </si>
  <si>
    <t>Berrahal</t>
  </si>
  <si>
    <t>Annaba</t>
  </si>
  <si>
    <t>construction</t>
  </si>
  <si>
    <t>N/A</t>
  </si>
  <si>
    <t>EAF</t>
  </si>
  <si>
    <t>Sider El Hadjar Annaba steel plant</t>
  </si>
  <si>
    <t>Sidi Amar</t>
  </si>
  <si>
    <t>operating</t>
  </si>
  <si>
    <t>BF, EAF</t>
  </si>
  <si>
    <t>Sider El Hadjar Annaba steel plant DRI expansion</t>
  </si>
  <si>
    <t>cancelled</t>
  </si>
  <si>
    <t>DRI</t>
  </si>
  <si>
    <t>Algerian Qatari Steel Jijel plant</t>
  </si>
  <si>
    <t>El-Milia</t>
  </si>
  <si>
    <t>Jijel</t>
  </si>
  <si>
    <t>DRI, EAF</t>
  </si>
  <si>
    <t>Algerian Qatari Steel Jijel plant EAF expansion</t>
  </si>
  <si>
    <t>unknown</t>
  </si>
  <si>
    <t>announced</t>
  </si>
  <si>
    <t>Tosyali Algerie Oran steel plant</t>
  </si>
  <si>
    <t>Bethiqua</t>
  </si>
  <si>
    <t>Tosyali Algerie Oran steel plant EAF and DRI expansion</t>
  </si>
  <si>
    <t>Aceria Angola Bengo steel plant</t>
  </si>
  <si>
    <t>Barra de Dande</t>
  </si>
  <si>
    <t>Bengo</t>
  </si>
  <si>
    <t>Al-Ezz Dekheila Steel Alexandria plant</t>
  </si>
  <si>
    <t>Egyptian Steel Beni Suef plant</t>
  </si>
  <si>
    <t>Beni Suef</t>
  </si>
  <si>
    <t>Egyptian Iron &amp; Steel Company Cairo plant</t>
  </si>
  <si>
    <t>retired</t>
  </si>
  <si>
    <t>BF, BOF</t>
  </si>
  <si>
    <t>Egyptian American Steel Rolling Company Sadat City plant</t>
  </si>
  <si>
    <t>Sadat City</t>
  </si>
  <si>
    <t>Menofia</t>
  </si>
  <si>
    <t>Egyptian Sponge Iron and Steel Company Sadat City plant</t>
  </si>
  <si>
    <t>Ezz Steel Rebar Sadat City plant</t>
  </si>
  <si>
    <t>Ezz Flat Steel Ain Sokhna plant</t>
  </si>
  <si>
    <t>Ezz Flat Steel Ain Sokhna plant EAF expansion</t>
  </si>
  <si>
    <t>Suez Steel Solb Misr Attaka plant</t>
  </si>
  <si>
    <t>Attaka</t>
  </si>
  <si>
    <t>Egyptian Steel Ain Sokhna plant</t>
  </si>
  <si>
    <t>Sentuo Steel Tema plant</t>
  </si>
  <si>
    <t>Devki Steel Mills Kwale plant</t>
  </si>
  <si>
    <t>Kinango</t>
  </si>
  <si>
    <t>Kwale County</t>
  </si>
  <si>
    <t>Kenya</t>
  </si>
  <si>
    <t>Sinosteel Kenya plant</t>
  </si>
  <si>
    <t>Libyan Iron and Steel Misrata plant</t>
  </si>
  <si>
    <t>Misrata</t>
  </si>
  <si>
    <t>ArcelorMittal Sonasid Casablanca steel plant</t>
  </si>
  <si>
    <t>El Jadida</t>
  </si>
  <si>
    <t>Casablanca-Settat</t>
  </si>
  <si>
    <t>Riva Industries Jorf Lasfar steel plant</t>
  </si>
  <si>
    <t>Mahgreb Steel Casablanca plant</t>
  </si>
  <si>
    <t>Tit Mellil</t>
  </si>
  <si>
    <t>Tete Steel Maputo plant</t>
  </si>
  <si>
    <t>Bairo Coop</t>
  </si>
  <si>
    <t>Maputo</t>
  </si>
  <si>
    <t>Mozambique</t>
  </si>
  <si>
    <t>Groot Suisse Oshana steel plant</t>
  </si>
  <si>
    <t>Ongwediva</t>
  </si>
  <si>
    <t>Oshana</t>
  </si>
  <si>
    <t>Namibia</t>
  </si>
  <si>
    <t>Hyron Steel Namibia plant</t>
  </si>
  <si>
    <t>Delta Steel Company Warri plant</t>
  </si>
  <si>
    <t>Delta State</t>
  </si>
  <si>
    <t>African Natural Resources &amp; Mines Kaduna steel plant</t>
  </si>
  <si>
    <t>Kagarko</t>
  </si>
  <si>
    <t>Kaduna State</t>
  </si>
  <si>
    <t>Ajaokuta Steel plant</t>
  </si>
  <si>
    <t>Ajaokuta</t>
  </si>
  <si>
    <t>Kogi State</t>
  </si>
  <si>
    <t>ArcelorMittal Vanderbijlpark Steel Works</t>
  </si>
  <si>
    <t>Vanderbijlpark</t>
  </si>
  <si>
    <t>Gauteng</t>
  </si>
  <si>
    <t>BF, BOF, DRI</t>
  </si>
  <si>
    <t>ArcelorMittal Vanderbijlpark Steel Works transition (EAF addition)</t>
  </si>
  <si>
    <t>ArcelorMittal Vanderbijlpark Steel Works transition (BF closure phase I)</t>
  </si>
  <si>
    <t>ArcelorMittal Vanderbijlpark Steel Works transition (BF closure phase II)</t>
  </si>
  <si>
    <t>ArcelorMittal Newcastle Steel Works</t>
  </si>
  <si>
    <t>Newcastle</t>
  </si>
  <si>
    <t>Kwazulu Natal</t>
  </si>
  <si>
    <t>ArcelorMittal Newcastle Steel Works transition (EAF addition)</t>
  </si>
  <si>
    <t>ArcelorMittal Newcastle Steel Works transition (BF closure)</t>
  </si>
  <si>
    <t>Acerinox Columbus Stainless steel plant</t>
  </si>
  <si>
    <t>Mpumalanga</t>
  </si>
  <si>
    <t>ArcelorMittal Saldanha Steel Works</t>
  </si>
  <si>
    <t>Saldanha</t>
  </si>
  <si>
    <t>mothballed</t>
  </si>
  <si>
    <t>BF, DRI, EAF</t>
  </si>
  <si>
    <t>ArcelorMittal Saldanha Steel Works BF closure</t>
  </si>
  <si>
    <t>&gt;0</t>
  </si>
  <si>
    <t>BF</t>
  </si>
  <si>
    <t>Tembo Steels Iganga plant</t>
  </si>
  <si>
    <t>Iganga</t>
  </si>
  <si>
    <t>Busoga</t>
  </si>
  <si>
    <t>Uganda</t>
  </si>
  <si>
    <t>Tembo Steels Iganga plant DRI expansion</t>
  </si>
  <si>
    <t>Dinson Chivhu iron and steel plant</t>
  </si>
  <si>
    <t>Chivhu</t>
  </si>
  <si>
    <t>Mashonaland</t>
  </si>
  <si>
    <t>Zimbabwe</t>
  </si>
  <si>
    <t>Dinson Chivhu iron and steel plant EAF expansion</t>
  </si>
  <si>
    <t>BlueScope Port Kembla steel plant</t>
  </si>
  <si>
    <t>Port Kembla</t>
  </si>
  <si>
    <t>New South Wales</t>
  </si>
  <si>
    <t>GFG Liberty Sydney Steel Mill</t>
  </si>
  <si>
    <t>Rooty Hill</t>
  </si>
  <si>
    <t>GFG Liberty Steel Australia Whyalla steel plant</t>
  </si>
  <si>
    <t>Whyalla</t>
  </si>
  <si>
    <t>South Australia</t>
  </si>
  <si>
    <t>GFG Liberty Steel Australia Whyalla steel plant DRI and EAF expansion</t>
  </si>
  <si>
    <t>GFG Liberty Laverton Steel Mill</t>
  </si>
  <si>
    <t>Laverton</t>
  </si>
  <si>
    <t>BSRM Steels Chattogram plant</t>
  </si>
  <si>
    <t>Nasirabad Industrial Area</t>
  </si>
  <si>
    <t>Chattogram</t>
  </si>
  <si>
    <t>Bangladesh</t>
  </si>
  <si>
    <t>BSRM Steels expansion</t>
  </si>
  <si>
    <t>Bashundhara Steel Mirsarai plant</t>
  </si>
  <si>
    <t>Mirsarai</t>
  </si>
  <si>
    <t>Star Consortium steel plant</t>
  </si>
  <si>
    <t>GPH Steel Sitakunda plant</t>
  </si>
  <si>
    <t>Sitakunda</t>
  </si>
  <si>
    <t>Abul Khair Steel Sitakunda plant</t>
  </si>
  <si>
    <t>KSRM Sitakunda steel plant</t>
  </si>
  <si>
    <t>BSRM Steels Mirsarai plant</t>
  </si>
  <si>
    <t>Zorargonj</t>
  </si>
  <si>
    <t>China Baowu Phnom Penh steel plant</t>
  </si>
  <si>
    <t>Phnom Penh</t>
  </si>
  <si>
    <t>Cambodia</t>
  </si>
  <si>
    <t>Anhui Guihang Special Steel Co., Ltd.</t>
  </si>
  <si>
    <t>Chizhou</t>
  </si>
  <si>
    <t>Chizhou Guichi Guihang Metal Products Co., Ltd.</t>
  </si>
  <si>
    <t>Huainan Hongtai Iron and Steel Co., Ltd.</t>
  </si>
  <si>
    <t>Huainan</t>
  </si>
  <si>
    <t>Anhui Shoukuang Dachang Metal Material Co., Ltd.（phase 1)</t>
  </si>
  <si>
    <t>liuan</t>
  </si>
  <si>
    <t>Anhui Jin'an Stainless Steel Casting Co., Ltd.</t>
  </si>
  <si>
    <t>Lu'an</t>
  </si>
  <si>
    <t>Ma'anshan Iron &amp; Steel Co., Ltd.</t>
  </si>
  <si>
    <t>Ma'anshan</t>
  </si>
  <si>
    <t>BF, BOF, EAF</t>
  </si>
  <si>
    <t>Ma'anshan Iron &amp; Steel Co., Ltd. BOF expansion</t>
  </si>
  <si>
    <t>BOF</t>
  </si>
  <si>
    <t>Anhui Changjiang Steel Co., Ltd.</t>
  </si>
  <si>
    <t>Tongling Fuxin Iron and Steel Co., Ltd.</t>
  </si>
  <si>
    <t>Tongling</t>
  </si>
  <si>
    <t>Tongling Xuanli Special Steel Co., Ltd.</t>
  </si>
  <si>
    <t>Wuhu Xinxing Ductile Iron Pipes Co., Ltd.</t>
  </si>
  <si>
    <t>Wuhu</t>
  </si>
  <si>
    <t>Wuhu Fuxin Iron and Steel Co., Ltd.</t>
  </si>
  <si>
    <t>Anhui Langxi Hongtai Iron and Steel Co., Ltd.</t>
  </si>
  <si>
    <t>Xuancheng</t>
  </si>
  <si>
    <t>Anhui Langxi Hongtai Iron and Steel Co., Ltd. EAF expansion</t>
  </si>
  <si>
    <t>Anhui Jingxian Longxin Iron and Steel Co., Ltd.</t>
  </si>
  <si>
    <t>Anhui Jingxian Longxin Iron and Steel Co., Ltd. EAF expansion</t>
  </si>
  <si>
    <t>Chongqing Iron &amp; Steel Co., Ltd.</t>
  </si>
  <si>
    <t>Changshou</t>
  </si>
  <si>
    <t>Chongqing</t>
  </si>
  <si>
    <t>Sichuan Desheng Group Vanadium and Titanium Co., Ltd.</t>
  </si>
  <si>
    <t>Leshan</t>
  </si>
  <si>
    <t>Sichuan Desheng Group Vanadium and Titanium Co., Ltd. BF expansion</t>
  </si>
  <si>
    <t>Chongqing Zuhang Iron &amp; Steel Co., Ltd</t>
  </si>
  <si>
    <t>Shuangqiao</t>
  </si>
  <si>
    <t>Chongqing Zuhang Iron &amp; Steel Co., Ltd EAF expansion</t>
  </si>
  <si>
    <t>Chongqing Yonghang Steel Group Co., Ltd.</t>
  </si>
  <si>
    <t>Yanjia</t>
  </si>
  <si>
    <t>Fujian Yixin Steel Co., Ltd.</t>
  </si>
  <si>
    <t>Fuzhou</t>
  </si>
  <si>
    <t>Fujian</t>
  </si>
  <si>
    <t>Fujian Yixin Steel Co., Ltd. BF and BOF expansion</t>
  </si>
  <si>
    <t>Fujian Luoyuan Minguang Iron and Steel Co., Ltd.</t>
  </si>
  <si>
    <t>Fujian Luoyuan Minguang Iron and Steel Co., Ltd. BOF (110t) expansion</t>
  </si>
  <si>
    <t>Fujian Luoyuan Minguang Iron and Steel Co., Ltd. BF (1280m3) expansion</t>
  </si>
  <si>
    <t>Fujian Luoyuan Minguang Iron and Steel Co., Ltd. BF (1250m3) expansion</t>
  </si>
  <si>
    <t>Fujian Luoyuan Minguang Iron and Steel Co., Ltd. BOF (120t) expansion</t>
  </si>
  <si>
    <t>Fujian Wuhang Stainless Steel Products Co., Ltd.</t>
  </si>
  <si>
    <t>Baosteel Desheng Stainless Steel Co., Ltd.</t>
  </si>
  <si>
    <t>Baosteel Desheng Stainless Steel Co., Ltd. BF and BOF expansion</t>
  </si>
  <si>
    <t>Fujian Dadonghai Industrial Group Co., Ltd.</t>
  </si>
  <si>
    <t>Fujian Dadonghai Industrial Group Co., Ltd. BF and BOF expansion</t>
  </si>
  <si>
    <t>Fujian Dadonghai Industrial Group Co., Ltd. BOF expansion</t>
  </si>
  <si>
    <t>Fuzhou Wuhang Steel Products Co., Ltd.</t>
  </si>
  <si>
    <t>Fujian Longgang New Materials Co., Ltd.</t>
  </si>
  <si>
    <t>Longyan</t>
  </si>
  <si>
    <t>Fujian Tsingtuo Nickel Industry Co., Ltd.</t>
  </si>
  <si>
    <t>Ningde</t>
  </si>
  <si>
    <t>Fujian Dingxin Industrial Co., Ltd.</t>
  </si>
  <si>
    <t>Fujian Dingsheng Iron and Steel Co., Ltd</t>
  </si>
  <si>
    <t>Fujian Dingsheng Iron and Steel Co., Ltd BF expansion</t>
  </si>
  <si>
    <t>Fujian Qingtuo New Material Co., Ltd.</t>
  </si>
  <si>
    <t>Fujian Fuhua New Materials Group Co., Ltd.</t>
  </si>
  <si>
    <t>Fujian Fuhua New Materials Group Co., Ltd. EAF expansion</t>
  </si>
  <si>
    <t>Fujian Quanzhou Minguang Iron and Steel Co., Ltd.</t>
  </si>
  <si>
    <t>Quanzhou</t>
  </si>
  <si>
    <t>Fujian Quanzhou Minguang Iron and Steel Co., Ltd. BOF expansion</t>
  </si>
  <si>
    <t>Sansteel Minguang Co., Ltd. Fujian</t>
  </si>
  <si>
    <t>Sanming</t>
  </si>
  <si>
    <t>Sansteel Minguang Co., Ltd. Fujian BF expansion</t>
  </si>
  <si>
    <t>Fujian Sanbao Steel Co., Ltd.</t>
  </si>
  <si>
    <t>Zhangzhou</t>
  </si>
  <si>
    <t>Fujian Sanbao Steel Co., Ltd. EAF expansion</t>
  </si>
  <si>
    <t>Fujian Fuxin Special Steel Co., Ltd.</t>
  </si>
  <si>
    <t>Gansu Jiu Steel Group Hongxing Iron and Steel Co., Ltd.</t>
  </si>
  <si>
    <t>Jiayuguan</t>
  </si>
  <si>
    <t>Gansu Jiu Steel Group Hongxing Iron and Steel Co., Ltd. BF expansion</t>
  </si>
  <si>
    <t>Jiugang Group Yuzhong Iron &amp; Steel Co., Ltd.</t>
  </si>
  <si>
    <t>Lanxin Steel Group Co., Ltd.</t>
  </si>
  <si>
    <t>Lanxin Steel Group Co., Ltd. BF expansion</t>
  </si>
  <si>
    <t>Angang Lianzhong Stainless Steel Co., Ltd.</t>
  </si>
  <si>
    <t>Guangzhou</t>
  </si>
  <si>
    <t>Heyuan Derun Steel Co., Ltd.</t>
  </si>
  <si>
    <t>Heyuan</t>
  </si>
  <si>
    <t>Heyuan Derun Steel Co., Ltd. EAF expansion</t>
  </si>
  <si>
    <t>Heping Yueshen Steel Industry Co., Ltd.</t>
  </si>
  <si>
    <t>Guangdong Jingye Iron and Steel Co., Ltd.</t>
  </si>
  <si>
    <t>Jieyang</t>
  </si>
  <si>
    <t>SGIS Songshan Co.,Ltd.</t>
  </si>
  <si>
    <t>Shaoguan</t>
  </si>
  <si>
    <t>Guangdong Guangqing Metal Technology Co., Ltd.</t>
  </si>
  <si>
    <t>Yangjiang</t>
  </si>
  <si>
    <t>Yangchun New Steel Co., Ltd.</t>
  </si>
  <si>
    <t>GuangDong Xinxing Ductile Iron Pipes Co., Ltd.</t>
  </si>
  <si>
    <t>Guangdong Yuebei United Steel Co., Ltd.</t>
  </si>
  <si>
    <t>Yingde</t>
  </si>
  <si>
    <t>Guangdong Jinshenglan Metallurgical Technology Co., Ltd.</t>
  </si>
  <si>
    <t>Yunfu</t>
  </si>
  <si>
    <t>Guangdong Jinshenglan Metallurgical Technology Co., Ltd. EAF expansion</t>
  </si>
  <si>
    <t>Guangdong Nanfang Donghai Iron and Steel Co., Ltd.</t>
  </si>
  <si>
    <t>Baosteel Zhanjiang Iron &amp; Steel Co., Ltd.</t>
  </si>
  <si>
    <t>Zhanjiang</t>
  </si>
  <si>
    <t>Baosteel Zhanjiang Iron &amp; Steel Co., Ltd. DRI expansion</t>
  </si>
  <si>
    <t>Zhuhai Yueyufeng Iron &amp; Steel Co., Ltd.</t>
  </si>
  <si>
    <t>Zhuhai</t>
  </si>
  <si>
    <t>Guangxi Beigang New Material Co., Ltd.</t>
  </si>
  <si>
    <t>Guangxi</t>
  </si>
  <si>
    <t>Guangxi Shenglong Metallurgical Co., Ltd.</t>
  </si>
  <si>
    <t>Fangchenggang</t>
  </si>
  <si>
    <t>Guangxi Shenglong Metallurgical Co., Ltd. BF and BOF expansion</t>
  </si>
  <si>
    <t>Guangxi Iron and Steel Group Co., Ltd.</t>
  </si>
  <si>
    <t>Guangxi Iron and Steel Group Co., Ltd. (phase 3) BF and BOF expansion</t>
  </si>
  <si>
    <t>Fangchenggang Jinxi Steel Technology Co., Ltd.</t>
  </si>
  <si>
    <t>Guangxi Guigang Iron and Steel Group Co., Ltd.</t>
  </si>
  <si>
    <t>Guigang</t>
  </si>
  <si>
    <t>Guangxi Guigang Iron and Steel Group Co., Ltd. BF expansion</t>
  </si>
  <si>
    <t>Guangxi Guigang Iron and Steel Group Guigang Guibao Special Steel Co., Ltd.</t>
  </si>
  <si>
    <t>Guilin Pinggang Iron and Steel Co., Ltd.</t>
  </si>
  <si>
    <t>Guilin</t>
  </si>
  <si>
    <t>Guangxi Guixin Iron and Steel Group Co., Ltd.</t>
  </si>
  <si>
    <t>Hezhou</t>
  </si>
  <si>
    <t>Hezhou Zhaoxin Hardware Products Co., Ltd.</t>
  </si>
  <si>
    <t>Guangxi Guifeng Special Steel Co., Ltd.</t>
  </si>
  <si>
    <t>Hezhou Xindu Sanyuan Casting Co., Ltd.</t>
  </si>
  <si>
    <t>Guangxi Hezhou Kexinda Metal Products Co., Ltd.</t>
  </si>
  <si>
    <t>Liuzhou Iron &amp; Steel Co., Ltd.(Liuzhou Base）</t>
  </si>
  <si>
    <t>Liuzhou</t>
  </si>
  <si>
    <t>Guangxi Longzhou Zhongheng Wanhua Industrial Co., Ltd.</t>
  </si>
  <si>
    <t>Longzhou</t>
  </si>
  <si>
    <t>Guangxi Deyuan Metallurgy Co., Ltd.</t>
  </si>
  <si>
    <t>Nanning</t>
  </si>
  <si>
    <t>Wuzhou Yongda Iron and Steel Co., Ltd.</t>
  </si>
  <si>
    <t>Wuzhou</t>
  </si>
  <si>
    <t>Wuzhou Yongda Special Steel Co., Ltd.</t>
  </si>
  <si>
    <t>Guangxi Wuzhou Jinhai Stainless Steel Co., Ltd.</t>
  </si>
  <si>
    <t>Guangxi Chiji Iron and Steel Co., Ltd.</t>
  </si>
  <si>
    <t>other</t>
  </si>
  <si>
    <t>Guangxi Liugang Zhongjin Stainless Steel Co., Ltd.</t>
  </si>
  <si>
    <t>Yulin</t>
  </si>
  <si>
    <t>Guangxi Liugang Zhongjin Stainless Steel Co., Ltd. BF expansion</t>
  </si>
  <si>
    <t>Shougang Guiyang Special Steel Co., Ltd.</t>
  </si>
  <si>
    <t>Guiyang</t>
  </si>
  <si>
    <t>Guizhou</t>
  </si>
  <si>
    <t>Shougang Shuicheng Iron and Steel (Group) Co., Ltd.</t>
  </si>
  <si>
    <t>Liupanshui</t>
  </si>
  <si>
    <t>Guizhou Hexing Metal Products Co., Ltd.</t>
  </si>
  <si>
    <t>Qiandongnan</t>
  </si>
  <si>
    <t>Guizhou Hexing Metal Products Co., Ltd. EAF expansion</t>
  </si>
  <si>
    <t>Guizhou Juxin Iron and Steel (Group) Co., Ltd.</t>
  </si>
  <si>
    <t>Xingyi</t>
  </si>
  <si>
    <t>Guizhou Juxin Iron and Steel (Group) Co., Ltd. EAF expansion</t>
  </si>
  <si>
    <t>Guizhou United Iron and Steel (Group) Co., Ltd.</t>
  </si>
  <si>
    <t>Zunyi</t>
  </si>
  <si>
    <t>Guizhou Ganglian Industrial Group Co., Ltd.</t>
  </si>
  <si>
    <t>Zunyi Fuxin Special Steel Equipment Manufacturing Co., Ltd.</t>
  </si>
  <si>
    <t>Zunyi Fuxin Special Steel Equipment Manufacturing Co., Ltd. EAF expansion</t>
  </si>
  <si>
    <t>Zunyi Changling Special Steel Co., Ltd.</t>
  </si>
  <si>
    <t>Zunyi Changling Special Steel Co., Ltd. EAF expansion</t>
  </si>
  <si>
    <t>Cangzhou Lingang Sanling Metal Co., Ltd.</t>
  </si>
  <si>
    <t>Cangzhou Lingang Sanling Metal Co., Ltd. EAF expansion</t>
  </si>
  <si>
    <t>Chengde Iron and Steel Group Co., Ltd.</t>
  </si>
  <si>
    <t>Chengde</t>
  </si>
  <si>
    <t>Chengde Jianlong Special Steel Co., Ltd.</t>
  </si>
  <si>
    <t>Chengde Jianlong Special Steel Co., Ltd. BF expansion</t>
  </si>
  <si>
    <t>Chengde Jianlong Special Steel Co., Ltd. BOF expansion</t>
  </si>
  <si>
    <t>Chengde Zhaofeng Steel Group Co., Ltd.</t>
  </si>
  <si>
    <t>Chengde Shengfeng Iron and Steel Co., Ltd.</t>
  </si>
  <si>
    <t>Hebei Xinxing Ductile Iron Pipes Co., Ltd.</t>
  </si>
  <si>
    <t>Handan</t>
  </si>
  <si>
    <t>Handan Iron and Steel Group Co., Ltd.</t>
  </si>
  <si>
    <t>Hebei Puyang Iron and Steel Co., Ltd.</t>
  </si>
  <si>
    <t>Hebei Puyang Iron and Steel Co., Ltd. BF and BOF expansion</t>
  </si>
  <si>
    <t>Hebei Puyang Iron and Steel Co., Ltd. BF, BOF and EAF expansion</t>
  </si>
  <si>
    <t>Wu'an Yuhua Iron and Steel Co., Ltd.</t>
  </si>
  <si>
    <t>Hebei Wenfeng Iron and Steel Co., Ltd.</t>
  </si>
  <si>
    <t>Zhongpu (Handan) Iron and Steel Co., Ltd.</t>
  </si>
  <si>
    <t>Hebei Xinwu'an Iron and Steel Group Xinhui Metallurgy Co., Ltd.</t>
  </si>
  <si>
    <t>Hebei Xinwu'an Iron and Steel Group Xinhui Metallurgy Co., Ltd. EAF expansion</t>
  </si>
  <si>
    <t>Hebei Yongyang Special Steel Group Co., Ltd.</t>
  </si>
  <si>
    <t>Hebei Yongyang Special Steel Group Co., Ltd. BF and EAF expansion</t>
  </si>
  <si>
    <t>Jinding Heavy Industry Co., Ltd.</t>
  </si>
  <si>
    <t>Hebei Xin Wu'an Steel Group Wen'an Iron and Steel Co., Ltd.</t>
  </si>
  <si>
    <t>Hebei Xin Wu'an Steel Group Wen'an Iron and Steel Co., Ltd. BF and BOF expansion</t>
  </si>
  <si>
    <t>Wu'an Mingfang Iron and Steel Co., Ltd.</t>
  </si>
  <si>
    <t>Hebei Baoxin Iron and Steel Group Co., Ltd.</t>
  </si>
  <si>
    <t>Hebei Xin Wu'an Steel Group Hongrong Iron and Steel Co., Ltd.</t>
  </si>
  <si>
    <t>Hebei Xin Wu'an Steel Group Hongrong Iron and Steel Co., Ltd. BF expansion</t>
  </si>
  <si>
    <t>Hebei Xinjin Iron and Steel Co., Ltd.</t>
  </si>
  <si>
    <t>Hebei Xinjin Iron and Steel Co., Ltd. BF expansion</t>
  </si>
  <si>
    <t>Hebei Xinghua Iron and Steel Co., Ltd.</t>
  </si>
  <si>
    <t>Hebei Mingbin Iron and Steel Co., Ltd.</t>
  </si>
  <si>
    <t>Hebei Taihang Iron and Steel Group Co., Ltd.</t>
  </si>
  <si>
    <t>Hebei Taihang Iron and Steel Group Co., Ltd. BOF expansion</t>
  </si>
  <si>
    <t>Hebei Taihang Iron and Steel Group Co., Ltd. BF and BOF expansion</t>
  </si>
  <si>
    <t>Hangang Longshan Iron and Steel Co., Ltd.</t>
  </si>
  <si>
    <t>Hebei Longfengshan Casting Co., Ltd.</t>
  </si>
  <si>
    <t>Jinan Iron &amp; Steel Group Co., Ltd.(phase1)</t>
  </si>
  <si>
    <t>Jinan Iron &amp; Steel Group Co., Ltd.(phase2) BF and BOF expansion</t>
  </si>
  <si>
    <t>Hebei Huaxin Special Steel Co., Ltd.</t>
  </si>
  <si>
    <t>Cangzhou China Railway Equipment Manufacture Material Co., Ltd.</t>
  </si>
  <si>
    <t>Huanghua</t>
  </si>
  <si>
    <t>Langfang Guangyuan Metalwork Co., Ltd.</t>
  </si>
  <si>
    <t>Langfang</t>
  </si>
  <si>
    <t>Tangshan Guotang Steel Co., Ltd.（phase 1)</t>
  </si>
  <si>
    <t>Laoting</t>
  </si>
  <si>
    <t>Tangshan Guotang Steel Co., Ltd. (phase 2) BF and BOF expansion</t>
  </si>
  <si>
    <t>Qinhuangdao Hongxing Iron and Steel Co., Ltd.</t>
  </si>
  <si>
    <t>Qinhuangdao</t>
  </si>
  <si>
    <t>Qinhuangdao Hongxing Iron and Steel Co., Ltd. BF and BOF expansion</t>
  </si>
  <si>
    <t>Qinhuangdao Baigong Steel Co., Ltd.</t>
  </si>
  <si>
    <t>Qinhuangdao Baigong Steel Co., Ltd. BOF and EAF expansion</t>
  </si>
  <si>
    <t>BOF, EAF</t>
  </si>
  <si>
    <t>Hebei Anfeng Iron &amp; Steel Co., Ltd.</t>
  </si>
  <si>
    <t>Shijiazhuang Iron &amp; Steel Co., Ltd.</t>
  </si>
  <si>
    <t>Shijiazhuang</t>
  </si>
  <si>
    <t>Jingye Iron and Steel Co., Ltd.</t>
  </si>
  <si>
    <t>Jingye Iron and Steel Co., Ltd. BF expansion B</t>
  </si>
  <si>
    <t>Jingye Iron and Steel Co., Ltd. BF expansion C</t>
  </si>
  <si>
    <t>Jingye Iron and Steel Co., Ltd. BOF expansion</t>
  </si>
  <si>
    <t>Xinji Aosen Iron and Steel Group Co., Ltd.</t>
  </si>
  <si>
    <t>Xinji Aosen Iron and Steel Group Co., Ltd. BF expansion</t>
  </si>
  <si>
    <t>Shijiazhuang Iron and Steel Co., Ltd. (Special Steel Branch )</t>
  </si>
  <si>
    <t>Qian'an Zhayi Steel Group Co., Ltd.</t>
  </si>
  <si>
    <t>Tangshan</t>
  </si>
  <si>
    <t>Qian'an Zhayi Steel Group Co., Ltd. EAF expansion</t>
  </si>
  <si>
    <t>Tangshan Iron and Steel Group Co., Ltd.</t>
  </si>
  <si>
    <t>Shougang Jingtang United Iron &amp; Steel Co Ltd</t>
  </si>
  <si>
    <t>Shougang Qian'an Iron and Steel Co., Ltd.</t>
  </si>
  <si>
    <t>Tangshan Donghua Iron &amp; Steel Enterprise Group Co., Ltd.</t>
  </si>
  <si>
    <t>Tangshan Donghua Iron &amp; Steel Enterprise Group Co., Ltd. BF BOF and EAF expansion</t>
  </si>
  <si>
    <t>Tangshan Ruifeng Iron and Steel (Group) Co., Ltd.</t>
  </si>
  <si>
    <t>Tangshan Ruifeng Iron and Steel (Group) Co., Ltd. BF and BOF expansion</t>
  </si>
  <si>
    <t>Qian'an Jiujiang Wire Co., Ltd.</t>
  </si>
  <si>
    <t>Qian'an Jiujiang Wire Co., Ltd. BF and EAF expansion</t>
  </si>
  <si>
    <t>Hebei Yanshan Iron and Steel Group Co., Ltd.</t>
  </si>
  <si>
    <t>Hebei Yanshan Iron and Steel Group Co., Ltd. EAF expansion</t>
  </si>
  <si>
    <t>Tangshan Songting Iron &amp; Steel Co., Ltd.</t>
  </si>
  <si>
    <t>Tangshan Songting Iron &amp; Steel Co., Ltd. BF expansion</t>
  </si>
  <si>
    <t>Hebei Jinxi Iron &amp; Steel Group Co., Ltd.</t>
  </si>
  <si>
    <t>Tangshan Ganglu Iron and Steel Co., Ltd.</t>
  </si>
  <si>
    <t>Tangshan Ganglu Iron and Steel Co., Ltd. BF and BOF expansion</t>
  </si>
  <si>
    <t>Tangshan Ganglu Iron and Steel Co., Ltd. BF expansion</t>
  </si>
  <si>
    <t>Hebei Donghai Special Steel Co., Ltd.</t>
  </si>
  <si>
    <t>Tangshan Delong Iron &amp; Steel Co., Ltd.</t>
  </si>
  <si>
    <t>Tangshan Jianlong Special Steel Co., Ltd.</t>
  </si>
  <si>
    <t>Tangshan Stainless Steel Co., Ltd.</t>
  </si>
  <si>
    <t>Tangshan Medium Thick Plate Co., Ltd.</t>
  </si>
  <si>
    <t>Tangshan Fengnan District Jing'an Iron and Steel Co., Ltd.</t>
  </si>
  <si>
    <t>Tangshan Fengnan District Jing'an Iron and Steel Co., Ltd. BOF expansion</t>
  </si>
  <si>
    <t>Tangshan Xinbaotai Iron and Steel Co., Ltd.</t>
  </si>
  <si>
    <t>Tangshan Xinglong Iron and Steel Co., Ltd.</t>
  </si>
  <si>
    <t>Tangshan Xinglong Iron and Steel Co., Ltd. EAF expansion</t>
  </si>
  <si>
    <t>Tangshan Jinma Steel Group Co., Ltd.</t>
  </si>
  <si>
    <t>Hebei Xinda Iron and Steel Group Co., Ltd.</t>
  </si>
  <si>
    <t>Hebei Xinda Iron and Steel Group Co., Ltd. BF and BOF expansion</t>
  </si>
  <si>
    <t>Tangshan Fengnan Kaiheng Iron and Steel Co., Ltd.</t>
  </si>
  <si>
    <t>Tangshan Guoyi Special Type Iron and Steel Co., Ltd.</t>
  </si>
  <si>
    <t>Hebei Rongxin Steel Co., Ltd.</t>
  </si>
  <si>
    <t>Hebei Rongxin Steel Co., Ltd. BF and BOF expansion</t>
  </si>
  <si>
    <t>Tangshan Donghai Iron and Steel Group Co., Ltd.</t>
  </si>
  <si>
    <t>Tangshan Donghai Iron and Steel Group Co., Ltd. BF expansion</t>
  </si>
  <si>
    <t>Tangshan Chunxing Special Steel Co., Ltd.</t>
  </si>
  <si>
    <t>Tangshan Wenfeng Special Steel Co., Ltd.</t>
  </si>
  <si>
    <t>BF, BOF, DRI, EAF</t>
  </si>
  <si>
    <t>Hebei Tianzhu Iron and Steel Group Co., Ltd.</t>
  </si>
  <si>
    <t>Hebei Tangyin Iron and Steel Co., Ltd.</t>
  </si>
  <si>
    <t>Hebei Huaxi Iron and Steel Co., Ltd.</t>
  </si>
  <si>
    <t>Hebei Zongheng Group Fengnan Iron &amp; Steel Co., Ltd.</t>
  </si>
  <si>
    <t>Hebei Zongheng Group Fengnan Iron &amp; Steel Co., Ltd. BF and BOF expansion</t>
  </si>
  <si>
    <t>Hbis Laoting Steel Co., Ltd.</t>
  </si>
  <si>
    <t>Hebei Huaxi Special Steel Co., Ltd.</t>
  </si>
  <si>
    <t>Hebei Tianzhu Iron and Steel Group Special Steel Co., Ltd.</t>
  </si>
  <si>
    <t>Hebei Tangyin Iron and Steel Co., Ltd.（Caofeidian)</t>
  </si>
  <si>
    <t>Tangshan Yutian Jinzhou Industrial Co., Ltd.</t>
  </si>
  <si>
    <t>Tangshan Zhengfeng Steel Co., Ltd.</t>
  </si>
  <si>
    <t>Xingtai Iron &amp; Steel Co., Ltd.</t>
  </si>
  <si>
    <t>Xingtai</t>
  </si>
  <si>
    <t>Xingtai Iron &amp; Steel Co., Ltd. EAF expansion</t>
  </si>
  <si>
    <t>Xingtai Iron &amp; Steel Co., Ltd. SR expansion</t>
  </si>
  <si>
    <t>Delong Steel Co., Ltd.</t>
  </si>
  <si>
    <t>Xuanhua Iron and Steel Group Co., Ltd.</t>
  </si>
  <si>
    <t>Zhangjiakou</t>
  </si>
  <si>
    <t>Hebei Zhangxuan High Tech Co., Ltd.</t>
  </si>
  <si>
    <t>Hebei Zhangxuan High Tech Co., Ltd. DRI</t>
  </si>
  <si>
    <t>Jianglong Acheng Iron &amp; Steel Co., Ltd.</t>
  </si>
  <si>
    <t>Harbin</t>
  </si>
  <si>
    <t>Jianlong Beiman Special Steel Co., Ltd.</t>
  </si>
  <si>
    <t>Qiqihar</t>
  </si>
  <si>
    <t>Heilongjiang Jianlong Iron and Steel Co., Ltd.</t>
  </si>
  <si>
    <t>Shuangyashan</t>
  </si>
  <si>
    <t>Jianlong Xilin Iron and Steel Co., Ltd.</t>
  </si>
  <si>
    <t>Yichun</t>
  </si>
  <si>
    <t>Anyang Iron &amp; Steel Co., Ltd.</t>
  </si>
  <si>
    <t>Anyang</t>
  </si>
  <si>
    <t>Wuyang Iron and Steel Co., Ltd.</t>
  </si>
  <si>
    <t>Shagang Group Anyang Yongxing Special Steel Co., Ltd.</t>
  </si>
  <si>
    <t>Anyang Xinpu Steel Co., Ltd.</t>
  </si>
  <si>
    <t>Henan Yaxin Iron and Steel Group Co., Ltd.</t>
  </si>
  <si>
    <t>Anyang Huixin Special Steel Co., Ltd.</t>
  </si>
  <si>
    <t>Henan Xinjinhui Stainless Steel Industry Co., Ltd.</t>
  </si>
  <si>
    <t>Changge</t>
  </si>
  <si>
    <t>Henan Changtai Stainless Steel Plate Co., Ltd.</t>
  </si>
  <si>
    <t>Gongyi</t>
  </si>
  <si>
    <t>Henan Jiyuan Iron &amp; Steel (Group) Co., Ltd.</t>
  </si>
  <si>
    <t>Jiyuan</t>
  </si>
  <si>
    <t>Henan Jiyuan Iron &amp; Steel (Group) Co., Ltd. BF expansion</t>
  </si>
  <si>
    <t>Henan Jiyuan Iron &amp; Steel (Group) Co., Ltd. BF, BOF and EAF expansion</t>
  </si>
  <si>
    <t>Henan Fengbao Special Steel Co., Ltd.</t>
  </si>
  <si>
    <t>Linzhou</t>
  </si>
  <si>
    <t>Henan Fengbao Special Steel Co., Ltd. BF expansion</t>
  </si>
  <si>
    <t>Linzhou Iron and Steel Co., Ltd.</t>
  </si>
  <si>
    <t>Luoyang Luogang Group of Steel and Iron Co., Ltd.</t>
  </si>
  <si>
    <t>Nanyang Hanye Special Steel Co., Ltd.</t>
  </si>
  <si>
    <t>Nanyang</t>
  </si>
  <si>
    <t>Wugang Zhongjia Iron &amp; Steel Co., Ltd.</t>
  </si>
  <si>
    <t>Wugang</t>
  </si>
  <si>
    <t>Angang Group Xinyang Iron and Steel Co., Ltd.</t>
  </si>
  <si>
    <t>Xinyang</t>
  </si>
  <si>
    <t>Angang Group Xinyang Iron and Steel Co., Ltd. BF expansion</t>
  </si>
  <si>
    <t>Minyuan Iron and Steel Group Co., Ltd.</t>
  </si>
  <si>
    <t>Yongcheng</t>
  </si>
  <si>
    <t>Minyuan Iron and Steel Group Co., Ltd. equipment upgrade</t>
  </si>
  <si>
    <t>Zhengzhou Yongtong Special Steel Co., Ltd.</t>
  </si>
  <si>
    <t>Zhengzhou</t>
  </si>
  <si>
    <t>Henan Angang Zhoukou Iron and Steel Co., Ltd.</t>
  </si>
  <si>
    <t>Zhoukou</t>
  </si>
  <si>
    <t>Baowu Group Echeng Iron and Steel Co., Ltd.</t>
  </si>
  <si>
    <t>Ezhou</t>
  </si>
  <si>
    <t>Baowu Group Echeng Iron and Steel Co., Ltd. BOF expansion</t>
  </si>
  <si>
    <t>Ezhou Hongtai Steel Co., Ltd.</t>
  </si>
  <si>
    <t>Ezhou Hongtai Steel Co., Ltd. EAF expansion</t>
  </si>
  <si>
    <t>Hubei Wucheng Iron and Steel Group Co., Ltd.</t>
  </si>
  <si>
    <t>Daye Special Steel Co., Ltd.</t>
  </si>
  <si>
    <t>Huangshi</t>
  </si>
  <si>
    <t>Daye Special Steel Co., Ltd. BF expansion</t>
  </si>
  <si>
    <t>Daye Special Steel Co., Ltd. EAF expansion</t>
  </si>
  <si>
    <t>Daye Xinye Special Steel Co., Ltd.</t>
  </si>
  <si>
    <t>Daye Huaxin Industrial Co., Ltd.</t>
  </si>
  <si>
    <t>Daye Huaxin Industrial Co., Ltd. BOF expansion</t>
  </si>
  <si>
    <t>Huangshi Xingang Heavy Industry Technology Co., Ltd.</t>
  </si>
  <si>
    <t>Jingzhou Qunli Metal Products Co., Ltd.</t>
  </si>
  <si>
    <t>Jingzhou</t>
  </si>
  <si>
    <t>Shiyan Fuyan Iron and Steel Co., Ltd.</t>
  </si>
  <si>
    <t>Shiyan</t>
  </si>
  <si>
    <t>Shiyan Yunyang District Rongfeng Iron &amp; Steel Co., Ltd.</t>
  </si>
  <si>
    <t>Guangshui Huaxin Metallurgical Industry Co., Ltd.</t>
  </si>
  <si>
    <t>Suizhou</t>
  </si>
  <si>
    <t>Wuhan Iron and Steel Co., Ltd.</t>
  </si>
  <si>
    <t>Wuhan Iron and Steel Co., Ltd. BF expansion</t>
  </si>
  <si>
    <t>Wuhan Shunle Stainless Steel Co., Ltd.</t>
  </si>
  <si>
    <t>WISCO Group Xiangyang Heavy Equipment Materials Co., Ltd.</t>
  </si>
  <si>
    <t>Xiangyang</t>
  </si>
  <si>
    <t>Hubei Lijin Steel Group Co., Ltd.</t>
  </si>
  <si>
    <t>Hubei Jinshenglan Metallurgical Technology Co., Ltd.</t>
  </si>
  <si>
    <t>Xianning</t>
  </si>
  <si>
    <t>Hubei Shunle Steel Co., Ltd.</t>
  </si>
  <si>
    <t>Hubei Dazhan Iron &amp; Steel Co., Ltd.</t>
  </si>
  <si>
    <t>Xiaogan</t>
  </si>
  <si>
    <t>Yichang Fulong Iron &amp; Steel Co., Ltd.</t>
  </si>
  <si>
    <t>Yichang</t>
  </si>
  <si>
    <t>Hengyang Valin Steel Tube Co., Ltd.</t>
  </si>
  <si>
    <t>Hengyang</t>
  </si>
  <si>
    <t>Lengshuijiang Steel Co., Ltd.</t>
  </si>
  <si>
    <t>Lengshuijiang</t>
  </si>
  <si>
    <t>Hunan Valin Lianyuan Iron and Steel Co., Ltd.</t>
  </si>
  <si>
    <t>Loudi</t>
  </si>
  <si>
    <t>Hunan Valin Xiangtan Iron and Steel Co., Ltd.</t>
  </si>
  <si>
    <t>Xiangtan</t>
  </si>
  <si>
    <t>Inner Mongolia BaoTou Steel Union Co., Ltd.</t>
  </si>
  <si>
    <t>Baotou</t>
  </si>
  <si>
    <t>Inner Mongolia</t>
  </si>
  <si>
    <t>Inner Mongolia BaoTou Steel Union Co., Ltd. BOF expansion</t>
  </si>
  <si>
    <t>Inner Mongolia BaoTou Steel Union Co., Ltd. EAF expansion</t>
  </si>
  <si>
    <t>Inner Mongolia Baotou Jiyu Iron and Steel Co., Ltd.</t>
  </si>
  <si>
    <t>Inner Mongolia Baotou Jiyu Iron and Steel Co., Ltd. BF and BOF expansion</t>
  </si>
  <si>
    <t>Baotou Baoxin Special Steel Co., Ltd.</t>
  </si>
  <si>
    <t>Baotou Da'an Iron and Steel Co., Ltd.</t>
  </si>
  <si>
    <t>Inner Mongolia Yaxin Longshun Special Steel Co., Ltd.</t>
  </si>
  <si>
    <t>Inner Mongolia Yaxin Longshun Special Steel Co., Ltd. BF expansion</t>
  </si>
  <si>
    <t>Inner Mongolia Mingtuo Ferrite New Material Co., Ltd.</t>
  </si>
  <si>
    <t>Inner Mongolia Mingtuo Ferrite New Material Co., Ltd. BF expansion</t>
  </si>
  <si>
    <t>Inner Mongolia Wanzhou Special Steel Co., Ltd.</t>
  </si>
  <si>
    <t>Chifeng Yuanlian Steel Co., Ltd.</t>
  </si>
  <si>
    <t>Chifeng</t>
  </si>
  <si>
    <t>Chifeng Zhongtang Special Steel Co., Ltd. BF</t>
  </si>
  <si>
    <t>Chifeng Zhongtang Special Steel Co., Ltd. BOF</t>
  </si>
  <si>
    <t>Inner Mongolia Desheng Metal Products Co., Ltd.</t>
  </si>
  <si>
    <t>Ordos</t>
  </si>
  <si>
    <t>Wuhai Baogang Wanteng Iron and Steel Co., Ltd.</t>
  </si>
  <si>
    <t>Wuhai</t>
  </si>
  <si>
    <t>Wulanhot Steel Co., Ltd.</t>
  </si>
  <si>
    <t>Xing'an</t>
  </si>
  <si>
    <t>Wulanhot Steel Co., Ltd. BOF expansion</t>
  </si>
  <si>
    <t>Wulanhot Steel Co., Ltd. BF expansion</t>
  </si>
  <si>
    <t>Zenith Steel Group Co., Ltd.</t>
  </si>
  <si>
    <t>Changzhou</t>
  </si>
  <si>
    <t>Jiangsu Shente Steel Co. Ltd.</t>
  </si>
  <si>
    <t>Changzhou Eastern Special Steel Co., Ltd.</t>
  </si>
  <si>
    <t>Changzhou Eastern Special Steel Co., Ltd. BF and BOF expansion</t>
  </si>
  <si>
    <t>Liyang Baorun Steel Co., Ltd.</t>
  </si>
  <si>
    <t>Danyang Longjiang Steel Co., Ltd.</t>
  </si>
  <si>
    <t>Danyang</t>
  </si>
  <si>
    <t>Zhongye Dongfang Jiangsu Heavy Industry Co., Ltd.</t>
  </si>
  <si>
    <t>Jiangsu Shagang Group Huaigang Special Steel Co., Ltd.</t>
  </si>
  <si>
    <t>Huai'an</t>
  </si>
  <si>
    <t>Jiangsu Shagang Group Huaigang Special Steel Co., Ltd. BF and EAF expansion</t>
  </si>
  <si>
    <t>Jiangsu Shagang Group Huaigang Special Steel Co., Ltd. BF expansion</t>
  </si>
  <si>
    <t>Jiangyin Xingcheng Special Steel Works Co., Ltd.</t>
  </si>
  <si>
    <t>Jiangyin</t>
  </si>
  <si>
    <t>Jiangyin Xingcheng Special Steel Works Co., Ltd. BF expansion</t>
  </si>
  <si>
    <t>Jiangsu Changqiang Iron &amp; Steel Co., Ltd.</t>
  </si>
  <si>
    <t>Jiangyin Xicheng Steel Co., Ltd.</t>
  </si>
  <si>
    <t>Zhangjiagang Rongsheng Special Steel Co., Ltd.</t>
  </si>
  <si>
    <t>Jinfeng</t>
  </si>
  <si>
    <t>Jiangsu Binxin Steel Group Co., Ltd.</t>
  </si>
  <si>
    <t>Lianyungang</t>
  </si>
  <si>
    <t>Jiangsu Binxin Steel Group Co., Ltd. BF expansion</t>
  </si>
  <si>
    <t>Lianyungang Xingxin Iron and Steel Co., Ltd.</t>
  </si>
  <si>
    <t>Lianyungang Huale Alloy Group Co., Ltd.</t>
  </si>
  <si>
    <t>Lianyungang Yaxin Iron and Steel Co., Ltd.</t>
  </si>
  <si>
    <t>Nanjing Iron &amp; Steel Co., Ltd.</t>
  </si>
  <si>
    <t>Shanghai Meishan Iron and Steel Co., Ltd.</t>
  </si>
  <si>
    <t>Zenith Steel Group ( Nantong) Co., Ltd.</t>
  </si>
  <si>
    <t>Nantong</t>
  </si>
  <si>
    <t>Zenith Steel Group ( Nantong) Co., Ltd. BF and BOF expansion</t>
  </si>
  <si>
    <t>Lianfeng Steel (Zhangjiagang) Co., Ltd.</t>
  </si>
  <si>
    <t>Suzhou</t>
  </si>
  <si>
    <t>Lianfeng Steel (Zhangjiagang) Co., Ltd. BF expansion</t>
  </si>
  <si>
    <t>Lianfeng Steel (Zhangjiagang) Co., Ltd. BOF expansion</t>
  </si>
  <si>
    <t>Changshu Longteng Special Steel Co., Ltd.</t>
  </si>
  <si>
    <t>Changshu Longteng Special Steel Co., Ltd. EAF expansion</t>
  </si>
  <si>
    <t>Jiangsu Suxin Special Steel Group Co., Ltd.</t>
  </si>
  <si>
    <t>Wuxi Xinsanzhou Steel Co., Ltd.</t>
  </si>
  <si>
    <t>Wuxi</t>
  </si>
  <si>
    <t>Jiangyin Huaxi Iron and Steel Co., Ltd.</t>
  </si>
  <si>
    <t>Jiangsu Xugang Iron and Steel Group Co., Ltd.</t>
  </si>
  <si>
    <t>Xuzhou</t>
  </si>
  <si>
    <t>Xuzhou Baofeng Special Steel Co., Ltd.</t>
  </si>
  <si>
    <t>Xuzhou Taifa Special Steel Group Co., Ltd.</t>
  </si>
  <si>
    <t>Zhongxin Iron and Steel Group Co., Ltd.</t>
  </si>
  <si>
    <t>Xuzhou Jinhong Iron and Steel Group Co., Ltd.</t>
  </si>
  <si>
    <t>Xuzhou Jinhong Iron and Steel Group Co., Ltd. EAF expansion</t>
  </si>
  <si>
    <t>Yancheng Lianxin Iron and Steel Co., Ltd.</t>
  </si>
  <si>
    <t>Yancheng</t>
  </si>
  <si>
    <t>Yancheng Lianxin Iron and Steel Co., Ltd. BF expansion</t>
  </si>
  <si>
    <t>Jiangsu Delong Nickel Industry Co., Ltd.</t>
  </si>
  <si>
    <t>Jiangsu Delong Nickel Industry Co., Ltd. EAF expansion</t>
  </si>
  <si>
    <t>Yangzhou Qinyou Special Metal Materials Co., Ltd.</t>
  </si>
  <si>
    <t>Yangzhou</t>
  </si>
  <si>
    <t>Yangzhou Hengrun Ocean Heavy Industry Co., Ltd.</t>
  </si>
  <si>
    <t>Zhangjiagang Hongchang Steel Co., Ltd.</t>
  </si>
  <si>
    <t>Zhangjiagang</t>
  </si>
  <si>
    <t>Zhangjiagang Hongchang Steel Co., Ltd. BOF expansion</t>
  </si>
  <si>
    <t>Zhangjiagang Hongchang Steel Co., Ltd. EAF expansion</t>
  </si>
  <si>
    <t>Posco (Zhangjiagang) Stainless Steel Co., Ltd.</t>
  </si>
  <si>
    <t>Jiangsu Hongtai Iron and Steel Co., Ltd.</t>
  </si>
  <si>
    <t>Zhenjiang</t>
  </si>
  <si>
    <t>Longnan Fuxin Iron and Steel Co., Ltd. EAF expansion</t>
  </si>
  <si>
    <t>Ganzhou</t>
  </si>
  <si>
    <t>Longnan Fuxin Iron and Steel Co., Ltd.</t>
  </si>
  <si>
    <t>Jiujiang Pinggang Iron and Steel Co., Ltd.</t>
  </si>
  <si>
    <t>Fangda Special Steel Technology Co., Ltd.</t>
  </si>
  <si>
    <t>Nanchang</t>
  </si>
  <si>
    <t>Pingxiang Pinggang Anyuan Iron &amp; Steel Co., Ltd.</t>
  </si>
  <si>
    <t>Pingxiang</t>
  </si>
  <si>
    <t>Jiangxi Taixin Iron &amp; Steel Co., Ltd.</t>
  </si>
  <si>
    <t>Shangrao</t>
  </si>
  <si>
    <t>Xinyu Iron and Steel Group Co., Ltd.</t>
  </si>
  <si>
    <t>Xinyu</t>
  </si>
  <si>
    <t>Xinyu Iron and Steel Group Co., Ltd. EAF expansion</t>
  </si>
  <si>
    <t>Baicheng Fuda Bar Rolling Co., Ltd.</t>
  </si>
  <si>
    <t>Baicheng</t>
  </si>
  <si>
    <t>Baicheng Fuda Bar Rolling Co., Ltd. EAF expansion</t>
  </si>
  <si>
    <t>Jilin Steel Group Taihua Metal Equipment Manufacture Co., Ltd.</t>
  </si>
  <si>
    <t>Changchun</t>
  </si>
  <si>
    <t>Jilin Steel Group Taihua Metal Equipment Manufacture Co., Ltd. EAF expansion</t>
  </si>
  <si>
    <t>Jilin Steel Group Fugang Metal Manufacturing Co., Ltd.</t>
  </si>
  <si>
    <t>Jilin Steel Group Fugang Metal Manufacturing Co., Ltd. EAF expansion</t>
  </si>
  <si>
    <t>Jilin Jianlong Steel Co., Ltd.</t>
  </si>
  <si>
    <t>Jilin Xinda Iron and Steel Co., Ltd.</t>
  </si>
  <si>
    <t>Liaoyuan</t>
  </si>
  <si>
    <t>Jilin Xinda Iron and Steel Co., Ltd. BOF expansion</t>
  </si>
  <si>
    <t>Jilin Xinda Iron and Steel Co., Ltd. BF expansion</t>
  </si>
  <si>
    <t>Panshi Jianlong Iron and Steel Co., Ltd.</t>
  </si>
  <si>
    <t>Panshi</t>
  </si>
  <si>
    <t>Jilin Jingang Iron and Steel Co., Ltd.</t>
  </si>
  <si>
    <t>Siping</t>
  </si>
  <si>
    <t>Tonghua Iron and Steel Co., Ltd.</t>
  </si>
  <si>
    <t>Tonghua</t>
  </si>
  <si>
    <t>Angang Steel Co., Ltd.</t>
  </si>
  <si>
    <t>Anshan</t>
  </si>
  <si>
    <t>Houying Group Haicheng Iron and Steel Co., Ltd. Datun Branch</t>
  </si>
  <si>
    <t>Anshan Baode Iron &amp; Steel Co., Ltd.</t>
  </si>
  <si>
    <t>Bengang Steel Plates Co., Ltd.</t>
  </si>
  <si>
    <t>Benxi</t>
  </si>
  <si>
    <t>Benxi Beiying Iron &amp; Steel (Group) Co., Ltd.</t>
  </si>
  <si>
    <t>Benxi Beiying Iron &amp; Steel (Group) Co., Ltd. BOF expansion</t>
  </si>
  <si>
    <t>Ansteel Group Chaoyang Steel &amp; Iron Co., Ltd.</t>
  </si>
  <si>
    <t>Chaoyang</t>
  </si>
  <si>
    <t>Lingyuan Iron &amp; Steel Co.,Ltd.</t>
  </si>
  <si>
    <t>Lingyuan Iron &amp; Steel Co.,Ltd. BOF expansion</t>
  </si>
  <si>
    <t>Dongbei Special Steel Group Dalian Special Steel Co., Ltd.</t>
  </si>
  <si>
    <t>Fushun New Steel Co., Ltd.</t>
  </si>
  <si>
    <t>Fushun New Steel Co., Ltd. BF expansion</t>
  </si>
  <si>
    <t>Fushun New Steel Co., Ltd. BOF expansion</t>
  </si>
  <si>
    <t>Fushun New Steel Co., Ltd. SR</t>
  </si>
  <si>
    <t>Fushun Special Steel Co., Ltd.</t>
  </si>
  <si>
    <t>Fushun Hanking Direct Reduced Iron Co., Ltd.</t>
  </si>
  <si>
    <t>Liaoyang United Steel Co., Ltd.</t>
  </si>
  <si>
    <t>Liaoyang</t>
  </si>
  <si>
    <t>Liaoyang Xinyi Special Steel Co., Ltd.</t>
  </si>
  <si>
    <t>Angang Steel Co., Ltd. Bayuquan branch</t>
  </si>
  <si>
    <t>Yingkou</t>
  </si>
  <si>
    <t>Rizhao Steel Yingkou Medium Plate Co Ltd</t>
  </si>
  <si>
    <t>Yingkou Iron &amp; Steel Co., Ltd.</t>
  </si>
  <si>
    <t>Ningxia Xinghua Iron and Steel Co., Ltd.</t>
  </si>
  <si>
    <t>Shizuishan</t>
  </si>
  <si>
    <t>Ningxia</t>
  </si>
  <si>
    <t>Ningxia Jianlong Special Steel Co., Ltd.</t>
  </si>
  <si>
    <t>Ningxia Iron and Steel (Group) Co., Ltd.</t>
  </si>
  <si>
    <t>Zhongwei</t>
  </si>
  <si>
    <t>Xining Special Steel Co., Ltd.</t>
  </si>
  <si>
    <t>Xining</t>
  </si>
  <si>
    <t>Qinghai</t>
  </si>
  <si>
    <t>Shaanxi Longmen Steel Co., Ltd.</t>
  </si>
  <si>
    <t>Hancheng</t>
  </si>
  <si>
    <t>Shaanxi</t>
  </si>
  <si>
    <t>Shaanxi Longmen Steel Co., Ltd. BOF expansion</t>
  </si>
  <si>
    <t>Shaanxi Longmen Steel Co., Ltd. EAF expansion</t>
  </si>
  <si>
    <t>Shaanxi Steel Group Hanzhong Iron and Steel Co., Ltd.</t>
  </si>
  <si>
    <t>Hanzhong</t>
  </si>
  <si>
    <t>Shaanxi Lueyang Iron and Steel Co., Ltd.</t>
  </si>
  <si>
    <t>Shaanxi Lueyang Iron and Steel Co., Ltd. BOF expansion</t>
  </si>
  <si>
    <t>Shaanxi Hanzhong Iron &amp; Steel Group Co., Ltd.</t>
  </si>
  <si>
    <t>Hanzhong City</t>
  </si>
  <si>
    <t>Shaanxi Huaxin Special Steel Group Co., Ltd.</t>
  </si>
  <si>
    <t>Weinan</t>
  </si>
  <si>
    <t>Shandong Guangfu Group Co., Ltd.</t>
  </si>
  <si>
    <t>Binzhou</t>
  </si>
  <si>
    <t>Xiwang Metal Science Technology Co., Ltd.</t>
  </si>
  <si>
    <t>Shandong Chuanyang Group Co., Ltd.</t>
  </si>
  <si>
    <t>Shandong Laigang Yongfeng Steel Co., Ltd.</t>
  </si>
  <si>
    <t>Dezhou</t>
  </si>
  <si>
    <t>Shandong Taishan Steel Group Co., Ltd.</t>
  </si>
  <si>
    <t>Shandong Taishan Steel Group Co., Ltd. BOF expansion</t>
  </si>
  <si>
    <t>Shandong Fulun Iron and Steel Co., Ltd.</t>
  </si>
  <si>
    <t>Shandong Fulun Iron and Steel Co., Ltd. BF expansion</t>
  </si>
  <si>
    <t>Shandong Minyuan Iron and Steel Co., Ltd.</t>
  </si>
  <si>
    <t>Shandong Iron and Steel Co., Ltd. Laiwu Branch</t>
  </si>
  <si>
    <t>Shandong Iron and Steel Co., Ltd. Laiwu Branch BOF expansion</t>
  </si>
  <si>
    <t>Shandong Iron and Steel Co., Ltd. Laiwu Branch BF expansion</t>
  </si>
  <si>
    <t>Laiwu Iron and Steel Group Yinshan Section Steel Co., Ltd.</t>
  </si>
  <si>
    <t>Laiwu</t>
  </si>
  <si>
    <t>Linyi Jiangxin Iron and Steel Co., Ltd.</t>
  </si>
  <si>
    <t>Linyi</t>
  </si>
  <si>
    <t>Linyi Iron and Steel Investment Group Special Steel Co., Ltd.</t>
  </si>
  <si>
    <t>Linyi Iron and Steel Investment Group Stainless Steel Co., Ltd.</t>
  </si>
  <si>
    <t>Shandong Iron and Steel Group Yongfeng Lingang Co., Ltd.</t>
  </si>
  <si>
    <t>Shandong Iron and Steel Group Yongfeng Lingang Co., Ltd. BF and BOF expansion</t>
  </si>
  <si>
    <t>Qingdao Special Iron and Steel Co., Ltd.</t>
  </si>
  <si>
    <t>Qingdao</t>
  </si>
  <si>
    <t>Rizhao Steel Holding Group Co., Ltd.</t>
  </si>
  <si>
    <t>Rizhao</t>
  </si>
  <si>
    <t>Rizhao Steel Holding Group Co., Ltd. BF and BOF expansion</t>
  </si>
  <si>
    <t>Shandong IRON&amp;STEEL Group Rizhao Co., Ltd.（Phase 1）</t>
  </si>
  <si>
    <t>Shandong IRON&amp;STEEL Group Rizhao Co., Ltd.（Phase 1) EAF expansion</t>
  </si>
  <si>
    <t>Shiheng Special Steel Group Co., Ltd.</t>
  </si>
  <si>
    <t>Tai'an</t>
  </si>
  <si>
    <t>Weifang Special Steel Group Co., Ltd.</t>
  </si>
  <si>
    <t>Weifang</t>
  </si>
  <si>
    <t>Shandong Shouguang Juneng Special Steel Co., Ltd.</t>
  </si>
  <si>
    <t>Shandong Luli Steel Co., Ltd.</t>
  </si>
  <si>
    <t>Yantai Walsin Stainless Steel Co., Ltd.</t>
  </si>
  <si>
    <t>Yantai</t>
  </si>
  <si>
    <t>Shandong Iron and Steel Group Yongfeng Zibo Co., Ltd.</t>
  </si>
  <si>
    <t>Shandong Longsheng Iron and Steel Co., Ltd.</t>
  </si>
  <si>
    <t>Zibo Qilin Fushan Iron and Steel Co., Ltd.</t>
  </si>
  <si>
    <t>Baoshan Iron and Steel Co., Ltd. (Baoshan Base)</t>
  </si>
  <si>
    <t>Baoshan</t>
  </si>
  <si>
    <t>Baosteel Special Steel Co., Ltd.</t>
  </si>
  <si>
    <t>Changzhi Xingbao Steel Co., Ltd.</t>
  </si>
  <si>
    <t>Changzhi</t>
  </si>
  <si>
    <t>Shanxi</t>
  </si>
  <si>
    <t>Licheng Taihang Iron &amp; Steel Co., Ltd.</t>
  </si>
  <si>
    <t>Shanxi Changxin Industrial Co., Ltd.</t>
  </si>
  <si>
    <t>Shougang Changzhi Iron and Steel Co., Ltd.</t>
  </si>
  <si>
    <t>Jinye Iron and Steel Group Co., Ltd.</t>
  </si>
  <si>
    <t>Shanxi Tongde Xinghua Special Steel Co., Ltd.</t>
  </si>
  <si>
    <t>Datong</t>
  </si>
  <si>
    <t>Shanxi Hongda Iron and Steel Group Co., Ltd.</t>
  </si>
  <si>
    <t>Hejin</t>
  </si>
  <si>
    <t>Shanxi Huaxinyuan Steel &amp; Iron Group Co., Ltd.</t>
  </si>
  <si>
    <t>Shanxi Huaxinyuan Steel &amp; Iron Group Co., Ltd. BF and BOF expansion</t>
  </si>
  <si>
    <t>Jincheng Fusheng Iron &amp; Steel Co., Ltd.</t>
  </si>
  <si>
    <t>Jincheng</t>
  </si>
  <si>
    <t>Jincheng Fusheng Iron &amp; Steel Co., Ltd. BF and BOF expansion</t>
  </si>
  <si>
    <t>Shanxi Xintai Iron and Steel Co., Ltd.</t>
  </si>
  <si>
    <t>Jinzhong</t>
  </si>
  <si>
    <t>Shanxi Xintai Iron and Steel Co., Ltd. BF expansion</t>
  </si>
  <si>
    <t>Shanxi Liheng Steel Co., Ltd.</t>
  </si>
  <si>
    <t>Linfen</t>
  </si>
  <si>
    <t>Xiangfen County Xingyuan Steel Group Co., Ltd.</t>
  </si>
  <si>
    <t>Shanxi Tongcai Industry and Trade Co., Ltd.</t>
  </si>
  <si>
    <t>Shanxi Tongcai Industry and Trade Co., Ltd. BOF expansion</t>
  </si>
  <si>
    <t>Shanxi Tongcai Industry and Trade Co., Ltd. EAF expansion</t>
  </si>
  <si>
    <t>Shanxi Zhongsheng Iron and Steel Co., Ltd.</t>
  </si>
  <si>
    <t>Shanxi Zhongsheng Iron and Steel Co., Ltd. BOF expansion</t>
  </si>
  <si>
    <t>Xiangfen County Xinjinshan Special Steel Co., Ltd.</t>
  </si>
  <si>
    <t>Xiangfen County Xinjinshan Special Steel Co., Ltd. BF expansion</t>
  </si>
  <si>
    <t>Shanxi Jianbang Group Casting Co., Ltd.</t>
  </si>
  <si>
    <t>Shanxi Jinnan Iron and Steel Group Co., Ltd.</t>
  </si>
  <si>
    <t>Shanxi Jinnan Iron and Steel Group Co., Ltd. BF and BOF expansion</t>
  </si>
  <si>
    <t>Shanxi Huaqiang Iron and Steel Co., Ltd.</t>
  </si>
  <si>
    <t>Shanxi Zhongyang Iron and Steel Co., Ltd.</t>
  </si>
  <si>
    <t>Lvliang</t>
  </si>
  <si>
    <t>Wenshui Haiwei Steel Co., Ltd.</t>
  </si>
  <si>
    <t>Lvliang Jianlong Industrial Co., Ltd.</t>
  </si>
  <si>
    <t>Shanxi Taigang Stainless Steel Co., Ltd.</t>
  </si>
  <si>
    <t>Taiyuan</t>
  </si>
  <si>
    <t>Shanxi Taigang Stainless Steel Co., Ltd. EAF expansion</t>
  </si>
  <si>
    <t>Shanxi Meijin Iron and Steel Co., Ltd.</t>
  </si>
  <si>
    <t>Shanxi Meijin Iron and Steel Co., Ltd. BF and BOF expansion</t>
  </si>
  <si>
    <t>Shanxi Gaoyi Steel Co., Ltd.</t>
  </si>
  <si>
    <t>Yuncheng</t>
  </si>
  <si>
    <t>Shanxi Jianlong Industrial Co., Ltd.</t>
  </si>
  <si>
    <t>Jishan Mingfu Steel Products Co., Ltd.</t>
  </si>
  <si>
    <t>Jishan Mingfu Steel Products Co., Ltd. BF &amp; BOF expansion</t>
  </si>
  <si>
    <t>Chengdu Changfeng Iron and Steel Group Co., Ltd.</t>
  </si>
  <si>
    <t>Chengdu</t>
  </si>
  <si>
    <t>Sichuan</t>
  </si>
  <si>
    <t>Chengdu Changfeng Iron and Steel Group Co., Ltd. EAF expansion</t>
  </si>
  <si>
    <t>Sichuan Dazhou Iron &amp; Steel Group Co., Ltd. BF and BOF expansion</t>
  </si>
  <si>
    <t>Dachuan District</t>
  </si>
  <si>
    <t>Hangda Steel Co., Ltd.</t>
  </si>
  <si>
    <t>Dazhou</t>
  </si>
  <si>
    <t>Sichuan Shengquan Iron and Steel Group Co., Ltd.</t>
  </si>
  <si>
    <t>Deyang</t>
  </si>
  <si>
    <t>Sichuan Gangchen Stainless Steel Co., Ltd.</t>
  </si>
  <si>
    <t>Pangang Group Xichang Steel and Vanadium Co., Ltd.</t>
  </si>
  <si>
    <t>Liangshan AP</t>
  </si>
  <si>
    <t>Luzhou Xinyang Vanadium Titanium Steel Co., Ltd.</t>
  </si>
  <si>
    <t>Luzhou</t>
  </si>
  <si>
    <t>Pangang Group Jiangyou Changcheng Special Steel Co., Ltd.</t>
  </si>
  <si>
    <t>Mianyang</t>
  </si>
  <si>
    <t>Chengyu Vanadium &amp; Titanium Technology Co., Ltd.</t>
  </si>
  <si>
    <t>Neijiang</t>
  </si>
  <si>
    <t>Pangang Group Panzhihua Steel Vanadium Co., Ltd.</t>
  </si>
  <si>
    <t>Panzhihua</t>
  </si>
  <si>
    <t>Sichuan Shehong Chuanzhong Construction Materials Co., Ltd.</t>
  </si>
  <si>
    <t>Shehong</t>
  </si>
  <si>
    <t>Sichuan Dazhou Iron &amp; Steel Group Co., Ltd.</t>
  </si>
  <si>
    <t>Tongchun District</t>
  </si>
  <si>
    <t>Sichuan Ya'an Anshan Iron and Steel Co., Ltd.</t>
  </si>
  <si>
    <t>Ya'an</t>
  </si>
  <si>
    <t>Tianjin Tianzhong Giant Heavy Industry Co., Ltd.</t>
  </si>
  <si>
    <t>Beichen</t>
  </si>
  <si>
    <t>Tianjin Iron &amp; Steel Group Co., Ltd.</t>
  </si>
  <si>
    <t>Dongli District</t>
  </si>
  <si>
    <t>Tianjin Pipe Corporation</t>
  </si>
  <si>
    <t>Tianjin Iron Plant</t>
  </si>
  <si>
    <t>Tianjin Iron Plant BOF expansion</t>
  </si>
  <si>
    <t>Tianjin Iron Plant BF expansion</t>
  </si>
  <si>
    <t>Chongli Steel Manufacturing Co., Ltd.</t>
  </si>
  <si>
    <t>Tianjin Tianfeng Steel Co., Ltd.</t>
  </si>
  <si>
    <t>Jinghai</t>
  </si>
  <si>
    <t>Tianjin Metallurgy Group Zhasan Steel Co., Ltd.</t>
  </si>
  <si>
    <t>Tianjin Rockcheck Steel Group Co., Ltd.</t>
  </si>
  <si>
    <t>Jinnan</t>
  </si>
  <si>
    <t>Tianjin Rockcheck Steel Group Co., Ltd. EAF expansion</t>
  </si>
  <si>
    <t>Tianjin New Tiangang United Special Steel Co., Ltd.</t>
  </si>
  <si>
    <t>Ninghe</t>
  </si>
  <si>
    <t>Tianjin New Tiangang United Special Steel Co., Ltd. BF expansion</t>
  </si>
  <si>
    <t>Tianjin New Tiangang United Special Steel Co., Ltd. BF closed</t>
  </si>
  <si>
    <t>Xinjiang Kingtec Steel Co., Ltd.</t>
  </si>
  <si>
    <t>Bayingolin AP</t>
  </si>
  <si>
    <t>Xinjiang</t>
  </si>
  <si>
    <t>Xinjiang Tianshan Iron and Steel Bazhou Co., Ltd.</t>
  </si>
  <si>
    <t>Xinjiang Minxin Iron and Steel (Group) Minhang Special Steel Co., Ltd.</t>
  </si>
  <si>
    <t>Changji</t>
  </si>
  <si>
    <t>Xinjiang Xin'an Special Steel Co., Ltd.</t>
  </si>
  <si>
    <t>Changji AP</t>
  </si>
  <si>
    <t>Xinjiang Xin'an Special Steel Co., Ltd. EAF expansion</t>
  </si>
  <si>
    <t>Xinjiang Da'an Special Steel Co., Ltd.</t>
  </si>
  <si>
    <t>Hami</t>
  </si>
  <si>
    <t>Xinjiang Kunyu Iron and Steel Co., Ltd.</t>
  </si>
  <si>
    <t>Ili AP</t>
  </si>
  <si>
    <t>Xinjiang Yili Iron and Steel Co., Ltd.</t>
  </si>
  <si>
    <t>Baosteel Group Xinjiang Bayi Iron &amp; Steel Co., Ltd.</t>
  </si>
  <si>
    <t>Ürümqi</t>
  </si>
  <si>
    <t>Yunnan Desheng Iron and Steel Co., Ltd.</t>
  </si>
  <si>
    <t>Chuxiong AP</t>
  </si>
  <si>
    <t>Yunnan</t>
  </si>
  <si>
    <t>WISCO Group Kunming Steel Co., Ltd. Honghe Iron and Steel Company</t>
  </si>
  <si>
    <t>Honghe AP</t>
  </si>
  <si>
    <t>WISCO Group Kunming Steel Co., Ltd. Anning Branch</t>
  </si>
  <si>
    <t>Kunming</t>
  </si>
  <si>
    <t>WISCO Group Kunming Steel Co., Ltd. New District Branch</t>
  </si>
  <si>
    <t>Yunnan Jingye Steel Co., Ltd.</t>
  </si>
  <si>
    <t>Yunnan Tiangao Nickel Alloy Co., Ltd.</t>
  </si>
  <si>
    <t>Qujing</t>
  </si>
  <si>
    <t>Yunnan Tiangao Nickel Alloy Co., Ltd. EAF expansion</t>
  </si>
  <si>
    <t>Yunnan Qujing Iron and Steel Group Yanggang Iron and Steel Co., Ltd.</t>
  </si>
  <si>
    <t>Yunnan Qujing Iron and Steel Group Chenggang Iron and Steel Co., Ltd.</t>
  </si>
  <si>
    <t>Qvjing</t>
  </si>
  <si>
    <t>Yunnan Qujing Iron and Steel Group Fenghuang Steel Co., Ltd.</t>
  </si>
  <si>
    <t>WISCO Group Kunming Steel Co., Ltd. Yuxi Xinxing Steel Company</t>
  </si>
  <si>
    <t>Yuxi</t>
  </si>
  <si>
    <t>Yunnan Yuxi Iron and Steel Group Yukun Iron and Steel Co., Ltd.</t>
  </si>
  <si>
    <t>Yunnan Yuxi Iron and Steel Group Yukun Iron and Steel Co., Ltd. BF and BOF expansion</t>
  </si>
  <si>
    <t>Yunnan Yuxi Xianfu Iron &amp; Steel (Group) Co., Ltd.</t>
  </si>
  <si>
    <t>Yunnan Yuxi Xianfu Iron &amp; Steel (Group) Co., Ltd. BF expansion</t>
  </si>
  <si>
    <t>Yunnan Yuxi Xianfu Iron &amp; Steel (Group) Co., Ltd. BOF expansion</t>
  </si>
  <si>
    <t>Yunnan Yuxi Xianfu Iron &amp; Steel (Group) Co., Ltd. EAF expansion</t>
  </si>
  <si>
    <t>Yunnan Yuxi Xianfu Iron &amp; Steel (Group) Co., Ltd. BOF closure</t>
  </si>
  <si>
    <t>Zhenshi Group Eastern Special Steel Co., Ltd.</t>
  </si>
  <si>
    <t>Jiaxing</t>
  </si>
  <si>
    <t>Zhejiang Wantai Special Steel Co., Ltd.</t>
  </si>
  <si>
    <t>Zhejiang Tsingshan Iron &amp; Steel Co., Ltd.</t>
  </si>
  <si>
    <t>Lishui</t>
  </si>
  <si>
    <t>Lishui Huahong Iron and Steel Products Co., Ltd.</t>
  </si>
  <si>
    <t>Zhejiang Yuxin Industrial Co., Ltd.</t>
  </si>
  <si>
    <t>Zhejiang Yuxin Industrial Co., Ltd. EAF expansion</t>
  </si>
  <si>
    <t>Ningbo Iron &amp; Steel Co., Ltd.</t>
  </si>
  <si>
    <t>Ningbo Haoyang New Materials Techonology Co., Ltd.</t>
  </si>
  <si>
    <t>Quzhou Yuanli Metal Products Co., Ltd.</t>
  </si>
  <si>
    <t>Quzhou</t>
  </si>
  <si>
    <t>Quzhou Yuanli Metal Products Co., Ltd. BF and BOF expansion</t>
  </si>
  <si>
    <t>Shiu Wing Tuen Mun Steel plant</t>
  </si>
  <si>
    <t>Tuen Mun</t>
  </si>
  <si>
    <t>Hong Kong</t>
  </si>
  <si>
    <t>AP High Grade Steel Andhra Pradesh plant</t>
  </si>
  <si>
    <t>Kadapa</t>
  </si>
  <si>
    <t>AP High Grade Steel Andhra Pradesh plant BOF expansion</t>
  </si>
  <si>
    <t>Arjas Steel Tadipatri plant</t>
  </si>
  <si>
    <t>Tadipatri</t>
  </si>
  <si>
    <t>Arjas Steel Tadipatri plant BF and BOF expansion</t>
  </si>
  <si>
    <t>Vizag Steel plant</t>
  </si>
  <si>
    <t>SAIL Bhilai steel plant BF and BOF 1 expansion</t>
  </si>
  <si>
    <t>Bhilai</t>
  </si>
  <si>
    <t>Chhattisgarh</t>
  </si>
  <si>
    <t>SAIL Bhilai steel plant BOF 2 expansion</t>
  </si>
  <si>
    <t>SAIL Bhilai steel plant</t>
  </si>
  <si>
    <t>SAIL Bhilai steel plant BOF 3 expansion</t>
  </si>
  <si>
    <t>Prakash Industries steel plant</t>
  </si>
  <si>
    <t>Janjgir</t>
  </si>
  <si>
    <t>NMDC Nagarnar steel plant</t>
  </si>
  <si>
    <t>Nagarnar</t>
  </si>
  <si>
    <t>JSPL Chhattisgarh steel plant BF and BOF expansion</t>
  </si>
  <si>
    <t>Raigarh</t>
  </si>
  <si>
    <t>JSPL Chhattisgarh steel plant</t>
  </si>
  <si>
    <t>JSW Ispat Special Products Raigarh steel plant</t>
  </si>
  <si>
    <t>MSP Steel &amp; Power Raigarh plant</t>
  </si>
  <si>
    <t>MSP Steel &amp; Power Raigarh plant EAF expansion</t>
  </si>
  <si>
    <t>Jayaswal Neco Industries Raipur steel plant</t>
  </si>
  <si>
    <t>Raipur</t>
  </si>
  <si>
    <t>Jayaswal Neco Industries Raipur steel plant BF and EAF expansion</t>
  </si>
  <si>
    <t>Godawari Power and Ispat steel plant</t>
  </si>
  <si>
    <t>BOF, DRI, EAF</t>
  </si>
  <si>
    <t>Godawari Power and Ispat steel plant DRI and steelmaking expansion</t>
  </si>
  <si>
    <t>JSW Ispat Special Products Raipur steel plant</t>
  </si>
  <si>
    <t>Welspun Steel plant</t>
  </si>
  <si>
    <t>Anjar</t>
  </si>
  <si>
    <t>Welspun Steel plant BOF 1 expansion</t>
  </si>
  <si>
    <t>Welspun Steel plant BOF 2 expansion</t>
  </si>
  <si>
    <t>ArcelorMittal Nippon Steel India BF and BOF expansion</t>
  </si>
  <si>
    <t>Hazira</t>
  </si>
  <si>
    <t>ArcelorMittal Nippon Steel India</t>
  </si>
  <si>
    <t>Jindal Stainless Hisar steel plant</t>
  </si>
  <si>
    <t>Hisar</t>
  </si>
  <si>
    <t>Tata Steel Rohtak steel plant</t>
  </si>
  <si>
    <t>Rohtak</t>
  </si>
  <si>
    <t>Atibir Industries steel plant</t>
  </si>
  <si>
    <t>Bhorandiha</t>
  </si>
  <si>
    <t>Jharkhand</t>
  </si>
  <si>
    <t>ESL Steel plant</t>
  </si>
  <si>
    <t>Bokaro</t>
  </si>
  <si>
    <t>SAIL Bokaro steel plant BOF expansion</t>
  </si>
  <si>
    <t>Bokaro Steel City</t>
  </si>
  <si>
    <t>SAIL Bokaro steel plant</t>
  </si>
  <si>
    <t>Tata Steel Jamshedpur steel plant</t>
  </si>
  <si>
    <t>Jamshedpur</t>
  </si>
  <si>
    <t>Tata Steel Long Products steel plant</t>
  </si>
  <si>
    <t>Tata Steel Jamshedpur steel plant BF and BOF expansion</t>
  </si>
  <si>
    <t>JSW Steel Jharkhand steel plant</t>
  </si>
  <si>
    <t>JSPL Jharkhand steel plant</t>
  </si>
  <si>
    <t>Patratu</t>
  </si>
  <si>
    <t>JSPL Jharkhand steel plant BF, BOF, and DRI expansion 1</t>
  </si>
  <si>
    <t>JSW BPSL Jarkhand steel plant</t>
  </si>
  <si>
    <t>Potka</t>
  </si>
  <si>
    <t>ArcelorMittal Karnataka steel plant</t>
  </si>
  <si>
    <t>Ballari</t>
  </si>
  <si>
    <t>NMDC Karnataka steel plant</t>
  </si>
  <si>
    <t>Bellary Taluk</t>
  </si>
  <si>
    <t>BMM Ispat steel plant BF and BOF expansion</t>
  </si>
  <si>
    <t>Danapura</t>
  </si>
  <si>
    <t>BMM Ispat steel plant</t>
  </si>
  <si>
    <t>Kalyani Steels Hospet plant</t>
  </si>
  <si>
    <t>Karnakapur</t>
  </si>
  <si>
    <t>Kalyani Steels Hospet plant BF and BOF expansion</t>
  </si>
  <si>
    <t>Kalyani Steels Hospet plant EAF expansion</t>
  </si>
  <si>
    <t>Xindia Steels Karnataka plant</t>
  </si>
  <si>
    <t>Koppal</t>
  </si>
  <si>
    <t>Xindia Steels Karnataka plant BF and BOF expansion</t>
  </si>
  <si>
    <t>JSW Steel Vijayanagar steel plant BOF 1 expansion</t>
  </si>
  <si>
    <t>Toranagallu</t>
  </si>
  <si>
    <t>JSW Steel Vijayanagar steel plant BOF 2 expansion</t>
  </si>
  <si>
    <t>JSW Steel Vijayanagar steel plant EAF 1 expansion</t>
  </si>
  <si>
    <t>JSW Steel Vijayanagar steel plant</t>
  </si>
  <si>
    <t>JSW Vijayanagar Metallics steel plant</t>
  </si>
  <si>
    <t>JSW Steel Dolvi steel plant BF and BOF expansion</t>
  </si>
  <si>
    <t>Dolvi</t>
  </si>
  <si>
    <t>JSW Steel Dolvi steel plant</t>
  </si>
  <si>
    <t>Lloyds Steel Industries steel plant</t>
  </si>
  <si>
    <t>Murbad Tal Kalyan</t>
  </si>
  <si>
    <t>Jayaswal Neco Industries Nagpur steel plant</t>
  </si>
  <si>
    <t>Nagpur</t>
  </si>
  <si>
    <t>JSW Steel Salav DRI plant</t>
  </si>
  <si>
    <t>Salav</t>
  </si>
  <si>
    <t>Sunflag Iron and Steel plant</t>
  </si>
  <si>
    <t>Warthi</t>
  </si>
  <si>
    <t>JSPL Odisha steel plant BF and BOF expansion</t>
  </si>
  <si>
    <t>Angul</t>
  </si>
  <si>
    <t>Odisha</t>
  </si>
  <si>
    <t>JSPL Odisha steel plant expansion</t>
  </si>
  <si>
    <t>JSPL Odisha steel plant</t>
  </si>
  <si>
    <t>Rungta Mines Odisha steel plant</t>
  </si>
  <si>
    <t>Dhenkanal</t>
  </si>
  <si>
    <t>Rungta Mines Odisha steel plant BF, BOF, and EAF expansion</t>
  </si>
  <si>
    <t>Neelachal Ispat Nigam steel plant</t>
  </si>
  <si>
    <t>Jajpur</t>
  </si>
  <si>
    <t>Neelachal Ispat Nigam steel plant BOF expansion</t>
  </si>
  <si>
    <t>Jindal Stainless Odisha steel plant</t>
  </si>
  <si>
    <t>Jindal Stainless Odisha steel plant BF expansion</t>
  </si>
  <si>
    <t>MSP Metallics Odisha steel plant</t>
  </si>
  <si>
    <t>Jharsuguda</t>
  </si>
  <si>
    <t>Tata Steel Kalinganagar steel plant BF and BOF expansion</t>
  </si>
  <si>
    <t>Kalinganagar</t>
  </si>
  <si>
    <t>Tata Steel Kalinganagar steel plant</t>
  </si>
  <si>
    <t>Mesco Steel Kalinganagar plant</t>
  </si>
  <si>
    <t>Mesco Steel Kalinganagar plant BF and BOF expansion</t>
  </si>
  <si>
    <t>ArcelorMittal Nippon Steel Kendrapara plant</t>
  </si>
  <si>
    <t>Kendrapara</t>
  </si>
  <si>
    <t>ArcelorMittal Nippon Steel Kendrapara plant BOF expansion</t>
  </si>
  <si>
    <t>Tata Sponge Iron Odisha plant</t>
  </si>
  <si>
    <t>Keonjhar</t>
  </si>
  <si>
    <t>Tata Sponge Iron Odisha plant BOF expansion</t>
  </si>
  <si>
    <t>Tata Sponge Iron Odisha plant EAF expansion</t>
  </si>
  <si>
    <t>Sree Metaliks Barbil steel plant</t>
  </si>
  <si>
    <t>Orissa Sponge Iron &amp; Steel plant</t>
  </si>
  <si>
    <t>Orissa Sponge Iron &amp; Steel plant DRI and EAF expansion</t>
  </si>
  <si>
    <t>Tata Steel BSL Dhenkanal plant EAF expansion</t>
  </si>
  <si>
    <t>Meramandali</t>
  </si>
  <si>
    <t>Tata Steel BSL Dhenkanal plant</t>
  </si>
  <si>
    <t>JSW Utkal Steel Odisha plant</t>
  </si>
  <si>
    <t>JSW Utkal Steel Odisha plant BF and BOF expansion 1</t>
  </si>
  <si>
    <t>SAIL Paradip steel plant</t>
  </si>
  <si>
    <t>JSW Utkal Steel Odisha plant BF and BOF expansion 2</t>
  </si>
  <si>
    <t>SAIL Rourkela steel plant BOF expansion</t>
  </si>
  <si>
    <t>Rourkela</t>
  </si>
  <si>
    <t>SAIL Rourkela steel plant</t>
  </si>
  <si>
    <t>Jai Balaji Jyoti Steels plant</t>
  </si>
  <si>
    <t>Sundargarh</t>
  </si>
  <si>
    <t>Jai Balaji Jyoti Steels plant DRI and EAF expansion</t>
  </si>
  <si>
    <t>JSW BPSL Odisha steel plant BOF expansion</t>
  </si>
  <si>
    <t>Thelkoloi</t>
  </si>
  <si>
    <t>JSW BPSL Odisha steel plant DRI and EAF expansion</t>
  </si>
  <si>
    <t>JSW BPSL Odisha steel plant</t>
  </si>
  <si>
    <t>Tata Steel Punjab steel plant</t>
  </si>
  <si>
    <t>JSW Steel Salem steel plant</t>
  </si>
  <si>
    <t>Salem</t>
  </si>
  <si>
    <t>JSW Steel Salem steel plant BF and EOF expansion</t>
  </si>
  <si>
    <t>SAIL IISCO steel plant</t>
  </si>
  <si>
    <t>Barddhaman</t>
  </si>
  <si>
    <t>SAIL IISCO steel plant BOF 1 expansion</t>
  </si>
  <si>
    <t>SAIL IISCO steel plant BOF 2 expansion</t>
  </si>
  <si>
    <t>SAIL Durgapur steel plant BOF expansion</t>
  </si>
  <si>
    <t>Durgapur</t>
  </si>
  <si>
    <t>SAIL Durgapur steel plant</t>
  </si>
  <si>
    <t>SAIL Alloy Steel Plant</t>
  </si>
  <si>
    <t>SAIL Alloy Steel Plant EAF expansion</t>
  </si>
  <si>
    <t>Jai Balaji Durgapur steel plant</t>
  </si>
  <si>
    <t>Shyam Steel Durgapur plant</t>
  </si>
  <si>
    <t>Shyam Steel Durgapur plant DRI and EAF expansion</t>
  </si>
  <si>
    <t>Rashmi Metaliks Jamuria steel plant</t>
  </si>
  <si>
    <t>Jamuria</t>
  </si>
  <si>
    <t>Tata Metaliks West Bengal steel plant</t>
  </si>
  <si>
    <t>Kharagpur</t>
  </si>
  <si>
    <t>Tata Metaliks West Bengal steel plant BF and BOF expansion</t>
  </si>
  <si>
    <t>Ramsarup Lohh Udyog West Bengal steel plant</t>
  </si>
  <si>
    <t>Ramsarup Lohh Udyog West Bengal steel plant EAF expansion</t>
  </si>
  <si>
    <t>Rashmi Metaliks Kharagpur steel plant</t>
  </si>
  <si>
    <t>Ramsarup Lohh Udyog West Bengal steel plant BF expansion</t>
  </si>
  <si>
    <t>BF, DRI</t>
  </si>
  <si>
    <t>Jai Balaji Steels Purulia plant</t>
  </si>
  <si>
    <t>Purulia</t>
  </si>
  <si>
    <t>JSW Bengal Steel Salboni plant</t>
  </si>
  <si>
    <t>Salboni</t>
  </si>
  <si>
    <t>Krakatau Steel Cilegon plant</t>
  </si>
  <si>
    <t>Cilegon</t>
  </si>
  <si>
    <t>Banten</t>
  </si>
  <si>
    <t>KS Posco Cilegon steel plant</t>
  </si>
  <si>
    <t>Krakatau Steel Cilegon plant BOF expansion</t>
  </si>
  <si>
    <t>KS Posco Cilegon steel plant BF and BOF expansion</t>
  </si>
  <si>
    <t>Hebei Bishi Central Java steel plant</t>
  </si>
  <si>
    <t>Kendal Regency</t>
  </si>
  <si>
    <t>Central Java</t>
  </si>
  <si>
    <t>Hebei Bishi Central Java steel plant expansion</t>
  </si>
  <si>
    <t>Dexin Steel Morowali plant</t>
  </si>
  <si>
    <t>Bahodopi</t>
  </si>
  <si>
    <t>Central Sulawesi</t>
  </si>
  <si>
    <t>Dexin Steel Morowali plant BF and BOF expansion 1</t>
  </si>
  <si>
    <t>Dexin Steel Morowali plant BOF expansion 2</t>
  </si>
  <si>
    <t>Anshan Iron &amp; Steel Central Sulawesi steel plant</t>
  </si>
  <si>
    <t>Jakarta Prima Steel Industries plant</t>
  </si>
  <si>
    <t>East Jakarta</t>
  </si>
  <si>
    <t>Gunung Raja Paksi North Sumatra steel plant</t>
  </si>
  <si>
    <t>Medan</t>
  </si>
  <si>
    <t>North Sumatra</t>
  </si>
  <si>
    <t>Gunung Raja Paksi South Kalimantan steel plant</t>
  </si>
  <si>
    <t>Batulicin</t>
  </si>
  <si>
    <t>South Kalimantan</t>
  </si>
  <si>
    <t>CNR Mandan Steel South Kalimantan plant</t>
  </si>
  <si>
    <t>Shaanxi Iron and Steel Indonesia plant</t>
  </si>
  <si>
    <t>Gunung Raja Paksi West Java steel plant BF expansion</t>
  </si>
  <si>
    <t>Sukadanau</t>
  </si>
  <si>
    <t>West Java</t>
  </si>
  <si>
    <t>Gunung Raja Paksi West Java steel plant</t>
  </si>
  <si>
    <t>Chubu Steel Plate Nagoya plant</t>
  </si>
  <si>
    <t>Nagoya</t>
  </si>
  <si>
    <t>Chūbu</t>
  </si>
  <si>
    <t>Tokyo Steel Tahara plant</t>
  </si>
  <si>
    <t>Tahara</t>
  </si>
  <si>
    <t>Aichi Steel Chita Plant (Tokai)</t>
  </si>
  <si>
    <t>Tokai</t>
  </si>
  <si>
    <t>Daido Steel Chita plant (Tokai)</t>
  </si>
  <si>
    <t>Nippon East Japan Works (Nagoya) steel plant</t>
  </si>
  <si>
    <t>Kyoei Steel Nagoya Division (Tokai)</t>
  </si>
  <si>
    <t>Topy Industries Toyohashi steel plant</t>
  </si>
  <si>
    <t>Toyohashi</t>
  </si>
  <si>
    <t>JFE West Japan Works (Fukuyama) steel plant</t>
  </si>
  <si>
    <t>Fukuyama</t>
  </si>
  <si>
    <t>Chūgoku</t>
  </si>
  <si>
    <t>JFE Bars &amp; Shapes Mizushima Works steel plant</t>
  </si>
  <si>
    <t>JFE West Japan Works (Kurashiki) steel plant</t>
  </si>
  <si>
    <t>Tokyo Steel Okayama plant</t>
  </si>
  <si>
    <t>JFE West Japan Works (Kurashiki) steel plant BF closure</t>
  </si>
  <si>
    <t>Nippon Setouchi Works (Kure Area) steel plant</t>
  </si>
  <si>
    <t>Kure</t>
  </si>
  <si>
    <t>Kyoei Steel Yamaguchi Division (Yamaguchi)</t>
  </si>
  <si>
    <t>Yamaguchi</t>
  </si>
  <si>
    <t>North Nippon Muroran Works steel plant</t>
  </si>
  <si>
    <t>Hokkaidō</t>
  </si>
  <si>
    <t>JFE Bars &amp; Shapes Himeji Works steel plant</t>
  </si>
  <si>
    <t>Himeji</t>
  </si>
  <si>
    <t>Kansai</t>
  </si>
  <si>
    <t>Nippon Setouchi Works (Hirohata Area) steel plant</t>
  </si>
  <si>
    <t>Nippon Setouchi Works (Hirohata Area) steel plant EAF expansion</t>
  </si>
  <si>
    <t>Nippon Sanyo Special Steel</t>
  </si>
  <si>
    <t>Yamato Steel Himeji Plant</t>
  </si>
  <si>
    <t>Godo Steel Himeji Works</t>
  </si>
  <si>
    <t>Kobe Kakogawa Works steel plant</t>
  </si>
  <si>
    <t>Kakogawa</t>
  </si>
  <si>
    <t>Kobe Wire Rod &amp; Bar steel plant</t>
  </si>
  <si>
    <t>Kobe</t>
  </si>
  <si>
    <t>Godo Steel Osaka Works</t>
  </si>
  <si>
    <t>Osaka</t>
  </si>
  <si>
    <t>Nippon Steel Wakayama Area (Sakai) plant</t>
  </si>
  <si>
    <t>Nakayama Steel Products Osaka plant</t>
  </si>
  <si>
    <t>Nakayama Steel Works Osaka</t>
  </si>
  <si>
    <t>Kyoei Steel Hirakata Division (Osaka)</t>
  </si>
  <si>
    <t>Nippon Kansai Works (Wakayama Area, Wakayama) steel plant</t>
  </si>
  <si>
    <t>JFE East Japan Works (Chiba) steel plant</t>
  </si>
  <si>
    <t>Chiba</t>
  </si>
  <si>
    <t>Kantō</t>
  </si>
  <si>
    <t>Godo Steel Funabashi Works</t>
  </si>
  <si>
    <t>JFE East Japan Works (Chiba) steel plant expansions</t>
  </si>
  <si>
    <t>JFE Bars &amp; Shapes Kashima Works steel plant</t>
  </si>
  <si>
    <t>Kamisu</t>
  </si>
  <si>
    <t>Nippon East Japan Works (Kashima) steel plant</t>
  </si>
  <si>
    <t>Kashima</t>
  </si>
  <si>
    <t>JFE East Japan Works (Keihin) steel plant</t>
  </si>
  <si>
    <t>JFE East Japan Works (Keihin) steel plant BF closure</t>
  </si>
  <si>
    <t>Nippon East Japan Works (Kimitsu) steel plant</t>
  </si>
  <si>
    <t>Kimitsu</t>
  </si>
  <si>
    <t>JFE Bars &amp; Shapes Toubu Works steel plant</t>
  </si>
  <si>
    <t>Misato</t>
  </si>
  <si>
    <t>Tokyo Steel Utsunomiya plant</t>
  </si>
  <si>
    <t>Utsunomiya</t>
  </si>
  <si>
    <t>Nippon Kyushu Works (Yawata Area, Tobata) steel plant</t>
  </si>
  <si>
    <t>Kitakyushu</t>
  </si>
  <si>
    <t>Kyūshū</t>
  </si>
  <si>
    <t>Nippon Kyushu Works (Yawata Area, Kokura) steel plant</t>
  </si>
  <si>
    <t>Tokyo Steel Kyushu plant</t>
  </si>
  <si>
    <t>Nippon Kyushu Works (Oita Area, Oita) steel plant</t>
  </si>
  <si>
    <t>Oita</t>
  </si>
  <si>
    <t>JFE Sendai Works steel plant</t>
  </si>
  <si>
    <t>Miyagi</t>
  </si>
  <si>
    <t>Lion Industries Antara Johor steel plant</t>
  </si>
  <si>
    <t>Pasir Gudang</t>
  </si>
  <si>
    <t>Johor</t>
  </si>
  <si>
    <t>Malaysia</t>
  </si>
  <si>
    <t>Kinsteel Perfect Channel Gurun steel plant</t>
  </si>
  <si>
    <t>Gurun</t>
  </si>
  <si>
    <t>Kedah</t>
  </si>
  <si>
    <t>Kinsteel Perfect Channel Gurun steel plant IF expansion</t>
  </si>
  <si>
    <t>Esteel Antara Labuan iron plant</t>
  </si>
  <si>
    <t>Labuan</t>
  </si>
  <si>
    <t>Labuan Island</t>
  </si>
  <si>
    <t>Alliance Steel Kuantan plant</t>
  </si>
  <si>
    <t>Kuantan</t>
  </si>
  <si>
    <t>Pahang</t>
  </si>
  <si>
    <t>Ann Joo Integrated Steel Penang plant</t>
  </si>
  <si>
    <t>Prai</t>
  </si>
  <si>
    <t>Penang</t>
  </si>
  <si>
    <t>Southern Steel Prai Penang plant</t>
  </si>
  <si>
    <t>Hebei Xin Wu'an Steel Malaysia plant</t>
  </si>
  <si>
    <t>Samalaju</t>
  </si>
  <si>
    <t>Hebei Xin Wu'an Steel Malaysia plant BF and BOF expansion</t>
  </si>
  <si>
    <t>Lion Industries Amsteel Banting steel plant</t>
  </si>
  <si>
    <t>Banting</t>
  </si>
  <si>
    <t>Lion Industries Megasteel plant</t>
  </si>
  <si>
    <t>Lion Industries Amsteel Klang steel plant</t>
  </si>
  <si>
    <t>Klang</t>
  </si>
  <si>
    <t>Lion Industries Amsteel Klang steel plant BF and BOF expansion</t>
  </si>
  <si>
    <t>Malaysia Steel Works Klang</t>
  </si>
  <si>
    <t>Malaysia Steel Works Petaling Jaya</t>
  </si>
  <si>
    <t>Petaling Jaya</t>
  </si>
  <si>
    <t>Ann Joo Steel Selangor plant</t>
  </si>
  <si>
    <t>Shah Alam</t>
  </si>
  <si>
    <t>Eastern Steel Kemaman plant</t>
  </si>
  <si>
    <t>Eastern Steel Kemaman plant expansion 1</t>
  </si>
  <si>
    <t>Eastern Steel Kemaman plant expansion 2</t>
  </si>
  <si>
    <t>Maju Perwaja Steel plant</t>
  </si>
  <si>
    <t>Kunming Iron and Steel Myanmar plant</t>
  </si>
  <si>
    <t>Myanmar</t>
  </si>
  <si>
    <t>BlueScope New Zealand Steel Glenbrook</t>
  </si>
  <si>
    <t>Glenbrook</t>
  </si>
  <si>
    <t>South Auckland</t>
  </si>
  <si>
    <t>BOF, DRI</t>
  </si>
  <si>
    <t>Ch'ŏngjin Ironworks steel plant</t>
  </si>
  <si>
    <t>Chongjin</t>
  </si>
  <si>
    <t>North Hamgyeong</t>
  </si>
  <si>
    <t>North Korea</t>
  </si>
  <si>
    <t>Kim Chaek Iron and Steel Complex steel plant</t>
  </si>
  <si>
    <t>BF, BOF, EAF, OHF</t>
  </si>
  <si>
    <t>Hwanghae Iron and Steel Complex steel plant</t>
  </si>
  <si>
    <t>Songnim</t>
  </si>
  <si>
    <t>North Hwanghae</t>
  </si>
  <si>
    <t>BF, EAF, OHF</t>
  </si>
  <si>
    <t>Kangson Works steel plant</t>
  </si>
  <si>
    <t>Nampo</t>
  </si>
  <si>
    <t>South Pyongan</t>
  </si>
  <si>
    <t>Ch'ollima Steel Complex steel plant</t>
  </si>
  <si>
    <t>Century Steel Khyber plant</t>
  </si>
  <si>
    <t>Nowshera</t>
  </si>
  <si>
    <t>Khyber Pakhtunkhwa</t>
  </si>
  <si>
    <t>Pakistan</t>
  </si>
  <si>
    <t>Ittehad Steel Faisalabad plant</t>
  </si>
  <si>
    <t>Faisalabad</t>
  </si>
  <si>
    <t>Ittehad Steel Faisalabad plant EAF expansion</t>
  </si>
  <si>
    <t>Agha Steel Industries Karachi plant</t>
  </si>
  <si>
    <t>Al Tuwairqi Steel Karachi plant</t>
  </si>
  <si>
    <t>Pakistan Steel Mills Karachi</t>
  </si>
  <si>
    <t>SteelAsia Batangas plant</t>
  </si>
  <si>
    <t>Lemery</t>
  </si>
  <si>
    <t>Philippines</t>
  </si>
  <si>
    <t>SteelAsia Compostela plant</t>
  </si>
  <si>
    <t>Compostela</t>
  </si>
  <si>
    <t>Cebu</t>
  </si>
  <si>
    <t>SteelAsia Concepcion plant</t>
  </si>
  <si>
    <t>Tarlac</t>
  </si>
  <si>
    <t>Luzon</t>
  </si>
  <si>
    <t>Panhua Group Mindanao steel plant</t>
  </si>
  <si>
    <t>Misamis Oriental</t>
  </si>
  <si>
    <t>Mindanao</t>
  </si>
  <si>
    <t>Mount Zynai Integratred Steel Mill and Smelting Plant</t>
  </si>
  <si>
    <t>Zamboanga Sibugay</t>
  </si>
  <si>
    <t>HBIS and SteelAsia Misamis plant I</t>
  </si>
  <si>
    <t>Misamis Oriental province</t>
  </si>
  <si>
    <t>HBIS and SteelAsia Misamis plant II</t>
  </si>
  <si>
    <t>Panhua Group Sarangani steel plant</t>
  </si>
  <si>
    <t>Maasim</t>
  </si>
  <si>
    <t>Sarangani</t>
  </si>
  <si>
    <t>SteelAsia Calaca plant</t>
  </si>
  <si>
    <t>Calaca Batangas</t>
  </si>
  <si>
    <t>Southern Luzon</t>
  </si>
  <si>
    <t>BaoSteel and SteelAsia Philippines plant</t>
  </si>
  <si>
    <t>Natsteel Singapore plant</t>
  </si>
  <si>
    <t>SeAH Steel Pohang plant</t>
  </si>
  <si>
    <t>Pohang</t>
  </si>
  <si>
    <t>North Gyeongsang</t>
  </si>
  <si>
    <t>Dongkuk Steel Pohang steel plant</t>
  </si>
  <si>
    <t>Hyundai Steel Pohang steel plant</t>
  </si>
  <si>
    <t>POSCO Pohang steel plant</t>
  </si>
  <si>
    <t>POSCO Pohang steel plant EAF expansion</t>
  </si>
  <si>
    <t>SeAH Besteel Gunsan steel plant</t>
  </si>
  <si>
    <t>Gunsan</t>
  </si>
  <si>
    <t>North Jeolla</t>
  </si>
  <si>
    <t>KG Dongbu Steel Incheon steel plant</t>
  </si>
  <si>
    <t>Incheon</t>
  </si>
  <si>
    <t>Seoul National Capital Area</t>
  </si>
  <si>
    <t>Dongkuk Steel Incheon steel plant</t>
  </si>
  <si>
    <t>Hyundai Steel Incheon steel plant</t>
  </si>
  <si>
    <t>Hansco Hwangyoung Steel Dangjin plant</t>
  </si>
  <si>
    <t>Dangjin</t>
  </si>
  <si>
    <t>South Chungcheong</t>
  </si>
  <si>
    <t>KG Dongbu Steel Dangjin steel plant</t>
  </si>
  <si>
    <t>Hyundai Steel Dangjin steel plant</t>
  </si>
  <si>
    <t>YK Steel Busan plant</t>
  </si>
  <si>
    <t>South Gyeongsang</t>
  </si>
  <si>
    <t>KISCO steel Changwon plant</t>
  </si>
  <si>
    <t>Changwon</t>
  </si>
  <si>
    <t>SeAH Changwon Integrated Special Steel plant</t>
  </si>
  <si>
    <t>POSCO Gwangyang steel plant</t>
  </si>
  <si>
    <t>Gwangyang</t>
  </si>
  <si>
    <t>South Jeolla</t>
  </si>
  <si>
    <t>POSCO Gwangyang steel plant EAF expansion</t>
  </si>
  <si>
    <t>South Korea hydrogen DRI plant</t>
  </si>
  <si>
    <t>South Korea hydrogen DRI plant expansion</t>
  </si>
  <si>
    <t>Lanwa Steel Hambantota steel plant</t>
  </si>
  <si>
    <t>Hambantota</t>
  </si>
  <si>
    <t>Sri Lanka</t>
  </si>
  <si>
    <t>E-Top Metal Changhua plant</t>
  </si>
  <si>
    <t>Shengang Township</t>
  </si>
  <si>
    <t>Changhua</t>
  </si>
  <si>
    <t>Tung Ho Steel Taoyuan Plant</t>
  </si>
  <si>
    <t>Taoyuan City</t>
  </si>
  <si>
    <t>Guanyin</t>
  </si>
  <si>
    <t>Yieh United Steel Kaohsiung plant</t>
  </si>
  <si>
    <t>Gangshan</t>
  </si>
  <si>
    <t>China Steel Structure Kaohsiung plant</t>
  </si>
  <si>
    <t>Yanchao</t>
  </si>
  <si>
    <t>Tung Ho Steel Miaoli Factory</t>
  </si>
  <si>
    <t>Xihu Township</t>
  </si>
  <si>
    <t>Miaoli</t>
  </si>
  <si>
    <t>Feng Hsin Steel Taichung plant</t>
  </si>
  <si>
    <t>Houli</t>
  </si>
  <si>
    <t>Taichung</t>
  </si>
  <si>
    <t>China Steel Dragon Steel Taichung plant</t>
  </si>
  <si>
    <t>Longjing</t>
  </si>
  <si>
    <t>Tung Ho Steel Kaohsiung Plant</t>
  </si>
  <si>
    <t>Kaohsiung City</t>
  </si>
  <si>
    <t>Xiaogang</t>
  </si>
  <si>
    <t>UMC Metals Chon Buri plant</t>
  </si>
  <si>
    <t>Amphoe Muang</t>
  </si>
  <si>
    <t>Chonburi</t>
  </si>
  <si>
    <t>Thailand</t>
  </si>
  <si>
    <t>Tata Steel Manufacturing (Thailand) NTS Plant</t>
  </si>
  <si>
    <t>Sriracha</t>
  </si>
  <si>
    <t>Nippon GJS steel plant</t>
  </si>
  <si>
    <t>Tata Steel Manufacturing (Thailand) SCSC Plant</t>
  </si>
  <si>
    <t>Siam Yamato Steel I plant</t>
  </si>
  <si>
    <t>Maptaphut</t>
  </si>
  <si>
    <t>Siam Yamato Steel II plant</t>
  </si>
  <si>
    <t>Millcon Steel plant</t>
  </si>
  <si>
    <t>Nikhom Phatthana</t>
  </si>
  <si>
    <t>Nippon G Steel plant</t>
  </si>
  <si>
    <t>Nonglalog</t>
  </si>
  <si>
    <t>Bangkok Steel Industry plant</t>
  </si>
  <si>
    <t>Bangyapraek</t>
  </si>
  <si>
    <t>Pomina Steel 2 Phu My plant</t>
  </si>
  <si>
    <t>Phu My Town</t>
  </si>
  <si>
    <t>Ba Ria Vung Tau</t>
  </si>
  <si>
    <t>Vietnam</t>
  </si>
  <si>
    <t>Tung Ho Steel Phu My plant</t>
  </si>
  <si>
    <t>Pomina Steel 3 Phu My plant</t>
  </si>
  <si>
    <t>POSCO Vietnam Phu My steel plant</t>
  </si>
  <si>
    <t>VNSteel Southern Steel Company plant</t>
  </si>
  <si>
    <t>Hoa Sen Phu My steel plant</t>
  </si>
  <si>
    <t>Vina Kyoei Steel Phu My plant</t>
  </si>
  <si>
    <t>Long Son Phu My Iron and Steel plant</t>
  </si>
  <si>
    <t>Hoai Nhon town</t>
  </si>
  <si>
    <t>Binh Dinh</t>
  </si>
  <si>
    <t>Long Son Phu My Iron and Steel plant expansion I</t>
  </si>
  <si>
    <t>Long Son Phu My Iron and Steel plant expansion II</t>
  </si>
  <si>
    <t>VAS Tue Minh Steel Binh Duong plant</t>
  </si>
  <si>
    <t>Bac Tan Uyen Town</t>
  </si>
  <si>
    <t>Binh Duong</t>
  </si>
  <si>
    <t>VAS An Hung Tuong Steel Binh Duong plant</t>
  </si>
  <si>
    <t>Ben Cat Town</t>
  </si>
  <si>
    <t>Formosa Ha Tinh Steel plant</t>
  </si>
  <si>
    <t>Ky Anh Town</t>
  </si>
  <si>
    <t>Ha Tinh</t>
  </si>
  <si>
    <t>Formosa Ha Tinh Steel plant BF and BOF expansion 1</t>
  </si>
  <si>
    <t>Formosa Ha Tinh Steel plant BF and BOF expansion 2</t>
  </si>
  <si>
    <t>Hoa Phat Hai Duong Steel plant</t>
  </si>
  <si>
    <t>Kinh Mon Town</t>
  </si>
  <si>
    <t>Hai Duong</t>
  </si>
  <si>
    <t>Lao Cai Cast Iron and Steel Plant</t>
  </si>
  <si>
    <t>Tang Long Town</t>
  </si>
  <si>
    <t>Lao Cai</t>
  </si>
  <si>
    <t>Hoa Phat Dung Quat steel plant</t>
  </si>
  <si>
    <t>Dung Quat Economic Zone</t>
  </si>
  <si>
    <t>Quang Ngai</t>
  </si>
  <si>
    <t>Hoa Phat Dung Quat steel plant BOF expansion</t>
  </si>
  <si>
    <t>Thai Nguyen Iron &amp; Steel plant</t>
  </si>
  <si>
    <t>Thanh Pho City</t>
  </si>
  <si>
    <t>Thai Nguyen</t>
  </si>
  <si>
    <t>Thai Nguyen Iron &amp; Steel plant expansion</t>
  </si>
  <si>
    <t>VAS Nghi Son Cast Iron and Steel plant</t>
  </si>
  <si>
    <t>Nghi Son Town</t>
  </si>
  <si>
    <t>Thanh Hoa</t>
  </si>
  <si>
    <t>TenarisSiderca Campana steel plant</t>
  </si>
  <si>
    <t>Ternium Siderar San Nicolás steel plant</t>
  </si>
  <si>
    <t>San Nicolás de los Arroyos</t>
  </si>
  <si>
    <t>Gerdau Sipar Pérez steel plant</t>
  </si>
  <si>
    <t>Pérez</t>
  </si>
  <si>
    <t>ArcelorMittal Acindar Villa Constitución steel plant</t>
  </si>
  <si>
    <t>Villa Constitución</t>
  </si>
  <si>
    <t>ArcelorMittal Pecém steel plant</t>
  </si>
  <si>
    <t>São Gonçalo do Amarante</t>
  </si>
  <si>
    <t>Ceará</t>
  </si>
  <si>
    <t>Simec Cariacica steel plant</t>
  </si>
  <si>
    <t>Cariacica</t>
  </si>
  <si>
    <t>Espírito Santo</t>
  </si>
  <si>
    <t>Simec Cariacica steel plant EAF expansion</t>
  </si>
  <si>
    <t>ArcelorMittal Tubarão steel plant</t>
  </si>
  <si>
    <t>Tubarão, Serra</t>
  </si>
  <si>
    <t>AVB Açailândia steel plant</t>
  </si>
  <si>
    <t>Açailândia</t>
  </si>
  <si>
    <t>Maranhão</t>
  </si>
  <si>
    <t>Viena Açailândia iron works</t>
  </si>
  <si>
    <t>Gerdau Divinópolis steel plant</t>
  </si>
  <si>
    <t>Divinópolis</t>
  </si>
  <si>
    <t>Usiminas Ipatinga steel plant</t>
  </si>
  <si>
    <t>Ipatinga</t>
  </si>
  <si>
    <t>Vallourec Jeceaba steel plant</t>
  </si>
  <si>
    <t>Jeceaba</t>
  </si>
  <si>
    <t>ArcelorMittal Monlevade steel plant</t>
  </si>
  <si>
    <t>João Monlevade</t>
  </si>
  <si>
    <t>ArcelorMittal Monlevade steel BF and EAF expansion</t>
  </si>
  <si>
    <t>ArcelorMittal Juiz de Fora steel plant</t>
  </si>
  <si>
    <t>Juiz de Fora</t>
  </si>
  <si>
    <t>ArcelorMittal Juiz de Fora steel plant EAF expansion</t>
  </si>
  <si>
    <t>Gerdau Açominas Ouro Branco steel plant</t>
  </si>
  <si>
    <t>Ouro Branco</t>
  </si>
  <si>
    <t>Aperam Timóteo steel plant</t>
  </si>
  <si>
    <t>Timóteo</t>
  </si>
  <si>
    <t>Gerdau Guaíra Araucária steel plant</t>
  </si>
  <si>
    <t>Araucária</t>
  </si>
  <si>
    <t>Paraná</t>
  </si>
  <si>
    <t>ArcelorMittal Barra Mansa steel plant</t>
  </si>
  <si>
    <t>Barra Mansa</t>
  </si>
  <si>
    <t>ArcelorMittal Resende steel plant</t>
  </si>
  <si>
    <t>Resende</t>
  </si>
  <si>
    <t>Ternium Brasil Santa Cruz steel plant</t>
  </si>
  <si>
    <t>Gerdau Cosigua Santa Cruz steel plant</t>
  </si>
  <si>
    <t>CSN Volta Redonda steel plant</t>
  </si>
  <si>
    <t>Volta Redonda</t>
  </si>
  <si>
    <t>Gerdau São Paulo Araçariguama steel plant</t>
  </si>
  <si>
    <t>Araçariguama</t>
  </si>
  <si>
    <t>São Paulo</t>
  </si>
  <si>
    <t>Usiminas Cubatão steel plant</t>
  </si>
  <si>
    <t>Cubatão</t>
  </si>
  <si>
    <t>Simec Pindamonhangaba steel plant</t>
  </si>
  <si>
    <t>Pindamonhangaba</t>
  </si>
  <si>
    <t>Simec Pindamonhangaba steel plant EAF expansion</t>
  </si>
  <si>
    <t>Gerdau Pindamonhangaba steel plant</t>
  </si>
  <si>
    <t>ArcelorMittal Piracicaba steel plant</t>
  </si>
  <si>
    <t>Piracicaba</t>
  </si>
  <si>
    <t>CAP Acero Huachipato steel plant</t>
  </si>
  <si>
    <t>Talcahuano</t>
  </si>
  <si>
    <t>Chile</t>
  </si>
  <si>
    <t>AZA Colina steel plant</t>
  </si>
  <si>
    <t>Colina</t>
  </si>
  <si>
    <t>Región Metropolitana</t>
  </si>
  <si>
    <t>AG Sidegua Masagua steel plant</t>
  </si>
  <si>
    <t>Masagua</t>
  </si>
  <si>
    <t>Escuintla</t>
  </si>
  <si>
    <t>Guatemala</t>
  </si>
  <si>
    <t>Gerdau Siderperu Chimbote steel plant</t>
  </si>
  <si>
    <t>Chimbote</t>
  </si>
  <si>
    <t>Ancash</t>
  </si>
  <si>
    <t>Peru</t>
  </si>
  <si>
    <t>Aceros Arequipa Pisco steel plant</t>
  </si>
  <si>
    <t>Pisco</t>
  </si>
  <si>
    <t>Ica</t>
  </si>
  <si>
    <t>Aceros Arequipa Pisco steel plant EAF expansion</t>
  </si>
  <si>
    <t>Nu-Iron Unlimited Point Lisas DRI plant</t>
  </si>
  <si>
    <t>Point Lisas</t>
  </si>
  <si>
    <t>Couva</t>
  </si>
  <si>
    <t>Trinidad and Tobago</t>
  </si>
  <si>
    <t>TT Iron and Steel Point Lisas steel plant</t>
  </si>
  <si>
    <t>CVG Comsigua DRI plant</t>
  </si>
  <si>
    <t>Ciudad Guayana</t>
  </si>
  <si>
    <t>Bolívar</t>
  </si>
  <si>
    <t>Venezuela</t>
  </si>
  <si>
    <t>CVG Ferrominera Orinoco DRI plant</t>
  </si>
  <si>
    <t>CVG Briquetera del Orinoco DRI plant</t>
  </si>
  <si>
    <t>CVG Briquetera del Caroní DRI plant</t>
  </si>
  <si>
    <t>CVG Briquetera de Venezuela DRI plant</t>
  </si>
  <si>
    <t>Sidor Ciudad Guayana steel plant</t>
  </si>
  <si>
    <t>Guayana City</t>
  </si>
  <si>
    <t>Azerbaijan Integrated Steel Mill Complex</t>
  </si>
  <si>
    <t>Ganja</t>
  </si>
  <si>
    <t>Ganja-Dashkasan</t>
  </si>
  <si>
    <t>Azerbaijan</t>
  </si>
  <si>
    <t>Baku Steel Company steel plant</t>
  </si>
  <si>
    <t>Narimanov</t>
  </si>
  <si>
    <t>Rustavi Metallurgical Plant OHF closure</t>
  </si>
  <si>
    <t>Rustavi</t>
  </si>
  <si>
    <t>Kvemo Kartli</t>
  </si>
  <si>
    <t>OHF</t>
  </si>
  <si>
    <t>Rustavi Metallurgical Plant</t>
  </si>
  <si>
    <t>Rustavi Metallurgical Plant EAF expansion</t>
  </si>
  <si>
    <t>QazSpecSteel Aktobe steel plant</t>
  </si>
  <si>
    <t>Aktobe</t>
  </si>
  <si>
    <t>Kazakhstan</t>
  </si>
  <si>
    <t>ArcelorMittal Temirtau steel plant</t>
  </si>
  <si>
    <t>Temirtau</t>
  </si>
  <si>
    <t>Karaganda</t>
  </si>
  <si>
    <t>KSP Steel Pavlodar steel plant</t>
  </si>
  <si>
    <t>Sin Yuan Steel Shymkent steel plant</t>
  </si>
  <si>
    <t>Shymkent</t>
  </si>
  <si>
    <t>Lebedinsky GOK DRI Plant</t>
  </si>
  <si>
    <t>Gubkin</t>
  </si>
  <si>
    <t>Belgorod</t>
  </si>
  <si>
    <t>Lebedinsky GOK DRI Plant DRI expansion</t>
  </si>
  <si>
    <t>Metalloinvest OEMK steel plant</t>
  </si>
  <si>
    <t>Stary Oskol</t>
  </si>
  <si>
    <t>Metalloinvest OEMK steel plant EAF expansion</t>
  </si>
  <si>
    <t>Ashinskiy Metallurgical Works</t>
  </si>
  <si>
    <t>Asha</t>
  </si>
  <si>
    <t>Chelyabinsk</t>
  </si>
  <si>
    <t>Mechel Chelyabinsk Metallurgical Plant</t>
  </si>
  <si>
    <t>Magnitogorsk Iron &amp; Steel Works</t>
  </si>
  <si>
    <t>Magnitogorsk</t>
  </si>
  <si>
    <t>Magnitogorsk Iron &amp; Steel Works BF expansion</t>
  </si>
  <si>
    <t>Zlatoust Metallurgical Plant</t>
  </si>
  <si>
    <t>Zlatoust</t>
  </si>
  <si>
    <t>NLMK Kaluga steel plant</t>
  </si>
  <si>
    <t>Vorsino village</t>
  </si>
  <si>
    <t>Kaluga</t>
  </si>
  <si>
    <t>Evraz ZSMK steel plant</t>
  </si>
  <si>
    <t>Novokuznetsk</t>
  </si>
  <si>
    <t>Kemerovskaya</t>
  </si>
  <si>
    <t>Amurstal steel plant</t>
  </si>
  <si>
    <t>Komsomolsk-on-Amur</t>
  </si>
  <si>
    <t>Khabarovsk</t>
  </si>
  <si>
    <t>Amurstal steel plant DRI and EAF expansion</t>
  </si>
  <si>
    <t>Abinsk Electric Steel Works</t>
  </si>
  <si>
    <t>Abinsk</t>
  </si>
  <si>
    <t>Krasnodar</t>
  </si>
  <si>
    <t>Metalloinvest Mikhailovsky HBI plant</t>
  </si>
  <si>
    <t>Zheleznogorsk</t>
  </si>
  <si>
    <t>Kursk Oblast</t>
  </si>
  <si>
    <t>NLMK Lipetsk steel plant</t>
  </si>
  <si>
    <t>Lipetsk</t>
  </si>
  <si>
    <t>OMK Ecolant steel plant</t>
  </si>
  <si>
    <t>Vyksa</t>
  </si>
  <si>
    <t>Nizhny Novgorod</t>
  </si>
  <si>
    <t>OMK Vyksa Casting and Rolling Complex</t>
  </si>
  <si>
    <t>Ural Steel Metallurgical Plant</t>
  </si>
  <si>
    <t>Novotroitsk</t>
  </si>
  <si>
    <t>Ural Steel Metallurgical Plant BOF expansion</t>
  </si>
  <si>
    <t>Kamsky Metallurgical Works TEMPO</t>
  </si>
  <si>
    <t>Naberezhnye Chelny</t>
  </si>
  <si>
    <t>Republic of Tatarstan</t>
  </si>
  <si>
    <t>Donelektrostal Shakhty steel plant</t>
  </si>
  <si>
    <t>Shakhty</t>
  </si>
  <si>
    <t>TMK Taganrog Metallurgical Plant</t>
  </si>
  <si>
    <t>Taganrog</t>
  </si>
  <si>
    <t>Balakovo Steel Factory</t>
  </si>
  <si>
    <t>Bykov Otrog</t>
  </si>
  <si>
    <t>Novostal-M Balakovo steel mill</t>
  </si>
  <si>
    <t>StavStal Metallurgical Plant</t>
  </si>
  <si>
    <t>Nevinnomyssk</t>
  </si>
  <si>
    <t>Stavropol Krai</t>
  </si>
  <si>
    <t>Evraz NTMK steel plant</t>
  </si>
  <si>
    <t>Nizhnij Tagil</t>
  </si>
  <si>
    <t>Sverdlovsk</t>
  </si>
  <si>
    <t>Iron Ozone 32 steel plant</t>
  </si>
  <si>
    <t>Pervouralsk</t>
  </si>
  <si>
    <t>TMK Seversky Pipe Plant</t>
  </si>
  <si>
    <t>Polevskoy</t>
  </si>
  <si>
    <t>NLMK Ural steel plant</t>
  </si>
  <si>
    <t>Revda</t>
  </si>
  <si>
    <t>Nadezhdinski Metallurgical Plant (Serov)</t>
  </si>
  <si>
    <t>Serov</t>
  </si>
  <si>
    <t>IMH Tulachermet</t>
  </si>
  <si>
    <t>Tula</t>
  </si>
  <si>
    <t>Tyumen Electrosteel plant</t>
  </si>
  <si>
    <t>Tyumen</t>
  </si>
  <si>
    <t>VMK Red October steel plant</t>
  </si>
  <si>
    <t>Volzhsky Pipe Plant</t>
  </si>
  <si>
    <t>Volzhskiy</t>
  </si>
  <si>
    <t>Severstal Cherepovets steel plant</t>
  </si>
  <si>
    <t>Cherepovets</t>
  </si>
  <si>
    <t>Vologda</t>
  </si>
  <si>
    <t>Tebinbulak mining and smelting complex</t>
  </si>
  <si>
    <t>Karatau</t>
  </si>
  <si>
    <t>Karauzyak District</t>
  </si>
  <si>
    <t>Uzbekistan</t>
  </si>
  <si>
    <t>Uzmetkombinat steel plant</t>
  </si>
  <si>
    <t>Bekobod</t>
  </si>
  <si>
    <t>Tashkent</t>
  </si>
  <si>
    <t>EAF, OHF</t>
  </si>
  <si>
    <t>Uzmetkombinat steel plant EAF expansion</t>
  </si>
  <si>
    <t>Kurum International Elbasan steel plant</t>
  </si>
  <si>
    <t>Elbasan</t>
  </si>
  <si>
    <t>Bradashesh</t>
  </si>
  <si>
    <t>Voestalpine Stahl Donawitz steel plant transition (EAF expansion)</t>
  </si>
  <si>
    <t>Leoben</t>
  </si>
  <si>
    <t>Styria</t>
  </si>
  <si>
    <t>Voestalpine Stahl Donawitz steel plant transition (BF-BOF closure)</t>
  </si>
  <si>
    <t>Voestalpine Stahl Donawitz steel plant</t>
  </si>
  <si>
    <t>Voestalpine Stahl Linz steel plant transition (EAF expansion)</t>
  </si>
  <si>
    <t>Upper Austria</t>
  </si>
  <si>
    <t>Voestalpine Stahl Linz steel plant transition (BF-BOF closure)</t>
  </si>
  <si>
    <t>Voestalpine Stahl Linz steel plant</t>
  </si>
  <si>
    <t>Byelorussian Steel Works</t>
  </si>
  <si>
    <t>Zhlobin</t>
  </si>
  <si>
    <t>Gomel Region</t>
  </si>
  <si>
    <t>Belarus</t>
  </si>
  <si>
    <t>Aperam Stainless Belgium Genk steel plant</t>
  </si>
  <si>
    <t>Genk</t>
  </si>
  <si>
    <t>Limburg</t>
  </si>
  <si>
    <t>Belgium</t>
  </si>
  <si>
    <t>ArcelorMittal Gent steel plant transition (BF-BOF closure)</t>
  </si>
  <si>
    <t>Gent</t>
  </si>
  <si>
    <t>Vlaanderen</t>
  </si>
  <si>
    <t>ArcelorMittal Gent steel plant</t>
  </si>
  <si>
    <t>ArcelorMittal Gent steel plant transition (DRI-EAF addition)</t>
  </si>
  <si>
    <t>Thy Marcinelle Charleroi steel plant</t>
  </si>
  <si>
    <t>Charleroi</t>
  </si>
  <si>
    <t>Wallonie</t>
  </si>
  <si>
    <t>Aperam Stainless Belgium Châtelet steel plant</t>
  </si>
  <si>
    <t>Châtelet</t>
  </si>
  <si>
    <t>ArcelorMittal Zenica steel plant</t>
  </si>
  <si>
    <t>Zenica</t>
  </si>
  <si>
    <t>Zenica-Doboj</t>
  </si>
  <si>
    <t>Bosnia and Herzegovina</t>
  </si>
  <si>
    <t>Stomana Industry Pernik steel plant</t>
  </si>
  <si>
    <t>Pernik</t>
  </si>
  <si>
    <t>Bulgaria</t>
  </si>
  <si>
    <t>ABS Sisak Iron &amp; Steel plant EAF expansion</t>
  </si>
  <si>
    <t>Sisačko-moslavačka županija</t>
  </si>
  <si>
    <t>Croatia</t>
  </si>
  <si>
    <t>ABS Sisak Iron &amp; Steel plant</t>
  </si>
  <si>
    <t>GFG Liberty Ostrava steel plant transition (BF-BOF closure)</t>
  </si>
  <si>
    <t>Ostrava-Kunčice</t>
  </si>
  <si>
    <t>Moravia-Silesia</t>
  </si>
  <si>
    <t>Czech Republic</t>
  </si>
  <si>
    <t>GFG Liberty Ostrava steel plant transition (EAF addition)</t>
  </si>
  <si>
    <t>GFG Liberty Ostrava steel plant</t>
  </si>
  <si>
    <t>TZMS Třinecké železárny Trinec steel plant</t>
  </si>
  <si>
    <t>Třinec</t>
  </si>
  <si>
    <t>Ovako Imatra steel plant</t>
  </si>
  <si>
    <t>Terästehtaantie</t>
  </si>
  <si>
    <t>Imatra</t>
  </si>
  <si>
    <t>Finland</t>
  </si>
  <si>
    <t>Outokumpu Tornio steel plant</t>
  </si>
  <si>
    <t>Tornio</t>
  </si>
  <si>
    <t>Lapland</t>
  </si>
  <si>
    <t>SSAB Raahe steel plant EAF replacement (BF-BOF closure)</t>
  </si>
  <si>
    <t>North Ostrobothnia</t>
  </si>
  <si>
    <t>SSAB Raahe steel plant EAF replacement (EAF addition)</t>
  </si>
  <si>
    <t>SSAB Raahe steel plant</t>
  </si>
  <si>
    <t>Blastr Inkoo steel plant</t>
  </si>
  <si>
    <t>Inkoo</t>
  </si>
  <si>
    <t>Uusimaa</t>
  </si>
  <si>
    <t>ArcelorMittal Florange steel plant</t>
  </si>
  <si>
    <t>Florange</t>
  </si>
  <si>
    <t>Grand Est</t>
  </si>
  <si>
    <t>France</t>
  </si>
  <si>
    <t>Riva Sam Neuves-Maisons steel plant</t>
  </si>
  <si>
    <t>Neuves-Maisons</t>
  </si>
  <si>
    <t>ArcelorMittal Dunkerque steel plant transition (BF-BOF closure)</t>
  </si>
  <si>
    <t>Haus-de-France</t>
  </si>
  <si>
    <t>ArcelorMittal Dunkerque steel plant transition (DRI and EAF addition)</t>
  </si>
  <si>
    <t>ArcelorMittal Dunkerque steel plant</t>
  </si>
  <si>
    <t>Saarstahl Ascoval Saint-Saulve steel plant</t>
  </si>
  <si>
    <t>Saint-Saulve</t>
  </si>
  <si>
    <t>Hauts-de-France</t>
  </si>
  <si>
    <t>LME Trith-Saint-Léger steel plant</t>
  </si>
  <si>
    <t>Trith-Saint-Léger</t>
  </si>
  <si>
    <t>Riva Iton Seine Bonnieres Sur Seine steel plant</t>
  </si>
  <si>
    <t>Bonnieres Sur Seine</t>
  </si>
  <si>
    <t>Île-de-France</t>
  </si>
  <si>
    <t>Riva Alpa Gargenville steel plant</t>
  </si>
  <si>
    <t>Gargenville</t>
  </si>
  <si>
    <t>Riva Sam Montereau steel plant</t>
  </si>
  <si>
    <t>Montereau-Fault-Yonne</t>
  </si>
  <si>
    <t>Celsa France Boucau steel plant</t>
  </si>
  <si>
    <t>Boucau</t>
  </si>
  <si>
    <t>Nouvelle-Aquitaine</t>
  </si>
  <si>
    <t>ArcelorMittal Méditerranée Fos sur Mer steel plant transition (DRI and EAF addition)</t>
  </si>
  <si>
    <t>Fos-Sur-Mer</t>
  </si>
  <si>
    <t>Provence-Alpes-Côte d'Azur</t>
  </si>
  <si>
    <t>ArcelorMittal Méditerranée Fos sur Mer steel plant transition (BF-BOF closure)</t>
  </si>
  <si>
    <t>ArcelorMittal Méditerranée Fos sur Mer steel plant</t>
  </si>
  <si>
    <t>Kehler Baden Steel Works</t>
  </si>
  <si>
    <t>Kehl am Rhein</t>
  </si>
  <si>
    <t>Baden-Württemberg</t>
  </si>
  <si>
    <t>Germany</t>
  </si>
  <si>
    <t>Lech Stahlwerke Meitingen steel plant</t>
  </si>
  <si>
    <t>Meitingen</t>
  </si>
  <si>
    <t>Riva Brandenburg Electric Steel Works</t>
  </si>
  <si>
    <t>Brandenburg an der Havel</t>
  </si>
  <si>
    <t>ArcelorMittal Eisenhüttenstadt steel plant transition (DRI-EAF addition)</t>
  </si>
  <si>
    <t>ArcelorMittal Eisenhüttenstadt steel plant transition (BF-BOF closure)</t>
  </si>
  <si>
    <t>ArcelorMittal Eisenhüttenstadt steel plant</t>
  </si>
  <si>
    <t>Riva Hennigsdorfer Electric Steel Works</t>
  </si>
  <si>
    <t>Hennigsdorf</t>
  </si>
  <si>
    <t>ArcelorMittal Bremen steel plant transition (DRI-EAF addition)</t>
  </si>
  <si>
    <t>ArcelorMittal Bremen steel plant transition (BF-BOF closure)</t>
  </si>
  <si>
    <t>ArcelorMittal Bremen steel plant</t>
  </si>
  <si>
    <t>ArcelorMittal Hamburg steel plant (DRI addition phase II)</t>
  </si>
  <si>
    <t>ArcelorMittal Hamburg steel plant</t>
  </si>
  <si>
    <t>ArcelorMittal Hamburg steel plant (DRI addition phase I)</t>
  </si>
  <si>
    <t>Benteler Steel Tube Lingen plant</t>
  </si>
  <si>
    <t>Salzgitter Peiner Träger Peine steel plant</t>
  </si>
  <si>
    <t>Peine</t>
  </si>
  <si>
    <t>Salzgitter Flachstahl steel plant transition (BF-BOF closure)</t>
  </si>
  <si>
    <t>Salzgitter Flachstahl steel plant</t>
  </si>
  <si>
    <t>Salzgitter Flachstahl steel plant transition (DRI-EAF addition)</t>
  </si>
  <si>
    <t>ArcelorMittal Duisburg steel plant transition (EAF addition)</t>
  </si>
  <si>
    <t>ArcelorMittal Duisburg steel plant transition (BOF closure)</t>
  </si>
  <si>
    <t>Hüttenwerke Krupp Mannesmann (HKM) steel plant transition (DRI addition phase I)</t>
  </si>
  <si>
    <t>Hüttenwerke Krupp Mannesmann (HKM) steel plant transition (BF closure phase I)</t>
  </si>
  <si>
    <t>Hüttenwerke Krupp Mannesmann (HKM) steel plant transition (DRI addition phase II)</t>
  </si>
  <si>
    <t>Hüttenwerke Krupp Mannesmann (HKM) steel plant transition (BF closure phase II)</t>
  </si>
  <si>
    <t>ThyssenKrupp Steel Duisburg steel plant transition (DRI-EAF addition)</t>
  </si>
  <si>
    <t>ThyssenKrupp Steel Duisburg steel plant transition (BF-BOF closure)</t>
  </si>
  <si>
    <t>ThyssenKrupp Steel Duisburg steel plant</t>
  </si>
  <si>
    <t>Hüttenwerke Krupp Mannesmann (HKM) steel plant</t>
  </si>
  <si>
    <t>ArcelorMittal Duisburg steel plant</t>
  </si>
  <si>
    <t>Deutsche Edelstahlwerke steel plant</t>
  </si>
  <si>
    <t>Siegen</t>
  </si>
  <si>
    <t>AG der Dillinger Hüttenwerke Dillingen steel plant transition (DRI-EAF addition)</t>
  </si>
  <si>
    <t>Dillengen</t>
  </si>
  <si>
    <t>Saarland</t>
  </si>
  <si>
    <t>AG der Dillinger Hüttenwerke Dillingen steel plant transition (EAF addition)</t>
  </si>
  <si>
    <t>AG der Dillinger Hüttenwerke Dillingen steel plant transition (BF closure)</t>
  </si>
  <si>
    <t>AG der Dillinger Hüttenwerke Dillingen steel plant</t>
  </si>
  <si>
    <t>Saarstahl Völklingen Steelmaking Plant DRI-EAF transition (DRI-EAF addition)</t>
  </si>
  <si>
    <t>Völklingen</t>
  </si>
  <si>
    <t>Saarstahl Völklingen Steelmaking Plant</t>
  </si>
  <si>
    <t>ESF Elbe Stahlwerke Feralpi Riesa plant</t>
  </si>
  <si>
    <t>Riesa</t>
  </si>
  <si>
    <t>CSN Stahlwerk Thüringen Unterwellenborn steel plant</t>
  </si>
  <si>
    <t>Unterwellenborn</t>
  </si>
  <si>
    <t>Thuringia</t>
  </si>
  <si>
    <t>Halyvourgiki Eleusis steel plant</t>
  </si>
  <si>
    <t>Eleusis</t>
  </si>
  <si>
    <t>Greece</t>
  </si>
  <si>
    <t>Sidenor Steel Industry Thessaloniki plant</t>
  </si>
  <si>
    <t>Macedonia</t>
  </si>
  <si>
    <t>Sovel Almyros steel plant</t>
  </si>
  <si>
    <t>Almyros</t>
  </si>
  <si>
    <t>Thessaly</t>
  </si>
  <si>
    <t>Larco Larymna smelting plant</t>
  </si>
  <si>
    <t>Fthiotida</t>
  </si>
  <si>
    <t>Diósgyőr Steelworks Miskolc</t>
  </si>
  <si>
    <t>Miskolc</t>
  </si>
  <si>
    <t>Borsod-Abaúj-Zemplén</t>
  </si>
  <si>
    <t>Hungary</t>
  </si>
  <si>
    <t>ÓAM Ózdi Acélművek Kft Ózd steel plant</t>
  </si>
  <si>
    <t>Ózd</t>
  </si>
  <si>
    <t>ISD Dunaferr Dunaújváros steel plant</t>
  </si>
  <si>
    <t>Dunaújváros</t>
  </si>
  <si>
    <t>Fejér</t>
  </si>
  <si>
    <t>Tenaris Dalmine steel plant</t>
  </si>
  <si>
    <t>Dalmine</t>
  </si>
  <si>
    <t>Province of Bergamo</t>
  </si>
  <si>
    <t>Italy</t>
  </si>
  <si>
    <t>Alfa Acciai Brescia steel plant</t>
  </si>
  <si>
    <t>Brescia</t>
  </si>
  <si>
    <t>Province of Brescia</t>
  </si>
  <si>
    <t>Feralpi Siderurgica Lonato steel plant</t>
  </si>
  <si>
    <t>Ori Martin Brescia steel plant</t>
  </si>
  <si>
    <t>Feralpi Calvisano Lonato steel plant</t>
  </si>
  <si>
    <t>Calvisano</t>
  </si>
  <si>
    <t>Ferriera Valsabbia Odolo steel plant</t>
  </si>
  <si>
    <t>Odolo</t>
  </si>
  <si>
    <t>IRO Odolo steel plant</t>
  </si>
  <si>
    <t>Duferci Travu e Profilati San Zeno Naviglio steel plant</t>
  </si>
  <si>
    <t>San Zeno Naviglio</t>
  </si>
  <si>
    <t>Acciaierie Venete Sarezzo steel plant</t>
  </si>
  <si>
    <t>Sarezzo</t>
  </si>
  <si>
    <t>Finarvedi Cremona steel plant</t>
  </si>
  <si>
    <t>Province of Cremona</t>
  </si>
  <si>
    <t>Riva Acciaio Lesegno steel plant</t>
  </si>
  <si>
    <t>Lesegno</t>
  </si>
  <si>
    <t>Province of Cuneo</t>
  </si>
  <si>
    <t>JSW Steel Piombino steel plant EAF expansion</t>
  </si>
  <si>
    <t>Piombino</t>
  </si>
  <si>
    <t>Province of Livorno</t>
  </si>
  <si>
    <t>JSW Steel Piombino steel plant</t>
  </si>
  <si>
    <t>Acciaierie Venete Padua steel plant</t>
  </si>
  <si>
    <t>Camin</t>
  </si>
  <si>
    <t>Province of Podova</t>
  </si>
  <si>
    <t>Pittini Siderpotenza Potenza steel plant</t>
  </si>
  <si>
    <t>Potenza</t>
  </si>
  <si>
    <t>Province of Potenza</t>
  </si>
  <si>
    <t>Alfa Acciai Catania steel plant</t>
  </si>
  <si>
    <t>Province of Sicily</t>
  </si>
  <si>
    <t>DRI d'Italia Taranto plant</t>
  </si>
  <si>
    <t>Province of Taranto</t>
  </si>
  <si>
    <t>ArcelorMittal Acciaierie d'Italia Taranto steel plant EAF expansion</t>
  </si>
  <si>
    <t>ArcelorMittal Acciaierie d'Italia Taranto steel plant</t>
  </si>
  <si>
    <t>Finarvedi Acciai Speciali Terni steel plant</t>
  </si>
  <si>
    <t>Terni</t>
  </si>
  <si>
    <t>Province of Terni</t>
  </si>
  <si>
    <t>Acciaierie Venete Borgo Valsugana steel plant</t>
  </si>
  <si>
    <t>Borgo Valsugana</t>
  </si>
  <si>
    <t>Province of Trentino-Alto Adige</t>
  </si>
  <si>
    <t>Pittini Ferriere Nord Osoppo steel plant</t>
  </si>
  <si>
    <t>Osoppo</t>
  </si>
  <si>
    <t>Province of Udine</t>
  </si>
  <si>
    <t>Danieli ABS Pozzuolo del Friuli steel plant</t>
  </si>
  <si>
    <t>Pozzuolo del Friuli</t>
  </si>
  <si>
    <t>Marcegaglia Palini e Bertoli San Giorgio di Nogaro steel plant</t>
  </si>
  <si>
    <t>San Giorgio di Nogaro</t>
  </si>
  <si>
    <t>Riva Acciaio Caronno Pertusella steel plant</t>
  </si>
  <si>
    <t>Caronno Pertusella</t>
  </si>
  <si>
    <t>Province of Varese</t>
  </si>
  <si>
    <t>Pittini Acciaierie di Verona steel plant</t>
  </si>
  <si>
    <t>Verona</t>
  </si>
  <si>
    <t>Province of Verona</t>
  </si>
  <si>
    <t>AFV Accaierie Beltrame Vicenza steel plant</t>
  </si>
  <si>
    <t>Vicenza</t>
  </si>
  <si>
    <t>Province of Vicenza</t>
  </si>
  <si>
    <t>Liepājas Metalurgs steel plant</t>
  </si>
  <si>
    <t>Liepaja</t>
  </si>
  <si>
    <t>Kurzeme</t>
  </si>
  <si>
    <t>Latvia</t>
  </si>
  <si>
    <t>ArcelorMittal Differdange steel plant</t>
  </si>
  <si>
    <t>Differdange</t>
  </si>
  <si>
    <t>Esch-sur-Alzette</t>
  </si>
  <si>
    <t>Luxembourg</t>
  </si>
  <si>
    <t>ArcelorMittal Esch-Belval steel plant</t>
  </si>
  <si>
    <t>JSC Moldova Steel Works</t>
  </si>
  <si>
    <t>Rybnitsa</t>
  </si>
  <si>
    <t>Transnistria</t>
  </si>
  <si>
    <t>Moldova</t>
  </si>
  <si>
    <t>Van Merksteijn International steel plant expansion</t>
  </si>
  <si>
    <t>Groningen</t>
  </si>
  <si>
    <t>Netherlands</t>
  </si>
  <si>
    <t>Van Merksteijn International steel plant</t>
  </si>
  <si>
    <t>Tata Steel IJmuiden steel plant transition (HIsarna addition)</t>
  </si>
  <si>
    <t>Velsen-Noord</t>
  </si>
  <si>
    <t>North Holland</t>
  </si>
  <si>
    <t>Tata Steel IJmuiden steel plant transition (BF-BOF closure)</t>
  </si>
  <si>
    <t>Tata Steel IJmuiden steel plant transition (DRI/EAF addition)</t>
  </si>
  <si>
    <t>Tata Steel IJmuiden steel plant</t>
  </si>
  <si>
    <t>Makstil Skopje Steel plant</t>
  </si>
  <si>
    <t>North Macedonia</t>
  </si>
  <si>
    <t>Celsa Nordic steel plant</t>
  </si>
  <si>
    <t>Verkstedløypa</t>
  </si>
  <si>
    <t>ArcelorMittal Kraków steel plant</t>
  </si>
  <si>
    <t>Kraków</t>
  </si>
  <si>
    <t>Lesser Poland</t>
  </si>
  <si>
    <t>Poland</t>
  </si>
  <si>
    <t>ArcelorMittal Warszawa steel plant</t>
  </si>
  <si>
    <t>Warszawa</t>
  </si>
  <si>
    <t>Mazowieckie</t>
  </si>
  <si>
    <t>Liberty Czestochowa steel plant</t>
  </si>
  <si>
    <t>Częstochowa</t>
  </si>
  <si>
    <t>Silesia</t>
  </si>
  <si>
    <t>ArcelorMittal Dąbrowa Górnicza steel plant</t>
  </si>
  <si>
    <t>Dabrowa Gornicza</t>
  </si>
  <si>
    <t>Weglokoks Ruda Slaska steel plant</t>
  </si>
  <si>
    <t>Ruda Śląska</t>
  </si>
  <si>
    <t>CMC Zawiercie steel plant</t>
  </si>
  <si>
    <t>Zawiercie</t>
  </si>
  <si>
    <t>Ferrostal Labedy Gliwice steel plant</t>
  </si>
  <si>
    <t>Gliwice</t>
  </si>
  <si>
    <t>Śląskie</t>
  </si>
  <si>
    <t>Celsa Huta Ostrowiec steel plant</t>
  </si>
  <si>
    <t>Ostrowiec Swietokrzski</t>
  </si>
  <si>
    <t>Świętokrzyskie</t>
  </si>
  <si>
    <t>SN MAIA Siderurgia Nacional steel plant</t>
  </si>
  <si>
    <t>Maia</t>
  </si>
  <si>
    <t>Portugal</t>
  </si>
  <si>
    <t>SN SEIXAL Siderurgia Nacional steel plant</t>
  </si>
  <si>
    <t>Aldeia de Paio Pires</t>
  </si>
  <si>
    <t>Setúbal</t>
  </si>
  <si>
    <t>Otelu Rosu Steel Plant</t>
  </si>
  <si>
    <t>Otelu Rosu</t>
  </si>
  <si>
    <t>Caras-Severin</t>
  </si>
  <si>
    <t>Romania</t>
  </si>
  <si>
    <t>Resita Iron &amp; Steel Works</t>
  </si>
  <si>
    <t>Resita</t>
  </si>
  <si>
    <t>GFG Liberty Galati steel plant transition (EAF addition)</t>
  </si>
  <si>
    <t>Galati</t>
  </si>
  <si>
    <t>Galați County</t>
  </si>
  <si>
    <t>GFG Liberty Galati steel plant transition (BF-BOF closure)</t>
  </si>
  <si>
    <t>GFG Liberty Galati steel plant</t>
  </si>
  <si>
    <t>GFG Liberty Galati steel plant transition (DRI and EAF addition)</t>
  </si>
  <si>
    <t>ArcelorMittal Hunedoara steel plant</t>
  </si>
  <si>
    <t>Hunedoara</t>
  </si>
  <si>
    <t>HBIS GROUP Serbia Iron &amp; Steel plant Belgrade</t>
  </si>
  <si>
    <t>Smederevo</t>
  </si>
  <si>
    <t>Podunavlje</t>
  </si>
  <si>
    <t>Serbia</t>
  </si>
  <si>
    <t>Metalfer Steel Mill Sremska Mitrovica</t>
  </si>
  <si>
    <t>Sremska Mitrovica</t>
  </si>
  <si>
    <t>Vojvodina</t>
  </si>
  <si>
    <t>U. S. Steel Košice steel plant</t>
  </si>
  <si>
    <t>Košice</t>
  </si>
  <si>
    <t>Košice Region</t>
  </si>
  <si>
    <t>Slovakia</t>
  </si>
  <si>
    <t>Max Aicher Slovakia Steel Mills Strazske</t>
  </si>
  <si>
    <t>Priemyselna</t>
  </si>
  <si>
    <t>Strazske</t>
  </si>
  <si>
    <t>SIJ Acroni Jesenice steel plant</t>
  </si>
  <si>
    <t>Koroška Bela</t>
  </si>
  <si>
    <t>Jesenice</t>
  </si>
  <si>
    <t>Slovenia</t>
  </si>
  <si>
    <t>ArcelorMittal Olaberria-Bergara (Olaberria) steel plant</t>
  </si>
  <si>
    <t>Aviles</t>
  </si>
  <si>
    <t>Spain</t>
  </si>
  <si>
    <t>ArcelorMittal Asturias (Gijón) steel plant</t>
  </si>
  <si>
    <t>Gijon</t>
  </si>
  <si>
    <t>ArcelorMittal Asturias (Gijón) steel plant DRI and EAF expansion</t>
  </si>
  <si>
    <t>Grupo Gallardo Siderurgica Balboa Jerez de los Caballeros steel plant</t>
  </si>
  <si>
    <t>Jerez de los Caballeros</t>
  </si>
  <si>
    <t>Badajoz</t>
  </si>
  <si>
    <t>Celsa Barcelona Castellbisbal steel plant</t>
  </si>
  <si>
    <t>Castellbisbal</t>
  </si>
  <si>
    <t>Barcelona</t>
  </si>
  <si>
    <t>ArcelorMittal Sestao steel plant</t>
  </si>
  <si>
    <t>Sestao</t>
  </si>
  <si>
    <t>Biscay</t>
  </si>
  <si>
    <t>Acerinox Europa Los Barrios steel plant</t>
  </si>
  <si>
    <t>Los Barrios</t>
  </si>
  <si>
    <t>Cádiz</t>
  </si>
  <si>
    <t>Celsa Global Steel Wire Santander plant</t>
  </si>
  <si>
    <t>Cantabria</t>
  </si>
  <si>
    <t>Hydnum Steel Castilla-La Mancha plant</t>
  </si>
  <si>
    <t>Castilla–La Mancha</t>
  </si>
  <si>
    <t>Grupo Gallardo Corrugados Azpeitia steel plant</t>
  </si>
  <si>
    <t>Azpeitia</t>
  </si>
  <si>
    <t>Gipuzkoa</t>
  </si>
  <si>
    <t>Olaberria</t>
  </si>
  <si>
    <t>Megasa Siderúrgica Narón steel plant</t>
  </si>
  <si>
    <t>Narón</t>
  </si>
  <si>
    <t>La Coruña</t>
  </si>
  <si>
    <t>Grupo Gallardo Corrugados Getafe steel plant</t>
  </si>
  <si>
    <t>Getafe</t>
  </si>
  <si>
    <t>Madrid</t>
  </si>
  <si>
    <t>Celsa Nervacero steel plant</t>
  </si>
  <si>
    <t>País Vasco</t>
  </si>
  <si>
    <t>Riva Siderurgica Sevillana steel plant</t>
  </si>
  <si>
    <t>Alcalá de Guadaira</t>
  </si>
  <si>
    <t>Sevilla</t>
  </si>
  <si>
    <t>Sidenor Aceros Especiales Basuri steel plant</t>
  </si>
  <si>
    <t>Basauri</t>
  </si>
  <si>
    <t>Megasider Zaragoza steel plant</t>
  </si>
  <si>
    <t>Outokumpu Avesta steel plant</t>
  </si>
  <si>
    <t>Avesta</t>
  </si>
  <si>
    <t>Dalarna</t>
  </si>
  <si>
    <t>Sweden</t>
  </si>
  <si>
    <t>Ovako Smedjebacken steel plant</t>
  </si>
  <si>
    <t>Smedjebacken</t>
  </si>
  <si>
    <t>Ovako Hofors steel plant</t>
  </si>
  <si>
    <t>Gävleborgs</t>
  </si>
  <si>
    <t>H2 Green Steel Boden steel plant</t>
  </si>
  <si>
    <t>Boden</t>
  </si>
  <si>
    <t>Norrbotten</t>
  </si>
  <si>
    <t>H2 Green Steel Boden steel plant expansion</t>
  </si>
  <si>
    <t>HYBRIT Gallivare sponge iron plant</t>
  </si>
  <si>
    <t>HYBRIT Gallivare sponge iron plant EAF expansion</t>
  </si>
  <si>
    <t>SSAB Luleå steel plant</t>
  </si>
  <si>
    <t>HYBRIT fossil-free steel demonstration plant</t>
  </si>
  <si>
    <t>SSAB Oxelösund steel plant</t>
  </si>
  <si>
    <t>Södermanland</t>
  </si>
  <si>
    <t>SSAB Oxelösund steel plant EAF replacement (EAF expansion)</t>
  </si>
  <si>
    <t>SSAB Oxelösund steel plant EAF replacement (BF closure)</t>
  </si>
  <si>
    <t>Stahl Gerlafingen steel plant</t>
  </si>
  <si>
    <t>Gerlafingen</t>
  </si>
  <si>
    <t>Solothurn</t>
  </si>
  <si>
    <t>Cebitas steel plant</t>
  </si>
  <si>
    <t>İzmir</t>
  </si>
  <si>
    <t>Aliağa</t>
  </si>
  <si>
    <t>Türkiye</t>
  </si>
  <si>
    <t>Mescier Iron and Steel Bartin plant</t>
  </si>
  <si>
    <t>Bartin</t>
  </si>
  <si>
    <t>Asil Celik Orhangazi steel plant</t>
  </si>
  <si>
    <t>Orhangazi</t>
  </si>
  <si>
    <t>Bursa</t>
  </si>
  <si>
    <t>Asil Celik Orhangazi steel plant EAF expansion</t>
  </si>
  <si>
    <t>İÇDAŞ Biga steel plant</t>
  </si>
  <si>
    <t>Biga</t>
  </si>
  <si>
    <t>Çanakkale</t>
  </si>
  <si>
    <t>İÇDAŞ Biga steel plant EAF expansion</t>
  </si>
  <si>
    <t>Ekinciler Iron and Steel Iskenderun plant</t>
  </si>
  <si>
    <t>İskenderun</t>
  </si>
  <si>
    <t>Hatay</t>
  </si>
  <si>
    <t>Toscelik Iskenderun steel plant</t>
  </si>
  <si>
    <t>Yazici Iron and Steel Iskenderun plant</t>
  </si>
  <si>
    <t>Isdemir Payas steel plant</t>
  </si>
  <si>
    <t>Payas</t>
  </si>
  <si>
    <t>MMK Türkiye Metallurgical Payas plant</t>
  </si>
  <si>
    <t>Aba Iron and Steel Payas plant</t>
  </si>
  <si>
    <t>Koc Metallurgical Payas plant</t>
  </si>
  <si>
    <t>Ege Steel Aliaga plant</t>
  </si>
  <si>
    <t>Habas Aliaga steel plant</t>
  </si>
  <si>
    <t>İDÇ Izdemir Aliaga steel plant</t>
  </si>
  <si>
    <t>Ozkan Iron and Steel Aliaga plant</t>
  </si>
  <si>
    <t>İDÇ Izdemir Aliaga steel plant EAF expansion</t>
  </si>
  <si>
    <t>Kardemir Celik Sanayi Izmir steel plant</t>
  </si>
  <si>
    <t>Kardemir Merkez steel plant</t>
  </si>
  <si>
    <t>Merkez</t>
  </si>
  <si>
    <t>Karabük</t>
  </si>
  <si>
    <t>Kroman Steel Darica plant</t>
  </si>
  <si>
    <t>Darıca</t>
  </si>
  <si>
    <t>Colakoglu Metallurgical Dilovasi plant</t>
  </si>
  <si>
    <t>Dilovası</t>
  </si>
  <si>
    <t>Diler Iron and Steel Dilovasi plant</t>
  </si>
  <si>
    <t>Siddik Kardesler Dilovasi steel plant</t>
  </si>
  <si>
    <t>Koc Metallurgical Toprakkale plant</t>
  </si>
  <si>
    <t>Toprakkale</t>
  </si>
  <si>
    <t>Osmaniye</t>
  </si>
  <si>
    <t>Toscelik Toprakkale steel plant</t>
  </si>
  <si>
    <t>Bastug Metallurgical Toprakkale plant</t>
  </si>
  <si>
    <t>Yesilyurt Iron and Steel Tekkekoy plant</t>
  </si>
  <si>
    <t>Tekkeköy</t>
  </si>
  <si>
    <t>Samsun</t>
  </si>
  <si>
    <t>Kaptan Ereglisi steel plant</t>
  </si>
  <si>
    <t>Ereğlisi</t>
  </si>
  <si>
    <t>Tekirdağ</t>
  </si>
  <si>
    <t>Erdemir Eregli steel plant</t>
  </si>
  <si>
    <t>Ereğli</t>
  </si>
  <si>
    <t>Zonguldak</t>
  </si>
  <si>
    <t>DCH Dnipro Metallurgical Plant</t>
  </si>
  <si>
    <t>Dnipro</t>
  </si>
  <si>
    <t>Dnipropetrovsk</t>
  </si>
  <si>
    <t>Ukraine</t>
  </si>
  <si>
    <t>Interpipe Steel Plant</t>
  </si>
  <si>
    <t>Metallurgical Plant Kametstal</t>
  </si>
  <si>
    <t>Kamianske</t>
  </si>
  <si>
    <t>ArcelorMittal Kryvyi Rih steel plant</t>
  </si>
  <si>
    <t>Kryvyi Rih</t>
  </si>
  <si>
    <t>BF, BOF, OHF</t>
  </si>
  <si>
    <t>Yuzovsky Metallurgical Plant</t>
  </si>
  <si>
    <t>Donetsk</t>
  </si>
  <si>
    <t>Donetsksteel Metallurgical Plant</t>
  </si>
  <si>
    <t>Donetsksteel Metallurgical Plant EAF expansion</t>
  </si>
  <si>
    <t>Donetsksteel Metallurgical Plant EAF closure</t>
  </si>
  <si>
    <t>Makiivka Branch Yenakiieve Iron &amp; Steel Works</t>
  </si>
  <si>
    <t>Makiivka</t>
  </si>
  <si>
    <t>Azovstal Iron &amp; Steel Works</t>
  </si>
  <si>
    <t>Mariupol</t>
  </si>
  <si>
    <t>Metinvest Ilyich Iron &amp; Steel Works</t>
  </si>
  <si>
    <t>Metinvest Ilyich Iron &amp; Steel Works OHF closure</t>
  </si>
  <si>
    <t>Yenakiieve Iron &amp; Steel Works</t>
  </si>
  <si>
    <t>Yenakiieve</t>
  </si>
  <si>
    <t>Alchevsk Iron &amp; Steel plant</t>
  </si>
  <si>
    <t>Alchevsk</t>
  </si>
  <si>
    <t>Luhansk</t>
  </si>
  <si>
    <t>Metinvest EAF steel plant</t>
  </si>
  <si>
    <t>Metinvest Zaporizhstal steel plant</t>
  </si>
  <si>
    <t>Zaporizhzhia</t>
  </si>
  <si>
    <t>BF, OHF</t>
  </si>
  <si>
    <t>Metinvest Zaporizhstal steel plant BOF expansion</t>
  </si>
  <si>
    <t>British Steel Scunthorpe plant</t>
  </si>
  <si>
    <t>England</t>
  </si>
  <si>
    <t>GFG Liberty Steel Rotherham plant</t>
  </si>
  <si>
    <t>Rotherham</t>
  </si>
  <si>
    <t>GFG Liberty Steel Rotherham plant EAF expansion</t>
  </si>
  <si>
    <t>Marcegaglia Sheffield steel plant</t>
  </si>
  <si>
    <t>Sheffield</t>
  </si>
  <si>
    <t>Celsa Steel UK Cardiff plant</t>
  </si>
  <si>
    <t>Cardiff</t>
  </si>
  <si>
    <t>Wales</t>
  </si>
  <si>
    <t>GFG Liberty Steel Newport plant</t>
  </si>
  <si>
    <t>Newport</t>
  </si>
  <si>
    <t>Tata Steel Port Talbot steel plant</t>
  </si>
  <si>
    <t>Port Talbot</t>
  </si>
  <si>
    <t>Sulb Bahrain Al Hidd steel plant</t>
  </si>
  <si>
    <t>Al Hidd</t>
  </si>
  <si>
    <t>Muharraq</t>
  </si>
  <si>
    <t>Mobarakeh Steel Sefid Dasht Steel Complex</t>
  </si>
  <si>
    <t>Shahre Kord</t>
  </si>
  <si>
    <t>Chaharmahal and Bakhtiari Province</t>
  </si>
  <si>
    <t>Mobarakeh Steel Sefid Dasht Steel Complex EAF expansion (phase I)</t>
  </si>
  <si>
    <t>Mobarakeh Steel Sefid Dasht Steel Complex EAF expansion (phase II)</t>
  </si>
  <si>
    <t>Bonab Steel Complex</t>
  </si>
  <si>
    <t>Bonab</t>
  </si>
  <si>
    <t>East Azerbaijan</t>
  </si>
  <si>
    <t>Bonab Steel Complex EAF expansion</t>
  </si>
  <si>
    <t>Miyaneh Steel East Azerbaijan DRI-EAF expansion</t>
  </si>
  <si>
    <t>Mianeh</t>
  </si>
  <si>
    <t>Miyaneh Steel East Azerbaijan</t>
  </si>
  <si>
    <t>Pasargad Steel Complex Fars</t>
  </si>
  <si>
    <t>Kavar</t>
  </si>
  <si>
    <t>Fars</t>
  </si>
  <si>
    <t>Neyriz Ghadir Steel Company Fars plant</t>
  </si>
  <si>
    <t>Neyriz</t>
  </si>
  <si>
    <t>Neyriz Ghadir Steel Company Fars plant EAF expansion</t>
  </si>
  <si>
    <t>Mobarakeh Steel Hormuzgan Steel Company plant</t>
  </si>
  <si>
    <t>Hormuzgan</t>
  </si>
  <si>
    <t>Mobarakeh Steel Hormuzgan Steel Company plant EAF expansion</t>
  </si>
  <si>
    <t>Kish South Kaveh Steel Hormuzgan plant</t>
  </si>
  <si>
    <t>Kish South Kaveh Steel Hormuzgan plant EAF expansion</t>
  </si>
  <si>
    <t>Persian Gulf Saba Steel</t>
  </si>
  <si>
    <t>Persian Gulf Saba Steel EAF expansion 1</t>
  </si>
  <si>
    <t>Persian Gulf Saba Steel EAF expansion 2</t>
  </si>
  <si>
    <t>Qeshm Steel Development Hormuzgan plant</t>
  </si>
  <si>
    <t>Qeshm Free Zone</t>
  </si>
  <si>
    <t>Qeshm Steel Development Hormuzgan plant DRI and EAF expansion</t>
  </si>
  <si>
    <t>Esfahan Steel Isfahan plant</t>
  </si>
  <si>
    <t>Lenjan</t>
  </si>
  <si>
    <t>Esfahan Steel Isfahan plant EAF expansion</t>
  </si>
  <si>
    <t>Esfahan Steel Isfahan plant BF and BOF expansion</t>
  </si>
  <si>
    <t>Mobarakeh Steel Complex Isfahan</t>
  </si>
  <si>
    <t>Mobarakeh</t>
  </si>
  <si>
    <t>Natanz Steel Company Isfahan plant</t>
  </si>
  <si>
    <t>Natanz</t>
  </si>
  <si>
    <t>Natanz Steel Company Isfahan plant EAF expansion</t>
  </si>
  <si>
    <t>Golgohar Iron &amp; Steel Company Kerman</t>
  </si>
  <si>
    <t>Bardsir</t>
  </si>
  <si>
    <t>Kerman</t>
  </si>
  <si>
    <t>Golgohar Iron &amp; Steel Company Kerman EAF expansion</t>
  </si>
  <si>
    <t>Sirjan Iranian Steel Kerman Plant</t>
  </si>
  <si>
    <t>Sirjan Iranian Steel Kerman Plant EAF expansion</t>
  </si>
  <si>
    <t>Butia Steel Kerman plant</t>
  </si>
  <si>
    <t>Chatroud</t>
  </si>
  <si>
    <t>Butia Steel Kerman plant EAF expansion</t>
  </si>
  <si>
    <t>Jahan Foolad Sirjan Steel Kerman plant</t>
  </si>
  <si>
    <t>Sirjan</t>
  </si>
  <si>
    <t>Jahan Foolad Sirjan Steel Kerman plant EAF expansion</t>
  </si>
  <si>
    <t>Zarand Iranian Steel Company Kerman plant</t>
  </si>
  <si>
    <t>Zarand</t>
  </si>
  <si>
    <t>Arvand Kaveh Steel Khoramshahr plant</t>
  </si>
  <si>
    <t>Arvand</t>
  </si>
  <si>
    <t>Khoramshahr</t>
  </si>
  <si>
    <t>Khouzestan Steel plant Shadegan</t>
  </si>
  <si>
    <t>Ahvaz</t>
  </si>
  <si>
    <t>Khouzestan</t>
  </si>
  <si>
    <t>Khouzestan Steel plant Shadegan EAF expansion</t>
  </si>
  <si>
    <t>Khouzestan Oxin Steel</t>
  </si>
  <si>
    <t>Kaavian Steel Khouzestan plant</t>
  </si>
  <si>
    <t>Arvand Jahanara Steel Khouzestan plant</t>
  </si>
  <si>
    <t>Khorramshahr</t>
  </si>
  <si>
    <t>Arvand Jahanara Steel Khouzestan plant EAF expansion (phase I)</t>
  </si>
  <si>
    <t>Arvand Jahanara Steel Khouzestan plant EAF expansion (phase II)</t>
  </si>
  <si>
    <t>Kurdistan Steel Kurdistan plant</t>
  </si>
  <si>
    <t>Saqqez</t>
  </si>
  <si>
    <t>Kurdistan</t>
  </si>
  <si>
    <t>Azna Steel Lorestan plant EAF expansion</t>
  </si>
  <si>
    <t>Azna</t>
  </si>
  <si>
    <t>Lorestan</t>
  </si>
  <si>
    <t>Azna Steel Lorestan plant</t>
  </si>
  <si>
    <t>Iranian Alborz Steel Mazandaran plant</t>
  </si>
  <si>
    <t>Sari</t>
  </si>
  <si>
    <t>Mazandaran</t>
  </si>
  <si>
    <t>Sabzevar Steel Complex Razavi Khorasan</t>
  </si>
  <si>
    <t>Jovein</t>
  </si>
  <si>
    <t>Razavi Khorasan</t>
  </si>
  <si>
    <t>Khorasan Steel Complex Khuzestan</t>
  </si>
  <si>
    <t>Nishapur</t>
  </si>
  <si>
    <t>Khayyam Steel Neyshabour Razavi Khorasan plant</t>
  </si>
  <si>
    <t>Torbat Heydarieh Steel Company Khorasan</t>
  </si>
  <si>
    <t>Torbat Heydariyeh</t>
  </si>
  <si>
    <t>Makran Steel Sistan and Baluchestan Complex</t>
  </si>
  <si>
    <t>Chabahar</t>
  </si>
  <si>
    <t>Sistan and Baluchestan</t>
  </si>
  <si>
    <t>Ghaenat Steel Complex South Khorasan</t>
  </si>
  <si>
    <t>Qae</t>
  </si>
  <si>
    <t>South Khorasan</t>
  </si>
  <si>
    <t>Sarmad Iron and Steel Complex Abarkouh</t>
  </si>
  <si>
    <t>Abarkouh</t>
  </si>
  <si>
    <t>Ghadir Iron &amp; Steel plant Yazd</t>
  </si>
  <si>
    <t>Ardakan</t>
  </si>
  <si>
    <t>Ardakan Steel Yazd plant</t>
  </si>
  <si>
    <t>Ardakan Steel Yazd plant EAF expansion</t>
  </si>
  <si>
    <t>Arfa Iron and Steel Yazd plant EAF expansion</t>
  </si>
  <si>
    <t>Atarabad</t>
  </si>
  <si>
    <t>Arfa Iron and Steel Yazd plant</t>
  </si>
  <si>
    <t>Iran Alloy Steel Company Yazd plant</t>
  </si>
  <si>
    <t>Azadegan</t>
  </si>
  <si>
    <t>Iran Alloy Steel Company Yazd plant EAF expansion</t>
  </si>
  <si>
    <t>Bafgh Mineral Complex Iron &amp; Steel Yazd plant</t>
  </si>
  <si>
    <t>Bafgh</t>
  </si>
  <si>
    <t>Isatis Sponge Iron Company Yazd</t>
  </si>
  <si>
    <t>Isatis Sponge Iron Company Yazd EAF-DRI expansion</t>
  </si>
  <si>
    <t>West Alborz Ana Steel Zanjan plant</t>
  </si>
  <si>
    <t>Abhar</t>
  </si>
  <si>
    <t>Zanjan</t>
  </si>
  <si>
    <t>West Alborz Ana Steel Zanjan plant EAF expansion</t>
  </si>
  <si>
    <t>State Company for Iron &amp; Steel Basra plant</t>
  </si>
  <si>
    <t>Khor Al-Zubair</t>
  </si>
  <si>
    <t>Basra</t>
  </si>
  <si>
    <t>Van Steel Kurdistan plant</t>
  </si>
  <si>
    <t>Erbil</t>
  </si>
  <si>
    <t>Mass Iron and Steel Industry Co Sulaimaniya plant</t>
  </si>
  <si>
    <t>Sulaimaniya</t>
  </si>
  <si>
    <t>United Steel Industrial Kuwait Steel Sharq plant</t>
  </si>
  <si>
    <t>Sharq</t>
  </si>
  <si>
    <t>Capital Governorate</t>
  </si>
  <si>
    <t>Vale Sohar DRI plant</t>
  </si>
  <si>
    <t>Al Batinah North</t>
  </si>
  <si>
    <t>Sohar Steel plant</t>
  </si>
  <si>
    <t>Jindal Shadeed Iron &amp; Steel Sohar plant</t>
  </si>
  <si>
    <t>Jindal Shadeed Iron &amp; Steel Sohar plant EAF and DRI expansion</t>
  </si>
  <si>
    <t>Moon Iron &amp; Steel Company Sohar plant</t>
  </si>
  <si>
    <t>Sun Metals Sur steel plant</t>
  </si>
  <si>
    <t>Sur</t>
  </si>
  <si>
    <t>Ash Sharqiyah South</t>
  </si>
  <si>
    <t>Jindal Shadeed Iron &amp; Steel Duqm plant</t>
  </si>
  <si>
    <t>Jindal Shadeed Iron &amp; Steel Duqm plant EAF and DRI expansion</t>
  </si>
  <si>
    <t>Industries Qatar Steel Mesaieed plant</t>
  </si>
  <si>
    <t>Mesaieed Industrial City</t>
  </si>
  <si>
    <t>SABIC Hadeed Al Jubail steel plant</t>
  </si>
  <si>
    <t>Eastern Province</t>
  </si>
  <si>
    <t>Al Ittefaq Arab Steel Dammam plant EAF expansion</t>
  </si>
  <si>
    <t>Al Ittefaq National Steel Dammam plant</t>
  </si>
  <si>
    <t>Al Ittefaq Arab Steel Dammam plant</t>
  </si>
  <si>
    <t>Essar Ras Al-Khair steel plant</t>
  </si>
  <si>
    <t>Ras Al-Khair</t>
  </si>
  <si>
    <t>Gulf Tubing Company Ras Al-Khair steel plant</t>
  </si>
  <si>
    <t>Solb Steel Jizan plant</t>
  </si>
  <si>
    <t>Jizan</t>
  </si>
  <si>
    <t>Jizan Region</t>
  </si>
  <si>
    <t>Rajhi Al Assemah Steel Jeddah plant</t>
  </si>
  <si>
    <t>Jeddah</t>
  </si>
  <si>
    <t>Arkan Steel Jeddah plant</t>
  </si>
  <si>
    <t>Al Yamamah Steel Industries Yanbu plant</t>
  </si>
  <si>
    <t>Medina Province</t>
  </si>
  <si>
    <t>Al Yamamah Steel Industries Yanbu plant EAF expansion</t>
  </si>
  <si>
    <t>Al Atoun Yanbu steel plant</t>
  </si>
  <si>
    <t>Vale Ras Al Khair DRI plant</t>
  </si>
  <si>
    <t>Ras Al Khair Industrial City</t>
  </si>
  <si>
    <t>Hadeed Metal Manufacturing Co Damascus steel plant</t>
  </si>
  <si>
    <t>Adra Industrial City</t>
  </si>
  <si>
    <t>Damascus</t>
  </si>
  <si>
    <t>Hmisho Steel Hassia plant</t>
  </si>
  <si>
    <t>Homs-hisya Industrial Zone</t>
  </si>
  <si>
    <t>Homs</t>
  </si>
  <si>
    <t>GHC Emirates Steel Industries Abu Dhabi plant</t>
  </si>
  <si>
    <t>Abu Dhabi Industrial City</t>
  </si>
  <si>
    <t>Vale Abu Dhabi DRI plant</t>
  </si>
  <si>
    <t>Khalifa Industrial Zone Abu Dhabi</t>
  </si>
  <si>
    <t>BILDCO Abu Dhabi steel plant</t>
  </si>
  <si>
    <t>Musaffah Industrial Zone</t>
  </si>
  <si>
    <t>ArcelorMittal Dofasco steel plant transition (BF-BOF closure)</t>
  </si>
  <si>
    <t>ArcelorMittal Dofasco steel plant</t>
  </si>
  <si>
    <t>ArcelorMittal Dofasco steel plant transition (DRI-EAF addition)</t>
  </si>
  <si>
    <t>Ivaco Rolling Mills steel plant</t>
  </si>
  <si>
    <t>L'Orignal</t>
  </si>
  <si>
    <t>Stelco Lake Erie steel plant</t>
  </si>
  <si>
    <t>Algoma Steel plant transition (BF-BOF closure)</t>
  </si>
  <si>
    <t>Sault Ste. Marie</t>
  </si>
  <si>
    <t>Algoma Steel plant</t>
  </si>
  <si>
    <t>Algoma Steel plant transition (EAF addition)</t>
  </si>
  <si>
    <t>Gerdau Whitby Steel Mill</t>
  </si>
  <si>
    <t>Whitby</t>
  </si>
  <si>
    <t>ArcelorMittal Montreal steel plant</t>
  </si>
  <si>
    <t>Contrecœur</t>
  </si>
  <si>
    <t>Rio Tinto Fer et Titane steel plant</t>
  </si>
  <si>
    <t>Sorel-Tracy</t>
  </si>
  <si>
    <t>Evraz Regina Steel plant</t>
  </si>
  <si>
    <t>Altos Hornos De Mexico S.A. (AHMSA) steel plant</t>
  </si>
  <si>
    <t>Monclova</t>
  </si>
  <si>
    <t>Coahuila</t>
  </si>
  <si>
    <t>Deacero Saltillo-Ramos Arizpe steel plant</t>
  </si>
  <si>
    <t>Ramos Arizpe</t>
  </si>
  <si>
    <t>Deacero Celaya steel plant</t>
  </si>
  <si>
    <t>Villagrán</t>
  </si>
  <si>
    <t>Gerdau Corsa Ciudad Sahagún steel plant</t>
  </si>
  <si>
    <t>Ciudad Sahagún</t>
  </si>
  <si>
    <t>ArcelorMittal Lázaro Cárdenas steel plant</t>
  </si>
  <si>
    <t>Lázaro Cárdenas</t>
  </si>
  <si>
    <t>Michoacán</t>
  </si>
  <si>
    <t>Ternium Apodaca steel plant</t>
  </si>
  <si>
    <t>Apodaca</t>
  </si>
  <si>
    <t>Ternium Pesquería steel plant</t>
  </si>
  <si>
    <t>Pesquería</t>
  </si>
  <si>
    <t>Ternium Guerrero San Nicolás de los Garza steel plant</t>
  </si>
  <si>
    <t>San Nicolás de los Garza</t>
  </si>
  <si>
    <t>Ternium Puebla steel plant</t>
  </si>
  <si>
    <t>San Miguel Xoxtla</t>
  </si>
  <si>
    <t>Puebla</t>
  </si>
  <si>
    <t>Grupo Acerero steel plant</t>
  </si>
  <si>
    <t>San Luis Potosí</t>
  </si>
  <si>
    <t>Acero Simec San Luis steel plants</t>
  </si>
  <si>
    <t>Gerdau Tultitlán (Sidertul) steel plant</t>
  </si>
  <si>
    <t>Tultitlán</t>
  </si>
  <si>
    <t>State of México</t>
  </si>
  <si>
    <t>Acero Simec Apizaco steel plant</t>
  </si>
  <si>
    <t>Xaloztoc</t>
  </si>
  <si>
    <t>Tlaxcala</t>
  </si>
  <si>
    <t>TYASA steel plant</t>
  </si>
  <si>
    <t>Ixtaczoquitlán</t>
  </si>
  <si>
    <t>Veracruz</t>
  </si>
  <si>
    <t>TenarisTamsa Veracruz steel plant</t>
  </si>
  <si>
    <t>SSAB Americas Alabama steel plant</t>
  </si>
  <si>
    <t>Axis</t>
  </si>
  <si>
    <t>CMC Alabama steel plant</t>
  </si>
  <si>
    <t>Birmingham</t>
  </si>
  <si>
    <t>AM/NS Calvert LLC</t>
  </si>
  <si>
    <t>Calvert</t>
  </si>
  <si>
    <t>Outokumpu Stainless USA steel plant</t>
  </si>
  <si>
    <t>U.S. Steel Fairfield plant</t>
  </si>
  <si>
    <t>Fairfield</t>
  </si>
  <si>
    <t>Nucor Steel Decatur plant</t>
  </si>
  <si>
    <t>Trinity</t>
  </si>
  <si>
    <t>Nucor Steel Tuscaloosa plant</t>
  </si>
  <si>
    <t>Nucor Steel Kingman plant</t>
  </si>
  <si>
    <t>Kingman</t>
  </si>
  <si>
    <t>CMC Arizona steel plant</t>
  </si>
  <si>
    <t>Mesa</t>
  </si>
  <si>
    <t>CMC Arizona steel plant EAF expansion</t>
  </si>
  <si>
    <t>Nucor Steel Hickman plant</t>
  </si>
  <si>
    <t>Armorel</t>
  </si>
  <si>
    <t>Nucor-Yamato Steel Blytheville plant</t>
  </si>
  <si>
    <t>Blytheville</t>
  </si>
  <si>
    <t>U.S. Steel Arkansas EAF plant</t>
  </si>
  <si>
    <t>Gerdau Fort Smith steel plant</t>
  </si>
  <si>
    <t>Fort Smith</t>
  </si>
  <si>
    <t>U.S. Steel Big River Steel plant</t>
  </si>
  <si>
    <t>Evraz Pueblo steel plant</t>
  </si>
  <si>
    <t>Pueblo</t>
  </si>
  <si>
    <t>CMC Steel Florida plant</t>
  </si>
  <si>
    <t>Gerdau Cartersville steel plant</t>
  </si>
  <si>
    <t>Cartersville</t>
  </si>
  <si>
    <t>Alton Steel plant</t>
  </si>
  <si>
    <t>Alton</t>
  </si>
  <si>
    <t>Nucor Steel Kankakee plant</t>
  </si>
  <si>
    <t>Bourbonnais</t>
  </si>
  <si>
    <t>Finkl Steel Chicago plant</t>
  </si>
  <si>
    <t>Chicago</t>
  </si>
  <si>
    <t>U.S. Steel Granite City Works</t>
  </si>
  <si>
    <t>Granite City</t>
  </si>
  <si>
    <t>Liberty Steel &amp; Wire Peoria plant</t>
  </si>
  <si>
    <t>Peoria</t>
  </si>
  <si>
    <t>Cleveland-Cliffs Riverdale steel plant</t>
  </si>
  <si>
    <t>Riverdale</t>
  </si>
  <si>
    <t>Leggett &amp; Platt Sterling Steel plant</t>
  </si>
  <si>
    <t>Sterling</t>
  </si>
  <si>
    <t>Cleveland-Cliffs Burns Harbor steel plant</t>
  </si>
  <si>
    <t>Burns Harbor</t>
  </si>
  <si>
    <t>Steel Dynamics Butler plant</t>
  </si>
  <si>
    <t>Steel Dynamics Columbia City plant</t>
  </si>
  <si>
    <t>Columbia City</t>
  </si>
  <si>
    <t>Nucor Steel Crawfordsville plant</t>
  </si>
  <si>
    <t>Cleveland-Cliffs Indiana Harbor steel plant</t>
  </si>
  <si>
    <t>U.S. Steel Gary Works</t>
  </si>
  <si>
    <t>Gary</t>
  </si>
  <si>
    <t>Steel Dynamics Engineered Bar Products steel plant</t>
  </si>
  <si>
    <t>Pittsboro</t>
  </si>
  <si>
    <t>NLMK Indiana steel plant</t>
  </si>
  <si>
    <t>Portage</t>
  </si>
  <si>
    <t>SSAB Americas Iowa steel plant</t>
  </si>
  <si>
    <t>Muscatine</t>
  </si>
  <si>
    <t>Nucor Steel Brandenburg plant</t>
  </si>
  <si>
    <t>North American Stainless steel plant</t>
  </si>
  <si>
    <t>Nucor Steel Gallatin plant EAF expansion</t>
  </si>
  <si>
    <t>Nucor Steel Gallatin plant</t>
  </si>
  <si>
    <t>Nucor Steel Louisiana</t>
  </si>
  <si>
    <t>Cleveland-Cliffs Dearborn steel plant</t>
  </si>
  <si>
    <t>Dearborn</t>
  </si>
  <si>
    <t>U.S. Steel Great Lakes Works</t>
  </si>
  <si>
    <t>Gerdau Monroe steel plant</t>
  </si>
  <si>
    <t>Monroe</t>
  </si>
  <si>
    <t>Gerdau Saint Paul steel plant</t>
  </si>
  <si>
    <t>Steel Dynamics Columbus plant</t>
  </si>
  <si>
    <t>Nucor Steel Norfolk plant</t>
  </si>
  <si>
    <t>Norfolk</t>
  </si>
  <si>
    <t>CMC Steel New Jersey plant</t>
  </si>
  <si>
    <t>Sayreville</t>
  </si>
  <si>
    <t>Nucor Steel Hertford plant</t>
  </si>
  <si>
    <t>Cofield</t>
  </si>
  <si>
    <t>Republic Steel Canton plant</t>
  </si>
  <si>
    <t>Timken Harrison steel plant</t>
  </si>
  <si>
    <t>Timken Faircrest steel plant</t>
  </si>
  <si>
    <t>Cleveland-Cliffs Cleveland steel plant</t>
  </si>
  <si>
    <t>Cleveland</t>
  </si>
  <si>
    <t>Charter Steel Cleveland plant</t>
  </si>
  <si>
    <t>Cuyahoga Heights</t>
  </si>
  <si>
    <t>BlueScope North Star Steel plant EAF expansion</t>
  </si>
  <si>
    <t>BlueScope North Star Steel plant</t>
  </si>
  <si>
    <t>Republic Steel Lorain steel plant</t>
  </si>
  <si>
    <t>Lorain</t>
  </si>
  <si>
    <t>Cleveland-Cliffs Mansfield Works</t>
  </si>
  <si>
    <t>Mansfield</t>
  </si>
  <si>
    <t>Cleveland-Cliffs Middletown steel plant</t>
  </si>
  <si>
    <t>Middletown</t>
  </si>
  <si>
    <t>JSW Steel USA Ohio plant</t>
  </si>
  <si>
    <t>Mingo Junction</t>
  </si>
  <si>
    <t>Cleveland-Cliffs Toledo DRI plant</t>
  </si>
  <si>
    <t>Vallourec Star Youngstown steel plant</t>
  </si>
  <si>
    <t>Youngstown</t>
  </si>
  <si>
    <t>Cascade Steel Rolling Mills</t>
  </si>
  <si>
    <t>McMinnville</t>
  </si>
  <si>
    <t>Oregon</t>
  </si>
  <si>
    <t>U.S. Steel Edgar Thomson Plant</t>
  </si>
  <si>
    <t>Braddock</t>
  </si>
  <si>
    <t>Cleveland-Cliffs Coatesville steel plant</t>
  </si>
  <si>
    <t>Coatesville</t>
  </si>
  <si>
    <t>Cleveland-Cliffs Butler steel plant</t>
  </si>
  <si>
    <t>Lyndora</t>
  </si>
  <si>
    <t>Cleveland-Cliffs Steelton steel plant</t>
  </si>
  <si>
    <t>Steelton</t>
  </si>
  <si>
    <t>CMC South Carolina steel plant</t>
  </si>
  <si>
    <t>Cayce</t>
  </si>
  <si>
    <t>Nucor Steel Darlington plant</t>
  </si>
  <si>
    <t>Darlington</t>
  </si>
  <si>
    <t>Liberty Steel Georgetown plant</t>
  </si>
  <si>
    <t>Georgetown</t>
  </si>
  <si>
    <t>Nucor Steel Berkeley plant</t>
  </si>
  <si>
    <t>Huger</t>
  </si>
  <si>
    <t>CMC Tennessee steel plant</t>
  </si>
  <si>
    <t>Knoxville</t>
  </si>
  <si>
    <t>Nucor Steel Memphis plant</t>
  </si>
  <si>
    <t>Optimus Steel Beaumont plant</t>
  </si>
  <si>
    <t>Nucor Steel Jewett plant</t>
  </si>
  <si>
    <t>Jewett</t>
  </si>
  <si>
    <t>Gerdau Midlothian Steel Mill</t>
  </si>
  <si>
    <t>Midlothian</t>
  </si>
  <si>
    <t>ArcelorMittal Texas DRI plant</t>
  </si>
  <si>
    <t>Portland</t>
  </si>
  <si>
    <t>CMC Steel Texas plant</t>
  </si>
  <si>
    <t>Seguin</t>
  </si>
  <si>
    <t>Steel Dynamics Sinton plant</t>
  </si>
  <si>
    <t>Sinton</t>
  </si>
  <si>
    <t>BlueScope Steel EAF plant</t>
  </si>
  <si>
    <t>Nucor Steel Plymouth plant</t>
  </si>
  <si>
    <t>Plymouth</t>
  </si>
  <si>
    <t>Gerdau Petersburg Steel Mill</t>
  </si>
  <si>
    <t>Petersburg</t>
  </si>
  <si>
    <t>Virginia</t>
  </si>
  <si>
    <t>Steel Dynamics Roanoke steel plant</t>
  </si>
  <si>
    <t>Roanoke</t>
  </si>
  <si>
    <t>Nucor Steel Seattle plant</t>
  </si>
  <si>
    <t>Seattle</t>
  </si>
  <si>
    <t>Nucor Steel West Virginia EAF steel plant</t>
  </si>
  <si>
    <t>Mason County</t>
  </si>
  <si>
    <t>Charter Steel Saukville plant</t>
  </si>
  <si>
    <t>Saukville</t>
  </si>
  <si>
    <t>Company</t>
  </si>
  <si>
    <t>Facility Name</t>
  </si>
  <si>
    <t>Emissions</t>
  </si>
  <si>
    <t>State/Region</t>
  </si>
  <si>
    <t xml:space="preserve">CSBP Limited </t>
  </si>
  <si>
    <t>CSBP Kwinana Operations</t>
  </si>
  <si>
    <t>Western Australia</t>
  </si>
  <si>
    <t>-32.23777782641774, 115.76771063074693</t>
  </si>
  <si>
    <t>LNG Terminal</t>
  </si>
  <si>
    <t>Number of Terminals</t>
  </si>
  <si>
    <t>Commissioning Year</t>
  </si>
  <si>
    <t>Location</t>
  </si>
  <si>
    <t>Import or Export</t>
  </si>
  <si>
    <t>Capacity (tonnes per year)</t>
  </si>
  <si>
    <t>Cost (2022 USD)</t>
  </si>
  <si>
    <t>Details</t>
  </si>
  <si>
    <t>Geelong FSRU</t>
  </si>
  <si>
    <t>Proposed, pre-FID</t>
  </si>
  <si>
    <t>Port Victoria</t>
  </si>
  <si>
    <t>Import</t>
  </si>
  <si>
    <t>-</t>
  </si>
  <si>
    <t>Viva Energy</t>
  </si>
  <si>
    <t>-34.495401, 137.481029</t>
  </si>
  <si>
    <t>Proposed floating storage and regasification unit</t>
  </si>
  <si>
    <t>Port Adelaide LNG Terminal</t>
  </si>
  <si>
    <t>FID</t>
  </si>
  <si>
    <t>Port Adelaide</t>
  </si>
  <si>
    <t>Venice Energy</t>
  </si>
  <si>
    <t>-34.769985, 138.502867</t>
  </si>
  <si>
    <t>Port Phillip Bay FSRU</t>
  </si>
  <si>
    <t>Port Phillip Bay</t>
  </si>
  <si>
    <t>Vopak</t>
  </si>
  <si>
    <r>
      <t> </t>
    </r>
    <r>
      <rPr>
        <sz val="11"/>
        <color rgb="FF212529"/>
        <rFont val="Calibri"/>
        <family val="2"/>
        <scheme val="minor"/>
      </rPr>
      <t>-37.847216, 144.930100</t>
    </r>
  </si>
  <si>
    <t>Dutch storage firm Vopak plans to build an LNG import terminal at Avalon in Port Phillip bay in Victoria using a 636-849 TJ/d floating storage and regasification unit (FSRU).[1]</t>
  </si>
  <si>
    <t>Port Kembla FSRU</t>
  </si>
  <si>
    <t>Under Construction</t>
  </si>
  <si>
    <t>Austrialian Industrial Energy</t>
  </si>
  <si>
    <t>-34.4814133, 150.8893602</t>
  </si>
  <si>
    <r>
      <t>The Port Kembla terminal would connect to the existing </t>
    </r>
    <r>
      <rPr>
        <sz val="11"/>
        <color rgb="FF3498DB"/>
        <rFont val="Calibri"/>
        <family val="2"/>
        <scheme val="minor"/>
      </rPr>
      <t>Eastern Gas Pipeline</t>
    </r>
    <r>
      <rPr>
        <sz val="11"/>
        <color rgb="FF212529"/>
        <rFont val="Calibri"/>
        <family val="2"/>
        <scheme val="minor"/>
      </rPr>
      <t> via the 12 kilometre </t>
    </r>
    <r>
      <rPr>
        <sz val="11"/>
        <color rgb="FF3498DB"/>
        <rFont val="Calibri"/>
        <family val="2"/>
        <scheme val="minor"/>
      </rPr>
      <t>Port Kembla to EGP Gas Pipeline</t>
    </r>
    <r>
      <rPr>
        <sz val="11"/>
        <color rgb="FF212529"/>
        <rFont val="Calibri"/>
        <family val="2"/>
        <scheme val="minor"/>
      </rPr>
      <t>.</t>
    </r>
  </si>
  <si>
    <t>Australian Pacific LNG Terminal</t>
  </si>
  <si>
    <t>Operational</t>
  </si>
  <si>
    <t>Curtis Island</t>
  </si>
  <si>
    <t>Export</t>
  </si>
  <si>
    <t>Australia Pacific LNG</t>
  </si>
  <si>
    <t>-23.75583, 151.19061</t>
  </si>
  <si>
    <r>
      <t>Australia Pacific LNG Terminal is an LNG terminal in Curtis Island in Queensland, Australia on the edge of the Great Barrier Reef.</t>
    </r>
    <r>
      <rPr>
        <sz val="11"/>
        <color rgb="FF3498DB"/>
        <rFont val="Calibri"/>
        <family val="2"/>
        <scheme val="minor"/>
      </rPr>
      <t>[5]</t>
    </r>
    <r>
      <rPr>
        <sz val="11"/>
        <color rgb="FF212529"/>
        <rFont val="Calibri"/>
        <family val="2"/>
        <scheme val="minor"/>
      </rPr>
      <t> Curtis Island's three plants (Australia Pacific LNG Terminal, </t>
    </r>
    <r>
      <rPr>
        <sz val="11"/>
        <color rgb="FF3498DB"/>
        <rFont val="Calibri"/>
        <family val="2"/>
        <scheme val="minor"/>
      </rPr>
      <t>Gladstone LNG Terminal</t>
    </r>
    <r>
      <rPr>
        <sz val="11"/>
        <color rgb="FF212529"/>
        <rFont val="Calibri"/>
        <family val="2"/>
        <scheme val="minor"/>
      </rPr>
      <t>, </t>
    </r>
    <r>
      <rPr>
        <sz val="11"/>
        <color rgb="FF3498DB"/>
        <rFont val="Calibri"/>
        <family val="2"/>
        <scheme val="minor"/>
      </rPr>
      <t>Queensland Curtis LNG Terminal</t>
    </r>
    <r>
      <rPr>
        <sz val="11"/>
        <color rgb="FF212529"/>
        <rFont val="Calibri"/>
        <family val="2"/>
        <scheme val="minor"/>
      </rPr>
      <t>) are worth $70 billion.</t>
    </r>
    <r>
      <rPr>
        <sz val="11"/>
        <color rgb="FF3498DB"/>
        <rFont val="Calibri"/>
        <family val="2"/>
        <scheme val="minor"/>
      </rPr>
      <t>[6]</t>
    </r>
  </si>
  <si>
    <t>Queensland Curtis LNG Terminal</t>
  </si>
  <si>
    <t>-23.7693, 151.199</t>
  </si>
  <si>
    <r>
      <t>Queensland Curtis LNG Terminal is an LNG terminal on Curtis Island in Queensland, Australia on the edge of the Great Barrier Reef.</t>
    </r>
    <r>
      <rPr>
        <sz val="11"/>
        <color rgb="FF3498DB"/>
        <rFont val="Calibri"/>
        <family val="2"/>
        <scheme val="minor"/>
      </rPr>
      <t>[4]</t>
    </r>
    <r>
      <rPr>
        <sz val="11"/>
        <color rgb="FF212529"/>
        <rFont val="Calibri"/>
        <family val="2"/>
        <scheme val="minor"/>
      </rPr>
      <t> Curtis Island's three plants </t>
    </r>
    <r>
      <rPr>
        <sz val="11"/>
        <color rgb="FF3498DB"/>
        <rFont val="Calibri"/>
        <family val="2"/>
        <scheme val="minor"/>
      </rPr>
      <t>Australia Pacific LNG Terminal</t>
    </r>
    <r>
      <rPr>
        <sz val="11"/>
        <color rgb="FF212529"/>
        <rFont val="Calibri"/>
        <family val="2"/>
        <scheme val="minor"/>
      </rPr>
      <t>, </t>
    </r>
    <r>
      <rPr>
        <sz val="11"/>
        <color rgb="FF3498DB"/>
        <rFont val="Calibri"/>
        <family val="2"/>
        <scheme val="minor"/>
      </rPr>
      <t>Gladstone LNG Terminal</t>
    </r>
    <r>
      <rPr>
        <sz val="11"/>
        <color rgb="FF212529"/>
        <rFont val="Calibri"/>
        <family val="2"/>
        <scheme val="minor"/>
      </rPr>
      <t>, Queensland Curtis LNG Terminal are worth $70 billion.</t>
    </r>
  </si>
  <si>
    <t>Gladstone LNG Terminal</t>
  </si>
  <si>
    <t>Gladstone</t>
  </si>
  <si>
    <t>Santos, Petronas, Total, Kogas</t>
  </si>
  <si>
    <t>-23.776, 151.2103</t>
  </si>
  <si>
    <r>
      <t>Gladstone LNG Terminal is an LNG terminal on Curtis Island in Queensland, Australia on the edge of the Great Barrier Reef.</t>
    </r>
    <r>
      <rPr>
        <sz val="11"/>
        <color rgb="FF3498DB"/>
        <rFont val="Calibri"/>
        <family val="2"/>
        <scheme val="minor"/>
      </rPr>
      <t>[2]</t>
    </r>
    <r>
      <rPr>
        <sz val="11"/>
        <color rgb="FF212529"/>
        <rFont val="Calibri"/>
        <family val="2"/>
        <scheme val="minor"/>
      </rPr>
      <t> It converts coal-seam gas into LNG.</t>
    </r>
    <r>
      <rPr>
        <sz val="11"/>
        <color rgb="FF3498DB"/>
        <rFont val="Calibri"/>
        <family val="2"/>
        <scheme val="minor"/>
      </rPr>
      <t>[3]</t>
    </r>
    <r>
      <rPr>
        <sz val="11"/>
        <color rgb="FF212529"/>
        <rFont val="Calibri"/>
        <family val="2"/>
        <scheme val="minor"/>
      </rPr>
      <t> Curtis Island's three plants </t>
    </r>
    <r>
      <rPr>
        <sz val="11"/>
        <color rgb="FF3498DB"/>
        <rFont val="Calibri"/>
        <family val="2"/>
        <scheme val="minor"/>
      </rPr>
      <t>Australia Pacific LNG Terminal</t>
    </r>
    <r>
      <rPr>
        <sz val="11"/>
        <color rgb="FF212529"/>
        <rFont val="Calibri"/>
        <family val="2"/>
        <scheme val="minor"/>
      </rPr>
      <t>, Gladstone LNG Terminal, </t>
    </r>
    <r>
      <rPr>
        <sz val="11"/>
        <color rgb="FF3498DB"/>
        <rFont val="Calibri"/>
        <family val="2"/>
        <scheme val="minor"/>
      </rPr>
      <t>Queensland Curtis LNG Terminal</t>
    </r>
    <r>
      <rPr>
        <sz val="11"/>
        <color rgb="FF212529"/>
        <rFont val="Calibri"/>
        <family val="2"/>
        <scheme val="minor"/>
      </rPr>
      <t> are worth $70 billion.</t>
    </r>
    <r>
      <rPr>
        <sz val="11"/>
        <color rgb="FF3498DB"/>
        <rFont val="Calibri"/>
        <family val="2"/>
        <scheme val="minor"/>
      </rPr>
      <t>[4]</t>
    </r>
  </si>
  <si>
    <t>Darwin LNG Terminal</t>
  </si>
  <si>
    <t>Darwin</t>
  </si>
  <si>
    <t>Santos</t>
  </si>
  <si>
    <t>-12.5221, 130.8663</t>
  </si>
  <si>
    <r>
      <t>The Darwin LNG Terminal is an onshore LNG terminal in Northern Territory, Australia.</t>
    </r>
    <r>
      <rPr>
        <sz val="11"/>
        <color rgb="FF3498DB"/>
        <rFont val="Calibri"/>
        <family val="2"/>
        <scheme val="minor"/>
      </rPr>
      <t>[6]</t>
    </r>
    <r>
      <rPr>
        <sz val="11"/>
        <color rgb="FF212529"/>
        <rFont val="Calibri"/>
        <family val="2"/>
        <scheme val="minor"/>
      </rPr>
      <t> It has one liquefaction and purification train, a 311 mile (500 kilometre) offshore facility, and a subsea pipeline from Bayu-Undan field in the East Timor Sea to Darwin in Australia's Northern Territory.</t>
    </r>
    <r>
      <rPr>
        <sz val="11"/>
        <color rgb="FF3498DB"/>
        <rFont val="Calibri"/>
        <family val="2"/>
        <scheme val="minor"/>
      </rPr>
      <t>[7]</t>
    </r>
  </si>
  <si>
    <t>Prelude FLNG</t>
  </si>
  <si>
    <t>Browse Basin</t>
  </si>
  <si>
    <t>-15.2539252, 123.5381736</t>
  </si>
  <si>
    <r>
      <t>Prelude Floating LNG Terminal is an offshore LNG terminal under development in Western Australia, Australia.</t>
    </r>
    <r>
      <rPr>
        <sz val="11"/>
        <color rgb="FF3498DB"/>
        <rFont val="Calibri"/>
        <family val="2"/>
        <scheme val="minor"/>
      </rPr>
      <t>[5]</t>
    </r>
    <r>
      <rPr>
        <sz val="11"/>
        <color rgb="FF212529"/>
        <rFont val="Calibri"/>
        <family val="2"/>
        <scheme val="minor"/>
      </rPr>
      <t> Its close neighbor is Inpex-owned </t>
    </r>
    <r>
      <rPr>
        <sz val="11"/>
        <color rgb="FF3498DB"/>
        <rFont val="Calibri"/>
        <family val="2"/>
        <scheme val="minor"/>
      </rPr>
      <t>Ichthys LNG Terminal</t>
    </r>
    <r>
      <rPr>
        <sz val="11"/>
        <color rgb="FF212529"/>
        <rFont val="Calibri"/>
        <family val="2"/>
        <scheme val="minor"/>
      </rPr>
      <t>.</t>
    </r>
    <r>
      <rPr>
        <sz val="11"/>
        <color rgb="FF3498DB"/>
        <rFont val="Calibri"/>
        <family val="2"/>
        <scheme val="minor"/>
      </rPr>
      <t>[6]</t>
    </r>
  </si>
  <si>
    <t>Ichtys LNG Pty Ltd</t>
  </si>
  <si>
    <t>INPEX</t>
  </si>
  <si>
    <r>
      <t>Ichthys FLNG Terminal is an LNG terminal in Western Australia, Australia.</t>
    </r>
    <r>
      <rPr>
        <sz val="11"/>
        <color rgb="FF3498DB"/>
        <rFont val="Calibri"/>
        <family val="2"/>
        <scheme val="minor"/>
      </rPr>
      <t>[8]</t>
    </r>
    <r>
      <rPr>
        <sz val="11"/>
        <color rgb="FF212529"/>
        <rFont val="Calibri"/>
        <family val="2"/>
        <scheme val="minor"/>
      </rPr>
      <t> Ichthys FLNG is named after the Ichthys offshore gas and condensate field in the Browse Basin in northwestern Australia, from which gas is piped through the </t>
    </r>
    <r>
      <rPr>
        <sz val="11"/>
        <color rgb="FF3498DB"/>
        <rFont val="Calibri"/>
        <family val="2"/>
        <scheme val="minor"/>
      </rPr>
      <t>Ichthys Gas Pipeline</t>
    </r>
    <r>
      <rPr>
        <sz val="11"/>
        <color rgb="FF212529"/>
        <rFont val="Calibri"/>
        <family val="2"/>
        <scheme val="minor"/>
      </rPr>
      <t> to the terminal.</t>
    </r>
  </si>
  <si>
    <t>There is a proposed expansion project. Inpex has space to add four LNG production units, called trains, at Ichthys LNG and has five points along its 890 kilometer (553 mile) pipeline from the Ichthys field to Darwin where pipelines from new gas fields could be tied in.[28]</t>
  </si>
  <si>
    <t>Wheatstone LNG Terminal</t>
  </si>
  <si>
    <t>Wheatstone</t>
  </si>
  <si>
    <t>-21.6978845, 115.001141 </t>
  </si>
  <si>
    <t>Chevron announced in October 2017 it has started producing LNG at Wheatstone project in Australia. It plans to ship its first cargo soon. Woodside plans a 15% production growth over the next three years.[7]</t>
  </si>
  <si>
    <t>Gorgon LNG Terminal</t>
  </si>
  <si>
    <t>Barrow Island</t>
  </si>
  <si>
    <r>
      <t>Gorgon LNG Terminal is an LNG terminal in Western Australia, Australia.</t>
    </r>
    <r>
      <rPr>
        <sz val="11"/>
        <color rgb="FF3498DB"/>
        <rFont val="Calibri"/>
        <family val="2"/>
        <scheme val="minor"/>
      </rPr>
      <t>[4]</t>
    </r>
    <r>
      <rPr>
        <sz val="11"/>
        <color rgb="FF212529"/>
        <rFont val="Calibri"/>
        <family val="2"/>
        <scheme val="minor"/>
      </rPr>
      <t> The US$55 billion LNG terminal is a part of the Gorgon gas project, which includes the Greater Gorgon gas fields, subsea gas gathering infrastructure, and the Gorgon LNG Terminal.</t>
    </r>
    <r>
      <rPr>
        <sz val="11"/>
        <color rgb="FF3498DB"/>
        <rFont val="Calibri"/>
        <family val="2"/>
        <scheme val="minor"/>
      </rPr>
      <t>[5]</t>
    </r>
    <r>
      <rPr>
        <sz val="11"/>
        <color rgb="FF212529"/>
        <rFont val="Calibri"/>
        <family val="2"/>
        <scheme val="minor"/>
      </rPr>
      <t> A proposed Stage Two of the Gorgon gas project would upgrade existing subsea gas gathering to maintain supply to existing LNG Trains. In 2017, the proposed Stage Two was moved into the Front End Engineering and Design (FEED) stage.</t>
    </r>
    <r>
      <rPr>
        <sz val="11"/>
        <color rgb="FF3498DB"/>
        <rFont val="Calibri"/>
        <family val="2"/>
        <scheme val="minor"/>
      </rPr>
      <t>[6]</t>
    </r>
  </si>
  <si>
    <t>Browse FLNG Terminal</t>
  </si>
  <si>
    <t>Broome</t>
  </si>
  <si>
    <t>Woodside</t>
  </si>
  <si>
    <t>Browse FLNG Terminal is a proposed LNG terminal in the Dampier Peninsula, in Kimberley, Western Australia.</t>
  </si>
  <si>
    <t>Northwest Shelf LNG Terminal</t>
  </si>
  <si>
    <t>Perth</t>
  </si>
  <si>
    <t>Japan Australia LNG, BHP, BP, Chevron, Shell, Woodside Energy</t>
  </si>
  <si>
    <t>-20.59424, 116.7767</t>
  </si>
  <si>
    <t>According to the company website in 1989 the first cargo of North West Shelf LNG left the facility's Karratha Gas Plant onboard headed to Japan’s Sodegaura Terminal. The North West Shelf LNG Project has delivered almost 4000 LNG cargoes since 1989.[3]</t>
  </si>
  <si>
    <t>-20.59424, 116.7768</t>
  </si>
  <si>
    <t>Pluto LNG Terminal</t>
  </si>
  <si>
    <t>Burrup Peninsula</t>
  </si>
  <si>
    <t>-20.6128, 116.7655</t>
  </si>
  <si>
    <t>As of 2017, Australia is the second largest LNG exporter after Qatar. The country exports almost 44 million tons a year. [12]</t>
  </si>
  <si>
    <t>-20.6128, 116.7656</t>
  </si>
  <si>
    <r>
      <t>A second train with 5-mtpa capacity has been proposed. In January 2019, Woodside announced that it planned to achieve a final investment decision (FID) by 2020 and commission the expansion in 2024.</t>
    </r>
    <r>
      <rPr>
        <sz val="11"/>
        <color rgb="FF3498DB"/>
        <rFont val="Calibri"/>
        <family val="2"/>
        <scheme val="minor"/>
      </rPr>
      <t>[14]</t>
    </r>
    <r>
      <rPr>
        <sz val="11"/>
        <color rgb="FF212529"/>
        <rFont val="Calibri"/>
        <family val="2"/>
        <scheme val="minor"/>
      </rPr>
      <t> Later, the beginning of operations at the plant were pushed back until 2026.</t>
    </r>
    <r>
      <rPr>
        <sz val="11"/>
        <color rgb="FF3498DB"/>
        <rFont val="Calibri"/>
        <family val="2"/>
        <scheme val="minor"/>
      </rPr>
      <t>[5]</t>
    </r>
  </si>
  <si>
    <t>Port of Vlora FSRU</t>
  </si>
  <si>
    <t>1</t>
  </si>
  <si>
    <t>2023</t>
  </si>
  <si>
    <t>Port of Vlora</t>
  </si>
  <si>
    <t>Excelerate Energy [unknown %]; ExxonMobil [unknown %]; Ministry of Infrastructure and Energy of Albania [unknown %]</t>
  </si>
  <si>
    <t>40.449271</t>
  </si>
  <si>
    <t>19.480761</t>
  </si>
  <si>
    <t>Arzew-Bethioua LNG Terminal</t>
  </si>
  <si>
    <t>Bethioua</t>
  </si>
  <si>
    <t>Sonatrach</t>
  </si>
  <si>
    <t>Skikda LNG Terminal</t>
  </si>
  <si>
    <t>Gassi Touil LNG Terminal</t>
  </si>
  <si>
    <t>Repsol [48.00%]; Gas Natural [32.00%]; Sonatrach [20.00%]</t>
  </si>
  <si>
    <t>Angola LNG Terminal</t>
  </si>
  <si>
    <t>Angola LNG [500.00%]</t>
  </si>
  <si>
    <t>New Fortress Angola LNG Terminal</t>
  </si>
  <si>
    <t>New Fortress Energy [100.00%]</t>
  </si>
  <si>
    <t>Antigua Power LNG Terminal</t>
  </si>
  <si>
    <t>Crabbs</t>
  </si>
  <si>
    <t>Caribbean LNG [200.00%]</t>
  </si>
  <si>
    <t>Bahia Blanca FSRU</t>
  </si>
  <si>
    <t>Bahía Blanca, Buenos Aires</t>
  </si>
  <si>
    <t>Excelerate Energy [unknown %]; Gas Natural [unknown %]; Repsol [unknown %]; YPF [unknown %]</t>
  </si>
  <si>
    <t>Escobar FSRU</t>
  </si>
  <si>
    <t>Puerto Escobar</t>
  </si>
  <si>
    <t>UTE Escobar [200.00%]</t>
  </si>
  <si>
    <t>Vaca Muerta (YPF) LNG Terminal</t>
  </si>
  <si>
    <t>Bahía Blanca</t>
  </si>
  <si>
    <t>YPF [100.00%]</t>
  </si>
  <si>
    <t>Sangachal LNG Terminal</t>
  </si>
  <si>
    <t>Sanqaçal</t>
  </si>
  <si>
    <t>BP [100.00%]</t>
  </si>
  <si>
    <t>Bahrain Hidd FLNG Terminal</t>
  </si>
  <si>
    <t>Nogaholding [30.00%]; Teekay [30.00%]; Gulf Investment Corporation [20.00%]; Samsung [20.00%]</t>
  </si>
  <si>
    <t>BAPCO Bahrain LNG Terminal</t>
  </si>
  <si>
    <t>Khalifa bin Salman Port</t>
  </si>
  <si>
    <t>Bahrain Petroleum Company [100.00%]</t>
  </si>
  <si>
    <t>Moheshkhali FLNG Terminal (Petrobangla)</t>
  </si>
  <si>
    <t>Moheshkhali Island, Bay of Bengal</t>
  </si>
  <si>
    <t>Petrobangla [100.00%]</t>
  </si>
  <si>
    <t>Summit FSRU</t>
  </si>
  <si>
    <t>Summit Oil and Shipping Co Ltd [75.00%]; Mitsubishi [25.00%]</t>
  </si>
  <si>
    <t>Matarbari LNG Terminal</t>
  </si>
  <si>
    <t>Martarbari</t>
  </si>
  <si>
    <t>Rupantarita Prakritik Gas Company [100.00%]</t>
  </si>
  <si>
    <t>Payra LNG FSRU</t>
  </si>
  <si>
    <t>Patuakhali</t>
  </si>
  <si>
    <t>Rupantarita Prakritik Gas Company Limited (RPGCL) [100.00%]</t>
  </si>
  <si>
    <t>Summit Matarbari FSRU</t>
  </si>
  <si>
    <t>Cox's Bazar</t>
  </si>
  <si>
    <t>Summit Oil and Shipping Co Ltd [100.00%]</t>
  </si>
  <si>
    <t>Zeebrugge LNG Terminal</t>
  </si>
  <si>
    <t>Fluxys [100.00%]</t>
  </si>
  <si>
    <t>Guanabara Bay FSRU</t>
  </si>
  <si>
    <t>Guanabara Bay</t>
  </si>
  <si>
    <t>Petrobras [100.00%]</t>
  </si>
  <si>
    <t>Pecém FSRU</t>
  </si>
  <si>
    <t>Porto de Pecém</t>
  </si>
  <si>
    <t>Sergipe FSRU</t>
  </si>
  <si>
    <t>Porto de Sergipe</t>
  </si>
  <si>
    <t>Porto do Açu FSRU</t>
  </si>
  <si>
    <t>Port of Açu</t>
  </si>
  <si>
    <t>Prumo Logistica [46.90%]; Siemens [33.00%]; BP [20.10%]</t>
  </si>
  <si>
    <t>Bahia FSRU</t>
  </si>
  <si>
    <t>4 km west of Ilha dos Frades</t>
  </si>
  <si>
    <t>Celba FSRU</t>
  </si>
  <si>
    <t>Porto de Vila do Conde</t>
  </si>
  <si>
    <t>Cosan FSRU</t>
  </si>
  <si>
    <t>Cosan [100.00%]</t>
  </si>
  <si>
    <t>Geramar FSRU</t>
  </si>
  <si>
    <t>Porto de Itaqui</t>
  </si>
  <si>
    <t>Unknown [unknown %]</t>
  </si>
  <si>
    <t>Imetame LNG Terminal</t>
  </si>
  <si>
    <t>Barra do Riacho</t>
  </si>
  <si>
    <t>--</t>
  </si>
  <si>
    <t>Imetame Energia SA [100.00%]</t>
  </si>
  <si>
    <t>Itacoatiara FSRU</t>
  </si>
  <si>
    <t>Itacoatiara</t>
  </si>
  <si>
    <t>TISA (Termelétrica Itacoatiara SA) [200.00%]</t>
  </si>
  <si>
    <t>Paraná FSRU</t>
  </si>
  <si>
    <t>Pontal do Paraná</t>
  </si>
  <si>
    <t>Copel [unknown %]; Shell [unknown %]</t>
  </si>
  <si>
    <t>Porto Norte Fluminense FSRU</t>
  </si>
  <si>
    <t>São Francisco de Itabapoana</t>
  </si>
  <si>
    <t>Porto Norte Fluminense SA [100.00%]</t>
  </si>
  <si>
    <t>Presidente Kennedy FSRU</t>
  </si>
  <si>
    <t>Porto Central</t>
  </si>
  <si>
    <t>Porto Central Complexo Industrial Portuário SA [200.00%]</t>
  </si>
  <si>
    <t>São Marcos Bay FSRU</t>
  </si>
  <si>
    <t>Boqueirão Channel, São Marcos Bay</t>
  </si>
  <si>
    <t>Suape FSRU</t>
  </si>
  <si>
    <t>Suape</t>
  </si>
  <si>
    <t>Tepor Macaé FSRU</t>
  </si>
  <si>
    <t>Macaé</t>
  </si>
  <si>
    <t>Eneva [65.00%]; Grupo Vale Azul Participações [35.00%]</t>
  </si>
  <si>
    <t>Terminal Gás Sul FSRU</t>
  </si>
  <si>
    <t>São Francisco do Sul</t>
  </si>
  <si>
    <t>Tergás Rio Grande LNG Terminal</t>
  </si>
  <si>
    <t>Rio Grande</t>
  </si>
  <si>
    <t>Grupo Cobra [100.00%]</t>
  </si>
  <si>
    <t>São Luis FSRU</t>
  </si>
  <si>
    <t>Port of Itaqui</t>
  </si>
  <si>
    <t>Eneva [51.00%]; Servtec Energia [49.00%]</t>
  </si>
  <si>
    <t>Brunei LNG Terminal</t>
  </si>
  <si>
    <t>Lumut</t>
  </si>
  <si>
    <t>Government of Brunei [50.00%]; Mitsubishi [25.00%]; Shell [25.00%]</t>
  </si>
  <si>
    <t>Cambodia LNG Project</t>
  </si>
  <si>
    <t>Cambodia Natural Gas Corporation [100.00%]</t>
  </si>
  <si>
    <t>Cameroon FLNG Terminal</t>
  </si>
  <si>
    <t>Kribi Southern Coastline</t>
  </si>
  <si>
    <t>Golar LNG [89.00%]; Keppel Corporation Ltd  [10.00%]; Black &amp; Veatch Holding Company [1.00%]</t>
  </si>
  <si>
    <t>Etinde FLNG Terminal</t>
  </si>
  <si>
    <t>Lukoil [37.50%]; New Age (African Global Energy) Ltd [37.50%]; Bowleven [25.00%]</t>
  </si>
  <si>
    <t>Bear Head LNG Terminal</t>
  </si>
  <si>
    <t>Point Tupper</t>
  </si>
  <si>
    <t>Repsol [100.00%]</t>
  </si>
  <si>
    <t>Saint John LNG Terminal</t>
  </si>
  <si>
    <t>Cedar FLNG Terminal</t>
  </si>
  <si>
    <t>Kitimat</t>
  </si>
  <si>
    <t>Cedar LNG Partners LP [200.00%]</t>
  </si>
  <si>
    <t>LNG Canada Terminal</t>
  </si>
  <si>
    <t>LNG Canada [500.00%]</t>
  </si>
  <si>
    <t>Woodfibre LNG Terminal</t>
  </si>
  <si>
    <t>Squamish</t>
  </si>
  <si>
    <t>Woodfibre LNG Ltd [100.00%]</t>
  </si>
  <si>
    <t>Energie Saguenay LNG Terminal</t>
  </si>
  <si>
    <t>Port Saguenay</t>
  </si>
  <si>
    <t>GNL Quebec [200.00%]</t>
  </si>
  <si>
    <t>Fort Nelson LNG Terminal</t>
  </si>
  <si>
    <t>Fort Nelson</t>
  </si>
  <si>
    <t>Cyropeak LNG Solutions [100.00%]</t>
  </si>
  <si>
    <t>Ksi Lisims FLNG Terminal</t>
  </si>
  <si>
    <t>Gingolx</t>
  </si>
  <si>
    <t>Ksi Lisims LNG GP Ltd. [300.00%]</t>
  </si>
  <si>
    <t>Placentia Bay FLNG Terminal</t>
  </si>
  <si>
    <t>Arnold's Cove</t>
  </si>
  <si>
    <t>Horizon Maritime Services [unknown %]; LNG Newfoundland and Labrador Ltd [unknown %]</t>
  </si>
  <si>
    <t>Tilbury Island LNG Terminal</t>
  </si>
  <si>
    <t>Tilbury Island</t>
  </si>
  <si>
    <t>FortisBC [100.00%]</t>
  </si>
  <si>
    <t>Mejillones LNG Terminal</t>
  </si>
  <si>
    <t>Mejillones</t>
  </si>
  <si>
    <t>Engie [63.00%]; Ameris Capital [37.00%]</t>
  </si>
  <si>
    <t>Quintero LNG Terminal</t>
  </si>
  <si>
    <t>Bay of Quintero</t>
  </si>
  <si>
    <t>EIG Global Energy Partners [40.00%]; Fluxys [40.00%]; ENAP [20.00%]</t>
  </si>
  <si>
    <t>Talcahuano FSRU</t>
  </si>
  <si>
    <t>Inversiones GNL Talcahuano SpA [100.00%]</t>
  </si>
  <si>
    <t>Chaozhou LNG Terminal (Huafeng)</t>
  </si>
  <si>
    <t>Raoping Dacheng Town</t>
  </si>
  <si>
    <t>广东华丰中天液化天然气有限公司 [100.00%]</t>
  </si>
  <si>
    <t>Dalian LNG Terminal</t>
  </si>
  <si>
    <t>Nianyu Bay</t>
  </si>
  <si>
    <t>国家管网集团大连液化天然气有限公司 [100.00%]</t>
  </si>
  <si>
    <t>Fangchenggang LNG Terminal</t>
  </si>
  <si>
    <t>国家管网集团广西防城港天然气有限责任公司 [100.00%]</t>
  </si>
  <si>
    <t>Fujian LNG Terminal</t>
  </si>
  <si>
    <t>Xiuyu</t>
  </si>
  <si>
    <t>中海福建天然气有限责任公司 [100.00%]</t>
  </si>
  <si>
    <t>Fuqing LNG Terminal</t>
  </si>
  <si>
    <t>Donghan Town</t>
  </si>
  <si>
    <t>China National Petroleum Corporation [100.00%]</t>
  </si>
  <si>
    <t>Guangdong Dapeng LNG Terminal</t>
  </si>
  <si>
    <t>Dapeng Bay</t>
  </si>
  <si>
    <t>广东大鹏液化天然气有限公司 [100.00%]</t>
  </si>
  <si>
    <t>Guangxi LNG Terminal</t>
  </si>
  <si>
    <t>Tieshan Port</t>
  </si>
  <si>
    <t>国家管网集团北海液化天然气有限责任公司 [100.00%]</t>
  </si>
  <si>
    <t>广西燃气集团有限公司 [100.00%]</t>
  </si>
  <si>
    <t>Hainan LNG Terminal</t>
  </si>
  <si>
    <t>Yangpu Economic Development Zone</t>
  </si>
  <si>
    <t>国家管网集团海南天然气有限公司 [100.00%]</t>
  </si>
  <si>
    <t>Hongmei LNG Terminal</t>
  </si>
  <si>
    <t>东莞市九丰天然气储运有限公司 [100.00%]</t>
  </si>
  <si>
    <t>Jiangmen LNG Terminal</t>
  </si>
  <si>
    <t>Guanghai Bay</t>
  </si>
  <si>
    <t>广东广海湾能源控股有限公司 [100.00%]</t>
  </si>
  <si>
    <t>Jiangsu LNG Terminal</t>
  </si>
  <si>
    <t>中石油江苏液化天然气有限公司 [100.00%]</t>
  </si>
  <si>
    <t>Jieyang LNG Terminal (PipeChina)</t>
  </si>
  <si>
    <t>国家管网集团粤东液化天然气有限责任公司 [100.00%]</t>
  </si>
  <si>
    <t>Penglai LNG Terminal</t>
  </si>
  <si>
    <t>山东蓬莱宝塔伊纳天然气有限公司 [100.00%]</t>
  </si>
  <si>
    <t>Putian LNG Terminal</t>
  </si>
  <si>
    <t>Putian</t>
  </si>
  <si>
    <t>莆田哈纳斯液化天然气有限公司 [100.00%]</t>
  </si>
  <si>
    <t>Qidong LNG Terminal</t>
  </si>
  <si>
    <t>Qidong</t>
  </si>
  <si>
    <t>广汇能源综合物流发展有限责任公司 [100.00%]</t>
  </si>
  <si>
    <t>Qinzhou LNG Terminal</t>
  </si>
  <si>
    <t xml:space="preserve">Qinzhou </t>
  </si>
  <si>
    <t>Rudong LNG Terminal</t>
  </si>
  <si>
    <t>Rudong</t>
  </si>
  <si>
    <t>协鑫汇东液化天然气如东有限公司 [100.00%]</t>
  </si>
  <si>
    <t>Shandong LNG Terminal</t>
  </si>
  <si>
    <t>中国石化青岛液化天然气有限责任公司 [100.00%]</t>
  </si>
  <si>
    <t>Shanghai Yangshan LNG Terminal</t>
  </si>
  <si>
    <t>Shengsi County Yangshan Town</t>
  </si>
  <si>
    <t>上海液化天然气有限责任公司 [100.00%]</t>
  </si>
  <si>
    <t>Shantou LNG Terminal</t>
  </si>
  <si>
    <t>Haojiang Guang’ao Island</t>
  </si>
  <si>
    <t>广东粤电汕头液化天然气有限公司 [100.00%]</t>
  </si>
  <si>
    <t>Shenzhen Diefu CNOOC LNG Terminal</t>
  </si>
  <si>
    <t>Diefu Dapeng Bay</t>
  </si>
  <si>
    <t>国家管网集团深圳天然气有限公司 [100.00%]</t>
  </si>
  <si>
    <t>Shenzhen LNG Terminal</t>
  </si>
  <si>
    <t>Longgang Dapeng</t>
  </si>
  <si>
    <t>国家石油天然气管网集团有限公司深圳液化天然气项目经理部 [100.00%]</t>
  </si>
  <si>
    <t>Tangshan LNG Terminal</t>
  </si>
  <si>
    <t>Caofeidian Industrial Zone</t>
  </si>
  <si>
    <t>中石油京唐液化天然气有限公司 [100.00%]</t>
  </si>
  <si>
    <t>Tianjin FSRU (CNOOC)</t>
  </si>
  <si>
    <t>Nangang</t>
  </si>
  <si>
    <t>国家管网集团天津液化天然气有限责任公司 [100.00%]</t>
  </si>
  <si>
    <t>Tianjin LNG Terminal (CNOOC)</t>
  </si>
  <si>
    <t>Tianjin LNG Terminal (Sinopec)</t>
  </si>
  <si>
    <t>中国石油化工股份有限公司天然气分公司 [100.00%]</t>
  </si>
  <si>
    <t>Wenzhou LNG Terminal</t>
  </si>
  <si>
    <t>Pingyang</t>
  </si>
  <si>
    <t>浙江浙能温州液化天然气有限公司 [100.00%]</t>
  </si>
  <si>
    <t>West Guangdong LNG Terminal</t>
  </si>
  <si>
    <t>Bohe Port</t>
  </si>
  <si>
    <t>GCL-Poly [unknown %]; Maoming Port Group [unknown %]; PetroChina [unknown %]</t>
  </si>
  <si>
    <t>Wuhaogou LNG Storage Facility</t>
  </si>
  <si>
    <t>Caolu Town</t>
  </si>
  <si>
    <t>上海燃气（集团）有限公司 [100.00%]</t>
  </si>
  <si>
    <t>Wuhu LNG Terminal</t>
  </si>
  <si>
    <t>安徽长江液化天然气有限责任公司 [100.00%]</t>
  </si>
  <si>
    <t>Yancheng LNG Terminal</t>
  </si>
  <si>
    <t>Binhai</t>
  </si>
  <si>
    <t>中海油江苏天然气有限责任公司 [100.00%]</t>
  </si>
  <si>
    <t>Yantai LNG Terminal</t>
  </si>
  <si>
    <t>Fushan Dajijia Town</t>
  </si>
  <si>
    <t>山东保利协鑫环亚国际能源有限公司 [100.00%]</t>
  </si>
  <si>
    <t>Hubei Energy Yingkou LNG Terminal</t>
  </si>
  <si>
    <t>Shenergy Group [100.00%]</t>
  </si>
  <si>
    <t>Zhangzhou LNG Terminal</t>
  </si>
  <si>
    <t>Longhai</t>
  </si>
  <si>
    <t>国家管网集团闽投（福建）天然气有限责任公司 [100.00%]</t>
  </si>
  <si>
    <t>Zhejiang Ningbo LNG Terminal</t>
  </si>
  <si>
    <t>中海浙江宁波液化天然气有限公司 [100.00%]</t>
  </si>
  <si>
    <t>Zhoushan LNG Terminal</t>
  </si>
  <si>
    <t xml:space="preserve">Dinghai Beichan </t>
  </si>
  <si>
    <t>新奥（舟山）液化天然气有限公司 [100.00%]</t>
  </si>
  <si>
    <t>Zhuhai LNG Terminal</t>
  </si>
  <si>
    <t>Gaolan Island</t>
  </si>
  <si>
    <t>广东珠海金湾液化天然气有限公司 [100.00%]</t>
  </si>
  <si>
    <t>West Yantai LNG Terminal</t>
  </si>
  <si>
    <t>PetroChina [unknown %]; Yantai Port Group [unknown %]</t>
  </si>
  <si>
    <t>Yueyang LNG Terminal</t>
  </si>
  <si>
    <t>岳阳液化天然气有限公司 [100.00%]</t>
  </si>
  <si>
    <t>Pinghu LNG Terminal</t>
  </si>
  <si>
    <t>Pinghu</t>
  </si>
  <si>
    <t>浙江杭嘉鑫清洁能源有限公司 [100.00%]</t>
  </si>
  <si>
    <t>Longkou LNG Terminal</t>
  </si>
  <si>
    <t>Longkou</t>
  </si>
  <si>
    <t>国家管网集团南山（山东）天然气有限公司 [100.00%]</t>
  </si>
  <si>
    <t>Shenzhen LNG Terminal (Shenzhen Gas)</t>
  </si>
  <si>
    <t>深圳市燃气集团股份有限公司 [100.00%]</t>
  </si>
  <si>
    <t>Hainan Shennan LNG Storage Facility</t>
  </si>
  <si>
    <t>Chengmai Laocheng</t>
  </si>
  <si>
    <t>海南中油深南能源有限公司 [100.00%]</t>
  </si>
  <si>
    <t>Damaiyu LNG Terminal</t>
  </si>
  <si>
    <t>Taizhou</t>
  </si>
  <si>
    <t>Zhejiang Zhongyou Longchang Energy [100.00%]</t>
  </si>
  <si>
    <t>Guangzhou Nansha LNG Terminal &amp; Load Peaking Storage</t>
  </si>
  <si>
    <t>粤海（番禺）石油化工储运开发有限公司 [100.00%]</t>
  </si>
  <si>
    <t>Huizhou LNG Terminal</t>
  </si>
  <si>
    <t>Huizhou</t>
  </si>
  <si>
    <t>广东惠州液化天然气有限公司 [100.00%]</t>
  </si>
  <si>
    <t>Sinopec Liuheng LNG Terminal</t>
  </si>
  <si>
    <t>Zhoustan</t>
  </si>
  <si>
    <t>中石化舟山液化天然气有限公司 [100.00%]</t>
  </si>
  <si>
    <t>Sinopec Longkou LNG Terminal</t>
  </si>
  <si>
    <t>中石化烟台龙口液化天然气有限公司 [100.00%]</t>
  </si>
  <si>
    <t>Weihai Nangang New Port LNG Terminal</t>
  </si>
  <si>
    <t>Nanhai New Port</t>
  </si>
  <si>
    <t>China National Petroleum Corporation [unknown %]; SK Group [unknown %]; Weihai Nanhai New District Administration [unknown %]</t>
  </si>
  <si>
    <t>Wuhan LNG Terminal</t>
  </si>
  <si>
    <t>湖北民生石油液化气有限公司 [100.00%]</t>
  </si>
  <si>
    <t>Xintian Tangshan LNG Terminal</t>
  </si>
  <si>
    <t>曹妃甸新天液化天然气有限公司 [100.00%]</t>
  </si>
  <si>
    <t>Yangjiang LNG Terminal</t>
  </si>
  <si>
    <t>广东阳江海陵湾液化天然气有限责任公司 [100.00%]</t>
  </si>
  <si>
    <t>Zhejiang Energy Liuheng LNG Terminal</t>
  </si>
  <si>
    <t>Zhoushan</t>
  </si>
  <si>
    <t>浙江浙能六横液化天然气有限公司 [100.00%]</t>
  </si>
  <si>
    <t>Zhiwan Island LNG Terminal</t>
  </si>
  <si>
    <t>澳门天然气公司 [100.00%]</t>
  </si>
  <si>
    <t>Tianjin LNG Terminal (Beijing Gas Group)</t>
  </si>
  <si>
    <t>北京市燃气集团有限责任公司 [100.00%]</t>
  </si>
  <si>
    <t>Beihai LNG Terminal</t>
  </si>
  <si>
    <t>Chaozhou LNG Terminal (Huaying）</t>
  </si>
  <si>
    <t>Raoping County</t>
  </si>
  <si>
    <t>华瀛天然气股份有限公司 [100.00%]</t>
  </si>
  <si>
    <t>China Energy Reserve Zhangzhou LNG Terminal</t>
  </si>
  <si>
    <t>Zhangzhou Development Zone</t>
  </si>
  <si>
    <t>China Energy Reserve and Chemicals Group Company [100.00%]</t>
  </si>
  <si>
    <t>Dongying LNG Terminal (Hainuo Port)</t>
  </si>
  <si>
    <t>Dongying Port</t>
  </si>
  <si>
    <t>Shandong Hainuo Port Co., Ltd [100.00%]</t>
  </si>
  <si>
    <t>Jiangyin LNG Terminal (Garson Gas)</t>
  </si>
  <si>
    <t>江苏嘉盛燃气有限公司 [100.00%]</t>
  </si>
  <si>
    <t>Jiujiang LNG Terminal</t>
  </si>
  <si>
    <t>江西省投资燃气有限公司 [100.00%]</t>
  </si>
  <si>
    <t>Quanzhou LNG Terminal</t>
  </si>
  <si>
    <t>Quangang</t>
  </si>
  <si>
    <t>泉州宏海石化仓储有限公司 [100.00%]</t>
  </si>
  <si>
    <t>Rongcheng LNG Terminal</t>
  </si>
  <si>
    <t>Rongcheng Shidao</t>
  </si>
  <si>
    <t>Beijing Energy International Holding Co [unknown %]; Xinfa Holding Co., Ltd. [unknown %]</t>
  </si>
  <si>
    <t>Rudong LNG Terminal (Jiangsu Guoxin)</t>
  </si>
  <si>
    <t>江苏国信液化天然气有限公司 [100.00%]</t>
  </si>
  <si>
    <t>Taizhou Linhai LNG Terminal</t>
  </si>
  <si>
    <t>Toumen Island</t>
  </si>
  <si>
    <t>中铁加仑（临海）液化天然气有限公司 [100.00%]</t>
  </si>
  <si>
    <t>Wenzhou Huagang LNG Terminal</t>
  </si>
  <si>
    <t>Dongtou District, Zhuangyuan'ao</t>
  </si>
  <si>
    <t>温州华港石化码头有限公司 [100.00%]</t>
  </si>
  <si>
    <t>Qushan LNG Terminal</t>
  </si>
  <si>
    <t>Qushan Island</t>
  </si>
  <si>
    <t>Jieyang LNG Terminal (PetroChina)</t>
  </si>
  <si>
    <t>PetroChina [100.00%]</t>
  </si>
  <si>
    <t>Cartagena FSRU (Colombia)</t>
  </si>
  <si>
    <t>Sociedad Portuaria El Cayao (SPEC) [200.00%]</t>
  </si>
  <si>
    <t>Buenaventura FSRU</t>
  </si>
  <si>
    <t>Bay of Buenaventura</t>
  </si>
  <si>
    <t>Unidad de Planeación Minero Energética (UPME) [100.00%]</t>
  </si>
  <si>
    <t>Aguadulce FSRU</t>
  </si>
  <si>
    <t>Aguadulce LNG [100.00%]</t>
  </si>
  <si>
    <t>Ivory Coast FSRU</t>
  </si>
  <si>
    <t>Port of Abidjan</t>
  </si>
  <si>
    <t>Golar LNG Limited [100.00%]</t>
  </si>
  <si>
    <t>Krk FSRU</t>
  </si>
  <si>
    <t>Omišalj, Krk Island</t>
  </si>
  <si>
    <t>HEP Grupa [85.00%]; Plinacro [15.00%]</t>
  </si>
  <si>
    <t>Cyprus LNG Terminal</t>
  </si>
  <si>
    <t>Vasilikos</t>
  </si>
  <si>
    <t>DEFA [100.00%]</t>
  </si>
  <si>
    <t>Andrés LNG Terminal</t>
  </si>
  <si>
    <t>Andres</t>
  </si>
  <si>
    <t>AES Corporation [100.00%]</t>
  </si>
  <si>
    <t>Jambelí FSRU</t>
  </si>
  <si>
    <t>Bajo Alto</t>
  </si>
  <si>
    <t>Sycar LLC [100.00%]</t>
  </si>
  <si>
    <t>Damietta SEGAS LNG Terminal</t>
  </si>
  <si>
    <t>Damiette Port</t>
  </si>
  <si>
    <t>SEGAS [300.00%]</t>
  </si>
  <si>
    <t>Egyptian LNG Terminal</t>
  </si>
  <si>
    <t>Idku</t>
  </si>
  <si>
    <t>El Beheira Natural Gas Liquefaction Company [500.00%]</t>
  </si>
  <si>
    <t>Idku Natural Gas Liquefaction Company [400.00%]</t>
  </si>
  <si>
    <t>Sumed BW FSRU</t>
  </si>
  <si>
    <t>Port of Ain Sokhna</t>
  </si>
  <si>
    <t>BW Group [100.00%]</t>
  </si>
  <si>
    <t>Acajutla FSRU</t>
  </si>
  <si>
    <t>Energía del Pacífico [100.00%]</t>
  </si>
  <si>
    <t>Fortuna FLNG Terminal</t>
  </si>
  <si>
    <t>off west coast of Bamako Is.</t>
  </si>
  <si>
    <t>Punta Europa LNG Terminal</t>
  </si>
  <si>
    <t>Malabo</t>
  </si>
  <si>
    <t>EG LNG [400.00%]</t>
  </si>
  <si>
    <t>Paldiski LNG Terminal</t>
  </si>
  <si>
    <t>Paldiski</t>
  </si>
  <si>
    <t>Alexela [100.00%]</t>
  </si>
  <si>
    <t>Paldiski FSRU</t>
  </si>
  <si>
    <t xml:space="preserve">Paldiski (Estonia) and Inkoo (Finland) </t>
  </si>
  <si>
    <t>Alexela [unknown %]; Infortar [unknown %]</t>
  </si>
  <si>
    <t>Hamina LNG Terminal</t>
  </si>
  <si>
    <t>Port of Hamina</t>
  </si>
  <si>
    <t>Alexela [unknown %]; Hamina Energy [unknown %]; Wärtsilä [unknown %]</t>
  </si>
  <si>
    <t>Pori LNG Terminal</t>
  </si>
  <si>
    <t>Port of Tahkoluoto</t>
  </si>
  <si>
    <t>Gasum [100.00%]</t>
  </si>
  <si>
    <t>Tornio Manga LNG Terminal</t>
  </si>
  <si>
    <t>Tornio harbour, Port of Röyttä,</t>
  </si>
  <si>
    <t>Outokumpu Group [45.00%]; Gasum [25.00%]; SSAB [25.00%]; EPV Energy [5.00%]</t>
  </si>
  <si>
    <t>Inkoo FSRU</t>
  </si>
  <si>
    <t>Inkoo port</t>
  </si>
  <si>
    <t>Gasgrid Finland Oy [100.00%]</t>
  </si>
  <si>
    <t>Dunkirk LNG Terminal</t>
  </si>
  <si>
    <t>Dunkirk</t>
  </si>
  <si>
    <t>Fluxys [30.38%]; Axa [15.19%]; Credit Agricole Group [15.19%]; Hanwha Investment and Securities [13.08%]; IBK Securities [13.08%]; Samsung [13.08%]</t>
  </si>
  <si>
    <t>Fos Cavaou LNG Terminal</t>
  </si>
  <si>
    <t>Engie [100.00%]</t>
  </si>
  <si>
    <t>Fos Tonkin LNG Terminal</t>
  </si>
  <si>
    <t>Montoir LNG Terminal</t>
  </si>
  <si>
    <t>Montoir-de-Bretagne</t>
  </si>
  <si>
    <t>Le Havre FSRU</t>
  </si>
  <si>
    <t>Port of Le Havre</t>
  </si>
  <si>
    <t>TotalEnergies [100.00%]</t>
  </si>
  <si>
    <t>Boudji FLNG Terminal</t>
  </si>
  <si>
    <t>Petronas [100.00%]</t>
  </si>
  <si>
    <t>Wilhelmshaven FSRU</t>
  </si>
  <si>
    <t>Uniper [100.00%]</t>
  </si>
  <si>
    <t>Brunsbüttel FSRU</t>
  </si>
  <si>
    <t>German LNG Terminal [300.00%]</t>
  </si>
  <si>
    <t>Stade LNG Terminal</t>
  </si>
  <si>
    <t>Buss Group [unknown %]; Dow Chemical [unknown %]; Fluxys [unknown %]; Partners Group [unknown %]</t>
  </si>
  <si>
    <t>Wilhelmshaven NWO FSRU Terminal</t>
  </si>
  <si>
    <t>Nord West Ölleitung [400.00%]</t>
  </si>
  <si>
    <t>TES Wilhelmshaven LNG Terminal</t>
  </si>
  <si>
    <t>Tree Energy Solutions [100.00%]</t>
  </si>
  <si>
    <t>Lubmin FSRU</t>
  </si>
  <si>
    <t>Port of Lubmin</t>
  </si>
  <si>
    <t>Deutsche Regas [unknown %]</t>
  </si>
  <si>
    <t>Brunsbüttel LNG Terminal</t>
  </si>
  <si>
    <t>Gasunie [unknown %]; Oiltanking [unknown %]; Vopak LNG [unknown %]</t>
  </si>
  <si>
    <t>Stade FSRU</t>
  </si>
  <si>
    <t>Tema FSRU</t>
  </si>
  <si>
    <t>Tema LNG Terminal Company [200.00%]</t>
  </si>
  <si>
    <t>Gibraltar LNG Terminal</t>
  </si>
  <si>
    <t>Shell [51.00%]; Government of Gibraltar [49.00%]</t>
  </si>
  <si>
    <t>Revithoussa LNG Terminal</t>
  </si>
  <si>
    <t>Revithoussa Island</t>
  </si>
  <si>
    <t>DEPA [100.00%]</t>
  </si>
  <si>
    <t>Alexandroupolis FSRU</t>
  </si>
  <si>
    <t>Aegean Sea</t>
  </si>
  <si>
    <t>Gastrade [500.00%]</t>
  </si>
  <si>
    <t>Dioriga FSRU</t>
  </si>
  <si>
    <t>Gulf of Corinth</t>
  </si>
  <si>
    <t>Dioriga Gas [100.00%]</t>
  </si>
  <si>
    <t>Thrace FSRU Terminal</t>
  </si>
  <si>
    <t>Argo FSRU Terminal</t>
  </si>
  <si>
    <t>Port of Volos</t>
  </si>
  <si>
    <t>Mediterranean Gas [100.00%]</t>
  </si>
  <si>
    <t>Thessaloniki FSRU</t>
  </si>
  <si>
    <t>Thermaic Gulf</t>
  </si>
  <si>
    <t>Elpedison [200.00%]</t>
  </si>
  <si>
    <t>Guinea LNG Terminal</t>
  </si>
  <si>
    <t>Kamsar</t>
  </si>
  <si>
    <t>Both</t>
  </si>
  <si>
    <t>West Africa LNG Group [100.00%]</t>
  </si>
  <si>
    <t>Chennai LNG Terminal</t>
  </si>
  <si>
    <t>Ennore</t>
  </si>
  <si>
    <t>XinAo Group Co Ltd [100.00%]</t>
  </si>
  <si>
    <t>Dahej LNG Terminal</t>
  </si>
  <si>
    <t>Dahej</t>
  </si>
  <si>
    <t>Petronet LNG [100.00%]</t>
  </si>
  <si>
    <t>Dhabol LNG Terminal</t>
  </si>
  <si>
    <t>Ratnagiri</t>
  </si>
  <si>
    <t>Konkan LNG Ltd [100.00%]</t>
  </si>
  <si>
    <t>Dhamra LNG Terminal</t>
  </si>
  <si>
    <t>Dhamra Port</t>
  </si>
  <si>
    <t>Dhamra LNG Terminal Pvt Ltd [200.00%]</t>
  </si>
  <si>
    <t>Hazira LNG Terminal</t>
  </si>
  <si>
    <t>Hazira Port</t>
  </si>
  <si>
    <t>Shell [100.00%]</t>
  </si>
  <si>
    <t>Jaigarh LNG Terminal</t>
  </si>
  <si>
    <t>Jaigarh Port</t>
  </si>
  <si>
    <t>Western Concessions Private Limited [100.00%]</t>
  </si>
  <si>
    <t>Kochi LNG Terminal</t>
  </si>
  <si>
    <t>Puthuvype</t>
  </si>
  <si>
    <t>Mundra LNG Terminal</t>
  </si>
  <si>
    <t>Mundra Port</t>
  </si>
  <si>
    <t>Gujarat State Petronet [95.00%]; S.B. Adani Family Trust [5.00%]</t>
  </si>
  <si>
    <t>Jafrabad FSRU</t>
  </si>
  <si>
    <t>Jafrabad</t>
  </si>
  <si>
    <t>Swan Energy Limited [32.12%]; Indian Farmers Fertilizers Cooperative [30.87%]; Gujarat Maritime Board [15.00%]; Gujarat State Petronet [11.00%]; Mitsui Group [11.00%]</t>
  </si>
  <si>
    <t>Ennore LNG Terminal</t>
  </si>
  <si>
    <t>Ennore Port</t>
  </si>
  <si>
    <t>Indian Oil Corporation Limited [90.00%]; Tamil Nadu Industrial Development Corporation [10.00%]</t>
  </si>
  <si>
    <t>Chhara LNG Terminal</t>
  </si>
  <si>
    <t>Chhara</t>
  </si>
  <si>
    <t>HPCL Shapoorji Energy Private Limited [100.00%]</t>
  </si>
  <si>
    <t>H-Energy Kakinada LNG Terminal</t>
  </si>
  <si>
    <t>Kakinada Port</t>
  </si>
  <si>
    <t>East Coast Concessions Private Limited [100.00%]</t>
  </si>
  <si>
    <t>Kukrahati LNG Terminal</t>
  </si>
  <si>
    <t>Kukrahati</t>
  </si>
  <si>
    <t>Bengal Concessions Private Limited [100.00%]</t>
  </si>
  <si>
    <t>Karaikal LNG Terminal</t>
  </si>
  <si>
    <t>Karaikal</t>
  </si>
  <si>
    <t>Atlantic Gulf and Pacific Company [100.00%]</t>
  </si>
  <si>
    <t>Mumbai FSRU</t>
  </si>
  <si>
    <t>Mumbai Port</t>
  </si>
  <si>
    <t>SP Armada Clean Energy Ventures [200.00%]</t>
  </si>
  <si>
    <t>Crown Kakinada LNG Terminal</t>
  </si>
  <si>
    <t>Offshore Kakinada</t>
  </si>
  <si>
    <t>Crown LNG India AS [100.00%]</t>
  </si>
  <si>
    <t>LNG Alliance Mangalore FSRU</t>
  </si>
  <si>
    <t>LNG Alliance [unknown %]; New Mangalore Port Trust [unknown %]</t>
  </si>
  <si>
    <t>Abadi FLNG Terminal</t>
  </si>
  <si>
    <t>Masela Block, Adabi gas field</t>
  </si>
  <si>
    <t>INPEX Masela Ltd [200.00%]</t>
  </si>
  <si>
    <t>Arun LNG Import Terminal</t>
  </si>
  <si>
    <t>Pertamina [70.00%]; Government of Aceh [30.00%]</t>
  </si>
  <si>
    <t>Benoa FSRU</t>
  </si>
  <si>
    <t>Tanjung Benoa</t>
  </si>
  <si>
    <t>JSK Group [50.00%]; PT Pelindo 3 [50.00%]</t>
  </si>
  <si>
    <t>Bontang LNG Terminal</t>
  </si>
  <si>
    <t>Bontang</t>
  </si>
  <si>
    <t>Pertamina [55.00%]; VICO Energy [40.00%]; PT Japan Indonesia LNG Co (JILCO) [15.00%]; TotalEnergies [10.00%]</t>
  </si>
  <si>
    <t>Jawa Satu FSRU</t>
  </si>
  <si>
    <t>Cilamaya</t>
  </si>
  <si>
    <t>Jawa Satu Regas [300.00%]</t>
  </si>
  <si>
    <t>Donggi Senoro LNG Terminal</t>
  </si>
  <si>
    <t>Luwuk</t>
  </si>
  <si>
    <t>PT Donggi-Senoro LNG [400.00%]</t>
  </si>
  <si>
    <t>Lampung FSRU</t>
  </si>
  <si>
    <t>Labuhan Maringgai</t>
  </si>
  <si>
    <t>Leif Höegh &amp; Co [100.00%]</t>
  </si>
  <si>
    <t>West Java FSRU</t>
  </si>
  <si>
    <t>Jakarta Bay</t>
  </si>
  <si>
    <t>Pertamina [60.00%]; Perusahaan Gas Negara [40.00%]</t>
  </si>
  <si>
    <t>Sengkang LNG Terminal</t>
  </si>
  <si>
    <t>South Sulawesi coastline</t>
  </si>
  <si>
    <t>Energy World [100.00%]</t>
  </si>
  <si>
    <t>Tangguh LNG Terminal</t>
  </si>
  <si>
    <t>Teluk Bintuni</t>
  </si>
  <si>
    <t>Tangguh LNG [900.00%]</t>
  </si>
  <si>
    <t>Karunia Dewata FSRU</t>
  </si>
  <si>
    <t>JSK Group [100.00%]</t>
  </si>
  <si>
    <t>Teluk Lamong LNG Terminal</t>
  </si>
  <si>
    <t>Teluk Lamong</t>
  </si>
  <si>
    <t>PT Pelindo III [unknown %]; PT Perusahaan Gas Negara [unknown %]</t>
  </si>
  <si>
    <t>Ambon LNG Terminal</t>
  </si>
  <si>
    <t>PT Perusahaan Gas Negara [100.00%]</t>
  </si>
  <si>
    <t>East Java Mini LNG Terminals</t>
  </si>
  <si>
    <t>Gresik</t>
  </si>
  <si>
    <t>Pertamina [100.00%]</t>
  </si>
  <si>
    <t>Flores LNG Terminal</t>
  </si>
  <si>
    <t>Flores</t>
  </si>
  <si>
    <t>PT Perusahaan Listrik Negara [100.00%]</t>
  </si>
  <si>
    <t>Hua Xiang-Zaynep Sultan LNG Terminal</t>
  </si>
  <si>
    <t>Amurang, Sulawesi</t>
  </si>
  <si>
    <t>CIMC Yonglong Tianijin Fin [100.00%]</t>
  </si>
  <si>
    <t>Karimun Island LNG Terminal</t>
  </si>
  <si>
    <t>Panbil Group [100.00%]</t>
  </si>
  <si>
    <t>Central Java Mini LNG Terminal</t>
  </si>
  <si>
    <t>Palu LNG Terminal</t>
  </si>
  <si>
    <t>Palu</t>
  </si>
  <si>
    <t>Aslan Energy Capital [unknown %]; PT Agri Maritim Sulteng [unknown %]</t>
  </si>
  <si>
    <t>Woodside Probolinggo LNG Terminal</t>
  </si>
  <si>
    <t>Probolinggo</t>
  </si>
  <si>
    <t>PT Petrogas Jatim Utama [unknown %]; Woodside Energy [unknown %]</t>
  </si>
  <si>
    <t>Shannon LNG Terminal</t>
  </si>
  <si>
    <t>Tarbert/Ballylongford</t>
  </si>
  <si>
    <t>Predator FSRU</t>
  </si>
  <si>
    <t>Predator Oil &amp; Gas [100.00%]</t>
  </si>
  <si>
    <t>Hadera FSRU Terminal</t>
  </si>
  <si>
    <t>Hadera</t>
  </si>
  <si>
    <t>Excelerate Energy [100.00%]</t>
  </si>
  <si>
    <t>Adriatic LNG Terminal</t>
  </si>
  <si>
    <t>offshore</t>
  </si>
  <si>
    <t>ExxonMobil [70.70%]; QatarEnergy [22.00%]; Cassa Depositi e Prestiti [7.30%]</t>
  </si>
  <si>
    <t>Gioia Tauro LNG Terminal</t>
  </si>
  <si>
    <t>Trinitapoli</t>
  </si>
  <si>
    <t>LNG Medgas Terminal srl [unknown %]; Sorgenia [unknown %]</t>
  </si>
  <si>
    <t>Toscana LNG Terminal</t>
  </si>
  <si>
    <t>Snam [49.07%]; Mitsubishi UFJ Financial Group [48.24%]; Golar LNG Limited [2.69%]</t>
  </si>
  <si>
    <t>Panigaglia LNG Terminal</t>
  </si>
  <si>
    <t>Porto Venere</t>
  </si>
  <si>
    <t>Snam [100.00%]</t>
  </si>
  <si>
    <t>Porto Empedocle LNG Terminal</t>
  </si>
  <si>
    <t>Agrigento</t>
  </si>
  <si>
    <t>Nuove Energie [100.00%]</t>
  </si>
  <si>
    <t>Ravenna LNG Terminal</t>
  </si>
  <si>
    <t xml:space="preserve">Port of Ravenna </t>
  </si>
  <si>
    <t>Edison S.p.A. [unknown %]; Petrolifera Italo Rumena [unknown %]</t>
  </si>
  <si>
    <t>HIGAS LNG Terminal</t>
  </si>
  <si>
    <t>Oristano</t>
  </si>
  <si>
    <t>CPL Concordia [unknown %]; Gas and Heat [unknown %]; Stolt-Nielsen Limited [unknown %]</t>
  </si>
  <si>
    <t>Portovesme FSRU</t>
  </si>
  <si>
    <t>Portovesme</t>
  </si>
  <si>
    <t>Snam SpA [100.00%]</t>
  </si>
  <si>
    <t>Porto Torres FSRU Terminal</t>
  </si>
  <si>
    <t>Porto Torres</t>
  </si>
  <si>
    <t>Montego Bay LNG Terminal</t>
  </si>
  <si>
    <t>Old Harbour FSRU</t>
  </si>
  <si>
    <t>Chita Kyodo LNG Terminal</t>
  </si>
  <si>
    <t>Chita</t>
  </si>
  <si>
    <t>JERA [unknown %]; Toho Gas [unknown %]</t>
  </si>
  <si>
    <t>Chubu Electric Power [unknown %]; Toho Gas [unknown %]; Tokyo Electric Power Company [unknown %]</t>
  </si>
  <si>
    <t>Chita LNG Terminal</t>
  </si>
  <si>
    <t>Chita LNG [unknown %]; Chubu Electric Power [unknown %]; Toho Gas [unknown %]</t>
  </si>
  <si>
    <t>Chita Midorihama LNG Terminal</t>
  </si>
  <si>
    <t>Toho Gas [100.00%]</t>
  </si>
  <si>
    <t>Fukuoka LNG Terminal</t>
  </si>
  <si>
    <t>Fukuoka</t>
  </si>
  <si>
    <t>Saibu Gas [100.00%]</t>
  </si>
  <si>
    <t>Futtsu LNG Terminal</t>
  </si>
  <si>
    <t>Futtsu</t>
  </si>
  <si>
    <t>JERA [200.00%]</t>
  </si>
  <si>
    <t>Chubu Electric Power [50.00%]; Tokyo Electric Power Company [50.00%]</t>
  </si>
  <si>
    <t>Hachinohe LNG Terminal</t>
  </si>
  <si>
    <t>Port of Hachinohe</t>
  </si>
  <si>
    <t>JXTG Holdings [100.00%]</t>
  </si>
  <si>
    <t>Hakodate LNG Terminal</t>
  </si>
  <si>
    <t xml:space="preserve">Hakodate </t>
  </si>
  <si>
    <t>Hokkaido Gas [100.00%]</t>
  </si>
  <si>
    <t>Hatsukaichi LNG Terminal</t>
  </si>
  <si>
    <t xml:space="preserve">Hiroshima </t>
  </si>
  <si>
    <t>Hiroshima Gas [100.00%]</t>
  </si>
  <si>
    <t>Hibiki LNG Terminal</t>
  </si>
  <si>
    <t>Saibu Gas [90.00%]; Kyushu Electric Power [10.00%]</t>
  </si>
  <si>
    <t>Higashi Niigata LNG Terminal</t>
  </si>
  <si>
    <t>Higashi</t>
  </si>
  <si>
    <t>Tohoku Electric Power [100.00%]</t>
  </si>
  <si>
    <t>Higashi Ohgishima LNG Terminal</t>
  </si>
  <si>
    <t>Higashi-Ohgishima</t>
  </si>
  <si>
    <t>Himeji LNG Terminal</t>
  </si>
  <si>
    <t>Kansai Electric Power Company [100.00%]</t>
  </si>
  <si>
    <t>Hitachi LNG Terminal</t>
  </si>
  <si>
    <t>Hitachi Port</t>
  </si>
  <si>
    <t>Tokyo Gas [100.00%]</t>
  </si>
  <si>
    <t>Ishikari LNG Terminal</t>
  </si>
  <si>
    <t>Ishikari Bay New Port, Otaru</t>
  </si>
  <si>
    <t>Joetsu LNG Terminal</t>
  </si>
  <si>
    <t>Naoetsu in Joetsu city, Niigata Prefecture</t>
  </si>
  <si>
    <t>Kagoshima LNG Terminal</t>
  </si>
  <si>
    <t>Kagoshima</t>
  </si>
  <si>
    <t>Nippon Gas [100.00%]</t>
  </si>
  <si>
    <t>Kawagoe LNG Terminal</t>
  </si>
  <si>
    <t>Kawagoe</t>
  </si>
  <si>
    <t>Kushiro LNG Terminal</t>
  </si>
  <si>
    <t>Kushiro City</t>
  </si>
  <si>
    <t>Mizushima LNG Terminal</t>
  </si>
  <si>
    <t>Nagasaki LNG Terminal</t>
  </si>
  <si>
    <t>Nagasaki</t>
  </si>
  <si>
    <t>Nakagusuku LNG Terminal</t>
  </si>
  <si>
    <t xml:space="preserve">Nakagusuku </t>
  </si>
  <si>
    <t>Okinawa Electric Power [100.00%]</t>
  </si>
  <si>
    <t>Negishi LNG Terminal</t>
  </si>
  <si>
    <t>Tokyo</t>
  </si>
  <si>
    <t>JERA [unknown %]; Tokyo Gas [unknown %]</t>
  </si>
  <si>
    <t>Chubu Electric Power [unknown %]; Tokyo Electric Power Company [unknown %]; Tokyo Gas [unknown %]</t>
  </si>
  <si>
    <t>Naoetsu LNG Terminal</t>
  </si>
  <si>
    <t>Joetsu</t>
  </si>
  <si>
    <t>INPEX [100.00%]</t>
  </si>
  <si>
    <t>Ohgishima LNG Terminal</t>
  </si>
  <si>
    <t>Tsurumi-ku, Yokohama</t>
  </si>
  <si>
    <t>Oita LNG Terminal</t>
  </si>
  <si>
    <t>Oita LNG [100.00%]</t>
  </si>
  <si>
    <t>Sakai LNG Terminal</t>
  </si>
  <si>
    <t>Sakai</t>
  </si>
  <si>
    <t>Sakaide LNG Terminal</t>
  </si>
  <si>
    <t>Sakaide</t>
  </si>
  <si>
    <t>Sakaide LNG [100.00%]</t>
  </si>
  <si>
    <t>Senboku 1&amp;2 LNG Terminal</t>
  </si>
  <si>
    <t>Port of Sakai-Semboku</t>
  </si>
  <si>
    <t>Osaka Gas [100.00%]</t>
  </si>
  <si>
    <t>Shin Minato LNG Terminal</t>
  </si>
  <si>
    <t>Sendai Gas [100.00%]</t>
  </si>
  <si>
    <t>Shin-Sendai LNG Terminal</t>
  </si>
  <si>
    <t>Sodegaura LNG Terminal</t>
  </si>
  <si>
    <t>Shimizu Bay</t>
  </si>
  <si>
    <t>Sodeshi Shimizu LNG Terminal</t>
  </si>
  <si>
    <t>Shizuoka Gas [65.00%]; ENEOS Corporation [35.00%]</t>
  </si>
  <si>
    <t>Tobata LNG Terminal</t>
  </si>
  <si>
    <t>Yanai</t>
  </si>
  <si>
    <t>Kitakyushu LNG [unknown %]; Kyushu Electric Power [unknown %]; Nippon Steel Corporation [unknown %]</t>
  </si>
  <si>
    <t>Yanai LNG Terminal</t>
  </si>
  <si>
    <t>Yokkaichi</t>
  </si>
  <si>
    <t>Chugoku Electric Power [100.00%]</t>
  </si>
  <si>
    <t>Yokkaichi Works LNG Terminal</t>
  </si>
  <si>
    <t>Aqaba Port</t>
  </si>
  <si>
    <t>Niihama LNG Terminal</t>
  </si>
  <si>
    <t>Niihama</t>
  </si>
  <si>
    <t>Niihama LNG Co Ltd [400.00%]</t>
  </si>
  <si>
    <t>Akita LNG Terminal</t>
  </si>
  <si>
    <t>Akita</t>
  </si>
  <si>
    <t>Tobu Gas [100.00%]</t>
  </si>
  <si>
    <t>Yokkaichi LNG Center</t>
  </si>
  <si>
    <t>Yoshinoura LNG Terminal</t>
  </si>
  <si>
    <t>Okinawa</t>
  </si>
  <si>
    <t>Choguko Electric LNG Terminal</t>
  </si>
  <si>
    <t>Tobata</t>
  </si>
  <si>
    <t>Sendai LNG Terminal</t>
  </si>
  <si>
    <t>Sendai City Gas Bureau [100.00%]</t>
  </si>
  <si>
    <t>Toyama Shinko LNG Terminal</t>
  </si>
  <si>
    <t>Hokuriku Electric [100.00%]</t>
  </si>
  <si>
    <t>Aqaba Jordan FSRU</t>
  </si>
  <si>
    <t>Isramco [100.00%]</t>
  </si>
  <si>
    <t>Mombasa LNG Terminal</t>
  </si>
  <si>
    <t>Kenya Ministry Of Energy And Petroleum [100.00%]</t>
  </si>
  <si>
    <t>Mina Al-Ahmadi Golar FSRU</t>
  </si>
  <si>
    <t>Al Zour LNG Import Terminal</t>
  </si>
  <si>
    <t>Kuwait National Petroleum Company [100.00%]</t>
  </si>
  <si>
    <t>Riga FSRU</t>
  </si>
  <si>
    <t>Riga</t>
  </si>
  <si>
    <t>Latvenergo [100.00%]</t>
  </si>
  <si>
    <t>Skulte LNG Terminal</t>
  </si>
  <si>
    <t>Skulte</t>
  </si>
  <si>
    <t>Skulte LNG Terminal [80.00%]; Virši-A [20.00%]</t>
  </si>
  <si>
    <t>Zahrani FSRU</t>
  </si>
  <si>
    <t>Zahrani</t>
  </si>
  <si>
    <t>Lebanese Ministry of Energy and Water [100.00%]</t>
  </si>
  <si>
    <t>Klaipeda FSRU</t>
  </si>
  <si>
    <t>Klaipeda Port</t>
  </si>
  <si>
    <t>Klaipėdos Nafta [300.00%]</t>
  </si>
  <si>
    <t>Satu FLNG Terminal</t>
  </si>
  <si>
    <t>Bintulu</t>
  </si>
  <si>
    <t>Dua FLNG Terminal</t>
  </si>
  <si>
    <t>Rotan gas field</t>
  </si>
  <si>
    <t>Melaka FSRU</t>
  </si>
  <si>
    <t>Sungei Udang Port</t>
  </si>
  <si>
    <t>Pengerang Johor LNG Terminal</t>
  </si>
  <si>
    <t>Pengerang</t>
  </si>
  <si>
    <t>Petronas [65.00%]; Dialog Group [25.00%]; Government of Johor [10.00%]</t>
  </si>
  <si>
    <t>Dua Malaysia LNG Terminal</t>
  </si>
  <si>
    <t>Malaysia LNG Terminal</t>
  </si>
  <si>
    <t>Satu Malaysia Terminal</t>
  </si>
  <si>
    <t>Tiga Malaysia LNG Terminal</t>
  </si>
  <si>
    <t>Tiga FLNG Terminal</t>
  </si>
  <si>
    <t>Delimara FSRU</t>
  </si>
  <si>
    <t xml:space="preserve">Marsaxlokk </t>
  </si>
  <si>
    <t>Bumi Armada [100.00%]</t>
  </si>
  <si>
    <t>Greater Tortue Ahmeyim FLNG Terminal</t>
  </si>
  <si>
    <t>BP [unknown %]; Kosmos Energy [unknown %]</t>
  </si>
  <si>
    <t>New Fortress Banda LNG Terminal</t>
  </si>
  <si>
    <t>Banda gas field</t>
  </si>
  <si>
    <t>Altamira LNG Terminal</t>
  </si>
  <si>
    <t>Altamira Port</t>
  </si>
  <si>
    <t>Vopak [60.00%]; Enagás [40.00%]</t>
  </si>
  <si>
    <t>Manzanillo LNG Terminal</t>
  </si>
  <si>
    <t>Manzanillo</t>
  </si>
  <si>
    <t>Mitsui Group [37.50%]; Samsung [37.50%]; KOGAS [25.00%]</t>
  </si>
  <si>
    <t>Pichilingue LNG Terminal</t>
  </si>
  <si>
    <t>Port of Pichilingue</t>
  </si>
  <si>
    <t>Salina Cruz LNG Terminal</t>
  </si>
  <si>
    <t>CFEnergía [100.00%]</t>
  </si>
  <si>
    <t>Mexico Pacific LNG Terminal</t>
  </si>
  <si>
    <t>Puerto Libertad</t>
  </si>
  <si>
    <t>AECOM Capital [50.00%]; DKRW Energy [50.00%]</t>
  </si>
  <si>
    <t>Costa Azul LNG Import Terminal</t>
  </si>
  <si>
    <t>Costa Azul Export Terminal</t>
  </si>
  <si>
    <t>Sempra Energy [83.40%]; TotalEnergies [16.60%]</t>
  </si>
  <si>
    <t>Epcilon LNG LLC [unknown %]; LNG Alliance [unknown %]</t>
  </si>
  <si>
    <t>AMIGO LNG Terminal</t>
  </si>
  <si>
    <t>Vista Pacifico LNG Terminal</t>
  </si>
  <si>
    <t>Topolobampo</t>
  </si>
  <si>
    <t>Lakach Field FLNG Terminal</t>
  </si>
  <si>
    <t>Offshore Veracruz</t>
  </si>
  <si>
    <t>New Fortress Altamira FLNG Terminal</t>
  </si>
  <si>
    <t>Offshore Altamira</t>
  </si>
  <si>
    <t>ProjectID</t>
  </si>
  <si>
    <t>StartCountry</t>
  </si>
  <si>
    <t>EndCountry</t>
  </si>
  <si>
    <t>Column1</t>
  </si>
  <si>
    <t>Wiki</t>
  </si>
  <si>
    <t>PipelineName</t>
  </si>
  <si>
    <t>SegmentName</t>
  </si>
  <si>
    <t>OtherEnglishNames</t>
  </si>
  <si>
    <t>Owner</t>
  </si>
  <si>
    <t>Parent</t>
  </si>
  <si>
    <t>StartYear1</t>
  </si>
  <si>
    <t>StartYear2</t>
  </si>
  <si>
    <t>StartYear3</t>
  </si>
  <si>
    <t>StopYear</t>
  </si>
  <si>
    <t>Capacity</t>
  </si>
  <si>
    <t>CapacityUnits</t>
  </si>
  <si>
    <t>CapacityBcm/y</t>
  </si>
  <si>
    <t>CapacityBOEd</t>
  </si>
  <si>
    <t>LengthKnownKm</t>
  </si>
  <si>
    <t>LengthEstimateKm</t>
  </si>
  <si>
    <t>LengthMergedKm</t>
  </si>
  <si>
    <t>Diameter</t>
  </si>
  <si>
    <t>DiameterUnits</t>
  </si>
  <si>
    <t>FuelSource</t>
  </si>
  <si>
    <t>StartLocation</t>
  </si>
  <si>
    <t>StartRegion</t>
  </si>
  <si>
    <t>StartPrefecture/District</t>
  </si>
  <si>
    <t>StartState/Province</t>
  </si>
  <si>
    <t>EndLocation</t>
  </si>
  <si>
    <t>EndPrefecture/District</t>
  </si>
  <si>
    <t>EndState/Province</t>
  </si>
  <si>
    <t>EndRegion</t>
  </si>
  <si>
    <t>FIDYear</t>
  </si>
  <si>
    <t>OtherLanguagePrimaryPipelineName</t>
  </si>
  <si>
    <t>OtherLanguageSegmentName</t>
  </si>
  <si>
    <t>OtherLanguageWikiPage</t>
  </si>
  <si>
    <t>WKTFormat</t>
  </si>
  <si>
    <t>P0061</t>
  </si>
  <si>
    <t>Gas</t>
  </si>
  <si>
    <t>https://www.gem.wiki/Double_E_Pipeline_Project</t>
  </si>
  <si>
    <t>Double E Pipeline Project</t>
  </si>
  <si>
    <t>Summit Group [70.00%]; ExxonMobil [30.00%]</t>
  </si>
  <si>
    <t>Operating</t>
  </si>
  <si>
    <t>MMcf/d</t>
  </si>
  <si>
    <t>30, 42</t>
  </si>
  <si>
    <t>in</t>
  </si>
  <si>
    <t>Delaware Basin</t>
  </si>
  <si>
    <t>North America</t>
  </si>
  <si>
    <t>Eddy County</t>
  </si>
  <si>
    <t>Waha</t>
  </si>
  <si>
    <t>LINESTRING (-103.806315 32.52306333, -103.909209 32.52193993, -103.915581 32.4995276, -103.918286 32.48726778, -103.918272 32.47153984, -103.914129 32.45740336, -103.90846 32.44618603, -103.903827 32.43850262, -103.892195 32.42608705, -103.886608 32.41629514, -103.885112 32.40419917, -103.875515 32.39813713, -103.860836 32.39155588, -103.858427 32.37806472, -103.855445 32.36960028, -103.842224 32.35867036, -103.836534 32.34673472, -103.83008 32.33625794, -103.836492 32.31434805, -103.842414 32.29910601, -103.841616 32.28412229, -103.843262 32.26761467, -103.840937 32.25554947, -103.844528 32.24397194, -103.848231 32.23453492, -103.849417 32.22519473, -103.846291 32.21387532, -103.841451 32.20190666, -103.845154 32.19246982, -103.842983 32.18325849, -103.839899 32.17265218, -103.828578 32.16522102, -103.829501 32.15088606, -103.828172 32.1416421, -103.827419 32.12737124, -103.822049 32.12114147, -103.814052 32.1128666, -103.811925 32.10436773, -103.809574 32.09158738, -103.799867 32.08266142, -103.795229 32.07425748, -103.791205 32.06153999, -103.789845 32.05158145, -103.781932 32.04473081, -103.777987 32.03343977, -103.773242 32.02289371, -103.767668 32.01252163, -103.758048 32.00501844, -103.742421 31.99487951, -103.743767 31.92332629, -103.748466 31.851719, -103.733339 31.83440819, -103.623424 31.83059292, -103.603145 31.82703917, -103.589555 31.82324047, -103.583561 31.82059653, -103.571504 31.81388001, -103.557187 31.81224917, -103.507758 31.8118676, -103.501216 31.78063331, -103.501255 31.76418363, -103.492767 31.74445974, -103.489015 31.72742862, -103.488187 31.71029417, -103.443019 31.67540548, -103.447875 31.65449598, -103.421685 31.63116305, -103.404489 31.62103068, -103.383658 31.60458401, -103.37895 31.5933025, -103.376046 31.58481971, -103.341552 31.56168104, -103.325814 31.54648052, -103.315314 31.53610744, -103.30068 31.5265879, -103.286752 31.51418181, -103.269462 31.50117117, -103.217522 31.45997982, -103.217868 31.4397975, -103.200537 31.42534687, -103.193491 31.41699452, -103.190452 31.4049341, -103.178222 31.39245858, -103.174132 31.37542477, -103.172667 31.36116644, -103.167748 31.34415927, -103.155373 31.32810906, -103.142077 31.30994123, -103.127892 31.29036966, -103.105241 31.26749066)</t>
  </si>
  <si>
    <t>P0143</t>
  </si>
  <si>
    <t>https://www.gem.wiki/Acadian_Gas_Pipeline_System</t>
  </si>
  <si>
    <t>Acadian Gas Pipeline System</t>
  </si>
  <si>
    <t>Enterprise Products Partners [100.00%]</t>
  </si>
  <si>
    <t>Haynesville shale field</t>
  </si>
  <si>
    <t>MULTILINESTRING ((-93.715924 32.217872, -93.703564 31.895473, -90.95186 30.033799), (-91.179409 30.437255, -90.965176 30.302187, -90.940457 30.208479, -90.489781 30.103108, -90.30576 30.004454, -90.090153 29.986916, -90.30576 30.004454, -90.591405 29.697158, -90.476049 29.602878, -90.591405 29.697158, -91.1984 29.716252, -91.181921 30.013986, -90.964941 30.074618, -90.940457 30.208479), (-91.179409 30.437255, -92.270231 30.460353, -92.538023 30.457985, -92.270231 30.460353, -92.296648 29.744839, -92.288408 29.569415, -92.296648 29.744839, -91.204218 29.698201, -91.179409 30.437255))</t>
  </si>
  <si>
    <t>P0144</t>
  </si>
  <si>
    <t>https://www.gem.wiki/Access_Northeast_Gas_Pipeline</t>
  </si>
  <si>
    <t>Access Northeast Gas Pipeline</t>
  </si>
  <si>
    <t>Enbridge [100.00%]</t>
  </si>
  <si>
    <t>Cancelled</t>
  </si>
  <si>
    <t>Boston</t>
  </si>
  <si>
    <t>Massachusetts</t>
  </si>
  <si>
    <t>Danbury</t>
  </si>
  <si>
    <t>Connecticut</t>
  </si>
  <si>
    <t>P0145</t>
  </si>
  <si>
    <t>https://www.gem.wiki/Access_South_Gas_Pipeline</t>
  </si>
  <si>
    <t>Access South Gas Pipeline</t>
  </si>
  <si>
    <t>Uniontown</t>
  </si>
  <si>
    <t>Kosciusko</t>
  </si>
  <si>
    <t>LINESTRING (-80.189121 39.869262, -80.68433 39.859805, -80.971529 39.834368, -81.395557 39.868951, -82.780952 38.80606, -82.975092 38.689531, -83.337929 38.523877, -84.161103 38.096478, -85.206894 37.394173, -85.963458 36.780083, -86.21594 36.539155, -86.93167 35.755694, -87.448918 35.243017, -87.749489 34.864917, -88.28165 34.263784, -88.827263 33.608225, -89.355913 33.020389)</t>
  </si>
  <si>
    <t>P0146</t>
  </si>
  <si>
    <t>United States, Canada</t>
  </si>
  <si>
    <t>https://www.gem.wiki/Alaska_Gas_Pipeline</t>
  </si>
  <si>
    <t>Alaska Gas Pipeline</t>
  </si>
  <si>
    <t>ExxonMobil [unknown %]; TC Energy [unknown %]</t>
  </si>
  <si>
    <t>Caroline</t>
  </si>
  <si>
    <t>LINESTRING (-148.207372 70.264137, -150.08087 67.410989, -150.783995 66.589024, -147.675875 64.836475, -145.739918 64.028461, -142.960377 63.351648, -140.851002 62.372048, -135.051647 60.713573, -128.711112 60.062618, -122.704082 58.80369, -120.005579 56.332584, -114.74 52.094113)</t>
  </si>
  <si>
    <t>P0147</t>
  </si>
  <si>
    <t>https://www.gem.wiki/Alaska_LNG_Pipeline_(AKLNG)</t>
  </si>
  <si>
    <t>Alaska LNG Pipeline (AKLNG)</t>
  </si>
  <si>
    <t>Alaska Nikiski LNG project</t>
  </si>
  <si>
    <t>Alaska Gasline Development Corporation [100.00%]</t>
  </si>
  <si>
    <t>Proposed</t>
  </si>
  <si>
    <t>Point Thomson</t>
  </si>
  <si>
    <t>Nikiski</t>
  </si>
  <si>
    <t>LINESTRING (-146.331245 70.174264, -148.240331 70.280825, -149.100107 61.19964, -151.288837 60.691595)</t>
  </si>
  <si>
    <t>P0149</t>
  </si>
  <si>
    <t>https://www.gem.wiki/Algonquin_Gas_Transmission_Pipeline</t>
  </si>
  <si>
    <t>Algonquin Gas Transmission Pipeline</t>
  </si>
  <si>
    <t>Lambertville</t>
  </si>
  <si>
    <t>MULTILINESTRING ((-74.942256 40.367996, -74.417575 40.82542, -73.986708 41.229922, -73.599859 41.397651, -73.115744 41.433429, -72.662318 41.609377, -72.345155 41.691219, -71.681631 41.965828, -71.4159 42.073591, -71.305378 42.217973, -71.33559 42.446905, -71.048572 42.401798), (-71.305378 42.217973, -71.076038 42.171684, -70.985401 42.385064), (-71.4159 42.073591, -71.096638 41.812918, -70.703877 41.799614, -70.535139 41.780212), (-70.703877 41.799614, -71.102207 41.551799), (-72.345155 41.691219, -72.345155 41.691219), (-73.05652 41.552633, -72.923311 41.305003), (-72.345155 41.691219, -72.113069 41.602473, -72.09247 41.469344), (-72.345155 41.691219, -72.113069 41.602473, -71.849397 41.410152))</t>
  </si>
  <si>
    <t>P0150</t>
  </si>
  <si>
    <t>https://www.gem.wiki/Algonquin_Incremental_Market_(AIM)_Gas_Pipeline</t>
  </si>
  <si>
    <t>Algonquin Incremental Market (AIM) Gas Pipeline</t>
  </si>
  <si>
    <t>Marcellus/Utica natural gas</t>
  </si>
  <si>
    <t>Rockland County</t>
  </si>
  <si>
    <t>Westchester County</t>
  </si>
  <si>
    <t>LINESTRING (-74.025164 41.153372, -73.71656 41.229314)</t>
  </si>
  <si>
    <t>P0151</t>
  </si>
  <si>
    <t>Canada, United States</t>
  </si>
  <si>
    <t>https://www.gem.wiki/Alliance_Gas_Pipeline</t>
  </si>
  <si>
    <t>Alliance Gas Pipeline</t>
  </si>
  <si>
    <t>Alliance Pipeline LP [100.00%]</t>
  </si>
  <si>
    <t>Enbridge [25.00%]; Pembina Pipeline Corporation [25.00%]</t>
  </si>
  <si>
    <t>Western Canadian Sedimentary Basin, Willis​ton Basin</t>
  </si>
  <si>
    <t>MULTILINESTRING ((-123.280748 57.274671, -120.681108 56.152949, -119.424645 55.208447, -116.219555 54.187834, -113.64596 53.792621, -111.23146 52.913662, -109.137314 51.918398, -106.597903 51.230458, -102.281693 49.264556, -98.459166 47.17035, -96.602544 46.054888, -93.360064 43.653082, -91.457338 42.485479, -89.786123 41.630393, -88.305532 41.428022), (-116.219555 54.187834, -115.698903 53.608464), (-102.281693 49.264556, -103.446244 48.680424))</t>
  </si>
  <si>
    <t>P0152</t>
  </si>
  <si>
    <t>https://www.gem.wiki/ANR_Gas_Pipeline</t>
  </si>
  <si>
    <t>ANR Gas Pipeline</t>
  </si>
  <si>
    <t>ANR Pipeline Company [100.00%]</t>
  </si>
  <si>
    <t>TC Energy [100.00%]</t>
  </si>
  <si>
    <t>MULTILINESTRING ((-92.962 30.037, -92.945 30.037), (-92.989 30.038, -92.962 30.037), (-85.097 43.87, -85.056 43.752), (-84.727 44.066, -84.718 44.067), (-84.54 44.913, -84.379 45.011), (-84.838 44.904, -84.54 44.913), (-84.877 43.984, -84.727 44.066), (-85.539 43.928, -85.387 43.625), (-85.435 43.45, -85.525 43.431), (-85.639 43.67, -85.387 43.625), (-92.241 31.476, -92.092 31.69), (-91.341 29.725, -91.404 29.714), (-84.361 41.355, -84.228 41.487), (-87.213 41.505, -86.929 41.634), (-85.191 41.569, -85.347 41.606), (-86.304 42.23, -86.152 42.425), (-88.178 41.461, -87.986 41.444), (-95.339 40.102, -95.417 40.045), (-91.152 33.249, -91.126 33.267), (-91.343 33.005, -91.197 33.198), (-91.197 33.198, -91.152 33.249), (-90.981 41.142, -91.163 41.059), (-91.368 41.023, -91.719 40.963), (-91.719 40.963, -91.908 40.919), (-91.163 41.059, -91.27 41.038), (-91.27 41.038, -91.338 41.029), (-91.338 41.029, -91.368 41.023), (-91.315 40.839, -91.333 40.785), (-91.333 40.785, -91.37 40.698), (-91.37 40.698, -91.391 40.66), (-91.908 40.919, -91.997 40.895), (-93.459 40.646, -93.502 40.636), (-89.871 41.357, -89.757 41.377), (-89.757 41.377, -89.167 41.504), (-90.411 41.24, -89.871 41.357), (-88.544 41.72, -88.531 41.893), (-88.503 42.058, -88.493 42.156), (-88.531 41.893, -88.503 42.058), (-88.621 41.612, -88.582 41.623), (-88.582 41.623, -88.254 41.496), (-88.582 41.623, -88.544 41.72), (-89.167 41.504, -89.112 41.512), (-88.915 41.556, -88.621 41.612), (-88.915 41.556, -88.956 41.546), (-89.112 41.512, -88.915 41.556), (-88.493 42.156, -88.493 42.252), (-88.493 42.252, -88.495 42.298), (-88.495 42.298, -88.476 42.445), (-88.476 42.445, -88.436 42.495), (-88.476 42.445, -88.58 42.495), (-90.981 41.142, -90.669 41.2), (-88.254 41.496, -88.211 41.482), (-87.554 41.425, -87.527 41.428), (-88.211 41.482, -88.178 41.461), (-87.986 41.444, -87.902 41.439), (-87.902 41.439, -87.554 41.425), (-84.991 40.566, -84.843 40.792), (-86.094 39.138, -85.939 39.32), (-86.151 39.086, -86.094 39.138), (-84.804 41.476, -85.057 41.538), (-85.39 40.086, -85.301 40.188), (-86.912 38.194, -86.782 38.365), (-86.782 38.365, -86.729 38.441), (-85.657 41.707, -85.873 41.759), (-85.602 39.829, -85.494 39.96), (-85.494 39.96, -85.39 40.086), (-86.337 38.924, -86.151 39.086), (-85.194 40.325, -85.089 40.455), (-85.089 40.455, -84.991 40.566), (-85.347 41.606, -85.657 41.707), (-87.472 41.431, -87.213 41.505), (-87.527 41.428, -87.472 41.431), (-86.537 38.694, -86.44 38.809), (-86.44 38.809, -86.337 38.924), (-86.729 38.441, -86.7 38.494), (-86.696 38.499, -86.537 38.694), (-85.301 40.188, -85.194 40.325), (-85.717 39.685, -85.602 39.829), (-85.939 39.32, -85.822 39.556), (-85.822 39.556, -85.717 39.685), (-87.196 37.843, -86.989 38.083), (-86.989 38.083, -86.912 38.194), (-85.057 41.538, -85.191 41.569), (-99.39 37.176, -99.385 37), (-99.551 37.528, -99.758 37.434), (-99.758 37.434, -100.087 37.276), (-100.087 37.276, -100.285 37.168), (-99.395 37.382, -99.39 37.176), (-100.285 37.168, -100.472 37.072), (-97.164 38.787, -97.37 38.676), (-97.982 38.365, -98.179 38.277), (-98.187 38.271, -98.415 38.153), (-96.124 39.444, -96.196 39.384), (-95.471 40, -95.544 39.931), (-96.954 38.897, -97.164 38.787), (-96.664 39.028, -96.886 38.929), (-96.886 38.929, -96.954 38.897), (-96.465 39.124, -96.664 39.028), (-97.37 38.676, -97.742 38.479), (-97.742 38.479, -97.982 38.365), (-96.196 39.384, -96.465 39.124), (-98.415 38.153, -98.473 38.122), (-99.397 37.54, -99.395 37.382), (-95.544 39.931, -95.912 39.615), (-98.179 38.277, -98.187 38.271), (-87.965 36.967, -87.801 37.153), (-88.387 36.501, -88.103 36.791), (-87.364 37.67, -87.196 37.843), (-87.801 37.153, -87.639 37.348), (-87.473 37.545, -87.447 37.581), (-87.639 37.348, -87.507 37.495), (-87.491 37.517, -87.473 37.545), (-87.447 37.581, -87.364 37.67), (-88.103 36.791, -87.965 36.967), (-87.507 37.495, -87.491 37.517), (-92.621 30.19, -92.503 30.085), (-92.619 30.197, -92.555 30.397), (-92.555 30.397, -92.521 30.469), (-92.492 30.469, -92.493 30.47), (-91.956 31.922, -91.928 31.972), (-93.027 29.729, -92.821 29.977), (-93.153 29.832, -92.981 29.91), (-92.821 29.977, -92.799 30.006), (-92.981 29.91, -92.855 29.948), (-92.855 29.948, -92.777 30.023), (-92.004 31.837, -91.956 31.922), (-91.543 32.581, -91.343 33.005), (-84.651 41.027, -84.601 41.015), (-91.742 30.094, -91.707 29.98), (-91.636 29.914, -91.582 29.867), (-91.707 29.98, -91.636 29.914), (-91.447 29.74, -91.375 29.693), (-91.541 29.785, -91.467 29.707), (-91.343 29.691, -91.356 29.64), (-91.375 29.693, -91.343 29.691), (-91.582 29.867, -91.541 29.785), (-92.799 30.006, -92.734 30.084), (-92.779 30.026, -92.619 30.197), (-92.734 30.084, -92.621 30.19), (-92.092 31.69, -92.004 31.837), (-92.251 31.392, -92.241 31.476), (-92.398 30.982, -92.255 31.377), (-92.255 31.377, -92.251 31.392), (-91.624 32.409, -91.6 32.461), (-91.6 32.461, -91.543 32.581), (-92.521 30.469, -92.398 30.982), (-91.911 30.438, -91.887 30.408), (-91.919 30.453, -91.911 30.438), (-91.887 30.408, -91.771 30.158), (-91.771 30.158, -91.742 30.094), (-91.349 29.58, -91.363 29.508), (-91.356 29.64, -91.349 29.58), (-92.503 30.085, -92.11 29.758), (-85.102 43.866, -85.095 43.871), (-86.152 42.425, -85.958 42.669), (-85.958 42.669, -85.894 42.764), (-86.229 41.868, -86.535 41.899), (-86.446 42.012, -86.305 42.232), (-86.703 41.768, -86.547 41.89), (-85.873 41.759, -86.229 41.868), (-85.095 43.871, -84.956 43.93), (-84.956 43.93, -84.877 43.984), (-88.382 45.991, -88.461 46.097), (-85.787 43.006, -85.709 43.199), (-85.709 43.199, -85.618 43.299), (-84.024 41.716, -83.713 42.075), (-85.491 43.474, -85.387 43.625), (-85.387 43.625, -85.169 43.805), (-85.557 43.389, -85.525 43.431), (-85.525 43.431, -85.491 43.474), (-85.618 43.299, -85.557 43.389), (-85.169 43.805, -85.102 43.866), (-85.894 42.764, -85.87 42.815), (-83.713 42.075, -83.546 42.252), (-94.43 40.392, -94.655 40.32), (-94.996 40.225, -95.041 40.206), (-95.041 40.206, -95.139 40.189), (-95.139 40.189, -95.339 40.102), (-93.502 40.636, -93.794 40.577), (-93.794 40.577, -94.211 40.465), (-94.211 40.465, -94.43 40.392), (-90.9 33.516, -90.736 33.772), (-89.896 34.69, -89.659 34.995), (-90.037 34.51, -89.953 34.584), (-90.456 34.088, -90.268 34.279), (-90.736 33.772, -90.456 34.088), (-89.953 34.584, -89.896 34.69), (-91.084 33.302, -90.9 33.516), (-91.126 33.267, -91.084 33.302), (-84.449 41.246, -84.39 41.313), (-84.39 41.313, -84.804 41.476), (-84.321 41.287, -84.361 41.355), (-84.228 41.487, -84.024 41.716), (-84.843 40.792, -84.802 40.847), (-84.651 41.027, -84.533 41.157), (-84.533 41.157, -84.449 41.246), (-84.802 40.847, -84.651 41.027), (-99.057 35.61, -99.026 35.626), (-100.609 37, -100.76 36.906), (-100.958 36.773, -101.122 36.655), (-100 35.431, -99.532 35.435), (-99.024 35.802, -99.025 35.721), (-98.084 34.985, -97.95 34.933), (-100.76 36.906, -100.827 36.862), (-100.827 36.862, -100.958 36.773), (-89.075 35.701, -89.018 35.768), (-89.659 34.995, -89.363 35.356), (-89.018 35.768, -88.74 36.095), (-89.363 35.356, -89.182 35.571), (-89.182 35.571, -89.075 35.701), (-88.543 36.316, -88.475 36.39), (-88.475 36.39, -88.387 36.501), (-88.74 36.095, -88.543 36.316), (-101.193 36.267, -101.083 36.182), (-101.083 36.182, -100.964 36.09), (-101.373 36.41, -101.193 36.267), (-100.246 35.511, -100.199 35.486), (-101.121 36.655, -101.443 36.499), (-100.199 35.486, -100.093 35.432), (-88.179 43.949, -88.193 44.243), (-89.251 43.283, -89.262 43.645), (-88.385 45.721, -88.382 45.991), (-89.651 45.175, -89.669 45.411), (-89.669 45.411, -89.678 45.502), (-89.263 43.032, -89.263 43.075), (-89.263 43.075, -89.251 43.283), (-89.578 44.953, -89.651 45.175), (-87.941 44.966, -87.677 45.112), (-88.32 45.387, -88.304 45.561), (-88.304 45.561, -88.385 45.721), (-88.345 45.11, -88.32 45.387), (-88.287 44.861, -87.941 44.966), (-88.338 44.839, -88.345 45.11), (-89.06 45.586, -88.842 45.593), (-89.678 45.502, -89.629 45.521), (-89.629 45.521, -89.426 45.601), (-88.475 44.226, -88.739 44.293), (-88.193 44.243, -88.193 44.462), (-88.487 44.228, -88.426 44.301), (-88.209 44.487, -88.224 44.588), (-88.209 44.487, -88.193 44.462), (-88.204 42.695, -88.19 42.742), (-88.19 42.742, -88.187 42.844), (-89.209 44.433, -89.64 44.619), (-89.64 44.619, -89.836 44.616), (-89.614 44.606, -89.613 44.678), (-88.781 42.595, -88.96 42.693), (-88.96 42.693, -89.128 42.85), (-88.695 44.657, -88.387 44.823), (-88.224 44.588, -88.338 44.839), (-88.387 44.823, -88.287 44.861), (-88.138 43.548, -88.132 43.601), (-88.436 42.495, -88.204 42.695), (-88.58 42.495, -88.781 42.595), (-88.155 43.32, -88.139 43.52), (-88.139 43.52, -88.138 43.548), (-88.187 42.844, -88.139 43.112), (-88.139 43.112, -88.146 43.183), (-88.969 44.27, -88.915 44.308), (-88.993 44.243, -88.969 44.27), (-88.739 44.293, -88.919 44.337), (-88.919 44.337, -88.735 44.577), (-88.735 44.577, -88.695 44.657), (-89.073 44.375, -89.209 44.433), (-88.919 44.337, -89.073 44.375), (-89.836 44.616, -90.201 44.65), (-91.928 31.972, -91.624 32.409), (-85.442 40.024, -84.81 40.034), (-85.089 40.455, -84.804 40.426), (-84.843 40.792, -84.802 40.765), (-84.74 40.917, -84.722 40.917), (-84.601 41.015, -84.545 40.998), (-84.326 41.31, -84.119 41.396), (-84.926 41.508, -84.917 41.76), (-84.96 41.947, -85.176 42.284), (-85.658 41.815, -85.627 41.918), (-85.767 43.076, -86.089 43.079), (-85.87 42.815, -86.144 42.933), (-83.586 42.21, -83.547 42.252), (-87.679 45.138, -87.674 45.143), (-90.047 44.586, -90.049 44.618), (-90.125 44.956, -90.083 44.956), (-89.615 45.129, -89.196 45.136), (-89.825 44.616, -89.863 44.425), (-92.981 40.629, -92.978 40.587), (-93.666 40.603, -93.739 40.718), (-94.078 40.5, -94.12 40.58), (-92.977 40.739, -92.981 40.629), (-100.088 35.43, -100.026 35.382), (-92.149 29.791, -91.986 29.831), (-92.149 29.791, -92.213 29.733), (-92.779 30.026, -93.246 30.04), (-92.777 30.025, -92.775 30.009), (-91.467 29.707, -91.523 29.602), (-91.816 32.132, -91.476 31.894), (-85.525 43.431, -85.645 43.403), (-89.613 44.678, -89.613 44.711), (-88.842 45.593, -88.688 45.563), (-99.201 35.307, -99.2 35.268), (-99.2 35.268, -99.2 35.267), (-99.2 35.268, -99.186 35.267), (-99.162 35.348, -99.163 35.307), (-99.162 35.348, -99.159 35.348), (-99.162 35.401, -99.159 35.401), (-99.162 35.412, -99.162 35.401), (-99.163 35.412, -99.162 35.412), (-99.162 35.401, -99.162 35.395), (-99.162 35.395, -99.162 35.348), (-99.163 35.395, -99.162 35.395), (-99.162 35.412, -99.169 35.502), (-99.169 35.502, -99.187 35.517), (-99.191 35.515, -99.223 35.514), (-99.223 35.514, -99.243 35.492), (-99.243 35.492, -99.436 35.497), (-99.436 35.497, -99.532 35.435), (-99.201 35.307, -99.361 35.308), (-99.361 35.308, -99.356 35.33), (-99.356 35.33, -99.39 35.352), (-99.333 35.307, -99.34 35.329), (-99.279 35.308, -99.281 35.287), (-99.309 35.494, -99.305 35.515), (-99.305 35.515, -99.32 35.528), (-99.385 35.496, -99.387 35.514), (-99.532 35.435, -99.523 35.383), (-99.523 35.383, -99.521 35.343), (-99.521 35.343, -99.484 35.341), (-99.523 35.383, -99.542 35.38), (-99.542 35.38, -99.588 35.344), (-99.436 35.497, -99.545 35.513), (-99.545 35.513, -99.545 35.491), (-99.501 35.509, -99.456 35.571), (-99.476 35.556, -99.497 35.583), (-99.497 35.583, -99.531 35.584), (-99.532 35.584, -99.545 35.6), (-99.057 35.61, -99.109 35.551), (-99.109 35.551, -99.191 35.515), (-99.422 35.498, -99.43 35.46), (-100.093 35.432, -99.999 35.481), (-99.925 35.569, -99.965 35.672), (-99.967 35.501, -99.98 35.525), (-99.91 35.53, -99.797 35.58), (-99.797 35.58, -99.763 35.613), (-99.763 35.613, -99.741 35.615), (-99.763 35.613, -99.779 35.622), (-99.763 35.613, -99.756 35.629), (-99.797 35.58, -99.717 35.571), (-99.717 35.571, -99.664 35.558), (-99.664 35.558, -99.545 35.513), (-100.026 35.382, -99.948 35.317), (-99.948 35.317, -99.978 35.31), (-99.978 35.31, -99.995 35.322), (-99.978 35.31, -99.973 35.293), (-100.246 35.511, -100.283 35.53), (-100.283 35.53, -100.261 35.556), (-100.283 35.53, -100.292 35.415), (-100.283 35.53, -100.394 35.589), (-100.395 35.587, -100.5 35.689), (-100.5 35.689, -100.396 35.746), (-100.436 35.632, -100.546 35.598), (-100.5 35.689, -100.624 35.787), (-100.624 35.787, -100.626 35.766), (-100.624 35.787, -100.543 35.859), (-100.624 35.787, -100.697 35.838), (-100.697 35.838, -100.719 35.872), (-100.719 35.872, -100.763 35.891), (-100.763 35.891, -100.793 35.926), (-100.793 35.926, -100.812 35.941), (-100.812 35.941, -100.809 35.98), (-100.809 35.98, -100.854 36.02), (-100.854 36.02, -100.901 36.057), (-100.901 36.057, -100.964 36.09), (-101.373 36.41, -101.443 36.499), (-99.026 35.626, -99.02 35.641), (-99.02 35.638, -98.955 35.599), (-98.955 35.599, -98.94 35.621), (-98.955 35.599, -98.914 35.57), (-98.914 35.57, -98.909 35.584), (-98.914 35.57, -99.016 35.533), (-98.914 35.57, -98.871 35.499), (-98.83 35.519, -98.874 35.504), (-98.735 35.45, -98.729 35.419), (-98.76 35.434, -98.802 35.444), (-99.02 35.664, -99.019 35.673), (-98.667 35.632, -98.61 35.549), (-98.507 35.665, -98.534 35.664), (-98.507 35.665, -98.382 35.728), (-99.019 35.673, -99.025 35.721), (-99.029 35.748, -99.082 35.789), (-98.507 35.665, -98.603 35.817), (-98.612 35.784, -98.659 35.797), (-98.505 35.664, -98.451 35.582), (-98.451 35.582, -98.181 35.387), (-98.181 35.387, -98.195 35.415), (-98.181 35.387, -98.173 35.358), (-98.181 35.387, -98.003 35.292), (-98.157 35.395, -98.011 35.418), (-98.06 35.434, -98.087 35.466), (-98.08 35.434, -98.081 35.421), (-98.735 35.45, -98.591 35.362), (-98.626 35.321, -98.575 35.309), (-98.501 35.312, -98.499 35.241), (-98.515 35.323, -98.513 35.363), (-98.503 35.313, -98.043 35.17), (-98.308 35.309, -98.22 35.374), (-98.236 35.372, -98.226 35.325), (-98.503 35.313, -98.084 34.985), (-98.1 34.994, -98.173 34.843), (-97.95 34.933, -97.854 34.953), (-99.06 35.948, -98.774 36.208), (-98.858 36.195, -98.755 36.207), (-98.876 36.193, -98.874 36.235), (-99.005 36.253, -98.984 36.256), (-99.055 35.969, -99.022 35.959), (-99.06 35.948, -99.088 35.961), (-99.088 35.961, -99.126 36.008), (-99.115 36.195, -99.227 36.21), (-99.095 36.03, -99.071 36.017), (-99.095 36.03, -99.137 36.05), (-99.128 36.093, -99.039 36.046), (-99.107 36.117, -99.142 36.115), (-99.107 36.117, -99.015 36.117), (-99.115 36.195, -99 36.175), (-99.159 36.438, -99.089 36.555), (-99.091 36.476, -99.029 36.437), (-99.115 36.195, -99.159 36.438), (-99.281 36.465, -99.288 36.578), (-99.159 36.438, -99.324 36.654), (-98.869 36.385, -98.757 36.334), (-98.909 36.375, -98.918 36.427), (-98.869 36.385, -98.908 36.464), (-98.869 36.385, -98.798 36.412), (-98.637 36.34, -98.609 36.41), (-98.777 36.436, -98.822 36.452), (-98.777 36.436, -98.581 36.516), (-98.614 36.515, -98.52 36.626), (-98.6 36.544, -98.549 36.566), (-98.6 36.545, -98.617 36.558), (-99.396 36.903, -99.385 37), (-99.396 36.903, -99.504 36.971), (-99.371 36.831, -99.399 36.815), (-99.366 36.744, -99.123 36.787), (-99.366 36.744, -99.636 36.742), (-99.636 36.742, -99.607 36.849), (-99.636 36.742, -99.727 36.758), (-99.717 36.744, -99.672 36.798), (-99.828 36.732, -99.752 36.759), (-99.868 36.74, -99.842 36.875), (-99.867 36.846, -99.609 36.927), (-99.879 36.736, -99.829 36.693), (-99.91 36.722, -99.726 36.721), (-99.863 36.699, -99.602 36.569), (-99.752 36.562, -99.847 36.507), (-99.817 36.537, -99.923 36.555), (-99.924 36.716, -100.212 36.906), (-99.928 36.714, -100.066 36.795), (-99.91 36.722, -99.953 36.817), (-99.941 36.714, -100.076 36.725), (-100.073 36.71, -100.17 36.754), (-100.101 36.707, -100.221 36.514), (-99.983 36.714, -99.997 36.456), (-99.984 36.69, -99.93 36.46), (-99.961 36.459, -99.997 36.406), (-100.061 36.764, -100.066 36.782), (-100.042 36.834, -100.176 36.973), (-100.349 37.002, -100.472 37.072), (-100.508 37.052, -100.551 37.062), (-100.508 37.052, -100.442 37.067), (-100.462 37.001, -100.403 36.862), (-100.466 36.913, -100.357 36.925), (-100.48 36.887, -100.302 36.885), (-100.446 36.873, -100.236 36.864), (-100.348 36.862, -100.234 36.911), (-100.472 37.072, -100.419 37.245), (-100.605 37.005, -100.667 37.036), (-99.551 37.528, -99.394 37.613), (-99.394 37.613, -99.293 37.504), (-99.282 37.676, -98.472 38.122), (-95.35 40.098, -95.368 40.22), (-95.295 40.12, -95.288 40.098), (-95.04 40.202, -95.041 40.206), (-94.873 40.273, -94.873 40.346), (-94.599 40.343, -94.577 40.281), (-94.83 40.279, -94.83 40.259), (-94.385 40.406, -94.356 40.35), (-94.385 40.406, -94.411 40.446), (-93.957 40.575, -93.942 40.609), (-94.078 40.5, -94.034 40.38), (-93.54 40.628, -93.538 40.559), (-93.344 40.67, -93.36 40.704), (-93.12 40.712, -93.117 40.694), (-93.459 40.646, -93.239 40.69), (-92.796 40.768, -92.805 40.951), (-92.796 40.768, -92.678 40.779), (-92.678 40.779, -92.427 40.815), (-92.573 40.786, -92.523 40.593), (-92.427 40.815, -91.997 40.895), (-92.001 40.894, -91.988 40.838), (-91.435 41.013, -91.436 41.04), (-91.366 41.023, -91.315 40.839), (-91.17 40.809, -91.226 41.046), (-91.205 40.982, -91.183 41.004), (-91.34 40.928, -91.392 40.928), (-91.342 40.764, -91.213 40.648), (-91.391 40.66, -91.354 40.64), (-91.116 41.075, -91.15 41.127), (-90.957 41.169, -90.945 41.135), (-90.669 41.2, -90.411 41.24), (-90.411 41.24, -90.404 41.358), (-89.429 41.447, -89.416 41.392), (-87.377 41.452, -87.42 41.51), (-88.223 42.65, -87.839 42.63), (-88.165 42.947, -88.089 42.946), (-88.695 42.555, -88.726 42.532), (-88.886 42.653, -89 42.496), (-88.93 42.677, -88.972 42.656), (-89.168 42.913, -89.205 42.911), (-89.204 42.991, -89.459 43), (-89.202 42.977, -89.011 43.322), (-89.117 43.239, -89.057 43.197), (-89.068 44.144, -89.136 44.157), (-89.305 44.008, -89.355 44.019), (-89.232 43.887, -89.2 43.874), (-89.295 43.803, -89.422 43.801), (-89.262 43.645, -89.145 43.686), (-89.258 43.534, -89.104 43.539), (-88.65 44.271, -88.648 44.331), (-87.992 43.689, -87.946 43.567), (-87.858 43.776, -87.745 43.752), (-87.743 44.064, -87.882 44.073), (-87.743 44.064, -87.582 44.151), (-88.132 43.601, -88.248 43.667), (-88.2 43.643, -88.178 43.95), (-88.248 43.667, -88.456 43.746), (-88.456 43.746, -88.487 44.228), (-88.213 44.396, -88.379 44.498), (-88.183 44.407, -87.84 44.363), (-88.776 44.302, -88.738 44.376), (-88.626 44.616, -88.706 44.636), (-88.551 44.738, -88.602 44.761), (-89.223 44.439, -89.175 44.462), (-89.443 44.529, -89.463 44.499), (-87.887 44.907, -87.94 44.966), (-88.044 44.984, -88.018 44.944), (-88.254 44.799, -88.306 44.853), (-89.578 44.888, -89.23 44.857), (-90.314 44.959, -90.125 44.956), (-84.119 41.396, -83.598 41.517), (-84.545 40.998, -84.135 40.718), (-86.171 41.86, -86.163 42.051), (-86.062 42.536, -85.848 42.505), (-86.109 42.787, -85.958 42.669), (-83.388 43.118, -83.69 43.209), (-91.476 31.894, -91.401 32.074), (-91.361 32.019, -91.431 32.003), (-91.595 32.469, -92.006 32.704), (-92.549 30.127, -92.393 30.23), (-92.504 30.085, -92.58 30.008), (-92.428 30.016, -92.472 29.99), (-92.128 29.793, -92.054 29.942), (-92.11 29.758, -91.924 29.663), (-92.366 29.628, -92.218 29.504), (-90.085 29.263, -90.085 29.118), (-92.535 30.458, -92.196 30.433), (-92.197 30.486, -91.919 30.453), (-91.937 30.493, -91.798 30.524), (-93.079 29.873, -93.049 29.843), (-93.114 29.853, -92.998 29.726), (-93.153 29.832, -93.206 29.816), (-93.206 29.816, -93.512 29.819), (-93.603 29.754, -93.508 29.706), (-93.607 29.763, -93.653 29.698), (-93.648 29.765, -93.716 29.7), (-82.953 42.946, -82.952 42.948), (-86.127 42.591, -86.048 42.551), (-85.097 40.445, -85.123 40.464), (-85.855 42.836, -85.787 43.005), (-84.841 44.847, -84.833 45.015), (-86.396 41.888, -86.518 41.913), (-86.38 41.964, -86.456 41.987), (-86.435 42.03, -86.464 42.03), (-86.259 41.849, -86.266 41.875), (-86.261 41.849, -86.321 41.876), (-85.685 41.76, -85.702 41.76), (-85.643 41.805, -85.661 41.813), (-88.242 41.493, -88.246 41.491), (-88.266 44.871, -88.293 44.895), (-88.354 44.833, -88.356 44.84), (-88.451 44.786, -88.452 44.794), (-88.45 44.75, -88.473 44.776), (-88.695 44.657, -88.708 44.666), (-88.71 44.622, -88.741 44.627), (-88.742 44.532, -88.759 44.543), (-88.834 44.432, -88.87 44.436), (-89.262 43.026, -89.32 43.052), (-89.251 43.283, -89.259 43.284), (-89.248 43.018, -89.269 43.015), (-90.046 44.905, -89.977 44.929), (-90.178 44.972, -90.176 44.956), (-89.766 44.618, -89.764 44.599), (-89.517 44.556, -89.546 44.545), (-89.073 44.375, -89.072 44.366), (-89.295 44.47, -89.295 44.464), (-88.936 44.339, -88.933 44.332), (-88.331 44.289, -88.372 44.303), (-88.295 44.357, -88.31 44.368), (-87.706 44.086, -87.726 44.093), (-87.769 43.913, -87.807 43.922), (-88.277 43.628, -88.233 43.676), (-88.548 44.045, -88.574 44.062), (-89.614 44.788, -89.671 44.789), (-89.595 44.851, -89.607 44.856), (-89.589 45.029, -89.617 45.034), (-89.578 44.953, -89.596 44.954), (-100.682 36.951, -100.606 36.91), (-100.212 36.906, -100.349 37.002), (-100.667 36.945, -100.674 36.94), (-100.845 36.978, -100.713 36.876), (-100.951 36.854, -100.693 36.868), (-100.838 36.858, -100.839 36.841), (-100.525 37.036, -100.505 37.05), (-100.518 37.048, -100.515 37.045), (-99.416 35.497, -99.532 35.435), (-100.172 35.471, -100.208 35.448), (-100.391 35.597, -100.4 35.596), (-100.401 35.598, -100.405 35.596), (-100.765 35.909, -100.775 35.902), (-100.914 36.063, -100.914 36.062), (-100 35.587, -100.024 35.576), (-99.925 35.569, -100 35.587), (-99.517 35.466, -99.51 35.449), (-99.296 35.308, -99.301 35.314), (-98.991 35.765, -99.029 35.751), (-99.055 35.936, -99.039 35.937), (-99.109 35.961, -99.088 35.961), (-98.976 36.247, -98.948 36.237), (-99.032 36.286, -99.017 36.297), (-98.874 36.222, -98.809 36.249), (-98.302 35.352, -98.282 35.342), (-98.288 35.327, -98.284 35.323), (-98.172 35.391, -98.168 35.382), (-98.69 35.421, -98.694 35.407), (-98.753 35.464, -98.755 35.463), (-98.789 35.496, -98.791 35.494), (-99.945 36.751, -100.135 36.903), (-99.926 36.715, -99.943 36.752), (-99.878 36.687, -99.922 36.723), (-100.193 36.625, -100.151 36.704), (-99.948 36.722, -99.941 36.759), (-91.343 29.691, -91.344 29.724), (-91.319 32.052, -91.367 32.031), (-86.893 38.219, -86.844 38.174), (-85.939 39.32, -85.919 39.304), (-84.802 40.765, -84.776 40.751), (-84.804 40.426, -84.632 40.436), (-84.055 41.678, -84.069 41.687), (-84.917 41.76, -84.96 41.947), (-85.721 41.723, -85.702 41.759), (-85.839 41.756, -85.838 41.759), (-85.838 41.759, -85.838 41.764), (-91.748 40.965, -91.738 40.96), (-91.391 40.699, -91.37 40.697), (-93.962 40.532, -93.957 40.575), (-95.417 40.045, -95.471 40), (-100.499 37.046, -100.462 37.001), (-85.646 43.621, -85.632 43.63), (-88.044 44.935, -88.045 44.943), (-88.138 44.887, -88.156 44.902), (-87.669 45.089, -87.688 45.087), (-92.978 40.587, -93.013 40.489), (-84.81 40.034, -84.635 39.987), (-86.929 41.634, -86.715 41.76), (-86.731 41.749, -86.728 41.76), (-86.715 41.76, -86.703 41.768), (-86.728 41.76, -86.728 41.765), (-82.695 42.85, -82.691 42.863), (-82.7 42.852, -82.533 42.788), (-98.811 35.513, -98.735 35.45), (-98.591 35.362, -98.683 35.329), (-98.591 35.362, -98.503 35.313), (-98.648 35.632, -98.649 35.715), (-99.024 35.802, -99.055 35.936), (-99.09 36.018, -99.115 36.195), (-99.055 35.936, -99.09 36.018), (-99.159 36.438, -99.419 36.467), (-98.976 36.247, -99.159 36.438), (-99.049 36.335, -98.869 36.385), (-98.798 36.412, -98.524 36.266), (-98.798 36.412, -98.777 36.436), (-99.324 36.654, -99.396 36.903), (-99.394 37.613, -99.397 37.54), (-93.459 40.646, -93.459 40.58), (-93.459 40.58, -93.46 40.567), (-92.678 40.779, -92.681 40.794), (-92.014 40.95, -92.001 40.894), (-91.777 40.951, -91.786 40.967), (-91.652 40.977, -91.652 41.009), (-91.619 40.955, -91.619 40.985), (-93.206 29.816, -93.201 29.764), (-93.512 29.819, -93.939 29.846), (-92.656 30.166, -92.675 30.181), (-90.268 34.279, -90.037 34.51), (-85.001 40.045, -85.003 40.179), (-83.682 41.568, -83.998 41.746), (-85.03 41.542, -85.037 41.534), (-85.702 41.759, -85.655 41.815), (-86.547 41.89, -86.446 42.012), (-85.939 42.696, -85.954 42.699), (-85.858 42.683, -86.109 42.787), (-85.87 42.815, -85.787 43.006), (-82.7 42.852, -82.953 42.946), (-82.952 42.948, -82.947 43.037), (-88.146 43.183, -88.155 43.32), (-88.132 43.601, -87.992 43.689), (-87.992 43.689, -87.858 43.776), (-87.858 43.776, -87.743 44.064), (-88.371 44.316, -88.056 44.473), (-88.426 44.301, -88.371 44.316), (-88.384 45.652, -88.688 45.563), (-89.662 45.323, -89.683 45.323), (-89.613 44.711, -89.578 44.888), (-89.578 44.888, -89.578 44.955), (-89.426 45.601, -89.06 45.586), (-90.049 44.618, -90.046 44.905), (-90.005 44.617, -90.005 44.62), (-89.902 44.613, -89.902 44.616), (-90.046 44.905, -90.088 45.016), (-88.993 44.243, -89.072 44.141), (-88.915 44.308, -88.919 44.337), (-89.072 44.141, -89.176 44.018), (-89.176 44.018, -89.232 43.887), (-89.232 43.887, -89.295 43.803), (-89.295 43.803, -89.262 43.645), (-89.176 44.018, -89.305 44.008), (-89.202 42.977, -89.263 43.032), (-89.128 42.85, -89.202 42.977), (-88.898 42.659, -88.981 42.552), (-88.876 42.647, -89 42.496), (-89 42.496, -88.863 42.64), (-99.02 35.641, -99.02 35.664), (-99.019 35.682, -98.648 35.632), (-98.648 35.632, -98.507 35.665), (-98.449 35.581, -98.289 35.568), (-98.48 35.644, -98.488 35.644), (-99.163 35.307, -99.201 35.307), (-100.088 35.43, -100 35.431), (-99.999 35.481, -99.912 35.532), (-99.91 35.53, -99.925 35.569), (-100.093 35.432, -100.088 35.43), (-100.472 37.072, -100.609 37), (-99.394 37.613, -99.282 37.676), (-96.664 39.028, -96.645 39.01), (-95.912 39.615, -96.124 39.444), (-95.895 39.629, -95.879 39.619), (-95.271 40.131, -95.262 40.118), (-95.075 40.202, -95.068 40.181), (-94.655 40.32, -94.996 40.225), (-94.678 40.314, -94.678 40.327), (-93.239 40.69, -92.796 40.768), (-92.796 40.768, -92.797 40.746), (-92.427 40.815, -92.422 40.766), (-91.315 40.839, -91.15 40.815), (-91.351 40.742, -91.341 40.735), (-91.391 40.66, -91.411 40.624), (-91.411 40.624, -91.44 40.588), (-91.224 41.047, -91.238 41.08), (-90.753 41.185, -90.757 41.196), (-90.753 41.185, -90.745 41.163), (-90.6 41.218, -90.596 41.209), (-90.411 41.24, -90.409 41.207), (-90.362 41.25, -90.362 41.258), (-90.274 41.269, -90.283 41.293), (-90.181 41.29, -90.184 41.297), (-93.027 29.729, -93.133 29.104), (-91.536 29.183, -91.775 28.674), (-91.394 29.249, -91.527 29.201), (-91.363 29.508, -91.535 29.183), (-91.675 28.984, -91.965 28.995), (-91.535 29.185, -91.393 28.744), (-91.761 28.709, -92.079 28.683), (-90.981 28.537, -91.393 28.744), (-91.1 28.436, -91.098 28.539), (-91.192 28.322, -91.1 28.44), (-92.268 28.039, -91.393 28.744), (-91.482 28.071, -91.387 28.745), (-92.392 28.107, -92.268 28.039), (-91.452 28.597, -91.456 28.447), (-92.355 27.94, -92.268 28.039), (-92.273 28.052, -92.268 28.039), (-92.099 28.274, -91.974 28.213), (-91.393 28.744, -91.655 28.522), (-92.008 28.988, -91.95 28.996), (-93.443 29.4, -93.254 29.402), (-93.497 29.771, -93.603 29.754), (-82.77 42.747, -82.7 42.852), (-82.712 42.845, -82.474 42.864), (-82.474 42.864, -82.372 42.851), (-91.966 28.692, -91.959 28.572), (-87.711 45.7, -87.766 45.915), (-87.634 45.069, -87.662 45.078), (-89.1 42.821, -89.136 42.812), (-92.805 29.996, -92.772 29.982), (-91.417 28.667, -91.502 28.669), (-87.155 37.792, -87.213 37.821), (-87.677 45.111, -87.679 45.138))</t>
  </si>
  <si>
    <t>P0153</t>
  </si>
  <si>
    <t>https://www.gem.wiki/Appalachian_Connector_Pipeline</t>
  </si>
  <si>
    <t>Appalachian Connector Pipeline</t>
  </si>
  <si>
    <t>XcL Midstream LLC [100.00%]</t>
  </si>
  <si>
    <t>Clarington</t>
  </si>
  <si>
    <t>Chatham</t>
  </si>
  <si>
    <t>P0154</t>
  </si>
  <si>
    <t>https://www.gem.wiki/Atlantic_Bridge_Gas_Project</t>
  </si>
  <si>
    <t>Atlantic Bridge Gas Project</t>
  </si>
  <si>
    <t>Phase I</t>
  </si>
  <si>
    <t>Maine</t>
  </si>
  <si>
    <t>P0155</t>
  </si>
  <si>
    <t>https://www.gem.wiki/Atlantic_Coast_Gas_Pipeline</t>
  </si>
  <si>
    <t>Atlantic Coast Gas Pipeline</t>
  </si>
  <si>
    <t>Atlantic Coast Pipeline LLC [200.00%]</t>
  </si>
  <si>
    <t>Dominion Energy [53.00%]; Duke Energy [47.00%]</t>
  </si>
  <si>
    <t>20, 36, 42</t>
  </si>
  <si>
    <t>Utica; Marcellus</t>
  </si>
  <si>
    <t>Harrison County</t>
  </si>
  <si>
    <t>Robeson County</t>
  </si>
  <si>
    <t>MULTILINESTRING ((-77.508356 36.544856, -77.537444 36.621493, -77.565415 36.627353, -77.669148 36.758329, -77.716061 36.77848, -77.741702 36.826279, -77.764502 36.93361, -77.803904 36.947037, -77.838018 36.988968, -77.816418 37.057935, -77.858116 37.107095, -78.012632 37.143097, -78.12437 37.240338, -78.22575 37.275271, -78.355423 37.355265, -78.407237 37.365768, -78.510057 37.460184, -78.576246 37.489544, -78.588744 37.521302, -78.639469 37.556272, -78.657896 37.597767, -78.69181 37.614716, -78.70383 37.656823, -78.751015 37.674327, -78.795703 37.732141, -78.783894 37.784691, -78.799394 37.814686, -78.881431 37.861831, -78.891298 37.881422, -78.971155 37.90416), (-79.212351 34.724557, -79.14366 34.723136, -79.118385 34.754738, -79.056582 34.763702, -78.971924 34.850128, -78.928796 34.839132, -78.910443 34.861264, -78.780824 34.882307, -78.736945 34.942322, -78.727942 35.123788, -78.758474 35.160123, -78.663852 35.214826, -78.601429 35.232435, -78.522337 35.299219, -78.439651 35.304031, -78.382256 35.3598, -78.346275 35.430788, -78.316855 35.441036, -78.292528 35.507744, -78.248472 35.52871, -78.249267 35.566932, -78.15775 35.626416, -78.078537 35.73985, -78.051628 35.756887, -78.051966 35.791304, -77.996707 35.870961, -77.99362 35.898353, -77.916436 35.969036, -77.905636 36.014967, -77.872523 36.038547, -77.887244 36.047526, -77.821834 36.109016, -77.757436 36.208285, -77.718911 36.233973, -77.617701 36.367975, -77.5904 36.378177, -77.556954 36.424539, -77.549728 36.485397, -77.508342 36.544856, -77.402375 36.52408, -77.335059 36.534057, -77.132402 36.637649, -76.865179 36.633354, -76.849138 36.666614, -76.735009 36.679997, -76.738356 36.697657, -76.685824 36.761906, -76.634856 36.793546, -76.551159 36.795293, -76.516605 36.782582, -76.505068 36.759473, -76.463826 36.771171, -76.415639 36.755085, -76.281711 36.773806), (-80.5601 39.171089, -80.551545 39.147261, -80.445016 39.13475, -80.441283 39.114889, -80.407489 39.098216, -80.378766 39.057842, -80.293353 39.014522, -80.289169 38.990258, -80.251542 38.953073, -80.253705 38.931617, -80.209216 38.920522, -80.164439 38.854866, -80.094741 38.805528, -80.092401 38.761514, -80.136963 38.661059, -80.154294 38.651078, -80.166181 38.599903, -80.134084 38.527896, -80.062959 38.480495, -80.042045 38.407477, -80.065347 38.36603, -80.002511 38.333271, -79.945062 38.332425, -79.867719 38.299838, -79.766924 38.307801, -79.710641 38.246447, -79.696123 38.198789, -79.616614 38.132282, -79.601099 38.135777, -79.570411 38.091784, -79.507961 38.102056, -79.421768 38.200405, -79.375089 38.204418, -79.319504 38.277941, -79.184888 38.287756, -79.144455 38.243098, -79.158236 38.181053, -79.141016 38.122046, -78.997626 38.026629, -78.967618 37.98716, -78.952811 37.957499, -78.979404 37.914111))</t>
  </si>
  <si>
    <t>P0156</t>
  </si>
  <si>
    <t>https://www.gem.wiki/Atlantic_Sunrise_Gas_Pipeline</t>
  </si>
  <si>
    <t>Atlantic Sunrise Gas Pipeline</t>
  </si>
  <si>
    <t>Williams Companies [100.00%]</t>
  </si>
  <si>
    <t>Marcellus Shale</t>
  </si>
  <si>
    <t>Lancaster County</t>
  </si>
  <si>
    <t>Susquehanna County</t>
  </si>
  <si>
    <t>MULTILINESTRING ((-75.70703 41.716123, -75.762053 41.653693, -75.765334 41.602293, -75.870293 41.515935, -75.869384 41.501166, -75.917031 41.475263, -75.936665 41.410706, -76.010135 41.352956, -76.011243 41.328993, -76.40673 41.273193), (-76.254172 39.835939, -76.275574 39.88552, -76.308567 39.914857, -76.415636 39.956579, -76.444014 39.984112, -76.459821 40.036077, -76.492096 40.059642, -76.457156 40.114819, -76.467274 40.145917, -76.549662 40.223701, -76.531782 40.248323, -76.53706 40.367787, -76.522439 40.422232, -76.55592 40.494344, -76.414183 40.57794, -76.429635 40.61068, -76.458687 40.625848, -76.466815 40.669843, -76.505663 40.721397, -76.49544 40.73895, -76.517428 40.831846, -76.487406 40.860009, -76.476706 40.925847, -76.509755 41.010793, -76.450788 41.10472, -76.42534 41.249945, -76.407301 41.273146))</t>
  </si>
  <si>
    <t>P0157</t>
  </si>
  <si>
    <t>https://www.gem.wiki/BC_Gas_Pipeline</t>
  </si>
  <si>
    <t>BC Gas Pipeline</t>
  </si>
  <si>
    <t>Westcoast Pipeline</t>
  </si>
  <si>
    <t>Sumas</t>
  </si>
  <si>
    <t>MULTILINESTRING ((-120.6660004 56.0876999, -120.4380035 56.0060005, -120.4209976 55.9692993, -120.2020035 55.9388008, -119.9749985 55.9104996, -119.7929993 55.8345985), (-122.2570038 49.0008011, -122.0759964 49.1181984, -121.8460007 49.1899986, -121.6910019 49.3530998, -121.3509979 49.3787994, -121.1819992 49.5850983, -121.0839996 49.5970001, -121.0449982 49.6607018, -121.052002 49.7540016, -120.9440002 49.8530006, -120.8170013 50.3628006, -120.8560028 50.4910011, -120.901001 50.7392998, -120.9960022 50.8628998, -121.0189972 50.9510994, -121.3430023 51.3158989, -121.3320007 51.6397018, -121.4039993 51.7713013, -121.6729965 51.8991013, -122.2600021 52.3350983, -122.2480011 52.4169998, -122.4499969 52.5293999, -122.4349976 52.7742996, -122.4079971 52.8478012, -122.487999 53.0315018, -122.6289978 53.5676994, -122.6230011 54.0397987, -122.651001 54.5130997, -123.0250015 55.0033989, -123.0199966 55.1282005, -122.8860016 55.1441994, -122.6900024 55.2398987, -122.723999 55.3195, -122.6230011 55.3609009, -122.8069992 55.4846001, -122.7180023 55.5257988, -122.5839996 55.5004005, -122.2490005 55.6332016, -122.0859985 55.9724998, -122.1419983 56.5345993, -122.223999 56.6766014, -122.5709991 57.0521011, -122.6179962 57.2132988, -122.6819992 57.4412003, -122.6360016 57.4681015, -122.7220001 57.5737991, -122.6809998 58.6430016), (-122.6149979 57.2126007, -123.0090027 57.2029991), (-122.3669968 56.8320999, -122.1210022 56.9402008, -121.9629974 56.9426003), (-122.2490005 55.6329994, -122.2040024 55.6488991, -122.0749969 55.6297989, -122.0319977 55.6086006, -121.8150024 55.6212997, -121.689003 55.6805992, -121.2050018 55.8560982, -121.2070007 55.9225006, -121.0159988 55.9273987, -120.6660004 56.0895996, -120.6669998 56.1632004, -120.0770035 56.3633995, -119.9850006 56.3667984), (-120.9710007 55.9482994, -120.9520035 55.8620987, -120.8949966 55.8541985, -120.8960037 55.8293991), (-120.4400024 56.0093994, -120.3700027 56.0486984), (-120.1989975 55.9384003, -120.197998 55.8637009))</t>
  </si>
  <si>
    <t>P0158</t>
  </si>
  <si>
    <t>https://www.gem.wiki/Bison_Gas_Pipeline</t>
  </si>
  <si>
    <t>Bison Gas Pipeline</t>
  </si>
  <si>
    <t>Powder River Basin</t>
  </si>
  <si>
    <t>Gillette</t>
  </si>
  <si>
    <t>Glen Ullin</t>
  </si>
  <si>
    <t>LINESTRING (-101.830086 46.814941, -104.065809 46.168263, -104.994159 45.251534, -105.035363 45.090824, -105.74124 44.910212, -105.509124 44.278749)</t>
  </si>
  <si>
    <t>P0159</t>
  </si>
  <si>
    <t>https://www.gem.wiki/Bridgeline_Gas_Pipeline</t>
  </si>
  <si>
    <t>Bridgeline Gas Pipeline</t>
  </si>
  <si>
    <t>EnLink Midstream [unknown %]; Targa Resources [unknown %]</t>
  </si>
  <si>
    <t>Larose</t>
  </si>
  <si>
    <t>MULTILINESTRING ((-93.9072846 29.7644376, -93.3629576 29.7894076, -93.0008306 29.7663066, -92.8209726 29.8366516, -92.7684926 29.8879025, -92.3095186 30.0009895, -92.1433936 30.0236185, -92.0253336 30.2398195, -91.1983356 30.4479463, -90.8724566 30.1904944, -90.5717486 30.1133435, -90.5717486 30.1133435, -90.4536886 29.8921745, -90.6203206 29.7285287, -90.9876116 30.0627255, -91.1974906 30.4356983, -91.0399686 29.9385926), (-92.8209726 29.8366516, -92.9226396 29.6339687), (-92.7684926 29.8879025, -92.8275876 30.0699405), (-90.4536886 29.8921745, -90.1845536 29.1801869), (-90.9876116 30.0627255, -91.0374586 29.9365035), (-90.4536886 29.8921745, -90.1061626 29.9625636), (-90.6203206 29.7285287, -90.7551196 29.5976217), (-91.0374586 29.9365035, -91.2070206 29.7014807))</t>
  </si>
  <si>
    <t>P0160</t>
  </si>
  <si>
    <t>https://www.gem.wiki/Canadian_Mainline_Gas_Pipeline</t>
  </si>
  <si>
    <t>Canadian Mainline Gas Pipeline</t>
  </si>
  <si>
    <t>Western Canada Sedimentary Basin</t>
  </si>
  <si>
    <t>Alberta-Saskatchewan boundary</t>
  </si>
  <si>
    <t>MULTILINESTRING ((-110.017523 50.954356, -104.642285 50.452389, -97.150889 49.846399, -95.766617 49.661857, -93.206808 49.810971, -89.284695 48.379528, -88.026766 49.558643, -84.752846 49.743584, -81.314131 49.078839, -79.416262 46.377404, -75.811402 45.32028, -73.634212 45.506712), (-79.416262 46.377404, -80.495179 43.441337, -76.210517 44.218028, -75.811402 45.32028))</t>
  </si>
  <si>
    <t>P0161</t>
  </si>
  <si>
    <t>https://www.gem.wiki/Enable_Gas_Transmission</t>
  </si>
  <si>
    <t>Enable Gas Transmission</t>
  </si>
  <si>
    <t>Enable Gas Transmission LLC [100.00%]</t>
  </si>
  <si>
    <t>Energy Transfer [100.00%]</t>
  </si>
  <si>
    <t>MULTILINESTRING ((-93.707 33.349, -93.644 33.408, -93.643 33.564, -93.602 33.61, -93.301 33.861, -93.215 33.886, -93.894 33.154, -93.813 33.315, -93.713 33.35, -92.765 34.374, -92.598 34.532, -93.946 33.02, -93.897 33.153, -92.596 34.533, -92.5 34.584), (-92.891 34.434, -92.898 34.462), (-93.716 33.349, -93.713 33.359), (-93.946 33.019, -93.946 33.02), (-94.463 34.436, -93.867 34.308, -93.361 34.336, -92.951 34.317, -92.799 34.258, -92.669 34.158, -91.958 33.962), (-92.766 34.223, -92.765 34.224), (-93.363 33.79, -93.363 33.791), (-93.643 33.459, -93.624 33.461), (-93.106 33.393, -93.138 33.443), (-92.507 34.559, -92.507 34.56), (-93.312 33.848, -93.325 33.849), (-93.687 33.356, -93.665 33.355), (-92.782 34.365, -92.783 34.364), (-93.186 33.906, -93.186 33.906), (-93.075 33.403, -93.075 33.406), (-92.805 34.426, -92.808 34.425), (-93.817 33.303, -94.043 33.377), (-94.014 33.368, -94.007 33.387), (-92.399 34.302, -92.399 34.302), (-93.059 33.416, -93.056 33.421), (-92.061 34.231, -92.016 34.257, -91.908 34.219), (-92.023 34.256, -92.024 34.266), (-91.896 34.213, -91.895 34.221), (-93.059 33.416, -93.04 33.422), (-94.056 33.75, -94.094 33.722, -94.423 33.695), (-94.056 33.75, -94.093 33.724), (-93.403 33.763, -93.472 33.868, -93.586 33.873, -93.634 33.917), (-93.419 33.808, -93.419 33.811), (-93.179 33.93, -93.398 34.042, -93.493 34.033), (-93.466 33.732, -93.467 33.733), (-92.588 34.539, -92.588 34.539), (-92.643 34.353, -92.643 34.351), (-92.409 34.305, -92.592 34.178), (-93.861 33.942, -93.861 34.079), (-93.386 33.775, -93.413 33.81), (-92.793 34.347, -92.793 34.347), (-91.962 34.225, -91.963 34.226), (-93.926 33.774, -93.924 33.771), (-93.15 33.967, -93.138 33.965), (-92.947 34.465, -92.947 34.466), (-93.884 33.16, -93.851 33.152), (-93.557 33.363, -93.554 33.36), (-92.777 34.362, -92.783 34.367), (-94.092 33.724, -94.112 33.645), (-94.093 33.725, -94.112 33.643), (-93.861 33.942, -94.018 34.117), (-91.895 34.195, -91.909 34.217), (-93.467 33.727, -93.466 33.727), (-92.765 34.374, -92.062 34.231), (-93.467 33.358, -93.46 33.369), (-93.562 33.744, -93.643 33.705), (-94.043 33.377, -94.043 33.377), (-92.059 34.245, -92.059 34.246), (-92.402 34.303, -92.402 34.304), (-92.765 34.374, -92.843 34.45, -93.025 34.48), (-92.529 34.563, -92.507 34.555), (-93.578 33.363, -93.293 33.339), (-93.506 33.371, -93.506 33.371), (-93.297 33.343, -93.296 33.349), (-93.293 33.339, -93.059 33.416), (-93.817 33.303, -94.043 33.377), (-93.466 33.732, -93.946 33.773, -94.068 33.748, -94.124 33.683), (-93.835 33.255, -93.868 33.261), (-93.914 33.771, -93.91 33.874, -93.861 33.942), (-93.68 33.756, -93.679 33.771), (-93.909 33.874, -93.911 33.874), (-92.533 34.568, -92.524 34.555), (-93.625 33.582, -93.648 33.588), (-93.566 33.645, -93.578 33.639), (-92.832 34.445, -92.811 34.47), (-92.507 34.559, -92.508 34.559), (-93.716 33.349, -93.713 33.35), (-93.713 33.35, -93.707 33.349), (-93.713 33.35, -93.707 33.349), (-92.598 34.532, -92.596 34.533), (-92.598 34.532, -92.596 34.533), (-92.598 34.532, -92.596 34.533), (-93.937 33.049, -93.811 33.039), (-92.718 35.165, -92.936 35.231, -93.143 35.237, -93.327 35.349, -92.322 34.857, -92.519 35.115, -93.33 35.349, -93.418 35.463, -93.507 35.52, -92.522 35.116, -92.577 35.159, -92.718 35.165), (-93.949 35.44, -94.119 35.402), (-93.573 35.455, -93.586 35.455), (-93.436 35.475, -93.43 35.48), (-93.552 35.53, -93.552 35.521), (-93.442 35.481, -93.444 35.48), (-93.574 35.439, -93.573 35.438), (-93.573 35.455, -93.586 35.45), (-93.562 35.52, -93.566 35.521), (-93.573 35.45, -93.576 35.45), (-94.105 35.38, -94.11 35.403), (-93.569 35.482, -93.576 35.483), (-93.507 35.52, -93.523 35.53), (-93.58 35.428, -93.579 35.428), (-93.781 35.518, -93.771 35.513), (-93.571 35.466, -93.587 35.464), (-93.834 35.333, -93.836 35.333), (-93.015 35.356, -93.022 35.356), (-93.495 35.514, -93.494 35.521), (-93.375 35.399, -93.364 35.401), (-93.688 35.536, -93.692 35.519), (-93.03 35.374, -93.03 35.371), (-93.809 35.49, -93.805 35.492), (-93.316 35.345, -93.312 35.348), (-93.307 35.422, -93.307 35.423), (-93.373 35.395, -93.373 35.394), (-93.574 35.444, -93.578 35.441), (-93.302 35.339, -93.292 35.345), (-93.456 35.493, -93.46 35.479), (-93.804 35.463, -93.749 35.389), (-93.87 35.384, -93.87 35.385), (-93.829 35.318, -93.826 35.318), (-93.641 35.535, -93.641 35.535), (-93.302 35.337, -93.308 35.336), (-93.401 35.434, -93.407 35.433), (-94.119 35.402, -94.177 35.407), (-93.578 35.465, -93.578 35.463), (-92.519 35.115, -92.522 35.116), (-92.519 35.115, -92.522 35.116), (-92.494 35.091, -92.493 35.092), (-93.523 35.53, -93.561 35.529), (-93.149 35.227, -93.149 35.228), (-93.951 35.441, -93.878 35.441, -93.768 35.537), (-93.561 35.529, -93.768 35.537), (-92.866 35.217, -92.866 35.218), (-93.01 35.239, -93.011 35.354), (-92.516 35.111, -92.337 35.323, -92.258 35.33, -92.037 35.477), (-93.011 35.354, -93.003 35.372), (-93.486 34.995, -93.384 35.054), (-93.818 35.482, -93.804 35.463), (-92.798 35.192, -92.796 35.117, -92.74 35.099), (-93.104 35.253, -93.104 35.253), (-92.892 34.438, -92.904 34.435), (-92.933 35.23, -92.933 35.231), (-93.05 35.239, -93.05 35.239), (-92.641 35.164, -92.641 35.165), (-92.848 35.171, -92.848 35.17), (-93.145 35.239, -93.158 35.229), (-93.327 35.349, -93.33 35.349), (-93.327 35.349, -93.33 35.349), (-93.951 35.441, -93.852 35.372, -93.708 35.146, -93.371 34.914, -92.981 34.58, -92.891 34.434), (-93.768 35.236, -93.708 35.146, -93.371 34.914, -93.111 34.682), (-92.765 34.374, -93.111 34.682), (-92.765 34.375, -92.922 34.506), (-92.985 34.581, -92.985 34.581), (-93.571 35.467, -93.595 35.396), (-93.571 35.467, -93.582 35.423), (-94.342 35.319, -93.594 35.317, -93.277 35.283, -93.157 35.206, -92.579 35.16, -92.451 35.074, -92.19 35.095), (-93.853 35.372, -93.838 35.33), (-93.561 35.529, -93.571 35.467), (-93.561 35.529, -93.571 35.467), (-92.817 35.206, -92.815 35.381), (-93.011 35.354, -93.073 35.415), (-93.364 35.387, -93.292 35.431), (-93.469 35.5, -93.466 35.508), (-93.555 35.53, -93.554 35.531), (-93.517 35.527, -93.513 35.532), (-93.533 35.531, -93.533 35.535), (-93.507 35.52, -93.502 35.525), (-94.021 33.019, -94.043 33.105), (-93.466 33.732, -92.907 33.435, -92.665 33.247), (-92.666 33.251, -92.609 33.251), (-93.256 33.542, -93.2 33.558), (-92.899 33.429, -92.91 33.399, -92.946 33.403), (-92.787 33.344, -92.76 33.357), (-93.147 33.562, -93.157 33.536), (-92.465 33.012, -92.631 33.298), (-92.621 33.28, -92.657 33.345, -92.811 33.405), (-92.681 33.367, -92.646 33.377, -92.652 33.337), (-92.678 33.364, -92.703 33.357, -92.662 33.344, -92.665 33.347), (-92.711 33.359, -92.709 33.363), (-92.678 33.364, -92.673 33.366), (-92.587 33.216, -92.568 33.242), (-92.675 33.195, -92.673 33.197), (-92.659 33.344, -92.649 33.387), (-92.719 33.364, -92.719 33.365), (-92.587 33.216, -92.692 33.198), (-92.639 33.316, -92.656 33.307), (-92.675 33.195, -92.672 33.197), (-93.766 35.237, -93.571 35.29, -93.399 35.287, -93.281 35.338, -92.796 35.323, -91.849 35.37, -90.757 35.687, -90.095 35.81, -89.768 35.906), (-93.123 35.336, -93.107 35.36), (-93.075 35.354, -93.061 35.354), (-92.917 35.329, -92.911 35.315), (-93.074 35.361, -93.07 35.361), (-93.266 35.337, -93.266 35.349), (-93.072 35.333, -93.072 35.332), (-92.785 35.325, -92.789 35.332), (-92.929 35.328, -92.93 35.353), (-93.004 35.33, -93.004 35.329), (-91.58 35.445, -91.434 35.264, -90.958 34.905, -90.766 34.672, -90.672 34.505, -90.601 34.46), (-91.518 35.361, -91.573 35.315), (-91.573 35.315, -91.61 35.301), (-90.548 35.731, -90.538 35.662, -90.501 35.653), (-91 34.944, -91 34.943), (-90.203 35.127, -90.214 35.125), (-90.608 35.868, -90.495 36.041), (-90.727 34.602, -90.722 34.603), (-91.698 35.243, -91.698 35.242), (-90.61 34.477, -90.723 34.606, -90.797 34.838, -90.797 34.853, -90.87 34.979), (-90.767 34.757, -90.767 34.763), (-90.797 34.838, -90.797 34.853), (-90.797 34.838, -90.797 34.853), (-91.385 35.241, -91.363 35.26), (-90.871 34.979, -91.175 34.888), (-90.87 34.979, -90.818 34.998, -90.787 35.212), (-90.817 35.007, -90.804 35.008), (-91.121 34.906, -91.244 34.998), (-90.214 35.057, -90.202 35.197, -90.256 35.367, -90.39 35.505, -90.498 35.544, -90.501 35.653), (-90.203 35.154, -90.202 35.155), (-90.214 35.057, -90.193 35.046), (-90.193 35.046, -90.214 35.057), (-90.206 35.209, -90.256 35.196, -90.381 35.247, -90.546 35.266), (-90.412 35.512, -90.336 35.604), (-90.616 34.467, -90.61 34.477), (-92.196 35.347, -92.199 34.88), (-91.362 35.259, -91.346 35.268), (-89.993 35.839, -89.992 35.843), (-91.503 35.343, -91.525 35.326), (-90.661 34.542, -90.674 34.543), (-91.358 35.512, -91.357 35.514), (-93.539 35.35, -93.571 35.382), (-90.548 35.731, -90.61 35.817, -90.608 35.868), (-89.765 35.905, -89.722 35.939), (-91.231 35.547, -91.256 35.602), (-91.534 35.458, -91.458 35.426), (-91.243 35.593, -91.234 35.642, -91.641 35.781), (-91.833 35.375, -91.707 35.267, -91.727 35.246), (-91.703 35.243, -91.689 35.241), (-93.55 35.288, -93.539 35.328), (-93.074 35.333, -93.074 35.376), (-93.539 35.328, -93.516 35.364, -93.45 35.368), (-93.55 35.288, -93.539 35.328), (-93.571 35.382, -93.571 35.383), (-92.431 33.011, -92.593 33.146, -92.637 33.245, -92.725 33.314, -92.821 33.545), (-92.707 33.205, -92.692 33.198), (-92.681 33.199, -92.674 33.097, -92.721 33.026), (-92.445 33.025, -92.367 33.107), (-92.885 33.153, -93.06 33.256, -93.185 33.25), (-93.062 33.256, -93.064 33.265), (-93.135 33.258, -93.149 33.244), (-93.018 33.234, -93.074 33.172), (-92.667 33.26, -92.668 33.334, -92.712 33.404), (-92.828 33.552, -92.829 33.553), (-92.667 33.247, -92.684 33.264), (-92.817 33.542, -92.762 33.612), (-92.762 33.612, -92.674 33.555, -92.48 33.537), (-92.409 33.8, -92.384 33.841, -92.249 33.884, -92.204 33.951), (-92.294 33.863, -92.294 33.862), (-92.507 33.534, -92.507 33.535), (-92.966 33.198, -92.955 33.297), (-92.652 33.362, -92.649 33.363), (-92.697 33.058, -92.696 33.059), (-92.728 33.166, -92.745 33.166), (-92.718 33.185, -92.718 33.185), (-92.193 33.009, -92.179 33.04, -92.193 33.009, -92.179 33.04), (-92.728 33.654, -92.735 33.658), (-92.186 33.016, -92.197 33.038), (-92.732 33.593, -92.732 33.594), (-92.811 33.554, -92.718 33.665, -92.409 33.8), (-92.675 33.114, -92.675 33.112), (-92.613 33.711, -92.612 33.719), (-92.817 33.542, -92.828 33.552), (-92.667 33.247, -92.782 33.015), (-93.283 33.194, -93.215 33.886, -93.041 34.115, -92.766 34.374), (-93.283 33.23, -93.186 33.25), (-93.282 33.193, -93.149 33.244), (-92.765 34.374, -92.598 34.532, -92.597 34.533, -92.493 34.569), (-93.212 33.044, -93.175 33.043), (-93.205 33.243, -93.208 33.244), (-93.23 33.831, -93.128 33.828), (-93.283 33.27, -93.312 33.263), (-92.765 34.374, -92.891 34.434), (-92.765 34.374, -92.537 34.564), (-92.517 34.574, -92.499 34.584), (-92.806 34.402, -92.816 34.392), (-93.241 33.667, -93.247 33.667), (-93.258 33.5, -93.307 33.501), (-92.598 34.532, -92.597 34.533), (-92.598 34.532, -92.597 34.533), (-93.286 33.195, -93.817 33.303), (-93.201 33.018, -93.283 33.194), (-93.2 33.018, -93.283 33.194), (-93.2 33.018, -93.283 33.194), (-93.491 33.251, -93.466 33.358), (-93.492 33.251, -93.494 33.252), (-93.768 35.236, -94.441 35.133), (-93.769 35.236, -94.441 35.133), (-93.768 35.236, -93.842 35.451, -94.058 35.767, -94.188 35.901, -94.372 36.5), (-94.387 35.135, -94.391 35.23), (-94.149 35.163, -94.149 35.161), (-94.149 35.161, -94.155 35.066), (-94.391 35.23, -94.38 35.257), (-94.197 35.158, -94.2 35.298), (-93.884 35.502, -93.798 35.502), (-93.281 33.2, -93.231 33.829, -93.23 33.831, -93.042 34.114, -93.038 34.118, -92.823 34.319, -93.486 33.018, -93.281 33.2), (-93.286 33.195, -93.282 33.2), (-93.282 33.2, -93.215 33.886, -93.042 34.114, -92.766 34.374), (-93.23 33.831, -93.231 33.829), (-93.23 33.831, -93.231 33.829), (-93.258 33.495, -92.953 33.497), (-92.817 33.542, -92.818 33.517, -92.907 33.496), (-92.811 33.542, -92.796 33.565), (-93.038 34.118, -93.042 34.114), (-93.038 34.118, -93.042 34.114), (-92.765 34.374, -91.741 34.424, -91.527 34.465, -90.6 34.461), (-92.174 34.408, -92.117 34.267, -92.061 34.231), (-91.258 34.46, -91.24 33.979, -91.267 33.795, -91.241 33.702), (-90.606 34.46, -90.603 34.493), (-92.34 34.398, -92.34 34.405), (-90.605 34.459, -90.599 34.459), (-90.605 34.459, -90.599 34.459), (-93.041 34.115, -93.038 34.118), (-93.041 34.115, -93.038 34.118), (-93.23 33.829, -93.23 33.831), (-93.23 33.831, -93.23 33.829), (-93.23 33.829, -93.23 33.831), (-93.87 35.477, -93.863 35.473), (-92.793 34.347, -92.793 34.347), (-92.612 32.637, -92.611 32.626), (-92.611 32.625, -92.613 32.623), (-92.611 32.625, -92.613 32.626), (-92.611 32.625, -92.616 32.622), (-92.611 32.625, -92.609 32.621), (-92.611 32.625, -92.605 32.622), (-92.611 32.625, -92.61 32.627), (-93.986 32.783, -93.989 32.786), (-93.964 32.958, -93.99 32.962), (-93.948 32.731, -94.007 32.822, -93.946 33.019), (-93.995 32.875, -93.993 32.875), (-93.946 33.019, -93.946 33.019), (-94.005 32.814, -94.043 32.815), (-93.963 32.745, -93.968 32.743), (-93.998 32.812, -93.981 32.822), (-93.99 32.961, -94.021 33.019), (-93.916 32.837, -93.981 32.911), (-93.994 32.972, -93.994 32.972, -93.994 32.972, -93.994 32.972), (-93.919 32.839, -93.876 32.873), (-93.836 32.456, -93.84 32.456), (-93.745 32.581, -93.061 32.6, -92.242 32.67, -94.015 32.581, -93.745 32.581, -92.24 32.67, -92.144 32.67, -92.138 32.669, -92.099 32.68, -92.144 32.67, -92.138 32.669), (-94.015 32.581, -94.043 32.52), (-92.199 32.67, -92.098 32.68), (-93.231 32.978, -93.035 32.664, -93.003 32.605, -92.946 32.563, -92.673 32.546), (-93.339 32.413, -93.187 32.498), (-92.605 32.54, -92.293 32.664), (-93.304 32.429, -93.187 32.498), (-92.642 32.635, -92.658 32.813), (-93.3 32.345, -93.292 32.347, -93.304 32.344, -93.299 32.345, -93.292 32.347, -93.292 32.347), (-92.098 32.68, -91.909 32.774), (-91.91 32.775, -91.909 32.781), (-92.082 32.684, -92.085 32.688), (-92.082 32.684, -92.085 32.688), (-92.782 32.553, -92.786 32.553), (-92.605 32.54, -92.614 32.529), (-92.292 32.666, -92.293 32.664), (-92.649 32.697, -92.652 32.695), (-92.648 32.696, -92.648 32.696), (-93.185 32.977, -93.36 32.951), (-93.309 32.966, -93.307 32.966), (-93.121 32.804, -93.074 32.793), (-93.035 32.664, -93.012 32.664), (-92.989 32.581, -93.045 32.545), (-92.743 32.55, -92.743 32.544), (-92.363 32.64, -92.43 32.741, -92.411 32.761), (-92.393 32.698, -92.394 32.698), (-92.272 32.666, -92.277 32.678), (-93.497 32.593, -93.487 32.635), (-92.606 32.532, -92.606 32.531), (-93.292 32.347, -93.213 32.37), (-92.782 32.548, -92.762 32.544), (-93.378 32.781, -93.364 32.686, -93.327 32.661), (-93.272 32.542, -93.274 32.542), (-93.237 32.352, -93.236 32.344), (-93.012 32.653, -93.013 32.652), (-93.339 32.413, -93.339 32.366, -93.298 32.333), (-92.097 32.681, -92.092 32.676), (-93.635 32.588, -93.635 32.57), (-92.613 32.53, -92.624 32.53), (-92.093 32.675, -92.097 32.68), (-92.096 32.68, -92.096 32.627, -92.187 32.559), (-91.598 32.466, -91.628 32.478, -91.63 32.537, -92.004 32.705), (-91.654 32.547, -91.651 32.551), (-92.187 32.559, -92.186 32.556), (-92.006 32.705, -92.004 32.703), (-93.415 32.596, -93.415 32.571), (-92.669 32.555, -92.675 32.453), (-91.489 32.412, -91.598 32.466), (-91.489 32.412, -91.485 32.397), (-94.015 32.581, -94.043 32.593), (-93.415 32.571, -93.41 32.538), (-93.142 32.598, -93.143 32.548), (-93.532 32.592, -93.527 32.471), (-92.272 32.666, -92.247 32.458, -92.214 32.387, -92.176 32.395), (-92.215 32.387, -92.198 32.254), (-92.24 32.499, -92.24 32.499), (-92.78 32.522, -92.777 32.522), (-92.092 32.675, -92.006 32.705), (-93.272 32.549, -93.339 32.413, -93.274 32.591, -93.272 32.549), (-92.005 32.705, -92.006 32.677, -92.005 32.705, -92.006 32.677), (-92.787 32.622, -92.77 32.483), (-92.594 32.639, -92.594 32.626), (-93.003 32.604, -93.012 32.667), (-93.946 32.711, -93.913 32.739, -93.868 32.775, -93.84 32.797), (-93.84 32.797, -93.845 32.822), (-92.199 32.67, -92.382 32.862, -92.465 33.012), (-92.404 32.898, -92.466 32.839), (-92.332 32.525, -92.332 32.524), (-92.26 32.667, -92.358 32.501), (-92.223 32.691, -92.26 32.667), (-92.333 32.524, -92.367 32.53, -92.332 32.524, -92.333 32.524), (-92.217 32.686, -92.215 32.689), (-92.098 32.68, -92.16 32.781, -92.431 33.011), (-92.705 32.932, -92.704 32.955), (-93.012 32.667, -92.809 32.793), (-92.277 32.882, -92.246 32.897), (-92.814 32.9, -92.658 32.813), (-92.314 32.913, -92.193 33.009, -92.314 32.913, -92.193 33.009), (-92.808 32.973, -92.642 32.923, -92.642 32.923, -92.642 32.921), (-92.782 33.015, -92.819 32.96, -92.809 32.794), (-92.176 32.795, -92.181 32.791), (-93.651 32.304, -93.612 32.187, -93.559 32.15), (-93.564 32.361, -93.635 32.357), (-93.651 32.304, -93.635 32.357), (-93.184 32.972, -93.201 33.018), (-93.184 32.976, -93.2 33.018), (-93.183 32.972, -93.2 33.018), (-93.198 33.009, -93.157 33.014), (-93.198 33.009, -93.157 33.014), (-93.789 32.467, -94.043 32.304), (-93.991 32.201, -94.032 32.172), (-93.883 32.413, -93.814 32.382), (-93.821 32.384, -93.82 32.386), (-93.796 32.462, -93.797 32.462), (-93.934 32.38, -93.934 32.385), (-94.042 32.305, -94.029 32.233, -93.959 32.174), (-93.948 32.731, -93.913 32.623, -93.797 32.489, -93.721 32.342, -93.601 32.328), (-93.722 32.343, -93.964 32.202, -94.006 32.213), (-93.826 32.528, -93.764 32.511), (-93.748 32.41, -93.746 32.411), (-93.932 32.669, -93.948 32.667), (-93.946 32.711, -93.959 32.705), (-93.913 32.624, -93.915 32.623), (-93.772 32.508, -93.772 32.507), (-93.605 32.32, -93.593 32.32), (-93.959 32.705, -93.958 32.693), (-93.758 32.411, -93.743 32.408), (-93.911 32.62, -93.91 32.621), (-93.601 32.328, -93.61 32.297), (-93.755 32.33, -93.814 32.268), (-94.043 32.495, -93.928 32.566, -93.486 33.018), (-93.671 32.855, -93.695 32.892), (-93.614 32.588, -93.436 32.402, -93.36 32.378, -93.779 32.72, -93.722 32.637, -93.614 32.588), (-93.615 32.909, -93.692 32.957), (-93.825 32.666, -93.872 32.705), (-93.533 32.514, -93.533 32.513), (-93.779 32.72, -93.733 32.669), (-93.626 32.899, -93.504 32.786), (-93.719 32.797, -93.654 32.746), (-93.575 32.941, -93.499 32.878), (-93.586 32.863, -93.586 32.862), (-93.616 32.341, -93.616 32.341), (-100 35.361, -100 35.361), (-96.687 34.832, -96.684 34.848), (-96.665 34.831, -96.662 34.831), (-96.694 34.823, -96.694 34.823), (-96.684 34.823, -96.684 34.824), (-96.687 34.822, -96.674 34.83), (-96.676 34.829, -96.658 34.835), (-96.676 34.824, -96.671 34.821), (-96.671 34.829, -96.671 34.827), (-96.692 34.821, -96.697 34.818), (-96.694 34.82, -96.693 34.819), (-96.682 34.823, -96.68 34.821), (-96.684 34.823, -96.682 34.821), (-96.687 34.831, -96.689 34.829), (-96.665 34.833, -96.664 34.83), (-96.687 34.827, -96.683 34.827), (-96.687 34.826, -96.688 34.826), (-96.684 34.831, -96.683 34.829), (-96.687 34.82, -96.688 34.817), (-96.682 34.823, -96.682 34.823), (-96.665 34.832, -96.666 34.832), (-96.684 34.823, -96.685 34.823), (-96.667 34.829, -96.667 34.829), (-96.676 34.827, -96.676 34.827), (-96.667 34.829, -96.668 34.827), (-96.687 34.831, -96.686 34.82), (-96.687 34.827, -96.692 34.821), (-96.692 34.827, -96.692 34.827), (-96.687 34.828, -96.686 34.828), (-96.676 34.824, -96.675 34.824), (-96.68 34.83, -96.68 34.83), (-96.676 34.829, -96.687 34.831), (-96.687 34.831, -96.682 34.831), (-96.676 34.824, -96.673 34.824), (-96.674 34.829, -96.666 34.828), (-96.687 34.823, -96.689 34.823), (-98.01 34.797, -97.999 34.492, -97.965 34.423), (-98.001 34.594, -97.965 34.373), (-97.965 34.423, -97.962 34.423), (-98.002 34.652, -97.967 34.652), (-97.965 34.423, -97.962 34.423), (-97.967 34.42, -97.969 34.42), (-98.01 34.797, -98.288 34.796, -98.378 34.703), (-98.361 34.579, -98.226 34.452, -98.231 34.275), (-98.003 34.609, -98.303 34.609), (-98.072 34.609, -98.089 34.693), (-98.072 34.638, -98.054 34.638), (-98.01 34.797, -97.97 34.798), (-97.798 34.773, -97.792 34.782), (-98.228 34.453, -98.227 34.454), (-98.303 34.609, -98.317 34.55), (-98.247 34.797, -98.351 34.884), (-98.177 34.797, -98.176 34.752), (-97.5 36.788, -97.606 36.801, -97.606 36.999), (-97.601 36.796, -97.732 36.804), (-100 35.361, -99.315 35.551, -99.176 35.531, -99.183 35.595, -98.738 35.739, -98.355 36.072, -97.958 36.362), (-99.373 35.533, -99.38 35.627), (-96.297 34.712, -96.318 34.87), (-96.295 34.709, -96.28 34.726), (-96.289 34.708, -96.289 34.708), (-96.302 34.706, -96.3 34.704), (-96.293 34.708, -96.293 34.706), (-96.291 34.715, -96.291 34.712), (-96.291 34.713, -96.286 34.713), (-96.291 34.715, -96.292 34.717), (-96.288 34.717, -96.287 34.716), (-96.285 34.725, -96.287 34.729), (-96.295 34.709, -96.305 34.71), (-96.301 34.709, -96.301 34.71), (-96.284 34.721, -96.285 34.725), (-96.295 34.712, -96.297 34.715), (-96.284 34.721, -96.281 34.717), (-96.288 34.717, -96.289 34.72), (-96.295 34.712, -96.296 34.712), (-96.295 34.709, -96.307 34.704), (-96.304 34.705, -96.304 34.707), (-96.297 34.707, -96.297 34.707), (-96.295 34.708, -96.281 34.706), (-99.183 35.595, -99.188 35.63), (-98.88 35.689, -98.718 35.546), (-99.444 35.507, -99.444 35.498), (-98.88 35.673, -98.88 35.671), (-98.717 35.546, -98.377 35.472), (-98.502 35.937, -98.438 35.885), (-98.422 36.007, -98.352 35.97), (-98.399 36.028, -98.584 36.056), (-98.584 36.056, -98.604 36.079), (-98.3 36.112, -98.468 36.259), (-99.4 35.344, -99.373 35.532), (-99.4 35.344, -99.434 35.349), (-99.403 35.345, -99.403 35.347), (-98.96 35.665, -98.965 35.58), (-98.959 35.59, -98.96 35.588), (-99.655 35.44, -99.673 35.596), (-98.246 36.158, -98.192 36.103), (-95.85 35.101, -95.771 35.006, -95.769 34.964), (-95.769 34.963, -95.776 34.902, -95.839 34.836), (-95.718 35.009, -95.793 35.032), (-97.958 36.362, -97.907 36.454, -97.738 36.519, -97.517 36.764, -97.484 36.854), (-97.729 36.529, -97.577 36.441), (-97.577 36.441, -97.572 36.448), (-97.67 36.593, -97.786 36.666), (-97.57 36.706, -97.565 36.695), (-97.894 36.463, -97.955 36.587), (-97.491 36.825, -97.319 36.826, -97.318 36.999), (-97.302 36.81, -97.319 36.826), (-96.689 34.817, -96.691 34.818), (-96.689 34.817, -96.661 35.188), (-96.659 35.09, -96.768 35.129), (-96.679 34.841, -96.681 34.841), (-96.622 34.865, -96.548 34.87, -96.515 34.875, -96.464 34.883, -96.666 34.87, -96.622 34.865), (-96.51 34.876, -96.524 34.941), (-96.511 34.942, -96.511 34.938), (-96.511 34.941, -96.511 34.941), (-96.641 34.867, -96.64 34.868), (-96.458 35.065, -96.472 35.077), (-96.524 34.941, -96.498 35.023, -96.423 35.093), (-96.458 35.065, -96.441 35.005), (-96.591 34.863, -96.591 34.868), (-96.512 34.913, -96.52 34.913), (-96.512 34.913, -96.508 34.913), (-96.314 34.604, -96.225 34.541), (-96.051 34.537, -96.227 34.545), (-96.052 34.537, -96.049 34.543), (-96.221 34.513, -96.22 34.513), (-96.221 34.508, -96.22 34.509), (-96.221 34.51, -96.22 34.511), (-96.314 34.604, -96.343 34.614), (-96.229 34.545, -96.218 34.462, -96.15 34.394), (-96.051 34.537, -96.071 34.439, -96.15 34.394), (-96.039 34.527, -96.038 34.527), (-96.49 34.694, -96.53 34.646), (-96.688 34.817, -96.313 34.587), (-96.314 34.587, -96.314 34.604), (-96.414 34.636, -96.424 34.621), (-96.313 34.587, -96.314 34.505), (-99.808 35.278, -99.658 35.233, -99.519 35.058, -99.498 34.875, -99.346 34.652), (-99.658 35.234, -99.646 35.288), (-99.502 34.959, -99.499 34.882), (-99.383 34.724, -99.346 34.652), (-99.519 35.051, -99.514 35.051), (-99.42 34.784, -99.337 34.783), (-99.346 34.652, -99.421 34.652), (-99.421 34.652, -99.419 34.549), (-99.421 34.652, -99.565 34.666), (-99.346 34.667, -99.346 34.667), (-99.502 34.959, -99.358 34.958), (-99.358 34.958, -99.306 34.906), (-98.01 34.797, -98.01 34.857, -98.129 34.942, -98.198 34.942), (-98.024 34.897, -98.025 34.868), (-98.023 34.897, -98.031 34.869), (-98.095 34.927, -98.024 34.898), (-98.024 34.897, -98.024 34.891), (-98.024 34.884, -97.935 34.979), (-98.194 34.942, -98.22 35.08), (-98.001 35.077, -97.935 34.979), (-97.491 36.825, -97.301 36.809, -97.301 36.768, -97.266 36.768, -97.283 36.7), (-97.265 36.739, -97.255 36.739), (-97.266 36.768, -97.276 36.782), (-97.484 36.854, -97.319 36.999), (-95.405 34.889, -95.218 34.746, -95.093 34.712, -94.957 34.599, -94.463 34.436), (-95.93 34.893, -95.936 34.937), (-95.936 34.937, -95.904 35.013), (-97.594 35.001, -97.594 35), (-99.314 35.683, -99.313 35.784), (-98.178 34.826, -98.22 34.84), (-95.405 34.889, -95.631 34.809, -95.919 34.893, -96.574 34.844, -97.078 34.859, -97.38 34.909, -97.922 35.158), (-97.922 35.158, -99.024 35.639, -99.309 35.682, -100 35.707), (-98.22 34.84, -98.224 34.84), (-96.388 34.865, -96.389 34.865), (-96.605 34.844, -96.604 34.844), (-96.616 34.849, -96.615 34.877), (-97.922 35.158, -98.2 34.805, -98.206 34.609), (-96.68 34.848, -96.679 34.848), (-95.809 34.868, -95.809 34.867), (-98.308 35.31, -98.367 35.271), (-99.996 35.707, -99.996 35.711), (-97.838 35.116, -97.904 35.008), (-95.904 35.013, -95.851 35.101, -95.771 35.101), (-95.774 34.859, -95.786 34.751), (-98.774 35.522, -98.769 35.522), (-98.898 35.582, -98.902 35.581), (-98.36 35.334, -98.359 35.334), (-99.961 35.708, -99.966 35.687), (-99.68 35.689, -99.68 35.688), (-99.031 35.639, -99.009 35.721), (-99.314 35.682, -99.314 35.682), (-98.206 34.609, -98.003 34.609), (-99.685 36.212, -99.788 36.264), (-98.165 36.203, -98.182 36.244), (-98.96 35.665, -99.033 35.776), (-99.373 35.446, -99.274 35.449), (-98.325 36.094, -98.275 36.048), (-99.434 35.349, -99.523 35.269), (-94.441 35.133, -94.829 35.105, -94.965 35.027, -95.117 34.993, -95.209 34.921, -95.393 34.895, -95.465 34.85, -95.899 34.74, -96.033 34.66, -96.301 34.58), (-94.441 35.133, -94.83 35.105, -95.114 34.95, -95.405 34.889), (-95.396 34.927, -95.391 35.038), (-95.121 35.101, -95.13 35.249), (-98.325 36.094, -98.336 36.104), (-95.909 34.735, -95.906 34.73), (-95.327 34.904, -95.327 34.906), (-94.607 35.211, -94.645 35.196), (-94.835 35.103, -94.853 35.146), (-96.075 34.65, -96.078 34.7), (-95.119 34.992, -95.121 35.101), (-95.977 34.692, -96.024 34.752, -96.013 34.885), (-94.616 35.129, -94.607 35.211), (-94.542 35.13, -94.531 35.181), (-95.951 34.714, -95.942 34.705), (-95.049 34.995, -95.05 34.992), (-94.514 35.131, -94.5 35.393), (-95.396 34.927, -95.423 34.95), (-95.261 34.908, -95.262 34.908), (-95.405 34.889, -95.428 34.899), (-95.405 34.889, -95.414 34.881), (-95.405 34.889, -95.396 34.927), (-95.405 34.889, -95.396 34.927), (-97.265 36.776, -97.266 36.767), (-99.859 35.394, -99.82 35.306, -99.818 35.302, -99.808 35.278), (-99.82 35.306, -99.818 35.302), (-99.82 35.306, -99.818 35.302), (-98.198 34.942, -98.224 34.956, -98.095 34.927, -98.11 34.927), (-100.021 35.356, -100 35.361), (-100.023 35.329, -100.021 35.356), (-100.227 35.693, -100.227 35.695), (-100.227 35.695, -100.223 35.855), (-100 35.707, -100.228 35.694), (-100.228 35.694, -100.24 35.641), (-100.415 35.692, -100.407 35.779), (-100.021 35.356, -100.073 35.497, -100.213 35.653), (-100.228 35.694, -100.523 35.689), (-100.228 35.694, -100.213 35.653), (-94.043 33.377, -94.06 33.38), (-94.713 33.039, -94.715 33.038), (-94.712 33.039, -94.711 33.039), (-94.043 32.815, -94.043 32.788), (-94.043 33.377, -94.096 33.382, -94.138 33.45), (-94.71 32.917, -94.711 32.917), (-94.043 32.815, -94.36 32.816, -94.94 32.984, -95.276 32.953), (-94.734 32.932, -94.742 32.935), (-94.347 32.815, -94.35 32.767), (-94.565 32.877, -94.558 32.898), (-94.74 32.934, -94.71 33.18), (-94.968 32.983, -94.968 32.986), (-94.94 32.983, -94.944 32.74), (-94.94 32.983, -94.949 33.088, -94.99 33.148), (-94.973 33.146, -95.22 33.178), (-94.716 33.024, -94.648 33.004), (-94.71 33.18, -94.677 33.197), (-94.71 33.18, -94.743 33.177), (-94.347 32.815, -94.362 32.996), (-94.99 33.148, -95.102 33.356), (-95.102 33.356, -95.21 33.339), (-95.102 33.356, -94.991 33.355), (-95.094 33.356, -95.072 33.358), (-95.102 33.356, -95.102 33.357), (-95.051 33.352, -95.048 33.348), (-94.994 33.152, -94.989 33.152), (-95.093 33.36, -95.093 33.36), (-95.276 32.953, -95.487 32.837), (-95.345 32.904, -95.398 32.875, -95.398 32.875, -95.43 32.855), (-95.397 32.875, -95.421 32.889), (-94.132 32.815, -94.135 32.765), (-94.132 32.815, -94.13 32.842), (-94.721 32.846, -94.779 32.84), (-94.635 32.621, -94.632 32.622), (-94.322 32.812, -94.322 32.816), (-94.733 32.932, -94.707 32.929, -94.722 32.846, -94.619 32.69), (-94.619 32.69, -94.64 32.601), (-94.64 32.601, -94.756 32.549), (-94.043 33.105, -94.06 33.38), (-94.061 33.38, -94.061 33.378), (-94.068 33.38, -94.09 33.378), (-94.06 33.38, -94.2 33.463, -94.407 33.46), (-94.24 33.467, -94.241 33.463), (-94.328 33.468, -94.329 33.461), (-94.114 33.418, -94.111 33.422), (-94.283 33.47, -94.283 33.469), (-94.316 33.469, -94.316 33.462), (-94.372 33.462, -94.372 33.455), (-94.088 33.398, -94.088 33.397), (-94.063 33.247, -94.073 33.253), (-94.043 32.52, -94.072 32.472), (-94.072 32.472, -94.496 32.413, -94.574 32.432, -94.687 32.547, -94.756 32.549), (-94.591 32.461, -94.703 32.434), (-94.043 32.593, -94.169 32.668), (-94.043 32.304, -94.065 32.293), (-94.065 32.293, -94.211 32.231), (-94.991 33.355, -94.861 33.332), (-94.072 32.472, -94.043 32.495), (-94.076 32.477, -94.21 32.23, -94.384 32.087), (-94.26 32.188, -94.26 32.188), (-94.384 32.089, -94.385 32.088), (-94.26 32.189, -94.261 32.19), (-94.256 32.186, -94.262 32.189), (-97.319 36.999, -97.148 37.042, -97.13 37.095), (-97.13 37.095, -97.074 37.114), (-97.129 37.107, -97.13 37.107), (-97.074 37.114, -97.005 37.172, -97 37.232), (-97.005 37.172, -97.026 37.171), (-97 37.232, -97.01 37.235), (-96.966 37.237, -96.969 37.245), (-96.996 37.226, -96.967 37.237), (-97.13 37.064, -97.124 37.063), (-97.126 37.063, -97.127 37.061), (-94.372 36.5, -94.382 36.531), (-90.13 34.995, -90.169 35.037), (-90.193 35.046, -90.169 35.037), (-90.169 35.037, -90.193 35.046), (-90.096 34.956, -90.13 34.995), (-94.043 32.2, -94.243 32.189), (-91.579 32.437, -91.755 32.357, -91.967 32.316, -92.498 32.308, -92.516 32.282, -92.72 32.274, -93.134 32.294, -93.415 32.21, -93.613 32.233, -93.79 32.183, -94.043 32.2))</t>
  </si>
  <si>
    <t>P0162</t>
  </si>
  <si>
    <t>https://www.gem.wiki/Mississippi_River_Transmission</t>
  </si>
  <si>
    <t>Mississippi River Transmission</t>
  </si>
  <si>
    <t>Enable Midstream Partners, LP [100.00%]</t>
  </si>
  <si>
    <t>MULTILINESTRING ((-94.3585276 32.6682744, -92.6590916 32.6696354, -92.0643426 32.6814234, -91.9938496 33.3212081, -92.0052106 34.1716518, -91.9530256 34.2193587, -91.9722516 34.3883877, -91.6965996 35.0941553, -90.8606786 36.3031298, -90.6280576 36.4963117, -90.5839316 36.5082347, -90.3589866 37.3368453, -90.3576136 37.6125831, -90.3803266 37.6423811, -90.4805766 37.8790611, -90.3238696 38.6437387), (-91.6965996 35.0941553, -92.2005976 35.1110083), (-90.3589866 37.3368453, -90.7074666 37.3612183), (-90.3576136 37.6125831, -90.6415486 37.5998822, -90.7081966 37.4959333), (-90.3803266 37.6423811, -90.1050956 38.014279, -90.2249926 38.6136997, -89.7861816 38.7156596), (-90.4805766 37.8790611, -90.5876936 37.8833971), (-92.6590916 32.6696354, -91.9938496 33.3212081))</t>
  </si>
  <si>
    <t>P0163</t>
  </si>
  <si>
    <t>https://www.gem.wiki/Enable_Oklahoma_Instrastate_Transmission</t>
  </si>
  <si>
    <t>Enable Oklahoma Instrastate Transmission (EOIT)</t>
  </si>
  <si>
    <t>MULTILINESTRING ((-95.770904 36.404687, -96.502447 36.486133, -97.328664 36.313163, -98.160199 36.18755, -98.985049 35.522071), (-98.160199 36.18755, -98.750396 36.645615), (-98.160199 36.18755, -98.188849 35.723303, -97.677985 35.651918, -97.673865 35.348937, -98.27262 35.723303, -98.188849 35.723303), (-97.677985 35.651918, -97.231675 35.664992, -97.202835 35.553343, -97.319565 35.364301, -97.673865 35.348937), (-97.202835 35.553343, -97.141572 35.065757, -97.538745 35.095667, -98.082679 35.264294, -98.09132 35.278223, -99.588319 35.317334), (-98.985049 35.522071, -97.827247 34.812284, -97.198796 34.613983, -96.40474 34.689765), (-97.328664 36.313163, -96.990378 36.175381, -96.441649 35.345838, -96.409816 34.685307, -96.299326 34.417244, -96.035508 33.935253), (-96.299326 34.417244, -95.411959 35.024522, -95.340901 35.567839, -95.306569 35.764203), (-95.770904 36.404687, -95.79911 36.057376, -96.01609 36.010733, -98.358792 34.526464), (-95.340901 35.567839, -96.142302 35.56529, -96.241795 35.237467, -96.441649 35.118126), (-96.496581 34.939324, -96.099275 34.901374, -95.422945 35.021148))</t>
  </si>
  <si>
    <t>P0164</t>
  </si>
  <si>
    <t>https://www.gem.wiki/Southeast_Supply_Header</t>
  </si>
  <si>
    <t>Southeast Supply Header</t>
  </si>
  <si>
    <t>Enable Midstream Partners, LP [50.00%]; Enbridge [50.00%]</t>
  </si>
  <si>
    <t>MULTILINESTRING ((-92.005366 32.706252, -91.478022 32.715496, -89.900147 31.749362, -88.801291 31.156469, -88.353598 30.737175, -88.150351 30.718287, -88.147604 30.389522), (-88.353598 30.737175, -88.565084 30.70648))</t>
  </si>
  <si>
    <t>P0165</t>
  </si>
  <si>
    <t>https://www.gem.wiki/Chandeleur_Gas_Pipeline</t>
  </si>
  <si>
    <t>Chandeleur Gas Pipeline</t>
  </si>
  <si>
    <t>EnLink Midstream [100.00%]</t>
  </si>
  <si>
    <t>Offshore Louisiana and Mississippi</t>
  </si>
  <si>
    <t>offshore Gulf of Mexico</t>
  </si>
  <si>
    <t>Louisiana, Mississippi</t>
  </si>
  <si>
    <t>MULTILINESTRING ((-88.5693566 30.3700114, -89.1379426 29.3577758), (-88.1862946 30.3854834, -88.2841146 30.1854614))</t>
  </si>
  <si>
    <t>P0166</t>
  </si>
  <si>
    <t>https://www.gem.wiki/Cheyenne_Plains_Gas_Pipeline</t>
  </si>
  <si>
    <t>Cheyenne Plains Gas Pipeline</t>
  </si>
  <si>
    <t>El Paso Corporation [100.00%]</t>
  </si>
  <si>
    <t>Kit Carson</t>
  </si>
  <si>
    <t>Sherman</t>
  </si>
  <si>
    <t>LINESTRING (-105.1016756 40.5873967, -99.3101136 37.6028552)</t>
  </si>
  <si>
    <t>P0167</t>
  </si>
  <si>
    <t>https://www.gem.wiki/Coastal_GasLink_Pipeline</t>
  </si>
  <si>
    <t>Coastal GasLink Pipeline</t>
  </si>
  <si>
    <t>TC Energy [35.00%]; Alberta Investment Management Company [32.50%]; KKR Global Infrastructure Investors III [32.50%]</t>
  </si>
  <si>
    <t>Construction</t>
  </si>
  <si>
    <t>Montney Formation</t>
  </si>
  <si>
    <t>Dawson Creek</t>
  </si>
  <si>
    <t>LINESTRING (-120.841506 55.81745776, -120.91822 55.80451298, -120.941162 55.78048605, -120.951139 55.75116658, -120.96234 55.73042716, -120.967042 55.70482346, -120.982924 55.69081787, -121.00528 55.68167153, -121.060885 55.68066032, -121.133309 55.67988089, -121.177134 55.67863732, -121.199177 55.6751582, -121.229797 55.66799466, -121.26049 55.65892236, -121.315976 55.65969638, -121.418549 55.66106114, -121.457264 55.66060285, -121.486402 55.64669945, -121.520883 55.62429405, -121.54539 55.59795689, -121.576438 55.5754954, -121.622046 55.5674569, -121.691309 55.55395001, -121.745678 55.53264413, -121.783321 55.50829618, -121.815866 55.48483868, -121.830725 55.43552619, -121.833238 55.40701812, -121.815454 55.38687461, -121.794262 55.36954803, -121.788368 55.3438105, -121.795965 55.31345079, -121.796166 55.30679514, -121.825037 55.28900559, -121.855711 55.26551968, -121.884472 55.24961738, -121.908296 55.23081105, -121.930486 55.21008362, -121.939407 55.18733534, -121.936488 55.17209242, -121.978143 55.16769317, -122.021426 55.16424389, -122.054939 55.15214416, -122.078406 55.14281298, -122.123459 55.1326834, -122.145645 55.10430846, -122.16119 55.07493282, -122.183143 55.0551092, -122.200163 55.03239605, -122.214078 54.99824734, -122.216326 54.96782671, -122.225121 54.94030112, -122.24356 54.92615069, -122.280228 54.90735128, -122.326697 54.89239998, -122.374928 54.867929, -122.42633 54.84820947, -122.479561 54.81040507, -122.501283 54.78481633, -122.531157 54.76305988, -122.567534 54.74512387, -122.595672 54.72619865, -122.640065 54.72348522, -122.668123 54.70834742, -122.666605 54.69312538, -122.688089 54.6751113, -122.73735 54.67142361, -122.78175 54.65439155, -122.839217 54.64116574, -122.876985 54.62408977, -122.919645 54.60320081, -122.972088 54.57944603, -123.003196 54.55567087, -123.039165 54.52142362, -123.081608 54.48716127, -123.115805 54.44813622, -123.162997 54.41288901, -123.213431 54.38998255, -123.320509 54.32696854, -123.380553 54.3087217, -123.421033 54.29051473, -123.450122 54.27423949, -123.471022 54.25418465, -123.511326 54.22928933, -123.558123 54.20815526, -123.62594 54.18594422, -123.703603 54.17505225, -123.758481 54.16140206, -123.84592 54.15701467, -123.913979 54.15651733, -123.994817 54.14826666, -124.077365 54.14470255, -124.135368 54.13275442, -124.240853 54.13932344, -124.296423 54.15490951, -124.386197 54.17388638, -124.467473 54.17958245, -124.55659 54.17751226, -124.614754 54.17198982, -124.65451 54.1524237, -124.699085 54.1327762, -124.743976 54.12166934, -124.81353 54.1196899, -124.87328 54.11592048, -124.919987 54.1104274, -124.963086 54.09736395, -124.998074 54.08441985, -125.056091 54.07963644, -125.099978 54.08363517, -125.160091 54.08827905, -125.208696 54.08929914, -125.295013 54.09910034, -125.354897 54.09889425, -125.412832 54.09298862, -125.474322 54.09269072, -125.512021 54.1004726, -125.557139 54.12330931, -125.606624 54.13747141, -125.685156 54.14906575, -125.751578 54.1485167, -125.805896 54.1367951, -125.864904 54.12303383, -125.947449 54.12199089, -126.018808 54.12307577, -126.062042 54.13816044, -126.115778 54.1415387, -126.164161 54.13837236, -126.191073 54.13004806, -126.241275 54.12965717, -126.281434 54.1456985, -126.338417 54.16887472, -126.411865 54.17442792, -126.487688 54.16939841, -126.572316 54.17262559, -126.617165 54.18461043, -126.678312 54.19703353, -126.746387 54.19588486, -126.792892 54.18966842, -126.832296 54.17699719, -126.889005 54.17612872, -126.933312 54.18135114, -126.984192 54.18729174, -127.055561 54.18681019, -127.162226 54.18221378, -127.242893 54.17749041, -127.297869 54.17553779, -127.339083 54.1816738, -127.384448 54.19621324, -127.435604 54.203858, -127.46595 54.21416007, -127.527474 54.22709366, -127.579152 54.22418501, -127.61576 54.20279001, -127.660731 54.18391564, -127.715791 54.18272018, -127.76006 54.17240496, -127.785223 54.15140844, -127.821838 54.1175675, -127.849387 54.08979443, -127.890346 54.06622999, -127.955383 54.05499101, -128.010484 54.05555963, -128.046143 54.0426367, -128.090422 54.04743253, -128.134974 54.06743899, -128.220388 54.07708699, -128.269552 54.08160501, -128.30201 54.08208, -128.336593 54.07387915, -128.370043 54.06952887, -128.403354 54.07660574, -128.430854 54.08869955, -128.468524 54.0917512, -128.501343 54.08263, -128.503159 54.05968462, -128.491873 54.04781841)</t>
  </si>
  <si>
    <t>P0168</t>
  </si>
  <si>
    <t>https://www.gem.wiki/Colorado_Interstate_Gas_Pipeline</t>
  </si>
  <si>
    <t>Colorado Interstate Gas Pipeline</t>
  </si>
  <si>
    <t>Kinder Morgan [100.00%]</t>
  </si>
  <si>
    <t>Rocky Mountains, Anadarko Basin</t>
  </si>
  <si>
    <t>MULTILINESTRING ((-109.248429 44.962746, -109.21547 44.427786, -107.237931 41.781438, -104.864884 41.039886, -104.842911 38.884499, -104.601212 38.300593, -102.074357 37.048477, -101.393205 35.632618), (-102.074357 37.048477, -100.712053 36.591149), (-104.842911 38.884499, -100.997698 37.764078), (-107.237931 41.781438, -108.88588 41.683054, -110.973282 41.279755), (-108.88588 41.683054, -108.292618 39.74298, -109.413223 39.802088))</t>
  </si>
  <si>
    <t>P0169</t>
  </si>
  <si>
    <t>https://www.gem.wiki/Columbia_Gas_Transmission</t>
  </si>
  <si>
    <t>Columbia Gas Transmission</t>
  </si>
  <si>
    <t>Columbia Gulf Transmission</t>
  </si>
  <si>
    <t>Columbia Gas Transmission LLC [100.00%]</t>
  </si>
  <si>
    <t>Midwest</t>
  </si>
  <si>
    <t>MULTILINESTRING ((-77.090384 42.773145, -77.040946 42.19792, -75.392997 42.067562, -74.316337 41.064772, -73.964775 40.932105), (-74.316337 41.064772, -75.546806 39.793679, -76.689384 39.378808, -78.293388 37.659817, -78.798759 37.607615, -83.039482 37.659817, -81.787041 41.469402), (-83.55584 41.683085, -81.852959 41.097897, -78.908623 41.164097, -78.644951 41.961449, -78.547447 42.053288), (-78.644951 41.961449, -78.097008 41.553727, -78.789147 41.182704, -80.011745 40.428995, -80.473171 39.811516, -80.824734 38.842729, -82.200772 39.950096, -82.560575 38.448023, -77.476651 38.726582), (-75.147549 40.034266, -79.717862 40.151929, -80.058438 40.486988))</t>
  </si>
  <si>
    <t>P0170</t>
  </si>
  <si>
    <t>https://www.gem.wiki/Commonwealth_Gas_Pipeline</t>
  </si>
  <si>
    <t>Commonwealth Gas Pipeline</t>
  </si>
  <si>
    <t>Capitol Energy Group [unknown %]; Inergy Holdings [unknown %]; UGI Corporation [unknown %]</t>
  </si>
  <si>
    <t>Marcellus and Utica Shale plays, Pennsylvania</t>
  </si>
  <si>
    <t>Lycoming County</t>
  </si>
  <si>
    <t>Charles County</t>
  </si>
  <si>
    <t>LINESTRING (-76.6621166 41.272819, -76.6941683 41.24184684, -76.6975913 41.17887974, -76.6957732 41.10836284, -76.6916886 41.04741148, -76.6978697 40.99393511, -76.6966971 40.94819305, -76.7037484 40.92902257, -76.6752387 40.89512052, -76.691462 40.8414969, -76.7070747 40.76499935, -76.7158277 40.71529516, -76.7247654 40.67321413, -76.7409999 40.62339544, -76.7698099 40.57719568, -76.8084191 40.52511534, -76.7491379 40.45547749, -76.6798203 40.37832673, -76.6413693 40.33502185, -76.6634722 40.22029481, -76.6909442 40.12455259, -76.6622833 40.06966728, -76.637243 40.06048935, -76.5915222 40.01536009, -76.5557296 39.96817229, -76.4972461 39.90029115, -76.5342646 39.86165481, -76.2886127 39.73307002)</t>
  </si>
  <si>
    <t>P0171</t>
  </si>
  <si>
    <t>https://www.gem.wiki/Constitution_Gas_Pipeline</t>
  </si>
  <si>
    <t>Constitution Gas Pipeline</t>
  </si>
  <si>
    <t>Williams Companies [51.00%]; Cabot Oil and Gas [25.00%]; Duke Energy [24.00%]</t>
  </si>
  <si>
    <t>Marcellus shale</t>
  </si>
  <si>
    <t>Schoharie County</t>
  </si>
  <si>
    <t>LINESTRING (-75.825116 41.799396, -75.772528 41.856788, -75.702854 41.858336, -75.586413 41.922682, -75.554932 41.958987, -75.544567 42.026931, -75.584228 42.090719, -75.5076 42.225986, -75.437844 42.277097, -75.320417 42.295257, -75.235585 42.35392, -75.104395 42.39004, -75.062993 42.419422, -74.902879 42.425618, -74.794061 42.466635, -74.582837 42.57254, -74.564748 42.612215, -74.514951 42.650391, -74.402164 42.674962, -74.313662 42.673134, -74.235405 42.698128)</t>
  </si>
  <si>
    <t>P0172</t>
  </si>
  <si>
    <t>https://www.gem.wiki/Crossroads_Gas_Pipeline</t>
  </si>
  <si>
    <t>Crossroads Gas Pipeline</t>
  </si>
  <si>
    <t>Schererville</t>
  </si>
  <si>
    <t>Cygnet</t>
  </si>
  <si>
    <t>LINESTRING (-87.447038 41.48919, -83.643706 41.240689)</t>
  </si>
  <si>
    <t>P0173</t>
  </si>
  <si>
    <t>https://www.gem.wiki/Delfin_Offshore_Pipeline</t>
  </si>
  <si>
    <t>Delfin Offshore Pipeline</t>
  </si>
  <si>
    <t>Fairwood Peninsula Energy Corporation [unknown %]; Golar LNG Limited [unknown %]</t>
  </si>
  <si>
    <t>Port Delfin</t>
  </si>
  <si>
    <t>Gulf of Mexico</t>
  </si>
  <si>
    <t>Delfin LNG, Cameron Parish</t>
  </si>
  <si>
    <t>LINESTRING (-93.354006 29.803002, -93.337527 29.669448, -93.211184 29.416162, -93.32654 29.152649)</t>
  </si>
  <si>
    <t>P0174</t>
  </si>
  <si>
    <t>https://www.gem.wiki/Denali_Alaskan_Natural_Gas_Pipeline</t>
  </si>
  <si>
    <t>Denali Alaskan Natural Gas Pipeline</t>
  </si>
  <si>
    <t>BP [unknown %]; ConocoPhillips [unknown %]</t>
  </si>
  <si>
    <t>North Slope</t>
  </si>
  <si>
    <t>LINESTRING (-148.234748 70.275264, -147.714326 64.835891, -145.691578 64.055446, -142.984329 63.334703, -138.809524 61.283245, -135.050267 60.717603, -122.700305 58.805024, -120.876575 56.258412, -118.800159 55.175529)</t>
  </si>
  <si>
    <t>P0175</t>
  </si>
  <si>
    <t>https://www.gem.wiki/Destin_Gas_Pipeline</t>
  </si>
  <si>
    <t>Destin Gas Pipeline</t>
  </si>
  <si>
    <t>Third Coast Midstream, LLC [67.00%]; Enbridge [33.00%]</t>
  </si>
  <si>
    <t>24, 36</t>
  </si>
  <si>
    <t>Pascagoula plant, Moss Point</t>
  </si>
  <si>
    <t>LINESTRING (-88.849859 29.269114, -88.179693 29.59444, -88.53235 30.411222)</t>
  </si>
  <si>
    <t>P0176</t>
  </si>
  <si>
    <t>https://www.gem.wiki/Dominion_Gas_Pipeline</t>
  </si>
  <si>
    <t>Dominion Gas Pipeline</t>
  </si>
  <si>
    <t>Dominion Energy [100.00%]</t>
  </si>
  <si>
    <t>Dominion LNG in Maryland, gas from Ohio and Virginia</t>
  </si>
  <si>
    <t>New United Kingdom</t>
  </si>
  <si>
    <t>MULTILINESTRING ((-76.409351 38.388272, -77.513861 39.244326, -77.689642 41.347279, -77.343208 41.982936, -76.134574 43.054759, -73.739554 42.696485), (-74.706351 44.989976, -75.233695 43.939358, -73.366019 41.271529, -73.536307 40.761735), (-77.343208 41.982936, -77.810127 42.790325, -78.870308 42.891021), (-77.810127 42.790325, -77.617867 43.172097), (-77.343208 41.982936, -79.65583 40.962233, -80.479805 41.045143, -84.478828 39.163037), (-79.65583 40.962233, -80.848222 39.748692, -80.512764 39.739892, -81.106026 37.229195), (-80.848222 39.748692, -81.683183 41.120019, -81.694169 41.491398), (-79.590287 41.458472, -80.529618 41.639357, -81.683183 41.120019, -82.688432 41.3431, -83.578698 41.66192))</t>
  </si>
  <si>
    <t>P0177</t>
  </si>
  <si>
    <t>https://www.gem.wiki/Driftwood_LNG_Pipeline</t>
  </si>
  <si>
    <t>Driftwood LNG Pipeline</t>
  </si>
  <si>
    <t>Driftwood Pipeline LLC [100.00%]</t>
  </si>
  <si>
    <t>Tellurian [100.00%]</t>
  </si>
  <si>
    <t>48, 42, 36</t>
  </si>
  <si>
    <t>Ville Platte</t>
  </si>
  <si>
    <t>Carlyss</t>
  </si>
  <si>
    <t>LINESTRING (-92.250793 30.624116, -92.467989 30.56576, -92.522644 30.488529, -92.516174 30.470117, -92.542238 30.449994, -92.99461 30.404061, -93.05935 30.378457, -93.282852 30.347019, -93.284326 30.31231, -93.39922 30.290616, -93.396685 30.151873, -93.362593 30.105628, -93.339254 30.101763)</t>
  </si>
  <si>
    <t>P0178</t>
  </si>
  <si>
    <t>https://www.gem.wiki/Eagle_Mountain-Woodfibre_Gas_Pipeline</t>
  </si>
  <si>
    <t>Eagle Mountain-Woodfibre Gas Pipeline</t>
  </si>
  <si>
    <t>FortisEnergy B.C. [100.00%]</t>
  </si>
  <si>
    <t>Coquitlam</t>
  </si>
  <si>
    <t>Woodfibre facility, Squamish</t>
  </si>
  <si>
    <t>LINESTRING (-122.83774 49.522303, -122.920565 49.529181, -122.978161 49.595892, -123.08574 49.677825, -123.098341 49.708222, -123.154355 49.717771, -123.246772 49.668197)</t>
  </si>
  <si>
    <t>P0179</t>
  </si>
  <si>
    <t>https://www.gem.wiki/East_Tennessee_Gas_Pipeline</t>
  </si>
  <si>
    <t>East Tennessee Gas Pipeline</t>
  </si>
  <si>
    <t>MULTILINESTRING ((-85.2205963 35.0875015, -85.1380997 35.1212997, -85.0865021 35.1296997, -84.9550018 35.1739998, -84.9369965 35.1950989, -84.7823029 35.2877007, -84.6300964 35.4076004, -84.5682983 35.4138985, -84.2589035 35.6194992, -84.0835037 35.7095985, -84.0009995 35.7975006, -83.949501 35.8874016, -83.8438034 35.8956985, -83.7535019 35.8874016, -83.6297989 35.9375, -83.5705032 35.9687996, -83.518898 35.9897003, -83.4414978 36.0376015, -83.2843018 36.1481018, -83.2481995 36.1585007, -83.1140976 36.1626015, -83.0084 36.2313004, -82.913002 36.2790985, -82.6215973 36.3913002, -82.5261993 36.4369011, -82.2349014 36.5675011, -82.2296982 36.6315994, -82.1188965 36.6708984, -81.8893967 36.7556992, -81.7321014 36.8093987, -81.680603 36.8073006, -81.5748978 36.8300018, -81.5000992 36.8610001, -81.4459 36.8588982, -81.0772018 36.9660988, -80.9328995 36.9763985, -80.8026962 37.0681, -80.589798 37.1483002, -80.5238037 37.1483002, -80.4925003 37.1666985, -80.4313965 37.1469994, -80.3901978 37.149601, -80.2496033 37.1964989, -80.1026001 37.2374992, -80.0458984 37.2396011, -80.0485001 37.1944008, -79.9531021 37.1944008), (-82.620697 36.3894997, -82.6334 36.4397011, -82.6619034 36.4439011, -82.6988983 36.4880981, -82.6998978 36.5075989), (-85.2208023 35.087101, -85.2830963 35.1635017, -85.3844986 35.1781998, -85.4848022 35.1669998, -85.536499 35.1367989, -85.5988998 35.1333008, -85.6104965 35.1772995, -85.7593994 35.2593002, -85.8328018 35.2625999, -85.8604965 35.2792015, -86.0868988 35.2874985, -86.2248001 35.3028984, -86.3356018 35.3442993, -86.4337006 35.3553009, -86.5418015 35.4033012, -86.6661987 35.426899, -86.9487 35.4379997, -87.2473984 35.4334984, -87.2865982 35.4468002, -87.3403015 35.4626007, -87.4955978 35.6035004, -87.611702 35.6806984, -87.6445007 35.6866989, -87.6936035 35.7467003, -87.754303 35.7896004), (-85.0845032 35.1273003, -85.0823975 35.0952988, -85.0539017 35.0875015, -85.0718994 35.0391006, -85.0360031 34.9992981, -85.0307007 34.9552002, -85.0422974 34.8867989, -85.0095978 34.8781013, -84.961998 34.8409004, -84.9335022 34.8426018, -84.9461975 34.8157005, -84.9177017 34.8130989, -84.8776016 34.7723999, -84.9240036 34.7150993), (-84.9352036 35.1968994, -84.9169998 35.1771011, -84.8939972 35.1721001), (-84.5689011 35.4121017, -84.5485992 35.4043999, -84.5391006 35.3768005), (-84.4985962 35.4604988, -84.4917984 35.4440002), (-84.3654022 35.5298996, -84.3803024 35.5397987, -84.4431992 35.5886993), (-84.2575989 35.6231995, -84.3230972 35.7552986, -84.2723999 35.7938995, -84.3009033 35.8478012, -84.3590012 35.8965988, -84.3559036 35.9342995, -84.4096985 35.9616013, -84.4593964 35.9608002, -84.4761963 35.9889984, -84.5131989 36.0035019, -84.5111008 36.0470009, -84.5660019 36.0896988, -84.6146011 36.1058998, -84.6632004 36.1076012, -84.6747971 36.1246986, -84.7528992 36.1417999, -84.8607025 36.1655998, -84.9543991 36.1888008, -85.0170975 36.1861, -85.0567017 36.1660995, -85.2398987 36.1701012, -85.373497 36.2206993, -85.4709015 36.2299995, -85.6138 36.2466011, -85.6448975 36.2770996, -85.6725998 36.2815018, -85.7192001 36.3096008, -85.7720032 36.3156013, -85.8026962 36.3479004, -85.9451981 36.3656998, -86.0202026 36.3835983, -86.0793991 36.3554993, -86.3075027 36.4095001, -86.3834 36.4015999, -86.4658966 36.4227982, -86.5632019 36.4215012, -86.6242981 36.446701, -86.7381973 36.4440002), (-83.9543991 35.8871994, -84.218399 35.9740982, -84.2910004 35.9366989, -84.3587036 35.9352989), (-84.5170975 35.9553986, -84.4609985 35.9967995), (-85.2266998 36.1715012, -85.2332993 36.1007996, -85.2068024 36.0768013, -85.2002029 35.9940987), (-85.4807968 36.2274017, -85.4807968 36.1901016), (-85.8386002 35.2626991, -85.8544006 35.2342987), (-85.9460983 36.3670006, -85.9873962 36.2779007, -85.9543991 36.2459984), (-83.9989014 35.7929993, -83.9736023 35.7596016), (-83.4363022 36.0461006, -83.4758987 36.0901985), (-83.0093994 36.2321014, -82.9850998 36.2773018, -83.0526962 36.3512993, -83.0684967 36.4090996, -83.1233978 36.4864006, -83.1856995 36.5390015, -83.2470016 36.5526009, -83.2628021 36.6035004, -83.3019028 36.6170998, -83.3407974 36.6896019), (-82.8639984 36.1772003, -82.8871994 36.2271004, -82.9052963 36.2770004, -82.9233017 36.3289986, -82.9490967 36.3684006), (-82.3387985 36.1929016, -82.3323975 36.2270012, -82.3640976 36.2388992, -82.3683014 36.2798004, -82.4031982 36.3069992, -82.3905029 36.3656998, -82.4981995 36.4252014, -82.5150986 36.4397011, -82.5404968 36.4779015, -82.543602 36.5270996), (-82.3872986 36.3674011, -82.254303 36.3445015), (-82.2352982 36.5679016, -82.2331009 36.5102005, -82.1983032 36.5051003), (-82.2352982 36.5686989, -82.2004013 36.5611), (-86.226799 35.3023987, -86.2126007 35.3288002), (-82.2288971 36.6348991, -82.2764969 36.6323013, -82.2848969 36.651001, -82.3292999 36.6390991), (-82.1222992 36.6747017, -82.1781998 36.7466011, -82.2341995 36.853199, -82.2257996 36.8777008, -82.2881012 36.919899, -82.2827988 36.9756012, -82.3525009 37.0565987), (-81.7314987 36.8101006, -81.7590027 36.861599), (-81.5837021 36.828701, -81.5804977 36.9021988, -81.6205978 36.9283981, -81.6322021 36.9679985, -81.6798019 37.0077019, -81.6819 37.0540009, -81.7421036 37.1036987, -81.7600021 37.1029015, -81.7917023 37.1509018, -81.8244019 37.1643982, -81.8223038 37.1651993), (-80.983902 36.9958, -80.9324036 36.9771004, -80.9039001 36.9618988, -80.9035034 36.9294014, -80.8679962 36.9002991, -80.8636017 36.8675003, -80.8161011 36.861599, -80.799202 36.8196983, -80.7883987 36.8144989, -80.7871017 36.7673988, -80.7342987 36.7248001, -80.6798019 36.7438011, -80.4777985 36.7102013, -80.3778992 36.6983986, -80.3453979 36.6842003, -80.3249969 36.6619987, -80.2783966 36.6483994, -80.2418976 36.6495018, -80.1735992 36.5931015, -80.0391006 36.6072006, -80.0140991 36.5783997, -79.8776016 36.5686989, -79.8654022 36.5415993, -79.7819977 36.5399017, -79.7354965 36.528801, -79.7016983 36.5270996, -79.6531982 36.5270996), (-86.3322983 35.3442993, -86.3464966 35.3095016, -86.424202 35.2421989, -86.4227982 35.2428017, -86.4262009 35.2433014), (-86.5438004 35.4048996, -86.4776001 35.4483986), (-87.2845993 35.4462013, -87.2244034 35.5573997, -87.0453033 35.6315994, -87.0317993 35.6557007), (-87.0453033 35.6348, -87.1143036 35.6419983, -87.1074982 35.6618004), (-87.1136017 35.6425018, -87.1392975 35.6419983, -87.1933975 35.571701), (-87.2440033 35.5222015, -87.1873016 35.5215988))</t>
  </si>
  <si>
    <t>P0180</t>
  </si>
  <si>
    <t>https://www.gem.wiki/East_Texas_Gas_Pipeline</t>
  </si>
  <si>
    <t>East Texas Gas Pipeline</t>
  </si>
  <si>
    <t>ETP Legacy [100.00%]</t>
  </si>
  <si>
    <t>LINESTRING (-96.1956256 31.7301948, -95.9932606 30.5432073, -95.8400616 29.7879536)</t>
  </si>
  <si>
    <t>P0182</t>
  </si>
  <si>
    <t>https://www.gem.wiki/Eastern_Shore_Gas_Pipeline</t>
  </si>
  <si>
    <t>Eastern Shore Gas Pipeline</t>
  </si>
  <si>
    <t>Chesapeake Utilities [100.00%]</t>
  </si>
  <si>
    <t>Transcontinental Gas Pipeline Company, Columbia Gas Transmission Company</t>
  </si>
  <si>
    <t>MULTILINESTRING ((-76.037729 40.075414, -75.91714 39.959447, -75.757588 39.602515, -75.526468 39.158258, -75.604155 38.742243, -75.571346 38.556343, -75.576576 38.457411, -75.592808 38.36019), (-75.604155 38.742243, -75.772191 38.694096, -75.861288 38.635796, -76.079465 38.562713), (-75.861288 38.635796, -75.909308 38.712549, -76.074188 38.772199), (-75.578375 38.923749, -75.429508 38.909826, -75.310331 38.777334, -75.389349 38.689026, -75.291557 38.591379, -75.234363 38.51797, -75.192147 38.447453), (-75.833393 39.606741, -75.716625 39.607059, -75.589647 39.57836), (-75.716625 39.607059, -75.697974 39.787971), (-75.589647 39.57836, -75.634301 39.294355))</t>
  </si>
  <si>
    <t>P0184</t>
  </si>
  <si>
    <t>https://www.gem.wiki/El_Paso_Gas_Pipeline</t>
  </si>
  <si>
    <t>El Paso Gas Pipeline</t>
  </si>
  <si>
    <t>San Juan, Permian and Anadarko basins</t>
  </si>
  <si>
    <t>MULTILINESTRING ((-107.334814 37.242854, -108.227469 36.731695, -108.221981 36.197156), (-108.916856 37.172862, -108.227469 36.731695, -108.221981 36.197156, -109.06244 36.254767, -114.10517 35.211381, -114.1656 34.819985, -114.607805 34.835772), (-114.1656 34.819985, -113.256492 33.563702, -114.514432 33.641485), (-113.256492 33.563702, -112.668729 33.430863, -111.677218 32.807475, -110.968605 32.219195, -110.943891 31.334293), (-110.968605 32.219195, -109.944135 32.16109, -109.578845 31.346027), (-109.944135 32.16109, -106.425774 31.897981, -103.212279 32.10761, -100.740361 31.42576), (-103.212279 32.10761, -102.355362 32.904415, -101.80604 35.215922, -100.350357 35.238362), (-102.355362 32.904415, -108.221981 36.197156))</t>
  </si>
  <si>
    <t>P0185</t>
  </si>
  <si>
    <t>https://www.gem.wiki/AlaTenn_Gas_Pipeline</t>
  </si>
  <si>
    <t>AlaTenn Gas Pipeline</t>
  </si>
  <si>
    <t>Third Coast Midstream, LLC [100.00%]</t>
  </si>
  <si>
    <t>Mississippi, Alabama</t>
  </si>
  <si>
    <t>MULTILINESTRING ((-88.591914 35.169447, -88.444977 34.932238, -88.111273 34.759804, -87.797683 34.715294, -87.544998 34.76946, -86.99619 34.610411, -86.945378 34.442964), (-86.99619 34.610411, -86.90344 34.630071, -86.967303 34.798838), (-86.90344 34.630071, -86.597963 34.720539), (-88.444977 34.932238, -88.133308 35.074214))</t>
  </si>
  <si>
    <t>P0186</t>
  </si>
  <si>
    <t>https://www.gem.wiki/KPC_Gas_Pipeline</t>
  </si>
  <si>
    <t>KPC Gas Pipeline</t>
  </si>
  <si>
    <t>KPC Pipeline [100.00%]</t>
  </si>
  <si>
    <t>LINESTRING (-99.893885 36.709697, -97.339368 37.670798)</t>
  </si>
  <si>
    <t>P0187</t>
  </si>
  <si>
    <t>https://www.gem.wiki/Midla_Natchez_Pipeline</t>
  </si>
  <si>
    <t>Midla Natchez Pipeline</t>
  </si>
  <si>
    <t>Winnsboro</t>
  </si>
  <si>
    <t>Natchez</t>
  </si>
  <si>
    <t>LINESTRING (-91.735268 32.106658, -91.672943 32.038829, -91.668238 31.853156, -91.590879 31.818921, -91.59032 31.617217, -91.466498 31.545374, -91.420606 31.495091)</t>
  </si>
  <si>
    <t>P0188</t>
  </si>
  <si>
    <t>https://www.gem.wiki/UTOS_Gas_Pipeline</t>
  </si>
  <si>
    <t>UTOS Gas Pipeline</t>
  </si>
  <si>
    <t>Delfin LNG LLC [100.00%]</t>
  </si>
  <si>
    <t>Louisiana, Alabama</t>
  </si>
  <si>
    <t>LINESTRING (-93.424366 29.244313, -93.340601 29.797601)</t>
  </si>
  <si>
    <t>P0189</t>
  </si>
  <si>
    <t>https://www.gem.wiki/Fayetteville_Express_Gas_Pipeline</t>
  </si>
  <si>
    <t>Fayetteville Express Gas Pipeline</t>
  </si>
  <si>
    <t>ETP Legacy [unknown %]; Kinder Morgan [unknown %]</t>
  </si>
  <si>
    <t>Energy Transfer [unknown %]; Kinder Morgan [unknown %]</t>
  </si>
  <si>
    <t>Fayetteville Gas Field</t>
  </si>
  <si>
    <t>Conway County</t>
  </si>
  <si>
    <t>Panola County</t>
  </si>
  <si>
    <t>LINESTRING (-92.620088 35.354195, -91.437345 35.359989, -91.280074 35.334698, -91.053481 35.011404, -90.567069 34.440798, -90.183586 34.292539)</t>
  </si>
  <si>
    <t>P0190</t>
  </si>
  <si>
    <t>https://www.gem.wiki/Florida_Gas_Transmission_Pipeline</t>
  </si>
  <si>
    <t>Florida Gas Transmission Pipeline</t>
  </si>
  <si>
    <t>Florida Gas Transmission Company LLC [200.00%]</t>
  </si>
  <si>
    <t>Energy Transfer [50.00%]; Kinder Morgan [50.00%]</t>
  </si>
  <si>
    <t>Port Lavaca</t>
  </si>
  <si>
    <t>Miami</t>
  </si>
  <si>
    <t>MULTILINESTRING ((-96.624556 28.615196, -94.130665 30.023261, -89.785578 30.946342, -87.961853 31.153415, -81.843831 30.228476, -81.387904 28.519646, -80.811127 28.437567, -80.080542 26.787576, -80.204399 25.765077), (-80.811127 28.437567, -82.407163 27.955409, -82.740878 28.058473, -82.780017 27.963779), (-82.407163 27.955409, -82.337823 27.801126, -82.575408 27.500668), (-82.407163 27.955409, -81.869542 27.234804, -81.861308 26.644716), (-81.869542 27.234804, -80.080542 26.787576), (-82.407163 27.955409, -81.843831 30.228476))</t>
  </si>
  <si>
    <t>P0191</t>
  </si>
  <si>
    <t>https://www.gem.wiki/Foothills_System_Gas_Pipeline</t>
  </si>
  <si>
    <t>Foothills System Gas Pipeline</t>
  </si>
  <si>
    <t>Western Canadian Sedimentary Basin (WCSB)</t>
  </si>
  <si>
    <t>Monchy</t>
  </si>
  <si>
    <t>LINESTRING (-114.7406 52.093796, -114.026494 51.693789, -111.950084 50.931554, -110.027482 50.993833, -107.831939 49.017547)</t>
  </si>
  <si>
    <t>P0192</t>
  </si>
  <si>
    <t>https://www.gem.wiki/Garden_Banks_Gas_Pipeline</t>
  </si>
  <si>
    <t>Garden Banks Gas Pipeline</t>
  </si>
  <si>
    <t>Cardamom oil and gas field</t>
  </si>
  <si>
    <t>MULTILINESTRING ((-90.489062 29.701301, -90.780205 28.939791, -91.502561 28.812326), (-91.192203 29.691771, -91.648141 28.93019), (-91.414687 29.718022, -91.532795 29.14152, -91.865137 29.143924), (-91.81845 29.977701, -92.018956 29.167919, -91.63164 28.73287), (-92.032646 30.210551, -92.433652 29.165489))</t>
  </si>
  <si>
    <t>P0193</t>
  </si>
  <si>
    <t>https://www.gem.wiki/Gator_Express_Gas_Pipeline</t>
  </si>
  <si>
    <t>Gator Express Gas Pipeline</t>
  </si>
  <si>
    <t>Venture Global LNG [100.00%]</t>
  </si>
  <si>
    <t>Tennessee Gas Pipeline Company connections , Texas Eastern Transmission</t>
  </si>
  <si>
    <t>Plaquemines LNG project</t>
  </si>
  <si>
    <t>MULTILINESTRING ((-89.910913 29.6037, -89.927097 29.528991, -89.920066 29.47707, -89.938844 29.457576), (-89.909219 29.602961, -89.924707 29.52958, -89.917913 29.476646, -89.937936 29.456498, -89.879222 29.428892))</t>
  </si>
  <si>
    <t>P0194</t>
  </si>
  <si>
    <t>https://www.gem.wiki/Great_Lakes_Gas_Transmission_Pipeline</t>
  </si>
  <si>
    <t>Great Lakes Gas Transmission Pipeline</t>
  </si>
  <si>
    <t>Western Canada</t>
  </si>
  <si>
    <t>Minnesota, Wisconsin, Michigan, Eastern Canada</t>
  </si>
  <si>
    <t>MULTILINESTRING ((-97.20808631377847 49.005583979729074, -94.911268 47.50616, -93.664325 47.368688, -92.424766 46.664221, -88.416504 46.095089, -86.378546 45.908121, -85.469433 46.112236, -85.049211 46.037931, -84.722373 45.795262, -84.867735 43.834653, -82.488225 42.821418), (-84.722373 45.795262, -84.357083 46.512539))</t>
  </si>
  <si>
    <t>P0195</t>
  </si>
  <si>
    <t>https://www.gem.wiki/Guardian_Gas_Pipeline</t>
  </si>
  <si>
    <t>Guardian Gas Pipeline</t>
  </si>
  <si>
    <t>ONEOK Partners [100.00%]</t>
  </si>
  <si>
    <t>Ixonia</t>
  </si>
  <si>
    <t>LINESTRING (-88.117221 41.527325, -88.597425 43.144336)</t>
  </si>
  <si>
    <t>P0196</t>
  </si>
  <si>
    <t>https://www.gem.wiki/Gulf_Crossing_Pipeline</t>
  </si>
  <si>
    <t>Gulf Crossing Pipeline</t>
  </si>
  <si>
    <t>Boardwalk Pipeline Partners [100.00%]</t>
  </si>
  <si>
    <t>Barnett Shale, Texas; Caney/Woodford Shale, Oklahoma</t>
  </si>
  <si>
    <t>Perryville</t>
  </si>
  <si>
    <t>LINESTRING (-96.614579 33.637126, -95.794381 33.859506, -95.216231 33.474336, -92.00704 32.709574)</t>
  </si>
  <si>
    <t>P0197</t>
  </si>
  <si>
    <t>https://www.gem.wiki/Gulf_South_Gas_Pipeline</t>
  </si>
  <si>
    <t>Gulf South Gas Pipeline</t>
  </si>
  <si>
    <t>Louisiana, Alabama, Mississippi, Florida</t>
  </si>
  <si>
    <t>MULTILINESTRING ((-96.6346756 29.0485269, -95.8446096 29.5147567, -95.4772646 30.1723654, -94.5829576 32.1744186), (-95.4772646 30.1723654, -92.1429576 32.4946695, -91.8298906 29.9918115, -91.2339256 29.7035957, -91.1894086 30.4509053, -90.1045516 29.9833856, -89.9631456 29.6629307, -89.2751696 29.1881048, -89.2930856 29.1800489, -89.6144786 29.3837138, -90.7419936 29.6048837, -90.1062026 29.9708126), (-91.2339256 29.7035957, -91.7091276 29.1606268), (-91.1894086 30.4509053, -88.9382896 30.4272654, -88.0690396 30.6839222, -87.7395366 30.8020222), (-87.7395366 30.8020222, -87.4031236 30.6757603), (-87.7395366 30.8020222, -87.2644646 31.0118281), (-88.0690396 30.6839222, -88.6078866 30.9254772, -88.8908276 31.266538, -89.3316976 31.340496, -90.1941676 32.3066636, -90.8945896 32.3507945, -92.1091216 32.5115365), (-90.1947966 32.2959116, -90.4832306 31.242855, -91.2138646 30.4269144), (-92.1207946 32.5121155, -93.4666626 32.9880033, -94.0613406 32.4878615, -96.6871166 32.7747144), (-91.8362176 30.0045656, -93.4951966 30.5075573, -93.2875346 31.1820081), (-94.5829576 32.1744186, -92.1132416 32.5040085))</t>
  </si>
  <si>
    <t>P0198</t>
  </si>
  <si>
    <t>https://www.gem.wiki/Coastal_Bend_Header_Pipeline</t>
  </si>
  <si>
    <t>Coastal Bend Header Pipeline</t>
  </si>
  <si>
    <t>Wharton and Brazoria Counties</t>
  </si>
  <si>
    <t>LINESTRING (-95.989049 29.31994, -95.883694 29.250707, -95.725311 29.22604, -95.48723 29.129039, -95.398484 29.122209, -95.341632 29.0494)</t>
  </si>
  <si>
    <t>P0199</t>
  </si>
  <si>
    <t>https://www.gem.wiki/Gulfstream_Natural_Gas_Pipeline</t>
  </si>
  <si>
    <t>Gulfstream Natural Gas Pipeline</t>
  </si>
  <si>
    <t>Enbridge [50.00%]; Williams Companies [50.00%]</t>
  </si>
  <si>
    <t>Mobile County</t>
  </si>
  <si>
    <t>MULTILINESTRING ((-88.883977 30.421916, -88.855158 30.302256, -88.337433 30.312931, -88.287313 30.405956, -88.406103 30.153945, -83.20677 27.596469, -82.764576 27.598908, -82.60322 27.664004, -82.542114 27.778889, -82.576108 27.87757), (-82.542114 27.778889, -81.815757 27.656755, -81.841163 28.169465, -81.615944 28.257805), (-81.815757 27.656755, -81.510703 27.642883, -81.081543 27.382529, -80.824737 27.319101, -80.679168 27.155485, -80.492118 26.95447, -80.210593 26.683618))</t>
  </si>
  <si>
    <t>P0200</t>
  </si>
  <si>
    <t>https://www.gem.wiki/High_Island_Offshore_Gas_Pipeline_System</t>
  </si>
  <si>
    <t>High Island Offshore Gas Pipeline System</t>
  </si>
  <si>
    <t>Genesis Energy [100.00%]</t>
  </si>
  <si>
    <t>MULTILINESTRING ((-93.746523 29.416369, -93.912697 28.844173, -94.241401 28.696754), (-93.912697 28.844173, -93.94476 28.629265), (-93.912697 28.844173, -93.743418 28.834982))</t>
  </si>
  <si>
    <t>P0201</t>
  </si>
  <si>
    <t>https://www.gem.wiki/Horizon_Gas_Pipeline</t>
  </si>
  <si>
    <t>Horizon Gas Pipeline</t>
  </si>
  <si>
    <t>Kinder Morgan [unknown %]; Southern Company [unknown %]</t>
  </si>
  <si>
    <t>McHenry County</t>
  </si>
  <si>
    <t>LINESTRING (-88.107608 41.526811, -88.286091 42.456708)</t>
  </si>
  <si>
    <t>P0202</t>
  </si>
  <si>
    <t>https://www.gem.wiki/Horn_River_Gas_Pipeline</t>
  </si>
  <si>
    <t>Horn River Gas Pipeline</t>
  </si>
  <si>
    <t>Horn River play</t>
  </si>
  <si>
    <t>Horn River Basin</t>
  </si>
  <si>
    <t>B.C. coast</t>
  </si>
  <si>
    <t>LINESTRING (-122.705541 58.831376, -130.461893 54.579073)</t>
  </si>
  <si>
    <t>P0203</t>
  </si>
  <si>
    <t>https://www.gem.wiki/Houston_Gas_Pipeline_(HPL)_System</t>
  </si>
  <si>
    <t>Houston Gas Pipeline (HPL) System</t>
  </si>
  <si>
    <t>Multiple</t>
  </si>
  <si>
    <t>MULTILINESTRING ((-96.772354 33.632786, -95.344132 32.472563, -95.344132 29.859566, -97.442526 27.790358, -98.285743 26.943988), (-97.442526 27.790358, -98.582368 29.394019), (-98.582368 29.394019, -95.362889 29.754904), (-98.582368 29.394019, -99.460794 27.80028), (-98.582368 29.394019, -97.747957 30.295604), (-95.344132 29.859566, -96.023109 30.532471, -97.747957 30.295604))</t>
  </si>
  <si>
    <t>P0204</t>
  </si>
  <si>
    <t>https://www.gem.wiki/Independence_Trail_Natural_Gas_Pipeline</t>
  </si>
  <si>
    <t>Independence Trail Natural Gas Pipeline</t>
  </si>
  <si>
    <t>West Delta Block 68</t>
  </si>
  <si>
    <t>Mississippi Canyon Block 920</t>
  </si>
  <si>
    <t>LINESTRING (-89.786071 28.888329, -88.572087 28.004469)</t>
  </si>
  <si>
    <t>P0205</t>
  </si>
  <si>
    <t>https://www.gem.wiki/Iroquois_Gas_Pipeline</t>
  </si>
  <si>
    <t>Iroquois Gas Pipeline</t>
  </si>
  <si>
    <t>Iroquois Pipeline Co [200.00%]</t>
  </si>
  <si>
    <t>Dominion Energy [50.00%]; TC Energy [50.00%]</t>
  </si>
  <si>
    <t>Canadian Mainline</t>
  </si>
  <si>
    <t>Waddington</t>
  </si>
  <si>
    <t>Bronx</t>
  </si>
  <si>
    <t>LINESTRING (-75.204424 44.864747, -75.281334 43.45404, -74.852873 43.029878, -73.534524 41.402706, -73.022292 41.277951, -73.206318 40.903283, -73.865656 40.848782)</t>
  </si>
  <si>
    <t>P0207</t>
  </si>
  <si>
    <t>https://www.gem.wiki/Kern_River_Gas_Pipeline</t>
  </si>
  <si>
    <t>Kern River Gas Pipeline</t>
  </si>
  <si>
    <t>Kern River Gas Transmission Company [100.00%]</t>
  </si>
  <si>
    <t>Berkshire Hathaway [100.00%]</t>
  </si>
  <si>
    <t>Opal</t>
  </si>
  <si>
    <t>Daggett</t>
  </si>
  <si>
    <t>MULTILINESTRING ((-110.324592 41.769957, -110.967073 41.270134, -111.943842 40.766123, -111.943842 40.766123, -113.586381 37.107525, -115.150604 36.277992, -115.395055 35.693502, -117.059489 34.881942, -118.794887 35.322893, -118.842271 35.416403, -119.011878 35.474024), (-118.794887 35.322893, -119.051709 35.244434, -119.275561 35.353157))</t>
  </si>
  <si>
    <t>P0208</t>
  </si>
  <si>
    <t>https://www.gem.wiki/Tallgrass_Interstate_Gas_Transmission</t>
  </si>
  <si>
    <t>Tallgrass Interstate Gas Transmission</t>
  </si>
  <si>
    <t>Tallgrass Energy [100.00%]</t>
  </si>
  <si>
    <t>Missouri, Nebraska</t>
  </si>
  <si>
    <t>MULTILINESTRING ((-94.555309 38.597903, -94.559755 38.736749, -94.533081 38.761019, -94.528635 38.82339, -94.515298 38.844169, -94.430829 38.854556, -94.408601 38.94797), (-98.972112 38.329868, -99.016569 38.361248, -99.021014 38.486633, -99.083254 38.580528, -99.114374 38.643057, -99.127711 38.722876, -99.207734 38.816463, -99.216625 38.837243, -99.212179 39.034354, -99.283311 39.127531, -99.287756 39.179243, -99.278865 39.409758), (-99.283311 39.23436, -99.109928 39.23436, -99.052134 39.217141, -98.985449 39.17235), (-99.929048 38.456177, -99.622295 38.459659, -99.36889 38.473582, -99.01768 38.470101), (-99.271085 38.806937, -99.199954 38.810401), (-99.680089 38.417872, -99.680089 38.456177), (-99.551164 38.602246, -99.546718 38.46314), (-99.271085 38.470101, -99.275531 38.431804), (-97.750656 38.051211, -97.741764 37.875961), (-101.811802 38.149168, -100.740389 38.577922, -99.909043 38.979944, -99.41557 39.328133, -99.411124 39.427789, -99.291091 39.749834, -99.291091 40.004859, -99.259971 40.008265, -99.259971 40.028693, -99.268862 40.076334, -99.299982 40.103543, -99.295536 40.320823, -99.35333 40.493468, -99.366667 40.534027, -99.362222 40.706125, -99.148828 40.706125, -99.153274 41.142799, -99.162165 41.172924, -99.54005 41.3734, -99.633409 41.403418), (-99.682312 40.810517, -99.682312 40.672415), (-99.148828 40.709495, -99.055468 40.662299), (-99.52449 39.251576, -99.8757 39.368528), (-99.697872 39.375401, -99.653415 39.292875, -99.533381 39.323834), (-99.284422 39.687427, -99.11104 39.677162, -99.071028 39.663474, -98.857635 39.653207, -98.804286 39.622394), (-99.288868 39.755816, -99.026571 39.766068, -99.008789 39.796816), (-99.311096 39.690848, -99.568947 39.694269, -99.715655 39.786568, -99.764558 39.800232, -99.809015 39.813893, -99.84458 39.830965, -99.933494 39.817308, -100.124659 39.817308, -100.200236 39.854859), (-99.804569 39.813893, -99.800123 39.868509), (-99.711209 39.783152, -99.702318 39.885568, -99.49337 39.95376), (-99.297759 40.110344, -99.466696 40.130741, -99.511153 40.171518, -99.55561 40.21906, -99.648969 40.266568), (-98.278582 40.986936, -98.131874 41.171251, -98.065189 41.358385, -98.07408 42.088359, -98.238571 42.157605, -98.354159 42.226775, -98.54977 42.364887, -98.656467 42.460074, -98.754272 42.466633, -98.843186 42.463354, -98.896535 42.512529), (-98.07408 42.08506, -97.820675 42.299157, -97.794001 42.309021, -97.749544 42.29258, -97.576162 42.18067), (-98.065189 41.707817, -97.856241 41.810621, -97.66063 41.903335, -97.478357 41.986002, -97.398334 41.995914, -97.016004 41.995914, -96.962655 41.95956), (-97.59839 41.9298, -97.651739 41.969477, -97.678413 42.002522, -97.905144 42.045455), (-97.59839 41.9298, -97.536151 41.810621, -97.536151 41.671298), (-98.274137 40.987775, -98.149657 41.024678, -98.016286 41.12522), (-98.411953 40.765918, -98.154103 40.772652, -98.04296 40.846679, -97.985166 40.850042, -97.825121 40.86013, -97.647293 40.856767, -97.638402 40.927342), (-98.389725 40.647965, -98.29192 40.55683), (-98.389725 40.647965, -98.194114 40.698542, -98.145211 40.701912, -98.122983 40.688429, -97.651739 40.058473, -97.647293 40.004008, -97.794001 39.997197), (-98.07408 40.506146, -98.029623 40.560207, -97.767327 40.580469, -97.713979 40.610851, -97.438345 40.634471), (-97.874024 40.624349, -97.874024 40.573716), (-97.767327 40.580469, -97.611728 40.550074, -97.389443 40.458806), (-97.611728 40.550074, -97.611728 40.6176), (-101.157173 37.43601, -101.166064 37.946111, -101.166064 38.044209, -100.961562 38.490982, -100.970454 38.518814, -100.970454 38.675169, -100.894877 38.845034, -100.894877 39.107698, -100.890431 39.341887, -100.885985 39.575293, -100.859311 39.616401, -100.868203 39.770339, -100.143553 40.259783, -100.001291 40.324212, -99.934606 40.344546, -99.801235 40.351322, -99.338882 40.456269, -99.063248 40.486706, -98.867638 40.52051, -98.387502 40.645435), (-101.157173 37.548885, -101.103825 37.548885), (-101.219413 37.900521, -101.161619 37.92858, -101.054922 37.935593), (-100.961562 38.490982, -100.974899 38.082711, -101.068259 37.974153), (-101.054922 38.27492, -100.970454 38.27492), (-100.962674 38.486633, -101.082708 38.490112, -101.385015 38.490112, -101.571734 38.469231, -101.7629 38.462269, -101.749562 38.691653, -101.776237 38.722876, -101.767345 38.878786, -101.722888 38.906467), (-101.078262 39.065427, -100.895988 39.065427, -100.824857 39.155116), (-100.891542 39.065427, -100.829303 39.093036, -100.784846 39.106836, -100.615909 39.110286, -100.580343 39.13098, -100.331384 39.117184, -100.095762 39.017086), (-100.095762 39.013632, -100.091317 38.892628), (-100.887097 39.330712, -100.451418 39.33415, -100.402515 39.371965), (-100.700377 39.330712, -100.700377 39.371965), (-100.522549 39.533304, -100.620355 39.533304, -100.744834 39.45783, -100.887097 39.444098), (-100.887097 39.392582, -100.989348 39.389146, -101.011576 39.399453, -101.051588 39.354779, -101.673986 39.358216, -101.825139 39.670319, -101.820694 39.755816, -101.718443 39.766068, -100.864868 39.762651), (-101.522832 39.354779, -101.518386 39.313516), (-101.500603 39.728468, -101.496158 39.762651), (-101.011576 39.820722, -101.011576 39.762651), (-101.345004 39.766068, -101.34945 39.800232), (-101.189404 39.762651, -101.19385 39.796816), (-101.825139 39.673741, -101.936282 39.677162), (-101.818471 39.748125, -101.862928 39.748125, -101.862928 39.799378, -102.03631 39.795962, -102.196355 39.925639, -102.338618 39.925639, -102.467543 39.983572, -102.485326 40.095892, -102.560903 40.116294, -102.707611 40.119693, -102.783188 40.167272, -102.86321 40.174066, -103.165518 40.174066, -103.165518 40.475717, -103.201083 40.543318, -103.147735 40.732238, -103.085495 40.74908, -102.996581 40.74908, -102.907667 40.779385, -102.903222 41.058209, -102.961016 41.111824, -102.92545 41.182126, -103.023255 41.172087, -103.223312 41.128569, -103.530065 41.071617, -103.681219 41.051505, -103.823481 41.031386, -103.983527 40.99113, -104.205812 40.977706, -104.677056 40.954208, -104.699284 40.930701, -104.725958 40.347087), (-102.445314 39.969945, -102.445314 39.912), (-102.196355 39.925639, -102.196355 39.983572, -102.209692 39.993791, -102.209692 40.065278, -102.343063 40.061875, -102.41864 40.072082, -102.48088 40.092491), (-102.343063 40.058473, -102.343063 40.000602), (-102.921004 40.170669, -102.921004 40.133291), (-103.165518 40.177463, -103.258878 40.177463), (-103.178855 40.607476, -103.063267 40.607476), (-103.174409 40.634471, -103.267769 40.661456, -103.303335 40.685058, -103.294443 40.712022, -103.143289 40.728869), (-103.912395 40.374187, -103.965744 40.326754, -103.87683 40.306416, -103.885721 40.245363, -103.925732 40.194444), (-102.552011 40.112894, -102.54312 40.174066, -102.494217 40.258935, -102.41864 40.299635, -102.414195 40.380961, -102.374183 40.458806, -102.303052 40.523045, -102.267486 40.539939, -102.267486 40.570339, -102.316389 40.587222, -102.529783 40.624349, -102.654262 40.651338, -102.778742 40.658083, -102.916559 40.651338, -102.921004 40.772652), (-102.512 40.221606, -102.609805 40.225), (-102.769851 40.658083, -102.774296 40.698542), (-102.102996 41.07832, -102.174127 41.07832, -102.552011 41.081671, -102.640925 41.044799, -102.898776 41.044799), (-102.778742 41.044799, -102.792079 41.101774, -102.827645 41.152005, -102.92545 41.17878, -102.912113 41.228952, -102.907667 41.309147, -102.903222 41.399249, -102.929896 41.505876), (-103.009918 41.115173, -102.95657 41.115173), (-99.957946 40.846679, -99.971283 40.786117, -99.980174 40.695171, -100.055751 40.614226, -100.095762 40.543318, -100.100208 40.465571, -100.122436 40.435123, -100.126882 40.269112), (-97.457239 41.98848, -97.448348 42.057834), (-98.368608 40.892064, -98.288585 40.915585), (-99.544495 39.693413, -99.553387 39.648928), (-99.397787 39.689992, -99.411124 39.652351), (-100.633692 39.925639, -100.478092 39.782298), (-98.793172 40.536561, -98.793172 40.593974), (-97.869578 41.803993, -97.709533 41.667977), (-100.961562 38.487503, -100.877094 38.473582, -100.441415 38.473582), (-97.279411 41.995088, -97.283857 41.928973), (-104.98492 42.503516, -104.904898 42.431369, -104.744853 42.319705, -104.487002 42.221013, -104.149129 42.115572, -103.944627 42.016561, -103.704559 41.943855, -102.966573 41.672128, -102.957681 41.519192, -102.495329 41.299128, -102.353066 41.225608, -102.104107 41.07832, -101.93517 41.091723, -101.748451 41.111824, -101.623971 41.131918, -101.359452 41.12522, -101.212744 41.128569, -101.030471 41.162047, -100.745946 41.162047, -100.563672 41.108474, -100.363616 41.031386, -100.181342 40.937418, -99.967948 40.850042, -99.711209 40.81304, -99.551164 40.806311, -99.364445 40.809676, -99.168834 40.809676, -99.039909 40.829862, -98.804286 40.893744, -98.60423 40.947492, -98.546436 40.960922, -98.430848 40.957565, -98.364162 40.994486, -98.275248 40.987775, -98.301922 40.853405, -98.408619 40.614226, -98.524207 40.502765, -98.719818 40.309806, -99.293313 39.758379, -99.279976 39.402888, -99.097703 39.306636, -98.670915 39.168904, -98.493087 39.151668, -98.106312 39.048166, -97.741764 39.034354, -97.463908 39.003268, -97.1616 38.954884, -97.041567 38.934138, -96.992664 38.899548, -96.832619 38.889168, -96.71703 38.847631, -96.259123 38.781816, -96.080184 38.757552, -95.875682 38.729813, -95.680071 38.71247, -95.444449 38.695123, -95.199935 38.677772, -94.968759 38.653474, -94.879845 38.63264, -94.36859 38.629167))</t>
  </si>
  <si>
    <t>P0209</t>
  </si>
  <si>
    <t>https://www.gem.wiki/Leach_XPress_Gas_Pipeline</t>
  </si>
  <si>
    <t>Leach XPress Gas Pipeline</t>
  </si>
  <si>
    <t>Marcellus, Utica</t>
  </si>
  <si>
    <t>MULTILINESTRING ((-82.545251 39.635556, -82.52747 39.628409), (-82.535161 39.242053, -82.505382 39.452622, -82.50839 39.530783, -82.531486 39.583094, -82.526752 39.627348, -82.480174 39.627061, -82.29758 39.680684, -82.21175 39.678802, -82.00432 39.715872, -81.877939 39.714585, -81.80557 39.791267, -81.622553 39.796509, -81.553895 39.767746, -81.470281 39.799721, -81.330217 39.785496, -81.249313 39.80342, -80.907118 39.823531, -80.797942 39.785936, -80.760119 39.798915, -80.756716 39.82424, -80.7277 39.85044, -80.582957 39.876053, -80.516985 39.939774, -80.519628 39.959641))</t>
  </si>
  <si>
    <t>P0210</t>
  </si>
  <si>
    <t>https://www.gem.wiki/Louisiana_Intrastate_Gas_(LIG)_Pipeline</t>
  </si>
  <si>
    <t>Louisiana Intrastate Gas (LIG) Pipeline</t>
  </si>
  <si>
    <t>Haynesville Shale</t>
  </si>
  <si>
    <t>MULTILINESTRING ((-93.417851 32.819154, -92.654306 31.933076), (-92.654306 31.933076, -92.102248 32.520909), (-92.654306 31.933076, -92.463123 31.299604, -93.039916 30.512521), (-92.463123 31.299604, -91.913817 30.318296, -90.524052 29.761935), (-91.913817 30.318296, -91.694101 30.970491))</t>
  </si>
  <si>
    <t>P0211</t>
  </si>
  <si>
    <t>https://www.gem.wiki/Mackenzie_Gas_Pipeline_Project</t>
  </si>
  <si>
    <t>Mackenzie Gas Pipeline Project</t>
  </si>
  <si>
    <t>ExxonMobil [39.60%]; The Aboriginal Pipeline Group [33.30%]; ConocoPhillips [15.70%]; Shell [11.40%]</t>
  </si>
  <si>
    <t>Taglu, Parsons Lake and Niglintgak</t>
  </si>
  <si>
    <t>Mackenzie Valley</t>
  </si>
  <si>
    <t>Northwest Territories</t>
  </si>
  <si>
    <t>LINESTRING (-134.930595 69.392678, -133.716611 68.361525, -128.618182 66.257612, -126.760553 65.28068, -125.567042 64.904472, -123.453928 63.220966, -121.35438 61.864639, -119.739395 60.01348)</t>
  </si>
  <si>
    <t>P0212</t>
  </si>
  <si>
    <t>https://www.gem.wiki/Maritimes_and_Northeast_Gas_Pipeline</t>
  </si>
  <si>
    <t>Maritimes and Northeast Gas Pipeline</t>
  </si>
  <si>
    <t>Emera [unknown %]; Enbridge [unknown %]; ExxonMobil [unknown %]</t>
  </si>
  <si>
    <t>Goldboro</t>
  </si>
  <si>
    <t>Dracut</t>
  </si>
  <si>
    <t>MULTILINESTRING ((-70.872269 42.534626, -71.024513 42.589227, -71.061661 42.705576, -71.108164 42.752193, -71.14674 42.755643), (-71.22406 42.690851, -71.157656 42.720276, -71.153077 42.74728, -71.110455 42.793007, -71.044534 42.807183, -70.98159 42.924585, -70.962214 42.99775, -70.916806 42.997328, -70.820097 43.035519, -70.794389 43.150109, -70.804608 43.191426, -70.736982 43.296861, -70.656733 43.347433, -70.614755 43.431582, -70.576752 43.437261, -70.516907 43.539139, -70.517173 43.579643, -70.477288 43.609035, -70.25437 43.899507, -70.19778 44.029333, -70.067641 44.085704, -69.930409 44.086827, -69.709961 44.205424, -69.607853 44.289954, -69.593406 44.320828, -69.431317 44.333262, -69.316546 44.370463, -69.277159 44.416721, -69.229579 44.427419, -69.087637 44.565422, -68.982403 44.63255, -68.950272 44.636801, -68.882909 44.690361, -68.817415 44.693966, -68.796391 44.765465, -68.645032 44.940506, -68.608851 44.949197, -68.577016 44.993848, -68.199891 44.975491, -68.123086 44.986351, -68.081361 45.026096, -67.905986 45.031955, -67.867448 45.058124, -67.68745 45.099081, -67.653311 45.142133, -67.585258 45.186538, -67.51874 45.192894, -67.419191 45.332779, -67.307976 45.380679, -67.176286 45.391926, -67.023484 45.456323, -66.786012 45.668061, -66.704415 45.771109, -66.466022 45.948773, -66.446854 46.02833, -65.976784 46.183099, -65.779513 46.193433, -65.627339 46.140441, -65.369475 46.096171, -65.246352 46.095161, -64.9338 46.146426, -64.825608 46.14747, -64.747917 46.132113, -64.677405 46.097101, -64.544986 46.073016, -64.406564 45.974334, -64.195328 45.884024, -63.988521 45.766335, -63.922548 45.72175, -63.840597 45.621931, -63.766993 45.608071, -63.645593 45.55421, -63.598101 45.562522, -63.487345 45.5322, -63.337261 45.520337, -63.058243 45.454158, -62.94668 45.367205, -62.93755 45.323336, -62.908527 45.285672, -62.859008 45.249363, -62.79601 45.236589, -62.734214 45.179832, -62.613874 45.175574, -62.424974 45.093841, -62.241158 45.0886, -61.930945 45.026705, -61.841674 44.965919))</t>
  </si>
  <si>
    <t>P0213</t>
  </si>
  <si>
    <t>https://www.gem.wiki/Midcontinent_Express_Gas_Pipeline</t>
  </si>
  <si>
    <t>Midcontinent Express Gas Pipeline</t>
  </si>
  <si>
    <t>ETP Legacy [50.00%]; Kinder Morgan [50.00%]</t>
  </si>
  <si>
    <t>36, 42</t>
  </si>
  <si>
    <t>Bennington</t>
  </si>
  <si>
    <t>LINESTRING (-96.038237 34.004507, -95.521885 33.392117, -89.180849 31.756894, -88.221005 32.089742)</t>
  </si>
  <si>
    <t>P0214</t>
  </si>
  <si>
    <t>https://www.gem.wiki/Midwestern_Gas_Transmission</t>
  </si>
  <si>
    <t>Midwestern Gas Transmission</t>
  </si>
  <si>
    <t>OneOK Inc. [100.00%]</t>
  </si>
  <si>
    <t>OneOK Inc. [unknown %]</t>
  </si>
  <si>
    <t>LINESTRING (-86.515814 36.581599, -88.108981 41.522184)</t>
  </si>
  <si>
    <t>P0215</t>
  </si>
  <si>
    <t>United States, Mexico</t>
  </si>
  <si>
    <t>https://www.gem.wiki/Mier_Monterrey_Gas_Pipeline</t>
  </si>
  <si>
    <t>Mier Monterrey Gas Pipeline</t>
  </si>
  <si>
    <t>Starr County</t>
  </si>
  <si>
    <t>Monterrey</t>
  </si>
  <si>
    <t>Gasoducto Mier–Monterrey</t>
  </si>
  <si>
    <t>https://www.gem.wiki/Gasoducto_Mier%E2%80%93Monterrey</t>
  </si>
  <si>
    <t>LINESTRING (-99.114672 26.511486, -99.161264 26.443362, -99.213264 26.402299, -99.221461 26.388023, -99.235494 26.379374, -99.297498 26.342847, -99.389683 26.285813, -99.462555 26.236232, -99.513152 26.177345, -99.561324 26.127103, -99.604771 26.075523, -99.63965 26.024962, -99.724817 25.917734, -99.765696 25.905565, -99.807511 25.891699, -99.847655 25.878781, -99.874324 25.852452, -99.890641 25.837924, -99.907914 25.822445, -99.971935 25.766431, -99.96952 25.727642, -100.0963 25.7189)</t>
  </si>
  <si>
    <t>P0216</t>
  </si>
  <si>
    <t>https://www.gem.wiki/Millennium_Gas_Pipeline</t>
  </si>
  <si>
    <t>Millennium Gas Pipeline</t>
  </si>
  <si>
    <t>Millennium Pipeline [100.00%]</t>
  </si>
  <si>
    <t>Lake Erie</t>
  </si>
  <si>
    <t>LINESTRING (-77.648324 42.135514, -77.055011 42.142635, -75.426293 42.04685, -75.223051 41.912097, -75.11594 41.869164, -75.058954 41.809315, -74.170277 41.140275)</t>
  </si>
  <si>
    <t>P0217</t>
  </si>
  <si>
    <t>https://www.gem.wiki/Mississippi_Canyon_Gas_Pipeline</t>
  </si>
  <si>
    <t>Mississippi Canyon Gas Pipeline</t>
  </si>
  <si>
    <t>Mississippi Canyon</t>
  </si>
  <si>
    <t>LINESTRING (-89.35469 29.277538, -89.4213 29.20145, -89.549021 29.157091, -89.586105 28.809921, -89.488607 28.697958)</t>
  </si>
  <si>
    <t>P0219</t>
  </si>
  <si>
    <t>https://www.gem.wiki/Mojave_Gas_Pipeline</t>
  </si>
  <si>
    <t>Mojave Gas Pipeline</t>
  </si>
  <si>
    <t>Topock</t>
  </si>
  <si>
    <t>Kern County</t>
  </si>
  <si>
    <t>MULTILINESTRING ((-114.491335 34.771602, -114.694587 34.884336, -115.092847 34.809956, -115.503466 34.562659, -115.791862 34.564925, -115.993741 34.615804, -116.119402 34.721414, -116.887724 34.864121, -118.837802 35.31809, -118.917458 35.486001, -119.146803 35.643519), (-118.837802 35.31809, -118.880379 35.220548, -119.115217 35.21943, -119.413226 35.406577))</t>
  </si>
  <si>
    <t>P0220</t>
  </si>
  <si>
    <t>https://www.gem.wiki/Mountain_Valley_Gas_Pipeline_(MVP)</t>
  </si>
  <si>
    <t>Mountain Valley Gas Pipeline (MVP)</t>
  </si>
  <si>
    <t>Mountain Valley Pipeline LLC [500.00%]</t>
  </si>
  <si>
    <t>Equitrans Midstream Corporation [45.50%]; NextEra Energy [31.00%]; Con Edison [12.50%]; AltaGas Ltd [10.00%]; RGC Midstream [1.00%]</t>
  </si>
  <si>
    <t>Shelved</t>
  </si>
  <si>
    <t>Marcellus and Utica shale fields</t>
  </si>
  <si>
    <t>Wetzel County</t>
  </si>
  <si>
    <t>Pittsylvania County</t>
  </si>
  <si>
    <t>LINESTRING (-79.342894 36.831597, -79.436362 36.893049, -79.597816 36.965333, -79.722562 36.989479, -79.840708 37.062272, -79.876795 37.066169, -79.908308 37.049114, -79.954258 37.090298, -80.011021 37.085311, -80.067629 37.123348, -80.133046 37.128536, -80.140976 37.179144, -80.196784 37.212518, -80.196219 37.238394, -80.212939 37.252401, -80.297823 37.258443, -80.352759 37.296014, -80.390915 37.294374, -80.41915 37.329945, -80.486608 37.295902, -80.690636 37.364497, -80.676823 37.381128, -80.694115 37.429988, -80.663731 37.453217, -80.719098 37.539812, -80.687133 37.63456, -80.757297 37.716009, -80.74844 37.752792, -80.719048 37.782311, -80.746459 37.806505, -80.757833 37.860984, -80.729926 37.912946, -80.747094 37.933536, -80.73292 37.964253, -80.762068 37.999033, -80.7119 38.079271, -80.736867 38.118803, -80.739235 38.158553, -80.716155 38.226131, -80.68863 38.25214, -80.671639 38.330653, -80.613795 38.364823, -80.606636 38.39268, -80.543913 38.451391, -80.562112 38.505635, -80.476049 38.672443, -80.534691 38.794808, -80.51795 38.851096, -80.579296 38.920469, -80.588737 38.941468, -80.576958 38.954908, -80.600449 38.978434, -80.579327 39.062003, -80.591216 39.104996, -80.576317 39.140652, -80.592124 39.161268, -80.552704 39.193682, -80.556417 39.240549, -80.514063 39.28835, -80.534225 39.313298, -80.485583 39.367175, -80.468403 39.426232, -80.537156 39.51058, -80.543021 39.562569)</t>
  </si>
  <si>
    <t>P0221</t>
  </si>
  <si>
    <t>https://www.gem.wiki/Mountaineer_XPress_Gas_Pipeline</t>
  </si>
  <si>
    <t>Mountaineer XPress Gas Pipeline</t>
  </si>
  <si>
    <t>MULTILINESTRING ((-80.745877 39.827866, -80.716811 39.827382, -80.706154 39.825929, -80.701309 39.820116, -80.696949 39.81188, -80.695981 39.795894, -80.694527 39.790081, -80.690167 39.785237, -80.68823 39.780392, -80.689683 39.776517, -80.693558 39.772642, -80.693074 39.767797, -80.687745 39.761015, -80.68387 39.757624, -80.680479 39.753749, -80.678541 39.747936, -80.677088 39.740669, -80.677088 39.733887, -80.678541 39.726137, -80.67951 39.719839, -80.680479 39.712573, -80.679994 39.694164, -80.679994 39.676241, -80.678541 39.660254, -80.677572 39.653957, -80.676119 39.650081, -80.674666 39.645722, -80.67515 39.641362, -80.676119 39.635064, -80.679994 39.623438, -80.684839 39.614234, -80.686292 39.607936, -80.687261 39.603092, -80.687261 39.598248, -80.687261 39.593888, -80.690652 39.590981, -80.694043 39.588075, -80.698887 39.585653, -80.707122 39.580324, -80.70906 39.573542, -80.708576 39.565791, -80.7047 39.5624, -80.697434 39.558525, -80.693074 39.555134, -80.689683 39.547867, -80.68387 39.529459, -80.681448 39.513957, -80.675635 39.506206, -80.674181 39.498456, -80.67515 39.486829, -80.678057 39.481016, -80.682901 39.47375, -80.690652 39.465514, -80.696465 39.459701, -80.697434 39.45631, -80.694043 39.450497, -80.690167 39.448559, -80.685808 39.441777, -80.685323 39.438386, -80.685808 39.431604, -80.685323 39.424823, -80.68387 39.419009, -80.680963 39.411743, -80.678541 39.407868, -80.679026 39.403508, -80.681932 39.399148, -80.685808 39.395757, -80.688714 39.390913, -80.689683 39.387037, -80.688714 39.385099, -80.686292 39.382193, -80.68387 39.377349, -80.683385 39.373958, -80.683385 39.371051, -80.685323 39.367176, -80.687745 39.362331, -80.690167 39.356518, -80.690167 39.349252, -80.690652 39.325999, -80.69259 39.306622, -80.695012 39.300325, -80.699372 39.294027, -80.703731 39.290636, -80.708091 39.285792, -80.712936 39.276588, -80.719233 39.266415, -80.721171 39.260601, -80.743454 39.250429, -80.755081 39.242678, -80.766223 39.235411, -80.773005 39.231536, -80.775427 39.226207, -80.778818 39.220878, -80.784146 39.217487, -80.788991 39.216034, -80.798679 39.213128, -80.807883 39.212159, -80.814665 39.208768, -80.824838 39.20247, -80.832589 39.196173, -80.836949 39.191328, -80.8447 39.185031, -80.852451 39.182609, -80.858264 39.179702, -80.86553 39.174858, -80.879094 39.163716, -80.894111 39.154027, -80.905253 39.146277, -80.914457 39.142886, -80.923662 39.140948, -80.93335 39.140463, -80.941101 39.139979, -80.949821 39.138526, -80.956118 39.135619, -80.965807 39.128353, -80.986637 39.114304, -81.000686 39.107038, -81.011827 39.102194, -81.019094 39.101225, -81.022 39.100256, -81.025391 39.098803, -81.036533 39.08863, -81.047191 39.082817, -81.057364 39.081848, -81.066568 39.079426, -81.071412 39.072644, -81.078678 39.066346, -81.08546 39.061986, -81.096118 39.055689, -81.105322 39.050844, -81.115011 39.045031, -81.124215 39.041156, -81.134872 39.039218, -81.139232 39.039218, -81.149405 39.032436, -81.156187 39.025654, -81.162484 39.019841, -81.171689 39.012574, -81.176048 39.009668, -81.183799 39.008215, -81.190097 39.005308, -81.197848 39.001433, -81.208021 38.996588, -81.222069 38.993197, -81.232726 38.989806, -81.248713 38.988353, -81.264699 38.985447, -81.281654 38.981087, -81.289405 38.980602, -81.29328 38.978665, -81.299093 38.974305, -81.305875 38.964616, -81.315564 38.956865, -81.327674 38.95299, -81.338816 38.943786, -81.34802 38.939426, -81.359162 38.933128, -81.367397 38.928768, -81.375633 38.921502, -81.380961 38.917142, -81.387743 38.910845, -81.394525 38.906485, -81.401792 38.903094, -81.406636 38.901156, -81.411965 38.899703, -81.41584 38.894859, -81.422622 38.88517, -81.426982 38.878872, -81.430857 38.874997, -81.436186 38.873544, -81.45847 38.871606, -81.477847 38.868215, -81.481238 38.866277, -81.488989 38.860949, -81.500131 38.857558, -81.507881 38.852229, -81.516601 38.8469, -81.524836 38.842056, -81.541791 38.830914, -81.549058 38.822679, -81.551964 38.819772, -81.55584 38.817835, -81.562137 38.816381, -81.564075 38.814928, -81.566497 38.811537, -81.570857 38.809115, -81.575701 38.807177, -81.580061 38.805724, -81.584905 38.80088, -81.586843 38.793613, -81.586843 38.77908, -81.58975 38.773752, -81.59411 38.771329, -81.609611 38.768907, -81.630926 38.768907, -81.636255 38.767454, -81.641584 38.763579, -81.647397 38.757765, -81.668711 38.736935, -81.677431 38.73306, -81.690026 38.730638, -81.696808 38.7287, -81.704559 38.724824, -81.710372 38.719496, -81.716185 38.712714, -81.721514 38.706416, -81.730234 38.703025, -81.736047 38.701087, -81.748642 38.695274, -81.758815 38.688492, -81.768988 38.679773, -81.778192 38.671537, -81.786427 38.665724, -81.792241 38.664271, -81.803382 38.662818, -81.814524 38.659911, -81.820822 38.653129, -81.827604 38.644894, -81.831964 38.636659, -81.833901 38.630845, -81.837777 38.626486, -81.845043 38.623095, -81.85231 38.620672, -81.866358 38.614375, -81.878953 38.609046, -81.890579 38.600811, -81.905597 38.589185, -81.918676 38.57998, -81.927396 38.571745, -81.931756 38.566417, -81.935147 38.564963, -81.944835 38.563026, -81.958884 38.561572, -81.969057 38.55915, -81.975839 38.555275, -81.986496 38.549462, -81.995216 38.547524, -82.002482 38.546071, -82.009264 38.540742, -82.015562 38.534929, -82.018468 38.529116, -82.022344 38.518943, -82.025735 38.512161, -82.032032 38.506347, -82.039783 38.497628, -82.047534 38.490361, -82.048461 38.482291, -82.050159 38.47847, -82.055678 38.477621, -82.062047 38.475923, -82.066716 38.472527, -82.068415 38.467857, -82.070537 38.460639, -82.070962 38.452573, -82.072235 38.449601, -82.075207 38.44663, -82.082849 38.443658, -82.089217 38.438139, -82.095585 38.432195, -82.104076 38.424554, -82.10917 38.41861, -82.114265 38.411393, -82.116387 38.408846, -82.120633 38.407572, -82.129548 38.406299, -82.150775 38.405874), (-80.721171 39.260601, -80.706584 39.249436, -80.697899 39.239172, -80.692372 39.230092, -80.684871 39.218643, -80.679344 39.209958, -80.67737 39.207589))</t>
  </si>
  <si>
    <t>P0222</t>
  </si>
  <si>
    <t>https://www.gem.wiki/Natural_Gas_Pipeline_Company_of_America</t>
  </si>
  <si>
    <t>Natural Gas Pipeline Company of America</t>
  </si>
  <si>
    <t>Texas Permian Basin, Gulf of Mexico</t>
  </si>
  <si>
    <t>MULTILINESTRING ((-103.312485 31.794433, -103.466299 33.661217, -101.609615 36.067705, -101.269044 36.519308, -100.214367 37.81496, -91.95382 41.36394, -90.415744 41.577979, -88.1148356 41.0482935, -88.180032 42.495922, -89.488138 42.49034, -90.415744 41.577979), (-103.466299 33.661217, -104.488033 33.816533, -104.696779 33.78915, -104.94947 33.450656), (-88.1148356 41.0482935, -88.4243825 39.5818722, -88.9737921 39.151176, -89.86369 38.681038, -89.764818 37.844313, -91.149101 36.496209, -94.44999 33.252282, -96.290702 34.20253, -97.751889 34.917286, -98.762631 35.491805, -100.586361 35.920018, -101.609615 36.067705), (-96.290702 34.20253, -96.466483 34.962313, -95.236014 35.500745), (-97.751889 34.917286, -97.905697 33.35329), (-100.214367 37.81496, -98.762631 35.491805), (-94.44999 33.252282, -94.559859 32.049803, -95.076216 31.179722, -96.10893 30.311056, -98.350141 27.522692, -99.365276 27.599675), (-96.10893 30.311056, -94.382976 29.972868, -93.751268 30.110773, -93.218431 30.2295, -92.295579 29.772814), (-93.751268 30.110773, -93.589225 29.187033, -93.149772 29.297275), (-94.382976 29.972868, -94.402207 29.249354, -94.863633 29.062265))</t>
  </si>
  <si>
    <t>P0223</t>
  </si>
  <si>
    <t>https://www.gem.wiki/Nautilus_Gas_Pipeline</t>
  </si>
  <si>
    <t>Nautilus Gas Pipeline</t>
  </si>
  <si>
    <t>Manta Ray Gas Pipeline</t>
  </si>
  <si>
    <t>Ship Shoal Block 207, Green Canyon Corridor</t>
  </si>
  <si>
    <t>offshore Louisiana</t>
  </si>
  <si>
    <t>Neptune Gas Processing Plant, St. Mary's Parish</t>
  </si>
  <si>
    <t>MULTILINESTRING ((-91.54797 29.656664, -90.561953 27.882417, -89.507265 27.726931), (-90.561953 27.882417, -91.605654 26.818798))</t>
  </si>
  <si>
    <t>P0224</t>
  </si>
  <si>
    <t>https://www.gem.wiki/NET_Mexico_Gas_Pipeline</t>
  </si>
  <si>
    <t>NET Mexico Gas Pipeline</t>
  </si>
  <si>
    <t>Agua Dulce Pipeline</t>
  </si>
  <si>
    <t>NextEra Energy [90.00%]; MGI Enterprises [10.00%]</t>
  </si>
  <si>
    <t>Agua Dulce Natural Gas Hub</t>
  </si>
  <si>
    <t>Nueces County</t>
  </si>
  <si>
    <t>Rio Grande City</t>
  </si>
  <si>
    <t>LINESTRING (-97.777747 27.749982, -98.818522 26.378378)</t>
  </si>
  <si>
    <t>P0225</t>
  </si>
  <si>
    <t>https://www.gem.wiki/NEXUS_Gas_Transmission_(NGT)_Pipeline</t>
  </si>
  <si>
    <t>NEXUS Gas Transmission (NGT) Pipeline</t>
  </si>
  <si>
    <t>DTE Energy [unknown %]; Enbridge [unknown %]</t>
  </si>
  <si>
    <t>Kensington</t>
  </si>
  <si>
    <t>Willow Run</t>
  </si>
  <si>
    <t>LINESTRING (-80.9384 40.741652, -81.122898 40.866737, -81.207591 40.891851, -81.219902 40.910419, -81.307566 40.912364, -81.400587 40.94211, -81.481561 40.925354, -81.587193 40.930585, -81.612985 40.966918, -81.734376 40.982654, -81.808298 41.00933, -81.841988 41.06057, -81.921969 41.105718, -81.962848 41.186179, -82.09096 41.263685, -82.383548 41.276269, -82.452384 41.303305, -82.464904 41.333175, -82.936537 41.356231, -83.102345 41.407654, -83.166522 41.39574, -83.322559 41.418431, -83.490028 41.476407, -83.884953 41.486475, -83.91833 41.509937, -83.928185 41.559726, -83.927237 41.601926, -83.906982 41.617452, -83.910074 41.643823, -83.891362 41.672889, -83.89332 41.865129, -83.694359 42.10229, -83.557364 42.180483, -83.568644 42.22169, -83.542745 42.247286)</t>
  </si>
  <si>
    <t>P0226</t>
  </si>
  <si>
    <t>https://www.gem.wiki/North_Baja_Gas_Pipeline</t>
  </si>
  <si>
    <t>North Baja Gas Pipeline</t>
  </si>
  <si>
    <t>North Baja Pipeline LLC [100.00%]</t>
  </si>
  <si>
    <t>Ehrenberg</t>
  </si>
  <si>
    <t>Ogilby</t>
  </si>
  <si>
    <t>LINESTRING (-114.525989 33.604324, -114.509424 33.572364, -114.84794 33.604968, -114.95231 33.054211, -114.7541566 32.7137673)</t>
  </si>
  <si>
    <t>P0230</t>
  </si>
  <si>
    <t>https://www.gem.wiki/Northwest_Gas_Pipeline</t>
  </si>
  <si>
    <t>Northwest Gas Pipeline</t>
  </si>
  <si>
    <t>La Plata County</t>
  </si>
  <si>
    <t>MULTILINESTRING ((-122.199149 49.017114, -122.184893 48.872928, -122.179191 48.807251, -122.170638 48.720802, -122.179191 48.664342, -122.207702 48.624782, -122.221957 48.605933, -122.213404 48.581419, -122.193446 48.513472, -122.204851 48.447325, -122.196297 48.346995, -122.187744 48.310979, -122.139276 48.244568, -122.09936 48.178071, -122.050892 48.101968, -122.036636 48.014311, -122.033785 47.914562, -122.028083 47.864855, -122.042339 47.809355, -122.036636 47.719282, -122.016679 47.644422, -122.013828 47.567531, -122.025232 47.450055, -122.056594 47.365154, -122.17634 47.231739, -122.336001 47.086341, -122.501364 46.961954, -122.64677 46.860675, -122.812133 46.758229, -122.869155 46.725014, -122.886261 46.629162, -122.886261 46.535101, -122.854899 46.497824, -122.866303 46.397637, -122.891963 46.354363, -122.877708 46.204604, -122.829239 46.111786, -122.632514 45.828418, -122.532726 45.762819, -122.401576 45.687186, -122.330299 45.613444, -122.157808 45.604968, -122.049466 45.61494, -121.963934 45.662782, -121.84989 45.730488, -121.698782 45.776243, -121.502057 45.78022, -121.311034 45.774255, -120.928988 45.776243, -120.732263 45.786185, -120.564049 45.8001, -120.529836 45.806063, -120.447154 45.784197, -120.267535 45.814012, -120.124981 45.83984, -119.983852 45.869626, -119.835595 45.893443, -119.74436 45.899396, -119.670232 45.943029, -119.550486 45.946994, -119.447847 45.945012, -119.148483 45.817987, -118.934651 45.756354, -118.843416 45.734468, -118.658095 45.674238, -118.555456 45.634381, -118.472774 45.550588, -118.353029 45.430666, -118.244687 45.368607, -118.104984 45.298458, -118.013749 45.272381, -117.965281 45.208139, -117.928216 45.065343, -117.91111 44.940356, -117.899705 44.83734, -117.865492 44.780703, -117.791364 44.738189, -117.543319 44.61046, -117.377956 44.523118, -117.30953 44.449894, -117.275317 44.364349, -117.186933 44.26643, -117.115656 44.192884, -117.045804 44.110035, -116.926058 44.021944, -116.763546 43.902917, -116.529757 43.761005, -116.313074 43.639392, -116.09354 43.480305, -115.999454 43.403712, -115.83124 43.256464, -115.685834 43.158274, -115.560386 43.100012, -115.423534 43.031276, -115.064297 42.814147, -114.86187 42.688533, -114.756379 42.640313, -114.454164 42.535359, -114.280247 42.512245, -114.214672 42.50594, -114.05216 42.484918, -113.909606 42.501736, -113.772753 42.520651, -113.587432 42.522752, -113.365048 42.577362, -113.156918 42.594155, -113.059981 42.646605, -112.903171 42.736715, -112.757765 42.812056, -112.609509 42.83924, -112.452699 42.830877, -112.344357 42.793229, -112.281633 42.747185, -112.253123 42.665476, -112.164739 42.638216, -112.076355 42.62563, -112.019333 42.594155, -111.826885 42.62563, -111.635862 42.667572, -111.453392 42.592056, -111.365008 42.442853, -111.327944 42.348103, -111.222454 42.202542, -111.155453 42.133864, -111.118389 42.02806, -110.944472 41.858408, -110.670768 41.79042, -110.539618 41.76278, -110.331488 41.692562, -110.103401 41.596686, -109.957995 41.526287, -109.815441 41.410923, -109.7071 41.297496, -109.605886 41.120541, -109.583077 41.041024, -109.503247 41.000154, -109.369245 40.907564, -109.374948 40.754399, -109.343586 40.698222, -109.337884 40.607374, -109.389203 40.522905, -109.315075 40.457856, -109.27516 40.379714, -109.095541 40.271034), (-110.405617 41.717572, -110.32436 41.839825, -110.292999 41.908821, -110.235977 41.917307, -110.160423 41.900333, -110.084869 41.878047), (-110.364276 41.702674, -110.36285 41.672866, -110.382808 41.627062, -110.448383 41.594021, -110.568129 41.523619, -110.620874 41.468097, -110.638693 41.434974, -110.681459 41.406112, -110.729928 41.396488, -110.839695 41.293747), (-115.56395 43.099492, -115.605291 43.069299, -115.829102 42.877381, -115.985912 42.756082, -116.031529 42.726768, -116.068593 42.668097, -116.135594 42.59468, -116.19119 42.551638, -116.212573 42.535884, -116.337308 42.323076, -116.439948 42.200694, -116.514076 42.111924, -116.608875 41.982776), (-118.619249 45.658797, -118.499503 45.784197, -118.476695 45.837853, -118.405417 45.903364, -118.368353 45.964833, -118.371204 46.022275, -118.416822 46.063834), (-119.443214 45.943525, -119.350554 46.011881, -119.24934 46.122656, -119.227957 46.178947, -119.205148 46.247012, -119.071147 46.388789, -118.807421 46.628183, -118.719037 46.710354, -118.470993 46.960494, -118.292799 47.122728, -117.798135 47.525193, -117.542963 47.704894, -117.481664 47.737501, -117.417515 47.74517, -117.299195 47.731749, -117.20796 47.712568, -116.905744 47.72144, -116.761764 47.714727, -116.613508 47.659067, -116.486634 47.586044, -116.446719 47.576428, -116.230036 47.548531, -116.171589 47.594696, -116.019056 47.54372), (-118.303491 47.112785, -118.223661 47.079789, -118.163788 47.053572, -118.085383 47.040944, -117.97419 47.003043, -117.361206 46.868716, -117.278524 46.825816, -117.147374 46.711575, -117.124565 46.636259, -117.073246 46.524559, -117.000543 46.3969, -116.905032 46.369365, -116.830903 46.324099), (-117.145949 46.70962, -116.823776 46.70962), (-119.448203 45.94495, -119.565098 46.024688, -119.649473 46.089298, -119.806283 46.202878, -119.910347 46.268942, -120.084264 46.3209, -120.272436 46.452665, -120.462033 46.581172, -120.484842 46.707421, -120.557545 46.808013, -120.563247 46.875294, -120.527608 46.939572, -120.392181 47.073721, -120.109924 47.348979), (-118.66843 46.762379, -118.782474 46.834594, -118.887964 46.922293, -119.027668 47.00596, -119.167371 47.09726, -119.241499 47.16321, -119.289968 47.232949, -119.369799 47.236821), (-122.33021 45.613195, -122.358008 45.590255, -122.454945 45.5029, -122.479892 45.433417, -122.480605 45.37787, -122.506264 45.346319, -122.560435 45.312244, -122.586095 45.245037, -122.642047 45.1579, -122.710474 45.127735, -122.801708 45.088497, -122.844475 45.001876, -122.860156 44.928246, -122.904348 44.867658, -122.914327 44.776656, -122.932859 44.714895, -122.968497 44.663208, -123.051179 44.504312, -123.081115 44.387275, -123.076839 44.114641, -123.006987 44.021944, -123.019817 43.920376, -123.034072 43.872095, -123.078264 43.769241, -123.226521 43.527869, -123.255744 43.363565, -123.366937 43.278522, -123.394022 43.189202, -123.374065 43.13097, -123.309915 43.051853, -123.267149 42.976805, -123.238638 42.912106, -123.254319 42.860926, -123.328447 42.826433, -123.384044 42.789829, -123.392597 42.716033, -123.348405 42.656303, -123.292809 42.580773, -123.275702 42.494642, -123.272851 42.366274), (-122.601063 45.807554, -122.802778 45.630892), (-122.642047 46.864209, -122.711899 46.901234, -122.748963 46.93726, -122.824517 46.950886, -122.969923 46.954778, -123.029796 47.037423, -123.078264 47.085977, -123.068285 47.187798, -122.932859 47.330987), (-123.052604 47.059763, -123.274989 47.060734), (-122.029063 47.887922, -121.818083 47.887922, -121.695486 47.864974, -121.551506 47.797028, -121.490207 47.790324, -121.360483 47.705974), (-122.038329 48.02182, -122.192288 48.00847), (-122.19799 48.486433, -122.093925 48.485488), (-122.180884 48.840452, -122.363353 48.831069, -122.517312 48.812297, -122.580036 48.757819, -122.674122 48.75406))</t>
  </si>
  <si>
    <t>P0231</t>
  </si>
  <si>
    <t>https://www.gem.wiki/Gas_Transmission_Northwest</t>
  </si>
  <si>
    <t>Gas Transmission Northwest</t>
  </si>
  <si>
    <t>Kingsgate</t>
  </si>
  <si>
    <t>Malin</t>
  </si>
  <si>
    <t>LINESTRING (-116.180387 49.006262, -116.317759 48.28382, -117.405406 47.695608, -119.217268 45.780781, -120.505844 45.437277, -121.285879 44.465428, -121.408805 42.01267)</t>
  </si>
  <si>
    <t>P0232</t>
  </si>
  <si>
    <t>https://www.gem.wiki/Nova_Gas_Transmission_(NGTL)_Pipeline</t>
  </si>
  <si>
    <t>Nova Gas Transmission (NGTL) Pipeline</t>
  </si>
  <si>
    <t>Alberta Gas Pipeline System</t>
  </si>
  <si>
    <t>Alberta and British Columbia</t>
  </si>
  <si>
    <t>Foothills</t>
  </si>
  <si>
    <t>MULTILINESTRING ((-119.957 59.465, -119.887 59.444, -119.911 58.261, -119.971 58.174, -119.985 57.737, -119.74 57.357, -119.894 57.21, -119.925 56.373, -119.789 56.167, -119.702 56.027, -119.37 55.814, -119.329 55.233, -119.496 55.002), (-118.855 59.062, -118.59 58.544, -118.437 57.901, -118.337 57.754, -118.171 57.153, -118.118 56.728, -117.9 56.298, -117.853 55.944, -117.906 55.526, -117.824 55.078, -117.806 54.836), (-114.996 57.085, -114.39 56.802, -114.107 56.484, -113.991 56.317, -113.91 55.855, -113.87 55.532, -113.922 55.445, -114.297 54.972, -115.025 54.36, -116.543 53.557, -117.914 56.304, -117.736 55.722, -117.546 55.236, -117.275 54.957, -116.9 55.011, -116.728 55.064, -116.639 55.236), (-113.183 57.004, -112.819 56.444, -112.675 56.201, -112.115 55.907, -112.288 55.687, -112.45 55.231, -112.554 54.821, -112.79 54.729, -112.79 54.625, -112.536 54.388, -112.311 54.105, -112.011 53.644, -112.102 53.456, -112.244 52.466, -112.081 51.935, -111.639 51.203, -111.528 50.724, -111.586 50.666, -114.031 49.293), (-110.819 56.325, -110.813 55.908, -110.686 55.856, -110.732 55.369, -110.761 55.207, -110.587 54.993, -110.651 54.686, -111.022 54.634, -111.01 54.356, -110.043 54.35), (-111.013 54.354, -111.168 54.353, -111.305 54.294, -111.748 53.773, -112.013 53.633), (-111.755 53.762, -111.154 53.729, -110.748 53.717), (-111.054 53.714, -111.013 53.533, -110.777 53.529), (-112.009 53.636, -111.766 53.172, -111.534 52.906, -111.028 52.567, -110.493 52.201, -110.029 52.257), (-110.492 52.202, -110.708 52.096, -110.529 51.706, -110.523 51.125, -110.418 50.698, -111.537 50.708), (-111.273 50.687, -111.278 50.349, -111.167 50.212, -111.03 50.149, -110.671 50.165, -110.407 50.212, -110.254 50.318, -110.033 50.671), (-110.73 50.164, -110.726 50.03, -110.896 49.904, -110.958 49.737, -110.972 49.549, -111.005 49.492), (-111.691 50.628, -111.482 50.295, -111.26 50.317), (-111.543 50.704, -111.93 50.85, -114.189 51.575, -114.965 52.106, -115.257 52.284, -115.777 52.804, -116.543 53.56, -117.099 53.878, -117.706 54.164, -117.884 54.316, -118.419 54.75, -118.575 54.831, -119.128 54.953, -119.434 54.991, -119.495 55.009, -119.675 55.056, -119.987 55.112), (-118.583 54.833, -118.492 54.844, -117.803 54.834, -117.47 54.522, -116.73 54.159, -116.448 53.957, -116.1 53.774, -115.795 53.545, -115.54 53.209, -115.193 53.007, -115.051 52.813, -114.88 52.546, -114.781 52.286, -114.731 52.099, -114.746 51.943, -114.651 51.811, -114.549 51.506, -114.502 51.286, -114.471 51.009, -114.341 50.84, -114.169 50.199, -114.177 50.093, -114.118 49.909, -114.169 49.76, -114.298 49.639, -114.173 49.416, -114.013 49.279, -113.375 49.029), (-119.892 59.139, -119.002 59.117, -118.881 59.056, -118.867 59.058, -118.468 59.337, -118.292 59.636, -117.403 59.598), (-119.74 57.358, -119.313 57.381, -119.131 57.372, -118.958 57.33, -118.643 57.338, -118.191 57.19, -118.012 57.188, -117.735 57.115, -117.621 57.121, -117.163 57.064, -116.766 57.04, -116.535 56.858, -115.766 56.927, -115.204 56.931, -114.815 56.914, -114.591 56.821, -114.388 56.8), (-119.924 56.367, -119.776 56.392, -119.43 56.5, -119.3 56.559, -118.048 56.591), (-119.933 55.953, -119.934 55.987, -119.839 55.944, -119.731 55.826, -119.343 55.814, -118.468 55.753, -117.888 55.746), (-117.889 55.667, -117.738 55.716, -116.64 55.674, -116.369 55.657), (-117.899 56.298, -117.267 56.391, -116.78 56.384, -116.417 56.34, -116.277 56.289, -116.118 56.282, -116.111 56.216, -116.071 56.16, -115.992 56.12), (-116.497 57.498, -116.552 57.419, -116.557 57.211, -116.568 57.14, -116.658 57.088, -116.65 56.768, -116.724 56.7, -116.724 56.528, -116.768 56.492, -116.779 56.383), (-116.555 57.211, -116.396 57.222, -116.372 57.249, -115.699 57.279, -115.661 57.282, -115.631 57.298, -115.533 57.296), (-117.694 54.733, -117.289 54.908, -117.278 54.957), (-116.537 53.558, -116.458 53.973, -116.23 54.185, -115.692 54.29, -115.522 54.568, -114.963 54.403), (-116.458 53.965, -116.729 54.245, -116.802 54.463, -116.79 54.493, -116.447 54.504, -116.355 54.423, -116.131 54.432), (-114.291 54.974, -114.069 54.823, -114.046 54.569, -113.424 54.201, -112.396 54.084, -111.892 54.131), (-113.909 55.45, -113.376 55.04, -112.965 55.117, -112.912 55.063, -112.918 55.013, -112.786 54.737), (-113.377 55.038, -113.24 54.844, -113.222 54.841, -113.22 54.823, -112.865 54.698, -112.786 54.627), (-112.552 54.399, -111.998 54.562, -111.779 54.455, -111.717 54.49, -111.637 54.491, -111.637 54.526, -111.556 54.562, -111.309 54.555), (-111.994 54.557, -111.971 54.747, -111.825 54.776, -111.681 54.737, -111.566 54.632, -111.12 54.612, -111.02 54.632), (-111.821 54.775, -111.805 54.797, -111.809 54.901, -111.75 54.933, -111.333 55.326, -111.14 55.351, -110.629 55.354), (-111.792 54.91, -111.841 54.976, -111.999 55.075, -112.124 55.27, -112.117 55.317, -112.158 55.46, -112.118 55.649, -112.211 55.744, -112.178 55.827), (-114.115 56.483, -113.35 56.517, -113.065 56.517, -112.848 56.471, -112.683 56.547, -112.367 56.623, -111.794 56.929, -111.902 57.164, -111.412 57.188, -111.243 57.129, -111.121 57.155, -111.022 57.205, -110.864 57.248), (-114.199 51.579, -113.592 51.809, -113.314 51.543, -113.107 51.419, -112.869 51.63, -112.836 51.87, -112.688 51.964, -112.087 51.941), (-113.272 52.548, -113.085 52.595, -113.045 52.568, -112.771 52.582, -112.234 52.438), (-114.851 52.469, -114.485 52.563, -114.117 52.753), (-112.128 53.195, -111.771 53.187, -111.596 53.269, -111.321 53.344, -111.008 53.533), (-111.036 52.57, -110.729 52.772, -110.692 52.819, -110.46 52.879, -110.155 53.02), (-110.776 52.974, -110.667 52.989, -110.677 52.863, -110.694 52.817), (-112.116 55.907, -111.972 55.984, -111.872 56.087, -111.715 56.22, -111.81 56.587, -111.715 56.995, -111.671 56.969, -111.567 56.986, -111.514 56.984), (-111.976 55.984, -111.86 55.901, -111.763 55.858, -111.61 55.727, -111.606 55.72, -111.496 55.688, -111.273 55.692, -111.134 55.649), (-111.273 55.689, -111.443 55.572, -111.45 55.483, -111.429 55.372, -111.333 55.325), (-111.088 55.652, -111.108 55.648, -111.188 55.621, -111.231 55.564, -111.222 55.343), (-113.502 56.983, -113.168 57.008, -113.121 57.061, -113.134 57.123, -112.891 57.204, -112.825 57.167, -112.738 57.195, -112.486 57.248), (-119.448 54.343, -119.318 54.415, -118.98 54.447, -118.949 54.535, -118.98 54.67, -118.934 54.893), (-119.827 55.418, -119.775 55.366, -119.339 55.366), (-119.786 55.371, -119.625 55.174, -119.625 55.039), (-118.371 57.809, -118.094 57.814, -117.871 57.878, -117.616 58.078), (-114.678 49.646, -114.421 49.605, -114.292 49.634), (-111.233 49.745, -110.941 49.745), (-110.163 50.026, -110.274 50.19, -110.251 50.324), (-115.206 56.929, -115.206 56.998, -114.994 57.085, -114.888 57.263))</t>
  </si>
  <si>
    <t>P0233</t>
  </si>
  <si>
    <t>https://www.gem.wiki/NYMarc_Gas_Pipeline_Project</t>
  </si>
  <si>
    <t>NYMarc Gas Pipeline Project</t>
  </si>
  <si>
    <t>Wantage, Sussex County</t>
  </si>
  <si>
    <t>Pleasant Valley</t>
  </si>
  <si>
    <t>LINESTRING (-74.614898 41.257198, -73.823072 41.744331)</t>
  </si>
  <si>
    <t>P0234</t>
  </si>
  <si>
    <t>https://www.gem.wiki/Oasis_Gas_Pipeline</t>
  </si>
  <si>
    <t>Oasis Gas Pipeline</t>
  </si>
  <si>
    <t>LINESTRING (-103.106007 31.310983, -102.880226 30.890149, -101.825538 30.701405, -99.31933 30.29954, -98.098331 29.742183, -97.317544 29.780017, -96.574459 29.94201, -95.859284 29.800767)</t>
  </si>
  <si>
    <t>P0235</t>
  </si>
  <si>
    <t>https://www.gem.wiki/Ohio_Pipeline_Energy_Network_(OPEN)_Gas_Pipeline</t>
  </si>
  <si>
    <t>Ohio Pipeline Energy Network (OPEN) Gas Pipeline</t>
  </si>
  <si>
    <t>Utica Shale and Marcellus Shale plays</t>
  </si>
  <si>
    <t>Columbiana County</t>
  </si>
  <si>
    <t>Monroe County</t>
  </si>
  <si>
    <t>LINESTRING (-80.770229 40.768482, -81.059259 39.768759)</t>
  </si>
  <si>
    <t>P0236</t>
  </si>
  <si>
    <t>https://www.gem.wiki/Ozark_Gas_Transmission_Pipeline</t>
  </si>
  <si>
    <t>Ozark Gas Transmission Pipeline</t>
  </si>
  <si>
    <t>Pittsburg County</t>
  </si>
  <si>
    <t>MULTILINESTRING ((-95.508089 34.829735, -95.107316 35.102786, -94.286259 35.32247, -93.400497 35.462417, -93.287894 35.343283, -91.867185 35.3947, -91.617246 35.123331), (-93.400497 35.462417, -93.139579 35.478713, -92.65442 35.461648, -91.822496 36.019585, -91.060636 36.144504, -90.65017 36.22799, -90.041807 36.295541), (-91.822496 36.019585, -92.364441 36.331254))</t>
  </si>
  <si>
    <t>P0237</t>
  </si>
  <si>
    <t>https://www.gem.wiki/Pacific_Connector_Gas_Pipeline</t>
  </si>
  <si>
    <t>Pacific Connector Gas Pipeline</t>
  </si>
  <si>
    <t>Pembina Pipeline Corporation [100.00%]</t>
  </si>
  <si>
    <t>Jordan Cove LNG terminal, Coos Bay</t>
  </si>
  <si>
    <t>LINESTRING (-121.395593 42.029199, -121.396405 42.046737, -121.452945 42.072545, -121.659399 42.057064, -121.725263 42.117107, -121.759693 42.122992, -121.80326 42.170612, -121.835681 42.175954, -121.918123 42.13406, -121.937344 42.158959, -122.064332 42.205576, -122.17206 42.279233, -122.32788 42.325215, -122.343945 42.351581, -122.544752 42.384902, -122.592493 42.425988, -122.583364 42.442927, -122.613118 42.464597, -122.607532 42.493163, -122.674437 42.535967, -122.688191 42.59056, -122.729606 42.588467, -122.78768 42.641776, -122.832131 42.653653, -122.877731 42.740964, -122.934853 42.77702, -122.973851 42.82758, -123.002582 42.832497, -122.996692 42.902494, -123.031987 42.915679, -123.041545 42.954531, -123.078578 42.96233, -123.116733 43.011976, -123.176568 43.023508, -123.192413 43.054171, -123.256727 43.083735, -123.343537 43.050357, -123.490178 43.088917, -123.65022 43.048544, -123.720147 43.050159, -123.793642 43.063387, -123.864658 43.109148, -123.929445 43.110976, -123.952894 43.13914, -124.018244 43.166755, -124.055089 43.209969, -124.092677 43.217802, -124.102897 43.244651, -124.089454 43.274638, -124.116173 43.316312, -124.139274 43.324153, -124.132179 43.360891, -124.181331 43.42305, -124.250125 43.429945)</t>
  </si>
  <si>
    <t>P0238</t>
  </si>
  <si>
    <t>https://www.gem.wiki/Pacific_Trail_Gas_Pipelines</t>
  </si>
  <si>
    <t>Pacific Trail Gas Pipelines</t>
  </si>
  <si>
    <t>Chevron [50.00%]; Woodside Energy [50.00%]</t>
  </si>
  <si>
    <t>Summit Lake</t>
  </si>
  <si>
    <t>LINESTRING (-122.708642 54.545363, -123.110056 54.48995, -123.562176 54.5019, -124.081394 54.543979, -124.534029 54.552255, -124.898754 54.528849, -125.394717 54.447486, -125.858448 54.414122, -127.359291 54.43695, -127.783248 54.411381, -128.127334 54.319961, -128.641952 54.043308)</t>
  </si>
  <si>
    <t>P0239</t>
  </si>
  <si>
    <t>https://www.gem.wiki/Panhandle_Eastern_Gas_Pipeline</t>
  </si>
  <si>
    <t>Panhandle Eastern Gas Pipeline</t>
  </si>
  <si>
    <t>Indiana, Ohio</t>
  </si>
  <si>
    <t>MULTILINESTRING ((-102.045751 36.066737, -100.980083 37.256447, -97.7807 37.901981, -96.166996 38.262413, -94.6788 38.619905, -93.359338 38.899237, -92.137444 39.210409, -89.648986 39.623926, -88.283027 39.8002, -87.370709 39.792812, -86.26318 39.950884, -84.748417 41.449196, -83.875009 41.716276, -83.392989 41.915862), (-100.980083 37.256447, -101.672227 38.255323, -101.507437 37.675015, -100.980083 37.256447), (-97.7807 37.901981, -98.978215 36.722412, -99.626414 35.309564), (-98.978215 36.722412, -98.373972 36.395904, -98.247635 36.010274), (-89.648986 39.623926, -89.638005 40.690264, -90.044504 41.014358), (-83.875009 41.716276, -84.046676 41.893376, -84.006856 42.065909), (-84.046676 41.893376, -85.667165 42.191183))</t>
  </si>
  <si>
    <t>P0240</t>
  </si>
  <si>
    <t>https://www.gem.wiki/PennEast_Gas_Pipeline</t>
  </si>
  <si>
    <t>PennEast Gas Pipeline</t>
  </si>
  <si>
    <t>PennEast Pipeline Co [500.00%]</t>
  </si>
  <si>
    <t>New Jersey Resources [20.00%]; South Jersey Industries [20.00%]; Southern Company [20.00%]; Spectra Energy [20.00%]; UGI Corporation (UGI) [20.00%]</t>
  </si>
  <si>
    <t>Luzerne County</t>
  </si>
  <si>
    <t>MULTILINESTRING ((-75.94604 41.346994, -75.825826 41.295407, -75.697504 41.193993, -75.687514 41.128787, -75.660056 41.082276), (-75.660056 41.082276, -75.6307 41.059873, -75.611429 40.996897, -75.634503 40.92956, -75.513886 40.845483, -75.507434 40.829094, -75.533348 40.801842, -75.496613 40.802006, -75.401566 40.737414, -75.341943 40.724578, -75.291121 40.674434), (-75.659491 41.081477, -75.660056 41.082276))</t>
  </si>
  <si>
    <t>P0241</t>
  </si>
  <si>
    <t>https://www.gem.wiki/Port_Arthur_Gas_Pipeline</t>
  </si>
  <si>
    <t>Port Arthur Gas Pipeline</t>
  </si>
  <si>
    <t>Louisiana Connector</t>
  </si>
  <si>
    <t>Port Arthur Pipeline LLC [100.00%]</t>
  </si>
  <si>
    <t>Sempra Energy [100.00%]</t>
  </si>
  <si>
    <t>Jefferson County</t>
  </si>
  <si>
    <t>St Landry Parish</t>
  </si>
  <si>
    <t>LINESTRING (-93.953104 29.796848, -93.899525 29.859787, -93.858026 29.919263, -93.827583 29.957129, -93.786727 29.983026, -93.758824 30.00374, -93.74587 30.014095, -93.733912 30.018409, -93.709996 30.023586, -93.675118 30.041703, -93.655188 30.052917, -93.644226 30.056367, -93.629279 30.058092, -93.547565 30.058092, -93.535607 30.058092, -93.526639 30.058954, -93.514681 30.064991, -93.440939 30.100345, -93.408055 30.122757, -93.401079 30.129653, -93.39809 30.137409, -93.402076 30.189104, -93.407058 30.222691, -93.407058 30.277783, -93.407058 30.296713, -93.401079 30.303596, -93.392111 30.311339, -93.35823 30.329403, -93.334313 30.344884, -93.307408 30.364662, -93.29545 30.376699, -93.282495 30.39561, -93.27253 30.403346, -93.260572 30.409362, -93.227687 30.417096, -93.18982 30.429986, -93.108107 30.456618, -93.058282 30.472938, -93.037355 30.480667, -93.025397 30.484961, -93.008456 30.489255, -92.991516 30.493548, -92.966603 30.499559, -92.936708 30.501276, -92.826096 30.507286, -92.711498 30.511579, -92.601883 30.513296, -92.55405 30.517588, -92.539103 30.518447, -92.510204 30.515013, -92.461375 30.512437, -92.433473 30.51072, -92.368701 30.51072, -92.309907 30.515871, -92.276026 30.519305, -92.252109 30.522739)</t>
  </si>
  <si>
    <t>P0242</t>
  </si>
  <si>
    <t>https://www.gem.wiki/Portland_Natural_Gas_Transmission_System_(PNGTS)</t>
  </si>
  <si>
    <t>Portland Natural Gas Transmission System (PNGTS)</t>
  </si>
  <si>
    <t>Pittsburg</t>
  </si>
  <si>
    <t>New Hampshire</t>
  </si>
  <si>
    <t>Westbrook</t>
  </si>
  <si>
    <t>MULTILINESTRING ((-71.486886 44.997829, -71.624215 44.748688, -71.519164 44.600743, -71.40244 44.627142, -71.277476 44.63985, -71.182724 44.582173, -71.177923 44.470074, -71.2205 44.400456, -71.150468 44.381815, -71.088332 44.408068, -70.854191 44.404638, -70.772486 44.320698, -70.401438 43.7585, -70.447927 43.677811, -70.799469 43.15278, -70.833552 43.099249, -71.075624 42.775992, -71.315704 42.633938), (-70.772486 44.320698, -70.715052 44.485743, -70.677292 44.504849, -70.644853 44.490527, -70.617564 44.51416, -70.571392 44.510369, -70.542387 44.527386, -70.549345 44.555469, -70.381133 44.489792, -70.216 44.502775))</t>
  </si>
  <si>
    <t>P0243</t>
  </si>
  <si>
    <t>https://www.gem.wiki/Prince_Rupert_Gas_Transmission_Pipeline</t>
  </si>
  <si>
    <t>Prince Rupert Gas Transmission Pipeline</t>
  </si>
  <si>
    <t>Prince Rupert</t>
  </si>
  <si>
    <t>Hudson's Hope</t>
  </si>
  <si>
    <t>LINESTRING (-130.291403 54.211939, -130.535854 54.322619, -130.489167 54.678289, -129.993849 54.987318, -128.53905 55.599551, -128.014458 55.579376, -127.672457 55.256897, -126.612282 55.291321, -125.434004 54.811458, -124.971771 54.884769, -124.373021 54.900568, -123.266154 55.416808, -121.919582 56.025017)</t>
  </si>
  <si>
    <t>P0244</t>
  </si>
  <si>
    <t>https://www.gem.wiki/Regency_Intrastate_Gas_(RIGS)_Pipeline</t>
  </si>
  <si>
    <t>Regency Intrastate Gas (RIGS) Pipeline</t>
  </si>
  <si>
    <t>Haynesville shale</t>
  </si>
  <si>
    <t>Caddo Parish</t>
  </si>
  <si>
    <t>Franklin Parish</t>
  </si>
  <si>
    <t>MULTILINESTRING ((-94.140032 32.490535, -93.615435 32.550748, -93.546023 32.503687, -93.502077 32.392433), (-93.546023 32.503687, -93.150532 32.469843, -92.949947 32.42135, -92.785725 32.756721), (-92.949947 32.42135, -92.744183 32.447539, -92.647023 32.47448, -92.636723 32.538177, -92.585911 32.537598))</t>
  </si>
  <si>
    <t>P0245</t>
  </si>
  <si>
    <t>https://www.gem.wiki/Rio_Bravo_Gas_Pipeline</t>
  </si>
  <si>
    <t>Rio Bravo Gas Pipeline</t>
  </si>
  <si>
    <t>Rio Bravo Pipeline Company LLC [100.00%]</t>
  </si>
  <si>
    <t>Kingsville</t>
  </si>
  <si>
    <t>Rio Grande LNG, Port of Brownsville</t>
  </si>
  <si>
    <t>LINESTRING (-97.2764037 26.01601638, -97.3287705 25.98722188, -97.3332388 25.99126169, -97.3363047 25.99665224, -97.3541825 26.00473217, -97.3611957 26.00605546, -97.3656041 26.00700249, -97.3680089 26.01045671, -97.3689958 26.01549887, -97.3725575 26.02542993, -97.3906759 26.04207335, -97.3935763 26.05006837, -97.3980809 26.05767312, -97.4036951 26.06034653, -97.4104198 26.062128, -97.4126568 26.06414726, -97.4154042 26.07047072, -97.4154695 26.08164255, -97.4178168 26.09008354, -97.4211968 26.09477711, -97.4264898 26.09838354, -97.4353155 26.1002752, -97.4439865 26.10049476, -97.4482925 26.10309797, -97.4523212 26.10592412, -97.4576923 26.10834553, -97.4604097 26.11110253, -97.4630993 26.11837322, -97.4624598 26.13236047, -97.4608662 26.15295147, -97.4609929 26.15913685, -97.4665524 26.16275651, -97.4658084 26.1864818, -97.4527664 26.20076572, -97.4483993 26.28418456, -97.5084579 26.28901409, -97.5162949 26.29013835, -97.5233133 26.29169463, -97.5246913 26.29485651, -97.5262253 26.29969023, -97.5801068 26.30654377, -97.5793412 26.33906685, -97.5991015 26.36006061, -97.6018732 26.37446623, -97.6015194 26.44171544, -97.6017157 26.49615807, -97.6017847 26.51969367, -97.6307321 26.52975806, -97.6312424 26.54238306, -97.6734807 26.54314602, -97.6739377 26.56908126, -97.7737608 26.57087961, -97.7799281 26.57246408, -97.797393 26.58611083, -97.7973636 26.59918619, -97.7894494 26.60306302, -97.79017 26.61261009, -97.7899238 26.66680677, -97.7709587 26.68628489, -97.7715275 26.70652318, -97.773149 26.71017253, -97.7728412 26.7191915, -97.7699906 26.72110217, -97.7723104 26.74068062, -97.7706034 26.7514765, -97.7737621 26.77200502, -97.7783728 26.78128991, -97.780655 26.78787833, -97.7792284 26.80202072, -97.7817185 26.82949084, -97.7842115 26.84367952, -97.7867893 26.85789156, -97.7916159 26.90879804, -97.7974559 26.92181362, -97.793688 26.94677907, -97.7962724 26.97838605, -97.796225 26.99764574, -97.7963702 27.00030636, -97.7968005 27.00818907, -97.7961417 27.00989203, -97.7949479 27.04388886, -97.7949583 27.11774215, -97.7957134 27.12413226, -97.7995283 27.15033722, -97.8010371 27.16105783, -97.8013352 27.17155356, -97.7982124 27.18485034, -97.7937812 27.20816092, -97.8016199 27.21855244, -97.8045608 27.2265509, -97.8036876 27.24005904, -97.8057874 27.24872746, -97.8067373 27.26444262, -97.822012 27.27044027, -97.8277829 27.27577569, -97.8443419 27.2910683, -97.9030557 27.34328492, -97.9230593 27.36090439, -97.9594991 27.39266864, -98.0180301 27.44212431, -98.0290069 27.45225819, -98.0310504 27.46211269, -98.034457 27.46727878, -98.04114 27.47546363, -98.0499772 27.48756206, -98.0611288 27.48835905)</t>
  </si>
  <si>
    <t>P0246</t>
  </si>
  <si>
    <t>https://www.gem.wiki/Rockies_Express_Gas_Pipeline</t>
  </si>
  <si>
    <t>Rockies Express Gas Pipeline</t>
  </si>
  <si>
    <t>ConocoPhillips [unknown %]; Phillips 66 [unknown %]; Sempra Energy [unknown %]; Tallgrass Energy [unknown %]</t>
  </si>
  <si>
    <t>Colorado, Wyoming</t>
  </si>
  <si>
    <t>LINESTRING (-107.837186 40.549054, -107.710849 41.703453, -107.221963 41.773139, -106.535323 41.728063, -105.181263 41.095697, -100.753778 41.037719, -90.71228 38.899369, -86.251836 39.73233, -85.823375 39.588553, -80.871759 39.766584)</t>
  </si>
  <si>
    <t>P0248</t>
  </si>
  <si>
    <t>https://www.gem.wiki/Ruby_Gas_Pipeline</t>
  </si>
  <si>
    <t>Ruby Gas Pipeline</t>
  </si>
  <si>
    <t>Ruby Pipeline LLC [unknown %]</t>
  </si>
  <si>
    <t>Kinder Morgan [unknown %]; Pembina Pipeline Corporation [unknown %]</t>
  </si>
  <si>
    <t>LINESTRING (-121.35977 42.019986, -121.09747 42.045398, -120.926404 42.062334, -120.835169 42.019986, -120.675508 42.003039, -120.493039 42.003039, -120.47023 42.028458, -120.447421 42.113114, -120.367591 42.130032, -120.276356 42.146945, -120.219334 42.214553, -120.093886 42.104654, -119.979843 41.986087, -119.888608 41.858806, -119.84299 41.72276, -119.751755 41.594954, -119.238559 41.594954, -118.942046 41.577894, -118.782385 41.569363, -118.770981 41.492527, -118.702554 41.47544, -118.599915 41.466895, -118.542893 41.492527, -118.42885 41.526687, -118.349019 41.483984, -118.212167 41.441253, -117.995484 41.4156, -117.813015 41.398493, -117.736035 41.353565, -117.698971 41.248613, -117.587778 41.244326, -117.459479 41.087645, -117.3825 41.07475, -117.128753 41.113426, -116.940581 41.154226, -116.689685 41.182127, -116.293384 41.212161, -116.062446 41.222885, -115.974062 41.242182, -115.871423 41.257187, -115.688953 41.257187, -115.60342 41.289329, -115.532143 41.306465, -115.432355 41.261473, -115.383886 41.23575, -115.241332 41.291471, -115.113033 41.33216, -115.050309 41.387799, -115.0275 41.398493, -114.386005 41.417738, -114.291919 41.479712, -114.237748 41.479712, -114.166471 41.456212, -114.089492 41.466895, -114.009661 41.479712, -113.929831 41.462622, -113.892766 41.417738, -113.790127 41.42629, -113.643296 41.513879, -113.503593 41.590689, -113.329676 41.667408, -113.189973 41.69509, -113.170015 41.775937, -112.614053 41.765305, -112.534222 41.735526, -112.42303 41.733399, -112.368859 41.680186, -112.32039 41.633322, -112.146474 41.605614, -112.040984 41.575761, -111.97826 41.507474, -111.832854 41.513879, -111.77013 41.56083, -111.6903 41.543761, -111.66464 41.530956, -111.590512 41.466895, -111.282594 41.473304, -111.140039 41.552296, -111.01174 41.558696, -110.840675 41.53309, -110.74944 41.530956, -110.404458 41.716375)</t>
  </si>
  <si>
    <t>P0249</t>
  </si>
  <si>
    <t>https://www.gem.wiki/Sabal_Trail_Gas_Transmission_Pipeline</t>
  </si>
  <si>
    <t>Sabal Trail Gas Transmission Pipeline</t>
  </si>
  <si>
    <t>Duke Energy Corporation [unknown %]; Enbridge [unknown %]; NextEra Energy, Inc. [unknown %]</t>
  </si>
  <si>
    <t>Alexander City</t>
  </si>
  <si>
    <t>Reunion</t>
  </si>
  <si>
    <t>MULTILINESTRING ((-82.676149 28.963711, -82.392352 28.962693, -82.340311 29.003389), (-81.4073 28.349818, -81.425208 28.324764, -81.4744 28.319475, -81.556748 28.260238, -81.617574 28.318101, -81.709735 28.317475, -81.712346 28.331841, -81.748074 28.332495, -81.790609 28.375794, -81.8671 28.410721, -81.910018 28.483582, -81.922071 28.536966, -81.954267 28.568706, -81.965193 28.776248, -82.067791 28.843982, -82.083687 28.880133, -82.104005 28.879846, -82.187261 28.960005, -82.219199 28.960165, -82.21939 28.989452, -82.31973 28.989483, -82.338038 29.003813, -82.302585 29.039279, -82.402406 29.046197, -82.407919 29.164755, -82.455262 29.199321, -82.45927 29.245832, -82.575074 29.38115, -82.638045 29.394588, -82.65471 29.422598, -82.654555 29.581967, -82.705919 29.696354, -82.70647 29.734975, -82.824338 29.792943, -82.850756 29.792442, -82.852189 30.033649, -83.160374 30.346037, -83.15253 30.406564, -83.180884 30.417828, -83.179983 30.449431, -83.211962 30.46135, -83.245803 30.604139, -83.595927 30.920839, -83.741494 31.083025, -83.97708 31.256773, -84.02471 31.359191, -84.093148 31.42463, -84.103407 31.494082, -84.203442 31.503781, -84.226592 31.528599, -84.253087 31.529154, -84.252138 31.55207, -84.307563 31.574693, -84.295731 31.693935, -84.426938 31.872476, -84.627536 31.976294, -84.741317 32.060953, -84.811379 32.087186, -84.997729 32.203071, -85.256749 32.489612, -85.285111 32.595075, -85.267795 32.670938, -85.274623 32.712075, -85.802799 32.978466, -85.895451 33.001458))</t>
  </si>
  <si>
    <t>P0250</t>
  </si>
  <si>
    <t>https://www.gem.wiki/Sabine_Natural_Gas_Pipeline_System</t>
  </si>
  <si>
    <t>Sabine Natural Gas Pipeline System</t>
  </si>
  <si>
    <t>Erath</t>
  </si>
  <si>
    <t>LINESTRING (-92.027134 29.963843, -93.216447 30.232395, -93.808378 30.107768, -93.940944 29.88361)</t>
  </si>
  <si>
    <t>P0251</t>
  </si>
  <si>
    <t>https://www.gem.wiki/Sea_Robin_Gas_Pipeline</t>
  </si>
  <si>
    <t>Sea Robin Gas Pipeline</t>
  </si>
  <si>
    <t>MULTILINESTRING ((-91.31213 28.25578, -91.651096 29.245261, -92.03521 29.958171), (-91.206107 29.699543, -91.651096 29.245261))</t>
  </si>
  <si>
    <t>P0252</t>
  </si>
  <si>
    <t>https://www.gem.wiki/Southern_Natural_Gas_(SNG)_Pipeline</t>
  </si>
  <si>
    <t>Southern Natural Gas Pipeline</t>
  </si>
  <si>
    <t>MULTILINESTRING ((-93.998445 31.975662, -92.97959 32.357212, -91.886494 32.787756, -90.942048 32.725986, -89.971651 32.883998, -89.055356 33.123893, -88.566257 33.253152, -88.015549 33.378331, -87.738009 33.413191, -86.281933 33.588154, -85.751438 33.626635, -85.473905 33.617853, -84.894785 33.72483, -84.326896 32.888068, -83.619429 32.862546, -82.391996 33.207532, -81.720069 33.560612), (-88.566257 33.253152, -88.653765 33.732623), (-87.738009 33.413191, -86.843808 33.892814, -86.98161 34.602374), (-87.738009 33.413191, -87.567726 33.197421), (-85.473905 33.617853, -85.166071 34.255799, -85.307367 35.043703), (-84.894785 33.72483, -84.326896 32.888068), (-84.326896 32.888068, -84.801404 32.631596, -85.48305 32.608161, -86.317049 32.537549, -87.028146 32.413774, -87.716121 32.49709, -88.298468 32.488436, -88.829019 32.174646, -89.288645 31.978271, -89.902335 31.748923, -90.154496 30.846671), (-83.619429 32.862546, -81.493618 31.171985), (-82.391996 33.207532, -80.933181 31.98804), (-81.199294 32.233077, -81.433391 31.73508, -81.659768 31.1915, -82.026442 30.865535, -82.012752 30.286226), (-85.48305 32.608161, -85.005122 32.222735, -84.157006 31.57814, -83.737765 30.959931, -83.196731 30.632024, -82.99078 30.298259, -82.631021 30.19627, -82.179251 30.273427, -81.975704 30.301033, -81.833611 30.575169), (-88.829019 32.174646, -89.055367 33.12392), (-90.154496 30.846671, -91.146977 30.170061), (-90.154496 30.846671, -89.834822 29.865774), (-91.146977 30.170061, -91.389304 29.733314), (-91.146977 30.170061, -92.009409 30.222291, -92.314323 29.834726))</t>
  </si>
  <si>
    <t>P0253</t>
  </si>
  <si>
    <t>https://www.gem.wiki/Southern_Star_Central_Gas_Pipeline</t>
  </si>
  <si>
    <t>Southern Star Central Gas Pipeline</t>
  </si>
  <si>
    <t>Caisse de dépôt et placement du Québec [unknown %]; General Electric Company [unknown %]</t>
  </si>
  <si>
    <t>Rocky Mountains</t>
  </si>
  <si>
    <t>MULTILINESTRING ((-108.360479 41.180505, -107.550449 41.735236, -101.801053 39.774137, -97.431988 38.138948, -96.756334 37.98758, -95.169813 38.666267, -94.625948 38.918842, -90.594177 38.755942), (-97.431988 38.138948, -97.508898 39.972984), (-95.169813 38.666267, -95.125954 39.518991, -94.983089 39.814951), (-95.125954 39.518991, -95.375936 39.989895), (-95.169813 38.666267, -95.628665 37.809968, -94.628952 37.92275), (-95.628665 37.809968, -95.930794 37.020288, -95.963758 36.146943, -97.50738 35.474323, -97.18882 34.330097), (-97.50738 35.474323, -97.331685 36.980908, -96.756334 37.98758), (-97.331685 36.980908, -100.61254 35.764426), (-97.331685 36.980908, -101.483292 36.947843), (-96.756334 37.98758, -99.733634 37.527234, -101.194859 37.588231), (-97.331685 36.980908, -95.930794 37.020288, -93.305067 37.151754))</t>
  </si>
  <si>
    <t>P0254</t>
  </si>
  <si>
    <t>https://www.gem.wiki/Southern_Trails_Gas_Pipeline</t>
  </si>
  <si>
    <t>Southern Trails Gas Pipeline</t>
  </si>
  <si>
    <t>Farmington</t>
  </si>
  <si>
    <t>LINESTRING (-108.208188 36.747091, -109.084391 36.925181, -109.598045 36.918626, -111.405339 36.092996, -114.931993 34.849397)</t>
  </si>
  <si>
    <t>P0255</t>
  </si>
  <si>
    <t>https://www.gem.wiki/Spire_STL_Pipeline</t>
  </si>
  <si>
    <t>Spire STL Pipeline</t>
  </si>
  <si>
    <t>Spire STL Pipeline LLC [100.00%]</t>
  </si>
  <si>
    <t>Scott County</t>
  </si>
  <si>
    <t>St Louis County</t>
  </si>
  <si>
    <t>LINESTRING (-90.414931 39.564229, -90.43116 39.541707, -90.432436 39.440194, -90.409734 39.389158, -90.422811 39.267406, -90.389284 39.195784, -90.386753 39.057234, -90.368464 38.973392, -90.383936 38.934647, -90.234838 38.86804, -90.250813 38.837394, -90.210589 38.80427, -90.206237 38.782266, -90.184928 38.779489)</t>
  </si>
  <si>
    <t>P0256</t>
  </si>
  <si>
    <t>https://www.gem.wiki/Stingray_Gas_Pipeline</t>
  </si>
  <si>
    <t>Stingray Gas Pipeline</t>
  </si>
  <si>
    <t>MULTILINESTRING ((-93.345799 29.781544, -92.999773 29.145482, -92.914672 29.071127, -93.021832 29.001523), (-92.999773 29.145482, -93.310142 29.128694, -93.290959 29.035118, -93.447557 29.023146), (-92.999773 29.145482, -92.708641 29.322846), (-92.999773 29.145482, -92.689458 29.056727, -92.83507 28.958279))</t>
  </si>
  <si>
    <t>P0257</t>
  </si>
  <si>
    <t>https://www.gem.wiki/Sur_de_Texas-Tuxpan_Gas_Pipeline</t>
  </si>
  <si>
    <t>Sur de Texas-Tuxpan Gas Pipeline</t>
  </si>
  <si>
    <t>TC Energy [60.00%]; IENova [40.00%]</t>
  </si>
  <si>
    <t>Tuxpan</t>
  </si>
  <si>
    <t>Veracruz, Mexico</t>
  </si>
  <si>
    <t>Gasoducto Sur de Texas-Tuxpan</t>
  </si>
  <si>
    <t>https://www.gem.wiki/Gasoducto_Sur_de_Texas-Tuxpan</t>
  </si>
  <si>
    <t>MULTILINESTRING ((-97.532714 21.27203764, -97.2947679 20.52250742), (-97.4732274 21.58136757, -97.532714 21.27203764), (-97.3899463 22.43797353, -98.1037846 22.30710318), (-97.3899463 22.43797353, -96.949746 21.21255111, -97.532714 21.27203764), (-97.7349681 25.88819199, -97.0687191 25.87629469, -97.3185625 25.00779142, -97.3899463 22.43797353))</t>
  </si>
  <si>
    <t>P0258</t>
  </si>
  <si>
    <t>https://www.gem.wiki/Tejas_Gas_Pipeline</t>
  </si>
  <si>
    <t>Tejas Gas Pipeline</t>
  </si>
  <si>
    <t>Refugio County</t>
  </si>
  <si>
    <t>Fort Bend County</t>
  </si>
  <si>
    <t>MULTILINESTRING ((-99.293676 26.89744, -98.266497 26.175057, -97.703491 26.207134), (-99.293676 26.89744, -99.481822 27.319182, -99.413887 27.490513, -99.09258 27.390609, -98.985506 27.085393, -99.293676 26.89744), (-98.985506 27.085393, -98.463661 27.51008, -98.178054 27.763166, -97.851254 28.095656, -98.117716 28.311116, -98.61489 27.896865, -99.293676 26.89744), (-98.178054 27.763166, -97.646596 27.791117), (-98.117716 28.311116, -97.760666 30.279912), (-98.61489 27.896865, -99.210904 27.636826), (-98.463661 27.51008, -97.560079 27.468696, -97.328036 27.650135), (-98.178054 27.763166, -96.986043 28.793555, -97.845766 28.820065, -96.986043 28.793555, -96.620834 28.988411, -96.640103 29.522807), (-96.620834 28.988411, -94.854868 29.317097, -95.835441 29.77828, -95.42075 30.061598, -94.990953 29.741394, -95.033568 29.687758, -95.275997 29.706284, -95.283593 29.607865, -94.95542 29.37002, -94.654712 29.605548, -93.954339 29.865509, -93.737402 30.086808), (-96.316012 29.048496, -96.349014 30.639847, -95.8327 32.186849, -95.291666 32.356412, -95.442771 32.803121))</t>
  </si>
  <si>
    <t>P0259</t>
  </si>
  <si>
    <t>https://www.gem.wiki/Tennessee_Gas_Pipeline</t>
  </si>
  <si>
    <t>Tennessee Gas Pipeline</t>
  </si>
  <si>
    <t>MULTILINESTRING ((-71.053035 42.383534, -70.923989 42.576, -70.650061 42.625057), (-71.053035 42.383534, -71.436189 42.990219), (-71.053035 42.383534, -71.395033 42.020391, -70.951503 41.804789, -70.668648 41.950017), (-71.395033 42.020391, -72.636493 42.044876, -73.433045 42.358238, -73.748945 42.655907, -74.203547 42.929035, -75.222572 43.099766, -76.15096 43.063687, -78.837246 42.891216, -78.834542 42.756276, -79.639334 42.300894, -79.760742 41.999809, -80.156812 41.166032, -80.529828 40.863185, -82.825976 38.57343, -83.177544 38.349768, -81.540624 38.444513), (-83.177544 38.349768, -86.781145 36.181772), (-72.636493 42.044876, -72.930383 41.30017, -74.015326 40.742785, -75.015125 41.479499, -77.135529 42.012326, -80.156812 41.166032), (-80.529828 40.863185, -79.997034 40.467379), (-77.135529 42.012326, -77.019702 42.976046), (-86.781145 36.181772, -90.132018 29.916401, -89.950787 29.692408, -90.266687 29.369826, -91.326911 29.690094, -93.211109 30.218421, -93.741242 30.097341), (-86.781145 36.181772, -92.149291 32.48562, -93.218062 30.225925), (-86.781145 36.181772, -93.467564 31.993049, -96.626613 28.625628, -97.7967 27.418251, -98.219717 26.167954), (-93.324699 29.796639, -93.211109 30.218421, -93.467564 31.993049, -94.362993 32.193194))</t>
  </si>
  <si>
    <t>P0260</t>
  </si>
  <si>
    <t>https://www.gem.wiki/Texas_Eastern_Appalachia_to_Market_(TEAM)_Gas_Pipeline</t>
  </si>
  <si>
    <t>Texas Eastern Appalachia to Market (TEAM) Gas Pipeline</t>
  </si>
  <si>
    <t>LINESTRING (-80.872189 39.76632, -80.313423 39.85588, -79.65366 39.962709, -78.503551 40.01891, -77.660797 39.937549, -77.146007 39.949391, -76.552256 40.057074, -75.363029 40.101238)</t>
  </si>
  <si>
    <t>P0261</t>
  </si>
  <si>
    <t>https://www.gem.wiki/Texas_Eastern_Appalachian_Lease_(TEAL)_Gas_Pipeline</t>
  </si>
  <si>
    <t>Texas Eastern Appalachian Lease (TEAL) Gas Pipeline</t>
  </si>
  <si>
    <t>LINESTRING (-81.894633 39.407754, -81.709816 39.405207)</t>
  </si>
  <si>
    <t>P0262</t>
  </si>
  <si>
    <t>https://www.gem.wiki/Texas_Eastern_Transmission_(TETCO)_Gas_Pipeline</t>
  </si>
  <si>
    <t>Texas Eastern Transmission (TETCO) Gas Pipeline</t>
  </si>
  <si>
    <t>Texas Eastern Transmission, LP [100.00%]</t>
  </si>
  <si>
    <t>MULTILINESTRING ((-73.924792 40.793908, -74.328583 40.529338, -74.982275 40.35794, -75.740375 40.064324, -77.135644 40.257439, -78.223333 39.997061, -79.530749 39.954997, -80.816192 40.081235, -81.552281 40.005543, -84.738359 37.591431, -89.769716 32.754567, -91.143093 30.453095, -90.48945 29.81177, -89.443045 29.341235, -88.926731 29.904739, -88.431016 29.974986), (-74.328583 40.529338, -74.435743 40.872937, -74.181727 41.104133), (-75.740375 40.064324, -75.185609 39.942329), (-79.530749 39.954997, -79.580193 40.479321, -77.657629 40.63794, -77.778522 41.753942, -77.657629 40.63794, -75.075708 40.521026), (-80.816192 40.081235, -80.694012 40.609824), (-89.769716 32.754567, -92.137313 32.518684), (-89.443045 29.341235, -89.849544 29.06313, -89.756203 29.02955), (-91.143093 30.453095, -93.214973 30.227409, -95.384816 29.746906, -95.725435 29.009792, -96.458502 28.706086, -96.620864 28.639262, -97.466854 27.81653, -98.241433 26.147383), (-98.697156 28.175315, -96.980358 29.191576, -96.458502 28.706086, -96.980358 29.191576, -94.025079 31.962532, -93.338477 32.339279, -93.066608 32.799926), (-94.025079 31.962532, -94.733702 32.49691, -89.438335 37.305664, -87.911279 38.252161, -84.241889 39.331103, -81.552281 40.005543), (-84.241889 39.331103, -85.483387 40.3518), (-93.214973 30.227409, -93.247937 28.068732, -91.671442 28.015437))</t>
  </si>
  <si>
    <t>P0263</t>
  </si>
  <si>
    <t>https://www.gem.wiki/Texas_Gas_Transmission_Pipeline</t>
  </si>
  <si>
    <t>Texas Gas Transmission Pipeline</t>
  </si>
  <si>
    <t>Louisana</t>
  </si>
  <si>
    <t>Indiana, Illinois, Ohio</t>
  </si>
  <si>
    <t>MULTILINESTRING ((-90.6661886 29.2591654, -91.2128016 29.6943334, -92.0203396 30.2273473, -92.4538256 31.2853493, -93.3671076 29.7903514), (-92.0203396 30.2273473, -92.2285626 29.5994844), (-92.4538256 31.2853493, -91.8702636 32.9969043, -91.0473676 33.4013953, -90.5650475 34.4225282, -88.4448155 37.0264372, -87.4890485 37.4288292, -86.4893355 37.9157942, -85.5555405 38.3306441, -84.8991505 39.1191671, -84.3443845 39.3574212), (-91.8702636 32.9969043, -94.7652036 32.4979343), (-91.0473676 33.4013953, -89.6109486 33.0705833), (-90.5650475 34.4225282, -91.5209015 35.6101772, -92.8063445 35.8064352), (-87.4890485 37.4288292, -87.3747705 37.1841472, -86.0454675 37.1140902), (-86.4893355 37.9157942, -86.4959075 39.1021191, -87.4957065 39.2894322, -87.4890485 37.4288292), (-87.4957065 39.2894322, -87.4171335 39.7766412), (-86.4959075 39.1021191, -86.0465465 39.4762461, -86.3281145 39.7196232))</t>
  </si>
  <si>
    <t>P0264</t>
  </si>
  <si>
    <t>https://www.gem.wiki/Texas_Intrastate_System_Gas_Pipeline</t>
  </si>
  <si>
    <t>Texas Intrastate System Gas Pipeline</t>
  </si>
  <si>
    <t>MULTILINESTRING ((-103.1205986 31.298221, -95.8398906 29.7910816), (-103.1205986 31.298221, -94.3554286 32.1573866), (-98.1848166 32.3885145, -96.6293856 33.66974))</t>
  </si>
  <si>
    <t>P0265</t>
  </si>
  <si>
    <t>https://www.gem.wiki/Tiger_Gas_Pipeline</t>
  </si>
  <si>
    <t>Tiger Gas Pipeline</t>
  </si>
  <si>
    <t>Carthage</t>
  </si>
  <si>
    <t>Delhi</t>
  </si>
  <si>
    <t>LINESTRING (-94.338391 32.157352, -91.493065 32.457284)</t>
  </si>
  <si>
    <t>P0266</t>
  </si>
  <si>
    <t>https://www.gem.wiki/Trailblazer_Gas_Pipeline</t>
  </si>
  <si>
    <t>Trailblazer Gas Pipeline</t>
  </si>
  <si>
    <t>Beatrice</t>
  </si>
  <si>
    <t>LINESTRING (-104.809636 41.149062, -96.746442 40.266035)</t>
  </si>
  <si>
    <t>P0267</t>
  </si>
  <si>
    <t>https://www.gem.wiki/Trans_Qu%C3%A9bec_and_Maritimes_(TQM)_Pipeline</t>
  </si>
  <si>
    <t>Trans Québec and Maritimes (TQM) Pipeline</t>
  </si>
  <si>
    <t>TC Energy [50.00%]; Trencap [50.00%]</t>
  </si>
  <si>
    <t>Quebec City</t>
  </si>
  <si>
    <t>East Hereford</t>
  </si>
  <si>
    <t>MULTILINESTRING ((-71.213986 46.813537, -71.734966 46.675761, -72.569707 46.345195, -73.215197 46.103901, -73.305877 45.907432, -73.490276 45.720137, -73.854241 45.64821, -74.138023 45.399932), (-73.305877 45.907432, -73.420195 46.017495), (-73.490276 45.720137, -73.036021 45.36979, -72.155405 45.262141, -72.040864 45.170326, -71.489531 45.163093, -71.4985 45.082211))</t>
  </si>
  <si>
    <t>P0268</t>
  </si>
  <si>
    <t>https://www.gem.wiki/Trans-Pecos_Gas_Pipeline</t>
  </si>
  <si>
    <t>Trans-Pecos Gas Pipeline</t>
  </si>
  <si>
    <t>Waha-Presidio Gas Pipeline</t>
  </si>
  <si>
    <t>Fort Stockton</t>
  </si>
  <si>
    <t>Presidio</t>
  </si>
  <si>
    <t>LINESTRING (-103.108973 31.27795383, -103.106118 31.26367707, -103.126105 31.21870525, -103.14181 31.1822995, -103.162511 31.14161072, -103.183926 31.1059188, -103.208197 31.05095325, -103.234609 31.00241225, -103.26459 30.93459761, -103.287433 30.89390883, -103.348823 30.77655381, -103.370238 30.73229583, -103.403788 30.66876422, -103.418779 30.63949685, -103.423062 30.6309308, -103.427345 30.62878928, -103.436625 30.62236474, -103.446619 30.61451251, -103.45804 30.60237726, -103.465892 30.58952817, -103.469461 30.58024828, -103.48588 30.5695407, -103.51943 30.5452702, -103.557264 30.51942925, -103.57154 30.50229713, -103.582248 30.49087572, -103.582248 30.48016815, -103.588672 30.46946057, -103.597952 30.458753, -103.607946 30.45018694, -103.61794 30.44590391, -103.631503 30.43876552, -103.645066 30.42663027, -103.657201 30.41235351, -103.665767 30.40450129, -103.673619 30.39664906, -103.677188 30.388083, -103.685754 30.38379997, -103.692179 30.37666159, -103.69432 30.36524018, -103.696462 30.35596028, -103.704314 30.35239109, -103.715022 30.34810806, -103.727871 30.34382503, -103.742862 30.339542, -103.755711 30.33311746, -103.769274 30.32597907, -103.780695 30.32026837, -103.791403 30.31669917, -103.797827 30.30956079, -103.804965 30.30242241, -103.805679 30.29457019, -103.812104 30.291001, -103.817815 30.28885948, -103.826381 30.28386261, -103.836374 30.27315504, -103.855648 30.25887827, -103.874527 30.23404074, -103.893527 30.21661772, -103.909518 30.20921535, -103.935615 30.20314947, -103.96322 30.19080988, -103.996601 30.17850866, -104.016877 30.17489391, -104.035755 30.16624135, -104.057485 30.16137483, -104.073467 30.1526959, -104.096211 30.1426654, -104.114771 30.12196409, -104.128334 30.10411813, -104.142611 30.08627217, -104.162598 30.06856898, -104.179731 30.04643999, -104.19258 30.02359717, -104.204001 30.0000405, -104.211139 29.98148071, -104.21685 29.96720394, -104.224702 29.95792404, -104.236838 29.95221334, -104.250401 29.94364728, -104.26325 29.93650889, -104.271816 29.92223213, -104.276099 29.91223839, -104.27824 29.89510627, -104.279668 29.88011567, -104.281809 29.87012193, -104.286092 29.86441123, -104.293945 29.85941436, -104.297514 29.85513133, -104.302511 29.84870678, -104.305366 29.84585143, -104.308221 29.83799921, -104.311791 29.8322885, -104.317501 29.82943315, -104.323212 29.82800547, -104.326781 29.82372244, -104.328923 29.81015952, -104.333206 29.808018, -104.334633 29.80373497, -104.33392 29.79231356, -104.336775 29.78231982, -104.33963 29.77518144, -104.346769 29.76875689, -104.353907 29.76304619, -104.363187 29.75804932, -104.368184 29.7559078, -104.373895 29.75519397, -104.377464 29.74805558, -104.390313 29.73806185, -104.415297 29.72449892, -104.435285 29.71307751, -104.492392 29.68666549, -104.50881 29.67809943, -104.523087 29.6738164, -104.538077 29.66810569)</t>
  </si>
  <si>
    <t>P0269</t>
  </si>
  <si>
    <t>https://www.gem.wiki/TransCameron_Pipeline</t>
  </si>
  <si>
    <t>TransCameron Pipeline</t>
  </si>
  <si>
    <t>TransCameron Pipeline LLC [100.00%]</t>
  </si>
  <si>
    <t>Grand Chenier</t>
  </si>
  <si>
    <t>Cameron</t>
  </si>
  <si>
    <t>LINESTRING (-92.975147 29.767331, -93.327462 29.795517)</t>
  </si>
  <si>
    <t>P0270</t>
  </si>
  <si>
    <t>https://www.gem.wiki/TransColorado_Gas_Pipeline</t>
  </si>
  <si>
    <t>TransColorado Gas Pipeline</t>
  </si>
  <si>
    <t>Rio Blanco County</t>
  </si>
  <si>
    <t>San Juan County</t>
  </si>
  <si>
    <t>LINESTRING (-108.281154 40.04189, -108.236477 36.712715)</t>
  </si>
  <si>
    <t>P0271</t>
  </si>
  <si>
    <t>https://www.gem.wiki/Transcontinental_Gas_Pipeline</t>
  </si>
  <si>
    <t>Transcontinental Gas Pipeline</t>
  </si>
  <si>
    <t>Transco Gas Pipeline</t>
  </si>
  <si>
    <t>Transco [100.00%]</t>
  </si>
  <si>
    <t>MULTILINESTRING ((-96.898656 27.366752, -96.917925 27.24232, -97.167907 27.029707, -97.438488 27.25094, -97.542257 27.224761, -97.807946 27.279053, -98.110843 27.422449, -96.99852 28.800876, -95.828481 30.02107, -95.40834 30.085329, -93.76318 30.363031, -92.41736 30.500391, -91.159496 30.461524, -90.498986 30.998665, -88.466559 31.907774, -85.268571 33.266188, -84.834654 33.426829, -82.934025 34.47484, -79.484361 36.531719, -79.364928 36.607854, -77.442326 39.062961, -76.492052 39.737895, -76.313567 39.849774, -75.956517 39.988806, -75.598093 40.025626, -74.880798 40.294734, -74.672057 40.177318, -74.979675 39.82385, -75.408141 39.773205), (-96.99852 28.800876, -98.926664 28.090915), (-96.99852 28.800876, -95.603262 28.424741, -95.09515 28.784036), (-95.603262 28.424741, -96.070224 28.110303), (-93.76318 30.363031, -93.349862 29.779542, -94.039297 29.217806), (-93.349862 29.779542, -93.121901 29.743782, -93.0368 29.473982), (-92.41736 30.500391, -92.288314 29.847464, -92.20596 29.250167), (-88.466559 31.907774, -88.373218 30.465181, -88.049164 29.327084), (-90.498986 30.998665, -90.867033 29.513588, -92.394176 28.176041), (-90.867033 29.513588, -90.982395 28.113042, -91.674577 27.967628), (-90.982395 28.113042, -90.641824 27.773356), (-84.834654 33.426829, -84.939067 34.551817), (-79.364928 36.607854, -78.219646 36.632135, -77.002953 36.280922), (-76.313567 39.849774, -76.183834 39.723699), (-75.956517 39.988806, -75.724474 39.791797), (-75.598093 40.025626, -75.429221 39.818176), (-75.598093 40.025626, -75.89893 40.182197), (-74.880798 40.294734, -74.416625 40.505987, -74.212091 40.657282, -74.176772 40.737744, -74.174755 40.9108), (-74.416625 40.505987, -73.584454 40.595756), (-74.176772 40.737744, -74.244069 40.713811, -74.294924 40.806419, -74.827804 40.468806, -75.673794 41.472521, -77.135019 41.546595, -78.305106 41.813299))</t>
  </si>
  <si>
    <t>P0272</t>
  </si>
  <si>
    <t>https://www.gem.wiki/TransGas_Pipeline</t>
  </si>
  <si>
    <t>TransGas Pipeline</t>
  </si>
  <si>
    <t>SaskEnergy [100.00%]</t>
  </si>
  <si>
    <t>North Dakota, Montana</t>
  </si>
  <si>
    <t>MULTILINESTRING ((-109.6700485 54.3547422, -105.7771965 53.2002932, -105.7744925 52.9991002, -105.9080245 52.3345592, -106.6881395 52.1259572), (-105.7744925 52.9991002, -102.6434325 53.0915652), (-105.9080245 52.3345592, -103.8261585 51.9570191), (-106.6881395 52.1259572, -105.0457265 51.8281942), (-109.6700485 54.3547422, -108.3185095 52.7830442, -107.9972025 52.0189131, -106.6733935 52.1404441), (-106.6733935 52.1404441, -108.0099095 51.5501781, -104.6265345 50.4488901, -102.8260645 50.9336122, -102.4834595 51.2190081, -102.0286055 50.9013801, -101.6838905 50.1497581), (-102.4834595 51.2190081, -102.4093445 51.8918271), (-108.0103925 52.0505112, -108.0076885 51.5614091, -107.8155965 50.2852801, -104.6399235 50.4493271, -103.8764165 49.6735352, -103.0057935 49.1409721, -102.1955945 49.2271421), (-107.8155965 50.2852801, -108.0859255 50.4394621, -108.4952095 50.1059292, -109.4730795 49.9930521, -109.9756605 49.9612602), (-109.4730795 49.9930521, -109.5527735 50.9647921, -109.6214815 51.8725542, -107.9982945 52.0587011, -109.1670085 52.4420762, -109.1313455 53.1429412, -110.0194645 54.0998902, -109.6967845 54.3567722), (-108.3160445 52.7758832, -109.1483015 53.0574212))</t>
  </si>
  <si>
    <t>P0273</t>
  </si>
  <si>
    <t>https://www.gem.wiki/Transwestern_Gas_Pipeline</t>
  </si>
  <si>
    <t>Transwestern Gas Pipeline</t>
  </si>
  <si>
    <t>Texas-Oklahoma Panhandle, California, Arizona</t>
  </si>
  <si>
    <t>MULTILINESTRING ((-100.6795326 35.7537021, -100.9744956 35.5461771, -104.5681036 33.4045251, -109.0131516 35.4075782, -112.9491946 35.3138293, -114.6421676 34.9409724), (-100.9744956 35.5461771, -101.4809456 36.1295758, -102.0495316 36.2160778), (-104.5681036 33.4045251, -102.8927316 30.9170091), (-109.0131516 35.4075782, -108.2451876 36.7263206, -108.2795626 37.3479053), (-112.9491946 35.3138293, -112.1307566 34.3988347, -112.1555186 33.8098509, -112.4398326 33.673992, -112.4481156 33.4703561, -112.6802446 32.9452923, -111.7217306 32.8461603, -111.8082906 33.0501722))</t>
  </si>
  <si>
    <t>P0274</t>
  </si>
  <si>
    <t>https://www.gem.wiki/Trunkline_Gas_Pipeline</t>
  </si>
  <si>
    <t>Trunkline Gas Pipeline</t>
  </si>
  <si>
    <t>Illinois, Indiana</t>
  </si>
  <si>
    <t>MULTILINESTRING ((-97.8852376 27.5195886, -97.0407906 28.794847, -95.4862686 30.1482365, -93.2494656 30.6055273, -89.8266146 34.7056265, -89.4043436 36.0371279, -88.3009225 39.7971981, -85.9883435 41.6988412), (-93.2494656 30.6055273, -92.3025616 29.9983436, -91.2946096 29.6862876, -91.1284846 29.2451278), (-91.2946096 29.6862876, -92.2422666 29.6171387))</t>
  </si>
  <si>
    <t>P0275</t>
  </si>
  <si>
    <t>https://www.gem.wiki/Tuscarora_Gas_Pipeline</t>
  </si>
  <si>
    <t>Tuscarora Gas Pipeline</t>
  </si>
  <si>
    <t>TC PipeLines, LP [100.00%]</t>
  </si>
  <si>
    <t>Wadsworth</t>
  </si>
  <si>
    <t>LINESTRING (-121.4260565 42.0127, -119.3050465 39.6342282)</t>
  </si>
  <si>
    <t>P0276</t>
  </si>
  <si>
    <t>https://www.gem.wiki/Valley_Crossing_Pipeline</t>
  </si>
  <si>
    <t>Valley Crossing Pipeline</t>
  </si>
  <si>
    <t>42, 48</t>
  </si>
  <si>
    <t>Agua Dulce</t>
  </si>
  <si>
    <t>LINESTRING (-97.85289 27.75445, -97.798439 27.718915, -97.764974 27.619079, -97.78723 27.483522, -97.77973 27.34344, -97.802194 27.047387, -97.799763 26.877852, -97.777588 26.757835, -97.785663 26.554845, -97.773414 26.514279, -97.620925 26.221191, -97.568787 26.146236, -97.550131 26.141464, -97.543745 26.076486, -97.431305 26.057292, -97.399333 25.998575, -97.321406 26.000136, -97.268734 26.033424, -97.218175 26.034494, -97.159685 26.059817, -97.112124 25.985004, -96.992104 25.987868)</t>
  </si>
  <si>
    <t>P0277</t>
  </si>
  <si>
    <t>https://www.gem.wiki/Vector_Gas_Pipeline</t>
  </si>
  <si>
    <t>Vector Gas Pipeline</t>
  </si>
  <si>
    <t>LINESTRING (-88.1412965 41.5199002, -87.5281225 41.5070463, -86.0229525 41.7824892, -83.6993875 43.0196525, -82.4263895 42.9825215)</t>
  </si>
  <si>
    <t>P0278</t>
  </si>
  <si>
    <t>https://www.gem.wiki/Viking_Gas_Transmission</t>
  </si>
  <si>
    <t>Viking Gas Transmission</t>
  </si>
  <si>
    <t>Emerson</t>
  </si>
  <si>
    <t>Marshfield</t>
  </si>
  <si>
    <t>LINESTRING (-97.20808631377847 49.005583979729074, -96.0536695 46.2066499, -90.1925355 44.6629906)</t>
  </si>
  <si>
    <t>P0279</t>
  </si>
  <si>
    <t>https://www.gem.wiki/WB_Xpress_Gas_Pipeline</t>
  </si>
  <si>
    <t>WB Xpress Gas Pipeline</t>
  </si>
  <si>
    <t>East Phase</t>
  </si>
  <si>
    <t>LINESTRING (-78.433383 39.221273, -78.100671 39.404871)</t>
  </si>
  <si>
    <t>P0280</t>
  </si>
  <si>
    <t>https://www.gem.wiki/Westcoast_Connector_Gas_Transmission_Project</t>
  </si>
  <si>
    <t>Westcoast Connector Gas Transmission Project</t>
  </si>
  <si>
    <t>BG Group [unknown %]; Enbridge [unknown %]</t>
  </si>
  <si>
    <t>Enbridge [unknown %]; Shell [unknown %]</t>
  </si>
  <si>
    <t>Montney</t>
  </si>
  <si>
    <t>Prince Rupert LNG</t>
  </si>
  <si>
    <t>LINESTRING (-130.3283835 54.2781723, -128.3618735 55.4229156, -123.2697535 55.3386776, -121.9349575 56.0354052, -120.9439345 56.450255)</t>
  </si>
  <si>
    <t>P0281</t>
  </si>
  <si>
    <t>https://www.gem.wiki/Williston_Basin_Gas_Pipeline</t>
  </si>
  <si>
    <t>Williston Basin Gas Pipeline</t>
  </si>
  <si>
    <t>MDU Resources Group [100.00%]</t>
  </si>
  <si>
    <t>MULTILINESTRING ((-103.2497085 44.1275791, -103.8814655 44.5127222, -104.0046425 45.0139061, -104.1475075 46.8024661, -101.4174475 46.8475671, -99.9463575 46.8776131, -104.1475075 46.8024661), (-101.4174475 46.8475671, -101.3131205 48.2489631, -102.9676415 48.7295221, -104.9341625 47.4080551), (-99.9463575 46.8776131, -99.9518935 47.7638421, -97.2987385 48.8886971), (-104.9341625 47.4080551, -104.1475075 46.8024661), (-104.9341625 47.4080551, -107.9619745 48.7583981), (-104.1475075 46.8024661, -108.9617735 45.0060191, -108.1323485 43.2476401), (-104.1475075 46.8024661, -105.3900405 45.0061351, -104.0579915 45.0061331), (-105.3900405 45.0061351, -106.9511775 44.7960221, -106.7287475 44.3538591))</t>
  </si>
  <si>
    <t>P0282</t>
  </si>
  <si>
    <t>https://www.gem.wiki/Wyoming_Interstate_Gas_Pipeline</t>
  </si>
  <si>
    <t>Wyoming Interstate Gas Pipeline</t>
  </si>
  <si>
    <t>MULTILINESTRING ((-105.4006265 42.7599496, -105.0326275 42.5215698, -104.8541425 41.1299414, -105.4144885 41.1713344, -106.5735895 41.7599912, -107.9973655 41.6732642, -109.3387755 41.5624192), (-107.9973655 41.6732642, -108.3870425 40.1808699), (-109.3387755 41.5624192, -109.2272445 41.1273764, -109.4785995 40.9730955, -109.5376945 40.4620658))</t>
  </si>
  <si>
    <t>P0283</t>
  </si>
  <si>
    <t>https://www.gem.wiki/Creole_Trail_Pipeline</t>
  </si>
  <si>
    <t>Creole Trail Pipeline</t>
  </si>
  <si>
    <t>Cheniere Energy [100.00%]</t>
  </si>
  <si>
    <t>Beauregard Parish</t>
  </si>
  <si>
    <t>Sabine Pass LNG</t>
  </si>
  <si>
    <t>LINESTRING (-93.8621184 29.76232825, -93.81240337 29.77786365, -93.64138363 29.77786365, -93.5936572 29.77786365, -93.50615873 29.77095932, -93.37093382 29.78994507, -93.34905921 29.81237812, -93.3430934 29.84515585, -93.31127578 29.88654391, -93.29337836 29.91240273, -93.32320739 30.05708797, -93.3391162 30.08462315, -93.39081984 30.11215066, -93.40275145 30.16202473, -93.40474005 30.29432655, -93.40275145 30.34410833, -93.34905921 30.35440485, -93.3371276 30.36641608, -93.32718459 30.38185693, -93.17207367 30.467595, -93.15616486 30.47445079)</t>
  </si>
  <si>
    <t>P0284</t>
  </si>
  <si>
    <t>https://www.gem.wiki/Midship_Pipeline</t>
  </si>
  <si>
    <t>Midship Pipeline</t>
  </si>
  <si>
    <t>Kingfisher County</t>
  </si>
  <si>
    <t>MULTILINESTRING ((-97.7428816 35.764437, -98.1164166 35.7254261, -98.1308706 35.5335782, -98.0374866 35.3803272, -97.6860136 34.7472745, -97.3646636 34.5111026, -97.3713276 34.3759507, -96.9524746 34.2511787, -96.6893276 34.2451817, -96.4696006 34.1588618, -96.0560036 34.0045758), (-97.3646636 34.5111026, -97.6830536 34.4477606))</t>
  </si>
  <si>
    <t>P0285</t>
  </si>
  <si>
    <t>https://www.gem.wiki/Haynesville_Global_Access_Pipeline</t>
  </si>
  <si>
    <t>Haynesville Global Access Pipeline</t>
  </si>
  <si>
    <t>Tellurian Inc. [100.00%]</t>
  </si>
  <si>
    <t>Haynesville Bossier Shale area</t>
  </si>
  <si>
    <t>Haynesville</t>
  </si>
  <si>
    <t>Gillis</t>
  </si>
  <si>
    <t>LINESTRING (-93.161545 32.8579, -93.235143 32.697462, -93.261397 32.569103, -93.426436 32.155408, -93.428986 32.113596, -93.532311 31.958027, -93.536821 31.88199, -93.491023 31.788532, -93.483273 31.618586, -93.394552 31.464167, -93.26722 31.182227, -93.241554 31.057228, -93.237516 30.94082, -93.207665 30.886133, -92.895355 30.586007, -92.880188 30.547197, -92.874549 30.426931, -93.028111 30.395973)</t>
  </si>
  <si>
    <t>P0286</t>
  </si>
  <si>
    <t>https://www.gem.wiki/Roadrunner_Pipeline</t>
  </si>
  <si>
    <t>Roadrunner Pipeline</t>
  </si>
  <si>
    <t>Phase 1</t>
  </si>
  <si>
    <t>Fermaca [50.00%]; OneOK Inc. [50.00%]</t>
  </si>
  <si>
    <t>Fermaca [50.00%]; OneOK Inc. [unknown %]</t>
  </si>
  <si>
    <t>Permian Basin</t>
  </si>
  <si>
    <t>San Elizario</t>
  </si>
  <si>
    <t>LINESTRING (-106.229246 31.568642, -106.07191 31.629711, -105.941132 31.645291, -105.792878 31.611379, -105.747092 31.626205, -105.71464 31.607476, -105.150185 31.602111, -104.645783 31.464934, -104.577895 31.461818, -104.540884 31.393303, -104.27001 31.325115, -103.883814 31.303424, -103.67013 31.315938, -103.550073 31.298634, -103.440538 31.262434, -103.389369 31.283625, -103.090031 31.259157)</t>
  </si>
  <si>
    <t>P0287</t>
  </si>
  <si>
    <t>https://www.gem.wiki/Gulf_Coast_Southbound_Pipeline</t>
  </si>
  <si>
    <t>Gulf Coast Southbound Pipeline</t>
  </si>
  <si>
    <t>Phase III</t>
  </si>
  <si>
    <t>Agua Dulce Hub</t>
  </si>
  <si>
    <t>P0288</t>
  </si>
  <si>
    <t>https://www.gem.wiki/Empire_Pipeline</t>
  </si>
  <si>
    <t>Empire Pipeline</t>
  </si>
  <si>
    <t>Empire Pipeline [100.00%]</t>
  </si>
  <si>
    <t>National Fuel Gas Company [100.00%]</t>
  </si>
  <si>
    <t>Chippawa</t>
  </si>
  <si>
    <t>Tioga</t>
  </si>
  <si>
    <t>MULTILINESTRING ((-79.022934 42.956473, -78.950693 42.955117, -78.904385 43.116233, -77.709172 43.114881, -77.49245 43.083773, -77.427156 43.037759, -77.362324 43.006612, -77.321573 42.945626, -77.25489 42.872364, -77.134488 42.774546, -77.048818 42.660228, -76.985839 42.556617, -76.946941 42.436431, -76.941384 42.376251, -76.956202 42.339294, -77.024738 42.288614), (-77.491524 43.083773, -77.42484 43.093242, -77.311849 43.120289, -77.121059 43.120289, -76.967316 43.117585, -76.817278 43.187855))</t>
  </si>
  <si>
    <t>P0289</t>
  </si>
  <si>
    <t>https://www.gem.wiki/Pecos_Trail_Pipeline</t>
  </si>
  <si>
    <t>Pecos Trail Pipeline</t>
  </si>
  <si>
    <t>Pecos Trail Pipeline Co [200.00%]</t>
  </si>
  <si>
    <t>Cresta Energy Fund I LP [unknown %]; Namerica Energy Holdings LLC [unknown %]</t>
  </si>
  <si>
    <t>Reeves County</t>
  </si>
  <si>
    <t>LINESTRING (-103.090031 31.259157, -102.958515 31.16852, -102.859598 31.123954, -102.809792 31.118344, -102.770525 31.136762, -102.271573 31.122383, -102.250086 31.098065, -102.222375 31.097471, -102.165964 31.129646, -102.044898 31.098293, -101.987554 30.982445, -101.988453 30.953835, -101.972307 30.939143, -101.878583 30.927369, -101.863237 30.888826, -101.869851 30.855585, -101.80638 30.768149, -101.631221 30.720774, -101.616334 30.672676, -101.515498 30.560279, -101.348172 30.46505, -101.044849 30.203401, -100.952201 30.186261, -100.904656 30.008316, -100.834906 29.972739, -100.833015 29.886834, -100.780166 29.84223, -100.815415 29.652585, -100.734832 29.621398, -100.576942 29.437399, -100.507495 29.282484, -100.422306 29.241442, -100.390806 29.216518, -100.376666 29.168349, -100.286643 29.117529, -100.252419 29.035271, -99.841232 28.796073, -99.744515 28.782802, -99.597541 28.800812, -99.533262 28.788688, -99.301306 28.478958, -99.188617 28.46941, -98.997485 28.41822, -98.785752 28.446777, -98.631119 28.420558, -98.469478 28.422388, -98.119347 28.343219, -98.043295 28.27274, -97.907539 28.213404, -97.827333 28.128348, -97.800346 28.050833, -97.585195 27.859128)</t>
  </si>
  <si>
    <t>P0290</t>
  </si>
  <si>
    <t>https://www.gem.wiki/Nueva_Era_Pipeline</t>
  </si>
  <si>
    <t>Nueva Era Pipeline</t>
  </si>
  <si>
    <t>Impulsora Pipeline, Gasoducto Nueva Era</t>
  </si>
  <si>
    <t>Grupo Clisa [50.00%]; Howard Energy Partners [50.00%]</t>
  </si>
  <si>
    <t>Webb County</t>
  </si>
  <si>
    <t>Gasoducto Nueva Era</t>
  </si>
  <si>
    <t>https://www.gem.wiki/Gasoducto_Nueva_Era</t>
  </si>
  <si>
    <t>MULTILINESTRING ((-99.512866 27.812405, -99.697365 27.712756, -99.868429 27.604832, -99.968552 27.579907, -100.019648 27.455431, -100.058681 27.118123, -100.104173 26.991002, -100.068477 26.89441, -100.150544 26.778069, -100.158275 26.721123, -100.098909 26.49549, -100.108202 26.338483, -100.095129 26.209315, -100.133199 26.120027, -100.12621 26.033973), (-100.12621 26.033973, -100.122715 25.990947, -100.087823 25.942089, -100.072171 25.874812, -100.070765 25.7818, -100.1016 25.7195), (-100.12621 26.033973, -100.174227 26.021285, -100.187003 25.966882, -100.227087 25.953908, -100.23614 25.925598, -100.264817 25.933692, -100.310245 25.918484, -100.36955 25.8668))</t>
  </si>
  <si>
    <t>P0291</t>
  </si>
  <si>
    <t>https://www.gem.wiki/Sunbury_Pipeline#Background</t>
  </si>
  <si>
    <t>Sunbury Pipeline</t>
  </si>
  <si>
    <t>Snyder County Gas Pipeline</t>
  </si>
  <si>
    <t>UGI Corporation [100.00%]</t>
  </si>
  <si>
    <t>Lycoming</t>
  </si>
  <si>
    <t>Snyder County</t>
  </si>
  <si>
    <t>LINESTRING (-76.586261 41.261046, -76.693324 41.079855, -76.804333 40.973098, -76.836716 40.893665, -76.831461 40.838768)</t>
  </si>
  <si>
    <t>P0292</t>
  </si>
  <si>
    <t>https://www.gem.wiki/Prairie_State_Pipeline</t>
  </si>
  <si>
    <t>Prairie State Pipeline</t>
  </si>
  <si>
    <t>Will</t>
  </si>
  <si>
    <t>Douglas</t>
  </si>
  <si>
    <t>MULTILINESTRING ((-88.239975 41.49469, -88.298563 41.444474, -88.302906 41.4082, -88.371324 41.410265, -88.386707 41.359557, -88.357398 41.105376, -88.333242 40.278119), (-88.333242 40.278119, -88.33458 39.965364, -88.345375 39.947122, -88.331129 39.787096), (-88.456601 40.860111, -88.350674 40.861333), (-88.475263 40.283069, -88.333242 40.278119))</t>
  </si>
  <si>
    <t>P0293</t>
  </si>
  <si>
    <t>https://www.gem.wiki/Alaska_Stand_Alone_Pipeline</t>
  </si>
  <si>
    <t>Alaska Stand Alone Pipeline</t>
  </si>
  <si>
    <t>North Slope to Central Alaska Pipeline (ASAP)</t>
  </si>
  <si>
    <t>Point MacKenzie</t>
  </si>
  <si>
    <t>LINESTRING (-148.591774 70.325946, -148.734794 70.212319, -148.752194 70.095082, -148.804319 69.931503, -148.80112 69.830088, -148.752172 69.697854, -148.646994 69.526309, -148.641628 69.46384, -148.693777 69.419724, -148.761496 69.395791, -148.790393 69.358649, -148.774252 69.290685, -148.883613 69.151283, -148.911491 68.997643, -148.89453 68.950636, -148.9 68.896612, -148.872918 68.844107, -148.883666 68.804774, -149.00424 68.727392, -149.378391 68.628437, -149.452407 68.585845, -149.491868 68.53899, -149.47275 68.510059, -149.365344 68.440742, -149.341059 68.331353, -149.397591 68.265712, -149.46575 68.145621, -149.560748 68.077901, -149.674091 68.039043, -149.759126 67.989641, -149.824841 67.93225, -149.866736 67.834226, -149.762523 67.747139, -149.743808 67.697295, -149.768083 67.657091, -149.85914 67.565352, -149.872048 67.495823, -150.026826 67.451279, -150.149112 67.384471, -150.132177 67.340536, -150.147887 67.30072, -150.247912 67.199134, -150.36605 67.126324, -150.372604 67.084009, -150.314201 67.012598, -150.318998 66.985365, -150.650824 66.800587, -150.665115 66.625916, -150.684634 66.579757, -150.73071 66.543916, -150.738862 66.507445, -150.220088 66.182909, -150.166748 66.138213, -150.164974 66.072473, -150.113899 66.012677, -149.787154 65.897221, -149.707702 65.835996, -149.560854 65.811447, -149.079282 65.670516, -148.593872 65.447889, -148.575061 65.383177, -148.594113 65.227017, -148.664004 65.124951, -148.620586 64.998838, -148.651473 64.93457, -148.697748 64.875461, -148.768793 64.829954, -148.778412 64.79064, -149.022445 64.670062, -149.065025 64.625921, -149.090102 64.546889, -149.178077 64.470315, -149.276696 64.339289, -149.285677 64.25513, -149.26624 64.190517, -149.149765 64.074654, -149.069285 63.938812, -149.060671 63.885543, -149.037191 63.851023, -148.751062 63.672724, -148.73816 63.625668, -148.778108 63.575741, -148.787148 63.437945, -148.818487 63.406375, -148.889881 63.37556, -149.115616 63.326991, -149.223132 63.284951, -149.313052 63.228915, -149.449516 63.107286, -149.524637 63.004154, -149.668821 62.914632, -149.835605 62.859367, -149.889978 62.823034, -150.158104 62.718969, -150.209068 62.673733, -150.248764 62.572388, -150.238613 62.519225, -150.252065 62.479442, -150.251536 62.311977, -150.236034 62.220299, -150.196533 62.175095, -150.088278 62.134454, -150.054672 62.043987, -150.088677 62.008845, -150.054563 61.873574, -150.061938 61.813288, -150.120583 61.734625, -150.129623 61.659268, -150.213296 61.602778, -150.210685 61.55212, -150.150336 61.475481, -150.073556 61.426843)</t>
  </si>
  <si>
    <t>P0294</t>
  </si>
  <si>
    <t>https://www.gem.wiki/Magnolia_Intrastate_Pipeline</t>
  </si>
  <si>
    <t>Magnolia Intrastate Pipeline</t>
  </si>
  <si>
    <t>Chilton County</t>
  </si>
  <si>
    <t>Noxubee County</t>
  </si>
  <si>
    <t>MULTILINESTRING ((-87.475624 33.045363, -87.396302 33.050413, -87.356512 33.021894, -87.277211 33.029255, -87.183517 32.933962, -87.077762 32.93463, -86.995121 32.893603, -86.964584 32.855411, -86.879781 32.834355, -86.874184 32.793298, -86.818964 32.712082, -86.745702 32.66231), (-87.715974 32.969834, -87.575726 32.998244, -87.475624 33.045363), (-87.870074 33.102898, -87.801852 33.084264, -87.795796 33.041345, -87.475624 33.045363))</t>
  </si>
  <si>
    <t>P0296</t>
  </si>
  <si>
    <t>https://www.gem.wiki/Delmarva_Pipeline</t>
  </si>
  <si>
    <t>Delmarva Pipeline</t>
  </si>
  <si>
    <t>H4 Capital Partners [100.00%]</t>
  </si>
  <si>
    <t>Rising Sun</t>
  </si>
  <si>
    <t>Accomack</t>
  </si>
  <si>
    <t>LINESTRING (-76.144891 39.714639, -76.119662 39.68151, -76.075664 39.669387, -75.949073 39.683364, -75.856318 39.667636, -75.840664 39.597662, -75.799514 39.556471, -75.860264 39.463061, -75.847724 39.418095, -75.807698 39.38548, -75.851657 39.286466, -75.810352 39.216239, -75.779739 39.108446, -75.820244 38.959395, -75.806611 38.807136, -75.840339 38.721063, -75.83141 38.659611, -75.850371 38.565769, -75.723767 38.478636, -75.73249 38.441385, -75.681675 38.357281, -75.713845 38.302723, -75.714783 38.213155, -75.620103 38.16791, -75.579573 38.084418, -75.542296 38.061703, -75.598308 37.828212, -75.683042 37.724731, -75.73596 37.702235)</t>
  </si>
  <si>
    <t>P0297</t>
  </si>
  <si>
    <t>https://www.gem.wiki/Central_Corridor_Pipeline</t>
  </si>
  <si>
    <t>Central Corridor Pipeline</t>
  </si>
  <si>
    <t>Duke Energy Corporation [100.00%]</t>
  </si>
  <si>
    <t>Hamilton County</t>
  </si>
  <si>
    <t>LINESTRING (-84.359003 39.275657, -84.436069 39.168828)</t>
  </si>
  <si>
    <t>P0298</t>
  </si>
  <si>
    <t>https://www.gem.wiki/Old_Ocean_Pipeline</t>
  </si>
  <si>
    <t>Old Ocean Pipeline</t>
  </si>
  <si>
    <t>ETP Legacy [50.00%]; Enterprise Products Partners [50.00%]</t>
  </si>
  <si>
    <t>Energy Transfer [50.00%]; Enterprise Products Partners [50.00%]</t>
  </si>
  <si>
    <t>Delaware Basin, Midland Basin</t>
  </si>
  <si>
    <t>Maypearl</t>
  </si>
  <si>
    <t>Ellis County</t>
  </si>
  <si>
    <t>Sweeny</t>
  </si>
  <si>
    <t>Brazoria</t>
  </si>
  <si>
    <t>LINESTRING (-97.014518 32.310281, -95.697977 29.039513)</t>
  </si>
  <si>
    <t>P0300</t>
  </si>
  <si>
    <t>https://www.gem.wiki/Arctic_Fox_Pipeline</t>
  </si>
  <si>
    <t>Arctic Fox Pipeline</t>
  </si>
  <si>
    <t>Fairbanks Pipeline Company [100.00%]</t>
  </si>
  <si>
    <t>LINESTRING (-148.271103 70.269239, -147.350887 64.750891)</t>
  </si>
  <si>
    <t>P0301</t>
  </si>
  <si>
    <t>https://www.gem.wiki/East_West_Pipeline</t>
  </si>
  <si>
    <t>East West Pipeline</t>
  </si>
  <si>
    <t>Matagorda County</t>
  </si>
  <si>
    <t>Acadia Parish</t>
  </si>
  <si>
    <t>LINESTRING (-95.968162 28.691551, -96.242738 29.211723, -92.370559 30.22061)</t>
  </si>
  <si>
    <t>P0302</t>
  </si>
  <si>
    <t>https://www.gem.wiki/Permian_Highway_Pipeline</t>
  </si>
  <si>
    <t>Permian Highway Pipeline</t>
  </si>
  <si>
    <t>Permian Highway Pipeline LLC [300.00%]</t>
  </si>
  <si>
    <t>Kinetik [53.30%]; Kinder Morgan [26.70%]; ExxonMobil [20.00%]</t>
  </si>
  <si>
    <t>Waha gas field</t>
  </si>
  <si>
    <t>Wharton County</t>
  </si>
  <si>
    <t>LINESTRING (-103.142335 31.30858463, -103.006865 31.30655278, -102.847978 31.26520667, -102.678978 31.2175193, -102.527914 31.2250924, -102.419871 31.2158104, -102.339987 31.24281556, -102.243715 31.25868144, -102.175857 31.21341595, -102.098106 31.2518952, -102.022616 31.26806096, -101.903458 31.26678429, -101.772489 31.27275193, -101.462364 31.21091258, -101.100251 31.10921433, -100.730168 31.01878563, -100.563828 30.93449341, -100.511703 30.90085624, -100.412084 30.8884155, -100.272289 30.87408586, -100.114803 30.82388602, -99.9684327 30.8197094, -99.8893476 30.77942358, -99.7712295 30.79043671, -99.7617702 30.71475132, -99.7227663 30.67147113, -99.6869068 30.63426698, -99.6607251 30.60936614, -99.6168914 30.59266412, -99.5771715 30.56420839, -99.520056 30.54776335, -99.4796782 30.53175984, -99.4146143 30.51468571, -99.3758522 30.47525008, -99.326492 30.43737703, -99.263468 30.3988868, -99.1455038 30.39209589, -99.0372617 30.33514285, -98.9070591 30.33209591, -98.8352217 30.32871669, -98.7677593 30.31062775, -98.6963378 30.30124133, -98.6091995 30.27021888, -98.5313965 30.25448176, -98.4616393 30.22125347, -98.3805014 30.20526398, -98.2801401 30.17039114, -98.1854544 30.15358813, -98.0492853 30.14343945, -97.8983606 30.15519135, -97.8416602 30.08787681, -97.758458 30.04762102, -97.7319838 29.99239791, -97.6385984 29.8946911, -97.4997542 29.89039322, -97.3999311 29.82497105, -97.3257023 29.75909961, -97.2491656 29.74782788, -97.0253594 29.73409877, -96.9402359 29.67545255, -96.8078833 29.60824437, -96.7187416 29.59045006, -96.5655676 29.57005213)</t>
  </si>
  <si>
    <t>P0303</t>
  </si>
  <si>
    <t>https://www.gem.wiki/Granite_Bridge_Pipeline</t>
  </si>
  <si>
    <t>Granite Bridge Pipeline</t>
  </si>
  <si>
    <t>Algonquin Power &amp; Utilities Corporation [100.00%]</t>
  </si>
  <si>
    <t>Manchester</t>
  </si>
  <si>
    <t>Exter</t>
  </si>
  <si>
    <t>LINESTRING (-71.395186 43.007365, -71.35639 43.029706, -71.329955 43.037485, -71.270216 43.043006, -71.230048 43.022427, -71.132201 43.031462, -71.054864 43.021418, -70.990319 43.006356, -70.940194 42.999828)</t>
  </si>
  <si>
    <t>P0304</t>
  </si>
  <si>
    <t>https://www.gem.wiki/Western_Energy_Storage_and_Transportation_Header_Project</t>
  </si>
  <si>
    <t>Western Energy Storage and Transportation Header Project</t>
  </si>
  <si>
    <t>WEST Header Project</t>
  </si>
  <si>
    <t>Magnum Energy Midstream Holdings [unknown %]</t>
  </si>
  <si>
    <t>24, 36, 42, 48</t>
  </si>
  <si>
    <t>Yuma</t>
  </si>
  <si>
    <t>LINESTRING (-111.893539 40.76168, -111.90634 40.350414, -111.978074 39.980922, -111.867647 39.410662, -111.897301 39.07646, -112.022971 38.586048, -112.179699 38.38936, -112.409739 38.006363, -112.528046 37.853673, -112.655653 37.764246, -113.453862 37.525355, -114.145447 37.224511, -114.588904 36.921703, -114.792547 36.730776, -114.951162 36.492319, -115.07243 36.342669, -115.125091 36.19311, -115.147151 36.066552, -115.140379 35.933818, -115.08395 35.765763, -114.980076 35.587329, -114.794535 35.34972, -114.554997 35.124208, -114.232938 34.864419, -114.144824 34.71926, -114.004311 34.369038, -113.998825 34.232544, -114.022808 34.127556, -114.300913 33.681807, -114.314326 33.55295, -114.243592 33.271063, -114.144948 32.979103, -114.136604 32.868153, -114.17578 32.774878, -114.234704 32.710975, -114.468038 32.614818)</t>
  </si>
  <si>
    <t>P0305</t>
  </si>
  <si>
    <t>https://www.gem.wiki/CJ_Express_Pipeline</t>
  </si>
  <si>
    <t>CJ Express Pipeline</t>
  </si>
  <si>
    <t>Hardin County</t>
  </si>
  <si>
    <t>LINESTRING (-94.171 31.536003, -94.1998 31.511061, -94.347381 31.522516, -94.395338 31.491453, -94.494106 31.492827, -94.570418 31.402772, -94.583571 31.361994, -94.537778 31.28162, -94.444916 30.985829, -94.394948 30.925765, -94.227461 30.514603, -94.145539 30.364708)</t>
  </si>
  <si>
    <t>P0306</t>
  </si>
  <si>
    <t>https://www.gem.wiki/Doosan_Bobcat_Pipeline</t>
  </si>
  <si>
    <t>Doosan Bobcat Pipeline</t>
  </si>
  <si>
    <t>Milnor</t>
  </si>
  <si>
    <t>Qwinner</t>
  </si>
  <si>
    <t>LINESTRING (-97.456003 46.259213, -97.661922 46.22335)</t>
  </si>
  <si>
    <t>P0307</t>
  </si>
  <si>
    <t>https://www.gem.wiki/Mountaineer_Gas_Pipeline</t>
  </si>
  <si>
    <t>Mountaineer Gas Pipeline</t>
  </si>
  <si>
    <t>Mountaineer Gas Company [100.00%]</t>
  </si>
  <si>
    <t>UGI Corp [100.00%]</t>
  </si>
  <si>
    <t>Berkley</t>
  </si>
  <si>
    <t>Martinsburg</t>
  </si>
  <si>
    <t>LINESTRING (-77.603414 38.141908, -77.963767 39.456231)</t>
  </si>
  <si>
    <t>P0308</t>
  </si>
  <si>
    <t>https://www.gem.wiki/Southern_Reliability_Link_Pipeline</t>
  </si>
  <si>
    <t>Southern Reliability Link Pipeline</t>
  </si>
  <si>
    <t>Pinelands Pipeline</t>
  </si>
  <si>
    <t>New Jersey Resources [100.00%]</t>
  </si>
  <si>
    <t>Chesterfield</t>
  </si>
  <si>
    <t>Lakehurst</t>
  </si>
  <si>
    <t>LINESTRING (-74.687226 40.141339, -74.568304 40.101827, -74.55345 40.079398, -74.508676 40.1024, -74.412798 39.99796, -74.340087 40.024982, -74.280104 40.008654)</t>
  </si>
  <si>
    <t>P0309</t>
  </si>
  <si>
    <t>https://www.gem.wiki/Adelphia_Gateway_Pipeline</t>
  </si>
  <si>
    <t>Adelphia Pipeline</t>
  </si>
  <si>
    <t>Adelphia Gateway LLC [100.00%]</t>
  </si>
  <si>
    <t>18, 20</t>
  </si>
  <si>
    <t>Bucks County</t>
  </si>
  <si>
    <t>Deleware County</t>
  </si>
  <si>
    <t>LINESTRING (-75.439242 39.815459, -75.523479 39.959166, -75.582587 40.026603, -75.58153 40.075781, -75.520512 40.171264, -75.447139 40.219117, -75.441131 40.279163, -75.407318 40.336592, -75.316286 40.436897, -75.299185 40.551797, -75.279585 40.574716, -75.296365 40.584537, -75.297418 40.697919, -75.216904 40.726985, -75.181779 40.781229, -75.13155 40.793723)</t>
  </si>
  <si>
    <t>P0310</t>
  </si>
  <si>
    <t>https://www.gem.wiki/DeRuyter_Pipeline</t>
  </si>
  <si>
    <t>DeRuyter Pipeline</t>
  </si>
  <si>
    <t>Iberdrola [100.00%]</t>
  </si>
  <si>
    <t>bcm/y</t>
  </si>
  <si>
    <t>Norwich</t>
  </si>
  <si>
    <t>Oneonta</t>
  </si>
  <si>
    <t>LINESTRING (-75.523306 42.531491, -75.063365 42.452969)</t>
  </si>
  <si>
    <t>P0311</t>
  </si>
  <si>
    <t>https://www.gem.wiki/Buncombe_County_Pipeline</t>
  </si>
  <si>
    <t>Buncombe County Pipeline</t>
  </si>
  <si>
    <t>SCANA [100.00%]</t>
  </si>
  <si>
    <t>Arden</t>
  </si>
  <si>
    <t>Enka</t>
  </si>
  <si>
    <t>North Carolna</t>
  </si>
  <si>
    <t>LINESTRING (-82.658887 35.545369, -82.63389 35.546772, -82.618609 35.530257, -82.620647 35.526239, -82.565637 35.480308, -82.540012 35.471629)</t>
  </si>
  <si>
    <t>P0312</t>
  </si>
  <si>
    <t>https://www.gem.wiki/Risberg_Line_Pipeline</t>
  </si>
  <si>
    <t>Risberg Line Pipeline</t>
  </si>
  <si>
    <t>RH Energytrans [100.00%]</t>
  </si>
  <si>
    <t>Crawford County</t>
  </si>
  <si>
    <t>Ashtabula County</t>
  </si>
  <si>
    <t>LINESTRING (-80.691308 41.906237, -80.670868 41.918657, -80.615512 41.901767, -80.556349 41.908291, -80.542531 41.925453, -80.487627 41.938945, -80.377396 41.933659, -80.33215 41.914442, -80.285 41.858764)</t>
  </si>
  <si>
    <t>P0313</t>
  </si>
  <si>
    <t>https://www.gem.wiki/Marquette_Connector_Pipeline</t>
  </si>
  <si>
    <t>Marquette Connector Pipeline</t>
  </si>
  <si>
    <t>AltaGas [100.00%]</t>
  </si>
  <si>
    <t>Arnold</t>
  </si>
  <si>
    <t>Negaunee</t>
  </si>
  <si>
    <t>LINESTRING (-87.397331 46.558796, -87.42565 46.519904, -87.497836 46.518351, -87.505245 46.496781, -87.493077 46.444477, -87.43041 46.343396, -87.471423 46.297369, -87.451755 46.27022, -87.447426 46.202032, -87.482269 46.178859, -87.485794 46.109089, -87.514079 46.048727)</t>
  </si>
  <si>
    <t>P0314</t>
  </si>
  <si>
    <t>https://www.gem.wiki/Permian_Katy_Pipeline</t>
  </si>
  <si>
    <t>Permian Katy Pipeline</t>
  </si>
  <si>
    <t>Permian 2 Katy (P2K) Pipeline</t>
  </si>
  <si>
    <t>Loews Corporation [50.00%]; Sempra Energy [50.00%]</t>
  </si>
  <si>
    <t>Katy</t>
  </si>
  <si>
    <t>MULTILINESTRING ((-103.115025 31.274285, -102.76565 31.196289, -102.611022 31.205574, -102.527157 31.191924, -102.391015 31.209341, -102.168261 31.148333, -101.980878 31.160156, -101.82564 31.188583, -101.509133 31.148219, -101.200863 31.143503, -100.978556 31.096556, -100.84728 31.108461, -100.629594 31.069107, -99.528464 30.986857, -99.205867 31.004856, -99.115608 31.032868, -98.414162 30.934681, -97.856643 30.800719, -97.659355 30.769599, -97.515254 30.653123, -97.365016 30.560198, -97.270318 30.470451, -97.208615 30.374626, -96.474048 30.060339, -96.41312 30.020331, -96.318434 29.894042, -96.189853 29.859288), (-96.189853 29.859288, -96.023994 29.850188, -95.880672 29.812296), (-96.189853 29.859288, -96.19241 29.761618, -96.175237 29.696465, -96.120612 29.640789, -96.106648 29.539858, -96.054971 29.400392, -95.989049 29.31994))</t>
  </si>
  <si>
    <t>P0315</t>
  </si>
  <si>
    <t>https://www.gem.wiki/Sooner_Trails_Pipeline</t>
  </si>
  <si>
    <t>Sooner Trails Pipeline</t>
  </si>
  <si>
    <t>NextEra Energy, Inc. [unknown %]</t>
  </si>
  <si>
    <t>Bryan County</t>
  </si>
  <si>
    <t>Lamar County</t>
  </si>
  <si>
    <t>LINESTRING (-98.088174 35.734726, -98.140811 35.588514, -98.042849 35.3999, -97.98144 35.202514, -97.852773 35.035832, -97.835227 34.854821, -97.804523 34.800723, -97.804523 34.746624, -97.694864 34.734927, -97.595439 34.663283, -97.394251 34.394253, -97.343077 34.351851, -97.169085 34.300677, -97.150077 34.283132, -97.052115 34.2612, -96.946842 34.264124, -96.891282 34.234882, -96.698282 34.255351, -96.428081 34.126685, -96.257013 34.084283, -96.015763 33.958541, -95.971421 33.927999, -95.912205 33.839792, -95.862858 33.809568, -95.862858 33.784277, -95.64561 33.50806)</t>
  </si>
  <si>
    <t>P0316</t>
  </si>
  <si>
    <t>https://www.gem.wiki/South_Saskatchewan_Access_Pipeline</t>
  </si>
  <si>
    <t>South Saskatchewan Access Pipeline</t>
  </si>
  <si>
    <t>Steel Reef Corp [unknown %]</t>
  </si>
  <si>
    <t>Portal</t>
  </si>
  <si>
    <t>North Portal</t>
  </si>
  <si>
    <t>LINESTRING (-102.549185 48.995863, -102.554736 49.006641)</t>
  </si>
  <si>
    <t>P0317</t>
  </si>
  <si>
    <t>https://www.gem.wiki/Montour_Lateral_Pipeline</t>
  </si>
  <si>
    <t>Montour Lateral Pipeline</t>
  </si>
  <si>
    <t>Riverstone Holdings [unknown %]</t>
  </si>
  <si>
    <t>Montour County</t>
  </si>
  <si>
    <t>LINESTRING (-76.667538 41.070297, -76.590286 40.979869)</t>
  </si>
  <si>
    <t>P0318</t>
  </si>
  <si>
    <t>https://www.gem.wiki/Arkoma_Residue_Capacity_Pipeline</t>
  </si>
  <si>
    <t>Arkoma Residue Capacity Pipeline</t>
  </si>
  <si>
    <t>Tall Oak Midstream [100.00%]</t>
  </si>
  <si>
    <t>Hughes County</t>
  </si>
  <si>
    <t>LINESTRING (-96.250925 35.07515, -96.038193 34.004578)</t>
  </si>
  <si>
    <t>P0319</t>
  </si>
  <si>
    <t>https://www.gem.wiki/Whistler_Pipeline</t>
  </si>
  <si>
    <t>Whistler Pipeline</t>
  </si>
  <si>
    <t>Mainline</t>
  </si>
  <si>
    <t>Whistler Pipeline LLC [400.00%]</t>
  </si>
  <si>
    <t>Marathon Petroleum [25.00%]; Stonepeak Infrastructure Fund III [25.00%]; West Texas Gas [25.00%]; WhiteWater Midstream [25.00%]</t>
  </si>
  <si>
    <t>MULTILINESTRING ((-103.188547 31.248432, -102.922904 31.206274, -102.489615 31.105469, -102.428812 31.103643, -102.249624 31.154041, -102.12738 31.136898, -102.016341 31.151548, -101.947993 31.178106, -101.807383 31.178393), (-97.812237 27.736177, -97.996523 27.788019, -98.207435 27.877349, -98.294913 27.894672, -98.595893 28.104661, -99.062601 28.389327, -99.103102 28.391751, -99.121966 28.42832, -99.196564 28.476401, -99.488545 28.558268, -99.708848 28.717241, -99.773109 28.792782, -99.975154 28.942225, -100.107117 29.005453, -100.251766 29.100307, -100.334015 29.234301, -100.523654 29.357077, -100.60171 29.525879, -100.808032 29.714542, -100.822979 29.745413, -100.8109 29.820468, -100.789825 29.854352, -100.791082 29.904443, -100.821235 29.997665, -100.925594 30.143399, -100.95174 30.220976, -101.076314 30.385884, -101.195637 30.63433, -101.271824 30.698672, -101.311514 30.814306, -101.652019 31.134937, -101.772403 31.157341, -101.807383 31.178393))</t>
  </si>
  <si>
    <t>P0320</t>
  </si>
  <si>
    <t>https://www.gem.wiki/Permian_Global_Access_Pipeline</t>
  </si>
  <si>
    <t>Permian Global Access Pipeline</t>
  </si>
  <si>
    <t>PGAP Project</t>
  </si>
  <si>
    <t>LINESTRING (-103.038981 31.253465, -102.965452 31.291294, -102.848988 31.27985, -102.375033 31.351083, -102.342837 31.388597, -102.270059 31.366071, -101.163891 31.44076, -101.13403 31.409337, -101.059202 31.443301, -100.357983 31.45219, -99.580197 31.442534, -99.472668 31.418869, -99.395041 31.453599, -99.223541 31.423091, -98.9697 31.466181, -98.921426 31.460914, -98.824142 31.415829, -98.335616 31.41601, -98.281682 31.394144, -98.134523 31.4339, -97.675819 31.396008, -97.552678 31.354632, -97.481164 31.361851, -97.294411 31.314569, -97.141227 31.345161, -96.906518 31.343787, -96.390948 31.21881, -96.206427 31.237272, -95.986701 31.28585, -95.773555 31.272489, -95.485155 31.239885, -95.348567 31.193559, -95.22946 31.150337, -95.063955 31.008167, -94.934936 30.992146, -94.741403 30.905675, -94.625236 30.829684, -94.424611 30.820677, -94.325318 30.72359, -94.189552 30.702752, -94.091379 30.660359, -94.088136 30.6118, -93.618381 30.550231, -93.379163 30.455238, -93.22758 30.355791)</t>
  </si>
  <si>
    <t>P0321</t>
  </si>
  <si>
    <t>https://www.gem.wiki/Downeast_Pipeline</t>
  </si>
  <si>
    <t>Downeast Pipeline</t>
  </si>
  <si>
    <t>Robbinston</t>
  </si>
  <si>
    <t>LINESTRING (-67.144764 45.114599, -67.109449 45.076493)</t>
  </si>
  <si>
    <t>P0322</t>
  </si>
  <si>
    <t>https://www.gem.wiki/Renaissance_Gas_Transmission_Pipeline</t>
  </si>
  <si>
    <t>Renaissance Gas Transmission Pipeline</t>
  </si>
  <si>
    <t>Mount Pleasant</t>
  </si>
  <si>
    <t>Lawrenceville</t>
  </si>
  <si>
    <t>LINESTRING (-87.118457 35.651682, -83.996746 33.962509)</t>
  </si>
  <si>
    <t>P0323</t>
  </si>
  <si>
    <t>https://www.gem.wiki/Greater_Philadelphia_Expansion_Project</t>
  </si>
  <si>
    <t>Greater Philadelphia Expansion Project</t>
  </si>
  <si>
    <t>Eagle</t>
  </si>
  <si>
    <t>LINESTRING (-75.687708 40.078075, -75.368332 39.848116)</t>
  </si>
  <si>
    <t>P0325</t>
  </si>
  <si>
    <t>https://www.gem.wiki/Buckeye_Xpress_Pipeline</t>
  </si>
  <si>
    <t>Buckeye Xpress Pipeline</t>
  </si>
  <si>
    <t>Vinton County</t>
  </si>
  <si>
    <t>Wayne County</t>
  </si>
  <si>
    <t>LINESTRING (-82.529803 39.239254, -82.530195 39.1775, -82.557672 39.137337, -82.563209 39.088755, -82.549523 39.071393, -82.564707 39.057036, -82.573273 38.978057, -82.556087 38.956349, -82.535364 38.766247, -82.557944 38.66249, -82.557804 38.587699, -82.544582 38.575858, -82.579076 38.492779, -82.580503 38.444762, -82.545126 38.404793)</t>
  </si>
  <si>
    <t>P0327</t>
  </si>
  <si>
    <t>https://www.gem.wiki/Bluebonnet_Market_Express_Pipeline</t>
  </si>
  <si>
    <t>Bluebonnet Market Express Pipeline</t>
  </si>
  <si>
    <t>LINESTRING (-102.966642 31.314343, -102.065421 31.302445, -100.408721 31.207267, -100.019085 31.180498, -99.513449 31.115063, -99.275503 31.031782, -98.374282 30.781938, -98.148234 30.740298, -97.087351 30.40914, -96.542097 30.121043, -95.792567 29.793867)</t>
  </si>
  <si>
    <t>P0328</t>
  </si>
  <si>
    <t>https://www.gem.wiki/Island_Gas_Connector</t>
  </si>
  <si>
    <t>Island Gas Connector</t>
  </si>
  <si>
    <t>Vancouver Island</t>
  </si>
  <si>
    <t>LINESTRING (-122.232412 49.00084, -122.728555 48.889551, -122.905864 48.800545, -122.996314 48.772991, -123.181974 48.735514, -123.345671 48.754212, -123.380471 48.733226, -123.479237 48.71721, -123.510237 48.689727, -123.499351 48.638888)</t>
  </si>
  <si>
    <t>P0329</t>
  </si>
  <si>
    <t>https://www.gem.wiki/Tungsten_to_Bobtail_Pipeline</t>
  </si>
  <si>
    <t>Tungsten to Bobtail Pipeline</t>
  </si>
  <si>
    <t>Xcel Energy [100.00%]</t>
  </si>
  <si>
    <t>Boulder County</t>
  </si>
  <si>
    <t>Black Hawk</t>
  </si>
  <si>
    <t>LINESTRING (-105.290047 40.019666, -105.494079 39.801347)</t>
  </si>
  <si>
    <t>P0330</t>
  </si>
  <si>
    <t>https://www.gem.wiki/Tidewater_Pipeline</t>
  </si>
  <si>
    <t>Tidewater Pipeline</t>
  </si>
  <si>
    <t>Tidewater Midstream [100.00%]</t>
  </si>
  <si>
    <t>Brazeau River</t>
  </si>
  <si>
    <t>Keephills</t>
  </si>
  <si>
    <t>LINESTRING (-114.348876 53.441681, -116.342086 52.86999)</t>
  </si>
  <si>
    <t>P0331</t>
  </si>
  <si>
    <t>https://www.gem.wiki/Saddle_West_Pipeline</t>
  </si>
  <si>
    <t>Saddle West Pipeline</t>
  </si>
  <si>
    <t>Saddle Hills County</t>
  </si>
  <si>
    <t>LINESTRING (-119.077617 56.243756, -119.47321 55.835687)</t>
  </si>
  <si>
    <t>P0332</t>
  </si>
  <si>
    <t>https://www.gem.wiki/Merrick_Mainline_Pipeline</t>
  </si>
  <si>
    <t>Merrick Mainline Pipeline</t>
  </si>
  <si>
    <t>Peace River</t>
  </si>
  <si>
    <t>LINESTRING (-122.640001 54.282299, -120.233804 55.758341)</t>
  </si>
  <si>
    <t>P0339</t>
  </si>
  <si>
    <t>https://www.gem.wiki/Energia_Mayakan_Pipeline</t>
  </si>
  <si>
    <t>Energia Mayakan Pipeline</t>
  </si>
  <si>
    <t>Engie [67.50%]; General Electric Company [unknown %]; Mexico Infrastructure Partners [unknown %]</t>
  </si>
  <si>
    <t>Ciudad de Pemex</t>
  </si>
  <si>
    <t>Tabasco</t>
  </si>
  <si>
    <t>Valladolid</t>
  </si>
  <si>
    <t>Yucatán</t>
  </si>
  <si>
    <t>Gasoducto de Mayakan</t>
  </si>
  <si>
    <t>https://www.gem.wiki/Gasoducto_de_Mayakan</t>
  </si>
  <si>
    <t>LINESTRING (-88.1627 20.71584, -88.4707 20.69297, -88.7787 20.72499, -89.0036 20.74785, -89.2823 20.81184, -89.429 20.84383, -89.6343 20.85296, -89.6881 20.82098, -89.7419 20.71584, -89.8054 20.54655, -89.9374 20.31748, -90.0987 20.04216, -90.2454 19.82154, -90.397 19.71573, -90.5094 19.63286, -90.573 19.54074, -90.5925 19.4163, -90.5974 19.28714, -90.6463 19.20868, -90.7294 19.07011, -90.7343 18.96381, -90.749 18.88056, -90.881 18.72321, -91.013 18.54717, -91.101 18.47763, -91.1792 18.37095, -91.3112 18.29205, -91.4432 18.18061, -91.5654 18.05981, -91.6485 18.00402, -91.7316 17.96682, -91.7952 17.86913, -91.8881 17.80398, -91.9712 17.77139, -92.0885 17.77605, -92.2694 17.83656, -93.119699 17.864064)</t>
  </si>
  <si>
    <t>P0355</t>
  </si>
  <si>
    <t>https://www.gem.wiki/T-030_Pipeline</t>
  </si>
  <si>
    <t>T-030 Pipeline</t>
  </si>
  <si>
    <t>Franklin County</t>
  </si>
  <si>
    <t>Wake County</t>
  </si>
  <si>
    <t>LINESTRING (-78.476097 36.079598, -78.477167 36.076633, -78.478696 36.073668, -78.479154 36.07058, -78.478237 36.067614, -78.478084 36.063908, -78.480835 36.061684, -78.484504 36.058348, -78.485727 36.05427, -78.485421 36.049079, -78.483587 36.043024, -78.479307 36.035608, -78.478543 36.032765, -78.473193 36.031776, -78.450571 36.032394, -78.446597 36.031776, -78.441247 36.028068, -78.430701 36.015334, -78.429783 36.011378, -78.428102 36.00804, -78.425962 36.00569, -78.426574 35.992953, -78.430701 35.992706, -78.432993 35.992459, -78.434828 35.991222, -78.435133 35.982812, -78.43712 35.975638, -78.43498 35.97403, -78.43284 35.973411, -78.43391 35.964071, -78.432076 35.955658, -78.433758 35.952936, -78.434369 35.944522, -78.43284 35.939696, -78.430701 35.935859, -78.430701 35.933632, -78.434063 35.930537, -78.437885 35.924968, -78.43926 35.921131, -78.44033 35.918531, -78.444304 35.914322, -78.447208 35.911723, -78.446597 35.909247, -78.447973 35.906151, -78.446903 35.903923, -78.446444 35.901199, -78.440177 35.900085, -78.439413 35.896804, -78.439719 35.889869, -78.432688 35.882191, -78.431159 35.879095, -78.431159 35.875504, -78.432688 35.872531, -78.433299 35.870797, -78.432229 35.868815, -78.428561 35.86609, -78.426421 35.863117, -78.426726 35.858534, -78.428255 35.856428, -78.427338 35.853455, -78.426421 35.845897, -78.424587 35.84441, -78.423058 35.841065, -78.423517 35.835365, -78.426726 35.830036, -78.434369 35.820091, -78.436356 35.817116, -78.43819 35.804721, -78.438954 35.803605, -78.442623 35.803109, -78.449501 35.793315, -78.450571 35.788852, -78.453781 35.787488, -78.454545 35.7798, -78.455615 35.777692, -78.458978 35.777816, -78.462646 35.776452, -78.464786 35.774096, -78.467843 35.7736, -78.4709 35.772856, -78.472276 35.75512, -78.474416 35.75177, -78.477473 35.749662, -78.481294 35.749165, -78.484198 35.743366, -78.487255 35.740388, -78.489089 35.735177, -78.488937 35.729594, -78.487714 35.728353, -78.481753 35.727485, -78.478848 35.725251, -78.47946 35.717433, -78.48053 35.714206, -78.483587 35.713214, -78.484504 35.711352, -78.485727 35.705519, -78.501623 35.69472, -78.505444 35.694595, -78.509571 35.693851, -78.51645 35.690747, -78.525315 35.690871, -78.526843 35.688792, -78.527455 35.685812, -78.527608 35.684322, -78.525009 35.683702, -78.525315 35.679853, -78.517825 35.672527)</t>
  </si>
  <si>
    <t>P0359</t>
  </si>
  <si>
    <t>https://www.gem.wiki/Cheyenne_Connector_Pipeline</t>
  </si>
  <si>
    <t>Cheyenne Connector Pipeline</t>
  </si>
  <si>
    <t>DCP Midstream LLC [100.00%]; Tallgrass Energy [50.00%]</t>
  </si>
  <si>
    <t>Tallgrass Energy [50.00%]; Enbridge [25.00%]; Phillips 66 [25.00%]</t>
  </si>
  <si>
    <t>Weld County</t>
  </si>
  <si>
    <t>LINESTRING (-104.80263 40.956418, -104.810938 40.808582, -104.796661 40.752832, -104.699579 40.623056, -104.611063 40.564164, -104.605352 40.462442, -104.58358 40.456018, -104.592146 40.390987, -104.577513 40.372427, -104.600356 40.27713, -104.733843 40.264281, -104.751689 40.154706)</t>
  </si>
  <si>
    <t>P0367</t>
  </si>
  <si>
    <t>https://www.gem.wiki/Valley_Expansion_Pipeline</t>
  </si>
  <si>
    <t>Valley Expansion Pipeline</t>
  </si>
  <si>
    <t>WBI Energy [100.00%]</t>
  </si>
  <si>
    <t>Clay County</t>
  </si>
  <si>
    <t>LINESTRING (-97.03956 46.901666, -97.028766 46.912169, -97.019935 46.916191, -96.989842 46.927361, -96.970544 46.934285, -96.935545 46.945898, -96.928349 46.947238, -96.910032 46.971349, -96.908397 46.975366, -96.912322 47.008163, -96.911341 47.01017, -96.889753 47.012847, -96.886809 47.013293, -96.81583 47.01307, -96.798167 47.015969, -96.781158 47.023774, -96.777233 47.024889, -96.752047 47.028233, -96.74616 47.029125, -96.713778 47.030686, -96.686629 47.032023, -96.68205 47.033807, -96.659153 47.036036, -96.649668 47.048741, -96.644434 47.0498, -96.607146 47.05136, -96.570839 47.058714, -96.514579 47.062725, -96.478108 47.071191)</t>
  </si>
  <si>
    <t>P0369</t>
  </si>
  <si>
    <t>https://www.gem.wiki/Atmos_Pipeline_Texas</t>
  </si>
  <si>
    <t>Atmos Pipeline Texas</t>
  </si>
  <si>
    <t>Atmos Energy Corporation [100.00%]</t>
  </si>
  <si>
    <t>MULTILINESTRING ((-103.09 31.312, -103.061 31.313), (-103.116 31.32, -103.062 31.317), (-103.081 31.325, -103.062 31.323), (-100.331 30.233, -100.327 30.233), (-100.33 30.261, -100.319 30.26), (-100.171 31.642, -100.167 31.636), (-99.863 31.82, -99.852 31.81), (-98.971 31.756, -98.985 31.761), (-98.962 31.776, -98.946 31.761), (-98.949 31.774, -98.942 31.783), (-98.091 31.711, -98.083 31.72), (-98.295 31.69, -98.29 31.711), (-97.437 31.439, -97.445 31.435), (-97.495 31.067, -97.497 31.062), (-97.65 31.101, -97.643 31.131), (-97.72 31.12, -97.716 31.141), (-97.225 31.473, -97.189 31.462), (-95.925 31.297, -95.918 31.294), (-95.913 31.194, -95.944 31.2), (-95.819 30.311, -95.906 30.308), (-96.312 32.055, -96.337 32.041), (-95.708 31.674, -95.725 31.691), (-95.875 32.546, -95.927 32.48), (-95.691 32.403, -95.743 32.357), (-95.234 32.268, -95.218 32.21), (-95.864 32.179, -95.894 32.19), (-95.607 32.937, -95.632 32.948), (-95.982 31.992, -95.995 31.991), (-96.647 32.287, -96.619 32.262), (-96.491 32.299, -96.523 32.325), (-96.038 32.308, -96.019 32.299), (-96.928 32.98, -96.984 32.991), (-96.869 32.662, -96.854 32.643), (-96.961 32.524, -96.947 32.489), (-99.294 32.723, -99.233 32.614), (-99.233 32.614, -99.173 32.549), (-98.27 32.523, -98.307 32.522), (-99.828 32.205, -99.786 32.209), (-99.551 32.453, -99.554 32.434), (-99.632 32.453, -99.634 32.441), (-100.279 32.102, -100.301 32.103), (-100.248 32.057, -100.271 32.038), (-100.439 34.092, -100.448 34.092), (-100.21 34.435, -100.181 34.45), (-98.033 33.777, -98.078 33.722), (-97.689 33.671, -97.719 33.684), (-98.172 33.697, -98.185 33.758), (-98.188 34.041, -98.174 34.039), (-98.174 34.073, -98.162 34.073), (-101.033 32.707, -100.983 32.684), (-100.425 30.821, -100.431 30.825), (-97.437 31.124, -97.437 31.117), (-99.762 33.176, -99.783 33.168), (-95.682 31.718, -95.666 31.718), (-102.569 31.515, -102.316 31.623), (-102.316 31.623, -102.077 31.723), (-101.553 31.887, -101.088 32.083), (-102.077 31.723, -101.553 31.887), (-101.09 32.082, -100.909 32.122), (-103.002 31.357, -102.569 31.515), (-100.418 32.482, -100.395 32.464), (-95.902 30.242, -96.116 30.849), (-95.651 29.53, -95.901 30.125), (-96.215 31.005, -96.39 31.321), (-96.114 30.846, -96.216 31.006), (-95.901 30.123, -95.902 30.242), (-96.079 30.367, -95.941 30.399), (-96.394 30.753, -96.199 30.962), (-96.199 30.962, -96.13 30.981), (-95.714 31.478, -96.04 31.066), (-96.04 31.066, -96.199 30.962), (-96.13 30.981, -95.758 31.055), (-95.841 30.929, -95.822 30.886), (-95.761 31.064, -95.715 31.478), (-95.83 30.865, -95.762 31.064), (-95.565 31.531, -95.558 31.597), (-95.836 31.585, -95.903 31.676), (-95.967 31.686, -95.943 31.645), (-96.324 32.019, -96.395 32.025), (-96 31.98, -96.57 32.235), (-96.783 32.585, -96.448 32.317), (-96.104 32.112, -95.921 32.116), (-96.449 32.317, -96.104 32.112), (-95.683 32.292, -95.921 32.116), (-95.457 32.302, -96.074 32.106), (-95.167 32.259, -95.457 32.302), (-95.555 31.778, -95.44 32.049), (-95.304 32.004, -95.361 32.021), (-95.361 32.021, -95.427 32.045), (-95.429 32.045, -95.544 32.085), (-95.544 32.085, -95.687 32.289), (-95.683 32.285, -95.743 32.357), (-96.013 32.536, -96.517 32.783), (-95.743 32.357, -96.013 32.536), (-95.678 32.458, -95.583 32.355), (-95.575 32.295, -95.583 32.356), (-94.541 32.292, -94.996 32.291), (-94.996 32.292, -95.092 32.298), (-94.353 32.289, -94.541 32.292), (-94.294 32.165, -94.314 32.279), (-94.815 32.361, -94.784 32.394), (-94.809 32.285, -94.815 32.361), (-95.416 32.967, -95.511 33.094), (-95.285 32.575, -95.416 32.967), (-95.092 32.298, -95.285 32.575), (-95.118 33.435, -95.262 33.331), (-95.262 33.332, -95.511 33.094), (-95.141 33.678, -95.116 33.428), (-95.054 33.663, -95.141 33.678), (-94.761 33.603, -95.054 33.663), (-95.068 33.782, -95.141 33.678), (-95.141 33.678, -95.259 33.685), (-95.259 33.685, -95.517 33.877), (-96.344 33.67, -95.807 33.656), (-95.807 33.648, -95.807 33.656), (-95.807 33.656, -95.567 33.7), (-96.379 33.031, -96.372 33.463), (-96.372 33.458, -96.372 33.666), (-96.421 32.861, -96.379 33.031), (-96.515 32.782, -96.522 32.592), (-96.521 32.592, -96.69 32.342), (-96.011 32.785, -96.517 32.783), (-95.628 32.948, -95.784 32.842), (-95.784 32.842, -96.011 32.787), (-95.803 33.358, -95.888 33.305), (-95.626 33.456, -95.803 33.358), (-95.893 33.305, -95.906 33.258), (-95.953 33.377, -95.888 33.305), (-95.859 33.428, -95.922 33.413), (-95.922 33.413, -96.045 33.375), (-96.213 33.41, -96.214 33.408), (-96.257 33.373, -96.151 33.181), (-96.281 33.028, -96.261 33.082), (-96.261 33.082, -96.151 33.181), (-96.383 32.979, -96.275 33.031), (-96.345 33.069, -96.273 33.072), (-100.342 34.484, -100.181 34.45), (-100.395 34.4, -100.386 34.4), (-100.386 34.4, -100.294 34.408), (-100.319 34.409, -100.318 34.312), (-100.294 34.408, -100.298 34.385), (-100.266 34.45, -100.295 34.397), (-99.959 34.421, -99.428 34.24), (-98.899 34.014, -98.539 33.921), (-99.428 34.24, -98.897 34.012), (-100.181 34.45, -99.959 34.421), (-99.486 34.259, -99.537 34.144), (-99.521 34.195, -99.466 34.16), (-99.602 34.18, -99.532 34.162), (-99.635 34.042, -99.569 34.048), (-99.569 34.048, -99.428 34.058), (-99.428 34.058, -99.321 34.201), (-99.391 34.086, -99.294 34.067), (-99.113 34.1, -99.047 34.21), (-98.708 33.859, -98.489 33.091), (-98.694 33.949, -98.708 33.859), (-97.771 33.281, -97.757 33.306), (-97.845 33.286, -97.682 33.339), (-97.581 33.011, -97.647 32.98), (-97.513 33.096, -97.562 33.025), (-97.562 33.025, -97.581 33.011), (-97.045 33.034, -97.318 33.106), (-96.984 32.991, -97.045 33.034), (-97.312 33.11, -97.513 33.096), (-96.952 32.91, -96.98 32.968), (-97.876 33.579, -97.982 33.715), (-97.805 33.49, -97.876 33.579), (-97.513 33.096, -97.807 33.489), (-97.71 33.695, -97.679 33.916), (-97.762 33.59, -97.71 33.695), (-97.82 33.494, -97.762 33.59), (-98.17 33.983, -98.033 33.777), (-98.547 34.078, -98.42 33.939), (-98.474 33.954, -98.453 33.957), (-100.255 33.886, -100.247 33.883), (-98.414 33.93, -98.31 33.943), (-98.31 33.943, -98.17 33.983), (-97.806 33.501, -97.795 33.49), (-99.721 33.425, -99.652 33.726), (-99.78 33.191, -99.721 33.425), (-99.883 33.317, -99.866 33.395), (-99.955 33.382, -99.734 33.353), (-99.979 33.386, -99.955 33.382), (-99.842 32.985, -99.78 33.191), (-99.775 32.52, -99.842 32.987), (-99.774 32.438, -99.775 32.521), (-100.11 32.916, -99.839 32.948), (-100.398 32.862, -100.11 32.917), (-100.669 32.528, -100.67 32.526), (-101.13 32.673, -101.007 32.71), (-100.983 32.74, -100.955 32.733), (-100.993 32.79, -100.959 32.778), (-100.967 32.767, -100.968 32.693), (-100.895 32.533, -100.906 32.685), (-100.885 32.403, -100.895 32.533), (-100.708 32.595, -100.761 32.532), (-100.761 32.532, -100.868 32.403), (-101.007 32.71, -100.537 32.537), (-100.551 32.54, -100.372 32.488), (-100.675 32.055, -100.72 32.099), (-100.72 32.099, -100.935 32.331), (-100.935 32.331, -100.885 32.403), (-100.885 32.403, -100.541 32.45), (-100.552 32.446, -99.997 32.465), (-100.383 32.493, -99.984 32.529), (-100.423 32.238, -100.383 32.493), (-99.491 32.273, -98.989 32.299), (-100.909 32.122, -100.499 32.224), (-100.499 32.224, -100.04 32.241), (-100.04 32.241, -99.491 32.273), (-96.845 32.651, -96.894 32.586), (-96.894 32.586, -97.008 32.514), (-98.387 32.324, -98.989 32.299), (-97.882 32.362, -98.387 32.324), (-97.007 32.514, -97.575 32.364), (-97.575 32.364, -97.59 32.351), (-97.778 32.335, -97.93 32.363), (-100.116 32.049, -100.261 32.024), (-100.087 32.052, -100.116 32.049), (-100.27 31.877, -100.235 31.9), (-100.26 31.88, -100.185 31.703), (-100.185 31.703, -100.158 31.642), (-100.171 31.642, -100.196 31.703), (-100.617 31.665, -100.624 31.641), (-100.624 31.649, -99.985 31.728), (-98.948 30.201, -98.732 30.51), (-98.732 30.51, -98.508 30.94), (-99.013 30.142, -98.948 30.201), (-98.979 29.965, -99.013 30.142), (-98.898 29.962, -98.979 29.965), (-98.986 29.956, -98.997 29.876), (-98.997 29.876, -99.033 29.78), (-99.007 29.88, -98.979 29.965), (-99.064 29.731, -99.007 29.88), (-100.087 31.696, -100.023 31.712), (-100.287 31.487, -100.084 31.695), (-99.652 31.887, -99.638 31.892), (-99.091 31.759, -98.966 31.734), (-99.653 31.789, -99.091 31.758), (-99.99 31.729, -99.653 31.789), (-98.858 31.874, -98.99 31.738), (-99.651 31.952, -99.751 32.109), (-99.751 32.109, -99.8 32.359), (-99.638 31.892, -99.651 31.952), (-99.814 32.355, -99.726 32.395), (-99.66 32.567, -99.606 32.263), (-98.987 32.5, -99.492 32.505), (-98.307 32.522, -98.365 32.517), (-100.003 32.465, -99.754 32.411), (-99.774 32.439, -99.737 32.387), (-102.98 31.208, -102.972 31.001), (-103.122 31.39, -102.98 31.208), (-103.25 31.61, -103.122 31.39), (-102.935 30.702, -102.972 31.001), (-100.315 30.243, -100.425 30.682), (-100.327 30.233, -100.323 30.267), (-100.425 30.682, -100.42 30.828), (-100.434 30.82, -100.421 31.079), (-100.386 31.407, -100.287 31.487), (-100.421 31.079, -100.39 31.41), (-100.382 31.41, -100.388 31.307), (-100.37 31.306, -100.397 31.308), (-100.287 31.488, -100.24 31.498), (-98.508 30.94, -98.521 31.101), (-98.709 31.195, -98.476 31.138), (-98.479 31.131, -98.273 31.258), (-98.022 30.756, -98.243 30.798), (-98.203 31.06, -98.264 30.578), (-98.201 31.183, -98.203 31.06), (-98.273 31.258, -98.2 31.183), (-98.407 31.81, -98.348 31.729), (-98.349 31.729, -98.324 31.712), (-98.324 31.712, -98.091 31.711), (-97.984 31.938, -97.929 31.896), (-97.933 31.898, -98.083 31.719), (-98.083 31.719, -97.933 31.898), (-97.835 31.95, -97.709 32.048), (-97.929 31.896, -97.835 31.954), (-98.324 31.712, -98.343 31.654), (-98.343 31.654, -98.292 31.481), (-98.316 31.707, -98.33 31.636), (-98.33 31.636, -98.336 31.635), (-97.727 30.212, -97.637 30.307), (-97.444 30.814, -97.191 31.17), (-97.191 31.17, -97.123 31.253), (-97.648 30.307, -97.57 30.491), (-97.57 30.491, -97.444 30.814), (-98.285 31.375, -98.273 31.258), (-98.292 31.481, -98.285 31.373), (-98.561 31.448, -98.293 31.452), (-98.226 31.467, -98.174 31.467), (-98.293 31.452, -98.227 31.467), (-97.576 30.505, -97.669 30.289), (-97.451 30.816, -97.576 30.505), (-97.656 30.462, -97.602 30.426), (-97.745 31.385, -97.502 31.439), (-97.502 31.439, -97.218 31.412), (-97.49 31.441, -97.482 31.553), (-97.522 31.663, -97.622 31.938), (-97.482 31.549, -97.526 31.664), (-97.622 31.938, -97.709 32.048), (-97.748 32.141, -97.709 32.048), (-97.822 32.345, -97.796 32.324), (-97.797 32.325, -97.747 32.144), (-97.845 31.139, -97.772 31.148), (-97.772 31.148, -97.381 31.005), (-97.272 31.281, -97.451 30.816), (-97.258 31.32, -97.272 31.281), (-97.111 31.53, -97.258 31.32), (-97.772 31.148, -97.374 31.067), (-96.985 30.663, -96.986 30.842), (-96.99 30.843, -96.989 30.664), (-97.206 30.941, -97.397 31.007), (-96.984 30.842, -97.206 30.941), (-97.179 31.507, -97.16 31.496), (-97.108 31.538, -97.168 31.5), (-96.948 31.473, -96.944 31.47), (-97.136 31.539, -96.948 31.473), (-96.944 31.47, -96.878 31.327), (-96.7 31.187, -96.434 30.788), (-96.878 31.327, -96.7 31.187), (-96.434 30.788, -96.394 30.753), (-96.958 31.599, -96.965 31.49), (-96.874 31.51, -96.778 31.526), (-96.304 31.602, -95.979 31.645), (-96.778 31.526, -96.304 31.603), (-96.959 31.496, -96.874 31.51), (-96.857 31.519, -96.783 31.532), (-96.926 31.512, -96.857 31.519), (-96.301 31.329, -96.229 31.429), (-96.266 31.458, -96.261 31.461), (-96.39 31.322, -96.301 31.329), (-96.262 31.373, -95.962 31.423), (-95.962 31.423, -95.892 31.415), (-95.909 31.022, -95.983 31.041), (-96.65 32.194, -96.691 32.343), (-96.39 31.321, -96.598 31.837), (-96.595 31.831, -96.65 32.194), (-96.763 31.827, -96.51 31.57), (-97.159 31.879, -96.943 31.876), (-96.527 31.674, -96.292 31.605), (-96.57 32.235, -96.599 32.26), (-96.483 31.687, -96.443 31.836), (-96.443 31.836, -96.57 32.235), (-95.671 31.744, -95.762 31.678), (-95.759 31.671, -95.979 31.645), (-95.693 31.683, -95.702 31.705), (-95.991 31.979, -95.762 31.678), (-95.951 31.914, -95.911 31.906), (-95.511 33.094, -95.806 33.12), (-95.806 33.12, -95.904 33.134), (-94.817 32.378, -94.79 32.363), (-94.799 32.286, -94.82 32.292), (-95.092 32.298, -95.284 32.271), (-95.242 32.28, -95.23 32.258), (-95.168 32.294, -95.167 32.259), (-95.983 31.984, -96.007 31.954), (-96.068 32.107, -96.019 32.054), (-96.019 32.054, -95.986 31.986), (-98.259 32.198, -98.326 32.433), (-98.286 32.404, -98.326 32.433), (-98.115 32.096, -98.259 32.198), (-96.074 32.106, -96.023 32.051), (-96.024 32.051, -95.986 31.985), (-95.989 31.971, -95.984 31.971), (-96.02 31.972, -95.954 31.964), (-96.845 32.651, -96.783 32.585), (-95.993 32.141, -96.018 32.108), (-96.064 32.171, -96.026 32.134), (-97.155 31.837, -97.265 32.256), (-97.265 32.253, -97.378 32.435), (-97.15 31.619, -97.155 31.837), (-96.006 32.38, -95.927 32.48), (-96.039 32.297, -96.006 32.38), (-96.611 32.252, -96.587 32.251), (-97.001 32.302, -96.599 32.26), (-97.353 32.388, -97.006 32.304), (-97.006 32.304, -97.001 32.302), (-96.57 32.235, -96.469 32.4), (-96.546 32.374, -96.525 32.366), (-96.314 33.193, -96.762 33.201), (-96.757 33.201, -96.915 33.041), (-96.915 33.041, -96.921 32.923), (-96.848 33.217, -96.848 33.181), (-97.099 33.245, -96.833 33.234), (-96.817 33.363, -96.82 33.233), (-96.619 33.706, -96.716 33.529), (-96.716 33.529, -96.817 33.364), (-96.444 32.108, -96.432 32.1), (-96.926 31.512, -96.965 31.49), (-96.623 31.552, -96.641 31.315), (-96.615 31.372, -96.549 31.358), (-99.136 32.539, -99.191 32.539), (-97.071 32.593, -97.037 32.516), (-97.138 32.733, -97.071 32.593), (-97.68 32.96, -97.652 32.982), (-97.737 32.913, -97.733 32.93), (-97.371 33.105, -97.424 33.081), (-98.214 32.222, -98.341 32.117), (-98.34 32.122, -98.563 32.128), (-98.295 32.104, -98.297 32.103), (-98.354 32.388, -98.317 32.522), (-98.308 32.522, -98.362 32.43), (-98.247 32.436, -98.313 32.452), (-98.917 32.038, -98.948 32.301), (-96.962 32.53, -96.647 32.285), (-96.412 32.081, -96.392 32.068), (-96.82 33.233, -96.616 33.153), (-96.835 33.203, -96.832 33.234), (-96.425 33.088, -96.377 33.094), (-96.407 33.057, -96.377 33.048), (-96.151 33.181, -95.902 33.135), (-97.108 33.48, -97.107 33.618), (-96.979 32.968, -97 33.036), (-97 33.036, -97.109 33.481), (-98.307 32.522, -98.292 32.523), (-98.315 32.52, -97.991 32.756), (-97.991 32.756, -97.647 32.98), (-96.362 33.555, -96.386 33.562), (-97.365 33.677, -97.355 33.635), (-97.15 33.645, -97.113 33.606), (-97.254 33.866, -97.15 33.645), (-97.161 33.645, -97.113 33.599), (-97.599 33.131, -97.561 33.157), (-97.82 32.857, -97.884 32.824), (-97.367 32.227, -97.368 32.232), (-97.085 30.526, -97.05 30.465), (-97.118 30.588, -97.085 30.526), (-97.222 30.64, -97.118 30.588), (-97.54 30.624, -97.222 30.64), (-96.959 31.496, -97.123 31.253), (-97.797 32.427, -97.835 32.359), (-97.715 32.394, -97.745 32.352), (-97.745 32.352, -97.748 32.335), (-97.556 32.248, -97.574 32.25), (-97.574 32.25, -97.641 32.335), (-97.793 32.504, -97.796 32.429), (-99.494 32.427, -99.688 32.441), (-103.058 31.309, -103.002 31.357), (-96.341 33.605, -96.327 33.595), (-96.368 33.56, -96.28 33.661), (-99.088 32.515, -99.096 32.533), (-99.081 32.503, -99.088 32.515), (-99.083 32.505, -99.158 32.519), (-99.066 32.523, -99.129 32.509), (-99.13 32.539, -99.129 32.507), (-99.066 32.518, -99.033 32.52), (-99.141 32.502, -99.066 32.518), (-100.26 31.88, -100.305 32.11), (-100.305 32.11, -100.391 32.234), (-100.196 31.703, -100.271 31.886), (-98.175 34.11, -98.17 33.982), (-97.538 33.69, -97.436 33.664), (-97.436 33.664, -97.333 33.624), (-97.377 33.656, -97.15 33.645), (-97.051 33.633, -97.058 33.61), (-96.688 33.655, -96.797 33.675), (-96.874 33.662, -97.113 33.606), (-96.921 33.812, -96.874 33.792), (-96.874 33.792, -96.797 33.675), (-96.622 33.722, -96.605 33.685), (-96.874 33.662, -96.34 33.668), (-99.492 32.503, -99.991 32.529), (-95.715 31.478, -95.639 31.583), (-95.584 33.38, -95.584 33.379), (-95.589 33.26, -95.511 33.094), (-96.943 31.876, -96.763 31.827), (-99.191 32.539, -99.136 32.539), (-95.987 31.657, -95.928 31.567), (-95.928 31.567, -95.887 31.46), (-95.764 31.678, -95.64 31.583), (-95.64 31.583, -95.565 31.531), (-94.695 32.431, -94.718 32.423), (-94.718 32.423, -94.815 32.357), (-97.779 32.335, -97.59 32.351), (-96.516 32.783, -96.484 32.814), (-96.484 32.814, -96.421 32.861), (-96.815 33.137, -96.822 33.137), (-98.353 33.876, -97.982 33.715, -98.538 33.921, -98.353 33.876), (-95.63 33.468, -95.589 33.255, -95.624 33.612, -95.63 33.468, -95.573 33.69, -95.624 33.61))</t>
  </si>
  <si>
    <t>P0370</t>
  </si>
  <si>
    <t>https://www.gem.wiki/Birdsboro_Pipeline</t>
  </si>
  <si>
    <t>Birdsboro Pipeline</t>
  </si>
  <si>
    <t>Birdsboro Power [100.00%]</t>
  </si>
  <si>
    <t>Oley</t>
  </si>
  <si>
    <t>Birdsboro</t>
  </si>
  <si>
    <t>LINESTRING (-75.764112 40.411397, -75.75127 40.355762, -75.783036 40.275097, -75.802328 40.268099)</t>
  </si>
  <si>
    <t>P0371</t>
  </si>
  <si>
    <t>https://www.gem.wiki/Blue_Mountain_Delivery_Pipeline</t>
  </si>
  <si>
    <t>Blue Mountain Delivery Pipeline</t>
  </si>
  <si>
    <t>Blue Mountain Midstream LLC [100.00%]</t>
  </si>
  <si>
    <t>Citizen Energy [100.00%]</t>
  </si>
  <si>
    <t>Grady County</t>
  </si>
  <si>
    <t>LINESTRING (-97.874977 35.277364, -97.870386 35.217769, -97.919852 35.160291)</t>
  </si>
  <si>
    <t>P0373</t>
  </si>
  <si>
    <t>https://www.gem.wiki/Corpus_Christi_Pipeline</t>
  </si>
  <si>
    <t>Corpus Christi Pipeline</t>
  </si>
  <si>
    <t>LINESTRING (-97.508804 28.03627, -97.270856 27.891071)</t>
  </si>
  <si>
    <t>P0374</t>
  </si>
  <si>
    <t>https://www.gem.wiki/B-System_Project_Pipeline</t>
  </si>
  <si>
    <t>B-System Project Pipeline</t>
  </si>
  <si>
    <t>Fairfield County</t>
  </si>
  <si>
    <t>MULTILINESTRING ((-82.727307 39.835132, -82.676398 39.750517, -82.566337 39.649599, -82.56479 39.62888), (-82.95483 39.904436, -82.877738 39.869479, -82.727307 39.835132))</t>
  </si>
  <si>
    <t>P0375</t>
  </si>
  <si>
    <t>https://www.gem.wiki/Saginaw_Trail_Pipeline</t>
  </si>
  <si>
    <t>Saginaw Trail Pipeline</t>
  </si>
  <si>
    <t>CMS Energy [100.00%]</t>
  </si>
  <si>
    <t>Saginaw County</t>
  </si>
  <si>
    <t>Oakland County</t>
  </si>
  <si>
    <t>LINESTRING (-84.072574 43.484996, -84.129725 43.499143, -84.118586 43.399594, -84.007648 43.388999, -83.9647 43.366183, -83.74781 43.203642, -83.697547 43.182191, -83.686513 43.15917, -83.567514 43.156162, -83.558033 43.106706, -83.57149 43.092125, -83.572713 43.006904, -83.558075 42.987446, -83.55864 42.939342, -83.648824 42.929389, -83.644703 42.723987, -83.620651 42.66272, -83.616131 42.525734)</t>
  </si>
  <si>
    <t>P0376</t>
  </si>
  <si>
    <t>https://www.gem.wiki/Muskogee_Pipeline</t>
  </si>
  <si>
    <t>Muskogee Pipeline</t>
  </si>
  <si>
    <t>Muskogee</t>
  </si>
  <si>
    <t>LINESTRING (-95.3623 35.744931, -96.767641 35.983714)</t>
  </si>
  <si>
    <t>P0377</t>
  </si>
  <si>
    <t>https://www.gem.wiki/Revolution_Pipeline</t>
  </si>
  <si>
    <t>Revolution Pipeline</t>
  </si>
  <si>
    <t>24, 30</t>
  </si>
  <si>
    <t>Butler County</t>
  </si>
  <si>
    <t>Bulger</t>
  </si>
  <si>
    <t>LINESTRING (-79.744314 41.162017, -79.734612 41.151003, -79.753505 41.133833, -79.748491 41.096577, -79.784253 41.098899, -79.812912 41.072826, -79.841139 41.025398, -79.807028 41.008097, -79.809666 40.996573, -79.845716 40.982474, -79.872111 40.931897, -79.930199 40.929422, -79.946649 40.896522, -80.069088 40.813051, -80.080362 40.784165, -80.153242 40.770682, -80.159573 40.693429, -80.260243 40.67307, -80.331922 40.598367, -80.359416 40.476521, -80.353635 40.399221, -80.30042 40.322714, -80.297806 40.295322, -80.264597 40.2631)</t>
  </si>
  <si>
    <t>P0378</t>
  </si>
  <si>
    <t>https://www.gem.wiki/Gulf_Coast_Express_Pipeline</t>
  </si>
  <si>
    <t>Gulf Coast Express Pipeline</t>
  </si>
  <si>
    <t>GCX Project</t>
  </si>
  <si>
    <t>Gulf Coast Express Pipeline LLC [400.00%]</t>
  </si>
  <si>
    <t>Kinder Morgan [34.00%]; ArcLight Capital Partners LLC [25.00%]; DCP Midstream LP [25.00%]; Kinetik [16.00%]</t>
  </si>
  <si>
    <t>Coyanosa</t>
  </si>
  <si>
    <t>LINESTRING (-103.175964 31.305395, -102.988649 31.290664, -102.575185 31.15824, -102.457155 31.161927, -102.344891 31.207383, -102.158341 31.179535, -101.996819 31.241474, -101.844621 31.225897, -101.638929 31.155082, -101.432208 30.934846, -101.331514 30.854508, -101.306183 30.79416, -101.301792 30.728444, -101.201181 30.653985, -101.183324 30.581912, -101.123983 30.514571, -101.015308 30.308581, -100.950111 30.223111, -100.948378 30.097859, -100.868936 30.029804, -100.843804 29.975357, -100.803527 29.956194, -100.818576 29.759944, -100.80059 29.699759, -100.569008 29.531265, -100.533144 29.416813, -100.529215 29.351115, -100.375675 29.286273, -100.303467 29.230113, -100.26092 29.12134, -99.858094 28.897949, -99.794982 28.80616, -99.469484 28.566872, -99.137971 28.463609, -98.237776 27.898271, -97.771302 27.767482)</t>
  </si>
  <si>
    <t>P0380</t>
  </si>
  <si>
    <t>https://www.gem.wiki/SK_Pipeline</t>
  </si>
  <si>
    <t>SK Pipeline</t>
  </si>
  <si>
    <t>Kinder Morgan [unknown %]</t>
  </si>
  <si>
    <t>West Columbia</t>
  </si>
  <si>
    <t>Teaxs</t>
  </si>
  <si>
    <t>LINESTRING (-95.645255 29.143467, -95.315775 28.935401)</t>
  </si>
  <si>
    <t>P0382</t>
  </si>
  <si>
    <t>https://www.gem.wiki/Paso_Norte_Pipeline</t>
  </si>
  <si>
    <t>Paso Norte Pipeline</t>
  </si>
  <si>
    <t>Paso Norte Pipeline Group [unknown %]</t>
  </si>
  <si>
    <t>Deming</t>
  </si>
  <si>
    <t>El Encino</t>
  </si>
  <si>
    <t>Chihuahua</t>
  </si>
  <si>
    <t>Gasoducto Paso Norte</t>
  </si>
  <si>
    <t>https://www.gem.wiki/Gasoducto_Paso_Norte</t>
  </si>
  <si>
    <t>LINESTRING (-107.758765 32.268746, -107.62776 31.783659, -107.997593 31.090333, -107.913135 30.411908, -105.927201 28.44444)</t>
  </si>
  <si>
    <t>P0383</t>
  </si>
  <si>
    <t>https://www.gem.wiki/Pomelo_Connector_Pipeline</t>
  </si>
  <si>
    <t>Pomelo Connector Pipeline</t>
  </si>
  <si>
    <t>LINESTRING (-97.816394 27.742882, -97.668231 27.733135, -97.667905 27.710681, -97.630939 27.699346)</t>
  </si>
  <si>
    <t>P0386</t>
  </si>
  <si>
    <t>https://www.gem.wiki/Taproot_Baja_Pipeline_System</t>
  </si>
  <si>
    <t>Taproot Baja Pipeline System</t>
  </si>
  <si>
    <t>Energy Spectrum Securities [100.00%]</t>
  </si>
  <si>
    <t>LINESTRING (-104.870029 40.071521, -104.305308 40.667615)</t>
  </si>
  <si>
    <t>P0387</t>
  </si>
  <si>
    <t>https://www.gem.wiki/Gulf_Xpress_Pipeline</t>
  </si>
  <si>
    <t>Gulf Xpress Pipeline</t>
  </si>
  <si>
    <t>Marshall County</t>
  </si>
  <si>
    <t>P0392</t>
  </si>
  <si>
    <t>https://www.gem.wiki/Rover_Pipeline</t>
  </si>
  <si>
    <t>Rover Pipeline</t>
  </si>
  <si>
    <t>MULTILINESTRING ((-81.221438 40.437951, -80.788309 40.426527, -80.638944 40.473948, -80.559576 40.479711, -80.517546 40.454101, -80.414686 40.431349), (-81.221438 40.437951, -81.094424 40.329893, -81.084921 40.258949, -80.999012 40.131273, -80.928451 39.980113), (-82.463819 42.77273, -82.646751 42.840557, -82.669677 42.868778, -82.791716 42.886679, -83.085345 43.001904, -83.188199 42.982638, -83.330934 42.98298, -83.391908 42.942781, -83.461669 42.931656, -83.471362 42.884508, -83.611997 42.871556, -83.759605 42.885268, -83.985929 42.83902, -84.024106 42.757434, -84.026602 42.675109, -84.04014 42.65737, -84.023168 42.507563, -83.99688 42.470371, -83.964412 42.468176, -83.949567 42.443161, -83.975147 42.386397, -83.952123 42.348937, -83.972309 42.198581, -84.019708 42.14961, -84.016004 42.123723, -84.05426 42.033812, -84.09056 41.997599, -84.091129 41.957093, -84.118762 41.927514, -84.113698 41.89222, -84.245651 41.616241, -84.293099 41.483885, -84.290596 41.455534, -84.362721 41.363975, -84.317235 41.333199, -83.672108 41.242437, -83.539787 41.207184, -83.490081 41.176377, -83.475673 41.138177, -83.411375 41.115554, -83.346856 41.11552, -83.147872 41.046558, -82.658021 40.849459, -82.455308 40.844962, -82.40247 40.821006, -82.300546 40.80611, -82.194871 40.813974, -82.090283 40.788341, -82.05253 40.757334, -81.949804 40.74812, -81.890611 40.720734, -81.432654 40.661557, -81.337381 40.613266, -81.339459 40.585766, -81.298808 40.518938, -81.277852 40.511748, -81.221438 40.437951), (-81.039249 39.814809, -81.007269 39.678345, -80.98538 39.674716, -80.910056 39.604757, -80.973204 39.515779, -80.944962 39.473172, -80.685491 39.268257, -80.628447 39.300642, -80.609654 39.289701, -80.56943 39.302536), (-81.297212 39.791468, -81.039249 39.814809), (-80.928451 39.980113, -80.731318 39.971495, -80.68648 39.953465, -80.517165 39.955123), (-81.039249 39.814809, -80.877504 39.837435, -80.924036 39.929135, -80.928451 39.980113), (-81.297212 39.791468, -81.307368 39.73388), (-81.302528 39.791178, -81.297212 39.791468))</t>
  </si>
  <si>
    <t>P0403</t>
  </si>
  <si>
    <t>https://www.gem.wiki/Waha-San_Elizario_Gas_Pipeline</t>
  </si>
  <si>
    <t>Waha-San Elizario Gas Pipeline</t>
  </si>
  <si>
    <t>Carso Energy [unknown %]; ETP Legacy [unknown %]; MasTec [unknown %]</t>
  </si>
  <si>
    <t>Energy Transfer [unknown %]; Grupo Carso [unknown %]; MasTec [unknown %]</t>
  </si>
  <si>
    <t>Waha field</t>
  </si>
  <si>
    <t>LINESTRING (-106.277398 31.558605, -106.186873 31.534557, -106.128706 31.564324, -106.072279 31.5666, -106.007166 31.604129, -105.776785 31.654075, -105.353291 31.651176, -105.294051 31.670423, -105.074213 31.631949, -104.661704 31.515745, -104.523104 31.509336, -104.426463 31.4791, -103.104618 31.283422)</t>
  </si>
  <si>
    <t>P0404</t>
  </si>
  <si>
    <t>https://www.gem.wiki/Ehrenberg-Los_Algodones-San_Luis_Rio_Colorado_Gas_Pipeline</t>
  </si>
  <si>
    <t>Ehrenberg-Los Algodones-San Luis Rio Colorado Gas Pipeline</t>
  </si>
  <si>
    <t>San Luis Colorado</t>
  </si>
  <si>
    <t>Sonora</t>
  </si>
  <si>
    <t>Gasoducto Ehrenberg-Los Algodones-San Luis Rio Colorado</t>
  </si>
  <si>
    <t>https://www.gem.wiki/Gasoducto_Ehrenberg-Los_Algodones-San_Luis_Rio_Colorado</t>
  </si>
  <si>
    <t>LINESTRING (-114.525645 33.60361, -114.779664 32.450346)</t>
  </si>
  <si>
    <t>P0405</t>
  </si>
  <si>
    <t>https://www.gem.wiki/Angelin_Gas_Pipeline</t>
  </si>
  <si>
    <t>Angelin Gas Pipeline</t>
  </si>
  <si>
    <t>BP [70.00%]; Repsol [30.00%]</t>
  </si>
  <si>
    <t>Angelin field</t>
  </si>
  <si>
    <t>Offshore Mexico</t>
  </si>
  <si>
    <t>Latin America and the Caribbean</t>
  </si>
  <si>
    <t>Gasoducto Angelin</t>
  </si>
  <si>
    <t>https://www.gem.wiki/Gasoducto_Angelin</t>
  </si>
  <si>
    <t>LINESTRING (-60.589 10.393, -60.44 10.449)</t>
  </si>
  <si>
    <t>P0407</t>
  </si>
  <si>
    <t>https://www.gem.wiki/El_Encino-La_Laguna_Gas_Pipeline</t>
  </si>
  <si>
    <t>El Encino-La Laguna Gas Pipeline</t>
  </si>
  <si>
    <t>Fermaca [100.00%]</t>
  </si>
  <si>
    <t>El Encino compressor station</t>
  </si>
  <si>
    <t>La Laguna compressor station</t>
  </si>
  <si>
    <t>Ciudad Lerdo</t>
  </si>
  <si>
    <t>Durango</t>
  </si>
  <si>
    <t>Gasoducto El Encino-La Laguna</t>
  </si>
  <si>
    <t>https://www.gem.wiki/Gasoducto_El_Encino-La_Laguna</t>
  </si>
  <si>
    <t>LINESTRING (-105.927201 28.44444, -105.865 28.35459, -105.778 28.2097, -105.705 28.07267, -105.611 27.95767, -105.456 27.79809, -105.236 27.61398, -104.953 27.41738, -104.848 27.2956, -104.631 26.96918, -104.465 26.8204, -104.307 26.70818, -104.195 26.62854, -104.133 26.52021, -104.024 26.35856, -103.948 26.25408, -103.874 26.18438, -103.83 26.11669, -103.78 26.04074, -103.71 25.90515, -103.658696 25.470703)</t>
  </si>
  <si>
    <t>P0409</t>
  </si>
  <si>
    <t>https://www.gem.wiki/Gasoducto_de_la_Costa_Gas_Pipeline</t>
  </si>
  <si>
    <t>Gasoducto de la Costa Gas Pipeline</t>
  </si>
  <si>
    <t>Camuzzi Gas Pampeana SA [100.00%]</t>
  </si>
  <si>
    <t>Camuzzi Gas [100.00%]</t>
  </si>
  <si>
    <t>El Chourrón</t>
  </si>
  <si>
    <t>Mar del Plata</t>
  </si>
  <si>
    <t xml:space="preserve">Gasoducto de la Costa </t>
  </si>
  <si>
    <t>https://www.gem.wiki/Gasoducto_de_la_Costa</t>
  </si>
  <si>
    <t>MULTILINESTRING ((-59.18164 -37.210354, -57.608269 -37.9380811), (-57.834784 -38.2713, -57.608269 -37.9380811, -57.42417 -37.747602, -56.9966 -37.2479, -56.717305 -36.370218))</t>
  </si>
  <si>
    <t>P0411</t>
  </si>
  <si>
    <t>https://www.gem.wiki/Interoceanic_Corridor_Gas_Pipeline_(Mexico)</t>
  </si>
  <si>
    <t>Interoceanic Corridor Gas Pipeline</t>
  </si>
  <si>
    <t>Jáltipan-Salina Cruz Gas Pipeline Expansion</t>
  </si>
  <si>
    <t>Cenagas [100.00%]</t>
  </si>
  <si>
    <t>Coatzacoalcos</t>
  </si>
  <si>
    <t>Oaxaca</t>
  </si>
  <si>
    <t xml:space="preserve">Gasoducto del Corredor Interoceánico </t>
  </si>
  <si>
    <t>https://www.gem.wiki/Gasoducto_del_Corredor_Interoce%C3%A1nico</t>
  </si>
  <si>
    <t>LINESTRING (-94.406895 18.119088, -94.716482 17.959743, -94.81761 17.900604, -95.143193 17.892045, -94.995435 16.715174, -95.091328 16.568787, -95.259184 16.383237, -95.224131 16.332006, -95.201109 16.16196)</t>
  </si>
  <si>
    <t>P0412</t>
  </si>
  <si>
    <t>https://www.gem.wiki/J%C3%A1ltipan-Salina_Cruz_Gas_Pipeline</t>
  </si>
  <si>
    <t>Jáltipan-Salina Cruz Gas Pipeline</t>
  </si>
  <si>
    <t>Jáltipan</t>
  </si>
  <si>
    <t>Gasoducto Jáltipan-Salina Cruz</t>
  </si>
  <si>
    <t>https://www.gem.wiki/Gasoducto_J%C3%A1ltipan-Salina_Cruz</t>
  </si>
  <si>
    <t>LINESTRING (-94.716482 17.959743, -94.81761 17.900604, -95.143193 17.892045, -94.995435 16.715174, -95.091328 16.568787, -95.259184 16.383237, -95.224131 16.332006, -95.201077 16.184155)</t>
  </si>
  <si>
    <t>P0413</t>
  </si>
  <si>
    <t>Bolivia</t>
  </si>
  <si>
    <t>Bolivia, Argentina</t>
  </si>
  <si>
    <t>https://www.gem.wiki/Juana_Azurduy_Gas_Pipeline</t>
  </si>
  <si>
    <t>Juana Azurduy Gas Pipeline</t>
  </si>
  <si>
    <t>Gasoducto Campo Grande - Frontera Argentina</t>
  </si>
  <si>
    <t>Enarsa (Energía Argentina SA) [unknown %]; YPFB [unknown %]</t>
  </si>
  <si>
    <t>Margarita field</t>
  </si>
  <si>
    <t>Campo Grande (Yacuiba)</t>
  </si>
  <si>
    <t>Tarija</t>
  </si>
  <si>
    <t>Gasoducto de Integración Juana Azurduy</t>
  </si>
  <si>
    <t>https://www.gem.wiki/Gasoducto_de_Integraci%C3%B3n_Juana_Azurduy</t>
  </si>
  <si>
    <t>LINESTRING (-63.634144 -21.95179, -63.535592 -21.999034, -63.661951 -22.207448)</t>
  </si>
  <si>
    <t>P0415</t>
  </si>
  <si>
    <t>https://www.gem.wiki/La_Laguna-Aguascalientes_Gas_Pipeline</t>
  </si>
  <si>
    <t>La Laguna-Aguascalientes Gas Pipeline</t>
  </si>
  <si>
    <t>Aguascalientes</t>
  </si>
  <si>
    <t>Gasoducto La Laguna-Aguascalientes</t>
  </si>
  <si>
    <t>https://www.gem.wiki/Gasoducto_La_Laguna-Aguascalientes</t>
  </si>
  <si>
    <t>LINESTRING (-103.658696 25.470703, -103.751 25.07037, -103.934 24.78637, -104.075 24.50646, -104.252 24.18785, -104.357 24.01156, -104.534 23.7395, -104.539 23.62956, -104.409 23.56738, -103.892 23.36629, -103.433 23.16009, -102.89 22.91512, -102.561 22.79488, -102.488 22.56853, -102.358 22.28386, -102.206 22.02765, -102.088689 21.798728)</t>
  </si>
  <si>
    <t>P0416</t>
  </si>
  <si>
    <t>https://www.gem.wiki/Lakach_Gas_Pipeline</t>
  </si>
  <si>
    <t>Lakach Gas Pipeline</t>
  </si>
  <si>
    <t>Pemex [100.00%]</t>
  </si>
  <si>
    <t>Lakach field</t>
  </si>
  <si>
    <t>Lerdo de Tejada</t>
  </si>
  <si>
    <t>Gasoducto Lakach</t>
  </si>
  <si>
    <t>https://www.gem.wiki/Gasoducto_Lakach</t>
  </si>
  <si>
    <t>LINESTRING (-95.266 19.0517, -95.1998 19.02785, -95.1437 19.00417, -95.0978 18.98313, -95.0613 18.95959, -95.0496 18.92132, -95.0426 18.89408, -95.0472 18.86242, -95.083 18.83149, -95.1204 18.81381, -95.1694 18.81013, -95.2301 18.80129, -95.3079 18.79908, -95.3756 18.79098, -95.4495 18.78361, -95.5203 18.77919, -95.5663 18.76961, -95.6021 18.74014, -95.6231 18.70698, -95.6231 18.66423, -95.6098 18.64211, -95.5818 18.65096, -95.5756 18.69298, -95.5904 18.72467, -95.5982 18.73941)</t>
  </si>
  <si>
    <t>P0417</t>
  </si>
  <si>
    <t>https://www.gem.wiki/L%C3%A1zaro_C%C3%A1rdenas-Acapulco_Gas_Pipeline</t>
  </si>
  <si>
    <t>Lázaro Cárdenas-Acapulco Gas Pipeline</t>
  </si>
  <si>
    <t>Cenagas [unknown %]</t>
  </si>
  <si>
    <t>Lazaro Cardenas</t>
  </si>
  <si>
    <t>Acapulco</t>
  </si>
  <si>
    <t>Guerrero</t>
  </si>
  <si>
    <t>Gasoducto Lázaro Cárdenas-Acapulco</t>
  </si>
  <si>
    <t>https://www.gem.wiki/Gasoducto_L%C3%A1zaro_C%C3%A1rdenas-Acapulco</t>
  </si>
  <si>
    <t>LINESTRING (-102.193983 17.956588, -99.825892 16.848483)</t>
  </si>
  <si>
    <t>P0418</t>
  </si>
  <si>
    <t>Guyana</t>
  </si>
  <si>
    <t>https://www.gem.wiki/Liza_Gas_Pipeline</t>
  </si>
  <si>
    <t>Liza Gas Pipeline</t>
  </si>
  <si>
    <t>ExxonMobil Guyana [45.00%]; Hess Corporation [30.00%]; CNOOC Limited [25.00%]</t>
  </si>
  <si>
    <t>ExxonMobil [45.00%]; CNOOC Limited [25.00%]; Hess Corporation [unknown %]</t>
  </si>
  <si>
    <t>Liza field</t>
  </si>
  <si>
    <t>Wales Sugar Estate</t>
  </si>
  <si>
    <t>Region 3 (Essequibo Islands-West Demerara)</t>
  </si>
  <si>
    <t>Gasoducto Liza</t>
  </si>
  <si>
    <t>https://www.gem.wiki/Gasoducto_Liza</t>
  </si>
  <si>
    <t>LINESTRING (-56.82630978342807 8.20515209761041, -58.202203 6.702859)</t>
  </si>
  <si>
    <t>P0419</t>
  </si>
  <si>
    <t>https://www.gem.wiki/Naco-Hermosillo_Gas_Pipeline</t>
  </si>
  <si>
    <t>Naco-Hermosillo Gas Pipeline</t>
  </si>
  <si>
    <t>Naco</t>
  </si>
  <si>
    <t>Hermosillo</t>
  </si>
  <si>
    <t>Gasoducto Naco-Hermosillo</t>
  </si>
  <si>
    <t>https://www.gem.wiki/Gasoducto_Naco-Hermosillo</t>
  </si>
  <si>
    <t>LINESTRING (-109.946961 31.326022, -109.941 31.30592, -110.01 31.22143, -110.094 31.14645, -110.166 31.0746, -110.239 31.02028, -110.304 31.02187, -110.336 31.03785, -110.364 31.04265, -110.409 31.03785, -110.459 31.02507, -110.502 31.03146, -110.547 31.01548, -110.586 30.98511, -110.62 30.91634, -110.653 30.87633, -110.717 30.86352, -110.78 30.84111, -110.813 30.81709, -110.834 30.78826, -110.843 30.74499, -110.864 30.71934, -110.873 30.69369, -110.92 30.67605, -110.961 30.64396, -110.996 30.62792, -111.052 30.60063, -111.103 30.54925, -111.097 30.52355, -111.082 30.48017, -111.073 30.39817, -111.086 30.31771, -111.08 30.11869, -111.091 30.01863, -111.099 29.94271, -111.099 29.91685, -111.086 29.89583, -111.063 29.86835, -111.047 29.81496, -111.037 29.76803, -111.034 29.7146, -111.02 29.64655, -111 29.52654, -110.979 29.42588, -110.942 29.28935, -110.935 29.25763, -110.955349 29.071767)</t>
  </si>
  <si>
    <t>P0420</t>
  </si>
  <si>
    <t>Argentina, Chile</t>
  </si>
  <si>
    <t>https://www.gem.wiki/NorAndino_Gas_Pipeline</t>
  </si>
  <si>
    <t>NorAndino Gas Pipeline</t>
  </si>
  <si>
    <t>Engie Energía Chile (EECL) [100.00%]</t>
  </si>
  <si>
    <t>12, 16, 20</t>
  </si>
  <si>
    <t>Tocopilla and Mejillones</t>
  </si>
  <si>
    <t>Antofagasta</t>
  </si>
  <si>
    <t>Gasoducto NorAndino</t>
  </si>
  <si>
    <t>https://www.gem.wiki/Gasoducto_NorAndino</t>
  </si>
  <si>
    <t>MULTILINESTRING ((-64.334061 -23.411714, -65.348458 -23.203767, -65.587554 -22.918386, -66.367099 -23.401436, -67.06293 -23.226463, -68.191907 -22.914098, -68.921476 -22.450742, -69.595587 -22.279583, -70.366058 -23.058828, -70.4072946 -23.0876696), (-69.595587 -22.279583, -70.2121 -22.0971))</t>
  </si>
  <si>
    <t>P0422</t>
  </si>
  <si>
    <t>https://www.gem.wiki/Ojinaga-El_Encino_Gas_Pipeline</t>
  </si>
  <si>
    <t>Ojinaga-El Encino Gas Pipeline</t>
  </si>
  <si>
    <t>IEnova [100.00%]</t>
  </si>
  <si>
    <t>Ojinaga</t>
  </si>
  <si>
    <t>El Encinco</t>
  </si>
  <si>
    <t>Gasoducto Ojinaga-El Encino</t>
  </si>
  <si>
    <t>https://www.gem.wiki/Gasoducto_Ojinaga-El_Encino</t>
  </si>
  <si>
    <t>LINESTRING (-104.407865 29.545618, -104.624 29.5112, -104.784 29.45372, -104.949 29.38184, -105.147 29.27631, -105.257 29.15626, -105.351 28.99517, -105.507 28.81455, -105.62 28.71085, -105.927201 28.44444)</t>
  </si>
  <si>
    <t>P0423</t>
  </si>
  <si>
    <t>https://www.gem.wiki/Palmillas-Toluca_Gas_Pipeline</t>
  </si>
  <si>
    <t>Palmillas-Toluca Gas Pipeline</t>
  </si>
  <si>
    <t>Palmillas</t>
  </si>
  <si>
    <t>Querétaro</t>
  </si>
  <si>
    <t>Toluca</t>
  </si>
  <si>
    <t>Gasoducto Palmillas-Toluca</t>
  </si>
  <si>
    <t>https://www.gem.wiki/Gasoducto_Palmillas-Toluca</t>
  </si>
  <si>
    <t>LINESTRING (-99.940745 20.333726, -99.655939 19.281455)</t>
  </si>
  <si>
    <t>P0424</t>
  </si>
  <si>
    <t>https://www.gem.wiki/Ramal_Empalme_Gas_Pipeline</t>
  </si>
  <si>
    <t>Ramal Empalme Gas Pipeline</t>
  </si>
  <si>
    <t>Empalme Lateral</t>
  </si>
  <si>
    <t>16, 20</t>
  </si>
  <si>
    <t>Guaymas</t>
  </si>
  <si>
    <t>Empalme</t>
  </si>
  <si>
    <t>Gasoducto Ramal Empalme</t>
  </si>
  <si>
    <t>https://www.gem.wiki/Gasoducto_Ramal_Empalme</t>
  </si>
  <si>
    <t>LINESTRING (-110.86580133777757 27.9310466440578, -110.792771 27.953288, -110.7834 27.9265)</t>
  </si>
  <si>
    <t>P0425</t>
  </si>
  <si>
    <t>https://www.gem.wiki/Ramal_Hermosillo_Gas_Pipeline</t>
  </si>
  <si>
    <t>Ramal Hermosillo Gas Pipeline</t>
  </si>
  <si>
    <t>Black Hills Energy [100.00%]</t>
  </si>
  <si>
    <t>Black Hills Corporation [100.00%]</t>
  </si>
  <si>
    <t>Hermasillo</t>
  </si>
  <si>
    <t>Ramal</t>
  </si>
  <si>
    <t>Gasoducto Ramal Hermosillo</t>
  </si>
  <si>
    <t>https://www.gem.wiki/Gasoducto_Ramal_Hermosillo</t>
  </si>
  <si>
    <t>LINESTRING (-111.346727 28.878831, -110.834169 29.034851)</t>
  </si>
  <si>
    <t>P0426</t>
  </si>
  <si>
    <t>https://www.gem.wiki/Ramal_Tula_Gas_Pipeline</t>
  </si>
  <si>
    <t>Ramal Tula Gas Pipeline</t>
  </si>
  <si>
    <t>ATCO [100.00%]</t>
  </si>
  <si>
    <t>Gasoducto Ramal Tula</t>
  </si>
  <si>
    <t>https://www.gem.wiki/Gasoducto_Ramal_Tula</t>
  </si>
  <si>
    <t>LINESTRING (-99.343608 20.050835, -99.587386 20.061224)</t>
  </si>
  <si>
    <t>P0427</t>
  </si>
  <si>
    <t>https://www.gem.wiki/Rosarito_Gas_Pipeline</t>
  </si>
  <si>
    <t>Rosarito Gas Pipeline</t>
  </si>
  <si>
    <t>Expansion</t>
  </si>
  <si>
    <t>Baja California</t>
  </si>
  <si>
    <t>El Carrizo, Tecate</t>
  </si>
  <si>
    <t>Gasoducto Rosarito</t>
  </si>
  <si>
    <t>Ampliación</t>
  </si>
  <si>
    <t>https://www.gem.wiki/Gasoducto_Rosarito</t>
  </si>
  <si>
    <t>LINESTRING (-116.846466 31.988557, -116.658042 32.497665)</t>
  </si>
  <si>
    <t>P0429</t>
  </si>
  <si>
    <t>https://www.gem.wiki/Salina_Cruz-Tapachula_Gas_Pipeline</t>
  </si>
  <si>
    <t>Salina Cruz-Tapachula Gas Pipeline</t>
  </si>
  <si>
    <t>Chiapas Gas Pipeline</t>
  </si>
  <si>
    <t>Enagás [unknown %]</t>
  </si>
  <si>
    <t>Tapachula</t>
  </si>
  <si>
    <t>Chiapas</t>
  </si>
  <si>
    <t>Gasoducto Salina Cruz-Tapachula</t>
  </si>
  <si>
    <t>https://www.gem.wiki/Gasoducto_Salina_Cruz-Tapachula</t>
  </si>
  <si>
    <t>LINESTRING (-95.204338 16.183496, -95.022177 16.436686, -94.192973 16.368654, -93.897858 16.231378, -92.267932 14.902657)</t>
  </si>
  <si>
    <t>P0430</t>
  </si>
  <si>
    <t>https://www.gem.wiki/Samalayuca-S%C3%A1sabe_Gas_Pipeline</t>
  </si>
  <si>
    <t>Samalayuca-Sásabe Gas Pipeline</t>
  </si>
  <si>
    <t>Carso Energy [100.00%]</t>
  </si>
  <si>
    <t>Grupo Carso [100.00%]</t>
  </si>
  <si>
    <t>Samalayuca</t>
  </si>
  <si>
    <t>Sásabe</t>
  </si>
  <si>
    <t>Gasoducto Samalayuca-Sásabe</t>
  </si>
  <si>
    <t>https://www.gem.wiki/Gasoducto_Samalayuca-S%C3%A1sabe</t>
  </si>
  <si>
    <t>LINESTRING (-106.474283 31.471779, -106.485995 31.329876, -109.557435 31.293119, -110.952462 31.275228, -111.545298 31.454068, -111.571888 31.491108)</t>
  </si>
  <si>
    <t>P0431</t>
  </si>
  <si>
    <t>https://www.gem.wiki/San_Isidro-Samalayuca_Gas_pipeline</t>
  </si>
  <si>
    <t>San Isidro-Samalayuca Gas Pipeline</t>
  </si>
  <si>
    <t>San Isidro</t>
  </si>
  <si>
    <t>Salamayuca</t>
  </si>
  <si>
    <t>Gasoducto San Isidro-Samalayuca</t>
  </si>
  <si>
    <t>https://www.gem.wiki/Gasoducto_San_Isidro-Samalayuca</t>
  </si>
  <si>
    <t>LINESTRING (-106.283094 31.545794, -106.471365 31.472712, -106.485995 31.329876)</t>
  </si>
  <si>
    <t>P0433</t>
  </si>
  <si>
    <t>https://www.gem.wiki/Tarahumara_Gas_Pipeline</t>
  </si>
  <si>
    <t>Tarahumara Gas Pipeline</t>
  </si>
  <si>
    <t>Corredor Chihuahua Pipeline</t>
  </si>
  <si>
    <t>Ciudad Juarez</t>
  </si>
  <si>
    <t>Gasoducto Tarahumara</t>
  </si>
  <si>
    <t>https://www.gem.wiki/Gasoducto_Tarahumara</t>
  </si>
  <si>
    <t>LINESTRING (-106.247778 31.540833, -106.461112 31.45222, -106.485995 31.329876, -105.927201 28.44444)</t>
  </si>
  <si>
    <t>P0434</t>
  </si>
  <si>
    <t>https://www.gem.wiki/Tuxpan-Tula_Gas_Pipeline</t>
  </si>
  <si>
    <t>Tuxpan-Tula Gas Pipeline</t>
  </si>
  <si>
    <t>TC Energía [100.00%]</t>
  </si>
  <si>
    <t>Gasoducto Tuxpan-Tula</t>
  </si>
  <si>
    <t>https://www.gem.wiki/Gasoducto_Tuxpan-Tula</t>
  </si>
  <si>
    <t>LINESTRING (-97.380431 20.986512, -97.40550134 20.98631547, -97.47266432 20.9592626, -97.50427043 20.86084732, -97.51348888 20.82515584, -97.59382108 20.67860929, -97.65685072 20.62903692, -97.67138136 20.62359724, -97.67864668 20.60455684, -97.70625491 20.5719106, -97.90241859 20.46167807, -97.91694924 20.43853278, -97.91549617 20.42355456, -97.93438601 20.41402221, -97.94746359 20.40040353, -97.94455746 20.39223175, -97.96054117 20.38133537, -97.9431044 20.35681569, -97.96199423 20.32002888, -98.00281007 20.3094376, -98.05041353 20.27116655, -98.08182182 20.26401912, -98.08182182 20.25606549, -98.10725631 20.25265667, -98.1254238 20.24583881, -98.12784613 20.22879283, -98.20899426 20.21288157, -98.22837291 20.21515471, -98.28772005 20.19128511, -98.29983171 20.19128511, -98.31678804 20.1776437, -98.33616669 20.17082255, -98.35917885 20.14467203, -98.37734634 20.12988937, -98.3858245 20.12875218, -98.40156966 20.11510531, -98.39551383 20.10259463, -98.42700415 20.08439548, -98.45122747 20.0764327, -98.46818379 20.04685308, -98.51067485 20.02236735, -98.52362431 20.0152699, -98.57758038 20.00918612, -98.59160896 20.0031021, -98.64772327 20.00006, -98.67038482 20.00817213, -98.67685955 20.00107404, -98.70815407 20.00513013, -98.74916069 19.98180619, -98.85383547 19.9736927, -98.95851025 19.93210454, -98.97577619 19.93007557, -99.08908394 19.94833537, -99.16785981 19.93717685, -99.17325542 19.93413348, -99.21102467 19.92297396, -99.22397412 19.92094487, -99.239973 19.91651)</t>
  </si>
  <si>
    <t>P0435</t>
  </si>
  <si>
    <t>https://www.gem.wiki/Villa_de_Reyes-Aguascalientes-Guadalajara_Gas_Pipeline</t>
  </si>
  <si>
    <t>Villa de Reyes-Aguascalientes-Guadalajara Gas Pipeline</t>
  </si>
  <si>
    <t>VAG</t>
  </si>
  <si>
    <t>Gasoducto Villa de Reyes-Aguascalientes-Guadalajara</t>
  </si>
  <si>
    <t>https://www.gem.wiki/Gasoducto_Villa_de_Reyes-Aguascalientes-Guadalajara</t>
  </si>
  <si>
    <t>LINESTRING (-100.859744 21.896687, -100.866745 21.88893, -100.871274 21.883426, -100.873447 21.883192, -100.876297 21.880434, -100.967366 21.806579, -101.222106 21.858332, -101.36567 21.84343, -101.557012 21.804752, -101.653461 21.779014, -101.751243 21.764966, -101.847845 21.761284, -101.877183 21.748633, -101.968094 21.793972, -102.085112 21.806793, -102.088689 21.798728, -102.241864 21.57653, -102.414116 21.510058, -102.454843 21.444665, -102.472532 21.424304, -102.50298 21.379435, -102.511286 21.367088, -102.585164 21.260011, -102.607007 21.239488, -102.633263 21.208831, -102.728315 21.035628, -102.733181 20.998533, -102.761661 20.943348, -102.786069 20.926397, -102.814532 20.902653, -102.837165 20.860552, -102.863862 20.844847, -102.884075 20.82573, -102.937765 20.78989, -102.964557 20.758038, -102.997973 20.729467, -103.033432 20.690607, -103.095702 20.678876, -103.147372 20.650547, -103.210803 20.432122, -103.295219 20.423795, -103.464053 20.432122, -103.464053 20.432122, -103.533834 20.437878)</t>
  </si>
  <si>
    <t>P0436</t>
  </si>
  <si>
    <t>Egypt, Jordan, Syria, Lebanon</t>
  </si>
  <si>
    <t>https://www.gem.wiki/Arab_Gas_Pipeline</t>
  </si>
  <si>
    <t>Arab Gas Pipeline</t>
  </si>
  <si>
    <t>Egyptian General Petroleum Corporation [unknown %]; Egyptian Natural Gas Holding Company [unknown %]; Gazprom [unknown %]; Petroget [unknown %]; Syrian Petroleum Company [unknown %]</t>
  </si>
  <si>
    <t>2008, 2009</t>
  </si>
  <si>
    <t>Arish</t>
  </si>
  <si>
    <t>Middle East and North Africa</t>
  </si>
  <si>
    <t>Deir Amar</t>
  </si>
  <si>
    <t>North Leabon</t>
  </si>
  <si>
    <t>MULTILINESTRING ((33.889558 31.142732, 33.883937 31.126361, 33.882924 31.121802, 33.881404 31.114711, 33.869754 31.05646, 33.868741 31.050381, 33.869248 31.043797, 33.877352 31.007833, 33.878365 31.004287, 33.880898 31.000742, 33.891535 30.990611, 33.898626 30.984026, 33.909264 30.970856, 33.914329 30.966804, 33.919394 30.962245, 33.963462 30.941478, 33.98271 30.934386, 33.996386 30.927802, 34.012595 30.915645, 34.062235 30.876642, 34.06882 30.872083, 34.075405 30.867018, 34.084522 30.853342, 34.096679 30.839159, 34.102251 30.8346, 34.109849 30.833081, 34.13011 30.833081, 34.136695 30.832068, 34.140241 30.831055, 34.143786 30.828015, 34.145812 30.82295, 34.147838 30.817885, 34.149865 30.814846, 34.151891 30.81282, 34.157969 30.8113, 34.174178 30.80978, 34.193426 30.808767, 34.203557 30.807248, 34.217739 30.805222, 34.223818 30.803195, 34.230909 30.79965, 34.234121 30.797347, 34.234961 30.795598, 34.236481 30.78496, 34.236481 30.77483, 34.242559 30.721138, 34.243572 30.710501, 34.245598 30.705435, 34.253196 30.700877, 34.26434 30.695811, 34.311447 30.681122, 34.329682 30.674031, 34.343865 30.664913, 34.355515 30.656809, 34.365139 30.65073, 34.367672 30.644146, 34.368685 30.638067, 34.369698 30.624897, 34.369698 30.610715, 34.367672 30.60413, 34.365646 30.595519, 34.361087 30.587921, 34.356528 30.580323, 34.353996 30.574751, 34.349437 30.565634, 34.347411 30.547905, 34.347411 30.508902, 34.349943 30.465847, 34.350956 30.435962, 34.353996 30.43191, 34.358554 30.428364, 34.369191 30.414688, 34.377802 30.400505, 34.384894 30.377205, 34.392998 30.336683, 34.396037 30.319967, 34.401103 30.311356, 34.407688 30.301732, 34.417312 30.294134, 34.444664 30.27286, 34.468471 30.261717, 34.502915 30.247534, 34.52115 30.237403, 34.553568 30.214609, 34.57079 30.190296, 34.577881 30.173074, 34.580414 30.155346, 34.580414 30.144202, 34.581427 30.136097, 34.583453 30.131539, 34.586999 30.126473, 34.592571 30.122928, 34.602701 30.122421, 34.60574 30.118369, 34.606753 30.11381, 34.608779 30.106212, 34.613338 30.09051, 34.620936 30.06417, 34.628534 30.050494, 34.642717 30.031246, 34.65538 30.014024, 34.658419 30.00592, 34.659939 29.997815, 34.661127 29.981334, 34.661127 29.970327, 34.657825 29.962621, 34.655623 29.957117, 34.65122 29.94721, 34.65122 29.930699, 34.653422 29.910885, 34.660027 29.898777, 34.663329 29.892172, 34.66553 29.878963, 34.66553 29.864653, 34.667732 29.830529, 34.673236 29.798606, 34.675437 29.782095, 34.677639 29.774389, 34.682042 29.767785, 34.716166 29.712746, 34.723871 29.706142, 34.732677 29.700638, 34.776708 29.663212, 34.786615 29.652204, 34.788817 29.647801, 34.805328 29.609274, 34.808631 29.590561, 34.80753 29.580654, 34.804228 29.571848, 34.795421 29.555336, 34.79322 29.543228, 34.79322 29.531119, 34.797623 29.456267, 34.803127 29.445259, 34.808631 29.438654, 34.817437 29.430949, 34.846057 29.412236, 34.880181 29.400127, 34.923111 29.39022, 34.957235 29.384717, 34.982552 29.379213, 35.008971 29.37591), (34.982552 29.379213, 34.984754 29.414437, 34.990258 29.46067, 34.997963 29.477181, 35.008971 29.494794, 35.035389 29.534421, 35.044196 29.547631, 35.053002 29.555336, 35.06511 29.559739, 35.087126 29.563041, 35.112443 29.565243, 35.125653 29.566344, 35.139963 29.572948, 35.148769 29.585057, 35.183993 29.659909, 35.242334 29.764483, 35.267652 29.808513, 35.400845 29.937304, 35.45038 29.985737, 35.471295 30.007753, 35.482302 30.019861, 35.496612 30.048481, 35.509822 30.081505, 35.52193 30.096915, 35.532938 30.105722, 35.617697 30.148652, 35.703557 30.190481, 35.715666 30.193783, 35.724472 30.197085, 35.73548 30.198186, 35.742084 30.202589, 35.747588 30.210295, 35.75089 30.221302, 35.754193 30.23231, 35.758596 30.242217, 35.762999 30.252124, 35.767402 30.259829, 35.767402 30.267535, 35.762999 30.277442, 35.754193 30.292853, 35.751991 30.300558, 35.754193 30.308263, 35.757495 30.31707, 35.7641 30.328077, 35.768503 30.335783, 35.769604 30.34569, 35.779511 30.516309, 35.786115 30.524014, 35.793821 30.530619, 35.800425 30.538324, 35.802627 30.548231, 35.800425 30.635192, 35.802627 30.645099, 35.814735 30.655006, 35.843355 30.67482, 35.867572 30.688029, 35.886285 30.697936, 35.900595 30.711146, 35.916006 30.726556, 35.934719 30.747471, 35.941324 30.766184, 35.95013 30.779393, 35.96444 30.791502, 35.974347 30.800308, 35.982052 30.814618, 35.985355 30.828928, 35.984254 30.850943, 35.977649 30.88837, 35.971045 30.914788, 35.967742 30.935703, 35.967742 30.950013, 35.971045 30.958819, 35.982052 30.975331, 36.027184 31.06009, 36.031587 31.0744, 36.037091 31.101919, 36.03599 31.132741, 36.032688 31.161361, 36.026083 31.196585, 36.022781 31.23181, 36.024982 31.24612, 36.029386 31.252725, 36.039292 31.26043, 36.073416 31.279143, 36.091029 31.285748, 36.095432 31.291252, 36.096533 31.297856, 36.095432 31.366104, 36.096533 31.377112, 36.104238 31.391422, 36.119649 31.421143, 36.124052 31.43105, 36.122951 31.438755, 36.115246 31.448662, 36.100936 31.461871, 36.085525 31.47398, 36.075618 31.489391, 36.066812 31.505902, 36.065711 31.521313, 36.066812 31.552134, 36.066812 31.57415, 36.06461 31.58846, 36.059106 31.600568, 36.053602 31.610475, 36.045897 31.61708, 36.03599 31.619282, 36.023882 31.623685, 36.016176 31.634692, 36.009572 31.644599, 36.001866 31.657808, 35.994161 31.669917, 35.980952 31.682025, 35.965541 31.691932, 35.95013 31.705142, 35.946828 31.720552, 35.95013 31.734862, 35.958936 31.746971, 35.965541 31.753576, 35.96444 31.768986, 35.96444 31.798707, 35.968843 31.820723, 35.973246 31.836133, 35.973246 31.847141, 35.965541 31.865854, 35.954533 31.882366, 35.947928 31.897777, 35.944626 31.914288, 35.940223 31.966024, 35.943525 31.992443, 35.946828 32.010055, 35.956735 32.025466, 35.975448 32.039776, 35.99306 32.049683, 36.013975 32.054086, 36.042595 32.055187, 36.06461 32.056288, 36.07892 32.057388, 36.100936 32.061791, 36.117447 32.0739, 36.126253 32.084908, 36.133959 32.094815, 36.140563 32.108024, 36.141664 32.132241, 36.15047 32.161962, 36.158176 32.172969, 36.160377 32.185078, 36.165881 32.189481, 36.174687 32.191682, 36.194501 32.193884, 36.204408 32.199388, 36.213214 32.212597, 36.219819 32.221403, 36.223121 32.229109, 36.22202 32.250023, 36.216456 32.334243, 36.215392 32.360829, 36.215747 32.378909, 36.217617 32.395325, 36.226424 32.440457, 36.227524 32.45917, 36.225323 32.477883, 36.213214 32.503201, 36.191199 32.543929, 36.16478 32.584658, 36.137261 32.613278, 36.110843 32.633092, 36.091029 32.641898, 36.073416 32.648502, 36.051401 32.650704, 36.041494 32.650704, 36.03599 32.651805, 36.03599 32.657308, 36.039292 32.67382, 36.087726 32.84554, 36.097633 32.882967, 36.10754 32.903881, 36.110843 32.921494, 36.10644 32.940207, 36.10644 32.955617, 36.133959 33.00185, 36.155974 33.034873, 36.186796 33.075601, 36.203307 33.100919, 36.230827 33.137245, 36.251741 33.171369, 36.270454 33.194485, 36.273757 33.207694, 36.277059 33.234112, 36.284764 33.266035, 36.301276 33.311166, 36.319989 33.3596, 36.329896 33.375011, 36.3354 33.38712, 36.340904 33.408034, 36.356778 33.451136, 36.680849 34.206014, 36.697329 34.830605), (36.697329 34.830605, 35.935421 35.186316), (36.697329 34.830605, 35.896306 34.465186))</t>
  </si>
  <si>
    <t>P0437</t>
  </si>
  <si>
    <t>Qatar, United Arab Emirates, Oman</t>
  </si>
  <si>
    <t>https://www.gem.wiki/Dolphin_Qatar%E2%80%93UAE_Natural_Gas_Pipeline</t>
  </si>
  <si>
    <t>Dolphin Qatar–UAE Natural Gas Pipeline</t>
  </si>
  <si>
    <t>Mubadala Investment Company [51.00%]; Occidental Petroleum [24.50%]; TotalEnergies SE [24.50%]</t>
  </si>
  <si>
    <t>Ras Laffan Industrial City</t>
  </si>
  <si>
    <t>Al Khor</t>
  </si>
  <si>
    <t xml:space="preserve"> آنبوب غاز دولفين -قطر-الامارات، خط أنابيب دولفين</t>
  </si>
  <si>
    <t>MULTILINESTRING ((51.56624298 25.92488722, 51.79838535 25.92591469, 51.87465316 25.83357912, 52.18324121 25.83275811, 52.23797753 25.72331361, 52.78910132 25.6304316, 52.94587973 25.50665586), (52.94587998 25.50665611, 53.00894476 25.45688695, 53.16158083 25.47556889, 53.16158083 25.47556889, 53.39300792 25.50389297, 54.66962764 24.74138697))</t>
  </si>
  <si>
    <t>P0438</t>
  </si>
  <si>
    <t>https://www.gem.wiki/Escravos%E2%80%93Lagos_Pipeline_System</t>
  </si>
  <si>
    <t>Escravos-Lagos Pipeline System (ELPS)</t>
  </si>
  <si>
    <t>Nigerian Gas Company Limite [100.00%]</t>
  </si>
  <si>
    <t>Escravos Gas Plant</t>
  </si>
  <si>
    <t>Sub-Saharan Africa</t>
  </si>
  <si>
    <t>Lagos</t>
  </si>
  <si>
    <t>MULTILINESTRING ((6.254675 4.977061, 6.27304 5.204229, 6.267676 5.298598, 6.242708 5.338941, 6.188721 5.373722, 6.074395 5.421146, 5.925137 5.490695, 5.713047 5.574694, 5.702651 5.723966, 5.691923 5.869837, 5.682982 6.038785, 5.674042 6.184572, 5.662376 6.304512, 5.64219 6.372065, 5.594219 6.409197, 5.51664 6.461813, 5.390909 6.506787, 5.164592 6.591727, 4.96845 6.661666, 4.757489 6.723636, 4.636519 6.731595, 4.410202 6.731595, 3.982714 6.706622, 3.704414 6.704664, 3.490649 6.704664, 3.281849 6.717337), (5.713047 5.574694, 5.673737 5.582602, 5.620485 5.603801, 5.559626 5.637112, 5.427259 5.668908, 5.317713 5.667394, 5.238596 5.641655, 5.201265 5.611385))</t>
  </si>
  <si>
    <t>P0439</t>
  </si>
  <si>
    <t>Libya, Italy</t>
  </si>
  <si>
    <t>https://www.gem.wiki/Greenstream_Pipeline</t>
  </si>
  <si>
    <t>Greenstream Gas Pipeline</t>
  </si>
  <si>
    <t>Melita - Gela Sicily Pipeline, Melita TransGas</t>
  </si>
  <si>
    <t>Eni S.p.A. [unknown %]; Libyan National Oil Corporation [unknown %]</t>
  </si>
  <si>
    <t>36, 32, 10</t>
  </si>
  <si>
    <t>https://arabic.rt.com/middle_east/1123021-%D8%A7%D9%84%D8%B3%D9%8A%D9%84-%D8%A7%D9%84%D8%A3%D8%AE%D8%B6%D8%B1-%D9%85%D9%86-%D9%85%D9%84%D9%8A%D8%AA%D8%A9-%D8%A7%D9%84%D9%84%D9%8A%D8%A8%D9%8A%D8%A9-%D8%A5%D9%84%D9%89-%D8%AC%D9%8A%D9%84%D8%A7-%D8%A7%D9%84%D8%A5%D9%8A%D8%B7%D8%A7%D9%84%D9%8A%D8%A9/</t>
  </si>
  <si>
    <t>Mellitah Complex</t>
  </si>
  <si>
    <t>Europe</t>
  </si>
  <si>
    <t>خط غاز جرين ستريم، خط انابيب الغاز</t>
  </si>
  <si>
    <t>LINESTRING (12.113564 32.9141632, 12.1708807 33.0166786, 12.8600601 33.8126322, 13.2240632 34.739627, 13.5880664 35.0550965, 13.723961 35.3608592, 13.7917104 35.4443743, 13.7428771 35.8269024, 13.6940437 35.8675969, 13.6994696 36.0466527, 13.9463495 36.2284214, 13.9707662 36.2772547, 13.9951829 36.4535975, 14.0901367 36.6272273, 14.1016139 36.7782295, 14.1612543 36.977031, 14.2642696 37.0493225)</t>
  </si>
  <si>
    <t>P0440</t>
  </si>
  <si>
    <t>https://www.gem.wiki/IGAT_10_Gas_Pipeline</t>
  </si>
  <si>
    <t>IGAT 10 Gas Pipeline</t>
  </si>
  <si>
    <t>Iran Gas Trunkline</t>
  </si>
  <si>
    <t>Iran Ministry of Petroleum [100.00%]</t>
  </si>
  <si>
    <t>Kangan</t>
  </si>
  <si>
    <t>Tiran</t>
  </si>
  <si>
    <t>LINESTRING (51.6348594 28.4407804, 49.0640155 37.4932542)</t>
  </si>
  <si>
    <t>P0441</t>
  </si>
  <si>
    <t>https://www.gem.wiki/IGAT_11_Gas_Pipeline</t>
  </si>
  <si>
    <t>IGAT 11 Gas Pipeline</t>
  </si>
  <si>
    <t>Iran Gas Trunkline 11</t>
  </si>
  <si>
    <t>MMSCMD</t>
  </si>
  <si>
    <t>Asaluyeh</t>
  </si>
  <si>
    <t>Bushehr</t>
  </si>
  <si>
    <t>Bazargan</t>
  </si>
  <si>
    <t>LINESTRING (52.591 27.474, 51.903 28.273, 51.665 28.495, 50.666 29.927, 49.81 30.854, 49.399 31.02, 48.758 31.337, 48.449 31.634, 48.025 31.875, 47.678 32.096, 47.842 32.435, 48.252 32.893, 48.063 33.086, 47.977 33.377, 47.933 33.875, 47.603 34.679, 47.389 35.141, 47.199 35.501, 47.017 35.675, 46.857 35.897, 46.773 36.4, 46.553 36.688, 46.332 37.15, 45.982 37.73, 45.556 38.371, 44.864 38.858, 44.432 39.304)</t>
  </si>
  <si>
    <t>P0442</t>
  </si>
  <si>
    <t>https://www.gem.wiki/IGAT_2_Gas_Pipeline</t>
  </si>
  <si>
    <t>IGAT 2 Gas Pipeline</t>
  </si>
  <si>
    <t>Nar and Kangan fields</t>
  </si>
  <si>
    <t>Kangan Refinery</t>
  </si>
  <si>
    <t>Qazvin</t>
  </si>
  <si>
    <t>LINESTRING (53.2548054 29.2261624, 49.9734735 36.3033732)</t>
  </si>
  <si>
    <t>P0443</t>
  </si>
  <si>
    <t>https://www.gem.wiki/IGAT_3_Gas_Pipeline</t>
  </si>
  <si>
    <t>IGAT 3 Gas Pipeline</t>
  </si>
  <si>
    <t>Saveh</t>
  </si>
  <si>
    <t>LINESTRING (52.5906294 27.4738534, 49.5601645 37.4438982)</t>
  </si>
  <si>
    <t>P0444</t>
  </si>
  <si>
    <t>https://www.gem.wiki/IGAT_4_Gas_Pipeline</t>
  </si>
  <si>
    <t>IGAT 4 Gas Pipeline</t>
  </si>
  <si>
    <t>South Pars gas field</t>
  </si>
  <si>
    <t>LINESTRING (52.5906294 27.4737004, 52.4522214 31.0571933, 49.5071105 35.1246302)</t>
  </si>
  <si>
    <t>P0445</t>
  </si>
  <si>
    <t>https://www.gem.wiki/IGAT_6_Gas_Pipeline</t>
  </si>
  <si>
    <t>IGAT 6 Gas Pipeline</t>
  </si>
  <si>
    <t>Khūzestān</t>
  </si>
  <si>
    <t>MULTILINESTRING ((52.5902864 27.4740054, 48.2367674 32.0214063, 46.9733824 31.8722503), (48.2367674 32.0214063, 46.9678035 35.3212282), (46.9678035 35.3212282, 44.6376235 34.8267062), (46.9678035 35.3212282, 46.7415055 36.6898352, 45.5000075 37.1115362))</t>
  </si>
  <si>
    <t>P0446</t>
  </si>
  <si>
    <t>https://www.gem.wiki/IGAT_7_Gas_Pipeline</t>
  </si>
  <si>
    <t>IGAT 7 Gas Pipeline</t>
  </si>
  <si>
    <t>Iranshahr</t>
  </si>
  <si>
    <t>Sistan-Baluchistan</t>
  </si>
  <si>
    <t>MULTILINESTRING ((52.5901144 27.4743104, 56.2045734 28.3673814, 56.1990374 25.9038515, 55.9428754 25.7975655), (56.2045734 28.3673814, 56.1705354 28.8207564, 59.1587734 28.5460684, 60.0046774 26.4608825), (60.0046774 26.4608825, 60.9659384 26.4215325, 60.0952284 25.3739516), (59.1587734 28.5460684, 59.2181194 31.1377403))</t>
  </si>
  <si>
    <t>P0447</t>
  </si>
  <si>
    <t>https://www.gem.wiki/IGAT_8_Gas_Pipeline</t>
  </si>
  <si>
    <t>IGAT 8 Gas Pipeline</t>
  </si>
  <si>
    <t>Parsian Refinery</t>
  </si>
  <si>
    <t>Qom</t>
  </si>
  <si>
    <t>LINESTRING (52.5904584 27.4739295, 52.9451084 27.4847714, 52.7188104 32.6725663, 51.3894214 33.9578343, 51.0861755 34.7378922)</t>
  </si>
  <si>
    <t>P0448</t>
  </si>
  <si>
    <t>https://www.gem.wiki/IGAT_9_Gas_Pipeline</t>
  </si>
  <si>
    <t>IGAT 9 Gas Pipeline</t>
  </si>
  <si>
    <t>Europe Gas Export Line, Iran Gas Trunkline</t>
  </si>
  <si>
    <t>West Azerbaijan Province</t>
  </si>
  <si>
    <t>LINESTRING (44.7243004 39.6295013, 44.7415009 39.2667007, 44.7930984 38.5444984, 44.8446007 38.2751999, 45.0966988 37.7244987, 45.2514 37.5293999, 45.3143997 37.3520012, 45.8470993 37.0461998, 46.1164017 36.8768997, 46.4944992 36.4956017, 46.7695007 36.2140999, 47.0158005 35.7877007, 47.2907982 34.9938011, 47.4233017 34.4500008, 47.6022987 34.0727005, 47.7545013 33.7756004, 48.0856018 33.1632996, 48.5421982 32.471199, 48.9001999 32.0093994, 49.3925018 31.3619995, 50.0102005 30.8407993, 50.3861008 30.5328999, 50.7262001 30.0613995, 51.0395012 29.2915001, 51.2275009 29.0727005, 52.7582016 27.7422009)</t>
  </si>
  <si>
    <t>P0449</t>
  </si>
  <si>
    <t>Iran, Armenia</t>
  </si>
  <si>
    <t>https://www.gem.wiki/Iran%E2%80%93Armenia_gas_pipeline</t>
  </si>
  <si>
    <t>Iran-Armenia Gas Pipeline</t>
  </si>
  <si>
    <t>Gazprom [unknown %]; Iran Ministry of Petroleum [unknown %]</t>
  </si>
  <si>
    <t>mm</t>
  </si>
  <si>
    <t>Sardarian</t>
  </si>
  <si>
    <t>Eurasia</t>
  </si>
  <si>
    <t>LINESTRING (46.2555635 38.0764991, 46.2282575 38.9031221)</t>
  </si>
  <si>
    <t>P0450</t>
  </si>
  <si>
    <t>Iran, Iraq, Syria, Lebanon</t>
  </si>
  <si>
    <t>https://www.gem.wiki/Iran%E2%80%93Iraq%E2%80%93Syria_pipeline</t>
  </si>
  <si>
    <t>Iran–Iraq–Syria Gas Pipeline</t>
  </si>
  <si>
    <t>Friendship Pipeline, Islamic gas pipeline</t>
  </si>
  <si>
    <t>Iran Ministry of Petroleum [unknown %]; Pasargad Energy Development Company [unknown %]</t>
  </si>
  <si>
    <t>LINESTRING (51.662899 28.1884995, 46.2336998 35.0996017, 36.1124001 34.8806992)</t>
  </si>
  <si>
    <t>P0451</t>
  </si>
  <si>
    <t>Iran, Pakistan, India</t>
  </si>
  <si>
    <t>https://www.gem.wiki/Iran-Pakistan-India_Pipeline</t>
  </si>
  <si>
    <t>Iran-Pakistan-India Pipeline</t>
  </si>
  <si>
    <t>IPI Pipeline</t>
  </si>
  <si>
    <t>New Delhi</t>
  </si>
  <si>
    <t>South Asia</t>
  </si>
  <si>
    <t>MULTILINESTRING ((77.1907324 28.6189121, 71.4336174 30.1987424, 69.1672684 28.6365701, 66.5824384 27.8202864, 65.1120774 26.256676, 59.3332254 25.8817062, 56.6195594 27.2475786, 52.5902864 27.4745005), (66.5824384 27.8202864, 67.0388104 24.9159945))</t>
  </si>
  <si>
    <t>P0452</t>
  </si>
  <si>
    <t>Iran, Pakistan</t>
  </si>
  <si>
    <t>https://www.gem.wiki/Iran-Pakistan_Pipeline</t>
  </si>
  <si>
    <t>Iran-Pakistan Pipeline</t>
  </si>
  <si>
    <t>Peace Pipeline</t>
  </si>
  <si>
    <t>Nawabshah</t>
  </si>
  <si>
    <t>LINESTRING (52.591 27.474, 52.989 27.44, 53.344 27.261, 53.631 27.208, 53.867 27.243, 54.11 27.303, 54.583 27.229, 54.772 27.216, 54.961 27.316, 55.275 27.269, 55.443 27.329, 55.856 27.567, 56.734 27.75, 57.728 27.771, 58.261 27.686, 59.01 27.691, 59.437 27.601, 60.373 27.384, 60.924 27.142, 61.196 26.861, 61.239 26.508, 61.189 26.013, 61.476 25.678, 61.641 25.464, 62.15 25.309, 62.279 25.23, 62.616 25.289, 63.182 25.315, 63.613 25.548, 64.272 25.406, 64.961 25.477, 65.305 25.374, 65.95 25.652, 66.589 25.749, 67.693 25.975, 68.391 26.245)</t>
  </si>
  <si>
    <t>P0453</t>
  </si>
  <si>
    <t>Algeria, Morocco, Spain, Portugal</t>
  </si>
  <si>
    <t>https://www.gem.wiki/Maghreb-Europe_Gas_Pipeline</t>
  </si>
  <si>
    <t>Maghreb-Europe Gas Pipeline</t>
  </si>
  <si>
    <t>Europe-Maghreb Pipeline (EMPL)</t>
  </si>
  <si>
    <t>Enagás [unknown %]; Government of Morocco [unknown %]; SaskEnergy [unknown %]; Sonatrach [unknown %]</t>
  </si>
  <si>
    <t>Mothballed</t>
  </si>
  <si>
    <t>Hassi R'Mel</t>
  </si>
  <si>
    <t>Laghouat</t>
  </si>
  <si>
    <t>Cordoba</t>
  </si>
  <si>
    <t>Andalucía</t>
  </si>
  <si>
    <t>خط أنابيب غازالمغرب العربي-أوروبا, بيدرو دوران فار</t>
  </si>
  <si>
    <t>LINESTRING (3.2514804 32.9358193, -0.3197216 33.3306283, -1.6638716 34.1020293, -3.8063346 34.1247633, -4.0521966 34.0974733, -5.8496215 35.7601872, -6.0776305 36.2445712, -5.9403875 37.0291612, -5.0995865 37.5288812)</t>
  </si>
  <si>
    <t>P0455</t>
  </si>
  <si>
    <t>Mozambique, South Africa</t>
  </si>
  <si>
    <t>https://www.gem.wiki/Mozambique-South_Africa_Gas_Pipeline</t>
  </si>
  <si>
    <t>Mozambique-South Africa Gas Pipeline</t>
  </si>
  <si>
    <t>MSP, Rompco Mozambique to Secunda Pipeline</t>
  </si>
  <si>
    <t>Sasol [50.00%]; Companhia Mocambiçana de Gasoduto [25.00%]; South African Gas Development Limited Company [25.00%]</t>
  </si>
  <si>
    <t>Pande and Temane gas fields</t>
  </si>
  <si>
    <t>LINESTRING (35.0923454 -21.8261337, 32.2235414 -25.6662335, 31.3253664 -25.7058345, 29.1802424 -26.5196815)</t>
  </si>
  <si>
    <t>P0456</t>
  </si>
  <si>
    <t>Tanzania</t>
  </si>
  <si>
    <t>https://www.gem.wiki/Mtwara%E2%80%93Dar_es_Salaam_Gas_Pipeline</t>
  </si>
  <si>
    <t>Mtwara–Dar es Salaam Gas Pipeline</t>
  </si>
  <si>
    <t>China National Petroleum Corporation [unknown %]; Tanzania Petroleum Development Corporation [unknown %]</t>
  </si>
  <si>
    <t>Mnazi Bay</t>
  </si>
  <si>
    <t>Madimba Village</t>
  </si>
  <si>
    <t>Mtwara</t>
  </si>
  <si>
    <t>Dar es Salaam</t>
  </si>
  <si>
    <t>LINESTRING (40.1624934 -10.3110203, 39.2648784 -8.3858965, 39.1934664 -6.7961626)</t>
  </si>
  <si>
    <t>P0457</t>
  </si>
  <si>
    <t>Iran, Türkiye, Greece, Italy, Switzerland, Austria, Germany, France, Spain</t>
  </si>
  <si>
    <t>https://www.gem.wiki/Persian_Gas_Pipeline</t>
  </si>
  <si>
    <t>Persian Gas Pipeline</t>
  </si>
  <si>
    <t>IGAT 9, Pars Pipeline, Iran–Europe pipeline, Iran–Turkey-Europe (ITE) pipeline</t>
  </si>
  <si>
    <t>MULTILINESTRING ((52.5921744 27.4730154, 44.3716275 39.3906982, 27.1488015 41.3715122, 23.0728305 41.0243171, 20.2932465 39.4985911, 12.4489655 41.8315641, 8.7245575 44.9597971, 8.2081575 46.9454352, 14.3384855 47.4530251, 8.7464015 50.1301282), (8.7245575 44.9597971, 2.9514455 46.1739351, -4.4973275 39.5144232))</t>
  </si>
  <si>
    <t>P0458</t>
  </si>
  <si>
    <t>Qatar, Saudi Arabia, Jordan, Syria, Türkiye, Bulgaria</t>
  </si>
  <si>
    <t>https://www.gem.wiki/Qatar-Turkey_Gas_Pipeline</t>
  </si>
  <si>
    <t>Qatar-Turkey Gas Pipeline</t>
  </si>
  <si>
    <t>South Pars/North Dome field</t>
  </si>
  <si>
    <t>Nabucco pipeline, Ahiboz</t>
  </si>
  <si>
    <t>LINESTRING (51.1990013 24.9785004, 38.1141014 32.2424011, 37.3937988 37.4838982, 27.2201004 41.4664993)</t>
  </si>
  <si>
    <t>P0459</t>
  </si>
  <si>
    <t>Iran, Türkiye</t>
  </si>
  <si>
    <t>https://www.gem.wiki/Tabriz-Ankara_Pipeline</t>
  </si>
  <si>
    <t>Tabriz-Ankara Gas Pipeline</t>
  </si>
  <si>
    <t>Iran-Turkey Gas pipeline</t>
  </si>
  <si>
    <t>BOTAŞ [unknown %]; National Iranian Oil Company [unknown %]</t>
  </si>
  <si>
    <t>BOTAŞ [unknown %]; Iran Ministry of Petroleum [unknown %]</t>
  </si>
  <si>
    <t>40, 46</t>
  </si>
  <si>
    <t>MULTILINESTRING ((46.255564 38.076499, 44.371628 39.390698), (44.371628 39.390698, 44.059297 39.552669, 43.636033 39.585297, 43.273234 39.678435, 42.910436 39.752854, 42.656477 39.808616, 42.263446 39.85505, 42.142513 39.945506, 41.589245 39.980264, 40.924115 39.976789, 40.748762 39.884055, 40.518443 39.745897, 40.144098 39.860852, 39.545481 39.897973, 39.049657 39.925801, 38.698952 39.85621, 38.23336 39.837641, 37.574277 39.795841, 37.187292 39.600441, 36.413322 39.329692, 35.772378 38.954521, 35.264461 38.860415, 34.683983 39.029715, 34.163972 39.282905, 33.680241 39.437184, 33.477679 39.5002, 33.154183 39.523525, 32.827665 39.619074, 32.816583 39.934633))</t>
  </si>
  <si>
    <t>P0460</t>
  </si>
  <si>
    <t>Nigeria, Niger, Algeria</t>
  </si>
  <si>
    <t>https://www.gem.wiki/Trans-Sahara_Gas_Pipeline</t>
  </si>
  <si>
    <t>Trans-Sahara Gas Pipeline</t>
  </si>
  <si>
    <t>NIGAL pipeline, Trans-African gas pipeline</t>
  </si>
  <si>
    <t>Niger Ministry of Petroleum, Energy and Renewable Energies [unknown %]; Nigerian National Petroleum Corporation [unknown %]; Sonatrach [unknown %]</t>
  </si>
  <si>
    <t>48, 56</t>
  </si>
  <si>
    <t>https://www.aljazeera.com/news/2022/6/23/algeria-niger-nigeria-resume-talks-on-trans-sahara-gas-pipeline, https://24.ae/article/709299/%D8%A7%D9%84%D8%AC%D8%B2%D8%A7%D8%A6%D8%B1-%D9%88%D8%A7%D9%84%D9%86%D9%8A%D8%AC%D8%B1-%D9%88%D9%86%D9%8A%D8%AC%D9%8A%D8%B1%D9%8A%D8%A7-%D8%AA%D8%AD%D9%8A%D9%8A-%D9%85%D8%B4%D8%B1%D9%88%D8%B9-%D8%AE%D8%B7-%D8%A3%D9%86%D8%A7%D8%A8%D9%8A%D8%A8-%D8%A7%D9%84%D8%BA%D8%A7%D8%B2-%D8%B9%D8%A8%D8%B1-%D8%A7%D9%84%D8%B5%D8%AD%D8%B1%D8%A7%D8%A1</t>
  </si>
  <si>
    <t>خط أنابيب الغاز العابر للصحراء ، الأنبوب العابر للبحر الأبيض المتوسط ،خط إنريكو ماتاي</t>
  </si>
  <si>
    <t>LINESTRING (5.265122071 5.752842677, 5.142192634 6.548861573, 5.857306812 7.099730869, 6.743345375 8.869883232, 6.718437817 11.64515672, 7.488302512 18.4977969, 5.036004353 22.79641022, 4.646636238 26.64245287)</t>
  </si>
  <si>
    <t>P0461</t>
  </si>
  <si>
    <t>Nigeria, Ghana, Togo, Benin</t>
  </si>
  <si>
    <t>https://www.gem.wiki/West_African_Gas_Pipeline</t>
  </si>
  <si>
    <t>West African Gas Pipeline</t>
  </si>
  <si>
    <t>West African Gas Pipeline Company limited [unknown %]</t>
  </si>
  <si>
    <t>Chevron [unknown %]; Nigerian National Petroleum Corporation [unknown %]; Shell [unknown %]; Societe BenGaz [unknown %]; Société Togolaise de Gaz [unknown %]; Takoradi Power [unknown %]</t>
  </si>
  <si>
    <t>Itoki terminal, Lagos</t>
  </si>
  <si>
    <t>Takoradi</t>
  </si>
  <si>
    <t>MULTILINESTRING ((3.281849 6.717337, 3.384082 6.455027, 3.750292 5.397266, 3.750292 5.2753, 3.655017 5.193976, 3.423634 5.099084, 3.096975 4.99062, 2.892813 4.963501, 2.566155 4.90926, 2.280329 4.855014, 2.035335 4.814327, 1.831173 4.787201, 1.633316 4.758622, 1.436461 4.719381, 1.041748 4.624423, 0.647036 4.543019, 0.249911 4.476409, 0.007329 4.434467, -0.400994 4.366614, -0.714042 4.298754, -1.449023 4.135867, -1.509054 4.132529, -1.567791 4.155311, -1.613475 4.191111, -1.646107 4.249689, -1.665686 4.31477, -1.766667 4.916667), (2.892813 4.963501, 2.433333 6.366667), (1.633316 4.758622, 1.222778 6.131944), (0.249911 4.476409, 0 5.666667))</t>
  </si>
  <si>
    <t>P0462</t>
  </si>
  <si>
    <t>Israel, Egypt</t>
  </si>
  <si>
    <t>https://www.gem.wiki/Arish%E2%80%93Ashkelon_Pipeline</t>
  </si>
  <si>
    <t>Arish–Ashkelon Pipeline</t>
  </si>
  <si>
    <t>East Gas Company [19.50%]; Evsen Group of Companies [17.08%]; Merhav Group [15.25%]; PTT Public Company Limited [15.25%]; Delek Group [9.75%]; Noble Energy [9.75%]; European Grid Infrastructure [7.32%]; Egyptian General Petroleum Corporation [6.10%]</t>
  </si>
  <si>
    <t>East Gas Company [19.50%]; Evsen Group of Companies [17.08%]; Merhav Group [15.25%]; PTT Public Company Limited [15.25%]; Chevron [9.75%]; European Grid Infrastructure [7.32%]; Egyptian General Petroleum Corporation [6.10%]; Delek Group [unknown %]</t>
  </si>
  <si>
    <t>North Sinai</t>
  </si>
  <si>
    <t>LINESTRING (33.889558 31.142732, 33.898903 31.163033, 33.910664 31.185912, 33.91292 31.190101, 33.913725 31.193807, 33.925809 31.236987, 33.941745 31.302537, 33.942708 31.306921, 33.943884 31.309594, 33.946343 31.312267, 34.026457 31.39564, 34.155513 31.529831, 34.30158 31.67991, 34.310962 31.684909, 34.317375 31.686672, 34.323789 31.687795, 34.348963 31.686833, 34.374938 31.687634, 34.383116 31.689077, 34.387926 31.689558, 34.390812 31.690681, 34.394821 31.691964, 34.405082 31.691964, 34.408289 31.691322, 34.528005 31.638988, 34.531752 31.636806, 34.536087 31.6332)</t>
  </si>
  <si>
    <t>P0463</t>
  </si>
  <si>
    <t>Nigeria, Benin, Togo, Ghana, Côte d'Ivoire, Liberia, Sierra Leone, Guinea, Guinea-Bissau, The Gambia, Senegal, Mauritania, Morocco, Spain</t>
  </si>
  <si>
    <t>https://www.gem.wiki/Nigeria-Morocco_Gas_Pipeline</t>
  </si>
  <si>
    <t>Nigeria-Morocco Gas Pipeline</t>
  </si>
  <si>
    <t>Atlantic Gas Pipeline, Coastal Gas Pipeline</t>
  </si>
  <si>
    <t>Moroccan National Board of Hydrocarbons and Mines [unknown %]; Nigerian National Petroleum Corporation [unknown %]</t>
  </si>
  <si>
    <t>Tangiers</t>
  </si>
  <si>
    <t>MULTILINESTRING ((-1.449023 4.135867, -1.911063 4.014729, -2.254852 3.892177, -2.549708 3.817065, -2.976308 3.773246, -3.463418 3.769251, -3.967016 3.877895, -4.457004 3.959369, -4.715609 4.000103, -5.123932 3.986525, -5.505034 3.972947, -5.668363 3.932212, -6.049465 3.823575, -6.376123 3.728506, -6.702782 3.660594, -7.070273 3.592676, -7.505818 3.565508, -7.954973 3.565508, -8.376907 3.565508, -8.812452 3.647011, -9.179943 3.809994, -9.901314 4.176592, -10.350469 4.407326, -10.677128 4.624423, -10.922122 4.760074, -11.684325 5.261746, -12.133481 5.586942, -12.569025 5.911957, -12.909295 6.196188, -13.317618 6.53436, -13.603444 6.845276, -13.916492 7.196502, -14.107043 7.426003, -14.365647 7.763287, -14.515366 8.086826, -14.678695 8.423569, -14.882857 8.827273, -15.087018 9.270837, -15.345623 9.83456, -15.413677 9.968641, -15.631449 10.129464, -15.849222 10.31699, -16.121437 10.544549, -16.393653 10.825419, -16.625036 11.065956, -16.856419 11.252904, -17.006138 11.45307, -17.360018 11.852976, -17.591401 12.079332, -17.822784 12.358682, -17.999724 12.531465, -18.163053 12.889949, -18.231107 13.075629, -18.28555 13.473042, -18.326383 13.803716, -18.353604 14.186711, -18.353604 14.661252, -18.339993 14.924445, -18.326383 15.318629, -18.190275 15.829957, -18.054167 16.287744, -17.93167 16.73143, -17.809173 17.26509, -17.713898 17.797211, -17.673065 18.237283, -17.659455 18.585962, -17.727509 18.972548, -17.822784 19.37108, -17.945281 19.730208, -18.067778 20.024605, -18.149443 20.343977, -18.203886 20.497042, -18.28555 20.955318, -18.28555 21.399522, -18.299161 21.918162, -18.27194 22.283871, -18.149443 22.610938, -17.958892 23.012415, -17.645844 23.475137, -17.360018 23.898915, -17.019748 24.370911, -16.815587 24.630999, -16.570593 24.902894, -16.284767 25.223452, -16.16227 25.444884, -16.026162 25.714971, -15.952923 25.897117, -15.876443 26.057833, -15.726725 26.253305, -15.372845 26.606761, -15.018965 26.971259, -14.637863 27.370848, -14.275246 27.66849, -14.124835 27.781907, -13.974424 27.875511, -13.725941 28.021613, -13.412893 28.20169, -12.814019 28.620688, -12.419307 28.942779, -12.065427 29.251997, -11.913236 29.41545, -11.779601 29.583958, -11.616271 29.844022, -11.480163 30.10341, -11.41211 30.303382, -11.384012 30.434154, -11.384888 30.666987, -11.384888 31.110836, -11.344056 31.564217, -11.269133 31.881697, -11.202078 32.100431, -11.009946 32.57416, -10.845983 32.881856, -10.690739 33.139366, -10.522338 33.324602, -10.34735 33.479612, -10.152293 33.620177, -9.955757 33.729997, -9.601877 33.933507, -9.247997 34.113998, -8.907727 34.327832, -8.553847 34.585955, -8.295242 34.787408, -8.036638 34.99952, -7.805255 35.244438, -7.519428 35.621496, -7.342488 35.985772, -7.274434 36.150798, -7.138327 36.348373, -6.961387 36.479812, -6.743614 36.567314, -6.607507 36.611028, -6.362513 36.632876, -6.158351 36.643798), (-8.907727 34.327832, -8.540236 33.922214, -8.295242 33.684707, -8.104692 33.514656, -7.988628 33.401794), (-13.725941 28.021613, -13.595403 27.852954, -13.476768 27.716054, -13.316869 27.578981, -13.172445 27.487505), (-18.203886 20.497042, -17.848872 20.483919, -17.586356 20.483919, -17.314117 20.529453, -17.119661 20.602278, -16.915482 20.738732, -16.711303 20.911397), (-18.353604 14.186711, -18.026946 14.186711, -17.645844 14.199906, -17.346407 14.213101, -16.876591 14.308285), (-18.231107 13.075629, -17.795562 13.168417, -17.455293 13.221422, -17.022433 13.28854, -16.662689 13.316926), (-17.006138 11.45307, -16.543371 11.559768, -16.271156 11.679755, -15.99894 11.746391, -15.699503 11.839656), (-15.413677 9.968641, -14.978132 10.19645, -14.610641 10.357159, -14.460923 10.424097), (-14.107043 7.426003, -13.52178 7.817228, -13.195121 8.005965, -12.870791 8.170045), (-10.922122 4.760074, -10.71796 5.139754, -10.54102 5.397266, -10.391302 5.600488, -10.119235 5.970238), (-5.668363 3.932212, -5.763639 4.258036, -5.804471 4.570155, -5.845303 4.868576, -5.858914 5.180421))</t>
  </si>
  <si>
    <t>P0464</t>
  </si>
  <si>
    <t>https://www.gem.wiki/Gassi_Touil-Hassi_Messaoud_Gas_Pipeline</t>
  </si>
  <si>
    <t>Gassi Touil-Hassi Messaoud Gas Pipeline</t>
  </si>
  <si>
    <t>GM1</t>
  </si>
  <si>
    <t>Sonatrach [100.00%]</t>
  </si>
  <si>
    <t>Gassi Touil</t>
  </si>
  <si>
    <t>LINESTRING (6.4776 30.4758, 6.5094 30.5364, 6.464 30.8708, 6.0677 31.6038, 6.0556 31.671)</t>
  </si>
  <si>
    <t>P0465</t>
  </si>
  <si>
    <t>https://www.gem.wiki/Haoudh_El_Hamra-Arzew_Gas_Pipeline</t>
  </si>
  <si>
    <t>Haoudh El Hamra-Arzew Gas Pipeline</t>
  </si>
  <si>
    <t>Haoudh El Hamra</t>
  </si>
  <si>
    <t>LINESTRING (5.7348 32.0173, 5.2074 31.9547, 4.3567 32.3079, 3.2516 32.9361, 2.8099 33.7654, 2.6152 33.9366, 2.1151 34.6854, 1.5699 34.9698, 1.3004 35.3447, 0.7192 35.727, -0.0411 35.6148, -0.2617 35.8093)</t>
  </si>
  <si>
    <t>P0466</t>
  </si>
  <si>
    <t>https://www.gem.wiki/Hassi_R'Mel-Arzew_Gas_Pipeline</t>
  </si>
  <si>
    <t>Hassi R'Mel-Arzew Gas Pipeline</t>
  </si>
  <si>
    <t>GZ0</t>
  </si>
  <si>
    <t>أنبوب الغاز  حاسي الرمل - أرزيو</t>
  </si>
  <si>
    <t>LINESTRING (3.331794904 32.34731415, 1.069974237 35.29040295, -0.3388151977 35.84376217)</t>
  </si>
  <si>
    <t>P0467</t>
  </si>
  <si>
    <t>https://www.gem.wiki/Hassi_R'mel-Isser_Gas_Pipeline</t>
  </si>
  <si>
    <t>Hassi R'Mel-Isser Gas Pipeline</t>
  </si>
  <si>
    <t>GG1،  Hassi R'Mel- Bordj Ménail Gas Pipeline</t>
  </si>
  <si>
    <t>https://sonatrach.com/wp-content/uploads/2022/01/DESCRIPTION-DU-RESEAU-DE-TRANSPORT-PAR-CANALISATION-DES-HYDROCARBURES-TARIF-DE-TRANSPORT-ANNEE-2022.pdf</t>
  </si>
  <si>
    <t>Isser</t>
  </si>
  <si>
    <t>Boumerdès</t>
  </si>
  <si>
    <t xml:space="preserve"> أنبوب غاز حاسي رمل – برج منايل</t>
  </si>
  <si>
    <t>LINESTRING (3.291 32.928, 3.614 34.33, 3.007 35.56, 3.664 36.71)</t>
  </si>
  <si>
    <t>P0468</t>
  </si>
  <si>
    <t>https://www.gem.wiki/Hassi_R'Mel-Skikda_Gas_Pipeline</t>
  </si>
  <si>
    <t>Hassi R'Mel-Skikda Gas Pipeline</t>
  </si>
  <si>
    <t>GK1</t>
  </si>
  <si>
    <t>أنبوب الغاز حاسي الرمل -سكسيدا</t>
  </si>
  <si>
    <t>LINESTRING (3.283 32.972, 5.67 35.751, 6.669 36.37, 6.947 36.88)</t>
  </si>
  <si>
    <t>P0469</t>
  </si>
  <si>
    <t>https://www.gem.wiki/In_Salah_Gas_Pipeline</t>
  </si>
  <si>
    <t>In Salah Gas Pipeline</t>
  </si>
  <si>
    <t>GIS, GR3</t>
  </si>
  <si>
    <t>Sonatrach [35.00%]; BP [33.15%]; Equinor [31.85%]</t>
  </si>
  <si>
    <t>In Salah</t>
  </si>
  <si>
    <t>Tamanrasset</t>
  </si>
  <si>
    <t>خط أنابيب عين صالح</t>
  </si>
  <si>
    <t>LINESTRING (2.4846 27.5595, 2.1336 28.0665, 2.404 28.573121, 2.215693 29.090823, 2.9551 30.4219, 3.0778 31.0414, 3.0446 31.4653, 2.9625 31.8042, 3.1114 32.6619, 3.2516 32.9361)</t>
  </si>
  <si>
    <t>P0470</t>
  </si>
  <si>
    <t>https://www.gem.wiki/Rhourd_Ennous-Hassi_R'mel_Gas_Pipeline</t>
  </si>
  <si>
    <t>Rhourd Ennous-Hassi R'Mel I Gas Pipeline</t>
  </si>
  <si>
    <t>GR6</t>
  </si>
  <si>
    <t>Rhourd Ennous</t>
  </si>
  <si>
    <t>خط أنابيب رورد النوس - حاسي الرمل، انبوب الغاز (جي أر6)</t>
  </si>
  <si>
    <t>LINESTRING (6.7133 29.6963, 6.596 29.7476, 6.464 30.8708, 5.9015 31.7917, 5.7715 31.8834, 5.2074 31.9547, 4.3567 32.3079, 3.2516 32.9361)</t>
  </si>
  <si>
    <t>P0471</t>
  </si>
  <si>
    <t>https://www.gem.wiki/Angola_LNG_Gas_Pipeline_System</t>
  </si>
  <si>
    <t>Angola LNG Gas Pipeline System</t>
  </si>
  <si>
    <t>Sonangol [100.00%]</t>
  </si>
  <si>
    <t>Government of Angola [100.00%]</t>
  </si>
  <si>
    <t>various offshore gas fields</t>
  </si>
  <si>
    <t>Angola LNG terminal</t>
  </si>
  <si>
    <t>Soyo</t>
  </si>
  <si>
    <t>Zaire</t>
  </si>
  <si>
    <t>MULTILINESTRING ((12.33596 -6.11957, 12.14 -6.46, 12.38 -6.95, 12 -7.07, 12.1 -7.65), (12 -7.07, 11.45 -7.18), (12.14 -6.46, 12 -6.3, 11 -6.2), (12.33596 -6.11957, 11.7 -5.61))</t>
  </si>
  <si>
    <t>P0472</t>
  </si>
  <si>
    <t>Côte d'Ivoire</t>
  </si>
  <si>
    <t>https://www.gem.wiki/Petroci_Foxtrot_Gas_Pipeline</t>
  </si>
  <si>
    <t>Petroci Foxtrot Gas Pipeline</t>
  </si>
  <si>
    <t>Petroci [100.00%]</t>
  </si>
  <si>
    <t>Foxtrot offshore gas field</t>
  </si>
  <si>
    <t>LINESTRING (-4.65 5.05, -4.65 5.179, -4.015 5.262)</t>
  </si>
  <si>
    <t>P0473</t>
  </si>
  <si>
    <t>Cyprus</t>
  </si>
  <si>
    <t>Cyprus, Egypt</t>
  </si>
  <si>
    <t>https://www.gem.wiki/Cyprus-Egypt_gas_pipeline</t>
  </si>
  <si>
    <t>Cyprus-Egypt Gas Pipeline</t>
  </si>
  <si>
    <t>Noble Energy [35.00%]; Shell [35.00%]; Delek Group [30.00%]</t>
  </si>
  <si>
    <t>Chevron [35.00%]; Shell [35.00%]; Delek Group [unknown %]</t>
  </si>
  <si>
    <t>Aphrodite offshore gas field</t>
  </si>
  <si>
    <t>Damietta Segas LNG Terminal</t>
  </si>
  <si>
    <t>Damietta</t>
  </si>
  <si>
    <t>Pre-FID</t>
  </si>
  <si>
    <t>LINESTRING (32.9833 33.0944, 31.7473 31.469)</t>
  </si>
  <si>
    <t>P0474</t>
  </si>
  <si>
    <t>https://www.gem.wiki/Obaiyed-Amreya_Northern_Gas_Pipeline</t>
  </si>
  <si>
    <t>Obaiyed-Amreya Northern Gas Pipeline</t>
  </si>
  <si>
    <t>Apache Corporation [unknown %]; Shell [unknown %]</t>
  </si>
  <si>
    <t>APA Corporation [unknown %]; Shell [unknown %]</t>
  </si>
  <si>
    <t>Obaiyed gas field</t>
  </si>
  <si>
    <t>Matruh</t>
  </si>
  <si>
    <t>Amreya oil &amp; gas plant</t>
  </si>
  <si>
    <t>LINESTRING (26.6114 31.1015, 26.6203 31.0998, 27.5526 30.9503, 28.3748 30.8327, 28.8028 30.7694, 29.0621 30.7158, 29.1244 30.7167, 29.2589 30.7463, 29.2813 30.7621, 29.3631 30.7803, 29.8648 31.0948)</t>
  </si>
  <si>
    <t>P0476</t>
  </si>
  <si>
    <t>https://www.gem.wiki/Salam-Abu_Gharadig_Southern_Gas_Pipeline</t>
  </si>
  <si>
    <t>Salam-Abu Gharadig Southern Gas Pipeline</t>
  </si>
  <si>
    <t>Salam-Abu Gharadig gas pipeline</t>
  </si>
  <si>
    <t>Apache Corporation [100.00%]</t>
  </si>
  <si>
    <t>APA Corporation [100.00%]</t>
  </si>
  <si>
    <t>Salam gas field</t>
  </si>
  <si>
    <t>Abu Gharadig oilfield</t>
  </si>
  <si>
    <t>LINESTRING (26.98 30.7077, 26.9948 30.6928, 27.0321 30.6232, 27.1819 30.4713, 27.3471 30.3695, 27.366 30.273, 27.3869 30.2465, 27.3536 30.2141, 27.3981 30.1235, 27.442 30.1025, 27.511 30.0658, 27.5227 30.0291, 27.5431 30.0147, 27.588 29.9872, 27.642 29.9732, 27.7548 29.9663, 27.8554 29.9798, 27.8797 29.9767, 28.2122 29.9978, 28.3025 29.9785, 28.4636 29.8626, 28.5452 29.8197, 28.5563 29.7889)</t>
  </si>
  <si>
    <t>P0477</t>
  </si>
  <si>
    <t>https://www.gem.wiki/South_Valley_Gas_Pipeline</t>
  </si>
  <si>
    <t>South Valley Gas Pipeline</t>
  </si>
  <si>
    <t>Upper Egypt Gas Pipeline</t>
  </si>
  <si>
    <t>Egyptian Natural Gas Holding Company [100.00%]</t>
  </si>
  <si>
    <t>36, 32, 30</t>
  </si>
  <si>
    <t>Dahshour</t>
  </si>
  <si>
    <t>Giza</t>
  </si>
  <si>
    <t>Aswan</t>
  </si>
  <si>
    <t>خط غاز الصعيد، خط غاز جنوب الوادى</t>
  </si>
  <si>
    <t>LINESTRING (31.2226 29.8141, 31.1769 29.813, 31.17 29.72, 31.42 29.68, 31.32 29.38, 31.01 28.59, 30.97 28.2, 30.52 28.13, 30.62 27.7, 30.69 27.34, 31 27.2, 31.57 26.53, 32.18 25.93, 32.66 26.11, 32.68 25.83, 32.42 25.66, 32.51 25.23, 32.61 24.94, 32.64 24.92, 32.83 24.04, 32.86 24.02)</t>
  </si>
  <si>
    <t>P0479</t>
  </si>
  <si>
    <t>Israel, Cyprus</t>
  </si>
  <si>
    <t>https://www.gem.wiki/Israel_Cyprus_Gas_Pipeline</t>
  </si>
  <si>
    <t>Israel Cyprus Gas Pipeline</t>
  </si>
  <si>
    <t>Energean E&amp;P Holdings Limited [100.00%]</t>
  </si>
  <si>
    <t>Karish and Tanin Gas Fields</t>
  </si>
  <si>
    <t>Energean Power FPSO</t>
  </si>
  <si>
    <t>Vassiliko</t>
  </si>
  <si>
    <t>LINESTRING (34.29286 33.226556, 34.1631357 33.270569, 33.674353 33.504536, 33.1902034 34.398708, 33.2180014 34.746183)</t>
  </si>
  <si>
    <t>P0480</t>
  </si>
  <si>
    <t>Israel, Jordan</t>
  </si>
  <si>
    <t>https://www.gem.wiki/Israel_Jordan_Gas_Pipeline</t>
  </si>
  <si>
    <t>Israel Jordan Gas Pipeline</t>
  </si>
  <si>
    <t>Energean E&amp;P Holdings Limited [unknown %]; Noble Energy [unknown %]</t>
  </si>
  <si>
    <t>Chevron [unknown %]; Energean E&amp;P Holdings Limited [unknown %]</t>
  </si>
  <si>
    <t>Leviathan fields</t>
  </si>
  <si>
    <t>LINESTRING (33.62405 33.243546, 35.83494 32.558038)</t>
  </si>
  <si>
    <t>P0481</t>
  </si>
  <si>
    <t>Iraq, Kuwait</t>
  </si>
  <si>
    <t>https://www.gem.wiki/Iraq-Kuwait_Gas_Pipeline</t>
  </si>
  <si>
    <t>Iraq-Kuwait Gas Pipeline</t>
  </si>
  <si>
    <t>Rumaila oilfield</t>
  </si>
  <si>
    <t>LINESTRING (47.41 30.17, 47.68 29.33)</t>
  </si>
  <si>
    <t>P0482</t>
  </si>
  <si>
    <t>https://www.gem.wiki/Defa-Brega_gas_pipeline</t>
  </si>
  <si>
    <t>Defa-Brega Gas Pipeline</t>
  </si>
  <si>
    <t>Libyan National Oil Corporation [100.00%]</t>
  </si>
  <si>
    <t>Defa gas field</t>
  </si>
  <si>
    <t>Al Wahat</t>
  </si>
  <si>
    <t>Brega</t>
  </si>
  <si>
    <t>LINESTRING (19.9051 27.9894, 19.8986 27.9921, 19.9204 28.0758, 19.9219 28.1712, 19.9177 28.2912, 19.9218 28.2983, 19.922 28.3046, 19.9365 28.3782, 19.9355 28.3923, 19.8943 28.5093, 19.8961 28.6196, 19.8018 28.8116, 19.7701 28.9162, 19.781 28.9384516, 19.7798 28.9833, 19.7948 29.0027, 19.8144 29.0667, 19.8175 29.1246, 19.8234 29.1452, 19.8141 29.2898, 19.8145 29.4575, 19.8126 29.4964, 19.8831 29.774, 19.8173 29.8705, 19.7163 30.2585, 19.6064 30.3963, 19.6091 30.4102)</t>
  </si>
  <si>
    <t>P0483</t>
  </si>
  <si>
    <t>https://www.gem.wiki/Libya_Coastal_Gas_Pipeline</t>
  </si>
  <si>
    <t>Libya Coastal Gas Pipeline</t>
  </si>
  <si>
    <t>Nuqat al Khams district</t>
  </si>
  <si>
    <t>Benghazi</t>
  </si>
  <si>
    <t>انبوب  الغاز الساحلي البريقة – مصراتة</t>
  </si>
  <si>
    <t>LINESTRING (12.2375 32.8538, 13.18 32.86, 14.25 32.64, 15.08 32.32, 15.4 31.44, 16.58 31.2, 18.3644 30.6352, 18.551 30.4723, 19.03 30.22, 19.6091 30.4102, 20.0484 30.8278, 20.26 31.19, 20.09 32.1)</t>
  </si>
  <si>
    <t>P0484</t>
  </si>
  <si>
    <t>https://www.gem.wiki/Wafa-Mellitah_gas_pipeline</t>
  </si>
  <si>
    <t>Wafa-Mellitah gas Pipeline</t>
  </si>
  <si>
    <t>Western Libyan Gas Project</t>
  </si>
  <si>
    <t>Eni S.p.A. [50.00%]; Libyan National Oil Corporation [50.00%]</t>
  </si>
  <si>
    <t>Wafa gas field</t>
  </si>
  <si>
    <t>Nalut</t>
  </si>
  <si>
    <t>خط  غاز الوفاء - مليته</t>
  </si>
  <si>
    <t>LINESTRING (10.0235 28.8885, 10.0214 28.9342, 10.2986 29.5152, 10.3106 29.7379, 10.4482 29.881, 10.5009 30.2409, 10.457 30.4144, 10.4849 30.8094, 10.5228 30.9668, 10.6492 31.413, 10.7726 31.5677, 10.9313 31.7472, 11.0591 31.9329, 11.1327 32.0172, 11.2135 32.0685, 11.4306 32.1708, 11.8116 32.532, 11.9406 32.6493, 12.0253 32.7713, 12.0672 32.8259, 12.0866 32.8599, 12.1023 32.9032, 12.1141 32.9144, 12.2375 32.8538)</t>
  </si>
  <si>
    <t>P0486</t>
  </si>
  <si>
    <t>https://www.gem.wiki/Escravos-Warri-Oben_Gas_Pipeline</t>
  </si>
  <si>
    <t>Escravos-Warri-Oben Gas Pipeline</t>
  </si>
  <si>
    <t>Nigerian National Petroleum Corporation [100.00%]</t>
  </si>
  <si>
    <t>Oben node</t>
  </si>
  <si>
    <t>Edo</t>
  </si>
  <si>
    <t>LINESTRING (5.204 5.61, 5.713 5.566, 5.8995 5.99369)</t>
  </si>
  <si>
    <t>P0487</t>
  </si>
  <si>
    <t>https://www.gem.wiki/Oben-Geregu_Gas_Pipeline</t>
  </si>
  <si>
    <t>Oben-Geregu Gas Pipeline</t>
  </si>
  <si>
    <t>Oben Gas Power Station</t>
  </si>
  <si>
    <t>Oben</t>
  </si>
  <si>
    <t>Geregu</t>
  </si>
  <si>
    <t>Kogi</t>
  </si>
  <si>
    <t>LINESTRING (5.867 6.012, 6.689 7.511, 6.692 7.563)</t>
  </si>
  <si>
    <t>P0488</t>
  </si>
  <si>
    <t>https://www.gem.wiki/Obiafu-Obrikom-Oben_Gas_Pipeline</t>
  </si>
  <si>
    <t>Obiafu-Obrikom-Oben Gas Pipeline</t>
  </si>
  <si>
    <t>OB3 Pipeline, East-West Pipeline</t>
  </si>
  <si>
    <t>Obiafu-Obrikom gas plant</t>
  </si>
  <si>
    <t>LINESTRING (6.6565269 5.3913816, 5.8995 5.99369)</t>
  </si>
  <si>
    <t>P0489</t>
  </si>
  <si>
    <t>https://www.gem.wiki/Qua_Iboe_Terminal_to_Obiafu-Obrikom_Gas_Pipeline</t>
  </si>
  <si>
    <t>Qua Iboe Terminal to Obiafu-Obrikom Gas Pipeline</t>
  </si>
  <si>
    <t>QIT-Ob/Ob pipeline</t>
  </si>
  <si>
    <t>Qua Iboe oil terminal</t>
  </si>
  <si>
    <t>Akwa Ibom</t>
  </si>
  <si>
    <t>LINESTRING (8.012 4.547, 6.6565269 5.3913816)</t>
  </si>
  <si>
    <t>P0490</t>
  </si>
  <si>
    <t>https://www.gem.wiki/Ukanafun-Calabar_Gas_Pipeline</t>
  </si>
  <si>
    <t>Ukanafun-Calabar Gas Pipeline</t>
  </si>
  <si>
    <t>Ukanafun</t>
  </si>
  <si>
    <t>Calabar</t>
  </si>
  <si>
    <t>Cross River</t>
  </si>
  <si>
    <t>LINESTRING (7.608 4.927, 8.318 5.018)</t>
  </si>
  <si>
    <t>P0491</t>
  </si>
  <si>
    <t>https://www.gem.wiki/Saih_Rawl%E2%80%93Sur_gas_pipeline</t>
  </si>
  <si>
    <t>Saih Rawl–Sur gas Pipeline</t>
  </si>
  <si>
    <t>Government of Oman [60.00%]; Shell [34.00%]; TotalEnergies SE [4.00%]; Partex [2.00%]</t>
  </si>
  <si>
    <t>Saih Rawl gas field</t>
  </si>
  <si>
    <t>Al Wusta</t>
  </si>
  <si>
    <t>LINESTRING (56.7112 21.3696, 56.8326 21.4079, 58.6192 22.4418, 58.6451 22.4605, 58.6557 22.5117, 58.6723 22.5288, 58.7225 22.5178, 58.7384 22.5178, 58.754 22.5127, 58.8614 22.4642, 58.8975 22.4462, 58.9446 22.4251, 59.0714 22.3963, 59.242 22.3566, 59.2566 22.3599, 59.2725 22.3836, 59.3166 22.3968, 59.322 22.4104, 59.3514 22.4294, 59.383 22.4687, 59.3869 22.4798, 59.4153 22.5079, 59.4357 22.5228, 59.4514 22.5315, 59.465 22.5556, 59.468 22.5698, 59.4546 22.5859, 59.453 22.6033, 59.4369 22.6214, 59.4131 22.6388, 59.3996 22.6526, 59.4039 22.6598)</t>
  </si>
  <si>
    <t>P0492</t>
  </si>
  <si>
    <t>https://www.gem.wiki/Bul_Hanine-Idd-Al-Shargi_North_Dome_gas_pipeline</t>
  </si>
  <si>
    <t>Bul Hanine-Idd Al Shargi North Dome gas Pipeline</t>
  </si>
  <si>
    <t>Qatar Energy [100.00%]</t>
  </si>
  <si>
    <t>Bul Hanine offshore platform</t>
  </si>
  <si>
    <t>Idd-Al-Shargi North Dome (ISND) offshore platform</t>
  </si>
  <si>
    <t>LINESTRING (52.735 25.423, 52.383 25.488)</t>
  </si>
  <si>
    <t>P0493</t>
  </si>
  <si>
    <t>https://www.gem.wiki/Eastern_Goldfields_Pipeline_System</t>
  </si>
  <si>
    <t>Eastern Goldfields Pipeline System</t>
  </si>
  <si>
    <t>Yamarna Gas Pipeline</t>
  </si>
  <si>
    <t>APA Group [100.00%]</t>
  </si>
  <si>
    <t>TJ/d</t>
  </si>
  <si>
    <t>Australia and New Zealand</t>
  </si>
  <si>
    <t>LINESTRING (122.311413 -28.801387, 122.321706 -28.778538, 122.338858 -28.722745, 122.343906 -28.719959, 122.355324 -28.720025, 122.365835 -28.684572, 122.403372 -28.664712, 122.403328 -28.644129, 122.432372 -28.647664, 122.432462 -28.623386, 122.457687 -28.616803, 122.486306 -28.61616, 122.494764 -28.613664, 122.499037 -28.61122, 122.50169 -28.610579, 122.50393 -28.610544, 122.516771 -28.605869, 122.543278 -28.589512, 122.548412 -28.588202, 122.552823 -28.58455, 122.589989 -28.560091, 122.591994 -28.559404, 122.625252 -28.559148, 122.64867 -28.560684, 122.682507 -28.553531, 122.685897 -28.549556, 122.691429 -28.544375, 122.700627 -28.539384, 122.703215 -28.538411, 122.749619 -28.51544, 122.76852 -28.503766, 122.779341 -28.500974, 122.791453 -28.489596, 122.797348 -28.484438, 122.802176 -28.480939, 122.803428 -28.476891, 122.802979 -28.468987, 122.806413 -28.465871, 122.812713 -28.463412, 122.819198 -28.462368, 122.908001 -28.425507, 122.911703 -28.422759, 122.916532 -28.421045, 122.918677 -28.420028, 122.927904 -28.411158, 122.943747 -28.404171, 122.945677 -28.403287, 122.954844 -28.399071, 122.960584 -28.398521, 122.983673 -28.402255, 123.012773 -28.405218, 123.067691 -28.412197, 123.085603 -28.414445, 123.0955 -28.415134, 123.135645 -28.415748, 123.147593 -28.414265, 123.158701 -28.417542, 123.166747 -28.416813, 123.172389 -28.417259, 123.185503 -28.419015, 123.19449 -28.422727, 123.205701 -28.427289, 123.222416 -28.428174, 123.232838 -28.425181, 123.242934 -28.421891, 123.257721 -28.412662, 123.264058 -28.409853, 123.394108 -28.342057, 123.413803 -28.317714, 123.447226 -28.292013, 123.449958 -28.290752, 123.465807 -28.278298, 123.506005 -28.25733, 123.512344 -28.257313, 123.573807 -28.228324, 123.579321 -28.226917, 123.64961 -28.190685, 123.707239 -28.148724, 123.728032 -28.141494, 123.748776 -28.134151, 123.759853 -28.12867, 123.77844 -28.121843, 123.792143 -28.10806, 123.80191 -28.098479, 123.820917 -28.077526, 123.840068 -28.053546, 123.842621 -28.052045, 123.842133 -28.048892, 123.84558 -28.012677, 123.844036 -28.009336, 123.848909 -28.007029, 123.863167 -28.003347, 123.8631 -27.994867, 123.863035 -27.991256)</t>
  </si>
  <si>
    <t>P0494</t>
  </si>
  <si>
    <t>https://www.gem.wiki/Idd-Al-Shargi_North_Dome-Wakrah_Station_Gas_Pipeline</t>
  </si>
  <si>
    <t>Idd Al Shargi North Dome-Wakrah Station Gas Pipeline</t>
  </si>
  <si>
    <t>Wakrah Station</t>
  </si>
  <si>
    <t>Al Wakrah</t>
  </si>
  <si>
    <t>LINESTRING (52.383 25.488, 51.6346 25.1194, 51.6282 25.1158, 51.6176 25.1157)</t>
  </si>
  <si>
    <t>P0495</t>
  </si>
  <si>
    <t>https://www.gem.wiki/Pearl_North_Field_Gas_Pipelines</t>
  </si>
  <si>
    <t>Pearl North Field Gas Pipelines</t>
  </si>
  <si>
    <t>Pearl-1 Gas Pipeline</t>
  </si>
  <si>
    <t>North Field</t>
  </si>
  <si>
    <t>Pearl offshore platforms</t>
  </si>
  <si>
    <t>Persian Gulf</t>
  </si>
  <si>
    <t>آنبوب غاز اللؤلؤة- رأس لفان 1</t>
  </si>
  <si>
    <t>MULTILINESTRING ((51.991 26.071, 51.979 26.067, 51.713 26.003, 51.555 26.003, 51.5156 25.9487), (51.979 26.067, 52.074 26.159))</t>
  </si>
  <si>
    <t>P0496</t>
  </si>
  <si>
    <t>https://www.gem.wiki/PS-4%E2%80%93Ras_Laffan_Gas_Pipelines</t>
  </si>
  <si>
    <t>PS-4–Ras Laffan Gas Pipelines</t>
  </si>
  <si>
    <t>Pipeline 1</t>
  </si>
  <si>
    <t>PS-4 offshore gas field</t>
  </si>
  <si>
    <t>LINESTRING (51.9471 26.5334, 51.65 26.15, 51.5702 25.9187)</t>
  </si>
  <si>
    <t>P0497</t>
  </si>
  <si>
    <t>https://www.gem.wiki/Qatar_Station_B-Station_S_Gas_Pipeline</t>
  </si>
  <si>
    <t>Qatar Station B-Station S Gas Pipeline</t>
  </si>
  <si>
    <t>Station B</t>
  </si>
  <si>
    <t>Al Rayyan</t>
  </si>
  <si>
    <t>Station S</t>
  </si>
  <si>
    <t>LINESTRING (51.1911 25.1194, 51.2089 25.1112, 51.3128 25.0841, 51.3693 25.0585, 51.4206 25.0277, 51.4436 25.01, 51.5357 24.9644, 51.5539 24.913)</t>
  </si>
  <si>
    <t>P0498</t>
  </si>
  <si>
    <t>https://www.gem.wiki/Qatar_Station_B-Station_W1_Gas_Pipeline</t>
  </si>
  <si>
    <t>Qatar Station B-Station W1 Gas Pipeline</t>
  </si>
  <si>
    <t>Station W1</t>
  </si>
  <si>
    <t>LINESTRING (51.1911 25.1194, 51.2682 25.1476, 51.3965 25.1761, 51.4392 25.185, 51.4962 25.2094, 51.5097 25.2246, 51.535 25.2191, 51.5769 25.2307, 51.5852 25.2195, 51.6154 25.2107)</t>
  </si>
  <si>
    <t>P0499</t>
  </si>
  <si>
    <t>https://www.gem.wiki/Qatar_Station_N-Station_B_Gas_Pipeline</t>
  </si>
  <si>
    <t>Qatar Station N-Station B Gas Pipeline</t>
  </si>
  <si>
    <t>Station N</t>
  </si>
  <si>
    <t>LINESTRING (50.8204 25.265, 51.0326 25.1759, 51.0873 25.1659, 51.1911 25.1194)</t>
  </si>
  <si>
    <t>P0500</t>
  </si>
  <si>
    <t>https://www.gem.wiki/Qatar_Station_S-Station_W2_Gas_Pipeline</t>
  </si>
  <si>
    <t>Qatar Station S-Station W2 Gas Pipeline</t>
  </si>
  <si>
    <t>Station W2</t>
  </si>
  <si>
    <t>LINESTRING (51.5539 24.913, 51.5329 24.9717, 51.5018 25.0092, 51.5013 25.0219, 51.5316 25.0515, 51.5617 25.1045, 51.5648 25.1058, 51.5933 25.2061, 51.6173 25.2063)</t>
  </si>
  <si>
    <t>P0501</t>
  </si>
  <si>
    <t>https://www.gem.wiki/Ras_Laffan-Mesaieed_gas_pipeline</t>
  </si>
  <si>
    <t>Ras Laffan-Mesaieed gas Pipeline</t>
  </si>
  <si>
    <t xml:space="preserve">Mesaieed </t>
  </si>
  <si>
    <t>انبوب راس لفان- مسيعيد</t>
  </si>
  <si>
    <t>LINESTRING (51.5575 25.8928, 51.4781 25.7574, 51.4643 25.7519, 51.4386 25.6951, 51.3981 25.6484, 51.3462 25.604, 51.3284 25.3976, 51.3164 25.3796, 51.3173 25.3261, 51.2708 25.2467, 51.3133 25.1638, 51.4086 25.1099, 51.5329 24.9717, 51.552 24.9194)</t>
  </si>
  <si>
    <t>P0502</t>
  </si>
  <si>
    <t>https://www.gem.wiki/WH-3-Ras_Laffan_gas_pipeline</t>
  </si>
  <si>
    <t>WH-3-Ras Laffan gas Pipeline</t>
  </si>
  <si>
    <t>Qatargas [100.00%]</t>
  </si>
  <si>
    <t>WH-3 offshore platform</t>
  </si>
  <si>
    <t xml:space="preserve"> انبوب غاز مجمع برافو بحر الشمال </t>
  </si>
  <si>
    <t>LINESTRING (52.074 26.456, 52.025 26.48, 51.6 26.02, 51.5422 25.9292)</t>
  </si>
  <si>
    <t>P0503</t>
  </si>
  <si>
    <t>https://www.gem.wiki/WH-4-Ras_Laffan_gas_pipeline</t>
  </si>
  <si>
    <t>WH-4-Ras Laffan gas Pipeline</t>
  </si>
  <si>
    <t>WH-4 offshore platform</t>
  </si>
  <si>
    <t>LINESTRING (52.285 26.392, 52.119 26.323, 51.5422 25.9292)</t>
  </si>
  <si>
    <t>P0504</t>
  </si>
  <si>
    <t>https://www.gem.wiki/WH-6-Ras_Laffan_gas_pipeline</t>
  </si>
  <si>
    <t>WH-6-Ras Laffan gas Pipeline</t>
  </si>
  <si>
    <t>WH-6 offshore platform</t>
  </si>
  <si>
    <t>LINESTRING (52.119 26.412, 52.119 26.323, 51.5422 25.9292)</t>
  </si>
  <si>
    <t>P0505</t>
  </si>
  <si>
    <t>https://www.gem.wiki/WH-7-Ras_Laffan_gas_pipeline</t>
  </si>
  <si>
    <t>WH-7-Ras Laffan gas Pipeline</t>
  </si>
  <si>
    <t>WH-7 offshore platform</t>
  </si>
  <si>
    <t>LINESTRING (52.012 26.304, 51.936 26.223, 51.6 26.05, 51.5422 25.9292)</t>
  </si>
  <si>
    <t>P0506</t>
  </si>
  <si>
    <t>https://www.gem.wiki/WH-8-Ras_Laffan_gas_pipeline</t>
  </si>
  <si>
    <t>WH-8-Ras Laffan gas Pipeline</t>
  </si>
  <si>
    <t>WH-8 offshore platform</t>
  </si>
  <si>
    <t>LINESTRING (52.015 26.238, 51.936 26.223, 51.6 26.05, 51.5422 25.9292)</t>
  </si>
  <si>
    <t>P0507</t>
  </si>
  <si>
    <t>https://www.gem.wiki/WHP-2-Ras_Laffan_gas_pipeline</t>
  </si>
  <si>
    <t>WHP-2-Ras Laffan gas Pipeline</t>
  </si>
  <si>
    <t>WHP-2 offshore platform</t>
  </si>
  <si>
    <t>LINESTRING (52.025 26.665, 51.9854 26.6283, 51.63 26.15, 51.5422 25.9292)</t>
  </si>
  <si>
    <t>P0508</t>
  </si>
  <si>
    <t>https://www.gem.wiki/WHP-4-Ras_Laffan_gas_pipeline</t>
  </si>
  <si>
    <t>WHP-4-Ras Laffan gas Pipeline</t>
  </si>
  <si>
    <t>WHP-4 offshore platform</t>
  </si>
  <si>
    <t>LINESTRING (52.03 26.638, 51.9 26.64, 51.625 26.2, 51.5422 25.9292)</t>
  </si>
  <si>
    <t>P0509</t>
  </si>
  <si>
    <t>https://www.gem.wiki/WHP-6-Ras_Laffan_gas_pipeline</t>
  </si>
  <si>
    <t>WHP-6-Ras Laffan gas Pipeline</t>
  </si>
  <si>
    <t>WHP-6 offshore platform</t>
  </si>
  <si>
    <t>MULTILINESTRING ((52.2 26.511, 52.174 26.488, 51.943 26.338, 51.5422 25.9292), (52.174 26.488, 52.174 26.473))</t>
  </si>
  <si>
    <t>P0510</t>
  </si>
  <si>
    <t>https://www.gem.wiki/WHP-7-Ras_Laffan_gas_pipeline</t>
  </si>
  <si>
    <t>WHP-7-Ras Laffan gas Pipeline</t>
  </si>
  <si>
    <t>WHP-7 offshore platform</t>
  </si>
  <si>
    <t>LINESTRING (52.111 26.526, 51.95 26.5, 51.71 26.19, 51.5422 25.9292)</t>
  </si>
  <si>
    <t>P0511</t>
  </si>
  <si>
    <t>https://www.gem.wiki/WHP-8-Ras_Laffan_gas_pipeline</t>
  </si>
  <si>
    <t>WHP-8-Ras Laffan gas Pipeline</t>
  </si>
  <si>
    <t>WHP-8 offshore platform</t>
  </si>
  <si>
    <t>MULTILINESTRING ((52.255 26.461, 52.221 26.45, 52.102 26.442, 51.943 26.338, 51.5422 25.9292), (52.221 26.45, 52.221 26.433))</t>
  </si>
  <si>
    <t>P0512</t>
  </si>
  <si>
    <t>Algeria, Tunisia</t>
  </si>
  <si>
    <t>https://www.gem.wiki/El_Borma-Gabes_Gas_Pipeline</t>
  </si>
  <si>
    <t>El Borma-Gabes Gas Pipeline</t>
  </si>
  <si>
    <t>Tunisian Company of Electricity and Gas [100.00%]</t>
  </si>
  <si>
    <t>El Borma gas field</t>
  </si>
  <si>
    <t>Gabès</t>
  </si>
  <si>
    <t>LINESTRING (9.1736 31.6455, 9.7587 31.8724, 9.6863 32.578, 9.7802 33.0481, 9.6888 33.5292, 9.6914 33.5813, 9.735 33.6354, 9.797 33.8586, 10.085 33.9183)</t>
  </si>
  <si>
    <t>P0513</t>
  </si>
  <si>
    <t>https://www.gem.wiki/South_Tunisia_Gas_Project_pipeline</t>
  </si>
  <si>
    <t>South Tunisia Gas Project Pipeline</t>
  </si>
  <si>
    <t>Nawara-Gabès gas pipeline</t>
  </si>
  <si>
    <t>Entreprise Tunisienne d'Activités Pétrolières [50.00%]; OMV [50.00%]</t>
  </si>
  <si>
    <t>Entreprise Tunisienne d'Activités Pétrolières [50.00%]; OMV Group [50.00%]</t>
  </si>
  <si>
    <t>Nawara gas field</t>
  </si>
  <si>
    <t>Tataouine</t>
  </si>
  <si>
    <t>LINESTRING (10.0333 30.9884, 9.77 31.56, 9.68 33.29, 10.097 34.328, 10.132 34.325)</t>
  </si>
  <si>
    <t>P0514</t>
  </si>
  <si>
    <t>https://www.gem.wiki/Asab%E2%80%93Bab-Habshan_gas_pipeline</t>
  </si>
  <si>
    <t>Asab–Bab-Habshan gas Pipeline</t>
  </si>
  <si>
    <t>Abu Dhabi National Oil Company [68.00%]; Shell [15.00%]; TotalEnergies SE [15.00%]; Partex [2.00%]</t>
  </si>
  <si>
    <t>Asab gas field</t>
  </si>
  <si>
    <t>Bab-Habshan oil &amp; gas field</t>
  </si>
  <si>
    <t>LINESTRING (54.2226 23.3015, 53.9361 23.4936, 53.6406 23.8084, 53.6176 23.8279)</t>
  </si>
  <si>
    <t>P0515</t>
  </si>
  <si>
    <t>https://www.gem.wiki/Bab-Habshan%E2%80%93Ruwais_gas_pipeline</t>
  </si>
  <si>
    <t>Bab-Habshan–Ruwais gas Pipeline</t>
  </si>
  <si>
    <t>LINESTRING (53.6176 23.8279, 53.4618 23.8288, 53.293 23.8488, 53.0224 24.0113, 52.7101 24.113)</t>
  </si>
  <si>
    <t>P0516</t>
  </si>
  <si>
    <t>https://www.gem.wiki/Bab-Habshan%E2%80%93Umm_al-Nar_gas_pipeline</t>
  </si>
  <si>
    <t>Bab-Habshan–Umm al-Nar gas Pipeline</t>
  </si>
  <si>
    <t>Umm al-Nar power &amp; desalination plant</t>
  </si>
  <si>
    <t>LINESTRING (53.6176 23.8279, 53.6909 23.937, 54.1381 24.0253, 54.3754 24.1646, 54.4 24.1969, 54.5289 24.3135, 54.5253 24.3871, 54.5306 24.3953, 54.5105 24.4132, 54.501 24.4285)</t>
  </si>
  <si>
    <t>P0517</t>
  </si>
  <si>
    <t>https://www.gem.wiki/Bu_Hasa%E2%80%93Bab-Habshan_gas_pipeline</t>
  </si>
  <si>
    <t>Bu Hasa–Bab-Habshan gas Pipeline</t>
  </si>
  <si>
    <t>Bu Hasa gas field</t>
  </si>
  <si>
    <t>LINESTRING (53.3126 23.5439, 53.357 23.5688, 53.6179 23.8159, 53.6176 23.8279)</t>
  </si>
  <si>
    <t>P0518</t>
  </si>
  <si>
    <t>https://www.gem.wiki/Fateh%E2%80%93Jebel_Ali_gas_pipeline</t>
  </si>
  <si>
    <t>Fateh–Jebel Ali gas Pipeline</t>
  </si>
  <si>
    <t>Emirates National Oil Company [100.00%]</t>
  </si>
  <si>
    <t>Fateh offshore oil &amp; gas field</t>
  </si>
  <si>
    <t>Jebel Ali</t>
  </si>
  <si>
    <t>Dubai</t>
  </si>
  <si>
    <t>LINESTRING (54.4 25.6, 55.0537 25.0106)</t>
  </si>
  <si>
    <t>P0519</t>
  </si>
  <si>
    <t>https://www.gem.wiki/Margham%E2%80%93Jebel_Ali_gas_pipeline</t>
  </si>
  <si>
    <t>Margham–Jebel Ali gas Pipeline</t>
  </si>
  <si>
    <t>Dubai Supply Authority [100.00%]</t>
  </si>
  <si>
    <t>Margham gas field</t>
  </si>
  <si>
    <t>LINESTRING (55.6163 24.9775, 55.5466 24.9658, 55.496 24.9647, 55.4193 24.96, 55.2914 24.9561, 55.2562 24.9493, 55.1908 24.9618, 55.148 25.0004, 55.0993 25.0147, 55.0537 25.0106)</t>
  </si>
  <si>
    <t>P0520</t>
  </si>
  <si>
    <t>https://www.gem.wiki/Sajaa%E2%80%93Hamriya_gas_pipeline</t>
  </si>
  <si>
    <t>Sajaa–Hamriya gas Pipeline</t>
  </si>
  <si>
    <t>Crescent Petroleum [50.00%]; Emirates General Petroleum Corporation [50.00%]</t>
  </si>
  <si>
    <t>Sajaa Gas Plant</t>
  </si>
  <si>
    <t>Hamriya Industrial Area</t>
  </si>
  <si>
    <t>LINESTRING (55.6606 25.3243, 55.5072 25.4456)</t>
  </si>
  <si>
    <t>P0521</t>
  </si>
  <si>
    <t>https://www.gem.wiki/Sajaa%E2%80%93Jebel_Dhana_gas_pipeline</t>
  </si>
  <si>
    <t>Sajaa–Jebel Dhana gas pipeline</t>
  </si>
  <si>
    <t>Abu Dhabi National Oil Company [unknown %]</t>
  </si>
  <si>
    <t>LINESTRING (55.6606 25.3243, 55.6611 25.3211, 55.6399 25.3061, 55.5738 25.246, 55.5221 25.2146, 55.3781 25.1046, 55.2143 25.0115, 55.0993 25.0147, 55.0537 25.0106)</t>
  </si>
  <si>
    <t>P0522</t>
  </si>
  <si>
    <t>https://www.gem.wiki/Saleh%E2%80%93Ras_al-Khaimah_gas_pipeline</t>
  </si>
  <si>
    <t>Saleh–Ras al-Khaimah gas Pipeline</t>
  </si>
  <si>
    <t>RAK Gas [100.00%]</t>
  </si>
  <si>
    <t>Retired</t>
  </si>
  <si>
    <t>Saleh offshore gas field</t>
  </si>
  <si>
    <t>Ras al-Khaimah</t>
  </si>
  <si>
    <t>LINESTRING (55.71 26.14, 56.0482 25.96)</t>
  </si>
  <si>
    <t>P0523</t>
  </si>
  <si>
    <t>https://www.gem.wiki/Zakum-Umm_Shaif_gas_pipeline</t>
  </si>
  <si>
    <t>Zakum-Umm Shaif gas Pipeline</t>
  </si>
  <si>
    <t>Abu Dhabi National Oil Company [100.00%]</t>
  </si>
  <si>
    <t>Zakum offshore oil &amp; gas field</t>
  </si>
  <si>
    <t>Umm Shaif offshore oil &amp; gas field</t>
  </si>
  <si>
    <t>LINESTRING (53.76 24.78, 53.2 24.9)</t>
  </si>
  <si>
    <t>P0681</t>
  </si>
  <si>
    <t>Romania, Hungary</t>
  </si>
  <si>
    <t>https://www.gem.wiki/Arad%E2%80%93Szeged_Gas_Pipeline</t>
  </si>
  <si>
    <t>Arad-Szeged Gas Pipeline</t>
  </si>
  <si>
    <t>FGSZ [unknown %]; Transgaz [unknown %]</t>
  </si>
  <si>
    <t>MOL Group [unknown %]; Transgaz [unknown %]</t>
  </si>
  <si>
    <t>Arad</t>
  </si>
  <si>
    <t>Szeged</t>
  </si>
  <si>
    <t>LINESTRING (20.066634 46.275181, 20.10819 46.27289, 20.160744 46.279769, 20.234199 46.284447, 20.308 46.2764, 20.401415 46.247015, 20.480245 46.231044, 20.630739 46.213415, 20.696829 46.206251, 20.99941 46.186409, 21.201661 46.17428, 21.3106 46.1817)</t>
  </si>
  <si>
    <t>P0682</t>
  </si>
  <si>
    <t>Netherlands, United Kingdom</t>
  </si>
  <si>
    <t>https://www.gem.wiki/Balgzand_Bacton_Line_(BBL)_Gas_Pipeline</t>
  </si>
  <si>
    <t>Balgzand–Bacton Line Gas Pipeline</t>
  </si>
  <si>
    <t>BBL</t>
  </si>
  <si>
    <t>BBL Company [180.00%]</t>
  </si>
  <si>
    <t>Gasunie [36.00%]; Fluxys [12.00%]; Uniper [12.00%]</t>
  </si>
  <si>
    <t>Anna Paulowna</t>
  </si>
  <si>
    <t>Bacton Gas Terminal</t>
  </si>
  <si>
    <t>LINESTRING (4.702058 52.880837, 4.672357 52.881558, 4.657569 52.882393, 4.642944 52.88395, 4.628586 52.886259, 4.614646 52.889361, 4.601274 52.893273, 4.588376 52.897768, 4.548446 52.909775, 4.482156 52.93012, 4.442122 52.942038, 4.362435 52.966386, 4.348883 52.970089, 4.334488 52.972352, 4.319844 52.973976, 4.217218 52.98502, 4.129167 52.994255, 4.114526 52.995927, 4.026442 53.005133, 4.011705 53.006427, 3.99681 53.006591, 3.773494 53.001017, 3.550236 52.994958, 3.5056 52.993631, 3.490946 52.992086, 3.290185 52.958184, 3.189942 52.941048, 3.175713 52.938418, 3.147022 52.933674, 3.061161 52.918956, 2.832543 52.879284, 2.718413 52.859231, 2.704106 52.856832, 2.689898 52.854204, 2.604367 52.839129, 2.590844 52.835462, 2.579057 52.830023, 2.569453 52.823193, 2.562623 52.815232, 2.557599 52.806777, 2.551066 52.798723, 2.541673 52.791788, 2.530121 52.786174, 2.516726 52.782354, 2.502371 52.78013, 2.270341 52.75054, 2.255572 52.750053, 2.107433 52.750044, 2.092792 52.751307, 2.078837 52.754268, 2.066113 52.758836, 2.055159 52.764869, 2.017097 52.79244, 2.006349 52.798615, 1.993808 52.80339, 1.979961 52.806588, 1.965392 52.808276, 1.848455 52.820584, 1.614386 52.844798, 1.600017 52.846987, 1.515949 52.864856, 1.507528 52.866267, 1.501442 52.866543, 1.494068 52.866081, 1.486993 52.864741, 1.469581 52.859366)</t>
  </si>
  <si>
    <t>P0683</t>
  </si>
  <si>
    <t>Denmark</t>
  </si>
  <si>
    <t>Germany, Sweden, Denmark</t>
  </si>
  <si>
    <t>https://www.gem.wiki/Baltic_Gas_Interconnector</t>
  </si>
  <si>
    <t>Baltic Gas Interconnector</t>
  </si>
  <si>
    <t>E.ON [unknown %]; EnBW [unknown %]; Göteborgs Stadshus AB [unknown %]; Helsingborg Energi Holding [unknown %]; Hovedstadsregionens Naturgas [unknown %]; Lunds Energi [unknown %]; Ørsted [unknown %]</t>
  </si>
  <si>
    <t>Rostock</t>
  </si>
  <si>
    <t>Mecklenburg-Vorpommern</t>
  </si>
  <si>
    <t>Trelleborg</t>
  </si>
  <si>
    <t>Scania</t>
  </si>
  <si>
    <t>LINESTRING (12.0906885 54.0969064, 12.5465785 55.6795944)</t>
  </si>
  <si>
    <t>P0684</t>
  </si>
  <si>
    <t>Norway, Denmark, Sweden, Poland</t>
  </si>
  <si>
    <t>https://www.gem.wiki/Baltic_Pipe_Project</t>
  </si>
  <si>
    <t>Baltic Pipe Project</t>
  </si>
  <si>
    <t>Main</t>
  </si>
  <si>
    <t>Poland Denmark Interconnection Gas Pipeline</t>
  </si>
  <si>
    <t>Energinet [unknown %]; Gaz-System [unknown %]</t>
  </si>
  <si>
    <t>Europipe II Gas Pipeline</t>
  </si>
  <si>
    <t>Ploty</t>
  </si>
  <si>
    <t>MULTILINESTRING ((15.2599 53.8, 15.2664 53.805, 15.0706 54.089, 15.0367 54.397, 14.9982 54.536, 14.9923 54.654, 14.9893 54.788, 15.0012 54.898, 14.9568 54.959, 14.8532 55, 14.6876 55.026, 14.5219 55.032, 14.3071 55.074, 13.9342 55.122, 13.7104 55.141, 13.5026 55.15, 13.1296 55.165, 12.8792 55.162, 12.8206 55.156, 12.482 55.206, 12.326 55.187, 12.119 55.189, 11.8521 55.247, 11.7621 55.244, 11.6631 55.259, 11.5131 55.302, 11.4051 55.356, 11.2102 55.389), (10.7951 55.287, 10.7444 55.305, 10.6836 55.31, 10.6472 55.31, 10.6046 55.308, 10.5681 55.324, 10.5418 55.326, 10.5357 55.329, 10.5236 55.347, 10.5175 55.363, 10.5033 55.37, 10.4688 55.374, 10.4688 55.355, 10.4405 55.331, 10.3756 55.337, 10.3189 55.343, 10.2763 55.398, 10.0291 55.462, 9.796 55.515, 9.7264 55.537, 9.6652 55.557, 9.5555 55.592, 9.4838 55.599, 9.4501 55.604, 9.3108 55.617), (8.4073 55.745, 8.1789 55.777, 6.5195 55.712, 6.5038 55.71))</t>
  </si>
  <si>
    <t>P0685</t>
  </si>
  <si>
    <t>Estonia</t>
  </si>
  <si>
    <t>Finland, Estonia</t>
  </si>
  <si>
    <t>https://www.gem.wiki/Balticconnector_Gas_Pipeline</t>
  </si>
  <si>
    <t>Balticconnector Gas Pipeline</t>
  </si>
  <si>
    <t>Baltic Connector Oy [unknown %]; Elering [unknown %]</t>
  </si>
  <si>
    <t>Siuntio</t>
  </si>
  <si>
    <t>Kiili</t>
  </si>
  <si>
    <t>Harju</t>
  </si>
  <si>
    <t>LINESTRING (24.83 59.31, 24.766 59.3071, 24.66 59.3121, 24.556 59.3178, 24.453 59.3203, 24.348 59.3235, 24.246 59.3489, 24.193 59.4912, 24.171 59.5354, 24.152 59.5834, 24.125 59.6334, 24.068 59.6872, 24.048 59.7795, 24.05 59.8237, 24.102 59.8679, 24.066 59.9179, 24 59.9598, 23.969 60.0235, 24.23 60.138)</t>
  </si>
  <si>
    <t>P0686</t>
  </si>
  <si>
    <t>https://www.gem.wiki/Central_Area_Transmission_System</t>
  </si>
  <si>
    <t>Central Area Transmission System (CATS) Gas Pipeline</t>
  </si>
  <si>
    <t>CATS</t>
  </si>
  <si>
    <t>Kellas Midstream Limited [300.00%]</t>
  </si>
  <si>
    <t>Antin Infrastucture Partners [99.00%]; ConocoPhilips [0.66%]; E.ON [0.34%]</t>
  </si>
  <si>
    <t>CATS Riser Platform</t>
  </si>
  <si>
    <t>Central North Sea</t>
  </si>
  <si>
    <t>North East United Kingdom</t>
  </si>
  <si>
    <t>LINESTRING (-1.104584 54.6246, -1.03775 54.640753, -1.013808 54.646683, -1.005481 54.648567, -0.995311 54.651214, -0.988178 54.65355, -0.980228 54.656756, -0.975342 54.659422, -0.97175 54.66162, -0.968 54.664306, -0.964586 54.667131, -0.959017 54.672236, -0.955144 54.676417, -0.95365 54.678394, -0.952858 54.679608, -0.950317 54.684572, -0.949269 54.687531, -0.948733 54.689664, -0.948258 54.692672, -0.948103 54.694822, -0.948378 54.708195, -0.948078 54.712081, -0.947967 54.724156, -0.948069 54.724586, -0.947942 54.725881, -0.947925 54.732786, -0.948153 54.73925, -0.948003 54.743564, -0.947944 54.772356, -0.947742 54.778608, -0.947883 54.779472, -0.947831 54.78152, -0.947622 54.783245, -0.947092 54.785272, -0.946489 54.787011, -0.944917 54.790292, -0.943078 54.792997, -0.939205 54.797061, -0.936742 54.799086, -0.933067 54.801664, -0.929414 54.803672, -0.926408 54.804958, -0.917992 54.809061, -0.908689 54.813222, -0.887836 54.823019, -0.868478 54.831833, -0.857125 54.837261, -0.847147 54.841644, -0.841486 54.844467, -0.816833 54.855689, -0.809261 54.859703, -0.803258 54.863545, -0.801108 54.86515, -0.798097 54.867906, -0.789586 54.874739, -0.774953 54.886864, -0.771025 54.889889, -0.763894 54.896092, -0.759089 54.899847, -0.754158 54.904008, -0.746836 54.910656, -0.731547 54.925114, -0.711203 54.943861, -0.7064 54.948492, -0.70432 54.950289, -0.679489 54.973531, -0.674569 54.9776, -0.671361 54.980906, -0.66755 54.984333, -0.661467 54.990175, -0.658392 54.993894, -0.656328 54.9957, -0.652783 54.998375, -0.650125 55.000722, -0.646392 55.004336, -0.635369 55.014369, -0.630819 55.018708, -0.627914 55.021181, -0.618333 55.030256, -0.614061 55.034058, -0.592856 55.054042, -0.558878 55.085083, -0.552322 55.091128, -0.549322 55.09412, -0.543717 55.099047, -0.534467 55.107747, -0.527414 55.114122, -0.525622 55.116039, -0.521983 55.119195, -0.516497 55.123567, -0.511147 55.128381, -0.508872 55.130997, -0.505631 55.134272, -0.500753 55.138633, -0.483825 55.154442, -0.462464 55.173889, -0.460992 55.175397, -0.454964 55.180742, -0.446244 55.188922, -0.439047 55.195264, -0.436472 55.197908, -0.426536 55.206942, -0.420917 55.212308, -0.41528 55.217286, -0.401514 55.230045, -0.395414 55.235364, -0.390856 55.239717, -0.385672 55.244225, -0.376203 55.253175, -0.368092 55.260325, -0.355353 55.272183, -0.34915 55.277594, -0.339097 55.286856, -0.333533 55.292242, -0.329905 55.295278, -0.329228 55.29605, -0.327764 55.297053, -0.327544 55.297489, -0.325244 55.299717, -0.317233 55.306778, -0.303206 55.319708, -0.299531 55.322847, -0.297358 55.324997, -0.287689 55.333631, -0.282453 55.338631, -0.275655 55.344608, -0.274967 55.345378, -0.273611 55.34642, -0.267525 55.352156, -0.263761 55.355389, -0.261089 55.358003, -0.255833 55.362742, -0.254486 55.363789, -0.252594 55.365661, -0.248044 55.369506, -0.242264 55.374903, -0.237472 55.379128, -0.23565 55.380986, -0.232667 55.383486, -0.232403 55.383903, -0.231856 55.38422, -0.231219 55.385006, -0.221753 55.39385, -0.218703 55.396322, -0.211742 55.402622, -0.207939 55.405845, -0.182175 55.429361, -0.174481 55.436161, -0.170033 55.440689, -0.165808 55.444272, -0.163178 55.446858, -0.147142 55.46117, -0.144214 55.464069, -0.143711 55.464272, -0.138636 55.468695, -0.13665 55.470533, -0.136419 55.470961, -0.135878 55.471283, -0.132444 55.474511, -0.128653 55.477747, -0.127161 55.479247, -0.123892 55.482028, -0.121197 55.484631, -0.106147 55.497983, -0.097467 55.505836, -0.096833 55.506628, -0.096347 55.506839, -0.092478 55.510297, -0.089858 55.512803, -0.089742 55.51315, -0.089186 55.513328, -0.085978 55.516136, -0.085697 55.516544, -0.083672 55.518236, -0.074156 55.527194, -0.069956 55.530794, -0.069814 55.531133, -0.068808 55.531786, -0.064497 55.535817, -0.052664 55.546114, -0.045944 55.552167, -0.042469 55.555506, -0.030158 55.566286, -0.022389 55.573672, -0.009605 55.584689, -0.004633 55.589408, 0.000214 55.593544, 0.004925 55.597981, 0.013103 55.605006, 0.019972 55.61152, 0.034781 55.624417, 0.042936 55.631967, 0.051925 55.639781, 0.053792 55.6416, 0.053981 55.642036, 0.054508 55.642236, 0.058975 55.646128, 0.062408 55.649347, 0.068969 55.655053, 0.070517 55.656542, 0.070769 55.656958, 0.073075 55.658692, 0.080058 55.664867, 0.084253 55.668856, 0.085814 55.670214, 0.086389 55.670511, 0.087261 55.67172, 0.089772 55.673644, 0.093136 55.676522, 0.095444 55.678756, 0.102108 55.684411, 0.110036 55.691783, 0.119311 55.699831, 0.137239 55.715889, 0.154053 55.730672, 0.162069 55.738, 0.178375 55.752275, 0.19232 55.764842, 0.200106 55.771639, 0.205664 55.775606, 0.207853 55.777389, 0.210164 55.779628, 0.214081 55.782822, 0.220114 55.789317, 0.22545 55.793925, 0.245369 55.811772, 0.249972 55.815675, 0.261783 55.826275, 0.265258 55.829117, 0.27082 55.834275, 0.274267 55.837139, 0.286617 55.848172, 0.316803 55.874558, 0.320364 55.877856, 0.324461 55.881278, 0.331869 55.887956, 0.336472 55.891808, 0.339514 55.894681, 0.346572 55.900719, 0.351353 55.905144, 0.362736 55.915008, 0.364014 55.916425, 0.36657 55.918336, 0.414931 55.960895, 0.421583 55.966572, 0.423911 55.968814, 0.424433 55.969072, 0.427611 55.971964, 0.429881 55.973708, 0.443917 55.986214, 0.504153 56.0386, 0.515031 56.048272, 0.532108 56.062886, 0.535608 56.066117, 0.556481 56.084378, 0.557794 56.085314, 0.566695 56.092883, 0.576897 56.101781, 0.582811 56.107164, 0.58917 56.112492, 0.599336 56.121522, 0.609631 56.130389, 0.622325 56.141086, 0.630822 56.148681, 0.634953 56.151656, 0.635294 56.152058, 0.636875 56.153008, 0.640656 56.155739, 0.648981 56.162486, 0.650928 56.164353, 0.659231 56.171297, 0.662944 56.174911, 0.666855 56.179481, 0.66837 56.180986, 0.699639 56.208103, 0.728911 56.233122, 0.736272 56.239583, 0.751408 56.25237, 0.766392 56.265592, 0.771958 56.270133, 0.782539 56.27942, 0.784731 56.281072, 0.784897 56.281547, 0.786681 56.282811, 0.789686 56.285322, 0.797461 56.292158, 0.825656 56.316047, 0.839033 56.327794, 0.863264 56.348519, 0.910564 56.388636, 0.911494 56.389689, 0.912753 56.390489, 0.938097 56.412022, 0.969847 56.439256, 0.997633 56.462589, 1.011892 56.474775, 1.019747 56.481244, 1.020683 56.482283, 1.022844 56.484172, 1.029589 56.489775, 1.039025 56.497964, 1.047636 56.505025, 1.057239 56.513278, 1.079825 56.532161, 1.09628 56.546308, 1.102386 56.551186, 1.111414 56.557544, 1.116997 56.562225, 1.119636 56.564747, 1.123978 56.569322, 1.130767 56.575369, 1.135597 56.579164, 1.14203 56.584833, 1.166539 56.605483, 1.17122 56.609206, 1.180567 56.617303, 1.181542 56.617975, 1.19085 56.625825, 1.19465 56.629592, 1.198403 56.634325, 1.200433 56.637922, 1.201653 56.640822, 1.202431 56.6433, 1.203008 56.645864, 1.203422 56.652211, 1.203311 56.717539, 1.203378 56.723036, 1.203494 56.723467, 1.203383 56.750089, 1.203631 56.750417, 1.203383 56.750736, 1.203406 56.75785, 1.203567 56.766692, 1.203478 56.768386, 1.203681 56.773892, 1.203486 56.776069, 1.20367 56.776497, 1.203372 56.79935, 1.203561 56.808297, 1.203422 56.822847, 1.203622 56.830075, 1.203442 56.830936, 1.203417 56.832661, 1.203483 56.858639, 1.203328 56.870928, 1.203472 56.892556, 1.203408 56.895075, 1.203214 56.895506, 1.203467 56.895825, 1.203342 56.911239, 1.203533 56.915333, 1.203542 56.922558, 1.203408 56.930214, 1.2036 56.933231, 1.203658 56.944661, 1.203517 56.950586, 1.203686 56.956353, 1.203586 56.968908, 1.20372 56.979778, 1.203439 56.995961, 1.203733 56.998447, 1.203675 57.002222, 1.203803 57.004697, 1.20357 57.008897, 1.203808 57.017633, 1.203656 57.022586, 1.203842 57.024203, 1.203522 57.035095, 1.203722 57.041453, 1.204328 57.045308, 1.205356 57.048592, 1.207306 57.052981, 1.210255 57.057206, 1.243864 57.097667, 1.245989 57.100458, 1.251092 57.1063, 1.263553 57.12145, 1.268208 57.126775, 1.272628 57.132231, 1.279136 57.139861, 1.284736 57.146764, 1.292708 57.156158, 1.299656 57.164747, 1.31015 57.17707, 1.318033 57.186614, 1.320058 57.188836, 1.332636 57.204203, 1.337278 57.209447, 1.3421 57.215369, 1.347444 57.221511, 1.349475 57.2242, 1.360953 57.237592, 1.372725 57.251858, 1.419478 57.307364, 1.453036 57.346942, 1.4564 57.350708, 1.4603 57.355458, 1.465725 57.361583, 1.476789 57.374847, 1.491558 57.392058, 1.506258 57.409525, 1.507719 57.411067, 1.523539 57.429911, 1.544275 57.45407, 1.550503 57.461428, 1.551 57.46235, 1.552475 57.463697, 1.573792 57.488633, 1.579489 57.495647, 1.58105 57.497986, 1.5831 57.502036, 1.58385 57.504056, 1.58455 57.506614, 1.593414 57.556831, 1.593995 57.559936, 1.594225 57.560308, 1.594036 57.560897, 1.594494 57.5624, 1.598953 57.588267, 1.599639 57.59115, 1.600761 57.594433, 1.602556 57.598067, 1.607675 57.605775, 1.629314 57.637219, 1.634458 57.644931, 1.638417 57.650464, 1.640406 57.653636, 1.646047 57.661314, 1.648094 57.663586, 1.651183 57.666606, 1.656975 57.671008, 1.682006 57.685895, 1.698964 57.695775, 1.707128 57.700756, 1.774861 57.740483, 1.777908 57.742486, 1.782661 57.746458, 1.784825 57.748047, 1.790664 57.751308, 1.799533 57.755372, 1.801795 57.756708, 1.802578 57.75695, 1.802814 57.757653, 1.803328 57.758069)</t>
  </si>
  <si>
    <t>P0687</t>
  </si>
  <si>
    <t>Estonia, Latvia</t>
  </si>
  <si>
    <t>https://www.gem.wiki/Estonia%E2%80%93Latvia_Interconnection_(Vire%C5%A1i%E2%80%93Tallinn_pipeline)</t>
  </si>
  <si>
    <t>Estonia-Latvia Interconnection Gas Pipeline</t>
  </si>
  <si>
    <t>Vireši–Tallinn pipeline</t>
  </si>
  <si>
    <t>EG Võrguteenus [unknown %]; Latvijas Gaze [unknown %]</t>
  </si>
  <si>
    <t>Elering [unknown %]; Gazprom [unknown %]; Marguerite [unknown %]; Other [unknown %]; Rosneft [unknown %]; Uniper [unknown %]</t>
  </si>
  <si>
    <t>Tallinn</t>
  </si>
  <si>
    <t>Harju County</t>
  </si>
  <si>
    <t>Vireši</t>
  </si>
  <si>
    <t>MULTILINESTRING ((25.6 57.33, 25.58 57.53), (25.58 57.53, 25.6293386 58.1002085), (25.6293 58.1002, 25.5522 58.2098, 25.5471 58.3075, 25.422 58.354), (25.422 58.354, 25.3718 58.3713, 25.3354 58.4355, 25.3086 58.5083, 25.3115 58.5552, 25.3172 58.5926, 25.3172 58.6146, 25.3057 58.6232, 25.2875 58.6242, 25.2578 58.6204, 25.2291 58.6185, 25.1965 58.6156, 25.1687 58.6137, 25.1361 58.6137, 25.1074 58.6146, 25.0729 58.6261, 25.035 58.656, 25.0033 58.6473, 24.9506 58.6229, 24.9272 58.6219, 24.9048 58.5991, 24.8899 58.5971, 24.8804 58.5732, 24.8754 58.5692, 24.8708 58.5629, 24.8634 58.5581, 24.8505 58.5503, 24.8425 58.5418, 24.8366 58.5375, 24.8338 58.5339, 24.8157 58.5139, 24.8119 58.5114, 24.8073 58.5087, 24.8012 58.5071, 24.7957 58.5044, 24.7908 58.5029, 24.7837 58.501, 24.7699 58.4956, 24.7053 58.4652, 24.6717 58.4249, 24.6674 58.4227, 24.6547 58.4173, 24.6461 58.4137, 24.6364 58.4065, 24.6283 58.3973, 24.6245 58.3949, 24.6084 58.3889, 24.5326 58.3869, 24.5309 58.388, 24.5267 58.389, 24.5229 58.3897, 24.5177 58.391, 24.5132 58.3914, 24.5081 58.392, 24.5056 58.3921, 24.5014 58.3918, 24.5 58.391), (25.035 58.656, 25.0326 58.684, 25.0178 58.7184, 24.9777 58.7641, 24.9309 58.7801, 24.908 58.7916, 24.8931 58.8087, 24.8691 58.8464, 24.8645 58.8956, 24.8634 58.9482, 24.8291 58.9803, 24.8 59.001), (24.8 59.001, 24.7874 59.1083, 24.7607 59.1654, 24.7474 59.2676, 24.7467 59.2921, 24.7948 59.3424, 24.817 59.3565, 25.0015 59.3684, 25.0045 59.406))</t>
  </si>
  <si>
    <t>P0688</t>
  </si>
  <si>
    <t>https://www.gem.wiki/European_Gas_Pipeline_Link_(EUGAL)</t>
  </si>
  <si>
    <t>European Gas Pipeline Link (EUGAL)</t>
  </si>
  <si>
    <t>Europäische Gas-Anbindungsleitung</t>
  </si>
  <si>
    <t>GASCADE Gastransport GmbH [101.00%]; Fluxys [16.50%]; Gasunie [16.50%]; ONTRAS [16.50%]</t>
  </si>
  <si>
    <t>Fluxys [16.50%]; Gasunie [16.50%]; VNG [16.50%]; BASF [unknown %]; Gazprom [unknown %]</t>
  </si>
  <si>
    <t>Vorpommern-Greifswald</t>
  </si>
  <si>
    <t>Deutschneudorf</t>
  </si>
  <si>
    <t>Erzgebirgskreis</t>
  </si>
  <si>
    <t>Sachsen</t>
  </si>
  <si>
    <t>LINESTRING (13.6556155 54.151105, 13.6444151 54.1390331, 13.649303 54.1340034, 13.6326557 54.1272737, 13.6312389 54.1172853, 13.6325849 54.11431, 13.6337183 54.1110514, 13.628382 54.1057665, 13.6270781 54.1044626, 13.6267056 54.1011097, 13.6220488 54.0968255, 13.6231665 54.0910511, 13.618696 54.0804337, 13.6259605 54.0742868, 13.6280095 54.0720515, 13.6294997 54.0629243, 13.6386269 54.0580813, 13.6383457 54.0394696, 13.5957115 54.0126817, 13.5949569 54.0119271, 13.6009936 54.010418, 13.6025028 53.9998537, 13.6138216 53.9885349, 13.647778 53.9692929, 13.6534375 53.9583514, 13.6530602 53.943637, 13.6492872 53.9417505, 13.6481553 53.9383549, 13.6229759 53.9281638, 13.6152248 53.923136, 13.6076831 53.9097286, 13.5936472 53.8938073, 13.5932282 53.8856372, 13.5833822 53.8682494, 13.5911333 53.8535851, 13.6330315 53.843739, 13.6391067 53.844577, 13.6409921 53.8416441, 13.6552375 53.8401777, 13.6678069 53.8282367, 13.6908509 53.8142008, 13.6942027 53.8060307, 13.700697 53.8020504, 13.7222745 53.7999555, 13.7461925 53.786526, 13.7875216 53.7374284, 13.8080307 53.731835, 13.8291613 53.7194052, 13.8325795 53.714744, 13.8397266 53.7125688, 13.8456308 53.7128796, 13.8565068 53.7063539, 13.8642755 53.7060432, 13.8798127 53.6945456, 13.8857168 53.6929919, 13.8925532 53.6793192, 13.8965929 53.6687539, 13.8972144 53.6665786, 13.9108871 53.6609852, 13.9121301 53.6560133, 13.9161698 53.6501092, 13.9177235 53.646691, 13.9385434 53.6460695, 13.9581203 53.6395439, 13.9492385 53.6209362, 13.9508413 53.6149257, 13.9624615 53.6069118, 13.9608587 53.5984972, 13.9672698 53.5896818, 13.9600573 53.5884797, 13.9600573 53.5824693, 13.9660677 53.5744553, 13.965667 53.5596296, 13.9536461 53.556424, 13.9536461 53.5520163, 13.9469059 53.3175917, 13.9103442 53.1540262, 13.9430573 53.0520384, 13.9597602 52.9398902, 13.9597602 52.8623025, 13.9871728 52.7998623, 14.0040297 52.7492917, 13.9618875 52.6846737, 13.9675065 52.4430587, 13.7146536 52.1873963, 13.5797987 51.9851139, 13.6508326 51.8264216, 13.6321027 51.7046776, 13.6414676 51.5431326, 13.6461501 51.3979763, 13.6493079 51.3910193, 13.6493079 51.38273, 13.6497955 51.3763911, 13.6439442 51.3724902, 13.6463822 51.3666389, 13.6449194 51.3578619, 13.6312008 51.3492858, 13.6242371 51.3281699, 13.6251357 51.3232279, 13.6188458 51.3054816, 13.6197444 51.2940252, 13.6269327 51.2890832, 13.6271574 51.2852643, 13.6253603 51.2843658, 13.6246864 51.2798731, 13.627382 51.2708876, 13.6336718 51.2558369, 13.6368168 51.2524674, 13.6365921 51.2499964, 13.634795 51.2464022, 13.6341211 51.2432573, 13.6313623 51.2416951, 13.6256032 51.2414447, 13.6195938 51.2341833, 13.6128332 51.2341833, 13.5817846 51.2016323, 13.5830365 51.1891127, 13.5735216 51.1838544, 13.5642571 51.1841048, 13.5452273 51.1728372, 13.5459785 51.1660766, 13.5429737 51.1633222, 13.5449769 51.1583144, 13.5439911 51.1556865, 13.543574 51.1541572, 13.543296 51.1509595, 13.538708 51.1455374, 13.5407935 51.1427568, 13.5417667 51.1277417, 13.5462156 51.124544, 13.552889 51.1221805, 13.5578941 51.1213463, 13.5610917 51.1207902, 13.5617869 51.1188438, 13.5599795 51.1155071, 13.5587282 51.1123094, 13.5567818 51.110363, 13.5494133 51.1091117, 13.5179712 51.1054174, 13.5122622 51.0991075, 13.5059523 51.0952013, 13.5062528 51.0894924, 13.5074547 51.0864877, 13.5077551 51.0831825, 13.514065 51.0771731, 13.5170697 51.0756707, 13.514065 51.0723656, 13.5101589 51.0669571, 13.5047504 51.0585439, 13.503849 51.0555392, 13.4954358 51.041417, 13.4918302 51.0396142, 13.4912292 51.0272949, 13.4810994 51.0222289, 13.4790962 51.0169707, 13.466827 51.0087077, 13.459816 51.0089581, 13.4513027 51.0029487, 13.4455436 50.9994432, 13.419002 50.9806638, 13.406232 50.9693961, 13.406232 50.966141, 13.4082352 50.9616339, 13.4083781 50.9556261, 13.4089955 50.9521275, 13.4087897 50.947394, 13.40632 50.9397794, 13.4040562 50.9323705, 13.4057026 50.9288718, 13.4046736 50.9257848, 13.4028214 50.9226978, 13.4126999 50.9136425, 13.4147579 50.9115845, 13.4157869 50.9089091, 13.4196972 50.90788, 13.4228665 50.895038, 13.4223726 50.8918275, 13.4362025 50.8533013, 13.4213047 50.8461045, 13.4196354 50.8435078, 13.4188935 50.838871, 13.414813 50.8360888, 13.4218611 50.8251457, 13.4214902 50.82292, 13.4192644 50.8203234, 13.4175952 50.819025, 13.4124018 50.8184686, 13.4062811 50.8158719, 13.3931123 50.8156865, 13.38829 50.8140172, 13.3850219 50.8077444, 13.3820431 50.8031409, 13.3787936 50.8004329, 13.3755441 50.797725, 13.3706698 50.7882472, 13.3655247 50.7852684, 13.355776 50.7782278, 13.3490062 50.7703747, 13.3481938 50.7668544, 13.3519849 50.7590013, 13.3568592 50.7530438, 13.3606504 50.7492527, 13.3679618 50.7432952, 13.3747317 50.7373377, 13.3785228 50.7311095, 13.4034359 50.7286723, 13.4323804 50.7082587, 13.4467085 50.7030235, 13.4701295 50.6939306, 13.4767425 50.6914507, 13.4794979 50.6878687, 13.480049 50.6848377, 13.4828044 50.6807046, 13.4855598 50.6785003, 13.4822533 50.6746427, 13.4806001 50.6683053, 13.4825289 50.6644477, 13.4847332 50.6616923, 13.4885908 50.6550793, 13.4863864 50.6424044, 13.483631 50.6390979, 13.4822533 50.6363425, 13.4783958 50.6333115, 13.4723338 50.6302806, 13.4648942 50.622841, 13.4610367 50.6206366, 13.4593834 50.6195345, 13.4613122 50.609615, 13.4577302 50.6038286, 13.4546992 50.6002466, 13.441004 50.5858285)</t>
  </si>
  <si>
    <t>P0689</t>
  </si>
  <si>
    <t>United Kingdom, Germany, Norway</t>
  </si>
  <si>
    <t>https://www.gem.wiki/Europipe_I_Gas_Pipeline</t>
  </si>
  <si>
    <t>Europipe I Gas Pipeline</t>
  </si>
  <si>
    <t>Gassled [unknown %]</t>
  </si>
  <si>
    <t>Allianz [unknown %]; Equinor [unknown %]; HitecVision [unknown %]; Partners Group [unknown %]; Petoro [unknown %]</t>
  </si>
  <si>
    <t>Draupner E platform</t>
  </si>
  <si>
    <t>North Sea</t>
  </si>
  <si>
    <t>Emden</t>
  </si>
  <si>
    <t>MULTILINESTRING ((2.472667 58.188778, 2.471584 58.18961, 2.465261 58.188442, 2.456853 58.185567, 2.446806 58.180989, 2.438219 58.175642, 2.431411 58.16965, 2.425836 58.162322, 2.423281 58.156336, 2.422364 58.151106, 2.427564 57.792597, 2.428917 57.745278, 2.432314 57.732267, 2.520514 57.543456, 2.526872 57.536347, 2.535419 57.529956, 2.628286 57.482039, 2.636528 57.476636, 2.643175 57.470611, 2.894022 57.197908, 3.182369 56.879172, 3.383006 56.653061, 3.389211 56.645881, 3.395508 56.636797, 3.408517 56.6216, 3.490028 56.528564, 3.503806 56.515644, 3.533139 56.4823, 3.749814 56.232439, 3.754578 56.227864, 3.765828 56.219306, 3.771233 56.213933, 3.791717 56.189978, 3.840511 56.126797, 3.936119 56.015039, 4.164286 55.744522, 4.170506 55.738442, 4.176194 55.734289, 4.222622 55.706969), (4.222622 55.706969, 4.434481 55.581917, 4.844125 55.336297, 5.193619 55.123336, 5.539497 54.909328, 5.827008 54.728931, 6.071364 54.57385, 6.310147 54.420714, 6.564164 54.256078, 6.615769 54.221886, 6.627681 54.2107, 6.637617 54.199842, 6.657514 54.181297, 6.670953 54.171886, 6.683406 54.165606, 6.712361 54.156406, 6.725278 54.150467, 6.90055 54.035175, 6.915097 54.02495, 6.936478 54.011497, 7.058744 53.955339, 7.07605 53.948447, 7.200131 53.892425, 7.230106 53.878022, 7.263661 53.858786, 7.279953 53.851144, 7.289672 53.847108, 7.330144 53.833364, 7.377742 53.811772, 7.38705 53.806744, 7.393497 53.801119, 7.46115 53.6915, 7.45899 53.6923, 7.40247 53.6725, 7.32642 53.6797))</t>
  </si>
  <si>
    <t>P0690</t>
  </si>
  <si>
    <t>Norway, Germany</t>
  </si>
  <si>
    <t>https://www.gem.wiki/Europipe_II_Gas_Pipeline</t>
  </si>
  <si>
    <t>Kårstø</t>
  </si>
  <si>
    <t>Rogaland</t>
  </si>
  <si>
    <t>Dornum</t>
  </si>
  <si>
    <t>LINESTRING (5.521358 59.273361, 5.51403 59.2733, 5.502168 59.260628, 5.497403 59.250641, 5.49303 59.246185, 5.461875 59.229126, 5.454145 59.228065, 5.361493 59.202461, 5.353159 59.198734, 5.347517 59.195126, 5.343326 59.19125, 5.340345 59.186668, 5.338848 59.181042, 5.337908 59.151897, 5.335652 59.137211, 5.262444 58.978176, 5.258441 58.964596, 5.254988 58.863762, 5.25528 58.85387, 5.257285 58.840446, 5.274534 58.766159, 5.335222 58.633503, 5.450345 58.400612, 5.499522 58.276703, 5.603002 58.04958, 5.62828 57.977196, 5.635735 57.96294, 5.661025 57.923214, 5.66276 57.917484, 5.665474 57.893421, 5.667707 57.884037, 5.673203 57.873047, 5.70363 57.819752, 5.707238 57.810017, 5.715124 57.777348, 5.742993 57.723518, 5.744539 57.717064, 5.744535 57.706181, 5.745651 57.700714, 5.789173 57.579456, 5.844626 57.483337, 5.883705 57.390411, 6.007478 57.090744, 6.01272 57.074093, 6.017823 57.046589, 6.021057 57.040859, 6.028681 57.031837, 6.031359 57.027508, 6.047288 56.989025, 6.113673 56.825584, 6.119081 56.801991, 6.126123 56.781078, 6.137782 56.762371, 6.145941 56.742805, 6.155157 56.723961, 6.228042 56.542561, 6.291467 56.377163, 6.368372 56.185963, 6.377823 56.164581, 6.560846 55.68491, 6.660784 55.41954, 6.720546 55.268261, 6.733948 55.226154, 6.763921 55.147915, 6.854232 54.905056, 6.855191 54.900623, 6.855129 54.895649, 6.852408 54.887627, 6.824122 54.848965, 6.819797 54.83987, 6.81888 54.830032, 6.822373 54.815849, 6.824191 54.799454, 6.827045 54.794632, 6.845333 54.773861, 6.915668 54.66563, 6.94884 54.629921, 6.953057 54.624233, 6.955436 54.619431, 7.074176 54.239262, 7.180523 53.893276, 7.184085 53.887089, 7.190316 53.880188, 7.19754 53.874653, 7.208661 53.868649, 7.377861 53.810078, 7.387115 53.805302, 7.392479 53.800938, 7.45899 53.6923, 7.40311 53.6744, 7.32642 53.6797)</t>
  </si>
  <si>
    <t>P0691</t>
  </si>
  <si>
    <t>https://www.gem.wiki/Far_North_Liquids_And_Associated_Gas_System_(Flags)_Pipeline</t>
  </si>
  <si>
    <t>Far North Liquids And Associated Gas System (Flags) Pipeline</t>
  </si>
  <si>
    <t>FLAGS</t>
  </si>
  <si>
    <t>ExxonMobil [50.00%]; Shell [50.00%]</t>
  </si>
  <si>
    <t>Statfjord field</t>
  </si>
  <si>
    <t>St Fergus Gas Terminal</t>
  </si>
  <si>
    <t>LINESTRING (-1.825651 57.579971, -1.808 57.582088, -1.80141 57.582702, -1.781407 57.585542, -1.773513 57.585952, -1.764119 57.586132, -1.753785 57.58575, -1.736282 57.584078, -1.725115 57.583304, -1.716316 57.582249, -1.703596 57.581295, -1.695365 57.581236, -1.689293 57.581558, -1.682803 57.58231, -1.678324 57.583147, -1.674082 57.584301, -1.668011 57.586461, -1.662612 57.588582, -1.659091 57.590496, -1.651946 57.595472, -1.642254 57.601653, -1.633967 57.607294, -1.628376 57.610632, -1.610972 57.622708, -1.601421 57.628958, -1.599493 57.630425, -1.597818 57.631979, -1.595006 57.635237, -1.593184 57.638692, -1.592294 57.641343, -1.592015 57.643132, -1.592022 57.644928, -1.592233 57.646721, -1.593003 57.649382, -1.597641 57.660789, -1.599839 57.666963, -1.60086 57.671419, -1.601256 57.675005, -1.601313 57.677699, -1.601239 57.680392, -1.59983 57.686633, -1.597751 57.691904, -1.595373 57.696208, -1.591797 57.701243, -1.585462 57.707575, -1.581049 57.711392, -1.573792 57.716335, -1.568096 57.719632, -1.564405 57.721462, -1.553701 57.725797, -1.544613 57.72978, -1.53987 57.732322, -1.535643 57.735112, -1.532875 57.737362, -1.528704 57.741258, -1.526717 57.743734, -1.522557 57.749613, -1.511548 57.766582, -1.508074 57.771641, -1.506027 57.775062, -1.501942 57.780957, -1.499018 57.786114, -1.489848 57.799621, -1.486266 57.80561, -1.484961 57.807272, -1.477794 57.818297, -1.473686 57.824193, -1.472208 57.826767, -1.469395 57.830999, -1.465176 57.837818, -1.452996 57.855519, -1.444993 57.868295, -1.44 57.875928, -1.430726 57.88942, -1.42936 57.892025, -1.425542 57.897967, -1.42415 57.90056, -1.42255 57.90311, -1.419638 57.907322, -1.417646 57.909801, -1.415869 57.91233, -1.407563 57.926, -1.403236 57.931844, -1.399459 57.937796, -1.393699 57.946245, -1.387106 57.956431, -1.38296 57.962315, -1.376815 57.971643, -1.37475 57.975056, -1.373003 57.978402, -1.370658 57.983767, -1.369039 57.988194, -1.367793 57.990773, -1.367133 57.992543, -1.365272 57.996005, -1.361323 58.002856, -1.354589 58.013956, -1.35176 58.018179, -1.34609 58.02852, -1.34374 58.031891, -1.336666 58.042946, -1.334801 58.045449, -1.329887 58.054027, -1.32161 58.066758, -1.31871 58.071913, -1.310813 58.083755, -1.309761 58.085458, -1.3075 58.089791, -1.303985 58.094848, -1.302479 58.097423, -1.301248 58.10004, -1.299037 58.10344, -1.297139 58.106881, -1.295831 58.108553, -1.294759 58.110253, -1.293448 58.112861, -1.290306 58.117978, -1.288296 58.120472, -1.28652 58.123936, -1.282622 58.129879, -1.280209 58.134183, -1.276361 58.14013, -1.274383 58.143566, -1.272536 58.146076, -1.270448 58.149507, -1.268224 58.153823, -1.266941 58.155493, -1.265471 58.158074, -1.260443 58.165704, -1.255665 58.173386, -1.253789 58.176836, -1.250349 58.18191, -1.248241 58.185333, -1.247477 58.187078, -1.244565 58.191295, -1.242574 58.194735, -1.240976 58.198224, -1.239037 58.201666, -1.235704 58.206759, -1.23264 58.210949, -1.226278 58.220235, -1.223702 58.224514, -1.219141 58.23128, -1.21756 58.233843, -1.216363 58.236468, -1.211679 58.244167, -1.202768 58.257741, -1.199877 58.262914, -1.19471 58.270522, -1.192802 58.273971, -1.186655 58.283306, -1.182262 58.291052, -1.175185 58.302115, -1.171047 58.30896, -1.160493 58.32509, -1.157618 58.330262, -1.149362 58.343959, -1.136633 58.363495, -1.132679 58.370365, -1.130397 58.373746, -1.11537 58.397618, -1.108591 58.407791, -1.106019 58.411119, -1.103123 58.415341, -1.095315 58.429111, -1.094088 58.430792, -1.090472 58.436783, -1.086558 58.442721, -1.0846 58.446159, -1.078478 58.45548, -1.075929 58.459773, -1.069871 58.469116, -1.067844 58.472548, -1.062164 58.48102, -1.059821 58.485339, -1.058243 58.487902, -1.057333 58.489634, -1.054238 58.496633, -1.046594 58.512295, -1.044798 58.516685, -1.043049 58.520159, -1.036651 58.534131, -1.035802 58.536787, -1.03502 58.538536, -1.032736 58.542865, -1.029629 58.549862, -1.02491 58.559433, -1.023932 58.562076, -1.022693 58.564694, -1.022155 58.566468, -1.018207 58.574281, -1.015613 58.580417, -1.012805 58.585605, -1.010781 58.590887, -1.00605 58.600453, -1.003507 58.606596, -0.998482 58.617048, -0.989914 58.636292, -0.98773 58.64063, -0.985673 58.644058, -0.981504 58.64995, -0.981075 58.650821, -0.97919 58.656108, -0.978494 58.658782, -0.977332 58.661405, -0.976404 58.664054, -0.974555 58.667522, -0.970498 58.676244, -0.968497 58.681529, -0.965029 58.689406, -0.9637 58.692936, -0.956955 58.705934, -0.955496 58.70945, -0.952547 58.715538, -0.950768 58.719939, -0.946914 58.72776, -0.941934 58.739148, -0.93905 58.744321, -0.936381 58.749525, -0.93525 58.752158, -0.933082 58.756496, -0.930877 58.761765, -0.925677 58.773118, -0.923917 58.776593, -0.922908 58.779241, -0.921991 58.780967, -0.919075 58.787982, -0.918161 58.789723, -0.916788 58.794171, -0.913617 58.801161, -0.905926 58.814954, -0.903362 58.821106, -0.893611 58.841125, -0.891997 58.845536, -0.890145 58.849001, -0.887665 58.85423, -0.880221 58.868998, -0.875187 58.880377, -0.873291 58.883833, -0.872317 58.886482, -0.869159 58.892552, -0.86807 58.895193, -0.866155 58.89864, -0.864316 58.903025, -0.862007 58.9092, -0.858593 58.91616, -0.857587 58.91881, -0.856231 58.921405, -0.854905 58.924935, -0.853344 58.928436, -0.851937 58.931031, -0.850227 58.935438, -0.849307 58.937163, -0.847799 58.940669, -0.846562 58.94422, -0.84492 58.947692, -0.844292 58.949465, -0.837856 58.962512, -0.834733 58.969508, -0.832826 58.974827, -0.828565 58.982587, -0.827648 58.985244, -0.825647 58.989611, -0.823189 58.99577, -0.822282 58.997503, -0.820066 59.002776, -0.818582 59.005351, -0.817002 59.008846, -0.816065 59.011494, -0.812811 59.019404, -0.811357 59.021989, -0.808115 59.029899, -0.804717 59.036854, -0.799947 59.049186, -0.798012 59.053564, -0.795878 59.057928, -0.79256 59.063044, -0.789783 59.066341, -0.785982 59.070382, -0.773443 59.082203, -0.770243 59.085394, -0.765682 59.089222, -0.761427 59.093141, -0.757809 59.096213, -0.744492 59.108841, -0.740957 59.111938, -0.734224 59.117183, -0.723406 59.12423, -0.720417 59.126442, -0.717699 59.128747, -0.705024 59.140535, -0.692929 59.151463, -0.686598 59.156842, -0.682726 59.160866, -0.666871 59.175859, -0.659919 59.182093, -0.62689 59.21274, -0.622447 59.21661, -0.616632 59.222142, -0.606106 59.23147, -0.603089 59.233679, -0.594522 59.240459, -0.589973 59.243193, -0.577852 59.252001, -0.56076 59.263386, -0.554664 59.267782, -0.549214 59.271299, -0.536529 59.279889, -0.527806 59.286622, -0.52424 59.289709, -0.510289 59.303205, -0.505809 59.30706, -0.498168 59.31514, -0.494794 59.318291, -0.477123 59.335858, -0.473688 59.338991, -0.468024 59.344572, -0.446404 59.365143, -0.444013 59.367544, -0.440442 59.371648, -0.436554 59.375673, -0.428648 59.382676, -0.4246 59.386663, -0.421946 59.388993, -0.417178 59.393802, -0.408618 59.401651, -0.403049 59.407258, -0.393668 59.415901, -0.389642 59.4199, -0.387482 59.422355, -0.384325 59.425561, -0.380676 59.428645, -0.377671 59.431887, -0.370611 59.438112, -0.368444 59.440574, -0.356547 59.452602, -0.347169 59.461249, -0.324145 59.483494, -0.317806 59.489914, -0.283471 59.522326, -0.27249 59.533591, -0.261769 59.545909, -0.251563 59.560267, -0.24174 59.571807, -0.2395 59.574249, -0.229775 59.583828, -0.226172 59.58692, -0.221229 59.591687, -0.218373 59.593958, -0.216264 59.5954, -0.211596 59.598099, -0.196794 59.604522, -0.191558 59.606942, -0.189122 59.608246, -0.185716 59.610314, -0.175738 59.617733, -0.157321 59.635141, -0.150196 59.641352, -0.138178 59.651313, -0.133233 59.656084, -0.123769 59.666724, -0.120621 59.669938, -0.103074 59.686574, -0.09989 59.689786, -0.091429 59.697682, -0.087414 59.701684, -0.084877 59.704047, -0.079385 59.708663, -0.07329 59.713084, -0.065355 59.717924, -0.059034 59.722263, -0.047932 59.729276, -0.034139 59.738642, -0.027399 59.742819, -0.017738 59.749264, -0.009951 59.754163, -0.002561 59.759232, 0.00197 59.761996, 0.016065 59.771258, 0.034901 59.783204, 0.045538 59.790405, 0.061999 59.801013, 0.07161 59.807485, 0.124294 59.841444, 0.145428 59.855917, 0.153185 59.860845, 0.171522 59.873012, 0.183587 59.880808, 0.192728 59.886326, 0.199316 59.890588, 0.213109 59.898825, 0.251361 59.923693, 0.257088 59.92714, 0.27129 59.93639, 0.286236 59.945327, 0.303739 59.956697, 0.311582 59.961598, 0.319117 59.966621, 0.332582 59.975016, 0.342241 59.981486, 0.355634 59.989918, 0.37418 60.00203, 0.383232 60.007597, 0.407351 60.023233, 0.415331 60.028081, 0.424027 60.033796, 0.459472 60.056401, 0.47849 60.068339, 0.488297 60.074762, 0.491821 60.076809, 0.499627 60.081732, 0.504945 60.085352, 0.52162 60.095936, 0.536352 60.104994, 0.568597 60.125461, 0.575807 60.130619, 0.580173 60.133478, 0.595235 60.142409, 0.604295 60.147992, 0.640053 60.170523, 0.647527 60.175586, 0.656457 60.181228, 0.658904 60.18255, 0.665498 60.186822, 0.689227 60.201514, 0.6991 60.207927, 0.705171 60.212384, 0.70705 60.213911, 0.71038 60.217093, 0.71262 60.219545, 0.718172 60.226168, 0.722763 60.232978, 0.726548 60.238979, 0.72987 60.243155, 0.733447 60.248238, 0.757173 60.282154, 0.771733 60.303403, 0.779778 60.314371, 0.789722 60.328814, 0.800769 60.344016, 0.803622 60.348278, 0.807988 60.354178, 0.817501 60.367598, 0.819643 60.370227, 0.822913 60.373437, 0.825631 60.375773, 0.829613 60.378777, 0.832753 60.380976, 0.837216 60.383809, 0.846974 60.389126, 0.877812 60.404338, 0.886966 60.408697, 0.898346 60.414494, 0.917966 60.423834, 0.951461 60.440289, 0.989199 60.458461, 1.017454 60.472442, 1.037056 60.481807, 1.056353 60.491331, 1.116164 60.520235, 1.128058 60.525796, 1.16822 60.545363, 1.189235 60.555322, 1.198187 60.559802, 1.214007 60.567244, 1.250543 60.58481, 1.262056 60.590577, 1.266153 60.592367, 1.2885 60.602957, 1.307762 60.61253, 1.315812 60.616185, 1.328833 60.622482, 1.339512 60.627387, 1.352347 60.633778, 1.367005 60.640539, 1.387692 60.650694, 1.391854 60.652456, 1.398314 60.655634, 1.415524 60.663685, 1.423195 60.667542, 1.429889 60.6706, 1.433705 60.672537, 1.457626 60.683641, 1.460098 60.684976, 1.478383 60.693786, 1.508701 60.708116, 1.51772 60.712584, 1.522678 60.715231, 1.527245 60.718045, 1.53136 60.721022, 1.53507 60.72412, 1.538302 60.727344, 1.54114 60.730657, 1.543558 60.734051, 1.553897 60.752209, 1.557047 60.758303, 1.559132 60.761745, 1.559862 60.763509, 1.562838 60.768698, 1.565072 60.772117, 1.567853 60.777328, 1.573912 60.787685, 1.58355 60.805009, 1.589568 60.81537, 1.590869 60.817989, 1.592501 60.820562, 1.593816 60.823179, 1.597454 60.829207, 1.599808 60.833543, 1.605836 60.84851, 1.607816 60.853809, 1.609124 60.856429, 1.610256 60.85998, 1.611504 60.862605, 1.624082 60.894322, 1.626681 60.900484, 1.630011 60.909309, 1.633361 60.917224, 1.637131 60.926926, 1.650746 60.960385, 1.651667 60.963041, 1.652904 60.965668, 1.655736 60.972713, 1.657678 60.977102, 1.659684 60.9824, 1.662064 60.987666, 1.663857 60.990218, 1.665961 60.992718, 1.670644 60.996597, 1.672896 60.998031, 1.682022 61.002487, 1.68567 61.00452, 1.689886 61.007466, 1.691717 61.009025, 1.693309 61.010645, 1.694667 61.012314, 1.695792 61.014025, 1.697567 61.017509, 1.701546 61.029926, 1.702234 61.032597, 1.702798 61.034005, 1.705013 61.034477)</t>
  </si>
  <si>
    <t>P0692</t>
  </si>
  <si>
    <t>Norway, France</t>
  </si>
  <si>
    <t>https://www.gem.wiki/Franpipe_Gas_Pipeline</t>
  </si>
  <si>
    <t>Franpipe Gas Pipeline</t>
  </si>
  <si>
    <t>Gassco [unknown %]</t>
  </si>
  <si>
    <t>E.ON [unknown %]; Energie Baden-Württemberg AG [unknown %]; Energinet [unknown %]; PGNiG [unknown %]; Petoro [unknown %]</t>
  </si>
  <si>
    <t>Port Ouest, Dunkirk</t>
  </si>
  <si>
    <t>LINESTRING (2.466666 58.188694, 2.442336 58.183163, 2.428183 58.178204, 2.415735 58.172112, 2.4054 58.164997, 2.397427 58.157074, 2.392117 58.14856, 2.389432 58.139702, 2.395804 57.744541, 2.389019 57.466133, 2.390339 57.115814, 2.392267 57.097893, 2.397539 57.080158, 2.401326 57.071419, 2.411311 57.054306, 2.641404 56.727394, 2.862246 56.408562, 2.869193 56.400482, 3.063316 56.245693, 3.246717 56.097984, 3.26473 56.083103, 3.280379 56.067429, 3.287225 56.059299, 3.29856 56.042488, 3.402486 55.863056, 3.409507 55.845539, 3.411872 55.836655, 3.413486 55.827717, 3.414189 55.809753, 3.344604 55.191059, 3.283745 54.63504, 3.186585 54.01757, 3.137149 53.695374, 3.092561 53.264771, 3.092522 53.246803, 3.095599 53.228931, 3.205119 52.802574, 3.20846 52.784718, 3.209069 52.775738, 3.208819 52.766747, 3.206763 52.748817, 3.175864 52.524879, 3.175262 52.506912, 3.18608 52.417274, 3.185961 52.399296, 3.159803 52.184135, 3.156873 52.166256, 3.15117 52.148624, 3.142668 52.131435, 3.128074 52.106007, 3.121208 52.088547, 3.118908 52.079666, 3.088614 51.864727, 3.08848 51.855762, 3.09231 51.847118, 3.090405 51.83831, 3.082061 51.831036, 3.062163 51.817955, 3.053102 51.81094, 2.999333 51.768532, 2.982239 51.754021, 2.819797 51.627556, 2.804521 51.61232, 2.721917 51.517521, 2.711768 51.511219, 2.647354 51.491146, 2.624949 51.479927, 2.611262 51.477329, 2.596897 51.476768, 2.583213 51.474194, 2.57189 51.468693, 2.540056 51.450466, 2.530281 51.443882, 2.522287 51.436413, 2.475173 51.391228, 2.469159 51.383095, 2.445143 51.340721, 2.437987 51.332993, 2.4266 51.327633, 2.413442 51.324051, 2.402408 51.318386, 2.384545 51.304329, 2.377017 51.29668, 2.370687 51.288616, 2.312549 51.196701, 2.295854 51.171856, 2.282893 51.146149, 2.274086 51.119755, 2.268053 51.084702, 2.264994 51.075924, 2.256691 51.058743, 2.252709 51.046406)</t>
  </si>
  <si>
    <t>P0693</t>
  </si>
  <si>
    <t>https://www.gem.wiki/Frigg_UK_Gas_Pipeline_System</t>
  </si>
  <si>
    <t>Frigg UK Gas Pipeline System</t>
  </si>
  <si>
    <t>FUKA</t>
  </si>
  <si>
    <t>North Sea Midstream Partners [100.00%]</t>
  </si>
  <si>
    <t>Alwyn North Field</t>
  </si>
  <si>
    <t>St. Fergus</t>
  </si>
  <si>
    <t>LINESTRING (1.734586 60.809944, 1.734072 60.809919, 1.733697 60.810131, 1.733208 60.809997, 1.724214 60.805636, 1.723064 60.80495, 1.721642 60.804403, 1.717836 60.802461, 1.707069 60.797514, 1.698719 60.792836, 1.693342 60.789125, 1.690878 60.786772, 1.688106 60.783506, 1.686106 60.779975, 1.684678 60.776481, 1.684358 60.773844, 1.684164 60.770169, 1.685019 60.76575, 1.686958 60.761333, 1.689144 60.757914, 1.693975 60.751119, 1.695544 60.748536, 1.699061 60.743431, 1.700053 60.7417, 1.702469 60.738308, 1.704586 60.734872, 1.706394 60.732331, 1.711811 60.723758, 1.713708 60.721228, 1.714144 60.720353, 1.716583 60.716964, 1.721514 60.709256, 1.723394 60.706722, 1.726069 60.702431, 1.728486 60.699044, 1.730011 60.696458, 1.734653 60.689644, 1.744058 60.675106, 1.748175 60.669156, 1.748975 60.667414, 1.749225 60.666531, 1.749397 60.66475, 1.748967 60.660269, 1.748397 60.657589, 1.744675 60.633425, 1.744067 60.63075, 1.743742 60.628061, 1.739983 60.6048, 1.739733 60.603908, 1.739039 60.598533, 1.738472 60.595856, 1.737931 60.591372, 1.738486 60.588644, 1.739703 60.586031, 1.742478 60.582717, 1.762433 60.562522, 1.808222 60.514617, 1.816228 60.506675, 1.820425 60.502897, 1.822675 60.500481, 1.82365 60.499675, 1.830319 60.492969, 1.835589 60.487244, 1.847531 60.475144, 1.850358 60.471831, 1.865431 60.456489, 1.869036 60.452364, 1.876369 60.445147, 1.891706 60.428872, 1.892669 60.428106, 1.902522 60.417503, 1.905806 60.414308, 1.911872 60.407775, 1.921272 60.398064, 1.925389 60.394072, 1.927519 60.391583, 1.932422 60.386733, 1.935081 60.383386, 1.936447 60.380778, 1.937903 60.376308, 1.938911 60.374581, 1.940139 60.371958, 1.941422 60.368422, 1.941897 60.367556, 1.942028 60.366653, 1.942686 60.3658, 1.943083 60.364931, 1.944356 60.361397, 1.946533 60.356119, 1.947458 60.354381, 1.950103 60.347319, 1.953739 60.338528, 1.954228 60.337661, 1.962892 60.315636, 1.965603 60.309503, 1.968939 60.300675, 1.972164 60.293678, 1.979847 60.274306, 1.982903 60.267283, 1.991022 60.247039, 1.994439 60.239144, 1.998525 60.228564, 2.0002 60.225069, 2.002147 60.219775, 2.004392 60.214503, 2.005675 60.210969, 2.007689 60.206594, 2.011144 60.197786, 2.013033 60.193394, 2.017736 60.18105, 2.019839 60.176683, 2.0204 60.174908, 2.020875 60.174042, 2.023611 60.166983, 2.024414 60.163419, 2.024958 60.159839, 2.025611 60.157164, 2.026433 60.151797, 2.026922 60.150017, 2.027958 60.144656, 2.029233 60.136603, 2.0303 60.132147, 2.031583 60.124992, 2.03205 60.123208, 2.032708 60.118733, 2.034417 60.110703, 2.034608 60.108908, 2.03525 60.106233, 2.039125 60.085681, 2.0408 60.075844, 2.042314 60.068703, 2.043283 60.062442, 2.044617 60.056192, 2.044647 60.055292, 2.045833 60.049036, 2.045997 60.047242, 2.046869 60.043678, 2.046839 60.042775, 2.048844 60.032047, 2.049186 60.031164, 2.050364 60.024008, 2.051606 60.018656, 2.051622 60.017756, 2.052436 60.013283, 2.052414 60.012378, 2.052789 60.011497, 2.053544 60.007019, 2.053914 60.006136, 2.053731 60.005225, 2.054058 60.00435, 2.054394 60.002567, 2.054428 59.999883, 2.053733 59.997225, 2.053264 59.996358, 2.052761 59.993672, 2.051917 59.991925, 2.051767 59.991028, 2.051011 59.989275, 2.049947 59.985719, 2.049492 59.984842, 2.048636 59.982189, 2.048567 59.981283, 2.0476 59.979542, 2.047206 59.977758, 2.045756 59.974244, 2.043619 59.967142, 2.042678 59.964494, 2.041108 59.960986, 2.040136 59.958336, 2.036364 59.946831, 2.035675 59.946, 2.034222 59.943417, 2.027331 59.933203, 2.025883 59.930608, 2.023519 59.927228, 2.022017 59.924636, 2.017244 59.917864, 2.013492 59.911869, 2.012256 59.909219, 2.012031 59.907433, 2.0122 59.904711, 2.013306 59.902056, 2.016356 59.897839, 2.019689 59.893667, 2.020194 59.892808, 2.023164 59.889539, 2.026008 59.887247, 2.028697 59.885961, 2.034283 59.883808, 2.040558 59.882186, 2.043919 59.881572, 2.056442 59.880383, 2.060078 59.879883, 2.063731 59.879675)</t>
  </si>
  <si>
    <t>P0694</t>
  </si>
  <si>
    <t>https://www.gem.wiki/Fulmar_Gas_Line</t>
  </si>
  <si>
    <t>Fulmar Gas Pipeline</t>
  </si>
  <si>
    <t>ExxonMobil [unknown %]; Shell [unknown %]; Spirit Production UK Limited [unknown %]</t>
  </si>
  <si>
    <t>Centrica [unknown %]; ExxonMobil [unknown %]; Shell [unknown %]; Stadtwerke München GmbH [unknown %]</t>
  </si>
  <si>
    <t>LINESTRING (-1.824207 57.572706, -1.791151 57.580059, -1.787897 57.580457, -1.782921 57.580786, -1.776252 57.580609, -1.748602 57.577086, -1.738913 57.575692, -1.677228 57.567564, -1.662522 57.565879, -1.44907 57.549761, -1.434217 57.548497, -1.295325 57.537856, -1.285448 57.536946, -1.254064 57.534442, -1.240804 57.53353, -1.202848 57.530408, -1.19124 57.529646, -1.18136 57.528759, -1.141674 57.525782, -1.098784 57.522211, -1.087178 57.521469, -1.072412 57.519963, -1.062465 57.519315, -1.045992 57.517877, -1.034382 57.517135, -0.999789 57.514147, -0.981588 57.512818, -0.955207 57.510584, -0.852867 57.502475, -0.821568 57.499759, -0.806667 57.498702, -0.798343 57.498305, -0.776637 57.497989, -0.684884 57.498235, -0.674873 57.49839, -0.561432 57.498376, -0.546419 57.498542, -0.533072 57.498364, -0.48803 57.498471, -0.412962 57.498256, -0.387934 57.498386, -0.31954 57.49825, -0.31286 57.498388, -0.286175 57.49819, -0.266151 57.498258, -0.259482 57.498115, -0.214436 57.498127, -0.184436 57.497568, -0.087952 57.493702, -0.004749 57.490603, 0.016652 57.489606, 0.040169 57.488871, 0.0468 57.488437, 0.070829 57.48738, 0.105211 57.486092, 0.193337 57.48241, 0.21477 57.48167, 0.256305 57.479752, 0.302871 57.477959, 0.374311 57.474779, 0.397592 57.47391, 0.410678 57.472677, 0.418619 57.47138, 0.423294 57.470441, 0.474069 57.456923, 0.484647 57.454268, 0.490498 57.45255, 0.499609 57.450309, 0.524583 57.443162, 0.531445 57.440641, 0.540057 57.436444, 0.603332 57.399516, 0.6627 57.364332, 0.67747 57.35581, 0.715404 57.333183, 0.72559 57.32727, 0.741107 57.31791, 0.75359 57.310691, 0.798257 57.284127, 0.80285 57.281529, 0.837466 57.260942, 0.847206 57.254832, 0.853007 57.25161, 0.885495 57.232424, 0.936598 57.201788, 0.96131 57.187248, 0.968655 57.182638, 0.968014 57.1823, 0.968789 57.182567, 0.971167 57.181218, 0.980049 57.175859, 0.985601 57.172182, 0.988589 57.170388, 0.99975 57.162592, 1.013059 57.152343, 1.01937 57.147072, 1.059019 57.11503, 1.069864 57.106007, 1.104794 57.077667, 1.110258 57.073174, 1.113719 57.070109, 1.118538 57.066468, 1.1285 57.05821, 1.138735 57.050056, 1.155051 57.036554, 1.167944 57.026127, 1.17599 57.019335, 1.193443 57.005173, 1.19884 57.000665, 1.203036 56.996799, 1.230805 56.972382, 1.24268 56.961613, 1.247577 56.956928, 1.253628 56.952626, 1.260081 56.948553, 1.286849 56.930508, 1.294382 56.925598, 1.304223 56.919553, 1.31468 56.913836, 1.326967 56.907879, 1.357375 56.894152, 1.368926 56.889121, 1.419312 56.866102, 1.467466 56.844452, 1.647428 56.762299, 1.660248 56.756723, 1.673574 56.750343, 1.683314 56.745294, 1.693715 56.739573, 1.700413 56.735636, 1.71044 56.729565, 1.716508 56.725587, 1.716913 56.725744, 1.716638 56.725501, 1.729217 56.71727, 1.818242 56.659891, 1.931027 56.586606, 1.941831 56.579889, 1.953546 56.57366, 1.962301 56.56964, 1.971426 56.565881, 1.979603 56.562939, 1.992269 56.558902, 2.005432 56.555371, 2.01288 56.553571, 2.027508 56.549642, 2.033484 56.548219, 2.101136 56.530606, 2.118915 56.526177, 2.12589 56.523888, 2.130945 56.521632, 2.134325 56.519695, 2.137303 56.517563, 2.14076 56.514523, 2.142665 56.51205, 2.153304 56.493957, 2.153409 56.493793, 2.153803 56.493867, 2.154079 56.493704)</t>
  </si>
  <si>
    <t>P0695</t>
  </si>
  <si>
    <t>Lithuania</t>
  </si>
  <si>
    <t>Poland, Lithuania</t>
  </si>
  <si>
    <t>https://www.gem.wiki/Gas_Interconnection_Poland-Lithuania_(GIPL)</t>
  </si>
  <si>
    <t>Gas Interconnection Poland-Lithuania</t>
  </si>
  <si>
    <t>GIPL</t>
  </si>
  <si>
    <t>AB Amber Grid [unknown %]; Gaz-System [unknown %]</t>
  </si>
  <si>
    <t>EPSO-G [unknown %]; Gaz-System [unknown %]; Other [unknown %]</t>
  </si>
  <si>
    <t>Wysokoje</t>
  </si>
  <si>
    <t>Jauniūnai</t>
  </si>
  <si>
    <t>Vilnius County</t>
  </si>
  <si>
    <t>LINESTRING (23.0111 52.2795, 22.8572 52.4045, 22.7997 52.4656, 22.7458 52.5195, 22.6991 52.5698, 22.6452 52.6237, 22.5949 52.6848, 22.541 52.7351, 22.4727 52.7782, 22.4008 52.8214, 22.3289 52.8645, 22.2786 52.9004, 22.2714 52.9292, 22.2535 52.9831, 22.2319 53.0406, 22.1996 53.0873, 22.1744 53.1017, 22.0989 53.1448, 22.0307 53.1807, 22.0091 53.2382, 22.0127 53.3029, 22.0522 53.3317, 22.16 53.3712, 22.2319 53.4071, 22.426 53.5365, 22.4871 53.594, 22.5517 53.6479, 22.6272 53.6911, 22.7063 53.7378, 22.7207 53.7917, 22.735 53.8348, 22.8321 53.8995, 22.8931 53.9354, 22.9399 53.9714, 22.9291 53.9965, 22.9111 54.036, 22.9974 54.0828, 23.0692 54.1223, 23.1699 54.1618, 23.2453 54.169, 23.3958 54.1916, 23.4126 54.193, 23.4125 54.193, 23.4825 54.2003, 23.5876 54.2074, 23.6865 54.2102, 23.7894 54.2172, 23.8618 54.2269, 23.937 54.3035, 24.0358 54.4092, 24.0748 54.4691, 24.1193 54.522, 24.1207 54.5832, 24.1207 54.6361, 24.207 54.7363, 24.2414 54.7978, 24.2742 54.8141, 24.4189 54.7964, 24.5172 54.7827, 24.5923 54.821, 24.6579 54.8701, 24.7193 54.9125, 24.7958 54.9698, 24.9063 54.9885)</t>
  </si>
  <si>
    <t>P0696</t>
  </si>
  <si>
    <t>Greece, Bulgaria</t>
  </si>
  <si>
    <t>https://www.gem.wiki/Gas_Interconnector_Greece_-_Bulgaria_(IGB)</t>
  </si>
  <si>
    <t>Gas Interconnector Greece-Bulgaria (IGB)</t>
  </si>
  <si>
    <t>Interconnector Greece-Bulgaria (IGB) Gas Pipeline, Stara-Zagora-Komotini Pipeline</t>
  </si>
  <si>
    <t>IGI Poseidon S.A. [150.00%]; Bulgarian Energy Holding [50.00%]</t>
  </si>
  <si>
    <t>Bulgarian Energy Holding [50.00%]; Electricite de France [25.00%]; Italgas [16.25%]; Hellenic Petroleum Holdings S.A [8.75%]</t>
  </si>
  <si>
    <t>Komotini</t>
  </si>
  <si>
    <t>Eastern Macedonia and Thrace</t>
  </si>
  <si>
    <t>Stara Zagora</t>
  </si>
  <si>
    <t>LINESTRING (25.707582 42.363137, 25.708003 42.336171, 25.691571 42.32016, 25.676402 42.305834, 25.675138 42.284345, 25.673453 42.263699, 25.670082 42.24516, 25.667975 42.224514, 25.669661 42.20429, 25.670925 42.184908, 25.671767 42.164683, 25.673031 42.143616, 25.674717 42.123391, 25.669239 42.102745, 25.665869 42.083363, 25.669239 42.063981, 25.662633 42.045689, 25.646261 42.028711, 25.637166 42.01052, 25.632922 41.989298, 25.629284 41.970501, 25.625039 41.949886, 25.621401 41.931089, 25.61655 41.914717, 25.609274 41.911079, 25.592903 41.900165, 25.574106 41.886219, 25.561979 41.868029, 25.549852 41.850445, 25.536512 41.832254, 25.511652 41.820127, 25.49043 41.810426, 25.467995 41.80133, 25.444348 41.789203, 25.435859 41.7698, 25.429795 41.750397, 25.43404 41.732207, 25.438284 41.710985, 25.439497 41.692794, 25.429189 41.672785, 25.426157 41.653988, 25.424944 41.634585, 25.425551 41.613969, 25.403722 41.601842, 25.3825 41.589109, 25.378536 41.569246, 25.371245 41.551018, 25.368815 41.527929, 25.367599 41.510309, 25.365169 41.488435, 25.363346 41.469599, 25.345118 41.452587, 25.348156 41.434359, 25.357878 41.415523, 25.362131 41.397295, 25.362739 41.379067, 25.363954 41.357801, 25.362131 41.33775, 25.378393 41.320596, 25.396382 41.305306, 25.41527 41.290016, 25.431459 41.275625, 25.441353 41.256737, 25.444051 41.23695, 25.44585 41.216264, 25.449447 41.196476, 25.440453 41.176689, 25.443151 41.156902, 25.450347 41.139813, 25.46024 41.120925, 25.467436 41.103837, 25.477329 41.081351, 25.480027 41.072357)</t>
  </si>
  <si>
    <t>P0697</t>
  </si>
  <si>
    <t>Algeria, Italy</t>
  </si>
  <si>
    <t>https://www.gem.wiki/GALSI_Pipeline</t>
  </si>
  <si>
    <t>GALSI Pipeline</t>
  </si>
  <si>
    <t>Gasdotto Algeria–Sardegna Italia Gas Pipeline</t>
  </si>
  <si>
    <t>Edison S.p.A. [41.60%]; Sonatrach [41.60%]; Enel [31.20%]; Hera Group [20.80%]; Government of Sardinia [10.40%]</t>
  </si>
  <si>
    <t>Sonatrach [41.60%]; Electricite de France [20.68%]; Other [19.99%]; Government of Italy [16.54%]</t>
  </si>
  <si>
    <t>26, 48</t>
  </si>
  <si>
    <t>Tuscany</t>
  </si>
  <si>
    <t>LINESTRING (10.6023 42.9568, 10.6027 42.8375, 10.6065 42.7834, 10.6065 42.7445, 10.5536 42.6886, 10.5552 42.6652, 10.5256 42.6171, 10.4821 42.5704, 10.4635 42.5207, 10.42 42.4679, 10.3679 42.427, 10.2808 42.3428, 10.2267 42.3007, 10.1996 42.2436, 10.0884 42.1865, 10.0373 42.1444, 10.0193 42.0813, 9.9742 41.9851, 9.9471 41.931, 9.9201 41.8649, 9.881 41.7777, 9.8569 41.7146, 9.8593 41.6517, 9.8854 41.4291, 9.8953 41.3244, 9.8887 41.2622, 9.8723 41.2033, 9.8462 41.1084, 9.8331 41.1018, 9.7873 41.056, 9.7349 41.0102, 9.6465 40.9284, 9.473 40.804, 9.4109 40.768, 9.3192 40.7418, 9.2799 40.7353, 9.221 40.696, 9.1621 40.6567, 9.0672 40.5847, 9.0116 40.5421, 8.9461 40.5127, 8.9265 40.4701, 8.8708 40.4211, 8.861 40.3065, 8.8545 40.2672, 8.7955 40.2312, 8.7988 40.1821, 8.8381 40.1527, 8.8741 40.1036, 8.8806 40.0414, 8.8806 39.9792, 8.8512 39.9465, 8.8217 39.8876, 8.789 39.7305, 8.7955 39.6683, 8.8283 39.6192, 8.8381 39.5112, 8.8577 39.4653, 8.8806 39.4097, 8.9036 39.3115, 8.7759 39.2395, 8.717 39.2133, 8.6515 39.2068, 8.5403 39.1511, 8.5075 39.1086, 8.5304 39.0464, 8.5926 38.9548, 8.5432 38.8886, 8.5004 38.8419, 8.4868 38.7893, 8.4829 38.7329, 8.4653 38.5058, 8.4575 38.3859, 8.4419 38.3416, 8.4236 38.2842, 8.4158 38.2269, 8.408 38.1226, 8.4027 38.06, 8.3949 38, 8.3715 37.8957, 8.3558 37.8358, 8.348 37.7784, 8.3428 37.6741, 8.3402 37.6115, 8.3392 37.5453, 8.3356 37.4498, 8.3243 37.3853, 8.2907 37.3348, 8.2261 37.2422, 8.2037 37.1889, 8.1504 37.0766, 8.1083 37.0374, 8.0634 36.9925, 8.0494 36.9532, 7.9457 36.8666, 7.9185 36.8351)</t>
  </si>
  <si>
    <t>P0698</t>
  </si>
  <si>
    <t>Czech Republic, Germany</t>
  </si>
  <si>
    <t>https://www.gem.wiki/Gazela_Pipeline</t>
  </si>
  <si>
    <t>Gazela Pipeline</t>
  </si>
  <si>
    <t>Net4Gas [300.00%]</t>
  </si>
  <si>
    <t>Allianz [50.00%]; OMV Group [37.50%]; Mubadala Investment Company [12.50%]</t>
  </si>
  <si>
    <t>Hora Svaté Kateřiny</t>
  </si>
  <si>
    <t>Ústí nad Labem Region</t>
  </si>
  <si>
    <t>Waidhaus</t>
  </si>
  <si>
    <t>MULTILINESTRING ((13.39 50.635, 13.441 50.5859), (12.5499 49.6634, 12.6802 49.7438, 12.7482 49.7721, 12.8066 49.7797, 12.8633 49.7702, 12.9217 49.7514, 13.0142 49.7589, 13.4048 49.9646, 13.4237 50.0702, 13.452 50.1269, 13.4331 50.1967, 13.4274 50.2589, 13.4821 50.3004, 13.5086 50.3344, 13.4991 50.3759, 13.4463 50.525, 13.441 50.5859))</t>
  </si>
  <si>
    <t>P0699</t>
  </si>
  <si>
    <t>Romania, Bulgaria</t>
  </si>
  <si>
    <t>https://www.gem.wiki/Giurgiu%E2%80%93Ruse_Gas_Pipeline</t>
  </si>
  <si>
    <t>Giurgiu-Ruse Gas Pipeline</t>
  </si>
  <si>
    <t>Bulgartransgaz [unknown %]; SNTGN Transgaz SA [unknown %]</t>
  </si>
  <si>
    <t>Bulgarian Energy Holding [unknown %]; Transgaz [unknown %]</t>
  </si>
  <si>
    <t>Giurgiu</t>
  </si>
  <si>
    <t>Muntenia</t>
  </si>
  <si>
    <t>Ruse</t>
  </si>
  <si>
    <t>LINESTRING (25.9511425 43.9040531, 25.9487605 43.8359591)</t>
  </si>
  <si>
    <t>P0700</t>
  </si>
  <si>
    <t>https://www.gem.wiki/Haltenpipe_Gas_Pipeline</t>
  </si>
  <si>
    <t>Haltenpipe Gas Pipeline</t>
  </si>
  <si>
    <t>Petoro A.S [57.81%]; CapeOmega [19.00%]; ConocoPhillips Skandinavia AS [18.13%]; Vår Energi AS [5.00%]</t>
  </si>
  <si>
    <t>Petoro [57.81%]; Partners Group [19.00%]; ConocoPhillips [18.13%]; Vår Energi AS [5.00%]</t>
  </si>
  <si>
    <t>Heidrun oil and gas field</t>
  </si>
  <si>
    <t>Norwegian Sea</t>
  </si>
  <si>
    <t>Tjeldbergodden</t>
  </si>
  <si>
    <t>Møre og Romsdal</t>
  </si>
  <si>
    <t>LINESTRING (7.3175 65.325833, 7.335532 65.297371, 7.344396 65.264816, 7.346742 65.260529, 7.369437 65.238113, 7.387291 65.222923, 7.402948 65.204468, 7.407982 65.196472, 7.4095 65.190407, 7.410666 65.141724, 7.412546 65.137024, 7.42819 65.108246, 7.429591 65.104362, 7.427206 65.06041, 7.427508 65.053474, 7.429522 65.049217, 7.440534 65.034241, 7.454178 65.008011, 7.47816 64.97805, 7.508934 64.948715, 7.550869 64.917389, 7.601845 64.8703, 7.701861 64.787735, 7.732416 64.767059, 7.753692 64.750679, 7.757826 64.746658, 7.767593 64.733803, 7.771535 64.729774, 7.872248 64.646172, 7.877476 64.63868, 7.882345 64.623566, 7.879899 64.56765, 7.888662 64.514938, 7.900439 64.488312, 7.92076 64.468536, 7.938182 64.457352, 7.957046 64.448891, 7.962851 64.445396, 7.976051 64.428513, 7.980409 64.424126, 7.986555 64.420166, 8.021005 64.402344, 8.024744 64.399269, 8.026998 64.39595, 8.027821 64.392052, 8.025846 64.386925, 8.012115 64.369202, 7.989356 64.34745, 7.977876 64.325386, 7.938539 64.278931, 7.93535 64.273773, 7.934533 64.270332, 7.934218 64.243698, 7.930622 64.21933, 7.927527 64.176285, 7.911888 64.119095, 7.903499 64.080299, 7.894323 64.066078, 7.893036 64.061829, 7.893768 64.058357, 7.900097 64.042816, 7.903451 64.03875, 7.912432 64.031075, 7.915315 64.025879, 7.913133 64.004623, 7.913363 63.999744, 7.928853 63.95401, 7.931947 63.882412, 7.933165 63.877693, 7.947326 63.844151, 7.950242 63.827011, 8.015805 63.731796, 8.018525 63.72168, 8.025651 63.685787, 8.024793 63.674866, 8.026239 63.670418, 8.029536 63.666767, 8.033959 63.663864, 8.066223 63.650352, 8.073523 63.645744, 8.076274 63.64246, 8.084327 63.628082, 8.090335 63.602364, 8.092408 63.598042, 8.096688 63.594021, 8.121877 63.575836, 8.139589 63.556816, 8.145407 63.552776, 8.170886 63.538845, 8.183463 63.529522, 8.205979 63.52243, 8.217121 63.513412, 8.222825 63.509861, 8.224143 63.506439, 8.221794 63.502693, 8.220973 63.499657, 8.224092 63.490555, 8.224132 63.488358, 8.227596 63.483467, 8.228003 63.477337, 8.226797 63.472942, 8.22299 63.469028, 8.21736 63.465031, 8.218605 63.45985, 8.215175 63.452553, 8.214173 63.447376, 8.218481 63.44162, 8.223385 63.438919, 8.225243 63.436909, 8.226092 63.434402, 8.224548 63.429253, 8.22586 63.426682, 8.229435 63.424099, 8.239384 63.419899, 8.241247 63.418365, 8.243613 63.413692, 8.251678 63.409321, 8.263588 63.40554, 8.276841 63.403973, 8.323453 63.402828, 8.36587 63.400276, 8.382181 63.401245, 8.427908 63.401913, 8.581714 63.423069, 8.606696 63.428795, 8.623056 63.429485, 8.636926 63.427555, 8.64624 63.424473, 8.651925 63.421478, 8.665208 63.410534, 8.665102 63.407822, 8.654947 63.394652)</t>
  </si>
  <si>
    <t>P0701</t>
  </si>
  <si>
    <t>United Kingdom, Belgium</t>
  </si>
  <si>
    <t>https://www.gem.wiki/Zeebrugge%E2%80%93Bacton_Gas_Pipeline</t>
  </si>
  <si>
    <t>Zeebrugge-Bacton Gas Pipeline</t>
  </si>
  <si>
    <t>Bacton to Zeebrugge Gas Pipeline</t>
  </si>
  <si>
    <t>Gasbridge 1 [48.00%]; Gasbridge 2 [48.00%]; Fluxys UK Ltd [37.00%]; Fluxys Interconnector Limited [15.00%]</t>
  </si>
  <si>
    <t>Fluxys [76.00%]; Snam [24.00%]</t>
  </si>
  <si>
    <t>Port of Zeebrugge, Bruges</t>
  </si>
  <si>
    <t>Flanders</t>
  </si>
  <si>
    <t>LINESTRING (1.46983 52.85915, 1.48409 52.86313, 1.48933 52.86414, 1.49421 52.86469, 1.49861 52.86494, 1.50504 52.86478, 1.5103 52.86424, 1.51541 52.86332, 1.52918 52.85988, 1.53389 52.85836, 1.65339 52.81625, 1.65993 52.81451, 1.66555 52.81347, 1.66917 52.81312, 1.67961 52.81259, 1.74014 52.81023, 1.76808 52.80907, 1.77666 52.80857, 1.81164 52.80731, 1.84443 52.80581, 1.94828 52.80154, 1.96529 52.80072, 1.9691 52.80033, 1.97278 52.79963, 1.97917 52.79793, 1.98385 52.79619, 1.98941 52.79347, 1.993 52.79109, 1.99831 52.78656, 2.02818 52.75963, 2.03015 52.75736, 2.03254 52.75375, 2.0359 52.74993, 2.03945 52.74725, 2.04716 52.74265, 2.05055 52.74002, 2.05315 52.73773, 2.06797 52.72432, 2.07237 52.71969, 2.08064 52.71208, 2.12932 52.66807, 2.14051 52.65777, 2.14705 52.65201, 2.17399 52.6273, 2.18945 52.61339, 2.19918 52.60434, 2.2171 52.58827, 2.22631 52.57967, 2.22808 52.57762, 2.22936 52.57579, 2.23101 52.57252, 2.23168 52.57057, 2.26281 52.44595, 2.26393 52.44295, 2.26722 52.43666, 2.27278 52.42665, 2.27782 52.41699, 2.28073 52.41189, 2.30359 52.3697, 2.30596 52.36496, 2.30801 52.36155, 2.31779 52.34347, 2.39281 52.20413, 2.44509 52.1063, 2.44951 52.09826, 2.45431 52.089, 2.47786 52.04508, 2.49771 52.00757, 2.49862 52.00487, 2.49898 52.0029, 2.49911 52.00059, 2.49894 51.99817, 2.4831 51.91503, 2.48247 51.91286, 2.48154 51.91061, 2.47637 51.90006, 2.4756 51.89745, 2.47357 51.88461, 2.46739 51.84153, 2.46513 51.8269, 2.46438 51.82085, 2.46189 51.80426, 2.46185 51.8026, 2.46229 51.7993, 2.46337 51.79572, 2.46498 51.7928, 2.46644 51.79079, 2.46962 51.78747, 2.47154 51.78587, 2.47401 51.78413, 2.49883 51.76955, 2.50787 51.76407, 2.51663 51.75905, 2.52036 51.75736, 2.52414 51.75591, 2.5586 51.74487, 2.56468 51.74258, 2.59387 51.72923, 2.5996 51.72643, 2.60297 51.72431, 2.60487 51.72285, 2.60977 51.718, 2.61165 51.71639, 2.61492 51.71407, 2.61826 51.71226, 2.62768 51.70853, 2.65134 51.69978, 2.66355 51.69505, 2.66908 51.69228, 2.68092 51.68594, 2.7017 51.67746, 2.70658 51.67525, 2.71347 51.67112, 2.7269 51.66247, 2.73012 51.66074, 2.77056 51.64352, 2.77475 51.64186, 2.77829 51.64019, 2.78074 51.63874, 2.78294 51.63716, 2.78514 51.63529, 2.78714 51.63309, 2.78835 51.63138, 2.78928 51.62972, 2.79025 51.6276, 2.79108 51.62512, 2.79239 51.6226, 2.79347 51.62109, 2.79606 51.61819, 2.79792 51.61657, 2.79983 51.61526, 2.80721 51.61129, 2.81083 51.60971, 2.82237 51.6054, 2.82804 51.60258, 2.83419 51.59908, 2.83602 51.5982, 2.83975 51.59672, 2.84413 51.59529, 2.8484 51.59424, 2.8527 51.59363, 2.85586 51.59335, 2.86434 51.59304, 2.87042 51.5923, 2.87429 51.59151, 2.87833 51.5904, 2.88395 51.5883, 2.88911 51.58562, 2.90959 51.57295, 2.92752 51.56397, 2.95222 51.5531, 2.95637 51.55071, 2.96284 51.54603, 2.9671 51.54371, 2.97204 51.54178, 2.98098 51.53932, 2.98618 51.5374, 3.07278 51.49943, 3.0764 51.49763, 3.07965 51.49572, 3.0813 51.49456, 3.08384 51.49241, 3.08546 51.49081, 3.08669 51.48933, 3.08866 51.48647, 3.08968 51.48457, 3.09079 51.48107, 3.09287 51.46703, 3.09376 51.4637, 3.09389 51.46036, 3.10445 51.38916, 3.10522 51.3862, 3.10673 51.383, 3.108 51.38105, 3.10933 51.37937, 3.11096 51.37764, 3.113 51.37582, 3.17311 51.3305, 3.1766 51.32613)</t>
  </si>
  <si>
    <t>P0702</t>
  </si>
  <si>
    <t>Albania, Montenegro, Croatia</t>
  </si>
  <si>
    <t>https://www.gem.wiki/Ionian_Adriatic_Gas_Pipeline</t>
  </si>
  <si>
    <t>Ionian Adriatic Gas Pipeline</t>
  </si>
  <si>
    <t>IAP</t>
  </si>
  <si>
    <t>Albgaz Sha [unknown %]; BH-Gas d.o.o. [unknown %]; Montenegro Bonus [unknown %]; Plinacro [unknown %]</t>
  </si>
  <si>
    <t>Azeri Shah Deniz</t>
  </si>
  <si>
    <t>Fier</t>
  </si>
  <si>
    <t>Split</t>
  </si>
  <si>
    <t>Dalmatia</t>
  </si>
  <si>
    <t>Jonsko-jadranski plinovod</t>
  </si>
  <si>
    <t>LINESTRING (19.55983754757423 40.72641923184577, 19.542955 40.79275, 19.588832 40.882608, 19.630539 40.91294, 19.626747 41.057016, 19.641913 41.100618, 19.609685 41.17076, 19.685515 41.256069, 19.708264 41.278817, 19.71016 41.295879, 19.715847 41.312941, 19.729117 41.322419, 19.729117 41.341377, 19.731013 41.367917, 19.744283 41.379292, 19.744283 41.396353, 19.727221 41.419102, 19.666558 41.561283, 19.657079 41.631425, 19.657079 41.712942, 19.685515 41.733795, 19.662766 41.788771, 19.664662 41.822895, 19.648222 41.862423, 19.61669 41.860672, 19.569393 41.890452, 19.51684 41.916728, 19.450273 41.944756, 19.410933 41.978045, 19.365388 42.006073, 19.291814 42.023591, 19.244516 42.037605, 19.14817 42.055123, 19.135907 42.074392, 19.11839 42.074392, 19.050071 42.090158, 18.990511 42.111179, 18.892413 42.172491, 18.773293 42.249568, 18.773293 42.295114, 18.772871 42.320069, 18.772871 42.336848, 18.733212 42.387184, 18.696604 42.384133, 18.656945 42.39176, 18.624913 42.408539, 18.580678 42.426843, 18.50441 42.425318, 18.490682 42.440571, 18.449498 42.440571, 18.434244 42.47718, 18.397636 42.478705, 18.382382 42.481756, 18.35035 42.513788, 18.30764 42.530567, 18.205442 42.571751, 18.159682 42.564124, 18.101719 42.609885, 18.063585 42.670899, 18.020875 42.675475, 18.016299 42.692254, 17.982741 42.710558, 17.938506 42.721235, 17.877492 42.763945, 17.850036 42.800553, 17.71428 42.802079, 17.665469 42.809705, 17.607506 42.832586, 17.497681 42.870719, 17.374305 42.943435, 17.360671 42.988532, 17.36172 43.045165, 17.425694 43.092359, 17.376403 43.130114, 17.293551 43.165772, 17.24321 43.169967, 17.166651 43.194088, 17.106872 43.280086, 17.067019 43.304208, 17.033459 43.317842, 16.929632 43.380767, 16.887682 43.384962, 16.825805 43.399645, 16.810074 43.416425, 16.790147 43.42901, 16.741904 43.433205, 16.709393 43.446839, 16.676881 43.459424, 16.664296 43.469911, 16.643321 43.48774, 16.592981 43.52969, 16.543225 43.548365, 16.394771 43.598947)</t>
  </si>
  <si>
    <t>P0703</t>
  </si>
  <si>
    <t>https://www.gem.wiki/JAGAL_Gas_Pipeline</t>
  </si>
  <si>
    <t>JAGAL Gas Pipeline</t>
  </si>
  <si>
    <t>Jamal-Gas-Anbindungsleitung</t>
  </si>
  <si>
    <t>GASCADE Gastransport GmbH [unknown %]</t>
  </si>
  <si>
    <t>BASF [unknown %]; Gazprom [unknown %]</t>
  </si>
  <si>
    <t>1400, 1200</t>
  </si>
  <si>
    <t>Lebus</t>
  </si>
  <si>
    <t>Märkisch-Oderland</t>
  </si>
  <si>
    <t>Rückersdorf</t>
  </si>
  <si>
    <t>Greiz</t>
  </si>
  <si>
    <t>Thüringen</t>
  </si>
  <si>
    <t>LINESTRING (12.146781 50.903614, 12.184903 51.236796, 12.101728 51.306178, 12.035882 51.470541, 12.153712 51.780348, 12.656226 51.863891, 13.182998 51.975039, 13.352813 52.073134, 13.44985 52.126356, 13.477575 52.205008, 13.557284 52.31743, 13.716702 52.399974, 13.768686 52.463364, 13.860525 52.527717)</t>
  </si>
  <si>
    <t>P0704</t>
  </si>
  <si>
    <t>Norway, United Kingdom</t>
  </si>
  <si>
    <t>https://www.gem.wiki/Langeled_Gas_Pipeline</t>
  </si>
  <si>
    <t>Langeled Gas Pipeline</t>
  </si>
  <si>
    <t>Britpipe</t>
  </si>
  <si>
    <t>42, 44</t>
  </si>
  <si>
    <t>Ormen Lange Field</t>
  </si>
  <si>
    <t>Nyhamna</t>
  </si>
  <si>
    <t>Easington</t>
  </si>
  <si>
    <t>Yorkshire and the Humber</t>
  </si>
  <si>
    <t>MULTILINESTRING ((6.945771 62.851559, 6.960041 62.860676, 6.961082 62.864315, 6.958678 62.867645, 6.95358 62.870125, 6.923175 62.878532, 6.901035 62.890728, 6.888427 62.89576, 6.879606 62.898464, 6.868316 62.900085, 6.837357 62.901211, 6.795076 62.904686, 6.786408 62.906376, 6.778028 62.909691, 6.772308 62.91378, 6.76949 62.91869, 6.769591 62.922226, 6.773652 62.93309, 6.771636 62.94178, 6.768996 62.945023, 6.764813 62.948093, 6.75268 62.952873, 6.74383 62.954491, 6.73426 62.955124, 6.665407 62.954052, 6.64728 62.95285, 6.613935 62.954796, 6.552444 62.951694, 6.460855 62.934681, 6.43851 62.929611, 6.202215 62.892002, 6.172691 62.88641, 6.09798 62.86684, 5.84334 62.81007, 5.194442 62.653843, 5.180747 62.649685, 5.169758 62.644604, 5.162701 62.639874, 5.143222 62.623539, 4.980327 62.472721, 4.962389 62.458328, 4.949304 62.442013, 4.926114 62.424656, 4.901986 62.400303, 4.895624 62.395176, 4.884213 62.389099, 4.789546 62.350544, 4.661384 62.307137, 4.650886 62.302143, 4.642659 62.296291, 4.388541 62.057758, 4.346335 61.998402, 4.333716 61.973549, 4.314116 61.950298, 4.306672 61.938492, 4.297827 61.929447, 4.292017 61.919968, 4.286262 61.91264, 4.281702 61.908302, 4.265685 61.896152, 4.236561 61.878967, 4.206685 61.856289, 4.187588 61.838642, 4.182841 61.832779, 4.176067 61.821003, 4.163227 61.807232, 4.155684 61.796848, 4.148342 61.7826, 4.143511 61.75869, 4.140762 61.754025, 4.129513 61.739594, 4.123516 61.734005, 4.081138 61.70438, 4.016584 61.655685, 4.012731 61.651012, 4.006051 61.640064, 3.992606 61.626808, 3.986112 61.615391, 3.976322 61.591923, 3.972054 61.586182, 3.96453 61.578667, 3.631332 61.349152, 3.576933 61.309643, 3.495811 61.255337, 3.461498 61.23114, 3.44801 61.219082, 3.423421 61.202751, 3.411077 61.193607, 3.401223 61.183762, 3.398816 61.180176, 3.395542 61.172626, 3.391771 61.141399, 3.391496 61.131168, 3.393019 61.110283, 3.390413 61.091557, 3.39092 61.071014, 3.388007 61.052494, 3.388077 61.041595, 3.387026 61.031292, 3.387267 61.010094, 3.384492 60.970261, 3.386192 60.953495, 3.383558 60.927933, 3.3848 60.88868, 3.382955 60.876141, 3.38207 60.854507, 3.384426 60.839203, 3.384149 60.828377, 3.381945 60.813171, 3.383707 60.771492, 3.383973 60.74612, 3.380296 60.729855, 3.380505 60.708809, 3.379668 60.700016, 3.377618 60.690693, 3.378201 60.674835, 3.37706 60.661831, 3.373113 60.646389, 3.373265 60.62315, 3.372111 60.605511, 3.37096 60.600693, 3.361432 60.576515, 3.358227 60.563919, 3.354896 60.557858, 3.34697 60.548164, 3.325734 60.532074, 3.302372 60.516151, 3.284048 60.505451, 3.262671 60.489326, 3.231531 60.470638, 3.172184 60.4286, 3.125057 60.396969, 3.118301 60.390224, 3.081065 60.342583, 3.079314 60.337627, 3.033958 60.073318, 2.665947 59.240547, 2.290919 58.76001, 2.035964 58.438957, 2.031806 58.43504, 2.025512 58.431023, 1.91053 58.368561), (1.910531 58.368564, 1.880039 58.356698, 1.851763 58.341654, 1.842563 58.329508, 1.827011 58.317608, 1.818795 58.306158, 1.800899 58.292672, 1.788545 58.275608, 1.766583 58.2594, 1.751272 58.238125, 1.737486 58.227487, 1.620437 58.109525, 1.614175 58.102286, 1.611771 58.09576, 1.611838 58.085137, 1.601653 58.048054, 1.502957 57.84236, 1.40563 57.636968, 1.31955 57.516026, 1.295901 57.44405, 1.191199 57.22404, 1.188777 57.209483, 1.170066 57.046324, 1.170343 56.808108, 1.16962 56.803451, 1.167665 56.799346, 1.160548 56.789497, 1.113552 56.747872, 1.109251 56.742891, 0.93882 56.443513, 0.937693 56.437814, 0.938976 56.431699, 0.94197 56.42681, 0.957752 56.408876, 0.960008 56.402989, 0.959739 56.396715, 0.82673 55.973476, 0.704446 55.576059, 0.652101 55.059197, 0.5916 54.447381, 0.539981 54.329817, 0.397998 54.163389, 0.298413 53.960439, 0.275542 53.907521, 0.268078 53.894919, 0.19058 53.730352, 0.180991 53.716494, 0.172741 53.699183, 0.169262 53.694515, 0.164237 53.690242, 0.129835 53.671504, 0.123976 53.667121, 0.116031 53.659231))</t>
  </si>
  <si>
    <t>P0705</t>
  </si>
  <si>
    <t>Lithuania, Latvia</t>
  </si>
  <si>
    <t>https://www.gem.wiki/Lithuania-Latvia_Interconnection_Gas_Pipeline</t>
  </si>
  <si>
    <t>Lithuania-Latvia Interconnection Gas Pipeline</t>
  </si>
  <si>
    <t>Energijos Skirstymo Operatorius [unknown %]; Latvijas Gaze [unknown %]</t>
  </si>
  <si>
    <t>Gazprom [unknown %]; Ignitis Group [unknown %]; Marguerite [unknown %]; Other [unknown %]; Rosneft [unknown %]; Uniper [unknown %]</t>
  </si>
  <si>
    <t>Vilnius</t>
  </si>
  <si>
    <t>Kurzeme Planning Region</t>
  </si>
  <si>
    <t>LINESTRING (24.286245 56.275969, 24.278471 56.375113, 24.169631 56.486879, 24.2 56.59, 24.216277 56.683815, 24.309568 56.703737, 24.335482 56.868398, 24.25774 56.916524, 24.1788 56.9904)</t>
  </si>
  <si>
    <t>P0706</t>
  </si>
  <si>
    <t>https://www.gem.wiki/MEGAL_Gas_Pipeline</t>
  </si>
  <si>
    <t>MEGAL Gas Pipeline</t>
  </si>
  <si>
    <t>Mittel-Europäische-Gasleitung</t>
  </si>
  <si>
    <t>Mittel-Europäische-Gasleitungsgesellschaft mbH &amp; Co. KG [unknown %]</t>
  </si>
  <si>
    <t>Engie [unknown %]; Open Grid Europe [unknown %]; Other [unknown %]; Société d'Infrastructures Gazières [unknown %]</t>
  </si>
  <si>
    <t>35, 47</t>
  </si>
  <si>
    <t>Bayern</t>
  </si>
  <si>
    <t>Medelsheim</t>
  </si>
  <si>
    <t>MULTILINESTRING ((12.319 49.6335, 12.2321 49.51, 12.2179 49.4331, 12.1097 49.3204), (12.1097 49.3204, 12.1723 49.2655, 12.3125 49.2245, 12.3395 49.2062, 12.4327 49.1052, 12.5251 49.0921, 12.6 49.0207, 12.7594 48.944), (13.7519 48.5544, 13.7218 48.5738), (7.22 49.11, 7.2953 49.1522, 7.3229 49.2074, 7.3903 49.2529, 7.5243 49.326, 7.567 49.3764), (12.319 49.633, 12.496 49.644), (11.6307 49.5845, 12.319 49.633), (10.9203 49.5286, 10.9561 49.5088, 11.0263 49.5082, 11.2851 49.5581, 11.6307 49.5845), (9.9484 49.842, 10.0204 49.8197, 10.0937 49.8164, 10.1353 49.7781, 10.2168 49.7648, 10.2867 49.7182, 10.5164 49.6499, 10.6645 49.5701, 10.8292 49.5701, 10.9203 49.5286), (8.5509 49.7437, 8.9349 49.7209, 9.1107 49.781, 9.3679 49.7751, 9.4529 49.8094, 9.6523 49.7987, 9.9483 49.8419), (7.567 49.3764, 7.7352 49.4487, 7.8061 49.452, 7.8292 49.4701, 7.8622 49.5328, 8.0073 49.5938, 8.2018 49.6878, 8.2909 49.7257, 8.3436 49.7471, 8.436 49.7488, 8.5509 49.7437), (8.5511 49.7437, 8.9349 49.7209, 9.1107 49.7811, 9.3683 49.7751, 9.4528 49.8095, 9.6507 49.7993, 9.9484 49.8419), (7.567 49.3764, 7.7355 49.449, 7.8059 49.4513, 7.8314 49.4674, 7.8614 49.5333, 8.3419 49.747, 8.4377 49.7493, 8.551 49.7437), (13.7215408943629 48.573429565895715, 12.759629 48.94386))</t>
  </si>
  <si>
    <t>P0707</t>
  </si>
  <si>
    <t>https://www.gem.wiki/MIDAL_Gas_Pipeline</t>
  </si>
  <si>
    <t>MIDAL Gas Pipeline</t>
  </si>
  <si>
    <t>Mitte-Deutschland-Anbindungsleitung</t>
  </si>
  <si>
    <t>16, 39</t>
  </si>
  <si>
    <t>Bunde</t>
  </si>
  <si>
    <t>Leer</t>
  </si>
  <si>
    <t>Niedersachsen</t>
  </si>
  <si>
    <t>Ludwigshafen am Rhein</t>
  </si>
  <si>
    <t>Rheinland-Pfalz</t>
  </si>
  <si>
    <t>LINESTRING (7.316889 53.317877, 7.409484 53.338944, 7.521185 53.343332, 7.6711 53.270879, 7.809256 53.158224, 7.900381 53.057641, 7.96505 53.043505, 7.988566 52.983377, 8.109086 52.814926, 8.211968 52.652954, 8.464766 52.565488, 8.55883 52.267877, 8.591165 52.087623, 8.829264 51.903011, 8.846901 51.78315, 9.029151 51.522355, 9.187884 51.166148, 9.593536 50.940722, 9.611173 50.77372, 9.584717 50.540781, 9.44656 50.390156, 9.3532 50.2609, 9.014453 50.127055, 8.717563 50.102551, 8.635257 49.860606, 8.5511 49.7437, 8.37952 49.708772, 8.270759 49.640291)</t>
  </si>
  <si>
    <t>P0708</t>
  </si>
  <si>
    <t>Türkiye, Bulgaria, Romania, Austria, Hungary</t>
  </si>
  <si>
    <t>https://www.gem.wiki/Nabucco_Gas_Pipeline</t>
  </si>
  <si>
    <t>Nabucco Gas Pipeline</t>
  </si>
  <si>
    <t>Turkey-Austria gas pipeline, TURKEY – BULGARIA – ROMANIA – HUNGARY – AUSTRIA NATURAL GAS PIPELINE PROJECT</t>
  </si>
  <si>
    <t>Nabucco Gas Pipeline International GmbH [500.00%]</t>
  </si>
  <si>
    <t>BOTAŞ [unknown %]; Bulgarian Energy Holding [unknown %]; MOL Group [unknown %]; OMV Group [unknown %]; Transgaz [unknown %]</t>
  </si>
  <si>
    <t>Ahiboz, Gölbaşı</t>
  </si>
  <si>
    <t>Baumgarten an der March</t>
  </si>
  <si>
    <t>LINESTRING (43.472925 41.031333, 42.988887 40.539614, 42.681322 40.331263, 42.314228 40.17252, 42.086034 39.894719, 41.153417 39.944326, 40.518443 39.745897, 39.823941 39.845112, 37.779561 39.792974, 37.144588 39.465566, 36.698122 39.465566, 36.013541 39.544938, 34.197914 39.634231, 33.76137 39.56478, 32.87836 39.465566, 32.183857 39.663995, 30.576581 39.802896, 29.763021 39.941796, 29.197497 40.249361, 27.31242 40.209675, 26.823403 40.551815, 27.060283 40.981505, 27.060283 41.774779, 26.658137 42.44135, 26.669155 42.854513, 26.13577 43.271454, 25.36499 43.278156, 24.406542 43.284859, 24.212172 43.519444, 23.749704 43.546253, 23.702787 44.055638, 23.488309 44.310331, 22.93871 44.410867, 22.44273 44.799608, 22.302546 45.338417, 22.017582 45.569614, 21.436901 45.720161, 21.012144 45.951358, 20.797077 46.155672, 20.4691 46.187932, 20.329306 46.451389, 19.743248 46.817003, 19.442155 46.876147, 18.796953 47.026694, 18.555003 47.069707, 18.033465 47.419191, 17.737748 47.413814, 17.517305 47.472958, 16.872103 48.295589)</t>
  </si>
  <si>
    <t>P0709</t>
  </si>
  <si>
    <t>https://www.gem.wiki/NEL_Gas_Pipeline</t>
  </si>
  <si>
    <t>NEL Gas Pipeline</t>
  </si>
  <si>
    <t>Northern European, Norddeutsche Erdgasleitung</t>
  </si>
  <si>
    <t>NEL Gastransport GmbH [unknown %]</t>
  </si>
  <si>
    <t>1000, 1400</t>
  </si>
  <si>
    <t>Rehden</t>
  </si>
  <si>
    <t>Diepholz</t>
  </si>
  <si>
    <t>LINESTRING (8.166755 52.727849, 8.447772 52.719189, 8.716736 52.880029, 9.026854 53.072959, 9.373716 53.349336, 9.535388 53.443984, 9.961617 53.452738, 10.146805 53.50347, 10.625945 53.513959, 11.257938 53.55938, 11.813505 53.676202, 12.113334 53.747532, 12.830573 53.965982, 13.114235 54.062705, 13.6398 54.1468)</t>
  </si>
  <si>
    <t>P0710</t>
  </si>
  <si>
    <t>https://www.gem.wiki/NETRA_Gas_Pipeline</t>
  </si>
  <si>
    <t>NETRA Gas Pipeline</t>
  </si>
  <si>
    <t>Norddeutsche Erdgas Transversale</t>
  </si>
  <si>
    <t>NETRA GmbH Norddeutsche Erdgas Transversale &amp; Co KG [unknown %]</t>
  </si>
  <si>
    <t>Gasunie [unknown %]; Open Grid Europe [unknown %]</t>
  </si>
  <si>
    <t>Aurich</t>
  </si>
  <si>
    <t>Steinitz</t>
  </si>
  <si>
    <t>Salzwedel</t>
  </si>
  <si>
    <t>Sachsen-Anhalt</t>
  </si>
  <si>
    <t>LINESTRING (7.473234 53.736367, 7.943555 53.553405, 7.978829 53.462501, 8.240445 53.153377, 8.460908 53.112814, 8.610822 53.063382, 8.890075 53.045714, 9.028232 53.051016, 9.430944 53.04218, 9.654347 53.020967, 9.877749 53.013894, 10.098212 52.939554, 10.415678 52.944868, 10.618504 53.047482, 10.753721 53.066915, 10.988882 53.051016, 11.044732 52.992667, 11.053551 52.964348)</t>
  </si>
  <si>
    <t>P0711</t>
  </si>
  <si>
    <t>Denmark, Netherlands</t>
  </si>
  <si>
    <t>https://www.gem.wiki/NOGAT_Gas_Pipeline_System</t>
  </si>
  <si>
    <t>Noordgastransport Gas Pipeline (NOGAT)</t>
  </si>
  <si>
    <t>Northern Offshore Gas Transport</t>
  </si>
  <si>
    <t>Noordgastransport B.V [unknown %]</t>
  </si>
  <si>
    <t>ABRDN Plc [unknown %]; Carlyle Group [unknown %]; China Investment Co., Ltd. [unknown %]; ExxonMobil [unknown %]; PD Alternative Investments NL ApS [unknown %]; Rosewood Exploration Ltd [unknown %]</t>
  </si>
  <si>
    <t>Dutch continental shelf</t>
  </si>
  <si>
    <t>Den Helder</t>
  </si>
  <si>
    <t>MULTILINESTRING ((4.7394155 52.9388122, 5.0964285 53.5110192, 4.3108635 54.0304582, 5.2281785 54.5371152, 5.1896835 55.4072802, 5.1896835 55.4072802, 4.2777755 56.2220653), (5.1896835 55.4072802, 6.0290595 56.1486973))</t>
  </si>
  <si>
    <t>P0712</t>
  </si>
  <si>
    <t>https://www.gem.wiki/Norpipe_Gas_Pipeline</t>
  </si>
  <si>
    <t>Norpipe Gas Pipeline</t>
  </si>
  <si>
    <t>Ekofisk field</t>
  </si>
  <si>
    <t>MULTILINESTRING ((3.330503 56.490369, 3.33215 56.487386, 3.343967 56.474372, 3.348156 56.470767, 3.359386 56.456897, 3.372872 56.442214, 3.392142 56.423422, 3.502342 56.30385, 3.540017 56.265331, 3.613258 56.201378, 3.6186 56.197939, 3.633481 56.184583, 3.648497 56.169394, 3.661681 56.158633, 3.688936 56.134269, 3.693861 56.130872, 3.733772 56.093536, 3.747619 56.082356, 3.768803 56.06165, 3.791222 56.038103, 3.797625 56.033436, 3.883314 55.945383, 3.902997 55.927631, 3.936886 55.892872, 3.945294 55.885503, 4.002161 55.829103, 4.010594 55.821936, 4.021531 55.810461, 4.060789 55.773125, 4.074758 55.758269, 4.084861 55.749106, 4.163511 55.701839, 4.1834 55.688708, 4.190997 55.684808, 4.243119 55.653256, 4.551647 55.462314), (6.035875 54.509336, 6.044767 54.502731, 6.070747 54.486206, 6.086314 54.474947, 6.104158 54.464536, 6.119303 54.453411, 6.136106 54.442906, 6.143625 54.437169, 6.240625 54.373417, 6.265292 54.358231, 6.370006 54.288986, 6.412833 54.240958, 6.457028 54.189314, 6.472683 54.174881, 6.496611 54.157819, 6.533842 54.127281, 6.543158 54.118742, 6.562367 54.104631, 6.568572 54.098511, 6.594756 54.078397, 6.6255 54.053056, 6.631081 54.049228, 6.640161 54.040697, 6.651811 54.032431, 6.695286 53.997286, 6.700594 53.990025, 6.740047 53.921658, 6.770869 53.866747, 6.774461 53.858478, 6.782547 53.847789, 6.812425 53.794183, 6.816503 53.788928, 6.819817 53.781942, 6.831703 53.762403, 6.856456 53.716189, 6.881281 53.67545, 6.9012 53.655403, 6.9612 53.6454, 6.9912 53.6254, 7.02448 53.53354, 7.02448 53.354, 7.18929 53.3462), (4.551647 55.462314, 4.651783 55.399369, 4.809308 55.301947, 4.820656 55.294114, 4.937883 55.220725, 5.035475 55.158333, 5.046444 55.152433, 5.1165 55.106978, 5.125781 55.100167, 5.180119 55.066092, 5.192983 55.059292, 5.291903 54.9941, 5.347308 54.95875, 5.364997 54.948458, 5.386986 54.932675, 5.415378 54.916472, 5.437108 54.900622, 5.464842 54.884036, 5.485336 54.869442, 5.530514 54.840497, 5.539511 54.833711, 5.5816 54.808769, 5.605936 54.787894, 5.633133 54.767172, 5.675347 54.729525, 5.695719 54.714194, 5.720122 54.694142, 5.729167 54.685533, 5.742419 54.674983, 5.75135 54.666422, 5.78485 54.63765, 5.833019 54.612917, 5.869308 54.593289, 5.889025 54.584197, 5.982011 54.536817, 6.000069 54.526911, 6.035875 54.509336), (3.221281 56.5472, 3.238122 56.550758, 3.246011 56.550561, 3.263394 56.547606, 3.276453 56.542953, 3.286319 56.536147, 3.307022 56.512694, 3.330503 56.490369))</t>
  </si>
  <si>
    <t>P0713</t>
  </si>
  <si>
    <t>https://www.gem.wiki/OPAL_Gas_Pipeline</t>
  </si>
  <si>
    <t>OPAL Gas Pipeline</t>
  </si>
  <si>
    <t>Ostsee-Pipeline-Anbindungsleitung</t>
  </si>
  <si>
    <t>OPAL Gastransport GmbH [unknown %]</t>
  </si>
  <si>
    <t>Olbernhau</t>
  </si>
  <si>
    <t>LINESTRING (13.656379 54.151499, 13.9693 52.457139, 13.627922 52.18491, 13.5394 52.078036, 13.716349 51.47862, 13.440586 50.705442, 13.359771 50.645414)</t>
  </si>
  <si>
    <t>P0714</t>
  </si>
  <si>
    <t>https://www.gem.wiki/Polarled_Gas_Pipeline</t>
  </si>
  <si>
    <t>Polarled Gas Pipeline</t>
  </si>
  <si>
    <t>Norwegian Sea Gas Infrastructure (NSGI) Project</t>
  </si>
  <si>
    <t>Equinor [37.08%]; CapeOmega [28.27%]; Hav Energy AS [13.26%]; Petoro A.S [11.95%]; M Vest Energy [5.00%]; ConocoPhillips [4.45%]</t>
  </si>
  <si>
    <t>Equinor [37.08%]; Partners Group [28.27%]; Hav Energy AS [13.26%]; Petoro [11.95%]; M Vest Energy [5.00%]; ConocoPhillips [4.45%]</t>
  </si>
  <si>
    <t>Aasta Hansteen field</t>
  </si>
  <si>
    <t>Nyhamna Gas Plant, Aukra</t>
  </si>
  <si>
    <t>LINESTRING (7.107227 67.05561, 7.136678 66.982397, 7.140582 66.969936, 7.187585 66.722044, 7.21692 66.562809, 7.217725 66.519158, 7.224305 66.492456, 7.223919 66.487198, 7.218228 66.462886, 7.224096 66.424246, 7.223775 66.406946, 7.216191 66.382204, 7.215455 66.377282, 7.216298 66.371564, 7.224368 66.345077, 7.222615 66.267872, 7.220857 66.261016, 7.207957 66.23785, 7.206157 66.232087, 7.20378 66.138954, 7.204077 66.134939, 7.205524 66.130288, 7.216146 66.109438, 7.215986 66.073256, 7.215071 66.068276, 7.202276 66.02936, 7.199166 66.000633, 7.203065 65.976497, 7.20489 65.953529, 7.20487 65.913684, 7.208037 65.795655, 7.206783 65.789734, 7.191901 65.750405, 7.191029 65.744644, 7.192428 65.721309, 7.20228 65.701884, 7.204018 65.696029, 7.202227 65.665265, 7.202639 65.660174, 7.210732 65.639535, 7.225207 65.587579, 7.23387 65.539424, 7.229161 65.462744, 7.232905 65.43929, 7.232116 65.434103, 7.229824 65.428874, 7.193059 65.374428, 7.19002 65.368491, 7.188143 65.361847, 7.180705 65.305795, 7.181798 65.299995, 7.19146 65.274141, 7.192192 65.268127, 7.190902 65.261654, 7.182237 65.242137, 7.18084 65.236853, 7.183384 65.192283, 7.181441 65.163857, 7.188404 65.086589, 7.197733 65.062905, 7.207499 64.959375, 7.209499 64.922502, 7.221945 64.829005, 7.220895 64.781665, 7.222643 64.77564, 7.231538 64.757893, 7.233007 64.752001, 7.233872 64.696395, 7.23338 64.683549, 7.234725 64.639817, 7.241376 64.608529, 7.247265 64.548649, 7.247985 64.530503, 7.250165 64.523643, 7.251744 64.51334, 7.256058 64.502347, 7.25819 64.489326, 7.258113 64.462015, 7.256397 64.444262, 7.259872 64.426464, 7.263182 64.391071, 7.262914 64.37659, 7.264394 64.36641, 7.263397 64.360935, 7.258774 64.351119, 7.258331 64.346076, 7.261654 64.31829, 7.273678 64.275702, 7.274443 64.26922, 7.251343 64.161158, 7.224312 64.067083, 7.187353 63.921604, 7.180118 63.90208, 7.168201 63.853587, 7.167207 63.842181, 7.161642 63.829618, 7.140936 63.757778, 7.136702 63.73063, 7.125293 63.700931, 7.124877 63.696972, 7.126434 63.672054, 7.126062 63.667003, 7.114424 63.630695, 7.099171 63.569118, 7.099138 63.548538, 7.098482 63.544018, 7.094566 63.528657, 7.077843 63.482208, 7.063406 63.426634, 7.062279 63.402446, 7.056675 63.387821, 7.054418 63.369654, 7.044704 63.328572, 7.030764 63.28275, 7.018821 63.227916, 7.001904 63.16175, 6.997147 63.15282, 6.991247 63.14499, 6.983914 63.137586, 6.974086 63.129875, 6.963776 63.123264, 6.803995 63.032668, 6.761776 63.000159, 6.755863 62.992809, 6.752939 62.985552, 6.752688 62.977682, 6.756831 62.962517, 6.754623 62.946852, 6.755712 62.93775, 6.760309 62.928602, 6.770875 62.914354, 6.774838 62.910823, 6.783104 62.906911, 6.794393 62.904393, 6.837184 62.90112, 6.867298 62.900113, 6.884614 62.896992, 6.900421 62.890701, 6.922868 62.878509, 6.951323 62.870363, 6.956219 62.868106, 6.95936 62.864698, 6.959237 62.861115, 6.956576 62.858172, 6.949111 62.853654)</t>
  </si>
  <si>
    <t>P0715</t>
  </si>
  <si>
    <t>https://www.gem.wiki/Rehden-Hamburg_Gas_Pipeline</t>
  </si>
  <si>
    <t>Rehden-Hamburg Gas Pipeline</t>
  </si>
  <si>
    <t>Rehden-Hamburg-Gasleitung, RHG</t>
  </si>
  <si>
    <t>Heidenau</t>
  </si>
  <si>
    <t>Harburg</t>
  </si>
  <si>
    <t>LINESTRING (9.672560522862574 53.35172602182485, 8.249940250140936 52.87204580527541, 8.171751013331367 52.71028928427778, 8.064755215591953 52.71527537852552, 8.04006387765209 52.59795145424252)</t>
  </si>
  <si>
    <t>P0716</t>
  </si>
  <si>
    <t>https://www.gem.wiki/United Kingdom%E2%80%93Northern_Ireland_Gas_Pipeline_(SNIP)</t>
  </si>
  <si>
    <t>United Kingdom–Northern Ireland Gas Pipeline (SNIP)</t>
  </si>
  <si>
    <t>Premier Transmission [100.00%]</t>
  </si>
  <si>
    <t>Mutual Energy [100.00%]</t>
  </si>
  <si>
    <t>Twynholm</t>
  </si>
  <si>
    <t>Islandmagee</t>
  </si>
  <si>
    <t>Northern Ireland</t>
  </si>
  <si>
    <t>MULTILINESTRING ((-4.1291 54.7874, -4.125 54.8859, -4.8292 54.8691, -5.0567 54.9026, -5.1932 54.9925, -5.219 55.002, -5.246 55.0037, -5.3473 54.9834, -5.4789 54.9463, -5.5886 54.9109, -5.6696 54.8974, -5.7252 54.8771, -5.7784 54.8426), (-5.7873 54.8431, -5.7987 54.82, -5.8555 54.7072, -5.8639 54.7036, -5.8888 54.6918, -5.9027 54.6809, -5.9055 54.6707, -5.9074 54.6582, -5.9189 54.6465, -5.9207 54.6303, -5.9214 54.6167, -5.921 54.6058, -5.911 54.589))</t>
  </si>
  <si>
    <t>P0717</t>
  </si>
  <si>
    <t>Norway, Denmark, Sweden</t>
  </si>
  <si>
    <t>https://www.gem.wiki/Skanled_Gas_Pipeline</t>
  </si>
  <si>
    <t>Skanled Gas Pipeline</t>
  </si>
  <si>
    <t>E.ON [unknown %]; EnBW [unknown %]; Government of Denmark [unknown %]; Ministry of Trade and Industry [unknown %]; PGNiG [unknown %]; Petoro A.S [unknown %]</t>
  </si>
  <si>
    <t>E.ON [unknown %]; EnBW [unknown %]; Government of Denmark [unknown %]; Ministry of Trade and Industry [unknown %]; PGNiG [unknown %]; Petoro [unknown %]</t>
  </si>
  <si>
    <t>Bua</t>
  </si>
  <si>
    <t>Halland</t>
  </si>
  <si>
    <t>LINESTRING (5.5069285 59.2793063, 11.4181145 58.2758733, 12.1046795 57.2370613, 9.1834975 55.6295482)</t>
  </si>
  <si>
    <t>P0718</t>
  </si>
  <si>
    <t>https://www.gem.wiki/South_German_Gas_Pipeline</t>
  </si>
  <si>
    <t>South German Gas Pipeline</t>
  </si>
  <si>
    <t>Terranets BW [100.00%]</t>
  </si>
  <si>
    <t>Energie Baden-Württemberg AG [100.00%]</t>
  </si>
  <si>
    <t>Bissingen</t>
  </si>
  <si>
    <t>Lampertheim</t>
  </si>
  <si>
    <t>Hessen</t>
  </si>
  <si>
    <t>LINESTRING (8.463994478348951 49.59455341859869, 8.734887924365882 49.39845163039972, 8.867670410990854 49.358179900640145, 9.068604811371966 49.3386200892127, 9.103248673506638 49.22411476703201, 9.181774761011898 49.13503911291432, 9.118138318266988 48.98039738855188, 9.339440158687612 48.83108563039286, 9.312250385839993 48.73382803321872, 9.429425896019263 48.688179192212345, 9.817851222413813 48.693307362592996, 9.87223076810905 48.71381482143762, 10.03536940519476 48.67407403056083, 10.253510114078953 48.730537822284354, 10.507565103066565 48.697011657002356, 10.609187098661605 48.71072960675989)</t>
  </si>
  <si>
    <t>P0719</t>
  </si>
  <si>
    <t>https://www.gem.wiki/South_Wales_Gas_Pipeline</t>
  </si>
  <si>
    <t>South Wales Gas Pipeline</t>
  </si>
  <si>
    <t>Milford Haven Gas pipeline</t>
  </si>
  <si>
    <t>Allianz SE [unknown %]; BT Pension Scheme [unknown %]; China Investment Corporation [unknown %]; Macquarie [unknown %]; National Grid [unknown %]; Qatar Investment Authority [unknown %]</t>
  </si>
  <si>
    <t>Allianz [unknown %]; BT Pension Scheme [unknown %]; China Investment Corporation [unknown %]; Macquarie Group Limited [unknown %]; National Grid [unknown %]; Qatar Investment Authority [unknown %]</t>
  </si>
  <si>
    <t>Tirley</t>
  </si>
  <si>
    <t>Gloucestershire</t>
  </si>
  <si>
    <t>LINESTRING (-5.0601385 51.7145091, -2.2515105 51.9527502)</t>
  </si>
  <si>
    <t>P0720</t>
  </si>
  <si>
    <t>https://www.gem.wiki/Statpipe_Gas_Pipeline</t>
  </si>
  <si>
    <t>Statpipe Gas Pipeline</t>
  </si>
  <si>
    <t>Petoro A.S [45.79%]; Solveig Gas Norway [23.48%]; Allianz SE [unknown %]; CapeOmega [unknown %]; ConocoPhillips [unknown %]; Engie [unknown %]; Equinor [unknown %]; Infragas Norge AS [unknown %]; Orsted AS [unknown %]; Rheinisch-Westfälisches Elektrizitätswerk [unknown %]; Tallyman AS [unknown %]</t>
  </si>
  <si>
    <t>Petoro [45.79%]; Solveig Gas Norway [23.48%]; Allianz [unknown %]; ConocoPhillips [unknown %]; Engie [unknown %]; Equinor [unknown %]; Orsted AS [unknown %]; Partners Group [unknown %]; Public Sector Pensions Investment Board [unknown %]; Rheinisch-Westfälisches Elektrizitätswerk [unknown %]; Tallyman AS [unknown %]</t>
  </si>
  <si>
    <t>28, 30, 36</t>
  </si>
  <si>
    <t>Statfjord and Heimdal fields</t>
  </si>
  <si>
    <t>Statpipe (rikgass)</t>
  </si>
  <si>
    <t>MULTILINESTRING ((2.896863 60.560875, 2.898471 60.561434, 2.898303 60.565728, 2.8859 60.770344, 2.886519 60.773211, 2.888944 60.776669, 2.8965 60.782628, 2.897858 60.782705), (1.845936 61.18583, 1.856183 61.174019, 1.861911 61.169219, 1.86955 61.164275, 1.880192 61.159308, 1.945958 61.133844, 1.965717 61.123869, 2.092714 61.054583, 2.40225 60.882856, 2.553228 60.798233, 2.780772 60.669156, 2.790772 60.661772, 2.926136 60.533583, 3.151214 60.401692, 3.160239 60.397631, 3.170475 60.394278, 3.191911 60.389681, 3.356297 60.377239, 3.372719 60.373978, 3.386831 60.367797, 3.410358 60.3524, 3.440714 60.333925, 3.446467 60.329208, 3.461378 60.314417, 3.492144 60.287997, 3.511842 60.269633, 3.546042 60.247106, 3.564158 60.233911, 3.579617 60.22095, 3.587003 60.216825, 3.611611 60.205742, 3.661564 60.172747, 3.682244 60.160869, 3.712106 60.139108, 3.755878 60.111581, 3.791806 60.085122, 3.828119 60.068325, 3.836178 60.063811, 3.884025 60.028794, 3.911589 60.0131, 4.102078 59.887128, 4.125161 59.869061, 4.184858 59.828783, 4.210731 59.809689, 4.238436 59.793375, 4.290758 59.758397, 4.321242 59.739811, 4.349428 59.719497, 4.413844 59.676656, 4.468919 59.648642, 4.475906 59.644439, 4.483386 59.638347, 4.531808 59.590119, 4.539819 59.583003, 4.552244 59.575625, 4.604681 59.553142, 4.616617 59.545433, 4.638994 59.524722, 4.674481 59.497536, 4.680044 59.490703, 4.695711 59.463842, 4.703647 59.455989, 4.713303 59.449619, 4.940331 59.343544, 4.951583 59.339028, 4.962697 59.335897, 4.973769 59.333708, 4.996858 59.331039, 5.032597 59.327433, 5.045692 59.326922, 5.066981 59.328267, 5.117294 59.336478, 5.128961 59.337589, 5.147206 59.337381, 5.174244 59.333744, 5.195147 59.333397), (2.228806 59.574161, 2.230601 59.574061, 2.2329 59.572314, 2.241528 59.563933, 2.245889 59.556342, 2.247322 59.550972, 2.246492 59.541458, 2.232144 59.502303, 2.2314 59.493822, 2.239392 59.4088, 2.247303 59.334725, 2.260275 59.164308, 2.333206 58.842139, 2.431083 58.3975, 2.472839 58.203178, 2.473492 58.195581, 2.473414 58.18937, 2.472667 58.188777), (5.195147 59.333397, 5.173636 59.3336, 5.145789 59.337269, 5.126194 59.336881, 5.113922 59.335114, 5.102508 59.332225, 5.093961 59.328986, 5.085853 59.324678, 5.012747 59.264092, 4.984942 59.244947, 4.945553 59.212108, 4.938647 59.204036, 4.910906 59.156778, 4.905928 59.151481, 4.899589 59.146436, 4.885558 59.138994, 4.591964 59.031372, 4.224183 58.894964, 4.121478 58.862244, 4.108703 58.856589, 4.077625 58.838583, 4.066208 58.833683, 3.938583 58.791556, 3.883189 58.768642, 3.872661 58.76495, 3.858931 58.761261, 3.814403 58.752444, 3.7865 58.743672, 3.76145 58.731142, 3.735044 58.721308, 3.725561 58.716394, 3.719217 58.7114, 3.698831 58.690786, 3.692553 58.685367, 3.621928 58.636117, 3.607731 58.628408, 3.377222 58.547528, 3.037992 58.412625, 2.751103 58.312183, 2.5911 58.255172, 2.575658 58.247981, 2.479506 58.191861, 2.472667 58.188778), (2.472667 58.188777, 2.473661 58.188417, 2.474147 58.161355, 2.479069 57.745225, 2.480436 57.737091, 2.552469 57.582513, 2.623061 57.42855, 2.702872 57.253655, 2.814061 57.00638, 2.818775 56.999127, 2.823519 56.994238, 2.999711 56.842716, 3.071144 56.768583, 3.077808 56.758141, 3.164086 56.594458, 3.1704 56.586255, 3.172647 56.584183, 3.229691 56.583836, 3.239629 56.581898, 3.247726 56.578396, 3.254246 56.572876, 3.330503 56.490369), (3.046797 60.542558, 3.046381 60.543179, 3.009877 60.543819, 2.898055 60.560633), (1.830636 61.206911, 1.828028 61.206478, 1.845936 61.18583))</t>
  </si>
  <si>
    <t>P0721</t>
  </si>
  <si>
    <t>https://www.gem.wiki/STEGAL_Gas_Pipeline</t>
  </si>
  <si>
    <t>STEGAL Gas Pipeline</t>
  </si>
  <si>
    <t>Sachsen-Thüringen-Erdgas-Anbindungsleitung</t>
  </si>
  <si>
    <t>Reckrod compressor station, Eiterfeld</t>
  </si>
  <si>
    <t>Fulda</t>
  </si>
  <si>
    <t>MULTILINESTRING ((13.3598 50.6454, 13.39 50.635), (12.233 50.8142, 12.3813 50.7892, 12.4108 50.7696, 12.8331 50.7401, 12.945 50.6832, 13.2239 50.6537, 13.3599 50.6454), (11.5529 50.8568, 11.8055 50.841, 11.9083 50.8178, 12.0034 50.8255, 12.0694 50.8372, 12.1393 50.8469, 12.2329 50.8142), (11.0068 50.9026, 11.125 50.9138, 11.2294 50.9006, 11.3705 50.855, 11.5529 50.8568), (10.49 51.006, 10.5282 51.0073, 10.5598 51.0001, 10.7351 50.9081, 10.9133 50.865, 11.0068 50.9026), (9.789 50.7853, 10.0945 50.8811, 10.3394 51.0118, 10.49 51.006))</t>
  </si>
  <si>
    <t>P0722</t>
  </si>
  <si>
    <t>https://www.gem.wiki/Trans_Austria_Gas_Pipeline</t>
  </si>
  <si>
    <t>Trans-Austria Gas Pipeline</t>
  </si>
  <si>
    <t>Trans Austria Gasleitung, TAG</t>
  </si>
  <si>
    <t>Trans Austria Gasleitung GmbH [300.00%]</t>
  </si>
  <si>
    <t>Verbund [7.80%]; Allianz [4.40%]; Snam [3.10%]</t>
  </si>
  <si>
    <t>Arnoldstein</t>
  </si>
  <si>
    <t>Carinthia</t>
  </si>
  <si>
    <t>MULTILINESTRING ((16.875 48.3163, 16.752 48.2161, 16.683 48.1491, 16.666 48.1311, 16.649 48.0894, 16.635 48.0682, 16.55 48.0363, 16.523 48.0101, 16.476 47.9644, 16.447 47.9407, 16.425 47.9251, 16.395 47.921, 16.384 47.9202, 16.324 47.8748), (16.324 47.8748, 16.248 47.7644, 16.234 47.742, 16.233 47.6552, 16.183 47.6157, 16.185 47.5904, 16.173 47.5836, 16.173 47.5543, 16.14 47.5382, 16.119 47.4904, 16.076 47.4548, 16.079 47.4209, 16.053 47.3957, 15.991 47.3404), (15.991 47.3404, 15.993 47.2744, 15.971 47.2522, 15.938 47.2125, 15.918 47.1945, 15.887 47.1715, 15.863 47.1622, 15.85 47.1516, 15.833 47.133, 15.831 47.1187, 15.792 47.0938, 15.76 47.0758, 15.669 47.0299, 15.623 47.0027, 15.583 46.9696, 15.515 46.9274, 15.473 46.8798), (15.473 46.8798, 15.362 46.799, 15.347 46.7977, 15.314 46.806, 15.297 46.8029, 15.262 46.796, 15.238 46.7829, 15.209 46.782, 15.198 46.7746, 15.167 46.775, 15.151 46.7672, 15.115 46.7689, 15.071 46.7349, 14.96 46.7314, 14.928 46.7309, 14.905 46.7217, 14.862 46.7222, 14.818 46.697, 14.757 46.6742), (14.757 46.6741, 14.667 46.6791, 14.577 46.6716, 14.513 46.6376, 14.4 46.626, 14.327 46.6138, 14.251 46.5675, 14.202 46.5621, 14.189 46.5482, 14.137 46.5488, 14.099 46.5574, 14.068 46.5649, 14.04 46.5666, 14.013 46.5585, 13.986 46.5568, 13.935 46.562, 13.79 46.5557, 13.706 46.55))</t>
  </si>
  <si>
    <t>P0723</t>
  </si>
  <si>
    <t>Germany, Switzerland</t>
  </si>
  <si>
    <t>https://www.gem.wiki/Trans_Europa_Naturgas_Pipeline</t>
  </si>
  <si>
    <t>Trans Europa Naturgas Pipeline</t>
  </si>
  <si>
    <t>TENP</t>
  </si>
  <si>
    <t>TENP GmbH &amp; Co. KG [500.00%]</t>
  </si>
  <si>
    <t>Fluxys [49.00%]; ADIA [unknown %]; BCI [unknown %]; MEAG [unknown %]; Macquarie Group Limited [unknown %]</t>
  </si>
  <si>
    <t>Bocholtz interconnection</t>
  </si>
  <si>
    <t>Aachen</t>
  </si>
  <si>
    <t>Nordrhein-Westfalen</t>
  </si>
  <si>
    <t>Wallbach interconnection</t>
  </si>
  <si>
    <t>Rheinfelden</t>
  </si>
  <si>
    <t>Aargau</t>
  </si>
  <si>
    <t>MULTILINESTRING ((7.5963 47.8351, 7.5892 47.7986, 7.5993 47.7623, 7.6356 47.7482, 7.6638 47.7502, 7.688 47.7523, 7.7565 47.7523, 7.823 47.7381, 7.8674 47.718, 7.8815 47.6837, 7.8875 47.6394, 7.8996 47.585, 7.9 47.566), (8.0559 48.7271, 7.9853 48.6771, 7.9155 48.6172, 7.8835 48.5892, 7.8676 48.5613, 7.8456 48.5253, 7.8296 48.4874, 7.8117 48.4575, 7.7877 48.4075, 7.7637 48.3596, 7.7478 48.3257, 7.7298 48.2698, 7.7478 48.2079, 7.7577 48.17, 7.7538 48.1221, 7.7218 48.0801, 7.6839 47.9823, 7.5963 47.8351), (8.2401 48.9529, 8.2343 48.9201, 8.177 48.875, 8.1265 48.8477, 8.0559 48.7271), (7.5639 49.3744, 7.6039 49.3418, 7.6221 49.2842, 7.6464 49.265, 7.7363 49.2407, 7.7545 49.2286, 7.7626 49.2084, 7.8586 49.1983, 7.9273 49.168, 8.0236 49.1429, 8.1401 49.0918, 8.1806 49.0292, 8.24 48.953), (7.5639 49.3744, 7.5125 49.4958, 7.4939 49.5449, 7.5019 49.6404, 7.5032 49.6642, 7.4196 49.712, 7.4475 49.7611, 7.3599 49.8287, 7.2843 49.9043, 7.2392 49.972, 7.1676 49.9959, 7.1583 50.0118, 7.1252 50.0303, 7.1199 50.0622, 7.0695 50.0808, 7.0602 50.1259, 6.7783 50.281, 6.7442 50.3404, 6.6551 50.3908, 6.6031 50.4517, 6.5363 50.4948, 6.4858 50.5378, 6.4651 50.5972, 6.3953 50.6195, 6.3107 50.6744, 6.177 50.786), (6.0217 50.8174, 6.177 50.786))</t>
  </si>
  <si>
    <t>P0724</t>
  </si>
  <si>
    <t>Türkiye, Greece, Albania, Italy</t>
  </si>
  <si>
    <t>https://www.gem.wiki/Trans-Adriatic_Gas_Pipeline</t>
  </si>
  <si>
    <t>Trans-Adriatic Gas Pipeline</t>
  </si>
  <si>
    <t>Trans Adriatic Pipeline AG [600.00%]</t>
  </si>
  <si>
    <t>BP [20.00%]; SOCAR [20.00%]; Snam [20.00%]; Fluxys [19.00%]; Enagás [16.00%]; Axpo [5.00%]</t>
  </si>
  <si>
    <t>47, 35</t>
  </si>
  <si>
    <t>Melendugno</t>
  </si>
  <si>
    <t>Apulia</t>
  </si>
  <si>
    <t>MULTILINESTRING ((26.3255 40.981, 26.3832 40.9632), (26.3071 40.9704, 26.3255 40.9809), (25.9946 40.9309, 26.017 40.9259, 26.0277 40.9252, 26.0377 40.9272, 26.0551 40.9232, 26.0651 40.9205, 26.0751 40.9252, 26.0932 40.9225, 26.1253 40.9205, 26.1474 40.9245, 26.1654 40.9305, 26.2089 40.9453, 26.2209 40.9499, 26.2363 40.962, 26.3069 40.9705), (24.3804 40.9713, 24.5599 40.9712, 24.6113 40.9919, 24.6413 40.9933, 24.6756 41.0133, 24.7091 41.0326, 24.737 41.0583, 24.7605 41.0704, 24.8312 41.0604, 24.9676 41.1047, 24.9862 41.1183, 25.0269 41.1168, 25.0654 41.1211, 25.1197 41.1161, 25.1576 41.114, 25.1947 41.1154, 25.2254 41.1118, 25.2547 41.1168, 25.3096 41.1254, 25.3318 41.114, 25.3675 41.1004, 25.3996 41.0947, 25.4375 41.0968, 25.4938 41.0466, 25.5576 40.9964, 25.5842 40.9759, 25.6123 40.963, 25.6465 40.9592, 25.6602 40.9485, 25.6739 40.9341, 25.6868 40.9212, 25.6928 40.9007, 25.6997 40.8855, 25.7083 40.8818, 25.7251 40.8681, 25.7544 40.86, 25.7817 40.8687, 25.7997 40.8718, 25.8302 40.8662, 25.8613 40.878, 25.8849 40.8799, 25.903 40.8923, 25.9204 40.8998, 25.9602 40.9135, 25.9925 40.9284, 25.9945 40.9309), (22.885 40.6872, 24.3804 40.9713), (21.2563 40.5257, 21.5773 40.5432, 21.7132 40.5493, 21.7407 40.5707, 21.7438 40.6135, 21.7819 40.6547, 21.8186 40.6822, 21.8751 40.699, 21.9622 40.699, 22.0064 40.7128, 22.0721 40.7158, 22.1179 40.7066, 22.1592 40.7158, 22.2233 40.7402, 22.3104 40.7311, 22.3822 40.7234, 22.5104 40.7265, 22.5565 40.705, 22.6043 40.7013, 22.641 40.7068, 22.664 40.728, 22.6778 40.7436, 22.7651 40.7215, 22.885 40.6872), (21 40.5819, 21.2563 40.5257), (19.4504 40.7918, 19.5059 40.7131, 19.5709 40.6594, 19.6839 40.6509, 19.8759 40.6848, 19.9748 40.7187, 20.0285 40.7329, 20.0765 40.7329, 20.1415 40.7159, 20.1754 40.6735, 20.2093 40.6509, 20.2403 40.6368, 20.3025 40.6142, 20.3731 40.6057, 20.4466 40.6029, 20.5059 40.6086, 20.5511 40.6255, 20.5821 40.634, 20.6386 40.6453, 20.6917 40.6422, 20.7539 40.6255, 21 40.5819), (18.38 40.265, 19.4502 40.792, 19.4504 40.7918))</t>
  </si>
  <si>
    <t>P0725</t>
  </si>
  <si>
    <t>Algeria, Croatia, Tunisia, Italy</t>
  </si>
  <si>
    <t>https://www.gem.wiki/Trans-Mediterranean_Gas_Pipeline</t>
  </si>
  <si>
    <t>Trans-Mediterranean Gas Pipeline</t>
  </si>
  <si>
    <t>Transmed</t>
  </si>
  <si>
    <t>Eni S.p.A. [unknown %]; Sonatrach [unknown %]; Sotugat [unknown %]</t>
  </si>
  <si>
    <t>Minerbio</t>
  </si>
  <si>
    <t>Emilia-Romagna</t>
  </si>
  <si>
    <t>خط أنابيب ترانسميد,   أنبوب  غاز انريكو ماتي</t>
  </si>
  <si>
    <t>LINESTRING (3.250837 32.955169, 4.469612 34.173838, 7.40084 34.640694, 8.277565 34.768167, 8.293916 34.76885, 9.179893 35.24561, 11.052761 37.018111, 12.540518 37.668646, 14.363294 37.561112, 15.588741 38.272347, 16.250925 39.589741, 15.778427 40.266739, 14.471725 41.168987, 12.443154 42.362175, 11.641763 43.557428, 11.500422 44.607999, 12.234 45.661, 13.878 46.115)</t>
  </si>
  <si>
    <t>P0726</t>
  </si>
  <si>
    <t>https://www.gem.wiki/Transitgas_Gas_Pipeline</t>
  </si>
  <si>
    <t>Transitgas Gas Pipeline</t>
  </si>
  <si>
    <t>Transitgas AG [unknown %]</t>
  </si>
  <si>
    <t>EIP Gas Invest II AG [unknown %]; Fluxys [unknown %]; Other [unknown %]; Swissgas AG [unknown %]; Uniper [unknown %]</t>
  </si>
  <si>
    <t>Wallbach</t>
  </si>
  <si>
    <t>Formazza</t>
  </si>
  <si>
    <t>Verbano-Cusio-Ossola</t>
  </si>
  <si>
    <t>MULTILINESTRING ((7.4412555 47.4844171, 7.9300085 47.3842641), (7.8861815 47.5591321, 7.9300085 47.3842641, 7.9630035 47.3554691, 8.1083705 47.0839371, 8.1138205 46.7236422, 8.3492965 46.4537231))</t>
  </si>
  <si>
    <t>P0727</t>
  </si>
  <si>
    <t>https://www.gem.wiki/Tyra_West_Gas_Pipeline_-_F3_Gas_Pipeline</t>
  </si>
  <si>
    <t>Tyra West Gas Pipeline–F3 Gas Pipeline</t>
  </si>
  <si>
    <t>Danish Underground Consortium [300.00%]</t>
  </si>
  <si>
    <t>TotalEnergies SE [43.20%]; Noreco [36.80%]; Nordsøfonden [20.00%]</t>
  </si>
  <si>
    <t>Tyra Field</t>
  </si>
  <si>
    <t>F3 Platform, Dutch continental shelf</t>
  </si>
  <si>
    <t>LINESTRING (6.0496445 54.9553419, 5.9342445 55.7578604)</t>
  </si>
  <si>
    <t>P0728</t>
  </si>
  <si>
    <t>Hungary, Croatia</t>
  </si>
  <si>
    <t>https://www.gem.wiki/V%C3%A1rosf%C3%B6ld%E2%80%93Slobodnica_pipeline</t>
  </si>
  <si>
    <t>Városföld-Slobodnica Gas Pipeline</t>
  </si>
  <si>
    <t>FGSZ [unknown %]; Plinacro [unknown %]</t>
  </si>
  <si>
    <t>MOL Group [unknown %]; Plinacro [unknown %]</t>
  </si>
  <si>
    <t>Városföld</t>
  </si>
  <si>
    <t>Southern Great Plains</t>
  </si>
  <si>
    <t>Slobodnica</t>
  </si>
  <si>
    <t>Brod-Posavina</t>
  </si>
  <si>
    <t>MULTILINESTRING ((19.7691 46.8238, 19.7495 46.81, 19.6914 46.7677, 19.6808 46.7403, 19.6596 46.7086, 19.6406 46.6716, 19.6417 46.6473, 19.6258 46.6335, 19.6237 46.5976, 19.6353 46.5638, 19.5783 46.5828, 19.5032 46.5934, 19.3733 46.5997, 19.219 46.586, 19.108 46.5522, 19.0393 46.5226, 19.0055 46.474, 18.9685 46.4634, 18.8343 46.457, 18.7804 46.4433, 18.7572 46.4169, 18.7138 46.3746, 18.7075 46.3535, 18.7276 46.3228, 18.7286 46.2985, 18.7043 46.2975, 18.6927 46.307, 18.6758 46.2848, 18.6694 46.2214, 18.6842 46.1675, 18.7138 46.139, 18.7741 46.1267), (18.7741 46.1267, 18.7014 46.1146, 18.6367 46.1026, 18.5584 46.08, 18.5403 46.071, 18.4666 46.0484, 18.3657 46.0484, 18.2964 46.0454, 18.2708 46.0168, 18.2528 45.9852, 18.2151 45.9611, 18.173 45.8753, 18.1459 45.8226, 18.1433 45.7849, 18.1605 45.7631, 18.1745 45.7376, 18.1917 45.7147, 18.1963 45.6924, 18.1906 45.6732, 18.1813 45.6446, 18.1709 45.6337, 18.1506 45.6165, 18.1355 45.6124, 18.1205 45.5885, 18.108 45.5718, 18.0997 45.5687, 18.1054 45.5635, 18.1002 45.5484, 18.095 45.5313, 18.0919 45.509, 18.0507 45.4733, 18.0396 45.4629, 18.0331 45.4408, 18.0266 45.4252, 17.998 45.3641, 18.0039 45.3257, 17.9759 45.3003, 17.9772 45.2723, 17.9824 45.2365, 17.9772 45.2144, 17.9314 45.1566))</t>
  </si>
  <si>
    <t>P0729</t>
  </si>
  <si>
    <t>https://www.gem.wiki/Vesterled_Gas_Pipeline</t>
  </si>
  <si>
    <t>Vesterled Gas Pipeline</t>
  </si>
  <si>
    <t>ConocoPhillips [unknown %]; Engie [unknown %]; Equinor [unknown %]; Gassled [unknown %]; Orsted AS [unknown %]; Rheinisch-Westfälisches Elektrizitätswerk [unknown %]; Tallyman AS [unknown %]</t>
  </si>
  <si>
    <t>Allianz [unknown %]; ConocoPhillips [unknown %]; Engie [unknown %]; Equinor [unknown %]; HitecVision [unknown %]; Orsted AS [unknown %]; Partners Group [unknown %]; Petoro [unknown %]; Rheinisch-Westfälisches Elektrizitätswerk [unknown %]; Tallyman AS [unknown %]</t>
  </si>
  <si>
    <t>Frigg gas field</t>
  </si>
  <si>
    <t>St Fergus</t>
  </si>
  <si>
    <t>LINESTRING (-1.825319 57.578706, -1.792739 57.582828, -1.776236 57.584308, -1.759747 57.584628, -1.677669 57.576211, -1.644608 57.573908, -1.627664 57.573892, -1.611092 57.576147, -1.585378 57.587733, -1.574747 57.594558, -1.530781 57.632761, -1.513981 57.648294, -1.504833 57.655817, -1.495192 57.661161, -1.486981 57.671022, -1.452319 57.701767, -1.434103 57.716817, -1.399739 57.747678, -1.363742 57.778025, -1.355983 57.786011, -1.327714 57.808339, -1.319731 57.816256, -1.310164 57.816581, -1.302703 57.831728, -1.248703 57.877308, -1.223017 57.900494, -1.186964 57.930853, -1.169792 57.946292, -1.150656 57.961133, -1.134806 57.977, -1.062261 58.037733, -1.054364 58.045683, -1.036311 58.060894, -1.0081 58.083278, -0.965306 58.122067, -0.938031 58.144814, -0.927719 58.152, -0.908961 58.167008, -0.865822 58.205617, -0.84665 58.220456, -0.829978 58.236169, -0.801633 58.258628, -0.775319 58.281742, -0.760678 58.297986, -0.744794 58.3138, -0.719308 58.337197, -0.701306 58.352517, -0.694531 58.360822, -0.686078 58.368661, -0.678764 58.376792, -0.588017 58.463292, -0.570683 58.478769, -0.546819 58.502667, -0.512386 58.533736, -0.496903 58.5498, -0.471806 58.573319, -0.464681 58.581478, -0.430075 58.612472, -0.405936 58.636294, -0.397017 58.644, -0.389669 58.652156, -0.380367 58.659744, -0.338761 58.699039, -0.292722 58.736839, -0.267203 58.760183, -0.259633 58.768381, -0.256744 58.777253, -0.258456 58.786269, -0.264753 58.794522, -0.282806 58.810017, -0.286447 58.819028, -0.286522 58.827869, -0.285203 58.839003, -0.279356 58.847392, -0.268842 58.8545, -0.254072 58.859194, -0.236897 58.861433, -0.184936 58.859689, -0.168 58.861131, -0.15245 58.864889, -0.138892 58.870342, -0.126264 58.876533, -0.101897 58.8893, -0.019392 58.935367, 0.017089 58.9546, 0.039469 58.968431, 0.063839 58.981189, 0.09905 59.001078, 0.12375 59.013742, 0.134683 59.02075, 0.171794 59.039681, 0.218972 59.066211, 0.243383 59.079042, 0.313908 59.118842, 0.387194 59.157383, 0.471092 59.203083, 0.482875 59.212917, 0.495331 59.216058, 0.555886 59.248431, 0.57875 59.262128, 0.691836 59.31855, 0.725817 59.339161, 0.751378 59.351525, 0.786772 59.371489, 0.824586 59.390333, 0.860569 59.410089, 0.922308 59.442067, 0.933742 59.448922, 0.959006 59.461447, 0.981128 59.475461, 1.055686 59.513758, 1.10355 59.540133, 1.228689 59.603742, 1.277614 59.629706, 1.290494 59.635844, 1.305133 59.641019, 1.318959 59.643318, 1.34055 59.644897, 1.595536 59.655697, 1.647034 59.654984, 1.661489 59.657089, 1.684794 59.664307, 1.699196 59.666142, 1.870288 59.665936, 1.893835 59.662823, 2.109355 59.616341, 2.197923 59.595959, 2.205315 59.593498, 2.210717 59.590538, 2.214784 59.58707, 2.22195 59.578369, 2.226469 59.575024, 2.228305 59.5753)</t>
  </si>
  <si>
    <t>P0730</t>
  </si>
  <si>
    <t>Germany, Belgium</t>
  </si>
  <si>
    <t>https://www.gem.wiki/WEDAL_Gas_Pipeline</t>
  </si>
  <si>
    <t>WEDAL Gas Pipeline</t>
  </si>
  <si>
    <t>Westdeutschland-Anbindungsleitung</t>
  </si>
  <si>
    <t>Bad Salzuflen</t>
  </si>
  <si>
    <t>Lippe</t>
  </si>
  <si>
    <t>Raeren</t>
  </si>
  <si>
    <t>Verviers</t>
  </si>
  <si>
    <t>Lüttich</t>
  </si>
  <si>
    <t>MULTILINESTRING ((6.933 51.076, 7.04 51.1064, 7.1414 51.1608, 7.1958 51.2679, 7.3855 51.3937, 7.5019 51.3956, 7.6916 51.4932, 7.8325 51.5289, 8.0747 51.6397, 8.2268 51.7336, 8.3433 51.9064, 8.3733 51.9214, 8.4278 51.912, 8.4728 51.9214, 8.5423 51.9515, 8.6606 52.0172, 8.6992 52.0586), (6.3111 50.8359, 6.4854 50.8751, 6.5916 50.9264, 6.7583 50.9595, 6.8359 51.0292, 6.933 51.076), (6.09 50.7, 6.3111 50.8359))</t>
  </si>
  <si>
    <t>P0731</t>
  </si>
  <si>
    <t>https://www.gem.wiki/West_of_Shetland_Pipeline</t>
  </si>
  <si>
    <t>West of Shetland Gas Pipeline System</t>
  </si>
  <si>
    <t>BP [unknown %]; Marathon Oil Corporation [unknown %]</t>
  </si>
  <si>
    <t>Foinaven field</t>
  </si>
  <si>
    <t>Sullom Voe Terminal</t>
  </si>
  <si>
    <t>MULTILINESTRING ((-3.804933 60.282153, -3.601314 60.333378, -3.595556 60.334469, -3.581653 60.336486, -3.574814 60.337919, -3.487831 60.359519, -3.424867 60.375247, -3.418111 60.377344, -3.407608 60.381175, -3.401075 60.383106, -3.245392 60.421589, -2.936808 60.497036, -2.924622 60.499867, -2.813361 60.526872, -2.658703 60.564028, -2.471008 60.608811, -2.309264 60.647003, -2.139131 60.686981, -1.962389 60.728106, -1.808325 60.763733, -1.627247 60.805211, -1.617975 60.806928, -1.609036 60.807953, -1.601 60.808369, -1.591642 60.808342, -1.584347 60.807919, -1.575933 60.806978, -1.398981 60.780064, -1.388042 60.778531, -1.380261 60.777883, -1.372017 60.777656, -1.3656 60.777783, -1.354453 60.778303, -1.346378 60.7783, -1.337267 60.777781, -1.327836 60.776628, -1.322142 60.775622, -1.310708 60.772953, -1.305333 60.771403, -1.298658 60.769031, -1.293078 60.766564, -1.287981 60.763739, -1.284056 60.761142, -1.279894 60.757656, -1.277644 60.755297, -1.272811 60.749092, -1.211672 60.668286, -1.209872 60.66565, -1.208617 60.663306, -1.207369 60.659769, -1.206944 60.657083, -1.206933 60.654661, -1.207233 60.652153, -1.207692 60.650281, -1.208575 60.647806, -1.226036 60.61665, -1.226553 60.615511, -1.227064 60.613553, -1.227156 60.611489, -1.226717 60.609256, -1.225856 60.607419, -1.223569 60.603822, -1.222675 60.601075, -1.220872 60.575147, -1.2209 60.571917, -1.221436 60.568608, -1.226042 60.554606, -1.227597 60.548825, -1.227614 60.547394, -1.227247 60.545703, -1.225672 60.542753, -1.225133 60.541253, -1.224997 60.539642, -1.225292 60.538036, -1.225986 60.536464, -1.227139 60.534769, -1.229506 60.532556, -1.232247 60.530772, -1.24405 60.524536, -1.246731 60.522947, -1.248767 60.521458, -1.250722 60.519739, -1.252656 60.517808, -1.253853 60.516303, -1.254575 60.515, -1.255303 60.51315, -1.256006 60.509583, -1.255836 60.507519, -1.254919 60.503506, -1.254419 60.500194, -1.254456 60.496603, -1.254953 60.493383, -1.256033 60.490014, -1.257408 60.486947, -1.259047 60.484286, -1.263081 60.478375), (-1.264081 60.476914, -1.261217 60.475906, -1.262647 60.472531, -1.262339 60.472356, -1.265569 60.469644, -1.266683 60.469667, -1.266817 60.469156, -1.266258 60.469064, -1.267458 60.464528, -1.265375 60.463867, -1.356328 60.465011))</t>
  </si>
  <si>
    <t>P0732</t>
  </si>
  <si>
    <t>Georgia, Romania, Azerbaijan</t>
  </si>
  <si>
    <t>https://www.gem.wiki/White_Stream_Gas_Pipeline</t>
  </si>
  <si>
    <t>White Stream Gas Pipeline</t>
  </si>
  <si>
    <t>Georgia-Ukraine-EU gas pipeline</t>
  </si>
  <si>
    <t>SNTGN Transgaz SA [50.00%]; Itochu Corporation [unknown %]</t>
  </si>
  <si>
    <t>Transgaz [50.00%]; Itochu Corporation [unknown %]</t>
  </si>
  <si>
    <t>Tbilisi</t>
  </si>
  <si>
    <t>Constanța</t>
  </si>
  <si>
    <t>Dobruja</t>
  </si>
  <si>
    <t>LINESTRING (28.2761 44.1771, 28.6366 44.1559, 29.1761 43.8756, 29.6801 43.4791, 30.2423 43.3197, 31.1082 43.2476, 32.6483 43.1338, 33.0648 43.1217, 35.6763 43.0536, 36.6296 42.9175, 37.8948 42.742, 41.1037 42.1328, 41.1719 42.1223, 41.2507 42.1118, 41.5501 42.1118, 41.6934 42.1104)</t>
  </si>
  <si>
    <t>P0734</t>
  </si>
  <si>
    <t>Russia, Mongolia, China</t>
  </si>
  <si>
    <t>https://www.gem.wiki/Power_of_Siberia_2_Gas_Pipeline</t>
  </si>
  <si>
    <t>Power of Siberia 2 Gas Pipeline</t>
  </si>
  <si>
    <t>Soyuz Vostok</t>
  </si>
  <si>
    <t>Gazprom [100.00%]</t>
  </si>
  <si>
    <t>Bovanenkovo and Kharasavey gas fields</t>
  </si>
  <si>
    <t>Novy Urengoy</t>
  </si>
  <si>
    <t>Yamalo-Nenets Autonomous Okrug</t>
  </si>
  <si>
    <t>East Asia</t>
  </si>
  <si>
    <t>Сила Сибири - 2</t>
  </si>
  <si>
    <t>LINESTRING (114.06086950314446 43.10725396288219, 106.94172881293424 47.89264032797127, 103.73372097104938 51.664254418409264, 96.80134796472963 55.52727371847701, 92.75837917769665 55.84930419255519, 88.05623069712571 57.82007833446189, 68.06111350197764 70.19918195884564, 68.078 70.49)</t>
  </si>
  <si>
    <t>P0735</t>
  </si>
  <si>
    <t>Azerbaijan, Georgia</t>
  </si>
  <si>
    <t>https://www.gem.wiki/Azerbaijan-Georgia-Romania_Interconnector_(AGRI)</t>
  </si>
  <si>
    <t>Azerbaijan-Georgia-Romania Interconnector Gas Pipeline (AGRI)</t>
  </si>
  <si>
    <t>AGRI</t>
  </si>
  <si>
    <t>Georgian Oil &amp; Gas Corporation [unknown %]; Government of Azerbaijan [unknown %]; MVM [unknown %]; RomGaz [unknown %]</t>
  </si>
  <si>
    <t>Sangachal Terminal</t>
  </si>
  <si>
    <t>Kulevi</t>
  </si>
  <si>
    <t>LINESTRING (49.4465644 40.1645609, 41.6545974 42.2769189)</t>
  </si>
  <si>
    <t>P0736</t>
  </si>
  <si>
    <t>Russia, Türkiye</t>
  </si>
  <si>
    <t>https://www.gem.wiki/Blue_Stream_Gas_Pipeline</t>
  </si>
  <si>
    <t>Blue Stream Gas Pipeline</t>
  </si>
  <si>
    <t>BOTAŞ [unknown %]; Eni S.p.A. [unknown %]; Gazprom [unknown %]</t>
  </si>
  <si>
    <t>610, 1200, 1400</t>
  </si>
  <si>
    <t>Izobilny gas plant, Stavropol Krai,</t>
  </si>
  <si>
    <t>LINESTRING (40.3631905 46.5539626, 40.9993195 45.5052372, 41.9643615 45.0588474, 41.0963985 45.0200604, 36.3173024 41.3282863, 33.4544704 39.8730381, 32.7911274 39.8973061)</t>
  </si>
  <si>
    <t>P0737</t>
  </si>
  <si>
    <t>https://www.gem.wiki/Bovanenkovo-Ukhta_Gas_Pipeline</t>
  </si>
  <si>
    <t>Bovanenkovo-Ukhta Gas Pipeline</t>
  </si>
  <si>
    <t>I</t>
  </si>
  <si>
    <t>Bovanenkovo gas field, Yamal Peninsula</t>
  </si>
  <si>
    <t>Bovanenkovskoye field</t>
  </si>
  <si>
    <t>Ukhta</t>
  </si>
  <si>
    <t>Бованенково - Ухта</t>
  </si>
  <si>
    <t>LINESTRING (68.078 70.49, 68.4288155 70.3624072, 68.152313 69.29709, 66.884722 68.812222, 65.153611 68.000556, 63.716389 67.226111, 61.911111 66.546111, 60.345 65.944444, 58.551667 65.460278, 56.632778 64.924722, 54.85 64.233333, 53.7293485 63.5685536)</t>
  </si>
  <si>
    <t>P0738</t>
  </si>
  <si>
    <t>https://www.gem.wiki/Bovanenkovo-Ukhta_2_Gas_Pipeline</t>
  </si>
  <si>
    <t>II</t>
  </si>
  <si>
    <t>Бованенково - Ухта - 2</t>
  </si>
  <si>
    <t>P0739</t>
  </si>
  <si>
    <t>Uzbekistan, Kyrgyzstan, Kazakhstan</t>
  </si>
  <si>
    <t>https://www.gem.wiki/Bukhara-Tashkent-Bishkek-Almaty_Gas_Pipeline</t>
  </si>
  <si>
    <t>Bukhara-Tashkent-Bishkek-Almaty Gas Pipeline</t>
  </si>
  <si>
    <t>Gazprom Kyrgyzstan [unknown %]; Qazaqgaz [unknown %]; Uztransgaz [unknown %]</t>
  </si>
  <si>
    <t>Gazprom [unknown %]; Government of Uzbekistan [unknown %]; Qazaqgaz [unknown %]</t>
  </si>
  <si>
    <t>700, 720, 820, 1000, 1020</t>
  </si>
  <si>
    <t>Gazli</t>
  </si>
  <si>
    <t>Bukhara</t>
  </si>
  <si>
    <t>Almaty</t>
  </si>
  <si>
    <t>БГР-ТБА (Бухарский газоносный район Ташкент-Бишкек-Алматы</t>
  </si>
  <si>
    <t>LINESTRING (64.4052424 39.7706861, 69.2274704 41.3016314, 69.5722414 42.3260288, 71.3574774 42.8995985, 74.5742974 42.8717866, 76.9100884 43.2399234)</t>
  </si>
  <si>
    <t>P0740</t>
  </si>
  <si>
    <t>Turkmenistan</t>
  </si>
  <si>
    <t>Turkmenistan, Uzbekistan, Kazakhstan, Russia</t>
  </si>
  <si>
    <t>https://www.gem.wiki/Caspian_Coastal_Gas_Pipeline</t>
  </si>
  <si>
    <t>Caspian Coastal Gas Pipeline</t>
  </si>
  <si>
    <t>Gazprom [unknown %]; Samruk-Kazyna JSC [unknown %]; Turkmengaz [unknown %]; Uzbekneftegaz [unknown %]</t>
  </si>
  <si>
    <t>Belek Compressor Station</t>
  </si>
  <si>
    <t>Alexandrov Gay</t>
  </si>
  <si>
    <t>LINESTRING (61.8562304 37.6523691, 60.4828964 41.1239495, 58.2626624 41.8910441, 57.7902075 45.1016774, 54.8238555 45.887207, 53.1209315 47.1795383, 52.7473535 49.7006169, 48.5322985 50.1431686)</t>
  </si>
  <si>
    <t>P0743</t>
  </si>
  <si>
    <t>https://www.gem.wiki/Dzhubga-Lazarevskoye-Sochi_Gas_Pipeline</t>
  </si>
  <si>
    <t>Dzhubga-Lazarevskoye-Sochi Gas Pipeline</t>
  </si>
  <si>
    <t>Dzhubga</t>
  </si>
  <si>
    <t>Krasnodar Krai</t>
  </si>
  <si>
    <t>Sochi</t>
  </si>
  <si>
    <t>LINESTRING (38.604927 44.367306, 38.639088 44.343248, 38.662949 44.308618, 38.781738 44.266838, 38.858643 44.184174, 39.006958 44.125056, 39.631805 43.601279, 39.758148 43.578401, 39.891357 43.542576)</t>
  </si>
  <si>
    <t>P0744</t>
  </si>
  <si>
    <t>https://www.gem.wiki/Dzuarikau-Tskhinvali_Gas_Pipeline</t>
  </si>
  <si>
    <t>Dzuarikau-Tskhinvali Gas Pipeline</t>
  </si>
  <si>
    <t>Dzuarikau</t>
  </si>
  <si>
    <t>Republic of North Ossetia</t>
  </si>
  <si>
    <t>Tskhinvali</t>
  </si>
  <si>
    <t>Republic of South Ossetia</t>
  </si>
  <si>
    <t>LINESTRING (44.405913 43.019312, 44.217751 43.040818, 43.959432 42.69826, 43.64799 42.523088, 43.925141 42.3898, 43.9473604 42.2218289)</t>
  </si>
  <si>
    <t>P0745</t>
  </si>
  <si>
    <t>https://www.gem.wiki/East-West_Gas_Pipeline</t>
  </si>
  <si>
    <t>East-West Gas Pipeline</t>
  </si>
  <si>
    <t>Turkmengaz [100.00%]</t>
  </si>
  <si>
    <t>Shatlyk</t>
  </si>
  <si>
    <t>Mary</t>
  </si>
  <si>
    <t>Belek</t>
  </si>
  <si>
    <t>Balkan</t>
  </si>
  <si>
    <t>Газопровод "Восток — Запад"</t>
  </si>
  <si>
    <t>LINESTRING (61.5713304 37.6016132, 53.2818544 39.9737901)</t>
  </si>
  <si>
    <t>P0746</t>
  </si>
  <si>
    <t>https://www.gem.wiki/Gryazovets-Vyborg_Gas_Pipeline</t>
  </si>
  <si>
    <t>Gryazovets-Vyborg Gas Pipeline</t>
  </si>
  <si>
    <t>Gryazovets</t>
  </si>
  <si>
    <t>Vologda Oblast</t>
  </si>
  <si>
    <t>Vyborg</t>
  </si>
  <si>
    <t>Грязовец–Выборг</t>
  </si>
  <si>
    <t>LINESTRING (40.24889 58.78778, 40.224724 58.785863, 40.187473 58.806007, 40.180264 58.805563, 40.121384 58.862508, 40.070057 58.904025, 40.062332 58.90438, 40.042419 58.90203, 40.041561 58.902562, 39.971266 58.902474, 39.963541 58.905311, 39.90715 58.973862, 39.887581 58.979922, 39.867668 58.991774, 39.855995 58.996726, 39.606743 59.069331, 39.415512 59.153843, 39.159737 59.119059, 39.026871 59.116239, 39.020519 59.126547, 38.89864 59.145216, 38.855209 59.148562, 38.798561 59.124257, 38.762341 59.13192, 38.745861 59.142839, 38.716164 59.146977, 38.703461 59.1446, 38.646641 59.14504, 38.618488 59.155868, 38.52861 59.14611, 38.496952 59.163876, 38.421421 59.176456, 38.398075 59.172586, 38.383827 59.181117, 38.391209 59.185778, 38.251648 59.269565, 38.137665 59.301304, 38.056641 59.291312, 38.052521 59.295695, 37.95742 59.298149, 37.846527 59.285877, 37.677612 59.314623, 37.555733 59.303583, 37.491875 59.318652, 37.299957 59.326885, 37.2155 59.311819, 37.137222 59.314973, 36.986504 59.307088, 36.852264 59.329862, 36.7836 59.326885, 36.741028 59.314272, 36.647987 59.322506, 36.494179 59.281668, 36.456413 59.284825, 36.405258 59.300779, 36.377792 59.296747, 36.265526 59.336867, 36.22364 59.369243, 36.196175 59.376414, 36.113091 59.37449, 35.98861 59.36944, 35.608063 59.390927, 35.541801 59.381311, 35.282249 59.42168, 35.211525 59.415042, 34.900131 59.430586, 34.832153 59.451183, 34.754562 59.446471, 34.676628 59.458686, 34.661522 59.456069, 34.638863 59.464268, 34.605217 59.462698, 34.572601 59.471419, 34.33889 59.49111, 34.199753 59.451358, 33.936424 59.591365, 33.840637 59.598142, 33.827591 59.605091, 33.756866 59.6202, 33.585892 59.691139, 33.321877 59.705344, 33.135796 59.70084, 33.076744 59.71227, 32.969627 59.784051, 32.944221 59.783533, 32.804489 59.828254, 32.55558 59.82463, 32.38778 59.78056, 32.0224 59.814102, 31.710663 59.910287, 31.644745 59.917172, 31.37146 59.880668, 31.290436 59.89307, 31.278763 59.887214, 31.102638 59.886009, 31.004105 59.917344, 30.978355 59.910804, 30.970459 59.918462, 30.938702 59.915881, 30.908146 59.924141, 30.785065 59.920958, 30.779572 59.949165, 30.836563 60.006539, 30.730991 60.11902, 30.790558 60.161113, 30.84446 60.164871, 30.859737 60.159533, 30.872183 60.163547, 30.873642 60.204516, 30.895615 60.210657, 30.896645 60.225323, 30.873299 60.245775, 30.881538 60.255145, 30.846176 60.302464, 30.813217 60.319809, 30.778198 60.305951, 30.756912 60.30374, 30.756741 60.297021, 30.68121 60.301103, 30.681725 60.306461, 30.66782 60.307991, 30.661469 60.314963, 30.632458 60.315048, 30.626965 60.321509, 30.614262 60.322443, 30.60791 60.326948, 30.605679 60.345808, 30.592117 60.350139, 30.526371 60.354725, 30.507832 60.365506, 30.500622 60.365252, 30.464487 60.384811, 30.465088 60.391003, 30.447493 60.395455, 30.446548 60.401688, 30.395608 60.431752, 30.336943 60.438358, 30.31261 60.439099, 30.280766 60.417793, 30.250511 60.411755, 30.236821 60.413301, 30.219398 60.421861, 30.20083 60.4375, 30.100994 60.438422, 30.041943 60.427834, 30.032158 60.415717, 30.008469 60.412835, 30.00349 60.407241, 29.949245 60.404613, 29.904613 60.412242, 29.794407 60.416141, 29.776554 60.405291, 29.725399 60.420801, 29.716816 60.412157, 29.614677 60.410208, 29.482155 60.479978, 29.457092 60.505935, 29.450054 60.531617, 29.32045 60.597166, 29.25024 60.613933, 29.177456 60.645084, 28.898163 60.818891, 28.792248 60.91141, 28.641014 60.914998, 28.619041 60.901143, 28.579388 60.897053, 28.488235 60.870742, 28.477421 60.860629, 28.478107 60.835626, 28.403435 60.785227, 28.390388 60.754212, 28.27795 60.695284, 28.206539 60.67713, 28.165169 60.664938, 28.13633 60.664686, 28.091011 60.652489, 28.090324 60.641718, 28.073845 60.632038, 28.06528 60.55556)</t>
  </si>
  <si>
    <t>P0747</t>
  </si>
  <si>
    <t>Türkiye, Greece</t>
  </si>
  <si>
    <t>https://www.gem.wiki/Interconnector_Turkey-Greece-Italy_(ITGI)</t>
  </si>
  <si>
    <t>Turkey-Greece-Italy Interconnector Gas Pipeline (ITGI)</t>
  </si>
  <si>
    <t>IGI Poseidon S.A. [unknown %]</t>
  </si>
  <si>
    <t>Electricite de France [unknown %]; Hellenic Petroleum Holdings S.A [unknown %]; Italgas [unknown %]</t>
  </si>
  <si>
    <t>Shah Deniz gas field</t>
  </si>
  <si>
    <t>Karacabey</t>
  </si>
  <si>
    <t>Rhodope</t>
  </si>
  <si>
    <t>LINESTRING (28.3434944 40.2152939, 27.6128604 40.2782159, 27.5166874 40.9972916, 25.3877454 41.1205824)</t>
  </si>
  <si>
    <t>P0748</t>
  </si>
  <si>
    <t>Azerbaijan, Iran</t>
  </si>
  <si>
    <t>https://www.gem.wiki/Kazi_Magomed%E2%80%93Astara%E2%80%93Abadan_Gas_Pipeline</t>
  </si>
  <si>
    <t>Hajiqabul–Astara–Abadan Gas Pipeline</t>
  </si>
  <si>
    <t>Kazi Magomed–Astara–Abadan Gas Pipeline</t>
  </si>
  <si>
    <t>National Iranian Oil Company [unknown %]; SOCAR [unknown %]</t>
  </si>
  <si>
    <t>Iran Ministry of Petroleum [unknown %]; SOCAR [unknown %]</t>
  </si>
  <si>
    <t>1020, 1200</t>
  </si>
  <si>
    <t>Gazimammad</t>
  </si>
  <si>
    <t>Hajiqabul</t>
  </si>
  <si>
    <t>Hacıqabul-Astara-Abadan qaz kəməri</t>
  </si>
  <si>
    <t>LINESTRING (48.9029114 40.042202, 48.8561574 38.4682448, 49.5708584 37.2801343, 51.3555624 35.707673, 48.2769464 30.3500824)</t>
  </si>
  <si>
    <t>P0749</t>
  </si>
  <si>
    <t>Turkmenistan, Iran</t>
  </si>
  <si>
    <t>https://www.gem.wiki/Korpeje-Kordkuy_Gas_Pipeline</t>
  </si>
  <si>
    <t>Korpeje-Kordkuy Gas Pipeline</t>
  </si>
  <si>
    <t>Korpezhe-Kurt Kui Gas Pipeline</t>
  </si>
  <si>
    <t>Iran Ministry of Petroleum [unknown %]; Turkmengaz [unknown %]</t>
  </si>
  <si>
    <t>Korpeje field</t>
  </si>
  <si>
    <t>Kordkuy</t>
  </si>
  <si>
    <t>Golestan</t>
  </si>
  <si>
    <t>Газопровод «Корпедже – Курткуи»</t>
  </si>
  <si>
    <t>LINESTRING (53.8216124 38.058676, 54.0928604 36.7938785)</t>
  </si>
  <si>
    <t>P0750</t>
  </si>
  <si>
    <t>Belarus, Lithuania, Russia</t>
  </si>
  <si>
    <t>https://www.gem.wiki/Minsk-Kaliningrad_Interconnection</t>
  </si>
  <si>
    <t>Minsk-Kaliningrad Interconnection Gas Pipeline</t>
  </si>
  <si>
    <t>Gazprom [unknown %]</t>
  </si>
  <si>
    <t>Minsk</t>
  </si>
  <si>
    <t>Kaliningrad Oblast</t>
  </si>
  <si>
    <t>LINESTRING (27.565267 53.902132, 25.592319 54.895021, 25.203607 54.991772, 24.905594 54.953099, 24.737152 54.827903, 24.638678 54.821932, 24.169631 54.920348, 23.913081 54.994745, 23.757596 54.981364, 23.638391 54.984338, 23.560648 54.962027, 23.402572 54.970953, 23.046634 54.95339, 22.676975 54.923326, 21.738882 54.759179, 20.495033 54.706394)</t>
  </si>
  <si>
    <t>P0751</t>
  </si>
  <si>
    <t>Russia, Azerbaijan</t>
  </si>
  <si>
    <t>https://www.gem.wiki/Mozdok-Makhachkala-Kazi_Magomed_Gas_Pipeline</t>
  </si>
  <si>
    <t>Hajigabul-Shirvanovka-Mozdok Pipeline</t>
  </si>
  <si>
    <t>Kazi Magomed - Mozdok</t>
  </si>
  <si>
    <t>Gazprom [unknown %]; SOCAR [unknown %]</t>
  </si>
  <si>
    <t>Hajigabul (Kazi Magomed)</t>
  </si>
  <si>
    <t>Mozdok</t>
  </si>
  <si>
    <t>North Ossetia</t>
  </si>
  <si>
    <t>LINESTRING (44.6295325 43.7545891, 47.4745404 42.9801505, 48.9177784 40.041004)</t>
  </si>
  <si>
    <t>P0752</t>
  </si>
  <si>
    <t>Russia, Finland, Sweden, Denmark, Germany</t>
  </si>
  <si>
    <t>https://www.gem.wiki/Nord_Stream_2_Gas_Pipeline</t>
  </si>
  <si>
    <t>Nord Stream 2 Gas Pipeline</t>
  </si>
  <si>
    <t>Gazprom International Projects LLC [100.00%]</t>
  </si>
  <si>
    <t>Ust Luga</t>
  </si>
  <si>
    <t>Leningrad Oblast</t>
  </si>
  <si>
    <t>Greifswald</t>
  </si>
  <si>
    <t>Северный Поток - 2</t>
  </si>
  <si>
    <t>LINESTRING (28.23864 59.57259, 28.003005 59.63024, 27.793934 59.688533, 27.384705 59.908014, 27.401435 59.975734, 27.093307 60.116581, 26.9532 60.18, 26.673 60.1199, 26.2917 60.0541, 26.125 60.0417, 25.97 59.9867, 25.3666 59.9416, 25.0333 59.95, 24.0333 59.7133, 22.1672 59.4481, 21.2 59.2667, 20.4017 58.915, 20.460928 58.715886, 18.8536 56.4841, 18.61 56.2984, 18.1534 56.21, 16.5117 55.6267, 16.5033 55.5533, 15.9649 55.0466, 15.2933 54.7461, 14.2074 54.5197, 14.016 54.5286, 13.7941 54.3909, 13.7909 54.3674, 13.7795 54.3612, 13.7706 54.2994, 13.6981 54.2454, 13.697 54.2217, 13.6325 54.1948, 13.633 54.1607, 13.6398 54.1468)</t>
  </si>
  <si>
    <t>P0753</t>
  </si>
  <si>
    <t>Russia, Germany</t>
  </si>
  <si>
    <t>https://www.gem.wiki/Nord_Stream_Gas_Pipeline</t>
  </si>
  <si>
    <t>Nord Stream Gas Pipeline</t>
  </si>
  <si>
    <t>Nord Stream AG [unknown %]</t>
  </si>
  <si>
    <t>Engie [unknown %]; Gasunie [unknown %]; Gazprom [unknown %]; Uniper [unknown %]; Wintershall Dea AG [unknown %]</t>
  </si>
  <si>
    <t>Северный Поток</t>
  </si>
  <si>
    <t>LINESTRING (28.0733 60.5267, 28.0898 60.5018, 28.0547 60.4141, 27.8032 60.2367, 27.4783 60.1452, 26.9532 60.13, 26.673 60.0699, 26.2917 60.0041, 26.125 59.9917, 25.97 59.9367, 25.3666 59.8916, 25.0333 59.9, 24.0333 59.6633, 22.1672 59.3981, 21.2 59.2167, 20.4217 58.825, 18.7936 56.5241, 18.57 56.3384, 18.1134 56.25, 16.4717 55.6667, 16.4633 55.5933, 15.9249 55.0866, 15.2533 54.7861, 14.1674 54.5597, 14.016 54.5086, 13.8041 54.3809, 13.8009 54.3574, 13.7895 54.3512, 13.7806 54.2894, 13.7081 54.2354, 13.707 54.2117, 13.6325 54.1948, 13.633 54.1607, 13.6398 54.1468)</t>
  </si>
  <si>
    <t>P0754</t>
  </si>
  <si>
    <t>https://www.gem.wiki/Northern_Lights_Gas_Pipeline</t>
  </si>
  <si>
    <t>Northern Lights Gas Pipeline</t>
  </si>
  <si>
    <t>Vuktyl-Ukhta-Gryazovets-Torzhok; Vuktyl-Ukhta-Torzhok</t>
  </si>
  <si>
    <t>1020, 1220</t>
  </si>
  <si>
    <t>Urengoy gas field; originally Vuktyl gas field</t>
  </si>
  <si>
    <t>Vuktyl gas field</t>
  </si>
  <si>
    <t>Torzhok</t>
  </si>
  <si>
    <t>Сияние Севера</t>
  </si>
  <si>
    <t>LINESTRING (57.318349572071725 63.86378253642786, 57.2999595 63.8602574, 53.7296915 63.5677886, 40.2334605 58.8763635, 34.9477785 57.0371386)</t>
  </si>
  <si>
    <t>P0755</t>
  </si>
  <si>
    <t>https://www.gem.wiki/Northern_Tyumen_Regions_(SRTO)%E2%80%93Torzhok_Gas_Pipeline</t>
  </si>
  <si>
    <t>Northern Tyumen Regions (SRTO)–Torzhok Gas Pipeline</t>
  </si>
  <si>
    <t>SRTO–Torzhok Gas Pipeline</t>
  </si>
  <si>
    <t>Urengoy gas field, Western Siberia</t>
  </si>
  <si>
    <t>Urengoy gas field</t>
  </si>
  <si>
    <t>Tver Oblast</t>
  </si>
  <si>
    <t>Северные районы Тюменской области (СРТО) — Торжок</t>
  </si>
  <si>
    <t>LINESTRING (35.026667 56.964167, 38.429167 57.826667, 38.418074 57.827468, 40.24498 58.785997, 46.480833 61.097222, 48.478056 61.742778, 50.162222 62.333333, 51.92 62.848333, 61.63035 62.89362, 76.82846 66.030465)</t>
  </si>
  <si>
    <t>P0756</t>
  </si>
  <si>
    <t>https://www.gem.wiki/Pochinki-Gryazovets_Gas_Pipeline</t>
  </si>
  <si>
    <t>Pochinki-Gryazovets Gas Pipeline</t>
  </si>
  <si>
    <t>Pochinki</t>
  </si>
  <si>
    <t>Nizhny Novgorod Oblast</t>
  </si>
  <si>
    <t>Магистральный газопровод Починки - Грязовец</t>
  </si>
  <si>
    <t>LINESTRING (44.62655 54.66754, 44.625778 54.68455, 44.631271 54.709549, 44.610672 54.72462, 44.5784 54.778514, 44.57016 54.806226, 44.593506 54.852501, 44.548187 54.87068, 44.534454 54.887272, 44.496002 54.898329, 44.403992 55.006764, 44.35318 55.047696, 44.299622 55.069719, 44.256363 55.107837, 44.141693 55.155728, 44.107361 55.153374, 44.089508 55.165142, 44.048309 55.200427, 43.882141 55.316643, 43.7146 55.322894, 43.638382 55.342032, 43.615036 55.37716, 43.610916 55.407189, 43.564911 55.437584, 43.494186 55.48897, 43.382263 55.528242, 43.226395 55.536014, 43.14065 55.5913, 43.126144 55.615977, 43.054047 55.635361, 43.032074 55.665968, 42.989502 55.671002, 42.94899 55.721696, 42.816467 55.739095, 42.73201 55.754554, 42.678452 55.775801, 42.659225 55.788929, 42.657852 55.800509, 42.647552 55.808227, 42.643433 55.822888, 42.61528 55.839085, 42.6194 55.844482, 42.585754 55.899186, 42.538376 55.930741, 42.486877 55.938049, 42.391434 55.933049, 42.366714 55.938818, 42.334442 55.964191, 42.312469 56.017192, 42.268524 56.027553, 42.253418 56.040212, 42.178574 56.046349, 42.098923 56.132542, 42.048798 56.164288, 41.98781 56.17639, 41.971207 56.203649, 41.922455 56.234573, 41.919708 56.259372, 41.745987 56.307015, 41.730194 56.316156, 41.719894 56.31349, 41.678009 56.32301, 41.667023 56.337095, 41.634064 56.33861, 41.575699 56.357262, 41.557159 56.406494, 41.538277 56.420358, 41.484375 56.422447, 41.449871 56.432604, 41.440086 56.451108, 41.439228 56.462585, 41.403866 56.472447, 41.375971 56.470788, 41.370306 56.468086, 41.350822 56.47112, 41.344385 56.476572, 41.339149 56.501544, 41.31134 56.527874, 41.295547 56.560807, 41.246452 56.600327, 41.22654 56.670377, 41.183281 56.710348, 41.106377 56.741804, 41.090584 56.755358, 41.053162 56.762321, 41.0075 56.788093, 40.918922 56.883126, 40.85034 56.90125, 40.834122 56.924182, 40.800819 56.961637, 40.805969 56.990638, 40.617142 57.117977, 40.569592 57.139313, 40.548477 57.185204, 40.359993 57.310022, 40.277467 57.341068, 40.268326 57.34431, 40.094261 57.407612, 40.110226 57.41242, 40.166874 57.461111, 40.209446 57.459172, 40.222836 57.464435, 40.227814 57.471266, 40.206184 57.500423, 40.219059 57.555445, 40.207043 57.616451, 40.230904 57.633364, 40.283089 57.653208, 40.254765 57.707541, 40.246868 57.761883, 40.2388 57.781748, 40.24601 57.816692, 40.23571 57.825377, 40.195541 57.838081, 40.169106 57.860736, 40.187473 57.929343, 40.200863 57.951485, 40.192966 57.961685, 40.198975 57.96815, 40.192108 58.054269, 40.24412 58.13159, 40.252533 58.207078, 40.239487 58.25534, 40.268326 58.316702, 40.314674 58.333108, 40.315704 58.364635, 40.35553 58.388038, 40.377159 58.390197, 40.390205 58.401892, 40.381622 58.417898, 40.400848 58.431201, 40.398102 58.440905, 40.369949 58.450607, 40.35759 58.501767, 40.296822 58.671672, 40.282574 58.693622, 40.246181 58.720103, 40.25528 58.755025, 40.240002 58.762236, 40.24889 58.78778)</t>
  </si>
  <si>
    <t>P0758</t>
  </si>
  <si>
    <t>https://www.gem.wiki/Sakhalin-Khabarovsk-Vladivostok_Gas_Pipeline</t>
  </si>
  <si>
    <t>Sakhalin-Khabarovsk-Vladivostok Gas Pipeline</t>
  </si>
  <si>
    <t>700, 1220</t>
  </si>
  <si>
    <t>Sakhalin</t>
  </si>
  <si>
    <t>Vladivostok</t>
  </si>
  <si>
    <t>Primorsky Krai</t>
  </si>
  <si>
    <t>Сахалин - Хабаровск - Владивосток</t>
  </si>
  <si>
    <t>LINESTRING (143.01884 52.43506, 142.858658 52.442827, 142.762527 52.397182, 142.703819 52.387125, 142.675667 52.371407, 142.670174 52.355264, 142.658501 52.352538, 142.614899 52.313306, 142.56752 52.298612, 142.560654 52.287483, 142.543831 52.27551, 142.525291 52.27446, 142.440491 52.217915, 142.384529 52.199822, 142.3629 52.189299, 142.281189 52.189299, 142.214241 52.180879, 142.194672 52.172458, 142.161369 52.172247, 142.13562 52.168668, 142.12738 52.169721, 142.02614 52.19364, 141.847229 52.112409, 141.792641 52.098492, 141.687241 52.092586, 141.630936 52.07402, 141.317825 52.090582, 141.294479 52.077079, 141.285381 52.060407, 141.241093 52.038977, 141.238003 52.02567, 141.217232 52.013838, 141.207275 51.971557, 141.183243 51.959923, 141.107883 51.877869, 141.095009 51.840232, 140.9939 51.758384, 140.928841 51.686073, 140.862236 51.634321, 140.82756 51.57963, 140.83065 51.554661, 140.812798 51.523805, 140.790997 51.506071, 140.746365 51.48769, 140.74482 51.480955, 140.711861 51.47315, 140.660534 51.474861, 140.615215 51.494744, 140.57321 51.49772, 140.538826 51.487049, 140.493336 51.488438, 140.488358 51.486514, 140.427761 51.489935, 140.386906 51.502652, 140.327511 51.51825, 140.302448 51.514939, 140.235157 51.486514, 140.18692 51.476358, 140.168552 51.477106, 140.116024 51.466735, 140.089245 51.471172, 140.064011 51.480047, 139.9823 51.518784, 139.901619 51.516648, 139.803429 51.505323, 139.655113 51.465558, 139.588852 51.427043, 139.34166 51.358062, 139.263039 51.325034, 139.164162 51.286615, 139.151115 51.272656, 139.140472 51.270508, 139.11052 51.26041, 139.053612 51.233977, 139.008636 51.233977, 138.948212 51.222153, 138.901176 51.206883, 138.894653 51.201291, 138.871307 51.198924, 138.760757 51.150925, 138.663254 51.11861, 138.597679 51.104384, 138.581886 51.09576, 138.547211 51.099857, 138.472023 51.08541, 138.400955 51.020882, 138.412628 51.002954, 138.421555 50.999497, 138.420181 50.992798, 138.45829 50.958643, 138.451424 50.919701, 138.381729 50.845188, 138.313065 50.830662, 138.255043 50.844105, 138.193588 50.833264, 138.129044 50.812877, 138.12252 50.78597, 138.075829 50.75579, 138.007507 50.761436, 137.984161 50.7534, 137.588654 50.738193, 136.98221 50.52591, 136.981144 50.491289, 136.917801 50.459253, 136.888275 50.402391, 136.860809 50.384005, 136.864929 50.334066, 136.925354 50.238422, 137.106628 50.073006, 137.080536 49.987435, 137.086029 49.953429, 137.044659 49.891206, 137.132034 49.815613, 137.137527 49.796226, 137.139931 49.760976, 137.123623 49.651849, 137.093925 49.583895, 137.087059 49.571986, 137.069206 49.552166, 137.000027 49.525208, 136.981831 49.511501, 136.933937 49.502249, 136.924667 49.496452, 136.873169 49.491992, 136.828709 49.456967, 136.767254 49.438217, 136.69395 49.40282, 136.547699 49.342125, 136.519203 49.321653, 136.513367 49.317625, 136.493969 49.25817, 136.498518 49.149545, 136.516457 49.121916, 136.523967 49.066275, 136.505642 49.030553, 136.483326 49.008037, 136.44865 48.989455, 136.370716 48.958806, 136.351318 48.943024, 136.381359 48.912572, 136.28583 48.901515, 136.269865 48.901007, 136.252184 48.909131, 136.238365 48.919341, 136.176739 48.89243, 136.150818 48.893164, 136.115112 48.881764, 136.014004 48.865562, 135.962591 48.859012, 135.95006 48.852574, 135.951862 48.841051, 135.950146 48.829639, 135.933752 48.800532, 135.921736 48.796631, 135.915041 48.792334, 135.902681 48.790468, 135.8953 48.7847, 135.894442 48.781533, 135.884914 48.772313, 135.88131 48.765977, 135.877705 48.76626, 135.87101 48.755453, 135.868521 48.754774, 135.862513 48.744531, 135.803032 48.72115, 135.78372 48.722736, 135.742521 48.72115, 135.740891 48.719508, 135.717115 48.718489, 135.707932 48.695663, 135.702953 48.694303, 135.701237 48.689997, 135.693169 48.684048, 135.701237 48.67464, 135.681067 48.651454, 135.671883 48.643969, 135.670595 48.639772, 135.650682 48.617988, 135.648108 48.612087, 135.629568 48.598011, 135.599442 48.59364, 135.587425 48.582626, 135.588884 48.578254, 135.584421 48.567691, 135.569143 48.547581, 135.56262 48.540875, 135.553608 48.539966, 135.536785 48.524563, 135.507259 48.526041, 135.469151 48.498521, 135.392075 48.472011, 135.280838 48.466092, 135.13042 48.37421, 135.257492 48.316994, 135.247192 48.259427, 135.210114 48.207287, 135.21801 48.105368, 135.222473 48.078538, 135.177498 47.979121, 135.126343 47.859706, 135.019226 47.692663, 134.939575 47.613107, 134.85426 47.52181, 134.752464 47.452469, 134.569817 47.37557, 134.523468 47.30787, 134.501495 47.259893, 134.484329 47.238919, 134.45446 47.090462, 134.434547 47.050008, 134.36142 46.968774, 134.337044 46.904776, 134.31052 46.83879, 134.308891 46.795124, 134.25293 46.741272, 134.250526 46.718916, 134.218597 46.67771, 134.229927 46.564762, 134.298592 46.485156, 134.217911 46.397384, 134.195595 46.303778, 134.167786 46.269139, 134.112854 46.231628, 134.021187 46.142258, 133.941193 46.095138, 133.766441 45.979309, 133.71074 45.89748, 133.641472 45.856304, 133.648682 45.792903, 133.625679 45.706899, 133.629456 45.645968, 133.611603 45.592179, 133.612633 45.489261, 133.605766 45.439658, 133.6172 45.34939, 133.713226 45.144758, 133.605766 45.021612, 133.628082 44.967956, 133.546028 44.938071, 133.495903 44.951679, 133.386726 44.891634, 133.243217 44.821543, 133.169746 44.760874, 133.08992 44.73863, 133.068466 44.726979, 133.05748 44.687206, 133.015594 44.624931, 133.017654 44.607824, 132.968559 44.566257, 132.95414 44.515114, 132.926674 44.495036, 132.858009 44.42005, 132.83123 44.37295, 132.659225 44.279867, 132.655449 44.265855, 132.574768 44.232901, 132.598457 44.183681, 132.579575 44.150681, 132.469711 44.147971, 132.38264 44.12527, 132.429199 44.102626, 132.438126 44.089804, 132.451172 44.081666, 132.474518 44.043921, 132.469025 44.032567, 132.455292 44.024175, 132.436409 44.022693, 132.415466 44.004175, 132.406883 43.985898, 132.372894 43.96811, 132.363281 43.947597, 132.392464 43.909519, 132.395554 43.892697, 132.334785 43.874633, 132.269897 43.812977, 132.258224 43.776052, 132.209473 43.748529, 132.17514 43.741833, 132.142868 43.718264, 132.133255 43.697169, 132.156601 43.664643, 132.19574 43.647504, 132.205009 43.624396, 132.170334 43.593571, 132.186813 43.517186, 132.1772 43.495772, 132.147331 43.464881, 132.080383 43.344656, 132.096863 43.267706, 132.005539 43.224692, 132.00341 43.15261)</t>
  </si>
  <si>
    <t>P0759</t>
  </si>
  <si>
    <t>Azerbaijan, Georgia, Türkiye</t>
  </si>
  <si>
    <t>https://www.gem.wiki/South_Caucasus_Gas_Pipeline</t>
  </si>
  <si>
    <t>South Caucasus Gas Pipeline</t>
  </si>
  <si>
    <t>Baku–Tbilisi–Erzurum Pipeline, BTE pipeline, Shah Deniz Pipeline</t>
  </si>
  <si>
    <t>South Caucasus Pipeline Company Ltd [600.00%]</t>
  </si>
  <si>
    <t>BP [29.99%]; PJSC Lukoil [19.99%]; TPAO [19.00%]; SOCAR [14.35%]; NIOC [10.00%]; SGC [6.67%]</t>
  </si>
  <si>
    <t>Shah Deniz</t>
  </si>
  <si>
    <t>Erzurum</t>
  </si>
  <si>
    <t>LINESTRING (49.8277824 40.4049969, 44.7814634 41.7303541, 43.8919064 42.058055, 43.4925734 41.970341, 42.8279 41.6397)</t>
  </si>
  <si>
    <t>P0760</t>
  </si>
  <si>
    <t>Russia, Bulgaria, Serbia, Hungary, Croatia, Slovakia, Slovenia, Austria, Greece, Italy</t>
  </si>
  <si>
    <t>https://www.gem.wiki/South_Stream_Gas_Pipeline</t>
  </si>
  <si>
    <t>South Stream Gas Pipeline</t>
  </si>
  <si>
    <t>South Stream B.V. [unknown %]</t>
  </si>
  <si>
    <t>Agence des participations de l'État [unknown %]; BASF [unknown %]; Eni S.p.A. [unknown %]; Gazprom [unknown %]</t>
  </si>
  <si>
    <t>Anapa</t>
  </si>
  <si>
    <t>Tarvisio and Baumgarten an der March</t>
  </si>
  <si>
    <t>Udine and Lower Austria</t>
  </si>
  <si>
    <t>MULTILINESTRING ((41.5968275 45.855134, 39.0589425 44.075309, 27.8638314 43.2247774, 24.5569034 43.2168004, 22.9638424 40.6761007, 22.4968804 40.5927587, 22.5023304 40.077759, 20.1786794 39.5757733, 17.9099594 40.6303817), (24.5569034 43.2168004, 22.3970115 43.877749, 20.8863485 44.6917726, 19.4965345 46.0920019), (19.4965345 46.0920019, 17.0729705 48.0594858), (19.4965345 46.0920019, 17.8815015 46.8261275, 14.5086555 46.1377538, 13.6351995 46.6718636))</t>
  </si>
  <si>
    <t>P0761</t>
  </si>
  <si>
    <t>Russia, Ukraine, Kazakhstan</t>
  </si>
  <si>
    <t>https://www.gem.wiki/Soyuz_Gas_Pipeline</t>
  </si>
  <si>
    <t>Soyuz Gas Pipeline</t>
  </si>
  <si>
    <t>Gas Transmission System Operator of Ukraine [unknown %]; Gazprom [unknown %]; Qazaqgaz [unknown %]</t>
  </si>
  <si>
    <t>Gazprom [unknown %]; JSC Mahistralni Gazoprovody Ukrainy (MGU) [unknown %]; Qazaqgaz [unknown %]</t>
  </si>
  <si>
    <t>Orenburg gas field</t>
  </si>
  <si>
    <t>Uzhgorod</t>
  </si>
  <si>
    <t>Союз; also Оренбург - Западная граница СССР</t>
  </si>
  <si>
    <t>LINESTRING (55.065 51.029, 51.402264 51.243895, 48.634673 50.14330987, 43.667534 49.749777, 40.189737 49.91504, 39.151228 49.528643, 33.441212 49.111038, 23.979788 48.971188, 22.293489 48.622807)</t>
  </si>
  <si>
    <t>P0762</t>
  </si>
  <si>
    <t>Türkiye, Greece, Serbia, Hungary, Austria</t>
  </si>
  <si>
    <t>https://www.gem.wiki/Tesla_Gas_Pipeline</t>
  </si>
  <si>
    <t>Tesla Gas Pipeline</t>
  </si>
  <si>
    <t>DESFA S.A. [unknown %]; FGSZ [unknown %]; MER JSC Skopje [unknown %]; Srbijagas [unknown %]</t>
  </si>
  <si>
    <t>Copelouzos Group [unknown %]; Enagás [unknown %]; Fluxys [unknown %]; Government of Greece [unknown %]; MER JSC Skopje [unknown %]; MOL Group [unknown %]; Snam [unknown %]; Srbijagas [unknown %]</t>
  </si>
  <si>
    <t>Lüleburgaz</t>
  </si>
  <si>
    <t>Kırklareli</t>
  </si>
  <si>
    <t>LINESTRING (27.3408724 41.4035613, 21.8333014 39.6182322, 20.6687075 44.3669488, 19.2734005 47.2381412, 16.3618105 48.1986617)</t>
  </si>
  <si>
    <t>P0763</t>
  </si>
  <si>
    <t>Georgia, Türkiye</t>
  </si>
  <si>
    <t>https://www.gem.wiki/Trans-Anatolian_Gas_Pipeline</t>
  </si>
  <si>
    <t>Trans-Anatolian Gas Pipeline</t>
  </si>
  <si>
    <t>TANAP</t>
  </si>
  <si>
    <t>SOCAR [58.00%]; BOTAŞ [30.00%]; BP [12.00%]</t>
  </si>
  <si>
    <t>Shah Deniz gas field (Azerbaijan)</t>
  </si>
  <si>
    <t>Georgia/Türkiye border (South Caucasus Gas Pipeline)</t>
  </si>
  <si>
    <t>Türkiye/Greece border (Trans-Adriatic Gas Pipeline)</t>
  </si>
  <si>
    <t>Edirne</t>
  </si>
  <si>
    <t>LINESTRING (26.3832 40.9632, 26.3856 40.9646, 26.4568 40.9211, 26.5051 40.8958, 26.5695 40.8659, 26.6316 40.8383, 26.696 40.8015, 26.7351 40.7647, 26.7834 40.7187, 26.8386 40.6796, 26.8616 40.6727, 26.9122 40.5899, 26.9697 40.5485, 27.0203 40.5071, 27.1307 40.4358, 27.1813 40.399, 27.2365 40.3599, 27.3653 40.3024, 27.4251 40.2725, 27.4941 40.2656, 27.6436 40.2725, 27.7103 40.2748, 27.7885 40.2725, 27.9312 40.2748, 28.0048 40.2748, 28.0784 40.2679, 28.2141 40.2219, 28.2831 40.1966, 28.3429 40.1644, 28.4671 40.1092, 28.5338 40.0862, 28.6028 40.077, 28.7523 40.0517, 28.8213 40.0425, 28.8903 40.0287, 29.0375 40.008, 29.1088 39.9965, 29.1788 39.988, 29.2459 39.9769, 29.3174 39.9567, 29.3867 39.9389, 29.4515 39.9187, 29.5968 39.8807, 29.6639 39.8606, 29.7421 39.8562, 29.8807 39.8495, 29.9523 39.845, 30.0305 39.8249, 30.1668 39.8003, 30.2384 39.7802, 30.3032 39.7645, 30.3904 39.7422, 30.4507 39.7377, 30.5245 39.7355, 30.5893 39.7243, 30.7458 39.722, 30.8173 39.7109, 30.8821 39.7086, 31.0364 39.7086, 31.1101 39.7064, 31.7606 39.7064, 31.9198 39.6995, 31.9854 39.7011, 32.0595 39.7079, 32.2041 39.7331, 32.2748 39.7449, 32.3471 39.7516, 32.3807 39.76, 32.4514 39.6877, 32.4951 39.6456, 32.5473 39.6103, 32.6314 39.5632, 32.6835 39.5615, 32.7592 39.5615, 32.8248 39.5632, 32.9661 39.5397, 33.0418 39.5262, 33.1108 39.5279, 33.2626 39.5253, 33.3312 39.5231, 33.4039 39.521, 33.5581 39.5296, 33.6266 39.536, 33.6972 39.536, 33.8492 39.5424, 33.9199 39.551, 33.9939 39.5627, 34.207 39.5916, 34.2757 39.606, 34.3262 39.6096, 34.4635 39.6891, 34.5285 39.7035, 34.673 39.6999, 34.7452 39.7108, 34.8175 39.7216, 34.9583 39.7397, 35.0342 39.7469, 35.11 39.7613, 35.2473 39.7866, 35.3231 39.7938, 35.6193 39.8047, 35.9092 39.7989, 36.2049 39.7846, 36.4977 39.7817, 36.7904 39.7874, 37.0832 39.7989, 37.3014 39.8047, 37.3731 39.8248, 37.442 39.8592, 37.5626 39.8965, 37.6372 39.9109, 37.7118 39.9281, 37.8525 39.9396, 37.9271 39.9511, 37.996 39.9568, 38.1481 39.9511, 38.2199 39.9511, 38.2945 39.9511, 38.4036 39.9482, 38.4237 39.9712, 38.4696 40.02, 38.55 40.0142, 38.6763 40.0601, 38.7452 40.0544, 38.86 39.9999, 38.9461 39.9884, 39.0121 39.9912, 39.0925 40.0085, 39.1844 40.0314, 39.2274 40.0257, 39.2934 40.0142, 39.4481 39.973, 39.5052 39.9788, 39.5766 39.9845, 39.6565 39.9759, 39.7136 39.9759, 39.7935 39.9845, 39.8734 39.9959, 39.9476 39.9702, 40.0218 39.9502, 40.6553 39.9645, 40.7267 39.9673, 40.7809 40.0073, 40.8465 40.053, 40.895 40.0615, 40.9692 40.0758, 41.0406 40.0929, 41.1776 40.0644, 41.2517 40.0615, 41.5484 40.0565, 41.84 40.0565, 41.9983 40.059, 42.0561 40.152, 42.1215 40.1771, 42.1743 40.1922, 42.2623 40.2953, 42.3226 40.3405, 42.3603 40.4034, 42.4131 40.416, 42.4785 40.426, 42.686 40.4889, 42.7547 40.5022, 42.8346 40.5067, 42.8767 40.52, 42.961 40.5444, 43.0164 40.5776, 43.0363 40.6353, 43.0718 40.7417, 43.0984 40.7927, 43.1361 40.8459, 43.1938 40.9257, 43.1516 40.99, 43.0962 41.03, 43.0275 41.0676, 42.9964 41.1009, 42.9543 41.1497, 42.8989 41.2073, 42.8922 41.3049, 42.8545 41.3515, 42.8035 41.3936, 42.6949 41.4623, 42.7614 41.5023, 42.8279 41.6397)</t>
  </si>
  <si>
    <t>P0764</t>
  </si>
  <si>
    <t>Turkmenistan, Azerbaijan</t>
  </si>
  <si>
    <t>https://www.gem.wiki/Trans-Caspian_Gas_Pipeline</t>
  </si>
  <si>
    <t>Trans-Caspian Gas Pipeline</t>
  </si>
  <si>
    <t>South Caucasus Pipeline Future Expansion (SCPFX)</t>
  </si>
  <si>
    <t>W-Stream Caspian Pipeline Company Ltd [200.00%]</t>
  </si>
  <si>
    <t>Turkmengaz [90.00%]; Georgian Oil &amp; Gas Corporation [10.00%]</t>
  </si>
  <si>
    <t>Turkmenistan, Kazakhstan</t>
  </si>
  <si>
    <t>Balkanabat</t>
  </si>
  <si>
    <t>Транскаспийский газопровод</t>
  </si>
  <si>
    <t>LINESTRING (49.4757 40.1201, 49.5013 40.1225, 49.5744 40.1025, 49.7221 40.1175, 49.7902 40.1125, 49.8682 40.1075, 50.021 40.1141, 50.0907 40.1191, 50.1621 40.1274, 50.3198 40.1623, 50.3846 40.1772, 50.4527 40.1955, 50.6021 40.2254, 50.6801 40.2187, 50.7526 40.2048, 50.896 40.1802, 50.9698 40.17, 51.0456 40.1597, 51.1932 40.1331, 51.2669 40.1187, 51.5594 40.0717, 51.6304 40.0602, 51.7839 40.0372, 51.851 40.0257, 51.922 40.0141, 52.0792 39.9892, 52.1464 39.9815, 52.2173 39.9719, 52.3727 39.9566, 52.4514 39.947, 52.5146 39.9432, 52.6758 39.9413, 52.9769 39.9739, 53.044 39.9911, 53.1131 40.0065, 53.2569 40.0372, 53.3337 40.0563, 53.4046 40.0717, 53.466 40.0813, 53.5312 40.0448, 53.6471 40.0219, 53.8085 39.9421, 53.8788 39.9174, 54.0877 39.8624, 54.1295 39.8187, 54.1693 39.7693, 54.2395 39.6277)</t>
  </si>
  <si>
    <t>P0765</t>
  </si>
  <si>
    <t>https://www.gem.wiki/TurkStream_Gas_Pipeline</t>
  </si>
  <si>
    <t>TurkStream Gas Pipeline</t>
  </si>
  <si>
    <t>Turkish Stream Gas Pipeline</t>
  </si>
  <si>
    <t>LINESTRING (37.3032745 44.8879545, 36.5430605 44.088606, 30.0786424 42.5217427, 28.0724844 41.6386562, 27.3380684 41.4063233, 26.6266604 40.8664606, 26.3313594 40.9173596)</t>
  </si>
  <si>
    <t>P0766</t>
  </si>
  <si>
    <t>Turkmenistan, Afghanistan, Pakistan, India</t>
  </si>
  <si>
    <t>https://www.gem.wiki/Turkmenistan-Afghanistan-Pakistan-India_Gas_Pipeline</t>
  </si>
  <si>
    <t>Turkmenistan-Afghanistan-Pakistan-India Gas Pipeline</t>
  </si>
  <si>
    <t>Trans-Afghanistan Pipeline, TAPI</t>
  </si>
  <si>
    <t>Galkynysh Gas Field (formerly known as Iolotan gas field or South Yolotan – Osman field)</t>
  </si>
  <si>
    <t>Ahal</t>
  </si>
  <si>
    <t>Fazilka</t>
  </si>
  <si>
    <t>MULTILINESTRING ((62.326071 37.320475, 62.220523 36.171466, 62.184128 35.968478, 62.140453 35.531321, 62.07858 35.219722, 62.093138 35.166184, 62.169569 35.064962, 62.169569 35.008341, 62.08222 34.727643, 62.163689 34.443804, 61.947556 34.304803, 61.7401 34.042833, 61.783775 33.376767, 62.151371 33.203354, 62.195046 33.139379, 62.202325 32.938009, 62.278756 32.870784, 62.387943 32.78209, 62.420699 32.555369, 62.504409 32.398781, 62.715504 32.269621, 63.061263 32.24192, 63.195927 32.094039, 63.345149 32.038522, 63.638422 31.85078, 63.809633 31.786659, 63.899926 31.756324, 64.553486 31.738766, 64.618998 31.723288, 65.179491 31.260868, 65.226805 31.245311, 65.414178 31.245649, 65.674472 31.245311, 66.012952 31.0366, 66.289559 30.949242, 66.384188 30.864927, 66.566166 30.667905, 66.806377 30.564543, 66.941041 30.464207, 67.010439 30.401501, 67.468779 30.470481, 67.840014 30.457933, 68.083865 30.370048, 68.254925 30.319793, 68.425985 30.297798, 68.538811 30.25065, 68.764464 30.247506, 69.183015 30.429693, 69.612483 30.420278, 69.710752 30.319793, 69.72895 30.083879, 69.787183 30.068131, 69.97644 30.22235, 70.034673 30.244362, 70.107464 30.21606, 70.296722 30.068131, 70.643757 30.093387, 71.481975 30.280426, 71.734351 30.219206, 71.843538 30.194043, 72.021877 30.194043, 72.418589 30.313509, 72.636963 30.329218, 73.055514 30.426554, 74.031139 30.422899), (63.809633 31.786659, 63.748298 31.713744, 63.49974 31.563993, 62.930239 31.276423, 62.40007 31.021006), (65.414178 31.245649, 65.41999 31.554621, 65.470635 31.60201, 65.715115 31.716949))</t>
  </si>
  <si>
    <t>P0767</t>
  </si>
  <si>
    <t>https://www.gem.wiki/Ukhta-Torzhok_Gas_Pipeline</t>
  </si>
  <si>
    <t>Ukhta-Torzhok Gas Pipeline</t>
  </si>
  <si>
    <t>Ukhta-Gryazovets</t>
  </si>
  <si>
    <t>Urengoy gas field, Bovanenkovo gas field</t>
  </si>
  <si>
    <t>Tver</t>
  </si>
  <si>
    <t>Газопровод Ухта - Торжок</t>
  </si>
  <si>
    <t>LINESTRING (53.77472 63.66056, 53.614655 63.623084, 53.467712 63.565064, 53.375702 63.549164, 53.278885 63.524991, 53.239059 63.508457, 53.156662 63.488847, 53.10585 63.473825, 53.081818 63.454806, 53.063278 63.414885, 53.031693 63.380756, 52.761154 63.253412, 52.669144 63.230226, 52.421265 63.1047, 52.386246 63.096933, 52.319641 63.068957, 52.305222 63.052159, 52.224197 63.020713, 52.240677 63.005134, 52.230377 62.98362, 52.117081 62.95054, 51.995544 62.883953, 51.92389 62.85, 51.646042 62.776408, 51.622009 62.778293, 51.501846 62.743093, 51.342545 62.687379, 51.279373 62.67761, 51.252594 62.680132, 51.144791 62.665632, 51.052094 62.638819, 50.974503 62.586387, 50.919571 62.574687, 50.853653 62.525943, 50.820694 62.524042, 50.814514 62.514536, 50.714264 62.481877, 50.688858 62.479974, 50.543976 62.450771, 50.469131 62.44283, 50.416946 62.425989, 50.347595 62.415816, 50.16444 62.33528, 49.97818 62.285172, 49.845657 62.218356, 49.805145 62.187616, 49.746094 62.175439, 49.595718 62.134708, 49.564819 62.139842, 49.470749 62.111913, 49.41925 62.109022, 49.307327 62.065628, 49.276428 62.026682, 49.177551 61.975751, 49.130173 61.969298, 49.115067 61.929259, 49.006577 61.892079, 48.543777 61.783513, 48.47806 61.74278, 48.306885 61.658595, 48.26088 61.618802, 48.280106 61.602478, 48.257446 61.563593, 47.936096 61.459114, 47.846146 61.439096, 47.667618 61.361196, 47.652512 61.34342, 47.507629 61.291019, 47.267303 61.249432, 46.668549 61.162781, 46.574478 61.154832, 46.49826 61.118371, 46.48083 61.09722, 46.396637 61.056624, 46.271667 61.020383, 46.174164 61.008737, 45.88028 60.904065, 45.737457 60.86531, 45.708618 60.852269, 45.608368 60.827846, 45.499191 60.786652, 45.405807 60.733322, 45.361862 60.726944, 45.290451 60.676878, 45.068665 60.603487, 44.975281 60.592362, 44.845505 60.547152, 44.649811 60.506273, 44.362106 60.474818, 44.26278 60.44778, 44.12178 60.406732, 44.030457 60.361941, 43.775711 60.305866, 43.520966 60.227539, 43.306732 60.18216, 43.236008 60.148683, 42.883072 60.042904, 42.763596 60.015805, 42.700424 60.006882, 42.499237 59.928872, 42.468338 59.92199, 42.274017 59.83964, 42.149048 59.750169, 42.148361 59.738752, 42.02028 59.67889, 41.462402 59.406656, 41.44249 59.372042, 41.30928 59.336691, 41.204224 59.297448, 41.062088 59.203361, 40.832062 59.148474, 40.477753 58.936902, 40.395355 58.901099, 40.340424 58.816942, 40.24889 58.78778, 40.170135 58.661228, 40.084305 58.616917, 40.082245 58.609049, 39.825439 58.416819, 39.721069 58.384798, 39.563141 58.282425, 39.488297 58.222449, 39.429245 58.195681, 39.416199 58.184099, 39.335175 58.15875, 39.320755 58.159837, 39.261703 58.141358, 39.245911 58.129033, 39.1642 58.10038, 39.122314 58.076787, 38.968506 58.00737, 38.961639 57.985172, 38.92662 57.967331, 38.859329 57.95531, 38.715134 57.917401, 38.60527 57.890767, 38.594971 57.876896, 38.514633 57.845116, 38.480988 57.852059, 38.42639 57.82667, 38.265381 57.813675, 38.213196 57.79831, 38.198776 57.782938, 38.08548 57.737517, 37.988663 57.710017, 37.908325 57.710017, 37.84584 57.70268, 37.756577 57.679192, 37.641907 57.663035, 37.469559 57.642828, 37.192841 57.588031, 37.089844 57.562259, 37.078171 57.553787, 37.030792 57.545681, 36.786346 57.437559, 36.67099 57.415378, 36.600952 57.383563, 36.535721 57.372087, 36.489029 57.351719, 36.174359 57.32578, 35.770798 57.163429, 35.676727 57.14071, 35.636902 57.136239, 35.384216 57.064257, 35.281219 57.071349, 35.050507 57.026532, 35.02667 56.96417)</t>
  </si>
  <si>
    <t>P0768</t>
  </si>
  <si>
    <t>Russia, Ukraine</t>
  </si>
  <si>
    <t>https://www.gem.wiki/Urengoy-Pomary-Uzhgorod_Gas_Pipeline</t>
  </si>
  <si>
    <t>Urengoy-Pomary-Uzhgorod Gas Pipeline</t>
  </si>
  <si>
    <t>Brotherhood Pipeline, West-Siberian Pipeline, Trans-Siberian Pipeline</t>
  </si>
  <si>
    <t>Gas Transmission System Operator of Ukraine [unknown %]; Gazprom [unknown %]</t>
  </si>
  <si>
    <t>Gazprom [unknown %]; JSC Mahistralni Gazoprovody Ukrainy (MGU) [unknown %]</t>
  </si>
  <si>
    <t>Urengoy</t>
  </si>
  <si>
    <t>Uzhhorod</t>
  </si>
  <si>
    <t>Zakarpattia Oblast</t>
  </si>
  <si>
    <t>Система газопроводов Уренгой - Помары - Ужгород</t>
  </si>
  <si>
    <t>LINESTRING (76.51694 66.48333, 76.306915 66.438166, 76.191559 66.426086, 76.113281 66.394211, 76.021271 66.392011, 75.741119 66.355136, 75.614777 66.347975, 75.379944 66.304965, 75.29068 66.252758, 75.263901 66.223154, 75.204163 66.202105, 75.184937 66.171332, 75.08194 66.109116, 75.043488 66.062076, 74.906158 66.021925, 74.761276 65.997637, 74.68083 65.9575, 74.583435 65.917069, 74.395294 65.872199, 74.251099 65.826688, 73.929749 65.71877, 73.89267 65.697019, 73.606339 65.579475, 73.46944 65.425, 73.418198 65.358822, 73.313141 65.300068, 73.230743 65.277678, 73.094788 65.134857, 72.960205 65.08891, 72.825623 64.931107, 72.721252 64.90491, 72.68692 64.860024, 72.34889 64.70639, 72.291412 64.669744, 72.033234 64.421258, 71.647339 64.37319, 71.475677 64.387441, 71.250458 64.355959, 71.173553 64.319681, 71.08806 64.30139, 71.006012 64.265473, 70.878296 64.254737, 70.75058 64.301822, 70.630074 64.327863, 70.141525 64.310456, 70.076294 64.237731, 69.945145 64.201298, 69.53944 64.03361, 69.45488 64.0157, 69.270172 64.006974, 69.179535 63.99102, 68.903503 63.91202, 68.577347 63.924095, 68.489456 63.903866, 68.426971 63.920775, 68.212738 63.911718, 67.886581 63.851262, 67.83194 63.815, 67.759552 63.810986, 67.505493 63.760333, 67.373657 63.696508, 67.322159 63.663019, 67.193069 63.62888, 66.998062 63.386908, 66.93556 63.24972, 66.522217 63.011678, 66.414757 62.906009, 66.352272 62.866265, 66.285324 62.792423, 66.225243 62.756769, 66.226616 62.733972, 66.078987 62.641975, 66.017876 62.587809, 65.94944 62.56278, 65.849648 62.543044, 65.796089 62.52024, 65.78373 62.50265, 65.670776 62.452676, 65.639191 62.366175, 65.606918 62.346423, 65.581512 62.342279, 65.476456 62.287407, 65.425644 62.197866, 65.064468 62.015085, 64.874268 61.982848, 64.82363 61.9484, 64.750671 61.909543, 64.708786 61.842219, 64.559784 61.783189, 64.526825 61.750869, 64.497986 61.737704, 64.452667 61.697198, 64.417648 61.683684, 64.37542 61.629897, 64.093552 61.502226, 63.951759 61.495673, 63.858891 61.468135, 63.692036 61.436552, 63.538742 61.43532, 63.34534 61.40031, 63.296356 61.394418, 63.281899 61.266833, 63.117791 61.201223, 63.069039 61.169192, 62.945443 61.146553, 62.876091 61.150024, 62.832833 61.129025, 62.8088 61.115128, 62.49363 61.044059, 62.405052 61.047376, 62.324028 61.022492, 62.06351 60.98759, 61.95942 60.983301, 61.758919 60.882444, 61.667595 60.855094, 61.564598 60.848753, 61.526146 60.821709, 60.64312 60.61024, 60.589562 60.618309, 60.41164 60.54671, 60.32795 60.448414, 60.339623 60.428088, 60.322457 60.406054, 60.345116 60.316068, 60.328636 60.294299, 60.222893 59.959135, 60.3246 59.81799, 60.564843 59.607349, 60.514031 59.331088, 60.525017 59.247628, 60.508538 59.206876, 60.531884 59.092088, 60.566216 59.077977, 60.586815 58.985406, 60.460472 58.831099, 59.69917 58.93444, 59.300042 58.668994, 59.213524 58.664005, 59.127007 58.56765, 58.864708 58.430152, 58.870201 58.417952, 58.50927 58.28623, 58.115578 58.168356, 58.092232 58.075344, 58.071633 58.046341, 58.073693 57.969006, 58.025627 57.916628, 57.967949 57.899516, 57.885552 57.780598, 57.567635 57.657619, 57.543602 57.630478, 57.480431 57.558126, 57.52369 57.490786, 57.4476 57.51843, 57.397385 57.483725, 57.360306 57.406502, 57.307434 57.362831, 57.320824 57.284424, 57.298851 57.261037, 57.195511 57.217378, 57.152596 57.212172, 57.015266 57.153934, 56.994667 57.151327, 56.948318 57.131954, 56.784554 57.131023, 56.687737 57.109402, 56.598473 57.106233, 56.338577 56.989703, 56.272659 56.963134, 56.155243 56.921184, 56.136017 56.923995, 56.090012 56.905441, 56.03199 56.8774, 55.789604 56.905909, 55.754585 56.890628, 55.669613 56.868492, 55.587902 56.868117, 55.528507 56.848127, 55.195313 56.80069, 55.148964 56.785648, 55.107079 56.775586, 54.995155 56.719957, 54.676208 56.627343, 54.616127 56.640749, 54.264908 56.606374, 54.24375 56.61374, 54.208946 56.612042, 54.098396 56.539612, 53.938065 56.543208, 53.871117 56.527874, 53.663578 56.536962, 53.44368 56.54018, 53.195114 56.554752, 53.181381 56.567239, 53.088684 56.573859, 53.066711 56.581234, 52.949982 56.56232, 52.68837 56.532607, 52.493019 56.537908, 52.444611 56.526927, 52.325821 56.531471, 52.298698 56.517458, 52.22866 56.49415, 52.189178 56.490363, 52.077942 56.501165, 52.045326 56.493585, 51.975975 56.500408, 51.698227 56.449211, 51.654968 56.453764, 51.525192 56.434407, 51.403656 56.390724, 51.377563 56.388063, 51.327438 56.367532, 51.247101 56.363729, 50.908241 56.27653, 50.843353 56.284344, 50.754433 56.252601, 50.614529 56.210475, 50.55685 56.21711, 50.44158 56.182827, 50.36948 56.1574, 50.331459 56.157788, 50.281076 56.161038, 50.269661 56.16534, 50.189924 56.162902, 50.129328 56.178193, 50.094566 56.17676, 49.959898 56.11996, 49.842567 56.104933, 49.798794 56.089326, 49.643955 56.094162, 49.54422 56.088224, 49.515123 56.079748, 49.471264 56.055983, 49.448433 56.059626, 49.355221 56.06044, 49.317884 56.038966, 49.306469 56.021125, 49.242611 56.000541, 49.197893 55.998525, 49.153519 56.012346, 49.130602 56.01652, 49.027863 56.015033, 48.985376 55.995597, 48.965979 55.995357, 48.929501 55.985035, 48.898859 55.988108, 48.873024 55.975143, 48.803973 55.962606, 48.700075 55.978121, 48.627119 56.002797, 48.60083 55.98833, 48.46344 55.996173, 48.437176 55.994349, 48.417263 56.002509, 48.396835 56.002125, 48.391342 55.980137, 48.282166 55.97351, 48.198395 55.961405, 48.057976 55.964191, 48.029137 55.932279, 47.935066 55.930741, 47.882538 55.917468, 47.861938 55.88648, 47.708817 55.871651, 47.673111 55.861248, 47.612343 55.861056, 47.4757 55.800316, 47.412186 55.796456, 47.264557 55.761316, 47.14917 55.7475, 47.125854 55.727303, 46.955566 55.68223, 46.94046 55.658609, 46.913681 55.652411, 46.880035 55.626445, 46.83815 55.626833, 46.812057 55.608608, 46.700821 55.574851, 46.665802 55.547281, 46.552505 55.498305, 46.532593 55.494805, 46.523666 55.482745, 46.448822 55.428624, 46.273727 55.423948, 46.099319 55.329926, 46.083527 55.308437, 45.95833 55.23861, 45.917358 55.208263, 45.681152 55.074829, 45.65094 55.053596, 45.580902 55.045729, 45.435333 54.975249, 45.348816 54.913725, 45.12085 54.866729, 45.078278 54.845385, 44.921722 54.766236, 44.910736 54.755935, 44.868851 54.753161, 44.856491 54.744442, 44.763107 54.731757, 44.671097 54.680183, 44.62655 54.66754, 44.535828 54.656357, 44.468536 54.624171, 44.463043 54.611846, 44.199371 54.506333, 44.101868 54.44569, 44.055176 54.427319, 44.013977 54.379358, 43.959732 54.367358, 43.954239 54.358557, 43.845062 54.356956, 43.692627 54.315322, 43.641815 54.311717, 43.629456 54.276451, 43.302612 54.156001, 43.26528 54.13972, 43.233948 54.140719, 43.175583 54.147556, 43.021088 54.121005, 42.992935 54.101281, 42.966156 54.066239, 42.892685 54.034393, 42.841187 54.026327, 42.427826 53.878845, 42.392807 53.878036, 42.355042 53.854552, 42.290497 53.839564, 42.224579 53.841589, 42.18544 53.827813, 42.140808 53.828218, 42.09549 53.799029, 42.069397 53.790106, 42.044678 53.766572, 42.004166 53.753177, 41.978073 53.751959, 41.901169 53.703617, 41.75889 53.65278, 41.687622 53.621023, 41.364212 53.557442, 41.254349 53.515409, 41.228256 53.510918, 41.184311 53.48968, 41.044235 53.476605, 40.977631 53.419763, 40.744171 53.352191, 40.711899 53.359977, 40.669327 53.359568, 40.642548 53.347272, 40.628128 53.326362, 40.626755 53.307083, 40.595856 53.298056, 40.569763 53.281227, 40.503845 53.26973, 40.44694 53.24222, 40.412521 53.237277, 40.389175 53.240153, 40.33905 53.232345, 40.273132 53.179704, 40.182495 53.194516, 39.865265 53.079178, 39.755402 52.998256, 39.711456 52.982137, 39.666824 52.977175, 39.591293 52.984617, 39.453278 52.946155, 39.293289 52.89192, 39.250031 52.89192, 39.194412 52.866643, 39.023438 52.814383, 38.80727 52.7916, 38.757706 52.745437, 38.72406 52.745022, 38.593597 52.712587, 38.539352 52.712171, 38.512573 52.706763, 38.497467 52.710923, 38.338852 52.646396, 38.266754 52.56216, 38.242722 52.540032, 38.207016 52.527501, 38.146591 52.495741, 38.106766 52.484035, 38.099213 52.429222, 37.898026 52.295882, 37.723618 52.208027, 37.692719 52.171826, 37.621307 52.137281, 37.56 52.05694, 37.339096 51.89302, 37.336349 51.876491, 37.191467 51.863348, 36.940842 51.773364, 36.729355 51.730856, 36.687469 51.714267, 36.590652 51.69299, 36.546707 51.663186, 36.473236 51.635493, 36.467056 51.617164, 36.399765 51.612047, 36.356506 51.598401, 36.235657 51.53096, 36.192398 51.536513, 36.0875 51.49722, 36.008377 51.480955, 35.855255 51.483093, 35.784531 51.495065, 35.726852 51.488652, 35.659561 51.454863, 35.620422 51.445021, 35.560684 51.388923, 35.4776 51.332328, 35.478973 51.310443, 35.455627 51.297135, 35.440521 51.297564, 35.359497 51.272226, 35.327911 51.241716, 35.255127 51.223228, 35.156937 51.193976, 35.098572 51.165567, 35.062866 51.16815, 34.994202 51.133693, 34.859619 51.10266, 34.73877 51.099641, 34.63028 51.03972, 34.621353 51.01721, 34.570541 51.000793, 34.547195 50.980912, 34.457932 50.941989, 34.423599 50.903466, 34.343262 50.873145, 34.29863 50.838034, 34.295883 50.816782, 34.280777 50.804199, 34.118729 50.756007, 34.104996 50.736021, 34.037704 50.712113, 34.012299 50.711678, 33.971786 50.668178, 33.936768 50.655991, 33.907928 50.658603, 33.834457 50.597186, 33.801498 50.597186, 33.743134 50.563177, 33.701935 50.513863, 33.594818 50.496831, 33.493195 50.499015, 33.454742 50.489842, 33.3975 50.44833, 33.362045 50.436516, 33.359299 50.414206, 33.327026 50.393199, 33.322906 50.340202, 33.272781 50.302937, 33.138199 50.277054, 32.983704 50.216019, 32.963104 50.190968, 32.968597 50.155786, 32.926025 50.136425, 32.927399 50.121459, 32.904053 50.115295, 32.880707 50.071684, 32.790756 50.042148, 32.774963 50.009063, 32.56073 49.935754, 32.529831 49.913651, 32.267532 49.843296, 32.235947 49.843739, 32.205048 49.826467, 32.119904 49.803871, 32.11556 49.79139, 32.099991 49.736463, 31.941376 49.719596, 31.764221 49.674294, 31.631012 49.671627, 31.602859 49.664072, 31.482697 49.578219, 31.423645 49.552835, 31.293869 49.523871, 31.258163 49.5261, 31.228638 49.517631, 31.147614 49.527437, 31.093369 49.507823, 31.041183 49.521197, 30.971146 49.502026, 30.894241 49.496229, 30.83107 49.509606, 30.76583 49.50306, 30.738373 49.504701, 30.674515 49.510498, 30.604477 49.503364, 30.559845 49.487308, 30.419769 49.480171, 30.297546 49.431073, 30.213776 49.433306, 30.125885 49.395781, 30.113525 49.379244, 30.093613 49.372985, 30.092239 49.3627, 30.05722 49.341231, 29.8423 49.295128, 29.805222 49.275869, 29.768829 49.277661, 29.598541 49.239569, 29.548416 49.250327, 29.304657 49.191128, 29.26917 49.18889, 29.238224 49.185743, 29.200459 49.190679, 29.137201 49.181591, 29.089522 49.182278, 27.73 49.005, 26.13944 49.01722, 24.57056 48.79083, 23.19194 48.73528)</t>
  </si>
  <si>
    <t>P0769</t>
  </si>
  <si>
    <t>Russia, Belarus, Germany, Poland</t>
  </si>
  <si>
    <t>https://www.gem.wiki/Yamal-Europe_Gas_Pipeline</t>
  </si>
  <si>
    <t>Yamal-Europe Gas Pipeline</t>
  </si>
  <si>
    <t>EuRoPol Gaz [unknown %]; GASCADE Gastransport GmbH [unknown %]; Gazprom [unknown %]</t>
  </si>
  <si>
    <t>BASF [unknown %]; Gazprom [unknown %]; PGNiG [unknown %]</t>
  </si>
  <si>
    <t>Torzhok gas hub</t>
  </si>
  <si>
    <t>Frankfurt an der Oder</t>
  </si>
  <si>
    <t>Ямал — Европа</t>
  </si>
  <si>
    <t>LINESTRING (34.968109130859375 57.04110340096688, 34.72229 56.805014, 34.70993 56.80163, 34.544449 56.659246, 34.51561 56.592766, 34.348755 56.406304, 34.313049 56.389584, 34.19928 56.28667, 34.1655083 56.2573705, 34.1557236 56.2409188, 34.1369267 56.2106197, 34.1252537 56.2049389, 34.1152973 56.2012627, 34.0899773 56.1871273, 34.0524092 56.1665573, 34.0397663 56.1606096, 34.0365906 56.1477024, 34.0161629 56.1411037, 34.0028591 56.1312993, 33.979599 56.11331, 33.9752217 56.1104386, 33.9647503 56.1038814, 33.9617462 56.1017273, 33.9578238 56.0925568, 33.9464083 56.0725853, 33.9454384 56.0694497, 33.9450093 56.0668146, 33.9432926 56.0586206, 33.9154234 56.0350568, 33.9100876 56.0300276, 33.9051237 56.0254172, 33.8987465 56.0197834, 33.8781729 56.0015716, 33.8563719 55.9821772, 33.8328285 55.9602531, 33.8261595 55.9541245, 33.8257046 55.9472787, 33.8095083 55.9315811, 33.7700863 55.9122742, 33.7447663 55.8996206, 33.7332907 55.8930011, 33.7288018 55.8900434, 33.7221327 55.8839518, 33.7021942 55.8733861, 33.7012914 55.8728999, 33.6868563 55.8651245, 33.6761875 55.8589856, 33.6634245 55.8471073, 33.6590214 55.8450136, 33.6561289 55.8428185, 33.6553307 55.8407728, 33.6543007 55.8385558, 33.6498375 55.8346517, 33.6400528 55.8252032, 33.6227408 55.8065138, 33.6131277 55.7967207, 33.6013432 55.7845386, 33.5986824 55.783332, 33.5626593 55.7697407, 33.5449524 55.7631038, 33.5434933 55.7618, 33.5386009 55.7556182, 33.5370817 55.7531766, 33.5259238 55.7361223, 33.5019512 55.7007603, 33.4848999 55.6783337, 33.4822102 55.6747787, 33.4600058 55.6453144, 33.4581175 55.6433769, 33.4447022 55.6306138, 33.4300251 55.6177715, 33.428566 55.6152026, 33.425416 55.6078073, 33.4212704 55.5996397, 33.4180217 55.5908932, 33.4142752 55.5874276, 33.4110995 55.5839725, 33.4092541 55.5824686, 33.4021302 55.5769135, 33.3925171 55.5697804, 33.3907147 55.5686157, 33.3830757 55.5645146, 33.3675404 55.5561171, 33.3643217 55.554952, 33.3603306 55.5537383, 33.3561678 55.5523304, 33.3488722 55.5495629, 33.3346724 55.5440023, 33.3245808 55.5407741, 33.3122641 55.5358445, 33.2962052 55.529463, 33.293287 55.521228, 33.2920424 55.5204992, 33.2566952 55.5064834, 33.2531375 55.5053022, 33.2531375 55.5053022, 33.245814 55.5044844, 33.2161037 55.4943298, 33.1830353 55.4726919, 33.1779667 55.4712921, 33.1718764 55.4696255, 33.161166 55.4667129, 33.1578899 55.4638873, 33.1394324 55.4539417, 33.1324401 55.4497606, 33.1286911 55.4470243, 33.1038283 55.4253123, 33.094841 55.4171307, 33.0907523 55.4134821, 33.0843438 55.4094791, 33.0710091 55.3989847, 33.0488433 55.3809225, 33.0344989 55.3692777, 33.0022029 55.3539992, 32.9883391 55.3469867, 32.982537 55.3443085, 32.9708726 55.3356382, 32.968126 55.3346619, 32.9503504 55.3275886, 32.9331071 55.3203065, 32.9272277 55.3174494, 32.9192025 55.3138107, 32.9119841 55.3107639, 32.9107911 55.3103426, 32.9095036 55.3101472, 32.9077441 55.3100983, 32.8902346 55.3114416, 32.8885609 55.3112707, 32.8871018 55.3109776, 32.8793341 55.3086572, 32.869764 55.3065077, 32.8569752 55.303381, 32.8439719 55.300425, 32.8286511 55.2969557, 32.8107983 55.2932662, 32.7914435 55.289112, 32.7899415 55.2883545, 32.7866713 55.2854523, 32.7731616 55.276158, 32.7413098 55.2654311, 32.7311475 55.261757, 32.7175433 55.2559854, 32.7154834 55.2545423, 32.7096898 55.2492589, 32.7084882 55.2485494, 32.7016131 55.2453753, 32.6879317 55.2388856, 32.676851 55.2349031, 32.66347 55.2306878, 32.6531274 55.2272124, 32.6227004 55.2170048, 32.6147181 55.2142872, 32.6141173 55.2138465, 32.6136882 55.2132344, 32.6099889 55.2069965, 32.5948483 55.1996188, 32.5808579 55.1924418, 32.5753648 55.1893306, 32.5656659 55.1834749, 32.5465686 55.1723492, 32.5397879 55.168354, 32.5160472 55.1549499, 32.5032155 55.1476423, 32.4967353 55.1449935, 32.4940402 55.1422894, 32.4907786 55.1400328, 32.4843327 55.1361876, 32.4797408 55.1325813, 32.4718959 55.1271038, 32.4549443 55.1154469, 32.4527985 55.1140724, 32.4480778 55.1120842, 32.4466616 55.110955, 32.4258906 55.0963468, 32.4131018 55.087825, 32.4054629 55.0826176, 32.3819367 55.07604, 32.3769242 55.0743631, 32.3738772 55.0727661, 32.3543936 55.0637968, 32.3504884 55.0617078, 32.3463256 55.0592008, 32.3377339 55.0539713, 32.3351676 55.0527852, 32.322765 55.0486551, 32.3128859 55.0452191, 32.3043114 55.0421886, 32.2904927 55.0363851, 32.2819955 55.0277029, 32.2788197 55.0249724, 32.2695071 55.019437, 32.2654731 55.0178378, 32.2602374 55.016017, 32.2516114 55.0131627, 32.2503239 55.0123752, 32.2463757 55.0094714, 32.2343165 55.0005372, 32.2264201 54.995097, 32.2093827 54.9829337, 32.1986024 54.9750096, 32.189942 54.9690424, 32.1787411 54.9604195, 32.169171 54.9526819, 32.1653516 54.9496013, 32.1627337 54.9479253, 32.1553523 54.9434146, 32.1535069 54.9427737, 32.1514041 54.9426505, 32.145353 54.9429709, 32.140289 54.9426505, 32.1247021 54.9397478, 32.1226937 54.9388788, 32.1212346 54.9376708, 32.1208827 54.936395, 32.1210629 54.9337507, 32.1217496 54.926082, 32.1121279 54.9192566, 32.1093384 54.914866, 32.103768 54.9096547, 32.0945756 54.9076378, 32.0769459 54.9035113, 32.0686204 54.8985514, 32.0640284 54.895516, 32.0600802 54.8927024, 32.0589215 54.8916164, 32.0580632 54.8889014, 32.0531708 54.8814463, 32.0438582 54.8786565, 32.0387084 54.8789527, 32.0360605 54.8777429, 32.0360605 54.8777429, 32.0117919 54.878317, 31.9918792 54.876101, 31.9622676 54.8741874, 31.956047 54.8757479, 31.9451443 54.8795058, 31.92636 54.87819, 31.884041 54.877496, 31.837006 54.883322, 31.733494 54.874335, 31.638393 54.850623, 31.621399 54.854379, 31.564236 54.850228, 31.536598 54.83461, 31.452141 54.815426, 31.400642 54.788116, 31.295757 54.757124, 31.278763 54.762968, 31.131992 54.727495, 31.080151 54.707367, 31.041698 54.705284, 30.984535 54.69338, 30.983505 54.687824, 30.922909 54.673632, 30.885315 54.676412, 30.823174 54.666386, 30.802917 54.672044, 30.71949 54.659634, 30.65855 54.639671, 30.603104 54.63222, 30.49972 54.61816, 29.02751 54.364558, 27.872829 53.755511, 26.642489 53.289666, 25.290248 53.089849, 23.894663 53.018088, 22.181525 52.938901, 20.553424 52.924849, 18.954721 52.739696, 16.557276 52.565226, 14.474144 52.442893)</t>
  </si>
  <si>
    <t>P0772</t>
  </si>
  <si>
    <t>https://www.gem.wiki/Bacau_Gas_Pipeline</t>
  </si>
  <si>
    <t>Bacau Gas Pipeline</t>
  </si>
  <si>
    <t>Stratum Energy [100.00%]</t>
  </si>
  <si>
    <t>Poduri field</t>
  </si>
  <si>
    <t>Bacau County</t>
  </si>
  <si>
    <t>LINESTRING (26.530223 46.469804, 26.916387 46.564647)</t>
  </si>
  <si>
    <t>P0774</t>
  </si>
  <si>
    <t>https://www.gem.wiki/Progress_Gas_Pipeline</t>
  </si>
  <si>
    <t>Progress Gas Pipeline</t>
  </si>
  <si>
    <t>Yamburg - Western border of USSR gas pipeline</t>
  </si>
  <si>
    <t>Yamburg gas field</t>
  </si>
  <si>
    <t>Tyumen Oblast</t>
  </si>
  <si>
    <t>Газопровод "Прогресс"</t>
  </si>
  <si>
    <t>LINESTRING (74.901217 67.9098712, 76.51694 66.48333, 76.306915 66.438166, 76.191559 66.426086, 76.113281 66.394211, 76.021271 66.392011, 75.741119 66.355136, 75.614777 66.347975, 75.379944 66.304965, 75.29068 66.252758, 75.263901 66.223154, 75.204163 66.202105, 75.184937 66.171332, 75.08194 66.109116, 75.043488 66.062076, 74.906158 66.021925, 74.761276 65.997637, 74.68083 65.9575, 74.583435 65.917069, 74.395294 65.872199, 74.251099 65.826688, 73.929749 65.71877, 73.89267 65.697019, 73.606339 65.579475, 73.46944 65.425, 73.418198 65.358822, 73.313141 65.300068, 73.230743 65.277678, 73.094788 65.134857, 72.960205 65.08891, 72.825623 64.931107, 72.721252 64.90491, 72.68692 64.860024, 72.34889 64.70639, 72.291412 64.669744, 72.033234 64.421258, 71.647339 64.37319, 71.475677 64.387441, 71.250458 64.355959, 71.173553 64.319681, 71.08806 64.30139, 71.006012 64.265473, 70.878296 64.254737, 70.75058 64.301822, 70.630074 64.327863, 70.141525 64.310456, 70.076294 64.237731, 69.945145 64.201298, 69.53944 64.03361, 69.45488 64.0157, 69.270172 64.006974, 69.179535 63.99102, 68.903503 63.91202, 68.577347 63.924095, 68.489456 63.903866, 68.426971 63.920775, 68.212738 63.911718, 67.886581 63.851262, 67.83194 63.815, 67.759552 63.810986, 67.505493 63.760333, 67.373657 63.696508, 67.322159 63.663019, 67.193069 63.62888, 66.998062 63.386908, 66.93556 63.24972, 66.522217 63.011678, 66.414757 62.906009, 66.352272 62.866265, 66.285324 62.792423, 66.225243 62.756769, 66.226616 62.733972, 66.078987 62.641975, 66.017876 62.587809, 65.94944 62.56278, 65.849648 62.543044, 65.796089 62.52024, 65.78373 62.50265, 65.670776 62.452676, 65.639191 62.366175, 65.606918 62.346423, 65.581512 62.342279, 65.476456 62.287407, 65.425644 62.197866, 65.064468 62.015085, 64.874268 61.982848, 64.82363 61.9484, 64.750671 61.909543, 64.708786 61.842219, 64.559784 61.783189, 64.526825 61.750869, 64.497986 61.737704, 64.452667 61.697198, 64.417648 61.683684, 64.37542 61.629897, 64.093552 61.502226, 63.951759 61.495673, 63.858891 61.468135, 63.692036 61.436552, 63.538742 61.43532, 63.34534 61.40031, 63.296356 61.394418, 63.281899 61.266833, 63.117791 61.201223, 63.069039 61.169192, 62.945443 61.146553, 62.876091 61.150024, 62.832833 61.129025, 62.8088 61.115128, 62.49363 61.044059, 62.405052 61.047376, 62.324028 61.022492, 62.06351 60.98759, 61.95942 60.983301, 61.758919 60.882444, 61.667595 60.855094, 61.564598 60.848753, 61.526146 60.821709, 60.64312 60.61024, 60.589562 60.618309, 60.41164 60.54671, 60.32795 60.448414, 60.339623 60.428088, 60.322457 60.406054, 60.345116 60.316068, 60.328636 60.294299, 60.222893 59.959135, 60.3246 59.81799, 60.564843 59.607349, 60.514031 59.331088, 60.525017 59.247628, 60.508538 59.206876, 60.531884 59.092088, 60.566216 59.077977, 60.586815 58.985406, 60.460472 58.831099, 59.69917 58.93444, 59.300042 58.668994, 59.213524 58.664005, 59.127007 58.56765, 58.864708 58.430152, 58.870201 58.417952, 58.50927 58.28623, 58.115578 58.168356, 58.092232 58.075344, 58.071633 58.046341, 58.073693 57.969006, 58.025627 57.916628, 57.967949 57.899516, 57.885552 57.780598, 57.567635 57.657619, 57.543602 57.630478, 57.480431 57.558126, 57.52369 57.490786, 57.4476 57.51843, 57.397385 57.483725, 57.360306 57.406502, 57.307434 57.362831, 57.320824 57.284424, 57.298851 57.261037, 57.195511 57.217378, 57.152596 57.212172, 57.015266 57.153934, 56.994667 57.151327, 56.948318 57.131954, 56.784554 57.131023, 56.687737 57.109402, 56.598473 57.106233, 56.338577 56.989703, 56.272659 56.963134, 56.155243 56.921184, 56.136017 56.923995, 56.090012 56.905441, 56.03199 56.8774, 55.789604 56.905909, 55.754585 56.890628, 55.669613 56.868492, 55.587902 56.868117, 55.528507 56.848127, 55.195313 56.80069, 55.148964 56.785648, 55.107079 56.775586, 54.995155 56.719957, 54.676208 56.627343, 54.616127 56.640749, 54.264908 56.606374, 54.24375 56.61374, 54.208946 56.612042, 54.098396 56.539612, 53.938065 56.543208, 53.871117 56.527874, 53.663578 56.536962, 53.44368 56.54018, 53.195114 56.554752, 53.181381 56.567239, 53.088684 56.573859, 53.066711 56.581234, 52.949982 56.56232, 52.68837 56.532607, 52.493019 56.537908, 52.444611 56.526927, 52.325821 56.531471, 52.298698 56.517458, 52.22866 56.49415, 52.189178 56.490363, 52.077942 56.501165, 52.045326 56.493585, 51.975975 56.500408, 51.698227 56.449211, 51.654968 56.453764, 51.525192 56.434407, 51.403656 56.390724, 51.377563 56.388063, 51.327438 56.367532, 51.247101 56.363729, 50.908241 56.27653, 50.843353 56.284344, 50.754433 56.252601, 50.614529 56.210475, 50.55685 56.21711, 50.44158 56.182827, 50.36948 56.1574, 50.331459 56.157788, 50.281076 56.161038, 50.269661 56.16534, 50.189924 56.162902, 50.129328 56.178193, 50.094566 56.17676, 49.959898 56.11996, 49.842567 56.104933, 49.798794 56.089326, 49.643955 56.094162, 49.54422 56.088224, 49.515123 56.079748, 49.471264 56.055983, 49.448433 56.059626, 49.355221 56.06044, 49.317884 56.038966, 49.306469 56.021125, 49.242611 56.000541, 49.197893 55.998525, 49.153519 56.012346, 49.130602 56.01652, 49.027863 56.015033, 48.985376 55.995597, 48.965979 55.995357, 48.929501 55.985035, 48.898859 55.988108, 48.873024 55.975143, 48.803973 55.962606, 48.700075 55.978121, 48.627119 56.002797, 48.60083 55.98833, 48.46344 55.996173, 48.437176 55.994349, 48.417263 56.002509, 48.396835 56.002125, 48.391342 55.980137, 48.282166 55.97351, 48.198395 55.961405, 48.057976 55.964191, 48.029137 55.932279, 47.935066 55.930741, 47.882538 55.917468, 47.861938 55.88648, 47.708817 55.871651, 47.673111 55.861248, 47.612343 55.861056, 47.4757 55.800316, 47.412186 55.796456, 47.264557 55.761316, 47.14917 55.7475, 47.125854 55.727303, 46.955566 55.68223, 46.94046 55.658609, 46.913681 55.652411, 46.880035 55.626445, 46.83815 55.626833, 46.812057 55.608608, 46.700821 55.574851, 46.665802 55.547281, 46.552505 55.498305, 46.532593 55.494805, 46.523666 55.482745, 46.448822 55.428624, 46.273727 55.423948, 46.099319 55.329926, 46.083527 55.308437, 45.95833 55.23861, 45.917358 55.208263, 45.681152 55.074829, 45.65094 55.053596, 45.580902 55.045729, 45.435333 54.975249, 45.348816 54.913725, 45.12085 54.866729, 45.078278 54.845385, 44.921722 54.766236, 44.910736 54.755935, 44.868851 54.753161, 44.856491 54.744442, 44.763107 54.731757, 44.671097 54.680183, 44.62655 54.66754, 44.535828 54.656357, 44.468536 54.624171, 44.463043 54.611846, 44.199371 54.506333, 44.101868 54.44569, 44.055176 54.427319, 44.013977 54.379358, 43.959732 54.367358, 43.954239 54.358557, 43.845062 54.356956, 43.692627 54.315322, 43.641815 54.311717, 43.629456 54.276451, 43.302612 54.156001, 43.26528 54.13972, 43.233948 54.140719, 43.175583 54.147556, 43.021088 54.121005, 42.992935 54.101281, 42.966156 54.066239, 42.892685 54.034393, 42.841187 54.026327, 42.427826 53.878845, 42.392807 53.878036, 42.355042 53.854552, 42.290497 53.839564, 42.224579 53.841589, 42.18544 53.827813, 42.140808 53.828218, 42.09549 53.799029, 42.069397 53.790106, 42.044678 53.766572, 42.004166 53.753177, 41.978073 53.751959, 41.901169 53.703617, 41.75889 53.65278, 41.687622 53.621023, 41.364212 53.557442, 41.254349 53.515409, 41.228256 53.510918, 41.184311 53.48968, 41.044235 53.476605, 40.977631 53.419763, 40.744171 53.352191, 40.711899 53.359977, 40.669327 53.359568, 40.642548 53.347272, 40.628128 53.326362, 40.626755 53.307083, 40.595856 53.298056, 40.569763 53.281227, 40.503845 53.26973, 40.44694 53.24222, 40.412521 53.237277, 40.389175 53.240153, 40.33905 53.232345, 40.273132 53.179704, 40.182495 53.194516, 39.865265 53.079178, 39.755402 52.998256, 39.711456 52.982137, 39.666824 52.977175, 39.591293 52.984617, 39.453278 52.946155, 39.293289 52.89192, 39.250031 52.89192, 39.194412 52.866643, 39.023438 52.814383, 38.80727 52.7916, 38.757706 52.745437, 38.72406 52.745022, 38.593597 52.712587, 38.539352 52.712171, 38.512573 52.706763, 38.497467 52.710923, 38.338852 52.646396, 38.266754 52.56216, 38.242722 52.540032, 38.207016 52.527501, 38.146591 52.495741, 38.106766 52.484035, 38.099213 52.429222, 37.898026 52.295882, 37.723618 52.208027, 37.692719 52.171826, 37.621307 52.137281, 37.56 52.05694, 37.339096 51.89302, 37.336349 51.876491, 37.191467 51.863348, 36.940842 51.773364, 36.729355 51.730856, 36.687469 51.714267, 36.590652 51.69299, 36.546707 51.663186, 36.473236 51.635493, 36.467056 51.617164, 36.399765 51.612047, 36.356506 51.598401, 36.235657 51.53096, 36.192398 51.536513, 36.0875 51.49722, 36.008377 51.480955, 35.855255 51.483093, 35.784531 51.495065, 35.726852 51.488652, 35.659561 51.454863, 35.620422 51.445021, 35.560684 51.388923, 35.4776 51.332328, 35.478973 51.310443, 35.455627 51.297135, 35.440521 51.297564, 35.359497 51.272226, 35.327911 51.241716, 35.255127 51.223228, 35.156937 51.193976, 35.098572 51.165567, 35.062866 51.16815, 34.994202 51.133693, 34.859619 51.10266, 34.73877 51.099641, 34.63028 51.03972, 34.621353 51.01721, 34.570541 51.000793, 34.547195 50.980912, 34.457932 50.941989, 34.423599 50.903466, 34.343262 50.873145, 34.29863 50.838034, 34.295883 50.816782, 34.280777 50.804199, 34.118729 50.756007, 34.104996 50.736021, 34.037704 50.712113, 34.012299 50.711678, 33.971786 50.668178, 33.936768 50.655991, 33.907928 50.658603, 33.834457 50.597186, 33.801498 50.597186, 33.743134 50.563177, 33.701935 50.513863, 33.594818 50.496831, 33.493195 50.499015, 33.454742 50.489842, 33.3975 50.44833, 33.362045 50.436516, 33.359299 50.414206, 33.327026 50.393199, 33.322906 50.340202, 33.272781 50.302937, 33.138199 50.277054, 32.983704 50.216019, 32.963104 50.190968, 32.968597 50.155786, 32.926025 50.136425, 32.927399 50.121459, 32.904053 50.115295, 32.880707 50.071684, 32.790756 50.042148, 32.774963 50.009063, 32.56073 49.935754, 32.529831 49.913651, 32.267532 49.843296, 32.235947 49.843739, 32.205048 49.826467, 32.119904 49.803871, 32.11556 49.79139, 32.099991 49.736463, 31.941376 49.719596, 31.764221 49.674294, 31.631012 49.671627, 31.602859 49.664072, 31.482697 49.578219, 31.423645 49.552835, 31.293869 49.523871, 31.258163 49.5261, 31.228638 49.517631, 31.147614 49.527437, 31.093369 49.507823, 31.041183 49.521197, 30.971146 49.502026, 30.894241 49.496229, 30.83107 49.509606, 30.76583 49.50306, 30.738373 49.504701, 30.674515 49.510498, 30.604477 49.503364, 30.559845 49.487308, 30.419769 49.480171, 30.297546 49.431073, 30.213776 49.433306, 30.125885 49.395781, 30.113525 49.379244, 30.093613 49.372985, 30.092239 49.3627, 30.05722 49.341231, 29.8423 49.295128, 29.805222 49.275869, 29.768829 49.277661, 29.598541 49.239569, 29.548416 49.250327, 29.304657 49.191128, 29.26917 49.18889, 29.238224 49.185743, 29.200459 49.190679, 29.137201 49.181591, 29.089522 49.182278, 27.73 49.005, 26.13944 49.01722, 24.57056 48.79083, 23.19194 48.73528)</t>
  </si>
  <si>
    <t>P0775</t>
  </si>
  <si>
    <t>https://www.gem.wiki/Yelets_Kursk_Dykanka_Pipeline</t>
  </si>
  <si>
    <t>Yelets-Kursk-Dykanka Gas Pipeline</t>
  </si>
  <si>
    <t>Yelets</t>
  </si>
  <si>
    <t>Lipetsk Oblast</t>
  </si>
  <si>
    <t>Dykanka</t>
  </si>
  <si>
    <t>Dykanka Raion</t>
  </si>
  <si>
    <t>Poltava Oblast</t>
  </si>
  <si>
    <t>LINESTRING (38.505269 52.618443, 36.156868 51.710592, 34.525267 49.824801)</t>
  </si>
  <si>
    <t>P0776</t>
  </si>
  <si>
    <t>https://www.gem.wiki/Yelets-Kursk-Kyiv_Gas_Pipeline</t>
  </si>
  <si>
    <t>Yelets-Kursk-Kyiv Gas Pipeline</t>
  </si>
  <si>
    <t>Kursk</t>
  </si>
  <si>
    <t>Kyiv</t>
  </si>
  <si>
    <t>LINESTRING (38.505269 52.618443, 36.156868 51.710592, 30.52201 50.455665)</t>
  </si>
  <si>
    <t>P0777</t>
  </si>
  <si>
    <t>https://www.gem.wiki/Kyiv_Western_Border_Pipeline</t>
  </si>
  <si>
    <t>Kyiv–Western Border Pipeline</t>
  </si>
  <si>
    <t>Gas Transmission System Operator of Ukraine [unknown %]</t>
  </si>
  <si>
    <t>JSC Mahistralni Gazoprovody Ukrainy (MGU) [unknown %]</t>
  </si>
  <si>
    <t>LINESTRING (28.755434 50.263433, 22.288228 48.623419)</t>
  </si>
  <si>
    <t>P0778</t>
  </si>
  <si>
    <t>https://www.gem.wiki/Komarno_Drozdovychi_Pipeline</t>
  </si>
  <si>
    <t>Komarno-Drozdovychi Gas Pipeline</t>
  </si>
  <si>
    <t>Komarno Compressor Station</t>
  </si>
  <si>
    <t>Lviv Oblast</t>
  </si>
  <si>
    <t>Drozdovychi Gas Metering Station</t>
  </si>
  <si>
    <t>газопровід Комарно-Дроздовичі</t>
  </si>
  <si>
    <t>LINESTRING (18.131614 47.762446, 23.641684 49.807127)</t>
  </si>
  <si>
    <t>P0779</t>
  </si>
  <si>
    <t>Russia, Belarus, Ukraine</t>
  </si>
  <si>
    <t>https://www.gem.wiki/Torzhok-Smolensk-Mazyr-Dolyna_Gas_Pipeline</t>
  </si>
  <si>
    <t>Torzhok-Smolensk-Mazyr-Dolyna Gas Pipeline</t>
  </si>
  <si>
    <t>Dolyna</t>
  </si>
  <si>
    <t>Газопровод Торжок-Смоленск-Мазыр-Долина</t>
  </si>
  <si>
    <t>LINESTRING (34.974 57.0393, 32.702 55.6467, 32.049 54.7952, 29.216828 52.037681, 23.989637 48.976337)</t>
  </si>
  <si>
    <t>P0780</t>
  </si>
  <si>
    <t>https://www.gem.wiki/Uzhhorod_Berehove_Pipeline</t>
  </si>
  <si>
    <t>Uzhhorod-Berehove Gas Pipeline</t>
  </si>
  <si>
    <t>Berehove</t>
  </si>
  <si>
    <t>Газопровод Ужгород-Берегово</t>
  </si>
  <si>
    <t>LINESTRING (22.291995 48.617288, 22.638493 48.198869)</t>
  </si>
  <si>
    <t>P0783</t>
  </si>
  <si>
    <t>https://www.gem.wiki/Yelets_Kremenchuk_Kryvyi_Rih_Pipeline</t>
  </si>
  <si>
    <t>Yelets-Kremenchuk–Kryvyi Rih Gas Pipeline</t>
  </si>
  <si>
    <t>LINESTRING (38.504582 52.618026, 33.424705 49.068478, 33.388533 47.913069)</t>
  </si>
  <si>
    <t>P0784</t>
  </si>
  <si>
    <t>https://www.gem.wiki/Shebelinka_Dnipropetrovsk_Kryvyi_Rih_Rozdilna_Izmail_Pipeline</t>
  </si>
  <si>
    <t>Shebelinka-Dnipropetrovsk–Kryvyi Rih–Rozdilna-Izmail Gas Pipeline</t>
  </si>
  <si>
    <t>Shebelinka</t>
  </si>
  <si>
    <t>Izmail</t>
  </si>
  <si>
    <t>Шебелинка - Дніпропетровськ - Кривий Ріг - Ізмаїл (ШДКРІ)</t>
  </si>
  <si>
    <t>LINESTRING (36.518795 49.451521, 35.023742 48.467024, 33.391281 47.913062, 30.071849 46.85255, 28.843848 45.346168)</t>
  </si>
  <si>
    <t>P0786</t>
  </si>
  <si>
    <t>Ukraine, Moldova</t>
  </si>
  <si>
    <t>https://www.gem.wiki/Ananyiv_Tiraspol_Izmail_Pipeline</t>
  </si>
  <si>
    <t>Anan'iv-Tiraspol-Izmail Gas Pipeline</t>
  </si>
  <si>
    <t>LINESTRING (28.4127998 45.401001, 28.6592999 45.7029991, 29.2696991 45.9761009, 29.7681999 46.6800003, 30.0706997 47.6208)</t>
  </si>
  <si>
    <t>P0787</t>
  </si>
  <si>
    <t>https://www.gem.wiki/Rozdilna-Izmail_Gas_Pipeline</t>
  </si>
  <si>
    <t>Rozdilna-Izmail Gas Pipeline</t>
  </si>
  <si>
    <t>Rozdilna</t>
  </si>
  <si>
    <t>газопровод «Раздельная-Измаил»</t>
  </si>
  <si>
    <t>LINESTRING (30.07391 46.854075, 28.83732 45.341829)</t>
  </si>
  <si>
    <t>P0788</t>
  </si>
  <si>
    <t>Ukraine, Russia</t>
  </si>
  <si>
    <t>https://www.gem.wiki/Ostrogozhsk_Shebelinka_Pipeline</t>
  </si>
  <si>
    <t>Ostrogozhsk-Shebelinka Gas Pipeline</t>
  </si>
  <si>
    <t>Ostrogozhsk</t>
  </si>
  <si>
    <t>Voronezh</t>
  </si>
  <si>
    <t>LINESTRING (39.064697 50.855832, 38.104345 50.193804, 36.519052 49.451354)</t>
  </si>
  <si>
    <t>P0789</t>
  </si>
  <si>
    <t>https://www.gem.wiki/Urengoy-Novopskov_Gas_Pipeline</t>
  </si>
  <si>
    <t>Urengoy-Novopskov Gas Pipeline</t>
  </si>
  <si>
    <t>Novopskov</t>
  </si>
  <si>
    <t>LINESTRING (76.797931 66.071385, 73.041293 65.318595, 70.936146 64.787876, 69.050016 64.226985, 66.674724 63.703598, 63.542894 62.237523, 63.299371 61.337918, 63.211494 61.331391, 63.039741 61.268295, 63.007308 61.240503, 62.80332 61.21998, 62.790385 61.206228, 62.742757 61.186842, 62.422874 61.113333, 62.340421 61.117632, 62.254549 61.092762, 61.998225 61.056362, 61.889593 61.052275, 61.609205 60.926621, 61.495838 60.918402, 61.459552 60.894613, 60.573895 60.68035, 60.523517 60.686714, 60.346441 60.619672, 60.155515 59.956597, 60.340113 59.730932, 60.498508 59.608377, 60.49672 59.079313, 60.518701 58.985638, 60.395213 58.903355, 59.636543 59.002712, 57.199159 56.467563, 56.936727 56.224885, 56.943803 56.080662, 56.897747 56.064444, 56.509523 55.373335, 56.361287 55.436772, 55.127404 55.356011, 50.276162 53.48992, 49.723078 53.683681, 48.973579 53.546608, 44.326347 51.963744, 43.141575 51.444509, 41.783605 50.996598, 41.065779 50.33008, 39.151132 49.526058)</t>
  </si>
  <si>
    <t>P0790</t>
  </si>
  <si>
    <t>https://www.gem.wiki/Petrovsk_Novopskov_Pipeline</t>
  </si>
  <si>
    <t>Petrovsk-Novopskov Gas Pipeline</t>
  </si>
  <si>
    <t>Petrovsk</t>
  </si>
  <si>
    <t>LINESTRING (45.41893 52.2602, 45.427056 52.170415, 45.011635 52.138027, 44.978676 52.111511, 44.954644 52.113616, 44.889412 52.092982, 44.799462 52.092982, 44.782982 52.083714, 44.750023 52.0854, 44.675865 52.031444, 44.549523 51.985868, 44.405327 51.933483, 44.39635 51.89374, 44.358635 51.882729, 44.313317 51.833613, 44.236412 51.789532, 44.199333 51.79038, 44.175988 51.774263, 44.148522 51.775111, 44.033165 51.759837, 43.990593 51.69019, 43.899956 51.675738, 43.853264 51.640012, 43.802452 51.651924, 43.78048 51.631502, 43.750267 51.637459, 43.728295 51.617031, 43.500328 51.51475, 43.493462 51.480605, 43.390465 51.455834, 43.21158 51.37451, 43.224297 51.353189, 43.027916 51.27777, 42.728539 51.178163, 42.661248 51.083509, 42.501946 51.074894, 42.34951 51.059384, 42.128411 51.087816, 42.03228 51.06714, 41.933403 50.973121, 41.85361 50.9266, 41.824913 50.907453, 41.804314 50.862469, 41.800194 50.799245, 41.732903 50.748951, 41.712303 50.686441, 41.688958 50.670801, 41.683464 50.649069, 41.658745 50.629067, 41.653252 50.552459, 41.554375 50.505388, 41.489144 50.456087, 41.491204 50.404987, 41.454125 50.388378, 41.342888 50.370889, 41.327782 50.360393, 41.197319 50.288604, 41.13578 50.26008, 41.009178 50.139428, 40.948754 50.156124, 40.884209 50.140307, 40.837517 50.080506, 40.814171 50.024155, 40.707054 49.955388, 40.705681 49.945682, 40.579338 49.905955, 40.561486 49.910371, 40.418663 49.899773, 40.341759 49.860892, 40.26104 49.84781, 40.157738 49.820211, 40.112419 49.830827, 39.938011 49.755138, 39.948785 49.688203, 39.8872 49.674006, 39.859047 49.630503, 39.675713 49.631835, 39.527397 49.624285, 39.443627 49.584294, 39.325524 49.53804, 39.15113 49.52606)</t>
  </si>
  <si>
    <t>P0791</t>
  </si>
  <si>
    <t>Ukraine, Kazakhstan, Russia</t>
  </si>
  <si>
    <t>https://www.gem.wiki/Orenburg_Novopskov_Pipeline</t>
  </si>
  <si>
    <t>Orenburg-Novopskov Gas Pipeline</t>
  </si>
  <si>
    <t>Gazprom [unknown %]; Qazaqgaz [unknown %]</t>
  </si>
  <si>
    <t>1200, 1220, 1420</t>
  </si>
  <si>
    <t>Газопровод Оренбург-Новопсков</t>
  </si>
  <si>
    <t>MULTILINESTRING ((54.712198 51.867406, 53.085567 51.685701, 51.514496 51.337863, 49.940858 50.923284, 48.799075 50.193327), (46.876956 49.987945, 45.302671 49.795159, 43.593049 49.64561, 42.046459 49.525584, 40.566093 49.517109))</t>
  </si>
  <si>
    <t>P0793</t>
  </si>
  <si>
    <t>https://www.gem.wiki/Stavropol_Moscow_Pipeline</t>
  </si>
  <si>
    <t>Stavropol-Moscow Gas Pipeline</t>
  </si>
  <si>
    <t>Stavropol</t>
  </si>
  <si>
    <t>Moscow</t>
  </si>
  <si>
    <t>LINESTRING (40.63611 46.5425, 40.616455 46.568774, 40.618858 46.581282, 40.524101 46.635058, 40.520668 46.643308, 40.182495 46.92729, 40.175629 46.943231, 39.710083 47.424371, 39.66751 47.73424, 39.545288 47.82883, 39.462891 47.997274, 39.523315 48.162421, 39.402466 48.60749, 39.325562 48.680081, 39.281616 48.987427, 39.15113 49.52606, 39.100342 49.709385, 39.022064 49.808745, 38.998718 49.839754, 39.006958 49.872513, 38.956146 49.973306, 38.991852 50.165463, 38.965759 50.189209, 38.958893 50.238422, 38.978119 50.346337, 38.94104 50.393637, 38.94928 50.537872, 38.9328 50.581493, 38.997345 50.767734, 38.99924 50.83566, 39.012451 50.864478, 39.002838 51.000361, 39.019318 51.047222, 39.005241 51.138217, 38.987389 51.164275, 39.003868 51.19333, 38.991508 51.255899, 38.976402 51.287688, 38.932457 51.328252, 38.900528 51.392137, 38.963013 51.465558, 38.980179 51.596055, 38.998375 51.623985, 39.002838 51.65062, 38.987389 51.667019, 38.983955 51.681071, 38.946533 51.733407, 38.867569 51.799274, 38.792725 51.849353, 38.792038 51.863772, 38.788605 51.903613, 38.743286 51.956115, 38.648529 52.075286, 38.622437 52.114517, 38.601151 52.125901, 38.580551 52.161297, 38.535233 52.213076, 38.516006 52.24504, 38.524246 52.292103, 38.494034 52.336598, 38.481674 52.412053, 38.467941 52.435083, 38.473434 52.456428, 38.461075 52.538361, 38.328552 52.654728, 38.303146 52.742112, 38.289413 52.798195, 38.29422 52.804007, 38.283234 52.856693, 38.235168 52.928361, 38.204956 52.957325, 38.154144 53.040387, 38.114319 53.062263, 37.98209 53.15146, 37.985916 53.205621, 37.933731 53.253712, 37.890472 53.330463, 37.806015 53.41076, 37.75383 53.444717, 37.650833 53.577015, 37.494965 53.749523, 37.469559 53.820922, 37.460632 53.822949, 37.441406 53.861436, 37.376175 53.884512, 37.34291 53.91179, 37.610321 54.1986, 37.466125 54.437304, 37.428017 54.567882, 37.432137 54.617412, 37.423553 54.630332, 37.443123 54.642055, 37.424583 54.679786, 37.43454 54.717878, 37.41394 54.769603, 37.41394 54.805038, 37.423553 54.836686, 37.481575 54.89517, 37.492218 54.896157, 37.506981 54.922012, 37.50156 54.9684, 37.476254 54.987169, 37.450161 54.986972, 37.433681 55.001251, 37.431965 55.061461, 37.439518 55.104203, 37.43454 55.111568, 37.447758 55.164946, 37.48312 55.205619, 37.486897 55.205814, 37.486038 55.22119, 37.541656 55.384572, 37.591095 55.53718, 37.624054 55.634973, 37.617188 55.749531)</t>
  </si>
  <si>
    <t>P0794</t>
  </si>
  <si>
    <t>https://www.gem.wiki/Petrovsk_Frolovo_Izobilnoye_Pipeline</t>
  </si>
  <si>
    <t>Petrovsk-Frolovo-Izobilnoye Gas Pipeline</t>
  </si>
  <si>
    <t>Izobilnoye</t>
  </si>
  <si>
    <t>LINESTRING (45.388033 52.314648, 43.650505 49.772338, 41.215734 44.492927)</t>
  </si>
  <si>
    <t>P0801</t>
  </si>
  <si>
    <t>https://www.gem.wiki/National_Transmission_System</t>
  </si>
  <si>
    <t>National Transmission System</t>
  </si>
  <si>
    <t>National Grid [unknown %]</t>
  </si>
  <si>
    <t>MULTILINESTRING ((0.4334 51.4455, 0.0063 51.286), (-3.9541 51.6916, -3.7856 51.6987, -3.7861 51.6984, -3.7872 51.6967), (-0.2095 53.7165, -0.2078 53.7159, -0.3062 54.0584, -0.2142 53.7106), (-5.0782 51.7194, -4.883 51.822, -4.4363 51.8138, -3.9543 51.6914, -5.067 51.7271, -5.0677 51.7257), (-2.9226 56.6823, -2.9524 56.5496, -3.3374 56.3639, -3.2202 56.3209, -3.2504 56.2729, -3.478 56.2164, -3.556 55.9589, -3.7442 55.9191, -3.5193 56.0775, -3.5181 56.0774), (-1.8491 57.5746, -2.2277 57.4796, -2.4635 57.2852, -2.3831 57.1371, -2.4634 57.283, -2.466 57.2836), (-0.9362 53.6919, -0.7494 53.5157, -0.9362 53.6919, -0.9118 53.6945, -0.9407 53.7368, -0.943 53.7312, -1.1126 53.8233, -0.9891 53.8031, -0.9362 53.6919, -0.9429 53.7313, -0.9427 53.7312, -0.9407 53.7368, -0.9405 53.7368), (0.1178 53.6548, 0.1178 53.6547, 0.1149 53.6559, 0.1178 53.6546), (-2.7508 53.6195, -2.5859 53.5851, -2.4219 53.3926), (0.1166 53.6548, 0.113 53.6585), (-2.4163 51.4792, -2.7009 51.0032), (-3.7444 55.9179, -3.4582 55.9245, -3.2593 55.804), (-3.7446 55.918, -4.0094 55.8911), (-1.364 51.1829, -1.4976 51.0421, -2.3764 50.8484), (-1.5784 52.6426, -1.6796 52.5172), (-2.8329 53.0265, -2.8477 53.1963, -2.717 53.3146), (-0.2428 53.2697, -0.4253 52.7641, -0.3015 52.6272), (-1.0625 51.6633, -1.0545 51.5847, -1.4191 51.4232, -1.364 51.1829), (-0.5354 52.5868, 0.1539 52.7032), (-2.6748 54.3704, -2.6519 54.1983, -2.749 54.0214, -2.708 53.8764, -2.5885 53.7971, -2.6376 53.7519), (-2.3557 53.0575, -2.3855 52.9678, -2.2653 52.8948, -2.0429 52.8944, -1.7752 52.74), (-2.6517 54.2169, -2.7905 53.9614, -2.8017 53.6694), (-0.2151 53.7105, -0.2696 53.6938), (-1.8494 57.5745, -2.096 57.5324, -2.1476 57.3853, -2.3581 57.2465, -2.3862 57.1444, -2.248 56.9911, -2.458 56.7839), (0.4275 51.4302, 0.2655 51.3802), (-0.7921 53.6013, -0.7515 53.594), (-1.0563 51.5846, -0.689 51.449), (0.1173 53.6539, -0.2138 53.7101), (-0.1065 52.8861, 0.1334 52.8379, 0.1647 52.7231), (0.6772 51.4475, 0.4332 51.4453), (-0.5306 51.9976, -0.587 51.8953, -0.9838 51.8526, -1.0584 51.6641, -1.2782 51.5219), (-2.7016 51.0032, -3.5247 50.6678), (-2.9328 55.0443, -1.5678 54.6711), (-0.2143 53.7106, -0.2329 53.7411), (-0.3865 52.9798, -0.8624 53.0705), (-2.4138 53.1697, -2.4063 53.1661), (-0.5583 52.6003, -1.1771 52.546), (-3.1779 54.0939, -3.0652 54.2476, -2.6519 54.2175), (0.3936 51.5292, 0.4302 51.4611), (-3.2221 52.0323, -3.0377 52.0875, -2.6634 51.914, -2.275 51.9631), (-2.9243 56.6834, -3.9656 56.2249, -3.9966 56.0997, -3.7455 55.9187), (-2.3765 50.848, -2.7014 51.0031), (-1.8839 55.0533, -1.9699 54.8859, -1.6683 54.7829, -1.652 54.6825, -1.5661 54.6715), (1.4615 52.8541, 0.8421 52.4605), (-3.7432 55.9179, -3.6972 55.469, -2.9329 55.0447), (0.232 53.3579, -0.2427 53.2697), (-2.4152 53.1689, -2.6778 53.1482, -2.8211 53.2235), (-0.9424 52.5638, -0.9484 52.5529), (-1.4978 51.0419, -1.4844 51.0237), (-2.9328 55.0441, -2.7706 54.7195), (-2.2204 55.6707, -1.9542 55.5635, -1.6753 55.304, -1.8839 55.0535), (-2.8312 53.7873, -2.7375 53.6727, -2.8254 53.5888), (-2.6707 51.538, -2.5527 51.5713, -2.416 51.4793), (-2.383 57.1358, -2.301 57.0547, -2.3752 56.904, -2.6075 56.7462, -2.9215 56.6824), (-1.0624 51.6634, -1.2673 51.6283), (-0.3606 52.3101, -0.3738 52.1091, -0.5309 51.9978), (0.3826 52.7235, 0.379 52.7261), (-0.5816 53.4444, -0.5017 53.5419), (-0.2954 52.1778, -0.2686 52.204), (0.4968 51.8801, 0.4009 51.7455, 0.3935 51.5294), (-2.9236 56.6835, -3.1289 56.6611, -3.5524 56.4808, -3.7238 56.3066, -3.9793 56.2363, -3.9969 56.0998, -3.7452 55.9188), (-2.4557 53.1373, -2.416 53.1386), (-0.2828 53.6925, -0.3303 53.5454, -0.2434 53.2707), (0.8419 52.4605, 0.376 52.2931, 0.2702 52.1845), (1.4564 52.8539, 0.1544 52.7032), (-1.9272 52.0298, -2.265 51.9638), (-0.2811 53.6067, -0.1447 53.6032), (-3.354 51.7797, -3.8354 51.6848), (-2.3838 57.1361, -2.4195 56.881, -2.9231 56.6843), (-0.2139 53.7101, -0.3081 53.6377, -0.244 53.2706), (-2.4208 53.3928, -2.4113 53.422), (-0.2432 53.2699, -0.2169 52.9699, -0.1068 52.8858), (-0.3 52.6271, -0.3744 52.5649, -0.3615 52.3103), (0.4335 51.4456, 0.4336 51.4457), (-0.1839 53.7766, -0.0892 53.814), (-0.9398 53.737, -0.3963 53.8347, 0.1178 53.6541), (0.1159 53.6544, -0.2146 53.7109), (1.4604 52.8538, 0.5486 52.7166), (-2.7379 54.1012, -2.8318 53.7876), (-0.7619 54.2352, -0.4758 54.2015, -0.3067 54.0584), (-2.8016 53.6696, -2.8368 53.5519, -2.4218 53.3927), (-1.2701 52.413, -1.8456 52.0905), (-2.3554 53.0576, -2.8331 53.0263), (-1.843 57.5711, -2.3833 57.1375), (-2.6633 51.9121, -3.3536 51.7796), (-1.494 54.5508, -1.3314 54.6357, -1.2619 54.599), (-2.7016 51.0042, -2.8861 50.9634), (-2.3827 57.1368, -2.461 56.8831, -2.923 56.6838), (-1.8434 57.571, -2.1704 57.3967, -2.3831 57.1373), (0.1647 52.7231, 0.1543 52.7026), (1.4615 52.8542, 1.381 52.5835), (-1.9268 52.03, -2.6632 51.9121), (-0.7198 52.5429, -0.682 52.5115), (-0.3609 52.3102, -0.323 52.1864, 0.1664 52.0821), (0.2704 52.1846, -0.2941 51.8833), (-2.7742 53.275, -2.7919 53.2809), (-0.2955 51.8828, -0.3608 51.8567), (-3.1152 54.2031, -3.3328 54.218, -3.3655 54.3557, -3.4824 54.4147), (-1.927 52.03, -2.1191 51.6214, -2.4165 51.4794), (-0.2567 53.9527, -0.257 53.9529), (-1.5668 54.6714, -1.4948 54.3136, -1.6174 53.9527), (-1.6181 53.952, -1.1132 53.8234), (-2.77 54.7194, -2.6453 54.5434, -2.7214 54.3484, -2.6521 54.2177), (0.2198 51.7827, 0.1777 51.6641, 0.4304 51.4607), (-2.421 53.3924, -2.4708 53.2484, -2.3557 53.058), (-0.2958 51.8824, -0.5352 52.0081, -0.364 52.1308, -0.3431 52.4371, -0.431 52.5656, -0.3005 52.6273), (0.2332 53.3572, 0.2278 53.3548), (-1.1775 52.5459, -1.7745 52.7399), (-3.5246 50.6678, -3.5756 50.4847, -3.9855 50.3748), (-2.3829 57.1371, -2.245 56.9879, -2.6256 56.6236), (-1.364 51.1826, -1.5703 51.0249), (-1.4837 54.3381, -1.3052 53.8632), (0.6776 51.4479, 0.6882 51.441), (-3.259 55.8042, -2.8785 55.8056, -2.6658 55.6942), (-2.4114 53.1564, -2.6703 53.145, -2.8219 53.2238), (-1.2537 52.4199, -1.776 52.7396), (0.2337 53.3572, -0.2433 53.2701), (0.1199 53.6547, -0.2143 53.7099), (-2.6629 51.9124, -3.1375 51.8277), (0.4034 51.7499, 0.0627 51.6157), (-1.8718 55.3952, -1.7342 55.1043), (-2.6661 55.6939, -2.2135 55.6548), (-3.7446 55.9183, -3.8265 55.8635, -3.7444 55.7985, -3.7489 55.5405, -3.6402 55.3758, -2.933 55.045), (-1.9262 52.0292, -1.92 51.9076, -2.0409 51.8452, -2.0724 51.7247), (-0.1675 52.634, -0.1675 52.6161), (-1.2527 52.4197, -1.9261 52.0298), (1.3801 52.5838, 0.9621 52.2093), (-0.7396 53.5149, -0.2438 53.2705), (-2.0729 51.7246, -1.9659 51.6986), (0.2206 51.7829, 0.0106 51.764), (-2.2142 55.6548, -1.8715 55.3955), (-1.6159 53.9509, -2.1875 53.9686, -2.4308 54.132, -2.7375 54.1001), (-0.5585 52.6, 0.1533 52.7029), (1.4557 52.8543, 0.1538 52.7028), (0.116 53.6556, -0.2157 53.7106), (-1.7751 52.7402, -2.2643 52.8846, -2.382 52.9594, -2.355 53.058), (-2.598 53.602, -2.6356 53.7515), (0.4284 51.431, 0.6774 51.4479), (-2.6747 54.3701, -2.6566 54.6062, -2.9328 55.0439), (-0.2429 53.2696, -0.4497 52.8628, -0.4145 52.6628, -0.3013 52.6273), (-0.5361 52.5867, -1.2533 52.4198), (-0.2434 53.269, -0.3734 53.1549, -0.3864 52.98), (-2.4216 53.393, -2.3552 53.0578), (-1.2537 52.4202, -1.9263 52.0297), (0.1643 52.7233, -0.3539 52.32, -0.3812 52.0943), (-0.3808 52.0935, -0.5117 52.0427, -0.5723 51.9062, -0.9812 51.8536, -1.0623 51.6635), (0.9627 52.2094, 0.4969 51.8797), (-0.9401 53.7371, -1.1517 53.7463, -1.6167 53.951), (-1.8425 57.5712, -1.8996 57.4585, -2.1102 57.3931, -2.3835 57.1377), (-2.7312 55.9971, -2.2208 55.6706), (-2.6258 56.6232, -2.917 56.3921, -2.8997 56.164, -2.7317 55.9973), (-2.8861 50.9638, -3.2587 50.7329, -3.5239 50.6678), (-2.8219 53.2239, -3.0535 53.2373), (-1.4013 54.5529, -1.3165 54.4433, -1.0984 54.4269, -0.9421 54.2639, -0.7628 54.2354), (-2.8329 53.0264, -2.9212 53.0267), (-1.2615 54.6179, -1.5015 54.6436, -1.5015 54.6436, -1.4024 54.5538, -1.4847 54.3382, -1.5015 54.6436, -1.5199 54.6459, -1.5199 54.6459, -1.5015 54.6436, -1.5199 54.6459, -1.5743 54.6517, -1.5743 54.6517, -1.5199 54.6459, -1.5743 54.6517, -1.5772 54.6569, -1.5772 54.6569, -1.5743 54.6517, -1.5772 54.6569, -1.5811 54.6721, -1.5695 54.6737, -1.5757 54.6747, -1.581 54.6725, -1.582 54.6715, -1.5772 54.6569), (-0.7491 53.5155, -0.7394 53.5147), (-1.2619 54.6184, -1.1967 54.6104), (-3.9551 51.6911, -4.0418 51.732, -3.9842 51.8262, -4.0373 51.8801, -3.9089 51.9529, -3.4864 51.9435, -3.2224 52.0321), (-1.2677 51.6274, -1.2619 51.6232), (-0.7491 53.5158, -0.7393 53.515), (-3.5696 50.5271, -3.5761 50.525), (0.166 52.0824, 0.1461 52.018, 0.3095 51.8684, 0.2198 51.7828), (-0.1674 52.6341, -0.2005 52.5757))</t>
  </si>
  <si>
    <t>P0802</t>
  </si>
  <si>
    <t>https://www.gem.wiki/West_Austria_Gas_Pipeline</t>
  </si>
  <si>
    <t>West Austria Gas Pipeline</t>
  </si>
  <si>
    <t>WAG Pipeline</t>
  </si>
  <si>
    <t>Gas Connect Austria GmbH [unknown %]</t>
  </si>
  <si>
    <t>Allianz [unknown %]; Snam [unknown %]; Verbund [unknown %]</t>
  </si>
  <si>
    <t>1200, 800</t>
  </si>
  <si>
    <t>Gänserndorf</t>
  </si>
  <si>
    <t>Oberkappel</t>
  </si>
  <si>
    <t>Rohrbach</t>
  </si>
  <si>
    <t>MULTILINESTRING ((16.42 48.36, 16.561 48.34, 16.639 48.3313, 16.848 48.3137, 16.875 48.3163), (15.898 48.432, 15.99 48.4143, 16.067 48.4196, 16.13 48.4048, 16.251 48.3843, 16.295 48.3785, 16.349 48.3669, 16.42 48.36), (15.379 48.502, 15.508 48.4974, 15.54 48.4771, 15.606 48.4518, 15.702 48.4518, 15.807 48.4244, 15.898 48.432), (14.292 48.521, 14.337 48.5293, 14.427 48.5308, 14.489 48.5414), (14.489 48.5414, 14.616 48.5388, 14.684 48.5326, 14.855 48.5308, 14.927 48.533, 14.938 48.5374, 15.058 48.5396, 15.072 48.5319, 15.236 48.5247, 15.278 48.5231, 15.379 48.502), (13.752 48.5544, 13.846 48.5316, 13.887 48.533, 14.012 48.5296, 14.061 48.5167, 14.162 48.5167, 14.292 48.521))</t>
  </si>
  <si>
    <t>P0803</t>
  </si>
  <si>
    <t>Slovakia, Hungary, Romania, Bulgaria, Türkiye</t>
  </si>
  <si>
    <t>https://www.gem.wiki/Eastring_Pipeline</t>
  </si>
  <si>
    <t>Eastring Pipeline</t>
  </si>
  <si>
    <t>Bulgartransgaz [unknown %]; Eustream [unknown %]; MOL [unknown %]; SNTGN Transgaz SA [unknown %]</t>
  </si>
  <si>
    <t>Bulgarian Energy Holding [unknown %]; MOL [unknown %]; SPP Infrastructure [unknown %]; Transgaz [unknown %]</t>
  </si>
  <si>
    <t>LINESTRING (19.343 48.2887, 19.255 48.2011, 19.254 48.0805, 19.201 48.0062, 19.188 47.9611, 19.176 47.8643, 19.167 47.8457, 19.188 47.7688, 19.164 47.7211, 19.117 47.6667, 19.171 47.6309, 19.236 47.603, 19.262 47.5752, 19.42 47.5394, 19.422 47.4824, 19.368 47.4452, 19.316 47.4094, 19.291 47.3909, 19.286 47.3153, 19.303 47.2688, 19.342 47.2238, 19.452 47.1588, 19.487 47.1124, 19.51 47.0673, 19.575 46.9718, 19.611 46.9373, 19.749 46.8017, 19.782 46.7687, 19.94 46.5959, 20.07 46.4816, 20.118 46.4384, 20.174 46.4003, 20.415 46.3342, 20.552 46.2453, 20.743 46.2021, 20.809 46.1971, 20.938 46.2479, 21.007 46.253, 21.091 46.2657, 21.167 46.2758, 21.307 46.286, 21.38 46.2911, 21.459 46.2936, 21.495 46.2911, 21.472 46.2148, 21.464 46.164, 21.452 46.1107, 21.454 46.0878, 21.515 46.0319, 21.561 45.9938, 21.607 45.9456, 21.629 45.8947, 21.685 45.8668, 21.741 45.8389, 21.801 45.8081, 21.922 45.7441, 21.973 45.7138, 22.03 45.6801, 22.15 45.6179, 22.207 45.601, 22.276 45.6061, 22.436 45.6212, 22.503 45.6296, 22.567 45.6414, 22.725 45.665, 22.791 45.6751, 22.857 45.6734, 23.01 45.6583, 23.082 45.6515, 23.155 45.6448, 23.264 45.5775, 23.313 45.5404, 23.362 45.5108, 23.382 45.4952, 23.403 45.3624, 23.424 45.216, 23.456 45.1379, 23.456 44.9602, 23.462 44.9153, 23.614 44.9036, 23.692 44.8977, 23.909 44.8782, 23.983 44.8723, 24.096 44.8528, 24.258 44.7942, 24.323 44.7728, 24.453 44.7337, 24.524 44.7122, 24.744 44.6868, 24.817 44.679, 25.041 44.6549, 25.106 44.6457, 25.33 44.6259, 25.402 44.6178, 25.687 44.5886, 25.979 44.5496, 26.083 44.5383, 25.958 44.3161, 25.932 44.2626, 25.854 44.1247, 25.857 44.076, 25.881 44.0177, 25.899 43.8722, 25.908 43.8131, 25.985 43.6994, 26.017 43.2993, 26.517 42.8809, 26.57 42.7401, 26.612 42.6172, 26.9 42.168, 27.018 42.041)</t>
  </si>
  <si>
    <t>P0804</t>
  </si>
  <si>
    <t>https://www.gem.wiki/Scottish_Area_Gas_Evacuation_Pipeline</t>
  </si>
  <si>
    <t>Scottish Area Gas Evacuation Pipeline</t>
  </si>
  <si>
    <t>SAGE</t>
  </si>
  <si>
    <t>SAGE North Sea Limited [300.00%]</t>
  </si>
  <si>
    <t>Brae Group [50.00%]; Ancala Partners [30.30%]; Harbour Energy [19.70%]</t>
  </si>
  <si>
    <t>Alvheim Oil And Gas Field, Atlantic &amp; Cromarty, Beinn, Beryl Oil Field, Boa, Brae (Central, East, North, South, West), Braemar, Britannia, Brodgar &amp; Callanish, Caledonia, Enoch (UK), Kingfisher, Larch, Maclure, Ness, Nevis &amp; Skene, Scott, Thelma, Tiffany &amp; Toni, Tullich</t>
  </si>
  <si>
    <t>LINESTRING (-1.827335 57.589376, -1.809679 57.589835, -1.786639 57.59019, -1.779642 57.59024, -1.774314 57.589955, -1.77066 57.590063, -1.76344 57.589939, -1.756394 57.59022, -1.691557 57.59102, -1.672321 57.592221, -1.624052 57.592711, -1.611772 57.59299, -1.573238 57.593288, -1.566088 57.593513, -1.558985 57.593971, -1.552112 57.594961, -1.544371 57.597334, -1.537307 57.600037, -1.516364 57.609082, -1.50818 57.612399, -1.50146 57.615392, -1.483094 57.623052, -1.471962 57.627994, -1.463487 57.63143, -1.448333 57.63792, -1.443193 57.640489, -1.438919 57.642341, -1.430104 57.645655, -1.411969 57.653217, -1.373156 57.669901, -1.348854 57.680034, -1.33918 57.684264, -1.279867 57.709309, -1.263254 57.716306, -1.248932 57.722074, -1.195856 57.744444, -1.183426 57.749486, -1.16093 57.759107, -1.13872 57.768243, -1.099853 57.784718, -1.086908 57.789923, -1.060334 57.80118, -1.031097 57.813128, -1.018498 57.818619, -1.005649 57.8237, -0.997395 57.827316, -0.983497 57.832981, -0.968213 57.839457, -0.957213 57.843836, -0.948983 57.847422, -0.92344 57.85804, -0.912113 57.862589, -0.899697 57.867909, -0.873104 57.87894, -0.863242 57.882826, -0.828779 57.897237, -0.724568 57.940138, -0.706334 57.947601, -0.703413 57.948626, -0.697173 57.950364, -0.690701 57.951666, -0.653229 57.958114, -0.501732 57.983647, -0.489725 57.985405, -0.468978 57.989136, -0.404569 57.999807, -0.396205 58.001586, -0.391399 58.002988, -0.381094 58.006541, -0.373081 58.008649, -0.348065 58.01628, -0.32726 58.022377, -0.313166 58.026951, -0.295795 58.03219, -0.289724 58.034245, -0.282337 58.037124, -0.265125 58.044268, -0.255768 58.048865, -0.252864 58.050105, -0.246763 58.052346, -0.235976 58.055949, -0.19549 58.071976, -0.183632 58.076171, -0.179334 58.078035, -0.175204 58.080055, -0.169373 58.082415, -0.163344 58.084671, -0.160141 58.085651, -0.147286 58.088761, -0.138785 58.090358, -0.118928 58.09497, -0.112704 58.096591, -0.10622 58.098007, -0.102678 58.098574, -0.08349 58.100391, -0.076652 58.101358, -0.069508 58.10211, -0.049856 58.10393, -0.037273 58.104834, -0.00323 58.108154, 0.015054 58.109105, 0.038795 58.111394, 0.044081 58.112073, 0.05063 58.113447, 0.055392 58.114798, 0.063027 58.117427, 0.072403 58.120276, 0.083061 58.123855, 0.097453 58.129683, 0.112761 58.135046, 0.129264 58.140559, 0.138037 58.143677, 0.145176 58.146505, 0.1667 58.153699, 0.181518 58.159176, 0.198907 58.164664, 0.210463 58.167658, 0.235245 58.173598, 0.268262 58.181004, 0.288248 58.185699, 0.294487 58.187512, 0.30421 58.18991, 0.332619 58.196555, 0.362673 58.204044, 0.399452 58.212823, 0.436627 58.223531, 0.457627 58.229935, 0.47837 58.235917, 0.48335 58.23722, 0.514841 58.246552, 0.53512 58.251015, 0.54313 58.253263, 0.551117 58.256031, 0.556303 58.258745, 0.559441 58.261105, 0.561205 58.262729, 0.56269 58.264437, 0.564493 58.26706, 0.566666 58.27065, 0.569488 58.276122, 0.573378 58.281461, 0.577115 58.287641, 0.579471 58.292062, 0.583015 58.297232, 0.600338 58.325438, 0.60137 58.327299, 0.602192 58.3293, 0.602776 58.332124, 0.60295 58.335873, 0.602498 58.347204, 0.602442 58.373743, 0.602612 58.397188, 0.603058 58.39999, 0.603822 58.401819, 0.605544 58.40452, 0.607953 58.407135, 0.609802 58.408742, 0.611902 58.410281, 0.651718 58.437575, 0.658642 58.442679, 0.66671 58.44784, 0.676206 58.454751, 0.681756 58.458445, 0.694571 58.466376, 0.729104 58.489821, 0.735408 58.494613, 0.737209 58.496307, 0.740891 58.500675, 0.742244 58.50246, 0.744419 58.506056, 0.745799 58.507787, 0.749885 58.511955, 0.752936 58.515477, 0.756337 58.518869, 0.757742 58.5207, 0.759472 58.523434, 0.763442 58.528642, 0.774774 58.54271, 0.780225 58.548833, 0.782721 58.552371, 0.800966 58.575207, 0.80424 58.578488, 0.812151 58.584732, 0.818825 58.589598, 0.827599 58.596745, 0.841934 58.607839, 0.8472 58.611611, 0.850998 58.614854, 0.905241 58.656732, 0.925631 58.672649, 0.950189 58.691386, 0.961349 58.700125, 0.972846 58.708759, 1.003631 58.732471, 1.012684 58.739617, 1.048026 58.766559, 1.082189 58.792942, 1.090578 58.799157, 1.101879 58.807929, 1.106116 58.811028, 1.109204 58.813426, 1.112748 58.816658, 1.115786 58.819083, 1.119049 58.821484, 1.124848 58.825314, 1.149749 58.844537, 1.16332 58.854729, 1.167267 58.857973, 1.174585 58.863458, 1.177185 58.866117, 1.178459 58.867842, 1.179688 58.870662, 1.180482 58.877338, 1.181515 58.890835, 1.181842 58.892663, 1.182733 58.903266, 1.182832 58.906277, 1.183542 58.91279, 1.186619 58.948494, 1.186576 58.949463, 1.187114 58.955238, 1.187442 58.960955, 1.187828 58.96379, 1.19087 58.998756, 1.191643 59.00951, 1.192685 59.019072, 1.193322 59.020932, 1.19426 59.022714, 1.200714 59.032514, 1.201901 59.035243, 1.202913 59.039039, 1.203911 59.043768, 1.206052 59.051217, 1.206136 59.052162, 1.212129 59.074906, 1.212222 59.075824, 1.212659 59.076827, 1.213028 59.0787, 1.214858 59.085381, 1.216563 59.092842, 1.220156 59.106248, 1.222422 59.112935, 1.225904 59.122378, 1.230968 59.135498, 1.237167 59.152334, 1.242287 59.165454, 1.243751 59.168204, 1.244405 59.169093, 1.246094 59.170787, 1.308863 59.226435, 1.320254 59.236319, 1.333919 59.248692, 1.337839 59.251922, 1.339387 59.253657, 1.339953 59.254509, 1.341193 59.257264, 1.341553 59.260116, 1.341674 59.262964, 1.34157 59.264966, 1.341855 59.266892, 1.342266 59.27454, 1.34362 59.313241, 1.345917 59.370394, 1.346076 59.37133, 1.346419 59.379031, 1.346613 59.38762, 1.347577 59.411586, 1.347774 59.413537, 1.348749 59.416325, 1.386118 59.474408, 1.3893 59.478956, 1.394485 59.48695, 1.396631 59.489473, 1.399546 59.491835, 1.403216 59.493919, 1.405903 59.49511, 1.464577 59.51734, 1.471667 59.520216, 1.475398 59.522334, 1.477577 59.523994, 1.47936 59.525658, 1.48597 59.532543, 1.487879 59.534172, 1.491288 59.536403, 1.49683 59.538982, 1.501691 59.540339, 1.506832 59.541359, 1.525842 59.543569, 1.527638 59.543697, 1.527839 59.543208, 1.528072 59.543224, 1.527975 59.543646, 1.528088 59.543729, 1.535012 59.544592, 1.535318 59.544975)</t>
  </si>
  <si>
    <t>P0805</t>
  </si>
  <si>
    <t>https://www.gem.wiki/Shearwater_and_Elgin_Area_Line_Pipeline</t>
  </si>
  <si>
    <t>Shearwater and Elgin Area Gas Pipeline</t>
  </si>
  <si>
    <t>SEAL</t>
  </si>
  <si>
    <t>Elgin Franklin Gas Field, Shearwater Gas And Condensate Field</t>
  </si>
  <si>
    <t>LINESTRING (1.954736 57.031255, 1.954508 57.031364, 1.952141 57.030934, 1.952445 57.030428, 1.952283 57.030383, 1.936637 57.027454, 1.931074 57.026635, 1.926603 57.025327, 1.924162 57.024813, 1.91739 57.02393, 1.909177 57.021967, 1.901299 57.020995, 1.893966 57.019175, 1.885768 57.018045, 1.879308 57.016258, 1.872091 57.015455, 1.863909 57.013386, 1.85834 57.012557, 1.844257 57.009961, 1.843559 57.010415, 1.84204 57.009797, 1.853015 57.002351, 1.855907 57.000714, 1.857568 56.999454, 1.860708 56.996695, 1.865082 56.994419, 1.869672 56.990844, 1.874799 56.987965, 1.879202 56.984415, 1.884149 56.981641, 1.885598 56.98057, 1.888428 56.978076, 1.894023 56.975032, 1.895721 56.973726, 1.897671 56.971803, 1.901557 56.969248, 1.902709 56.968289, 1.903948 56.966784, 1.9056 56.96386, 1.907857 56.961426, 1.908782 56.959985, 1.909272 56.958466, 1.90949 56.955629, 1.910405 56.953614, 1.91097 56.951746, 1.910959 56.950153, 1.909384 56.944941, 1.909252 56.940365, 1.908907 56.939023, 1.907465 56.935474, 1.907293 56.93413, 1.907293 56.930743, 1.906933 56.929221, 1.905832 56.926711, 1.905507 56.925343, 1.905401 56.920781, 1.904856 56.919006, 1.904103 56.917353, 1.903666 56.915614, 1.903724 56.912275, 1.903541 56.910458, 1.90316 56.909256, 1.901608 56.90603, 1.901086 56.904441, 1.900943 56.902666, 1.901266 56.89992, 1.901078 56.897934, 1.900814 56.897117, 1.8994 56.894331, 1.898623 56.891773, 1.898527 56.890047, 1.898794 56.886557, 1.898621 56.885387, 1.897917 56.883647, 1.896763 56.881472, 1.896217 56.879786, 1.896047 56.878319, 1.896394 56.875223, 1.896367 56.873554, 1.896032 56.872452, 1.894292 56.868856, 1.893816 56.867439, 1.893632 56.865937, 1.893975 56.862532, 1.893788 56.861006, 1.893261 56.859343, 1.891596 56.855791, 1.891201 56.854443, 1.89132 56.849084, 1.890829 56.847167, 1.889004 56.84267, 1.888822 56.840448, 1.888985 56.837141, 1.888517 56.835046, 1.887921 56.833727, 1.885647 56.829795, 1.884572 56.826225, 1.883893 56.824712, 1.882002 56.822036, 1.880724 56.819747, 1.88012 56.81799, 1.879242 56.81411, 1.878774 56.812902, 1.875078 56.807394, 1.874099 56.805629, 1.872709 56.800242, 1.871875 56.798273, 1.867896 56.792289, 1.867251 56.790598, 1.866326 56.786983, 1.865514 56.784871, 1.864803 56.783568, 1.862171 56.779817, 1.861427 56.778492, 1.860765 56.776863, 1.859855 56.773026, 1.859295 56.771431, 1.858421 56.769736, 1.85581 56.766003, 1.854983 56.764565, 1.854167 56.762443, 1.852818 56.757684, 1.851956 56.756032, 1.849288 56.752089, 1.848527 56.750694, 1.847555 56.748179, 1.847126 56.746001, 1.84628 56.74352, 1.845418 56.741954, 1.843046 56.738549, 1.841883 56.736528, 1.840629 56.732824, 1.839458 56.730144, 1.819164 56.686388, 1.814456 56.676534, 1.807105 56.658243, 1.791817 56.614567, 1.771478 56.555292, 1.769985 56.5513, 1.751655 56.498236, 1.74904 56.490205, 1.719907 56.405701, 1.703195 56.35663, 1.701102 56.349835, 1.700746 56.347235, 1.700625 56.341148, 1.700452 56.33984, 1.699797 56.337031, 1.698379 56.332736, 1.696321 56.327575, 1.693196 56.322337, 1.69219 56.320336, 1.691395 56.318326, 1.690706 56.315866, 1.687175 56.295113, 1.686772 56.291579, 1.684606 56.280436, 1.683628 56.273064, 1.679687 56.24977, 1.674515 56.217098, 1.671342 56.198301, 1.670477 56.194368, 1.670168 56.191505, 1.666713 56.170826, 1.665774 56.164184, 1.662368 56.131171, 1.655387 56.066991, 1.65492 56.061555, 1.641448 55.93474, 1.637836 55.899392, 1.633979 55.878043, 1.632261 55.867487, 1.626073 55.832978, 1.6137 55.762387, 1.612149 55.752772, 1.608291 55.731466, 1.585299 55.600064, 1.572292 55.525351, 1.566006 55.488073, 1.560648 55.458071, 1.557101 55.436876, 1.55577 55.429407, 1.555483 55.428483, 1.555156 55.425565, 1.554302 55.420443, 1.551336 55.404031, 1.549569 55.393076, 1.548423 55.387283, 1.539634 55.335109, 1.535248 55.310289, 1.533908 55.301776, 1.528011 55.269059, 1.527471 55.264658, 1.526718 55.261198, 1.524237 55.245466, 1.522523 55.235977, 1.522607 55.235702, 1.522456 55.235539, 1.52176 55.231673, 1.518867 55.213917, 1.514007 55.186742, 1.512332 55.176471, 1.511666 55.171263, 1.510973 55.168287, 1.510551 55.165008, 1.510267 55.156667, 1.510004 55.153623, 1.505726 55.128115, 1.502095 55.11429, 1.500786 55.10721, 1.499133 55.100169, 1.498156 55.094736, 1.496648 55.083781, 1.494143 55.069301, 1.492806 55.062918, 1.492153 55.057812, 1.482854 55.002664, 1.481814 54.995339, 1.478292 54.975354, 1.478143 54.97146, 1.479041 54.96451, 1.479014 54.962339, 1.478691 54.959531, 1.476485 54.946451, 1.475569 54.941868, 1.474706 54.936076, 1.47361 54.931022, 1.472562 54.923175, 1.468644 54.899972, 1.467563 54.895042, 1.463734 54.872591, 1.463205 54.867678, 1.45933 54.844438, 1.45862 54.841548, 1.457925 54.839755, 1.454685 54.833024, 1.453561 54.828735, 1.436366 54.717174, 1.432613 54.691432, 1.417076 54.589926, 1.416815 54.585271, 1.41675 54.568467, 1.416899 54.563847, 1.416695 54.558763, 1.416553 54.525087, 1.41665 54.509657, 1.416229 54.431616, 1.416271 54.400001, 1.415477 54.164462, 1.415026 54.160775, 1.414245 54.157886, 1.413508 54.155958, 1.409462 54.147468, 1.408305 54.144239, 1.407632 54.140832, 1.407541 54.137705, 1.409764 54.122332, 1.410773 54.118576, 1.412855 54.114288, 1.42256 54.099728, 1.42439 54.096747, 1.425844 54.093595, 1.426814 54.09027, 1.429319 54.074188, 1.441573 53.990362, 1.449259 53.939014, 1.449941 53.933767, 1.450025 53.931629, 1.44998 53.8752, 1.449369 53.871488, 1.447578 53.865828, 1.447136 53.863547, 1.446151 53.849541, 1.446176 53.847453, 1.446478 53.845401, 1.447333 53.84203, 1.451243 53.832201, 1.452109 53.829217, 1.4632 53.782547, 1.464768 53.77523, 1.465042 53.772453, 1.4652 53.766726, 1.46528 53.758219, 1.466147 53.724776, 1.465806 53.720244, 1.464414 53.714827, 1.464025 53.712599, 1.463824 53.703711, 1.463638 53.701598, 1.463205 53.699323, 1.462168 53.69606, 1.450725 53.668442, 1.449639 53.66515, 1.447454 53.654708, 1.445061 53.644555, 1.416051 53.513203, 1.413454 53.500789, 1.41325 53.498563, 1.413142 53.490574, 1.413239 53.48199, 1.413059 53.46817, 1.412925 53.405717, 1.412403 53.401837, 1.410051 53.394908, 1.409625 53.393105, 1.409448 53.391206, 1.409251 53.336947, 1.409837 53.333085, 1.410924 53.329594, 1.41273 53.325923, 1.414842 53.322752, 1.417097 53.320149, 1.419425 53.317905, 1.431266 53.308018, 1.433109 53.306127, 1.43623 53.302102, 1.463425 53.25513, 1.464756 53.252277, 1.465399 53.250333, 1.465949 53.24788, 1.46619 53.245985, 1.466242 53.234809, 1.466053 53.215286, 1.465776 53.207029, 1.465839 53.199855, 1.465626 53.17947, 1.465202 53.153123, 1.464813 53.105435, 1.464589 53.098518, 1.464646 53.090047, 1.464224 53.063896, 1.464281 53.057658, 1.46404 53.03827, 1.463803 53.028405, 1.463865 53.0204, 1.463631 53.009498, 1.463681 53.002683, 1.463436 52.993953, 1.463451 52.985433, 1.462584 52.909366, 1.462405 52.906801, 1.458363 52.874743, 1.45756 52.866216)</t>
  </si>
  <si>
    <t>P0806</t>
  </si>
  <si>
    <t>Belarus, Poland, Slovakia</t>
  </si>
  <si>
    <t>https://www.gem.wiki/Yamal_Europe_2_Pipeline</t>
  </si>
  <si>
    <t>Yamal Europe 2 Pipeline</t>
  </si>
  <si>
    <t>LINESTRING (24.284641 52.199392, 23.559154 52.120765, 21.225919 48.75202)</t>
  </si>
  <si>
    <t>P0810</t>
  </si>
  <si>
    <t>https://www.gem.wiki/NETG_Pipeline</t>
  </si>
  <si>
    <t>NETG Pipeline</t>
  </si>
  <si>
    <t>Nordrheinische Erdgastransportleitung</t>
  </si>
  <si>
    <t>Nordrheinische Erdgastransportleitungsgesellschaft mbH &amp; Co. KG [unknown %]</t>
  </si>
  <si>
    <t>Macquarie Group Limited [unknown %]; Open Grid Europe [unknown %]</t>
  </si>
  <si>
    <t>Elten</t>
  </si>
  <si>
    <t>Kleve</t>
  </si>
  <si>
    <t>Bergisch Gladbach</t>
  </si>
  <si>
    <t>Rheinisch-Bergischer Kreis</t>
  </si>
  <si>
    <t>LINESTRING (6.22199 51.807455, 6.291402 51.71273, 6.257601 51.621702, 6.282507 51.559808, 6.314528 51.462376, 6.385688 51.400266, 6.411483 51.327512, 6.525339 51.246291, 6.684559 51.11023, 6.919622 51.083369)</t>
  </si>
  <si>
    <t>P0811</t>
  </si>
  <si>
    <t>https://www.gem.wiki/METG_Pipeline</t>
  </si>
  <si>
    <t>METG Pipeline</t>
  </si>
  <si>
    <t>Mittelrheinische Erdgastransport­leitung</t>
  </si>
  <si>
    <t>Mittelrheinische Erdgastransportleitungsgesellschaft (METG) mbH [100.00%]</t>
  </si>
  <si>
    <t>Open Grid Europe [100.00%]</t>
  </si>
  <si>
    <t>Gernsheim</t>
  </si>
  <si>
    <t>Gross-Gerau</t>
  </si>
  <si>
    <t>LINESTRING (8.487716273703711 49.7551587576367, 8.42454488449876 50.01706572254647, 7.919173770859154 50.30738278353118, 7.905440860162424 50.34245296085463, 7.649855038423607 50.50297470481496, 7.4408147170124534 50.55280749320888, 7.297099496042284 50.65231522466423, 7.231774405628055 50.73921194646174, 7.140319265010675 50.78053476164768, 7.068461654525589 50.85894760524795, 7.061929144481493 50.90016464583301)</t>
  </si>
  <si>
    <t>P0814</t>
  </si>
  <si>
    <t>https://www.gem.wiki/Asgard_Transport_System</t>
  </si>
  <si>
    <t>Asgard Transport System</t>
  </si>
  <si>
    <t>Abu Dhabi Investment Authority [unknown %]; British Columbia Investment Management Corporation [unknown %]; Macquarie [unknown %]; Munich Re [unknown %]</t>
  </si>
  <si>
    <t>Abu Dhabi Investment Authority [unknown %]; British Columbia Investment Management Corporation [unknown %]; Macquarie Group Limited [unknown %]; Munich Re [unknown %]</t>
  </si>
  <si>
    <t>Åsgard field</t>
  </si>
  <si>
    <t>Karstø</t>
  </si>
  <si>
    <t>LINESTRING (6.799053 65.106686, 6.800754 65.106674, 6.801827 65.071693, 6.801177 65.065872, 6.796874 65.046898, 6.775663 64.986969, 6.770835 64.969658, 6.755934 64.927238, 6.719471 64.831192, 6.714527 64.823051, 6.684178 64.789322, 6.667221 64.764412, 6.663457 64.755524, 6.661567 64.738419, 6.657286 64.729362, 6.636087 64.705116, 6.627572 64.691307, 6.619783 64.681915, 6.584607 64.631287, 6.549679 64.590256, 6.540063 64.57579, 6.538092 64.570656, 6.535161 64.556587, 6.538588 64.533363, 6.537721 64.524277, 6.511432 64.455818, 6.491557 64.415993, 6.48969 64.410545, 6.489437 64.40181, 6.494175 64.38311, 6.492962 64.373619, 6.477068 64.343346, 6.475796 64.337097, 6.474712 64.317154, 6.473498 64.311623, 6.46399 64.285263, 6.455452 64.272034, 6.45294 64.266624, 6.384148 64.0672, 6.379442 64.058937, 6.352755 64.030396, 6.297925 63.961258, 6.294426 63.954594, 6.292946 63.949284, 6.293439 63.935944, 6.292879 63.931702, 6.288256 63.922321, 6.280969 63.914982, 6.251466 63.893196, 6.244245 63.886276, 6.232224 63.870422, 6.230239 63.866047, 6.225807 63.850117, 6.222845 63.845104, 6.217771 63.839535, 6.211756 63.834679, 6.202958 63.829185, 6.169731 63.813801, 6.161874 63.808338, 6.156479 63.802948, 6.140484 63.782593, 6.138021 63.777016, 6.13245 63.75666, 6.126544 63.746868, 6.065119 63.69006, 6.035452 63.656837, 5.946023 63.535294, 5.809902 63.354507, 5.665759 63.182842, 5.611942 63.132225, 5.588281 63.11517, 5.3317 62.888393, 5.149752 62.725098, 4.984605 62.574951, 4.925381 62.526405, 4.867811 62.463776, 4.859537 62.457237, 4.830272 62.438053, 4.823771 62.432701, 4.782493 62.386898, 4.764303 62.372803, 4.686304 62.300659, 4.720137 62.331959, 4.690128 62.304211, 4.524519 62.149509, 4.418694 62.04929, 4.413745 62.041615, 4.36799 61.938778, 4.318677 61.839462, 4.309973 61.820389, 4.285116 61.752987, 4.266255 61.709938, 4.25242 61.6838, 4.243791 61.657913, 4.227543 61.619915, 4.213445 61.564274, 4.174871 61.494343, 4.136282 61.409847, 4.09403 61.312668, 4.08244 61.284088, 4.081268 61.277973, 4.081216 61.27224, 4.11011 60.959316, 4.112241 60.947399, 4.247364 60.639362, 4.270334 60.589211, 4.334253 60.44384, 4.380857 60.322605, 4.419973 60.236427, 4.507348 60.028088, 4.520074 59.993717, 4.546679 59.935154, 4.568271 59.884422, 4.574358 59.86124, 4.600562 59.803032, 4.626949 59.739563, 4.633345 59.73085, 4.64077 59.724091, 4.728832 59.656124, 4.757174 59.637794, 4.800673 59.603039, 4.805935 59.597172, 4.812617 59.583443, 4.817951 59.576466, 4.836792 59.559803, 4.849467 59.544849, 4.889987 59.503559, 4.910594 59.486485, 4.929215 59.466114, 4.937473 59.459133, 4.946412 59.45393, 4.956117 59.449711, 4.987731 59.440472, 5.006055 59.43396, 5.03185 59.420834, 5.037482 59.416878, 5.049527 59.406315, 5.060307 59.395149, 5.070235 59.387974, 5.114535 59.351185, 5.124318 59.345013, 5.136764 59.340038, 5.152051 59.336414, 5.174739 59.333408, 5.195147 59.333397)</t>
  </si>
  <si>
    <t>P0815</t>
  </si>
  <si>
    <t>https://www.gem.wiki/Barents_Sea_Pipeline</t>
  </si>
  <si>
    <t>Barents Sea Pipeline</t>
  </si>
  <si>
    <t>Askeladd Vest Development Pipeline</t>
  </si>
  <si>
    <t>Equinor [100.00%]</t>
  </si>
  <si>
    <t>Askeladd field, Snøhvit field</t>
  </si>
  <si>
    <t>Askeladd field</t>
  </si>
  <si>
    <t>Barents Sea</t>
  </si>
  <si>
    <t>LINESTRING (23.688842 70.676192, 19.807783 71.6045)</t>
  </si>
  <si>
    <t>P0817</t>
  </si>
  <si>
    <t>United Kingdom, Norway</t>
  </si>
  <si>
    <t>https://www.gem.wiki/Northern_Leg_Gas_Pipeline</t>
  </si>
  <si>
    <t>Northern Leg Gas Pipeline</t>
  </si>
  <si>
    <t>EnQuest Heather Limited [43.90%]; Spirit Energy Resources: 28.8 [38.80%]; Britoil [6.00%]; Harbour Energy [1.30%]</t>
  </si>
  <si>
    <t>Magnus, Brent A, Thistle A, Murchison, Statfjord B</t>
  </si>
  <si>
    <t>Northern North Sea</t>
  </si>
  <si>
    <t>LINESTRING (1.686972 61.900239, 2.398588 61.753728, 1.803023 61.231322)</t>
  </si>
  <si>
    <t>P0827</t>
  </si>
  <si>
    <t>Israel, Cyprus, Greece</t>
  </si>
  <si>
    <t>https://www.gem.wiki/East_Med_Gas_Pipeline</t>
  </si>
  <si>
    <t>East Med Gas Pipeline</t>
  </si>
  <si>
    <t>EastMed Pipeline, Eastern Mediterranean Natural Gas Pipeline</t>
  </si>
  <si>
    <t>IGI Poseidon S.A. [300.00%]</t>
  </si>
  <si>
    <t>Electricite de France [50.00%]; Italgas [32.50%]; Hellenic Petroleum Holdings S.A [17.50%]</t>
  </si>
  <si>
    <t>Levantine Basin</t>
  </si>
  <si>
    <t>Offshore</t>
  </si>
  <si>
    <t>LINESTRING (20.3702 39.3785, 20.4633 39.3265, 20.5427 39.2159, 20.591 39.177, 20.6527 39.1583, 20.8806 39.1619, 20.945 39.1619, 21.0522 39.1448, 21.1264 39.0934, 21.172 39.0364, 21.2376 38.9365, 21.2918 38.8253, 21.3888 38.6056, 21.4687 38.4459, 21.4801 38.3831, 21.4772 38.3232, 21.4401 38.2519, 21.4316 38.2091, 21.4401 38.1606, 21.5057 37.9923, 21.5229 37.941, 21.5485 37.881, 21.5942 37.7784, 21.6341 37.7184, 21.6655 37.67, 21.7596 37.5815, 21.811 37.5416, 21.9878 37.4303, 22.1077 37.3562, 22.1847 37.2706, 22.236 37.2192, 22.3847 37.0955, 22.4369 37.0477, 22.4826 37.0064, 22.5739 36.9194, 22.6457 36.8781, 22.7066 36.8563, 22.8501 36.8063, 22.9023 36.7694, 22.9392 36.7193, 22.9784 36.6063, 23.011 36.5584, 23.0588 36.5149, 23.1741 36.441, 23.1958 36.4149, 23.3176 36.3519, 23.3741 36.3127, 23.4307 36.2757, 23.5416 36.1996, 23.7634 36.0431, 23.8155 36.0083, 23.8677 35.9713, 23.9786 35.893, 24.033 35.8517, 24.0852 35.8148, 24.2004 35.7408, 24.2533 35.7, 24.3199 35.6657, 24.3886 35.6292, 24.4466 35.6163, 24.5175 35.6141, 24.5948 35.6098, 24.7387 35.6077, 24.8267 35.6077, 24.8868 35.6077, 25.0307 35.6098, 25.1016 35.6098, 25.1746 35.6098, 25.3271 35.612, 25.3958 35.612, 25.4645 35.612, 25.6191 35.6141, 25.69 35.6163, 25.7609 35.6141, 25.9091 35.6163, 25.9821 35.612, 26.0508 35.6077, 26.2054 35.5991, 26.2763 35.5905, 26.3493 35.5862, 26.4051 35.5712, 26.4631 35.5196, 26.4975 35.4724, 26.5254 35.4123, 26.5705 35.3307, 26.4782 35.2856, 26.3192 35.2082, 26.3021 35.2039, 26.2827 35.1954, 26.4352 35.1653, 26.4996 35.1374, 26.6371 35.088, 26.6993 35.0622, 26.7724 35.0364, 26.9012 34.9935, 26.9678 34.9677, 27.0399 34.943, 27.1723 34.9001, 27.2424 34.8806, 27.3241 34.869, 27.4526 34.8456, 27.5344 34.8378, 27.6045 34.8261, 27.7369 34.8028, 27.8148 34.7833, 28.024 34.7429, 28.0985 34.7242, 28.3067 34.6807, 28.3844 34.6652, 28.5926 34.6217, 28.6641 34.6155, 28.8909 34.5875, 28.9531 34.5782, 29.1768 34.5595, 29.2452 34.5502, 29.9692 34.516, 30.05 34.5098, 30.1245 34.5005, 30.3452 34.4663, 30.4104 34.4508, 30.6345 34.4017, 30.6952 34.3903, 30.9156 34.3637, 30.9992 34.3485, 31.2119 34.3371, 31.2917 34.3371, 31.5728 34.3523, 31.8578 34.3675, 32.1579 34.3941, 32.4504 34.4207, 32.7354 34.4549, 33.0279 34.5005, 33.3128 34.5461, 33.5864 34.6183, 33.689 34.6714, 33.7497 34.7322, 33.7763 34.7892, 33.7763 34.85, 33.7535 35.0134, 33.8181 34.9298, 33.8257 34.8728, 33.8371 34.812, 33.8713 34.6411, 33.8789 34.5841, 33.8865 34.5081, 33.8485 34.4207, 33.8067 34.3637, 33.6624 34.1624, 33.5218 33.9572, 33.3888 33.7445, 33.3318 33.6115)</t>
  </si>
  <si>
    <t>P0828</t>
  </si>
  <si>
    <t>Russia, Japan</t>
  </si>
  <si>
    <t>https://www.gem.wiki/Sakhalin-Hokkaido_Gas_Pipeline</t>
  </si>
  <si>
    <t>Sakhalin-Hokkaido Gas Pipeline</t>
  </si>
  <si>
    <t>Gazprom [unknown %]; Japanese Pipeline Development Organization [unknown %]</t>
  </si>
  <si>
    <t>Hokkaido</t>
  </si>
  <si>
    <t>Сахалин - Хоккайдо</t>
  </si>
  <si>
    <t>LINESTRING (142.892 46.624, 141.978 45.853, 141.952 45.466, 141.614 45.358, 141.879 44.326, 141.451 43.584, 141.414 43.219, 140.333 42.612, 140.409 41.952, 141.401 40.812, 142.004 39.835, 141.853 39.039, 141.301 38.559, 140.719 38.143, 140.842 37.009, 140.543 36.439, 140.108 35.751)</t>
  </si>
  <si>
    <t>P0830</t>
  </si>
  <si>
    <t>https://www.gem.wiki/Anowara-Fouzdarhat_Gas_Pipeline</t>
  </si>
  <si>
    <t>Anowara-Fouzdarhat Gas Pipeline</t>
  </si>
  <si>
    <t>Anwara-Fouzdarhat</t>
  </si>
  <si>
    <t>Gas Transmission Company Limited (GTCL) [100.00%]</t>
  </si>
  <si>
    <t>Anowara</t>
  </si>
  <si>
    <t>Chittagong City</t>
  </si>
  <si>
    <t>LINESTRING (91.865965 22.233485, 91.755699 22.410349)</t>
  </si>
  <si>
    <t>P0831</t>
  </si>
  <si>
    <t>https://www.gem.wiki/Ashuganj-Bakhrabad_1_Gas_Pipeline</t>
  </si>
  <si>
    <t>Ashuganj-Bakhrabad 1 Gas Pipeline</t>
  </si>
  <si>
    <t>A-B Pipeline</t>
  </si>
  <si>
    <t>Ashuganj</t>
  </si>
  <si>
    <t>Bahrmanbaria</t>
  </si>
  <si>
    <t>Bakhrabad</t>
  </si>
  <si>
    <t>Comilla</t>
  </si>
  <si>
    <t>LINESTRING (90.996731 24.028288, 90.870791 23.635575)</t>
  </si>
  <si>
    <t>P0832</t>
  </si>
  <si>
    <t>https://www.gem.wiki/Ashuganj-Bakhrabad_2_Gas_Pipeline</t>
  </si>
  <si>
    <t>Ashuganj-Bakhrabad 2 Gas Pipeline</t>
  </si>
  <si>
    <t>LINESTRING (90.996387 24.028445, 90.870791 23.635575)</t>
  </si>
  <si>
    <t>P0833</t>
  </si>
  <si>
    <t>https://www.gem.wiki/Ashuganj-Elenga_Gas_Pipeline</t>
  </si>
  <si>
    <t>Ashuganj-Elenga Gas Pipeline</t>
  </si>
  <si>
    <t>Ashuganj-Elena Brahmaputra Basin Pipeline</t>
  </si>
  <si>
    <t>Brahmanbaria</t>
  </si>
  <si>
    <t>Elenga</t>
  </si>
  <si>
    <t>Tangail</t>
  </si>
  <si>
    <t>LINESTRING (90.996559 24.028915, 89.923053 24.338494)</t>
  </si>
  <si>
    <t>P0834</t>
  </si>
  <si>
    <t>https://www.gem.wiki/Ashuganj-Habiganj_Loopline</t>
  </si>
  <si>
    <t>Ashuganj-Habiganj Loopline</t>
  </si>
  <si>
    <t>Rashidput Gas Field</t>
  </si>
  <si>
    <t>Habiganj</t>
  </si>
  <si>
    <t>LINESTRING (90.997074 24.028602, 91.587042 24.295283)</t>
  </si>
  <si>
    <t>P0835</t>
  </si>
  <si>
    <t>https://www.gem.wiki/Ashuganj-Monohardi_Gas_Pipeline</t>
  </si>
  <si>
    <t>Ashuganj-Monohardi Gas Pipeline</t>
  </si>
  <si>
    <t>Monohardi</t>
  </si>
  <si>
    <t>Narshingdi</t>
  </si>
  <si>
    <t>LINESTRING (90.996216 24.028759, 90.730151 24.169473)</t>
  </si>
  <si>
    <t>P0836</t>
  </si>
  <si>
    <t>https://www.gem.wiki/Bakhrabad_to_Chittagong_Gas_Pipeline</t>
  </si>
  <si>
    <t>Bakhrabad to Chittagong Gas Pipeline</t>
  </si>
  <si>
    <t>Bakhrabad-Chattogram</t>
  </si>
  <si>
    <t>LINESTRING (90.870791 23.635575, 91.789677 22.361409)</t>
  </si>
  <si>
    <t>P0837</t>
  </si>
  <si>
    <t>https://www.gem.wiki/Bakhrabad_to_Demra_Gas_Pipeline</t>
  </si>
  <si>
    <t>Bakhrabad to Demra Gas Pipeline</t>
  </si>
  <si>
    <t>Demra</t>
  </si>
  <si>
    <t>Dhaka</t>
  </si>
  <si>
    <t>LINESTRING (90.870791 23.635575, 90.481167 23.72182)</t>
  </si>
  <si>
    <t>P0838</t>
  </si>
  <si>
    <t>https://www.gem.wiki/Bakhrabad-Siddirgonj_Gas_Pipeline</t>
  </si>
  <si>
    <t>Bakhrabad-Siddhirganj Gas Pipeline</t>
  </si>
  <si>
    <t>Bakhrabad Gas Field</t>
  </si>
  <si>
    <t>Siddhirganj</t>
  </si>
  <si>
    <t>LINESTRING (90.870791 23.635575, 90.48402 23.690156)</t>
  </si>
  <si>
    <t>P0839</t>
  </si>
  <si>
    <t>https://www.gem.wiki/Bangabandu_Bridge_Gas_Pipeline</t>
  </si>
  <si>
    <t>Bangabandhu Bridge Gas Pipeline</t>
  </si>
  <si>
    <t>Bhuapur</t>
  </si>
  <si>
    <t>Sirajganj</t>
  </si>
  <si>
    <t>Rajshahi</t>
  </si>
  <si>
    <t>LINESTRING (89.870331 24.466671, 89.690922 24.452746)</t>
  </si>
  <si>
    <t>P0842</t>
  </si>
  <si>
    <t>https://www.gem.wiki/Beanibazar-Kailashtila_Gas_Pipeline</t>
  </si>
  <si>
    <t>Beanibazar-Kailashtila Gas Pipeline</t>
  </si>
  <si>
    <t>Beanibazar</t>
  </si>
  <si>
    <t>Sylhet</t>
  </si>
  <si>
    <t>Kailashtila Gas Field</t>
  </si>
  <si>
    <t>LINESTRING (92.158529 24.82205, 92.024692 24.867787)</t>
  </si>
  <si>
    <t>P0843</t>
  </si>
  <si>
    <t>https://www.gem.wiki/Bheramara-Khulna_Gas_Pipeline</t>
  </si>
  <si>
    <t>Bheramara-Khulna Gas Pipeline</t>
  </si>
  <si>
    <t>BKGTLP</t>
  </si>
  <si>
    <t>Bheramara</t>
  </si>
  <si>
    <t>Kushtia</t>
  </si>
  <si>
    <t>Khulna</t>
  </si>
  <si>
    <t>LINESTRING (88.992369 24.021356, 89.536967 22.849066)</t>
  </si>
  <si>
    <t>P0844</t>
  </si>
  <si>
    <t>https://www.gem.wiki/Bhomra-Khulna_Transmission_Pipeline</t>
  </si>
  <si>
    <t>Bhomra-Khulna Transmission Pipeline</t>
  </si>
  <si>
    <t>Satkhira (Bhomra)-Khulna (Aronghata) Gas Transmission Pipeline Project</t>
  </si>
  <si>
    <t>Bhomra</t>
  </si>
  <si>
    <t>Satkhira</t>
  </si>
  <si>
    <t>LINESTRING (88.95838 22.66756, 89.539712 22.845268)</t>
  </si>
  <si>
    <t>P0845</t>
  </si>
  <si>
    <t>https://www.gem.wiki/Bibiyana-Dhanua_Gas_Pipeline</t>
  </si>
  <si>
    <t>Bibiyana-Dhanua Gas Pipeline</t>
  </si>
  <si>
    <t>Bibiyana Gas Field</t>
  </si>
  <si>
    <t>Dhanua</t>
  </si>
  <si>
    <t>LINESTRING (91.593221 24.637178, 90.379957 24.280156)</t>
  </si>
  <si>
    <t>P0846</t>
  </si>
  <si>
    <t>https://www.gem.wiki/Bogra-Rangpur-Nilphamari_Transmission_Pipeline</t>
  </si>
  <si>
    <t>Bogra-Rangpur-Nilphamari Transmission Pipeline</t>
  </si>
  <si>
    <t>Bogra-Rangpur-Saidpur Gas Transmission Pipeline</t>
  </si>
  <si>
    <t>Bogra</t>
  </si>
  <si>
    <t>Nilphamari</t>
  </si>
  <si>
    <t>LINESTRING (89.3666251 24.8263763, 89.3435748 24.8291873, 89.3390772 24.8314361, 89.335704 24.8387447, 89.3334552 24.8483022, 89.3351418 24.8578596, 89.3373906 24.8674171, 89.3334552 24.8758501, 89.3312064 24.889343, 89.3345796 24.8966516, 89.3424504 24.9045224, 89.3446992 24.9129555, 89.344137 24.9331948, 89.3373906 24.9466876, 89.339526 24.9656773, 89.3510196 24.9722451, 89.3592293 24.9788128, 89.3625132 24.9960532, 89.3633342 25.0781502, 89.3592293 25.0888228, 89.3534825 25.1011374, 89.3477357 25.1126309, 89.339526 25.1274084, 89.3444519 25.1364391, 89.3460938 25.1692779, 89.3460938 25.1848763, 89.3362422 25.2021167, 89.3428099 25.2127893, 89.3378841 25.2267458, 89.3296744 25.2456281, 89.3094917 25.2866506, 89.319526 25.3013675, 89.3222018 25.3461873, 89.3141744 25.3575595, 89.3114986 25.3742833, 89.3021333 25.3883313, 89.2961127 25.4177652, 89.2874163 25.4284685, 89.2874163 25.477302, 89.2740373 25.505398, 89.278051 25.520115, 89.2713615 25.5308182, 89.2559755 25.5709553, 89.2646719 25.5863413, 89.2613272 25.6304921, 89.2666788 25.6378506, 89.2680167 25.6452091, 89.2646719 25.6532365, 89.264003 25.6646087, 89.263334 25.6813325, 89.2619961 25.6987253, 89.2553066 25.7034079, 89.2158384 25.7060837, 89.1777081 25.7007321, 89.1696807 25.7047458, 89.1563016 25.7154491, 89.1074681 25.7294971, 89.067331 25.7529104, 89.0198353 25.7522414, 89.0084631 25.7575931, 88.9877256 25.7669584, 88.9495953 25.7743169, 88.9094582 25.7930475)</t>
  </si>
  <si>
    <t>P0847</t>
  </si>
  <si>
    <t>https://www.gem.wiki/Bonpara-Rajshahi_Gas_Pipeline</t>
  </si>
  <si>
    <t>Bonpara-Rajshahi Gas Pipeline</t>
  </si>
  <si>
    <t>BRGTP</t>
  </si>
  <si>
    <t>Bonpara</t>
  </si>
  <si>
    <t>Natore</t>
  </si>
  <si>
    <t>LINESTRING (89.080582 24.29438, 88.62296 24.364104)</t>
  </si>
  <si>
    <t>P0848</t>
  </si>
  <si>
    <t>https://www.gem.wiki/Chittagong_Ring_Main_Gas_Pipeline</t>
  </si>
  <si>
    <t>Chittagong Ring Main Gas Pipeline</t>
  </si>
  <si>
    <t>Chattogram Ring Main</t>
  </si>
  <si>
    <t>Karnaphuli Gas Distribution Company Limited (KGDCL) [100.00%]</t>
  </si>
  <si>
    <t>24, 20, 16</t>
  </si>
  <si>
    <t>LINESTRING (91.816778 22.37029, 91.831892 22.376623, 91.850091 22.374064, 91.861075 22.363889, 91.862789 22.351345, 91.860556 22.343405, 91.855062 22.336255, 91.836865 22.33172, 91.822113 22.334667, 91.81336 22.344034, 91.812504 22.353241, 91.813708 22.361335, 91.816778 22.37029)</t>
  </si>
  <si>
    <t>P0850</t>
  </si>
  <si>
    <t>https://www.gem.wiki/Chittagong-Feni-Bakhrabad_Gas_Transmission_Parallel_Pipeline_Project</t>
  </si>
  <si>
    <t>Chittagong-Feni-Bakhrabad Gas Transmission Parallel Pipeline Project</t>
  </si>
  <si>
    <t>LINESTRING (91.755688 22.410339, 91.401259 23.018044, 90.870791 23.635565)</t>
  </si>
  <si>
    <t>P0851</t>
  </si>
  <si>
    <t>https://www.gem.wiki/Chittagong-Rauzan_Gas_Pipeline</t>
  </si>
  <si>
    <t>Chittagong-Rauzan Gas Pipeline</t>
  </si>
  <si>
    <t>Chattogram-Raozan Gas Pipeline</t>
  </si>
  <si>
    <t>Rauzan</t>
  </si>
  <si>
    <t>LINESTRING (91.81921 22.355035, 91.920589 22.529084)</t>
  </si>
  <si>
    <t>P0852</t>
  </si>
  <si>
    <t>https://www.gem.wiki/Devpur_Kumargaon_Gas_Pipeline</t>
  </si>
  <si>
    <t>Devpur Kumargaon Gas Pipeline</t>
  </si>
  <si>
    <t>Jalalabad Gas Transmission and Distribution System Limited (JGTDSL) [100.00%]</t>
  </si>
  <si>
    <t>Devpur</t>
  </si>
  <si>
    <t>Kumargaon</t>
  </si>
  <si>
    <t>LINESTRING (91.868878 24.896172, 91.828043 24.911855)</t>
  </si>
  <si>
    <t>P0853</t>
  </si>
  <si>
    <t>https://www.gem.wiki/Dhaka_Clean_Fuel_Gas_Pipeline</t>
  </si>
  <si>
    <t>Dhaka Clean Fuel Gas Pipeline</t>
  </si>
  <si>
    <t>Dhuana</t>
  </si>
  <si>
    <t>Aminbazar</t>
  </si>
  <si>
    <t>LINESTRING (90.329654 23.785982, 90.327434 23.900167)</t>
  </si>
  <si>
    <t>P0854</t>
  </si>
  <si>
    <t>https://www.gem.wiki/Dhanua-Mymensingh_Gas_Pipeline</t>
  </si>
  <si>
    <t>Dhanua-Mymensingh Gas Pipeline</t>
  </si>
  <si>
    <t>Titas Gas Transmission and Distribution Company (TGTDCL) [100.00%]</t>
  </si>
  <si>
    <t>Gazipur</t>
  </si>
  <si>
    <t>Mymensingh</t>
  </si>
  <si>
    <t>LINESTRING (90.411706 24.013103, 90.418127 24.747664)</t>
  </si>
  <si>
    <t>P0855</t>
  </si>
  <si>
    <t>https://www.gem.wiki/Elenga-Nalka_Gas_Pipeline</t>
  </si>
  <si>
    <t>Elenga-Nalka Gas Pipeline</t>
  </si>
  <si>
    <t>Pashchimanchal Gas Transmission Project</t>
  </si>
  <si>
    <t>Nalka</t>
  </si>
  <si>
    <t>Siranjganj</t>
  </si>
  <si>
    <t>LINESTRING (89.922559 24.339276, 89.585481 24.41978)</t>
  </si>
  <si>
    <t>P0856</t>
  </si>
  <si>
    <t>https://www.gem.wiki/Elenga-Tarakandi_Gas_Pipeline</t>
  </si>
  <si>
    <t>Elenga-Tarakandi Gas Pipeline</t>
  </si>
  <si>
    <t>Tarakandi</t>
  </si>
  <si>
    <t>LINESTRING (89.922817 24.338201, 89.82608 24.686464)</t>
  </si>
  <si>
    <t>P0857</t>
  </si>
  <si>
    <t>https://www.gem.wiki/Habigonj-Ashuganj_Gas_Pipeline</t>
  </si>
  <si>
    <t>Habiganj-Ashuganj Gas Pipeline</t>
  </si>
  <si>
    <t>Habiganj-Ashuganj Loopline</t>
  </si>
  <si>
    <t>LINESTRING (91.420994 24.378604, 90.997246 24.028602)</t>
  </si>
  <si>
    <t>P0858</t>
  </si>
  <si>
    <t>https://www.gem.wiki/Haripur-NGFF_Gas_Pipeline</t>
  </si>
  <si>
    <t>Haripur-NGFF Gas Pipeline</t>
  </si>
  <si>
    <t>Haripur-Natural Gas Fertilizer Factory Pipeline</t>
  </si>
  <si>
    <t>Haripur Gas Field</t>
  </si>
  <si>
    <t>Fenchuganj</t>
  </si>
  <si>
    <t>LINESTRING (92.03728 24.979939, 91.94847 24.69474)</t>
  </si>
  <si>
    <t>P0859</t>
  </si>
  <si>
    <t>https://www.gem.wiki/Hatikumrul-Bheramara_Gas_Pipeline</t>
  </si>
  <si>
    <t>Hatikumrul-Bheramara Gas Pipeline</t>
  </si>
  <si>
    <t>Hatikumrul-Ishwardi-Bheramara Gas Transmission Pipeline</t>
  </si>
  <si>
    <t>Hatikumrul</t>
  </si>
  <si>
    <t>LINESTRING (89.547769 24.429138, 88.997358 24.020746)</t>
  </si>
  <si>
    <t>P0860</t>
  </si>
  <si>
    <t>https://www.gem.wiki/Hatikumrul-Bogra_Gas_Pipeline</t>
  </si>
  <si>
    <t>Hatikumrul-Bogra Gas Pipeline</t>
  </si>
  <si>
    <t>Nalka-Bogra Gas Transmission Pipeline</t>
  </si>
  <si>
    <t>LINESTRING (89.547672 24.429021, 89.373988 24.848825)</t>
  </si>
  <si>
    <t>P0861</t>
  </si>
  <si>
    <t>https://www.gem.wiki/Kailashtila-Chhatak_Gas_Pipeline</t>
  </si>
  <si>
    <t>Kailashtila-Chhatak Gas Pipeline</t>
  </si>
  <si>
    <t>Chhatak</t>
  </si>
  <si>
    <t>Sunamganj</t>
  </si>
  <si>
    <t>LINESTRING (92.024703 24.867778, 91.669922 25.038548)</t>
  </si>
  <si>
    <t>P0862</t>
  </si>
  <si>
    <t>https://www.gem.wiki/Kuchai-Chhatak_Gas_Pipeline</t>
  </si>
  <si>
    <t>Kuchai-Chhatak Gas Pipeline</t>
  </si>
  <si>
    <t>Kuchai</t>
  </si>
  <si>
    <t>LINESTRING (91.908456 24.869763, 91.670094 25.03917)</t>
  </si>
  <si>
    <t>P0863</t>
  </si>
  <si>
    <t>https://www.gem.wiki/Kutumbopur-Meghnaghat-Haripur_Transmission_Pipeline</t>
  </si>
  <si>
    <t>Kutumbopur-Meghnaghat-Haripur Transmission Pipeline</t>
  </si>
  <si>
    <t>Kutumbopur</t>
  </si>
  <si>
    <t>Haripur</t>
  </si>
  <si>
    <t>Bandar</t>
  </si>
  <si>
    <t>LINESTRING (90.910672 23.505115, 90.611476 23.615611, 90.534249 23.682479)</t>
  </si>
  <si>
    <t>P0864</t>
  </si>
  <si>
    <t>https://www.gem.wiki/Langalbandh-Mawa-Gopalganj-Khulna_Transmission_Pipeline</t>
  </si>
  <si>
    <t>Langalbandh-Mawa-Gopalganj-Khulna Transmission Pipeline</t>
  </si>
  <si>
    <t>Langalbandh-Zajira-Khulna Transmission Pipeline</t>
  </si>
  <si>
    <t>Langalbandh</t>
  </si>
  <si>
    <t>Narayanganj</t>
  </si>
  <si>
    <t>LINESTRING (90.557964 23.646433, 90.268917 23.47488, 89.824435 23.022347, 89.539713 22.846534)</t>
  </si>
  <si>
    <t>P0865</t>
  </si>
  <si>
    <t>https://www.gem.wiki/Moheshkhali-Anwara_Gas_Transmission_Pipeline</t>
  </si>
  <si>
    <t>Moheshkhali-Anwara Gas Transmission Pipeline</t>
  </si>
  <si>
    <t>Moheshkhali</t>
  </si>
  <si>
    <t>LINESTRING (91.87211717 21.51286493, 91.86702856 21.54284453, 91.88399058 21.59016814, 91.9806741 21.87063587, 91.97728169 21.89424575, 91.92130703 22.1426983, 91.89416779 22.17568761, 91.82462351 22.27774829, 91.79918048 22.28716553, 91.77373745 22.28873501, 91.75507923 22.29187391, 91.74150961 22.31698259, 91.73642101 22.32953524, 91.73642101 22.37189209, 91.7330286 22.39698637, 91.71267418 22.41580411)</t>
  </si>
  <si>
    <t>P0867</t>
  </si>
  <si>
    <t>https://www.gem.wiki/Monohardi-Dhanua_Elenga_Pipeline</t>
  </si>
  <si>
    <t>Monohardi-Dhanua Elenga Gas Pipeline</t>
  </si>
  <si>
    <t>Monohordi-Dhanua &amp; Elenga-Bangabandhu Bridge East Gas Transmission Pipeline</t>
  </si>
  <si>
    <t>LINESTRING (89.562913 24.446767, 89.592249 24.134543)</t>
  </si>
  <si>
    <t>P0868</t>
  </si>
  <si>
    <t>https://www.gem.wiki/Monohardi-Narshingdi_Gas_Pipeline</t>
  </si>
  <si>
    <t>Monohardi-Narshingdi Gas Pipeline</t>
  </si>
  <si>
    <t>LINESTRING (90.713313 24.157675, 90.713901 23.928679)</t>
  </si>
  <si>
    <t>P1362</t>
  </si>
  <si>
    <t>https://www.gem.wiki/Galilee_to_Moranbah_Gas_Pipeline</t>
  </si>
  <si>
    <t>Galilee to Moranbah Pipeline</t>
  </si>
  <si>
    <t>APA Group [unknown %]</t>
  </si>
  <si>
    <t>Galilee Basin</t>
  </si>
  <si>
    <t>Moranbah</t>
  </si>
  <si>
    <t>LINESTRING (148.003325 -21.979008, 148.012707 -21.987539, 148.013768 -21.990367, 148.014121 -21.993549, 148.013061 -22.001682, 148.008818 -22.016885, 148.008111 -22.022189, 148.007757 -22.028907, 148.003161 -22.053657, 148.002453 -22.058607, 147.999978 -22.064264, 147.995736 -22.070629, 147.982653 -22.087247, 147.978764 -22.09149, 147.974167 -22.094672, 147.949771 -22.116594, 147.946235 -22.119422, 147.928203 -22.137455, 147.917595 -22.148415, 147.902038 -22.172105, 147.883299 -22.196502, 147.874813 -22.20817, 147.857841 -22.233627, 147.846173 -22.250245, 147.834859 -22.263327, 147.815766 -22.281006, 147.804451 -22.288785, 147.799501 -22.293028, 147.791015 -22.298331, 147.78359 -22.30611, 147.778287 -22.310353, 147.774397 -22.312828, 147.770862 -22.314242, 147.762376 -22.314596, 147.752476 -22.314596, 147.738686 -22.314242, 147.723482 -22.313535, 147.706157 -22.312828, 147.698732 -22.313182, 147.690954 -22.313535, 147.673628 -22.31601, 147.665143 -22.318485, 147.659132 -22.320253, 147.636857 -22.326617, 147.630139 -22.328739, 147.626249 -22.3298, 147.620238 -22.330507, 147.604681 -22.332628, 147.596549 -22.334042, 147.589831 -22.33475, 147.58382 -22.33475, 147.566141 -22.331921, 147.557656 -22.33086, 147.550231 -22.3298, 147.520177 -22.324496, 147.508509 -22.323789, 147.488001 -22.32096, 147.477748 -22.319192, 147.468555 -22.318132, 147.451937 -22.313889, 147.443804 -22.313535, 147.430722 -22.312828, 147.401022 -22.313535, 147.391122 -22.313535, 147.368493 -22.313535, 147.355411 -22.313889, 147.331721 -22.313889, 147.308031 -22.313535, 147.269492 -22.313182, 147.253581 -22.313182, 147.240852 -22.313535, 147.219991 -22.313535, 147.205141 -22.313535, 147.183573 -22.313182, 147.166248 -22.313535, 147.136547 -22.313535, 147.114979 -22.314242, 147.0973 -22.314596, 147.080682 -22.314596, 147.063357 -22.313889, 147.025171 -22.313889, 147.009967 -22.312474, 146.99441 -22.309646, 146.981681 -22.306817, 146.966831 -22.303281, 146.955163 -22.299392, 146.942081 -22.295856, 146.918745 -22.291613, 146.908138 -22.29126, 146.891873 -22.289492, 146.875255 -22.287724, 146.860759 -22.28631, 146.837423 -22.282067, 146.825047 -22.280653, 146.798883 -22.280299, 146.782972 -22.278885, 146.760343 -22.27747, 146.713318 -22.275703, 146.682557 -22.272167, 146.651088 -22.269692, 146.627399 -22.268985, 146.587091 -22.263681, 146.558805 -22.262267, 146.531933 -22.261913, 146.50188 -22.258024, 146.472179 -22.256609, 146.447782 -22.253074, 146.423032 -22.250952, 146.419143 -22.249892, 146.415254 -22.247063, 146.408889 -22.240345, 146.388735 -22.220545, 146.374239 -22.201452, 146.366814 -22.192966, 146.351256 -22.173166, 146.343124 -22.160083, 146.325799 -22.138162, 146.320495 -22.133212, 146.315545 -22.129676, 146.304584 -22.123665, 146.289381 -22.11624, 146.283016 -22.113765, 146.276298 -22.11129, 146.262863 -22.106693, 146.237405 -22.099622, 146.223616 -22.093611, 146.211241 -22.088661, 146.194623 -22.0777, 146.177297 -22.065679, 146.153961 -22.049768, 146.131686 -22.03315, 146.104814 -22.016178, 146.091732 -22.005217, 146.078296 -21.987892, 146.071225 -21.978699, 146.067335 -21.971628, 146.061325 -21.96597, 146.05496 -21.963495, 146.048242 -21.962081, 146.044353 -21.962081)</t>
  </si>
  <si>
    <t>P1363</t>
  </si>
  <si>
    <t>https://www.gem.wiki/Scarborough_Gas_Pipeline</t>
  </si>
  <si>
    <t>Scarborough Gas Pipeline</t>
  </si>
  <si>
    <t>Woodside Energy [unknown %]</t>
  </si>
  <si>
    <t>Scarborough field</t>
  </si>
  <si>
    <t>Indian Ocean</t>
  </si>
  <si>
    <t>LINESTRING (113.744695 -20.222496, 116.751017 -20.612471)</t>
  </si>
  <si>
    <t>P1364</t>
  </si>
  <si>
    <t>https://www.gem.wiki/Thylacine_Geographe_Gas_Pipeline</t>
  </si>
  <si>
    <t>Thylacine Geographe Gas Pipeline</t>
  </si>
  <si>
    <t>Beach Energy Limited [unknown %]</t>
  </si>
  <si>
    <t>Otway Basin</t>
  </si>
  <si>
    <t>Otway Basin (Bass Strait)</t>
  </si>
  <si>
    <t>Port Campbell</t>
  </si>
  <si>
    <t>LINESTRING (142.927083 -39.086793, 142.961415 -39.011071, 142.947682 -38.963036, 142.998881 -38.620169)</t>
  </si>
  <si>
    <t>P0938</t>
  </si>
  <si>
    <t>https://www.gem.wiki/Mallavaram-Bhopal-Bhilwara-Vijaipur_Gas_Pipeline</t>
  </si>
  <si>
    <t>Mallavaram-Bhopal-Bhilwara-Vijaipur Gas Pipeline</t>
  </si>
  <si>
    <t>MBBVPL</t>
  </si>
  <si>
    <t>Gujarat State Petronet [100.00%]</t>
  </si>
  <si>
    <t>Kunchanapalli</t>
  </si>
  <si>
    <t>Ramagundam</t>
  </si>
  <si>
    <t>Telangana</t>
  </si>
  <si>
    <t>LINESTRING (81.7849961 16.8054205, 81.646943 16.847707, 81.5665372 16.9153935, 81.436927 16.985599, 81.4045245 16.9828988, 81.334319 17.1071085, 81.1939079 17.2097166, 81.0696982 17.2313183, 80.9589895 17.2853225, 80.8917729 17.3092765, 80.7748651 17.3112579, 80.6718278 17.3290913, 80.5806793 17.3251284, 80.5034013 17.3271099, 80.4479196 17.3548507, 80.3746046 17.3568322, 80.3052525 17.4142953, 80.2240115 17.4677955, 80.1903262 17.4935548, 80.140789 17.5827218, 80.0179367 17.6461294, 80.0100108 17.7115185, 79.9485846 17.8502227, 79.9525476 17.9374082, 79.9426402 18.0008158, 79.885177 18.0721493, 79.8603682 18.1772304, 79.8544238 18.236675, 79.8564053 18.321879, 79.8247015 18.4645461, 79.737516 18.5358797, 79.6642009 18.5774909)</t>
  </si>
  <si>
    <t>P0941</t>
  </si>
  <si>
    <t>https://www.gem.wiki/Mehsana-Bhatinda_Gas_Pipeline</t>
  </si>
  <si>
    <t>Mehsana-Bhatinda Gas Pipeline</t>
  </si>
  <si>
    <t>BPCL Group [unknown %]; Gujarat State Petronet [unknown %]; Hindustan Petroleum [unknown %]; Indian Oil Corporation [unknown %]</t>
  </si>
  <si>
    <t>Mehsana</t>
  </si>
  <si>
    <t>MULTILINESTRING ((72.3508321 24.140246, 72.5402399 24.3547793, 72.8417462 24.5635145, 73.0910687 24.7954424, 73.3983732 25.1839216, 73.6983452 25.6413796, 74.1922537 26.2587651, 74.6156038 26.3175638, 75.0801129 26.5468784, 75.3858658 26.8114722, 75.3198952 27.4455201, 75.3198952 27.7152098, 75.328323 27.9343327, 75.3367508 28.6085569, 75.3198952 29.0468027, 75.244045 29.3417758, 75.1766226 29.5103318, 75.1344836 29.6536045, 75.117628 29.931722, 75.1429114 30.3025453, 75.1681948 30.4542458, 75.2524728 30.6312296, 75.3620343 30.8756359, 75.3620343 30.9430584, 75.5137347 31.2464593, 75.4463123 31.4992934, 75.4210289 31.6931328, 75.4463123 31.8616889, 75.5144141 32.1893813, 75.5371877 32.3487963, 75.4404 32.4398906, 75.1955841 32.5082113, 75.0987964 32.6106924, 75.1158766 32.6960933, 75.150037 32.9693761, 75.2582114 33.1287911, 75.2752916 33.2255788, 75.150037 33.3906872, 75.1443436 33.6753568, 75.0247823 33.9429463), (74.9253884 31.6610759, 75.421053 31.6931495), (74.6690494 30.9721632, 74.8455188 30.9721632, 75.0821482 30.9039818, 75.1583509 30.9039818, 75.3620901 30.8755963), (75.3200051 29.0476112, 75.8556182 29.0978268, 76.6797536 29.008731, 76.7115735 29.5464873), (76.9576241 28.1677768, 76.6960907 28.0130361, 76.3975067 27.8168861, 76.26674 27.7166316, 76.1228966 27.6076593, 76.0640516 27.4790721, 75.9616177 27.3374081, 75.8744399 27.2175387, 75.748032 27.1107458, 75.5755601 27.0748725, 75.3626407 27.0345675), (74.6156777 26.3175181, 74.6338753 26.1481052, 74.609765 26.0010324, 74.6218201 25.8202053, 74.5663665 25.704476, 74.5374341 25.5501701, 74.5036797 25.3765761, 74.5543113 25.1788718, 74.6531635 24.9884005, 74.4144717 24.8799042, 74.2445912 24.7945705, 74.0980021 24.7579233, 73.9459159 24.7194436, 73.8213152 24.6259931, 73.7736737 24.5728545), (71.6622706 25.3151232, 72.2306698 25.3036404, 72.4976452 25.1342689, 72.8019397 25.0825963, 73.2009674 25.1342689, 73.3981971 25.1836691), (73.0173531 26.169479, 73.210792 26.0432064, 73.4472173 25.830961, 73.545299 25.7327408, 73.6983523 25.6413783))</t>
  </si>
  <si>
    <t>P1368</t>
  </si>
  <si>
    <t>Russia, Türkiye, Bulgaria, Serbia, Hungary</t>
  </si>
  <si>
    <t>https://www.gem.wiki/TurkStream_2_Gas_Pipeline</t>
  </si>
  <si>
    <t>TurkStream 2 Gas Pipeline</t>
  </si>
  <si>
    <t>LINESTRING (37.3032745 44.8879545, 36.5430605 44.088606, 30.0786424 42.5217427, 28.0724844 41.6386562, 27.3380684 41.4063233, 26.6266604 40.8664606, 26.3313594 40.9173596, 23.2111224 42.9931063, 20.0704295 46.2328864)</t>
  </si>
  <si>
    <t>P1369</t>
  </si>
  <si>
    <t>https://www.gem.wiki/Puna_Gas_Pipeline</t>
  </si>
  <si>
    <t>Puna Gas Pipeline</t>
  </si>
  <si>
    <t>Remsa (Recursos Energéticos y Mineros de Salta) [unknown %]</t>
  </si>
  <si>
    <t>Susques</t>
  </si>
  <si>
    <t>Jujuy</t>
  </si>
  <si>
    <t>Salar de Pocitos</t>
  </si>
  <si>
    <t>Gasoducto de la Puna</t>
  </si>
  <si>
    <t>https://www.gem.wiki/Gasoducto_de_la_Puna</t>
  </si>
  <si>
    <t>LINESTRING (-65.858674 -23.652523, -66.320289 -24.217997, -66.790051 -24.096963, -66.992748 -24.374962)</t>
  </si>
  <si>
    <t>P1370</t>
  </si>
  <si>
    <t>https://www.gem.wiki/Second_Transmagall%C3%A1nico_Gas_Pipeline</t>
  </si>
  <si>
    <t>Second Transmagallánico Gas Pipeline</t>
  </si>
  <si>
    <t>CIESA-Compañía de Inversiones de Energía SA [102.00%]; NYSE &amp; Argentinian Stock Exchange [25.00%]; ANSES-Administración Nacional de la Seguridad Social [24.00%]</t>
  </si>
  <si>
    <t>Pampa Energía SA [29.30%]; NYSE &amp; Argentinian Stock Exchange [25.00%]; Government of Argentina [24.00%]; GIP-Grupo Inversor Petroquímica SL [21.70%]</t>
  </si>
  <si>
    <t>Cabo Espiritu Santo</t>
  </si>
  <si>
    <t>Tierra del Fuego</t>
  </si>
  <si>
    <t>Cabo Vírgenes</t>
  </si>
  <si>
    <t>Segundo Gasoducto Transmagallánico</t>
  </si>
  <si>
    <t>https://www.gem.wiki/Segundo_Gasoducto_Transmagall%C3%A1nico</t>
  </si>
  <si>
    <t>LINESTRING (-68.574531 -52.7404, -68.42786 -52.325175)</t>
  </si>
  <si>
    <t>P1372</t>
  </si>
  <si>
    <t>https://www.gem.wiki/Route_3_Gas_Pipeline</t>
  </si>
  <si>
    <t>Route 3 Gas Pipeline</t>
  </si>
  <si>
    <t>Petrobras [unknown %]</t>
  </si>
  <si>
    <t>Tupi gas field</t>
  </si>
  <si>
    <t>Tupi field</t>
  </si>
  <si>
    <t>Itobarai</t>
  </si>
  <si>
    <t>Gasoduto Rota 3</t>
  </si>
  <si>
    <t>https://www.gem.wiki/Gasoduto_Rota_3</t>
  </si>
  <si>
    <t>LINESTRING (-42.839 -25.398, -42.498 -24.657, -42.471 -24.475, -42.611418 -22.933863, -42.8608 -22.6454)</t>
  </si>
  <si>
    <t>P1373</t>
  </si>
  <si>
    <t>https://www.gem.wiki/Route_4a_Gas_Pipeline</t>
  </si>
  <si>
    <t>Route 4a Gas Pipeline</t>
  </si>
  <si>
    <t>Santos basin</t>
  </si>
  <si>
    <t>Gasoduto Rota 4a</t>
  </si>
  <si>
    <t>https://www.gem.wiki/Gasoduto_da_Rota_4a</t>
  </si>
  <si>
    <t>LINESTRING (-44 -25.25, -46.458485 -24.014195, -46.449397 -23.885398)</t>
  </si>
  <si>
    <t>P1374</t>
  </si>
  <si>
    <t>https://www.gem.wiki/Route_5a_Gas_Pipeline</t>
  </si>
  <si>
    <t>Route 5a Gas Pipeline</t>
  </si>
  <si>
    <t>Campos basin</t>
  </si>
  <si>
    <t>Açu Port</t>
  </si>
  <si>
    <t>Gasoduto Rota 5a</t>
  </si>
  <si>
    <t>https://www.gem.wiki/Gasoduto_da_Rota_5a</t>
  </si>
  <si>
    <t>LINESTRING (-40.35 -23.18, -41.0166 -21.8448)</t>
  </si>
  <si>
    <t>P1375</t>
  </si>
  <si>
    <t>https://www.gem.wiki/Route_6a_Gas_Pipeline</t>
  </si>
  <si>
    <t>Route 6a Gas Pipeline</t>
  </si>
  <si>
    <t>Porto Central, Presidente Kennedy</t>
  </si>
  <si>
    <t>Espírito Santo State</t>
  </si>
  <si>
    <t>Gasoduto Rota 6a</t>
  </si>
  <si>
    <t>https://www.gem.wiki/Gasoduto_da_Rota_6a</t>
  </si>
  <si>
    <t>LINESTRING (-39.97411 -21.592065, -40.946933 -21.224754)</t>
  </si>
  <si>
    <t>P1376</t>
  </si>
  <si>
    <t>https://www.gem.wiki/Chasco_Bay-Vallenar_Gas_Pipeline</t>
  </si>
  <si>
    <t>Chasco Bay-Vallenar Gas Pipeline</t>
  </si>
  <si>
    <t>Mitsui Group [unknown %]; Shell [unknown %]; Wärtsilä [unknown %]</t>
  </si>
  <si>
    <t>Chasco Bay</t>
  </si>
  <si>
    <t>Atacama</t>
  </si>
  <si>
    <t>Vallenar</t>
  </si>
  <si>
    <t>Gasoducto Bahía Chasco-Vallenar</t>
  </si>
  <si>
    <t>https://www.gem.wiki/Gasoducto_Bah%C3%ADa_Chasco-Vallenar</t>
  </si>
  <si>
    <t>LINESTRING (-70.899029 -27.619652, -70.7823 -28.5776)</t>
  </si>
  <si>
    <t>P1378</t>
  </si>
  <si>
    <t>Colombia</t>
  </si>
  <si>
    <t>https://www.gem.wiki/Promigas_Pipeline_Network</t>
  </si>
  <si>
    <t>Promigas Pipeline Network</t>
  </si>
  <si>
    <t>Phase 1 Expansion</t>
  </si>
  <si>
    <t>Jobo-Majaguas Gas Pipeline</t>
  </si>
  <si>
    <t>Promigas [unknown %]</t>
  </si>
  <si>
    <t>20, 24</t>
  </si>
  <si>
    <t>Jobo gas fields</t>
  </si>
  <si>
    <t>Jobo</t>
  </si>
  <si>
    <t>Córdoba</t>
  </si>
  <si>
    <t>Majaguas</t>
  </si>
  <si>
    <t>Sucre</t>
  </si>
  <si>
    <t>Gasoducto Jobo-Majaguas</t>
  </si>
  <si>
    <t>https://www.gem.wiki/Red_de_Gasoductos_Promigas</t>
  </si>
  <si>
    <t>P1380</t>
  </si>
  <si>
    <t>https://www.gem.wiki/Tobago_Gas_Pipeline</t>
  </si>
  <si>
    <t>Tobago Gas Pipeline</t>
  </si>
  <si>
    <t>National Gas Company of Trinidad and Tobago [unknown %]</t>
  </si>
  <si>
    <t>Angostura field</t>
  </si>
  <si>
    <t>Industrial Estate</t>
  </si>
  <si>
    <t>Gasoducto Tobago</t>
  </si>
  <si>
    <t>https://www.gem.wiki/Gasoducto_Tobago</t>
  </si>
  <si>
    <t>LINESTRING (-60.792514 11.149654, -60.541207 10.950175)</t>
  </si>
  <si>
    <t>P1381</t>
  </si>
  <si>
    <t>Trinidad and Tobago, Venezuela</t>
  </si>
  <si>
    <t>https://www.gem.wiki/Dragon_Gas_Pipeline</t>
  </si>
  <si>
    <t>Dragon Gas Pipeline</t>
  </si>
  <si>
    <t>National Gas Company of Trinidad and Tobago [unknown %]; PDVSA [unknown %]; Shell [unknown %]</t>
  </si>
  <si>
    <t>Dragon field</t>
  </si>
  <si>
    <t>Hibiscus platform</t>
  </si>
  <si>
    <t>Gasoducto Dragón</t>
  </si>
  <si>
    <t>https://www.gem.wiki/Gasoducto_Drag%C3%B3n</t>
  </si>
  <si>
    <t>LINESTRING (-61.8674 11.1302, -61.639851 11.208932)</t>
  </si>
  <si>
    <t>P1382</t>
  </si>
  <si>
    <t>Grenada</t>
  </si>
  <si>
    <t>Grenada, Trinidad and Tobago</t>
  </si>
  <si>
    <t>https://www.gem.wiki/Grenada_to_Trinidad_and_Tobago_Gas_Network</t>
  </si>
  <si>
    <t>Grenada to Trinidad and Tobago Gas Pipeline</t>
  </si>
  <si>
    <t>Global Petroleum Corporation [unknown %]; National Gas Company of Trinidad and Tobago [unknown %]</t>
  </si>
  <si>
    <t>Global Partners LP [unknown %]; National Gas Company of Trinidad and Tobago [unknown %]</t>
  </si>
  <si>
    <t>Red de Gasoductos Grenada-Trinidad y Tobago</t>
  </si>
  <si>
    <t>https://www.gem.wiki/Red_de_Gasoductos_Grenada-Trinidad_y_Tobago</t>
  </si>
  <si>
    <t>LINESTRING (-61.679 12.1165, -61.2225 10.6918)</t>
  </si>
  <si>
    <t>P1173</t>
  </si>
  <si>
    <t>https://www.gem.wiki/North_Queensland_Gas_Pipeline</t>
  </si>
  <si>
    <t>North Queensland Gas Pipeline</t>
  </si>
  <si>
    <t>NQGP; Moranbah to Townsville Gas Pipeline</t>
  </si>
  <si>
    <t>Palisade Investment Partners Limited [100.00%]</t>
  </si>
  <si>
    <t>Bowen Basin</t>
  </si>
  <si>
    <t>Townsville</t>
  </si>
  <si>
    <t>MULTILINESTRING ((148.003325 -21.979008, 148.002264 -21.978334, 148.001984 -21.975643, 147.966727 -21.953639, 147.952523 -21.934355, 147.949245 -21.929286, 147.935106 -21.881543, 147.932226 -21.870449, 147.931744 -21.869905, 147.923269 -21.842936, 147.919731 -21.837714, 147.911766 -21.819079, 147.896698 -21.788397, 147.892406 -21.77637, 147.892229 -21.750709, 147.885211 -21.696344, 147.86273 -21.628293, 147.862859 -21.626956, 147.859324 -21.612599, 147.85889 -21.601795, 147.859614 -21.596048, 147.858429 -21.578283, 147.855478 -21.514826, 147.84841 -21.450351, 147.842839 -21.423215, 147.841842 -21.419577, 147.839809 -21.403454, 147.836611 -21.385961, 147.831892 -21.381466, 147.831258 -21.377477, 147.833613 -21.349487, 147.833476 -21.343279, 147.832131 -21.322178, 147.832428 -21.320948, 147.829152 -21.291486, 147.828826 -21.291058, 147.829068 -21.290054, 147.816662 -21.250818, 147.815602 -21.236138, 147.815551 -21.231806, 147.814356 -21.229889, 147.811586 -21.22451, 147.79671 -21.199661, 147.793283 -21.180075, 147.792464 -21.177482, 147.791428 -21.176091, 147.790356 -21.171814, 147.787509 -21.156397, 147.783358 -21.135878, 147.786334 -21.094538, 147.801852 -21.068784, 147.80256 -21.066765, 147.803016 -21.065918, 147.805395 -21.06436, 147.80908 -21.061559, 147.811225 -21.060961, 147.813621 -21.059526, 147.81716 -21.056068, 147.81761 -21.054806, 147.820525 -21.050457, 147.822179 -21.046563, 147.821875 -21.045704, 147.822301 -21.044188, 147.826641 -21.039069, 147.827974 -21.035986, 147.827137 -21.032924, 147.822445 -21.029518, 147.818154 -21.013792, 147.818077 -21.012746, 147.817121 -21.009295, 147.817848 -21.007453, 147.816018 -20.999185, 147.81374 -20.992592, 147.813856 -20.989236, 147.813616 -20.985685, 147.816248 -20.981833, 147.816508 -20.979928, 147.81384 -20.973753, 147.81337 -20.971785, 147.810563 -20.964222, 147.809978 -20.9639, 147.807329 -20.956758, 147.805952 -20.950019, 147.806178 -20.949642, 147.806597 -20.947398, 147.802825 -20.934677, 147.800025 -20.930886, 147.794432 -20.921834, 147.7924 -20.909157, 147.79131 -20.906589, 147.788109 -20.881812, 147.769125 -20.85043, 147.76688 -20.849297, 147.762838 -20.845191, 147.761624 -20.844291, 147.759465 -20.840203, 147.758991 -20.838846, 147.75736 -20.836284, 147.74885 -20.809997, 147.740114 -20.800627, 147.737479 -20.794281, 147.736069 -20.791871, 147.733693 -20.755555, 147.7324 -20.753042, 147.713297 -20.732564, 147.712461 -20.729074, 147.706539 -20.721758, 147.698606 -20.700614, 147.696822 -20.689045, 147.693963 -20.678697, 147.680449 -20.650308, 147.679618 -20.645741, 147.679233 -20.644703, 147.679133 -20.638412, 147.678273 -20.634033, 147.657754 -20.607805, 147.648303 -20.596421, 147.622407 -20.555755, 147.620858 -20.545037, 147.620505 -20.544634, 147.617143 -20.543696, 147.601651 -20.528312, 147.592892 -20.519372, 147.583888 -20.504341, 147.582232 -20.502525, 147.574482 -20.488303, 147.56931 -20.484916, 147.567488 -20.483263, 147.561932 -20.46801, 147.561874 -20.467681, 147.562269 -20.466792, 147.561981 -20.465495, 147.562226 -20.464812, 147.561175 -20.463162, 147.551606 -20.459601, 147.547423 -20.457729, 147.533685 -20.448366, 147.507798 -20.418378, 147.50054 -20.411797, 147.500372 -20.411382, 147.497534 -20.408767, 147.495606 -20.404014, 147.494448 -20.402789, 147.479286 -20.378821, 147.477238 -20.376328, 147.473665 -20.368296, 147.471572 -20.364438, 147.469427 -20.362146, 147.46487 -20.356179, 147.458711 -20.345871, 147.45522 -20.338464, 147.446026 -20.324252, 147.443807 -20.32231, 147.44008 -20.318214, 147.439518 -20.318281, 147.438604 -20.317631, 147.437663 -20.316161, 147.434933 -20.313081, 147.434023 -20.312366, 147.414952 -20.302534, 147.414851 -20.302301, 147.414956 -20.301952, 147.417292 -20.298673, 147.417386 -20.298129, 147.410137 -20.29116, 147.40096 -20.282892, 147.397488 -20.279277, 147.394897 -20.2755, 147.383904 -20.260453, 147.378081 -20.255839, 147.366398 -20.248075, 147.35724 -20.243142, 147.346421 -20.229605, 147.341965 -20.226037, 147.335947 -20.221825, 147.334172 -20.221178, 147.33257 -20.220954, 147.328372 -20.213993, 147.327707 -20.213602, 147.311114 -20.18764, 147.307993 -20.184095, 147.302367 -20.178658, 147.295485 -20.179437, 147.286934 -20.174626, 147.281021 -20.174286, 147.278108 -20.170092, 147.277962 -20.167656, 147.278764 -20.164561, 147.27893 -20.16235, 147.278659 -20.16069, 147.278213 -20.159199, 147.275794 -20.155677, 147.274546 -20.154496, 147.269574 -20.151883, 147.269178 -20.150976, 147.268365 -20.149982, 147.268503 -20.148683, 147.264988 -20.143266, 147.260182 -20.135048, 147.253849 -20.109387, 147.252386 -20.106223, 147.250439 -20.100165, 147.247075 -20.095886, 147.245378 -20.092531, 147.244873 -20.091166, 147.223954 -20.068978, 147.220597 -20.066797, 147.201001 -20.062325, 147.197897 -20.059167, 147.18198 -20.045099, 147.180801 -20.045079, 147.178706 -20.043174, 147.168034 -20.033423, 147.149412 -20.013506, 147.14877 -20.013093, 147.144365 -20.008693, 147.140883 -20.004296, 147.130787 -19.992761, 147.120549 -19.982368, 147.120319 -19.981729, 147.12031 -19.980858, 147.118895 -19.979228, 147.11507 -19.969243, 147.115221 -19.968652, 147.112691 -19.963235, 147.096359 -19.950956, 147.096077 -19.950479, 147.087568 -19.94425, 147.078476 -19.938824, 147.064636 -19.927667, 147.064258 -19.927018, 147.061238 -19.924921, 147.056857 -19.919625, 147.050331 -19.903904, 147.048997 -19.901019, 147.047777 -19.900079, 147.047209 -19.899968, 147.038994 -19.884691, 147.03789 -19.883594, 147.032546 -19.875301, 147.030661 -19.871135, 147.022803 -19.847209, 147.022064 -19.846529, 147.011303 -19.830486, 147.006759 -19.824067, 147.006689 -19.82347, 146.995385 -19.806456, 146.99122 -19.80323, 146.978516 -19.783841, 146.977551 -19.782108, 146.976963 -19.781677, 146.965862 -19.765058, 146.9583 -19.757172, 146.938379 -19.729605, 146.926033 -19.712033, 146.918807 -19.706947, 146.918742 -19.706549, 146.914583 -19.70301, 146.905848 -19.696272, 146.896438 -19.689416, 146.886562 -19.682599, 146.886171 -19.681319, 146.879505 -19.677113, 146.879722 -19.676443, 146.875841 -19.67162, 146.872845 -19.668689, 146.872293 -19.668505, 146.871903 -19.668156, 146.861775 -19.658189, 146.860465 -19.656888, 146.860404 -19.656382, 146.857313 -19.654596, 146.856429 -19.654845, 146.835833 -19.653058, 146.834157 -19.652202, 146.83406 -19.649832, 146.835404 -19.637904, 146.835695 -19.603093, 146.835597 -19.598639, 146.835799 -19.593117, 146.835654 -19.591504, 146.835708 -19.575264, 146.835532 -19.574133, 146.835524 -19.571546, 146.835531 -19.570595, 146.835724 -19.569773, 146.83575 -19.565673, 146.835742 -19.551438, 146.835597 -19.550827, 146.835584 -19.548013, 146.835735 -19.547596, 146.835713 -19.533539, 146.837511 -19.529056, 146.836836 -19.52838, 146.836746 -19.525106, 146.828211 -19.520517, 146.827572 -19.521065, 146.799996 -19.505343, 146.793863 -19.50289, 146.768399 -19.494178, 146.767986 -19.493541, 146.75185 -19.487044, 146.751152 -19.487071, 146.748813 -19.486036, 146.724178 -19.476819, 146.715656 -19.467955, 146.709487 -19.465748, 146.705499 -19.459085, 146.703886 -19.456806, 146.698179 -19.447531, 146.698668 -19.442063, 146.697144 -19.440165, 146.695528 -19.439022, 146.688863 -19.433499, 146.68884 -19.431663, 146.68577 -19.416305, 146.683797 -19.405058, 146.680234 -19.395865, 146.679991 -19.394445, 146.679344 -19.393132, 146.67876 -19.391198, 146.679457 -19.384906, 146.679632 -19.384795, 146.682745 -19.385067, 146.683937 -19.374244, 146.681435 -19.373521, 146.675509 -19.368983, 146.649724 -19.351007, 146.642581 -19.346205, 146.640207 -19.343863, 146.636768 -19.332415, 146.634617 -19.330389, 146.630715 -19.321371, 146.63072 -19.319911, 146.631307 -19.313778, 146.631206 -19.313263, 146.631975 -19.304859, 146.63176 -19.304252, 146.632995 -19.291343, 146.631129 -19.289096, 146.62229 -19.27732, 146.619897 -19.276553, 146.613434 -19.275068, 146.612214 -19.274119, 146.617998 -19.260414, 146.618444 -19.258821, 146.617669 -19.242178, 146.619195 -19.22856, 146.619534 -19.228354, 146.619891 -19.227267, 146.62135 -19.224708, 146.618668 -19.222992, 146.620865 -19.216939, 146.620753 -19.216774, 146.614021 -19.214556, 146.613469 -19.21407, 146.613542 -19.213653, 146.618679 -19.203131, 146.618812 -19.202811, 146.618708 -19.202732), (146.837511 -19.529056, 146.837699 -19.528529, 146.838597 -19.526547, 146.840395 -19.517297, 146.842539 -19.49501, 146.846328 -19.473516, 146.847809 -19.464002, 146.854914 -19.436455, 146.856192 -19.435732, 146.856143 -19.435104, 146.857173 -19.433014, 146.858453 -19.431619, 146.858558 -19.431287, 146.858486 -19.430881, 146.859296 -19.423966, 146.859594 -19.423154, 146.860374 -19.41639, 146.861058 -19.41428, 146.862428 -19.401401, 146.86309 -19.400821, 146.863844 -19.394754, 146.864937 -19.39202, 146.865056 -19.391239, 146.864865 -19.373121, 146.864161 -19.372027, 146.861983 -19.370011, 146.861038 -19.3683, 146.861391 -19.367266, 146.862464 -19.366073, 146.863222 -19.363638, 146.863281 -19.362419, 146.862918 -19.361197, 146.863101 -19.359087, 146.86128 -19.356169, 146.862318 -19.352202, 146.8621 -19.350401, 146.862368 -19.348643, 146.862203 -19.347864, 146.862249 -19.347066, 146.855078 -19.339309, 146.852937 -19.339092))</t>
  </si>
  <si>
    <t>P1174</t>
  </si>
  <si>
    <t>https://www.gem.wiki/Northern_Gas_Pipeline</t>
  </si>
  <si>
    <t>Northern Gas Pipeline</t>
  </si>
  <si>
    <t>North East Gas Interconnector</t>
  </si>
  <si>
    <t>Jemena [200.00%]</t>
  </si>
  <si>
    <t>State Grid Corporation of China [60.00%]; SP Group [40.00%]</t>
  </si>
  <si>
    <t>Tennant Creek</t>
  </si>
  <si>
    <t>Northern Territory</t>
  </si>
  <si>
    <t>Mount Isa</t>
  </si>
  <si>
    <t>LINESTRING (133.960504 -19.665309, 134.173101 -19.647581, 135.524848 -19.534859, 137.315844 -20.397532, 137.99682 -20.611785, 138.065553 -20.630959, 138.126213 -20.649457, 138.133386 -20.65237, 138.195722 -20.668016, 138.30008 -20.68279, 138.473804 -20.715892, 138.609701 -20.740771, 138.695986 -20.750399, 138.704181 -20.753327, 138.88442 -20.746637, 138.996946 -20.749098, 139.120574 -20.760721, 139.173218 -20.775522, 139.177761 -20.781631, 139.187676 -20.796749, 139.189582 -20.797486, 139.192752 -20.799988, 139.224085 -20.825142, 139.233025 -20.824975, 139.235163 -20.825327, 139.236869 -20.824792, 139.263519 -20.824284, 139.281515 -20.825867, 139.286608 -20.82521, 139.303194 -20.830137, 139.311457 -20.830854, 139.333781 -20.835483, 139.336615 -20.835569, 139.34222 -20.831385, 139.362953 -20.81172, 139.377985 -20.811768, 139.380883 -20.813351, 139.395587 -20.813557, 139.397422 -20.812499, 139.397897 -20.812147, 139.398923 -20.811933, 139.400373 -20.812237, 139.402167 -20.812436, 139.415385 -20.810914, 139.417897 -20.809926, 139.419675 -20.810043, 139.42219 -20.810835, 139.42666 -20.814647, 139.429267 -20.816014, 139.430182 -20.816145, 139.431189 -20.816661, 139.431803 -20.817401, 139.43262 -20.817893, 139.433851 -20.818417, 139.435301 -20.818767, 139.436192 -20.818784, 139.438445 -20.819633, 139.438574 -20.821066, 139.439107 -20.822121, 139.442331 -20.822951, 139.44733 -20.824837, 139.450815 -20.823863, 139.455542 -20.823097, 139.456675 -20.822583, 139.457675 -20.822342, 139.45948 -20.822512, 139.461582 -20.822041, 139.461941 -20.819609, 139.464714 -20.815394, 139.466825 -20.810985, 139.467967 -20.808626, 139.473048 -20.80475, 139.474235 -20.801342, 139.481817 -20.790484, 139.482547 -20.790002, 139.482462 -20.787127)</t>
  </si>
  <si>
    <t>P0869</t>
  </si>
  <si>
    <t>https://www.gem.wiki/Mymensingh-Netrokona_Gas_Pipeline</t>
  </si>
  <si>
    <t>Mymensingh-Netrokona Gas Pipeline</t>
  </si>
  <si>
    <t>6, 8</t>
  </si>
  <si>
    <t>Netrokona</t>
  </si>
  <si>
    <t>LINESTRING (90.416066 24.747353, 90.731411 24.87952)</t>
  </si>
  <si>
    <t>P0943</t>
  </si>
  <si>
    <t>https://www.gem.wiki/Mumbai_Regional_Natural_Gas_Pipeline_Network</t>
  </si>
  <si>
    <t>Mumbai Regional Natural Gas Pipeline Network</t>
  </si>
  <si>
    <t>GAIL (India) Limited [100.00%]</t>
  </si>
  <si>
    <t>Trombay</t>
  </si>
  <si>
    <t>LINESTRING (72.96 18.599, 72.868 18.697, 72.932 18.867, 72.899 19.002)</t>
  </si>
  <si>
    <t>P1389</t>
  </si>
  <si>
    <t>China, Hong Kong</t>
  </si>
  <si>
    <t>https://www.gem.wiki/Yacheng-Hong_Kong_Pipeline</t>
  </si>
  <si>
    <t>Yacheng-Hong Kong Gas Pipeline</t>
  </si>
  <si>
    <t>中海油崖港输气管线（崖城-香港）</t>
  </si>
  <si>
    <t>ARCO [unknown %]; CNOOC [unknown %]; KUFPEC [unknown %]</t>
  </si>
  <si>
    <t>Yacheng Offshore Gas Field</t>
  </si>
  <si>
    <t>Yacheng</t>
  </si>
  <si>
    <t>Sanya</t>
  </si>
  <si>
    <t>Hainan</t>
  </si>
  <si>
    <t>LINESTRING (109.117774 17.289356, 114.118131 22.485473)</t>
  </si>
  <si>
    <t>P0870</t>
  </si>
  <si>
    <t>https://www.gem.wiki/Nalka-Baghabari_Gas_Pipeline</t>
  </si>
  <si>
    <t>Nalka-Baghabari Gas Pipeline</t>
  </si>
  <si>
    <t>Baghabari</t>
  </si>
  <si>
    <t>LINESTRING (89.585609 24.420268, 90.633913 23.935696)</t>
  </si>
  <si>
    <t>P0944</t>
  </si>
  <si>
    <t>https://www.gem.wiki/Mumbai-Uran_Trunk_Line_(MUT)</t>
  </si>
  <si>
    <t>Mumbai-Uran Trunk Line (MUT)</t>
  </si>
  <si>
    <t>Oil and Natural Gas Corporation Limited [100.00%]</t>
  </si>
  <si>
    <t>Mumbai High Gas Field</t>
  </si>
  <si>
    <t>Offshore India</t>
  </si>
  <si>
    <t>LINESTRING (71.56973 19.123791, 72.929064 18.876499)</t>
  </si>
  <si>
    <t>P0953</t>
  </si>
  <si>
    <t>https://www.gem.wiki/Shahdol-Phulpur_Gas_Pipeline</t>
  </si>
  <si>
    <t>Shahdol-Phulpur Gas Pipeline</t>
  </si>
  <si>
    <t>Reliance Industries Limited [100.00%]</t>
  </si>
  <si>
    <t>Sohagpur CBM Fields</t>
  </si>
  <si>
    <t>Shadol</t>
  </si>
  <si>
    <t>Madya Pradesh</t>
  </si>
  <si>
    <t>Phulpur</t>
  </si>
  <si>
    <t>LINESTRING (78.193753 22.70181, 82.088127 25.551269)</t>
  </si>
  <si>
    <t>P0954</t>
  </si>
  <si>
    <t>https://www.gem.wiki/Srikakulam-Angul_Gas_Pipeline</t>
  </si>
  <si>
    <t>Srikakulam-Angul Gas Pipeline</t>
  </si>
  <si>
    <t>Srikakulam Angul Pipeline Project</t>
  </si>
  <si>
    <t>Srikakulam</t>
  </si>
  <si>
    <t>MULTILINESTRING ((83.8898012 18.2961746, 83.9667045 18.3580577, 84.0664386 18.4361627, 84.1169064 18.4764168, 84.155358 18.5292878, 84.2101315 18.5779654, 84.2564273 18.6324749, 84.2892823 18.652636, 84.3310979 18.685491, 84.3542457 18.7153593, 84.3975547 18.736267, 84.4117421 18.787043, 84.4431037 18.7930167, 84.4968666 18.850513, 84.5118007 18.8841148, 84.5543629 18.9199567, 84.5903112 18.9943201, 84.5977681 19.0316043, 84.5836829 19.0755167, 84.5832035 19.1305407, 84.5964493 19.2203179, 84.5690708 19.230589, 84.5604855 19.2453066, 84.5641649 19.2931387, 84.580109 19.3740854, 84.5911471 19.4084264, 84.6058647 19.4672967, 84.6107706 19.4795613, 84.6290056 19.5655555, 84.6447478 19.5978684, 84.6878317 19.6301814, 84.6952885 19.6301814, 84.7010883 19.7221489, 84.7251159 19.7619187, 84.7557717 19.7925746, 84.7789707 19.8174307, 84.851882 19.8787424, 84.8974515 19.9185121, 84.9272788 19.9591104, 84.9421925 19.9864521, 84.9678771 20.0154509, 84.9786481 20.0195936, 85.0433003 20.0198749, 85.0814357 20.0457525, 85.0957365 20.074354, 85.1073133 20.0947837, 85.1297859 20.1479008, 85.1706453 20.1867172, 85.2796283 20.3159825, 85.3131329 20.3576591, 85.3319282 20.3985184, 85.3687016 20.471248, 85.4389797 20.5464292, 85.4520547 20.5660417, 85.3785079 20.6420401, 85.3164017 20.6935228, 85.309047 20.7213072, 85.3278423 20.7458228, 85.3499063 20.7883165, 85.3499063 20.7997571, 85.2681877 20.8651321, 85.1545987 20.8684008), (84.610771 19.4795345, 84.5671402 19.4388042, 84.5225972 19.3965954, 84.492767 19.4190702, 84.4745829 19.4313292, 84.4161483 19.4852688, 84.3785637 19.4830332, 84.3259281 19.467303, 84.2487897 19.42344, 84.167125 19.4761117, 84.1302836 19.4813073, 84.0688813 19.4742224, 84.0362908 19.4723331, 84.0154942 19.4423913, 83.9723121 19.3843189, 83.9142397 19.3183049, 83.8750284 19.2890205, 83.8313501 19.2607289, 83.789657 19.2349189, 83.7410152 19.2239993, 83.7052783 19.2165541, 83.6779793 19.2210212, 83.6442278 19.2423641, 83.6233813 19.2602325, 83.6184179 19.3058963, 83.5961757 19.3431097, 83.5841169 19.4106393, 83.5704502 19.4371688, 83.5543717 19.4773651, 83.5382932 19.5127377, 83.5278422 19.541679, 83.5117637 19.573836, 83.5021166 19.6220715, 83.4908616 19.7217581, 83.4090965 19.7528652), (83.6233813 19.2602322, 83.5882243 19.2531636, 83.5216025 19.2493293, 83.4722352 19.2502879, 83.45546 19.2574773, 83.3749386 19.2550808, 83.3332401 19.2287196, 83.2455294 19.1678494, 83.214331 19.1631117, 83.1548461 19.1603541, 83.1166339 19.1765057, 83.0866945 19.1898996, 83.0673914 19.1997481, 83.037452 19.2095966, 83.0251926 19.1784754, 83.0136669 19.1290911, 83.0045603 19.0988956, 82.9949745 19.0461733, 82.9834714 19.0078299, 82.9710098 18.9752379, 82.9700512 18.9608591, 82.9595067 18.9258706, 82.9183548 18.8400529))</t>
  </si>
  <si>
    <t>P0955</t>
  </si>
  <si>
    <t>https://www.gem.wiki/Surat-Paradip_Gas_Pipeline</t>
  </si>
  <si>
    <t>Surat-Paradip Gas Pipeline</t>
  </si>
  <si>
    <t>LINESTRING (72.808 21.168, 73.067 21.311, 73.672 21.106, 75.163 20.952, 75.78 20.959, 76.645 20.935, 77.816 20.906, 78.568 20.965, 79.392 21.01, 80.338 21.05, 82.95 20.997, 84.332 20.746, 85.191 20.339, 85.297 20.308, 86.626 20.276)</t>
  </si>
  <si>
    <t>P0957</t>
  </si>
  <si>
    <t>https://www.gem.wiki/Vijaipur-Auraiya-Phulpur_Pipeline</t>
  </si>
  <si>
    <t>Vijaipur-Auraiya-Pulphur Gas Pipeline</t>
  </si>
  <si>
    <t>LINESTRING (77.1410574 24.4859046, 79.4933794 26.4603995, 82.0704024 25.5508805)</t>
  </si>
  <si>
    <t>P0958</t>
  </si>
  <si>
    <t>https://www.gem.wiki/Arun-Belawan_Gas_Pipeline</t>
  </si>
  <si>
    <t>Arun-Belawan Gas Pipeline</t>
  </si>
  <si>
    <t>Arun Field</t>
  </si>
  <si>
    <t>SE Asia</t>
  </si>
  <si>
    <t>Sumatra</t>
  </si>
  <si>
    <t>LINESTRING (96.993592 4.993961, 98.694264 3.784603)</t>
  </si>
  <si>
    <t>P0959</t>
  </si>
  <si>
    <t>https://www.gem.wiki/Badak-Bontang_2_Gas_Pipeline</t>
  </si>
  <si>
    <t>Badak-Bontang 2 Gas Pipeline</t>
  </si>
  <si>
    <t>Pertamina [unknown %]; VICO Energy [unknown %]</t>
  </si>
  <si>
    <t>LINESTRING (117.368094 -0.362384, 117.480757 0.12062)</t>
  </si>
  <si>
    <t>P0960</t>
  </si>
  <si>
    <t>https://www.gem.wiki/Badak-Bontang_Gas_Pipeline</t>
  </si>
  <si>
    <t>Badak-Bontang Gas Pipeline</t>
  </si>
  <si>
    <t>P0961</t>
  </si>
  <si>
    <t>https://www.gem.wiki/Belawan-Sei_Mangkai_Gas_Pipeline</t>
  </si>
  <si>
    <t>Belawan-Sei Mangkai Gas Pipeline</t>
  </si>
  <si>
    <t>Belawan-KIM-KEK Gas Pipeline</t>
  </si>
  <si>
    <t>Perusahaan Gas Negara [100.00%]</t>
  </si>
  <si>
    <t>Sei Mangkei</t>
  </si>
  <si>
    <t>LINESTRING (98.694264 3.784603, 99.341902 3.152921)</t>
  </si>
  <si>
    <t>P0962</t>
  </si>
  <si>
    <t>https://www.gem.wiki/Central_Kalimantan-South_Kalimantan_Gas_Pipeline</t>
  </si>
  <si>
    <t>Central Kalimantan-South Kalimantan Gas Pipeline</t>
  </si>
  <si>
    <t>Palangkaraya</t>
  </si>
  <si>
    <t>Central Kalimantan</t>
  </si>
  <si>
    <t>Banjarbaru</t>
  </si>
  <si>
    <t>LINESTRING (113.841435 -2.221118, 114.718147 -3.406189)</t>
  </si>
  <si>
    <t>P0871</t>
  </si>
  <si>
    <t>https://www.gem.wiki/Nalka-Hatikumrul_Gas_Pipeline</t>
  </si>
  <si>
    <t>Nalka-Hatikumrul Gas Pipeline</t>
  </si>
  <si>
    <t>LINESTRING (89.585588 24.420014, 89.547318 24.428982)</t>
  </si>
  <si>
    <t>P0963</t>
  </si>
  <si>
    <t>https://www.gem.wiki/Cirebon-KHT_Gas_Pipeline</t>
  </si>
  <si>
    <t>Cirebon-KHT Gas Pipeline</t>
  </si>
  <si>
    <t>10/28/21</t>
  </si>
  <si>
    <t>PT Rekayasa Industri (Rekind) [100.00%]</t>
  </si>
  <si>
    <t>Cirebon</t>
  </si>
  <si>
    <t>Kandanghaur</t>
  </si>
  <si>
    <t>LINESTRING (108.549917 -6.732624, 108.096238 -6.36216)</t>
  </si>
  <si>
    <t>P0964</t>
  </si>
  <si>
    <t>https://www.gem.wiki/Cirebon-Semarang_Gas_Pipeline</t>
  </si>
  <si>
    <t>Cirebon-Semarang Gas Pipeline</t>
  </si>
  <si>
    <t>Semarang</t>
  </si>
  <si>
    <t>LINESTRING (108.550947 -6.735693, 110.428736 -6.997456)</t>
  </si>
  <si>
    <t>P0965</t>
  </si>
  <si>
    <t>https://www.gem.wiki/Duri-Dumai_Gas_Pipeline</t>
  </si>
  <si>
    <t>Duri-Dumai Gas Pipeline</t>
  </si>
  <si>
    <t>Duri</t>
  </si>
  <si>
    <t>LINESTRING (101.213269 1.259748, 101.464663 1.679112)</t>
  </si>
  <si>
    <t>P0966</t>
  </si>
  <si>
    <t>https://www.gem.wiki/East_Java_Gas_Pipeline</t>
  </si>
  <si>
    <t>East Java Gas Pipeline (EJGP)</t>
  </si>
  <si>
    <t>EJGP</t>
  </si>
  <si>
    <t>Pagerungan Island</t>
  </si>
  <si>
    <t>Porong</t>
  </si>
  <si>
    <t>LINESTRING (112.6800354 -6.6858646, 112.1622614 -7.1003265, 112.7337934 -7.2544425, 112.6654364 -7.5344865, 113.2559084 -7.5834945, 115.2752324 -6.9114746)</t>
  </si>
  <si>
    <t>P0872</t>
  </si>
  <si>
    <t>https://www.gem.wiki/Narshingdi-Ghorasal_Gas_Pipeline</t>
  </si>
  <si>
    <t>Narshingdi-Ghorasal Gas Pipeline</t>
  </si>
  <si>
    <t>Ghorosal</t>
  </si>
  <si>
    <t>LINESTRING (90.722142 23.931176, 90.634514 23.936245)</t>
  </si>
  <si>
    <t>P0967</t>
  </si>
  <si>
    <t>https://www.gem.wiki/Gresik-PKG_Looping_Gas_Pipeline</t>
  </si>
  <si>
    <t>Gresik-PKG Looping Gas Pipeline</t>
  </si>
  <si>
    <t>East Java</t>
  </si>
  <si>
    <t>LINESTRING (112.660127 -7.157029, 112.635659 -7.139486, 112.608599 -7.131197, 112.563619 -7.133238, 112.537183 -7.143452, 112.516928 -7.153664, 112.493068 -7.206126, 112.526399 -7.235394, 112.561092 -7.240137, 112.590977 -7.246244, 112.619484 -7.237361, 112.650573 -7.224039, 112.657949 -7.203938, 112.659745 -7.163231, 112.660127 -7.157029)</t>
  </si>
  <si>
    <t>P0968</t>
  </si>
  <si>
    <t>https://www.gem.wiki/Gresik-Semarang_Gas_Pipeline</t>
  </si>
  <si>
    <t>Gresik-Semarang Gas Pipeline</t>
  </si>
  <si>
    <t>Jambaran-Tiung Biru field</t>
  </si>
  <si>
    <t>Tambak Lorok</t>
  </si>
  <si>
    <t>LINESTRING (112.656 -7.162, 112.604 -7.179, 112.517 -7.159, 112.42 -7.118, 112.347 -7.097, 112.273 -7.1, 112.166 -7.112, 112.128 -7.137, 112.071 -7.143, 111.988 -7.179, 111.93 -7.197, 111.886 -7.176, 111.831 -7.163, 111.805 -7.143, 111.755 -7.133, 111.703 -7.146, 111.643 -7.17, 111.587 -7.154, 111.433 -7.221, 111.291 -7.21, 111.098 -7.219, 110.953 -7.205, 110.831 -7.177, 110.659 -7.129, 110.422 -6.997)</t>
  </si>
  <si>
    <t>P0969</t>
  </si>
  <si>
    <t>Indonesia, Singapore</t>
  </si>
  <si>
    <t>https://www.gem.wiki/Gresik-Batam-Singapore_Gas_Pipeline</t>
  </si>
  <si>
    <t>Gresik-Batam-Singapore Gas Pipeline</t>
  </si>
  <si>
    <t>Transgasindo TGI [100.00%]</t>
  </si>
  <si>
    <t>Sumatra Island</t>
  </si>
  <si>
    <t>LINESTRING (103.7761654 1.2685459, 103.8261374 1.0862769, 103.9558704 0.9572079, 104.0577944 0.9496559, 104.0934564 -0.05555, 103.6182544 -0.9179369, 103.5179514 -1.2813359, 103.8777104 -2.3299948)</t>
  </si>
  <si>
    <t>P0873</t>
  </si>
  <si>
    <t>https://www.gem.wiki/Narshingdi-Joydevpur_Gas_Pipeline</t>
  </si>
  <si>
    <t>Narshingdi-Joydevpur Gas Pipeline</t>
  </si>
  <si>
    <t>T-J Line, Titas-Narsingdi-Joydevpnr Gas Transmission Pipeline</t>
  </si>
  <si>
    <t>Joydevpur</t>
  </si>
  <si>
    <t>LINESTRING (90.70841 23.928687, 90.4205 24.000078)</t>
  </si>
  <si>
    <t>P0970</t>
  </si>
  <si>
    <t>https://www.gem.wiki/Gresik-Pusri_Gas_Pipeline</t>
  </si>
  <si>
    <t>Gresik-Pusri Gas Pipeline</t>
  </si>
  <si>
    <t>South Sumatra</t>
  </si>
  <si>
    <t>LINESTRING (103.937417 -2.289796, 104.775493 -2.970007)</t>
  </si>
  <si>
    <t>P0971</t>
  </si>
  <si>
    <t>https://www.gem.wiki/Kalija_Gas_Pipeline</t>
  </si>
  <si>
    <t>Kalija Gas Pipeline</t>
  </si>
  <si>
    <t>Kepodang Field</t>
  </si>
  <si>
    <t>LINESTRING (110.860467 -6.226952, 110.437821 -6.94689)</t>
  </si>
  <si>
    <t>P0972</t>
  </si>
  <si>
    <t>https://www.gem.wiki/Kalija_II_Gas_Pipeline</t>
  </si>
  <si>
    <t>Kalija II Gas Pipeline</t>
  </si>
  <si>
    <t>East Kalimantan</t>
  </si>
  <si>
    <t>LINESTRING (117.369 -0.33, 116.91 -1.19, 116.356 -1.532, 116.087 -1.707, 115.817 -1.889, 115.744 -2.195, 115.577 -2.902, 115.492 -3.136, 114.776 -3.901, 114.282 -4.43, 113.516 -5, 112.89 -5.425, 111.978 -5.919, 111.526 -6.051, 110.865 -6.253)</t>
  </si>
  <si>
    <t>P0974</t>
  </si>
  <si>
    <t>https://www.gem.wiki/Muara_Karang-Muara_Tawar_Gas_Pipeline</t>
  </si>
  <si>
    <t>Muara Karang-Muara Tawar Gas Pipeline</t>
  </si>
  <si>
    <t>MK-MT Gas Pipeline</t>
  </si>
  <si>
    <t>Bekasi</t>
  </si>
  <si>
    <t>LINESTRING (106.4993614 -6.116632, 106.9987 -6.0867, 106.992052 -6.04949)</t>
  </si>
  <si>
    <t>P0975</t>
  </si>
  <si>
    <t>https://www.gem.wiki/Natuna_D_Alpha-Batam-Duri_Gas_Pipeline</t>
  </si>
  <si>
    <t>Natuna D Alpha-Batam-Duri Gas Pipeline</t>
  </si>
  <si>
    <t>PTT Public Company Limited [unknown %]; Perusahaan Gas Negara [unknown %]</t>
  </si>
  <si>
    <t>Natuna D Field</t>
  </si>
  <si>
    <t>South China Sea</t>
  </si>
  <si>
    <t>LINESTRING (104.735916 4.607688, 101.213226 1.259791)</t>
  </si>
  <si>
    <t>P0976</t>
  </si>
  <si>
    <t>https://www.gem.wiki/Natuna-West_Kalimantan_Gas_Pipeline</t>
  </si>
  <si>
    <t>Natuna-West Kalimantan Gas Pipeline</t>
  </si>
  <si>
    <t>Natuna</t>
  </si>
  <si>
    <t>West Kalimantan</t>
  </si>
  <si>
    <t>LINESTRING (108.591 3.047, 108.594 2.595, 108.576 1.895, 108.587 1.485, 108.587 1.182, 108.637 0.983, 108.707 0.705, 108.819 0.468, 109.031 0.194, 109.378 -0.052)</t>
  </si>
  <si>
    <t>P0977</t>
  </si>
  <si>
    <t>https://www.gem.wiki/Brandan-Wampu_Gas_Pipeline</t>
  </si>
  <si>
    <t>Brandan-Wampu Gas Pipeline</t>
  </si>
  <si>
    <t>Glagah Kambuna Field</t>
  </si>
  <si>
    <t>Pangkalan Brandan</t>
  </si>
  <si>
    <t>Wampu Field</t>
  </si>
  <si>
    <t>LINESTRING (98.283112 4.018767, 98.326714 3.690672)</t>
  </si>
  <si>
    <t>P0978</t>
  </si>
  <si>
    <t>https://www.gem.wiki/Point_B-Pupuk_Iskandar_Muda_Gas_Pipeline</t>
  </si>
  <si>
    <t>Point B-Pupuk Iskandar Muda Gas Pipeline</t>
  </si>
  <si>
    <t>Point B-PIM Gas Pipeline</t>
  </si>
  <si>
    <t>LINESTRING (101.213011 1.259833, 101.464684 1.679091)</t>
  </si>
  <si>
    <t>P0979</t>
  </si>
  <si>
    <t>https://www.gem.wiki/Porong-Grati_Gas_Pipeline</t>
  </si>
  <si>
    <t>Porong-Grati Gas Pipeline</t>
  </si>
  <si>
    <t>Grati</t>
  </si>
  <si>
    <t>LINESTRING (112.691572 -7.5287, 113.009143 -7.740007)</t>
  </si>
  <si>
    <t>P0980</t>
  </si>
  <si>
    <t>https://www.gem.wiki/Pusri-Muntok_Gas_Pipeline</t>
  </si>
  <si>
    <t>Pusri-Muntok Gas Pipeline</t>
  </si>
  <si>
    <t>Pelambang</t>
  </si>
  <si>
    <t>Muntok</t>
  </si>
  <si>
    <t>Bangka-Belitan</t>
  </si>
  <si>
    <t>LINESTRING (104.809727 -2.972611, 105.164912 -2.060456)</t>
  </si>
  <si>
    <t>P0981</t>
  </si>
  <si>
    <t>https://www.gem.wiki/Ruby_Field_Gas_Pipeline</t>
  </si>
  <si>
    <t>Ruby Field Gas Pipeline</t>
  </si>
  <si>
    <t>Pearl Oil &amp; Gas [70.00%]; INPEX [15.00%]; TotalEnergies SE [15.00%]</t>
  </si>
  <si>
    <t>Ruby Gas Field</t>
  </si>
  <si>
    <t>Offshore Indonesia</t>
  </si>
  <si>
    <t>Bontag LNG Facility</t>
  </si>
  <si>
    <t>LINESTRING (117.522093 -3.504832, 116.552734 -2.37873)</t>
  </si>
  <si>
    <t>P0982</t>
  </si>
  <si>
    <t>https://www.gem.wiki/South_Sumatra_West_Java_Gas_Pipeline</t>
  </si>
  <si>
    <t>South Sumatra West Java Gas Pipeline</t>
  </si>
  <si>
    <t>SSWJ I Gas Pipeline</t>
  </si>
  <si>
    <t>Pagardewa</t>
  </si>
  <si>
    <t>LINESTRING (105.101669 -4.455503, 105.777872 -5.391467, 105.99407 -5.993256)</t>
  </si>
  <si>
    <t>P1433</t>
  </si>
  <si>
    <t>https://www.gem.wiki/Baroda-Ahmedabad-Kalol_Gas_Pipeline</t>
  </si>
  <si>
    <t>Baroda-Ahmedabad-Kalol Gas Pipeline</t>
  </si>
  <si>
    <t>Vadadora</t>
  </si>
  <si>
    <t>Kalol</t>
  </si>
  <si>
    <t>LINESTRING (72.58 23.011, 72.851 22.698, 73.001 22.554, 73.085 22.323, 73.207 22.299)</t>
  </si>
  <si>
    <t>P1434</t>
  </si>
  <si>
    <t>https://www.gem.wiki/Kakinada-Vijayawada-Nellore_Gas_Pipeline</t>
  </si>
  <si>
    <t>Kakinada-Vijayawada-Nellore Gas Pipeline</t>
  </si>
  <si>
    <t>KVNPL</t>
  </si>
  <si>
    <t>IMC Limited [unknown %]</t>
  </si>
  <si>
    <t>Kakinada</t>
  </si>
  <si>
    <t>Andhra</t>
  </si>
  <si>
    <t>East Godavari</t>
  </si>
  <si>
    <t>Nellore</t>
  </si>
  <si>
    <t>LINESTRING (82.217 16.965, 82.143 16.981, 82.066 17.01, 81.962 17.049, 81.895 17.07, 81.575 17.064, 81.494 17.047, 81.337 17.018, 81.173 16.992, 81.053 16.932, 80.902 16.845, 80.838 16.802, 80.773 16.711, 80.651 16.539, 80.637 16.498, 80.593 16.433, 80.549 16.416, 80.495 16.4, 80.434 16.366, 80.302 16.261, 80.189 16.18, 80.032 16.026, 79.99 15.944, 79.968 15.833, 79.975 15.714, 80.013 15.532, 80.012 15.511, 79.953 15.358, 79.885 15.25, 79.881 15.172, 79.893 15.051, 79.926 14.917, 79.945 14.811, 79.968 14.477)</t>
  </si>
  <si>
    <t>P1435</t>
  </si>
  <si>
    <t>https://www.gem.wiki/PLL-DGEN-Sugen_Gas_Pipeline</t>
  </si>
  <si>
    <t>PLL-DGEN-Sugen Gas Pipeline</t>
  </si>
  <si>
    <t>Torrent Energy [unknown %]</t>
  </si>
  <si>
    <t>Dahaj LNG Terminal</t>
  </si>
  <si>
    <t>Dahaj</t>
  </si>
  <si>
    <t>LINESTRING (72.538362 21.679637, 72.98889 21.341838)</t>
  </si>
  <si>
    <t>P1436</t>
  </si>
  <si>
    <t>https://www.gem.wiki/Rajasthan_Gas_Pipeline_(Focus)</t>
  </si>
  <si>
    <t>Rajasthan Gas Pipeline (Focus)</t>
  </si>
  <si>
    <t>SGL Field</t>
  </si>
  <si>
    <t>Rajasthan</t>
  </si>
  <si>
    <t>Ramgahr</t>
  </si>
  <si>
    <t>LINESTRING (69.661061 27.016676, 70.50701 27.38168)</t>
  </si>
  <si>
    <t>P1437</t>
  </si>
  <si>
    <t>https://www.gem.wiki/Batu-Brandan_Gas_Pipeline</t>
  </si>
  <si>
    <t>Batu-Brandan Gas Pipeline</t>
  </si>
  <si>
    <t>PT Pertamina [unknown %]</t>
  </si>
  <si>
    <t>Batu</t>
  </si>
  <si>
    <t>Langkat</t>
  </si>
  <si>
    <t>Brandan</t>
  </si>
  <si>
    <t>LINESTRING (98.251771 4.051357, 98.282539 4.01925)</t>
  </si>
  <si>
    <t>P1439</t>
  </si>
  <si>
    <t>https://www.gem.wiki/Ukhta-Torzhok_2_Gas_Pipeline</t>
  </si>
  <si>
    <t>Ukhta-Torzhok 2 Gas Pipeline</t>
  </si>
  <si>
    <t>Газопровод Ухта - Торжок - 2</t>
  </si>
  <si>
    <t>P1440</t>
  </si>
  <si>
    <t>Russia, North Korea, South Korea</t>
  </si>
  <si>
    <t>https://www.gem.wiki/Trans-Korea_Gas_Pipeline</t>
  </si>
  <si>
    <t>Trans-Korea Gas Pipeline</t>
  </si>
  <si>
    <t>Gazprom [unknown %]; KOGAS [unknown %]</t>
  </si>
  <si>
    <t>Транскорейский газопровод (Russian)</t>
  </si>
  <si>
    <t>LINESTRING (131.91017 43.123022, 127.699119 40.869514, 127.754736 35.216414)</t>
  </si>
  <si>
    <t>P1442</t>
  </si>
  <si>
    <t>https://www.gem.wiki/Fifth_Gas_Transmission_Pipeline_Project</t>
  </si>
  <si>
    <t>Fifth Gas Transmission Pipeline Project</t>
  </si>
  <si>
    <t>Phase II</t>
  </si>
  <si>
    <t>PTT Public Company Limited [100.00%]</t>
  </si>
  <si>
    <t>Chachoengsao</t>
  </si>
  <si>
    <t>Nonthaburi</t>
  </si>
  <si>
    <t>Sai Noi</t>
  </si>
  <si>
    <t>MULTILINESTRING ((101.158867 12.6593166, 101.1539737 12.6598428, 101.154079 12.6830991, 101.1819298 12.7128505, 101.1921797 12.733936, 101.1825155 12.75385, 101.1842726 12.7714212, 101.213558 12.8042208, 101.2173651 12.819742, 101.2194151 12.8261848, 101.2144365 12.8490274, 101.2000867 12.8595701, 101.191594 12.8660129, 101.1844593 12.8809414, 101.170281 12.8979554, 101.1608288 12.8993732, 101.1490135 12.920168, 101.1523218 12.9381272, 101.1598836 12.9603399, 101.178788 12.9731004, 101.1868224 12.9863335, 101.1887128 12.9901143, 101.2033637 12.9957857, 101.2137611 13.0066557, 101.2213229 13.0217792, 101.2123433 13.0345397, 101.2128159 13.0454097, 101.2109255 13.0709307, 101.2142337 13.0865268, 101.2170694 13.1087395, 101.2284121 13.1163013, 101.2383369 13.1205547, 101.2562961 13.1304796, 101.2766183 13.1352057, 101.3030845 13.1394591, 101.3120641 13.1460757, 101.3276602 13.1508018, 101.3309685 13.1560005, 101.3351216 13.1799731, 101.3355942 13.2239258, 101.3218885 13.2470837, 101.3119637 13.2607894, 101.3143267 13.2919817, 101.3171624 13.2985982, 101.3242515 13.3056874, 101.3322859 13.3160848, 101.337012 13.3302631, 101.3459916 13.3387701, 101.3374846 13.3472771, 101.3280324 13.3543662, 101.3275598 13.3784694, 101.3322859 13.3912298, 101.3464642 13.4030451, 101.3573342 13.4134425, 101.3592247 13.4304565, 101.3762386 13.4545596, 101.3809648 13.4635392, 101.3771839 13.4829162, 101.3861297 13.5052357, 101.3898977 13.5180467, 101.3868833 13.5481902, 101.3801011 13.5760729, 101.3778403 13.5964197, 101.3808546 13.6152594, 101.3748259 13.637867, 101.3642778 13.6664704, 101.3692989 13.6819522, 101.3697174 13.6957602, 101.3609304 13.7150078, 101.3500514 13.7183552, 101.3274564 13.7204473, 101.3077904 13.722121, 101.2969113 13.7233763, 101.2931455 13.7263053, 101.2709689 13.7555951, 101.2626004 13.7601978, 101.2408423 13.7627083, 101.2190841 13.8020404, 101.211134 13.806643, 101.2073682 13.8108273, 101.2031839 13.8258906, 101.1927233 13.835096, 101.1849029 13.8427637, 101.1782848 13.8661816, 101.1640304 13.8794178, 101.1523215 13.8794178, 101.1345035 13.8855268, 101.0754497 13.8890904, 101.0576317 13.9063992, 101.0362502 13.9053811, 101.0138504 13.9002902, 100.9924689 13.9007993, 100.950724 13.9145446, 100.926797 13.9237081, 100.9094881 13.9247263, 100.8977792 13.9303262, 100.8860702 13.9298171, 100.8769067 13.9262535, 100.8753794 13.964944, 100.8799612 13.9847983, 100.8768989 14.0961407, 100.8781377 14.1605569, 100.8521234 14.2032946, 100.8217735 14.2132047, 100.8205347 14.239219, 100.7883267 14.2255925, 100.7777971 14.2385996, 100.7703645 14.2627556, 100.7579767 14.2844342, 100.7365226 14.272859, 100.7169123 14.269149, 100.6930621 14.265439, 100.682992 14.2601389, 100.6580817 14.2606689, 100.6215113 14.2315186, 100.596071 14.2362886, 100.5817609 14.2421187, 100.5642707 14.2532488, 100.5436004 14.269679, 100.4990799 14.2649089, 100.4895398 14.265439, 100.4789397 14.267029, 100.4699296 14.2463587, 100.3486522 14.1715862, 100.3460384 14.158082, 100.3429891 14.138479, 100.3386329 14.1145199, 100.3294848 14.1014512, 100.3199012 14.09361, 100.31206 14.0840264, 100.3055257 14.0731358, 100.3033476 14.0709577, 100.3024763 14.0605028, 100.3002982 14.0570178, 100.2937639 14.0548397, 100.2859227 14.055711, 100.2828734 14.0552754, 100.2806952 14.0435136, 100.2815665 14.0308806, 100.2854871 14.0160694, 100.2907145 14.0090995, 100.2950707 14.0064858, 100.3037832 14.0038721, 100.2968132 13.9908034, 100.288972 13.9794773, 100.2867939 13.9746854, 100.2898433 13.9677155, 100.2981201 13.9651018, 100.3055257 13.9642305, 100.3168518 13.9642305, 100.3277423 13.9646661), (101.3609301 13.7150077, 101.3447745 13.6984601, 101.3403354 13.694338, 101.3284447 13.6906915, 101.3154442 13.6792764, 101.3057731 13.6703981, 101.2876993 13.6455069, 101.2850041 13.6421775, 101.2842114 13.6329821, 101.2723207 13.6285429, 101.2660568 13.6201141, 101.2626008 13.6122805, 101.2432472 13.6083637, 101.2314968 13.6014516, 101.224124 13.5954612, 101.2199768 13.5862452, 101.2020523 13.5539, 101.1917058 13.5491053, 101.1737888 13.5468341, 101.1689941 13.54532, 101.1518342 13.527403, 101.1318983 13.5135236, 101.1210472 13.5062054, 101.1142336 13.4938401, 101.105906 13.4802131, 101.0950549 13.4764278, 101.0796614 13.4723902, 101.0680531 13.4711284, 101.0645202 13.4706237, 101.0531644 13.4779419, 101.0463508 13.4824843, 101.0458461 13.487279, 101.044332 13.4953542, 101.031462 13.5104954), (101.1540744 12.6830978, 101.0936719 12.6824379, 101.0938383 12.6774446))</t>
  </si>
  <si>
    <t>P1446</t>
  </si>
  <si>
    <t>https://www.gem.wiki/Chelyabinsk-Petrovsk_Gas_Pipeline</t>
  </si>
  <si>
    <t>Chelyabinsk-Petrovsk Gas Pipeline</t>
  </si>
  <si>
    <t>LINESTRING (61.411506 55.178827, 45.393535 52.316082)</t>
  </si>
  <si>
    <t>P1451</t>
  </si>
  <si>
    <t>Romania, Ukraine</t>
  </si>
  <si>
    <t>https://www.gem.wiki/Hust%E2%80%93Satu_Mare_Gas_Pipeline</t>
  </si>
  <si>
    <t>Hust–Satu Mare Gas Pipeline</t>
  </si>
  <si>
    <t>Hust</t>
  </si>
  <si>
    <t>Satu Mare</t>
  </si>
  <si>
    <t>LINESTRING (22.871261 47.796041, 23.29724 48.176096)</t>
  </si>
  <si>
    <t>P1452</t>
  </si>
  <si>
    <t>https://www.gem.wiki/Shebelinka-Poltava-Kiev_Gas_Pipeline</t>
  </si>
  <si>
    <t>Shebelinka-Poltava-Kiev Gas Pipeline</t>
  </si>
  <si>
    <t>Kiev</t>
  </si>
  <si>
    <t>LINESTRING (36.517593 49.451689, 34.540755 49.601894, 30.530178 50.442514)</t>
  </si>
  <si>
    <t>P1453</t>
  </si>
  <si>
    <t>https://www.gem.wiki/Efremovka-Dikanka-Kiev_Gas_Pipeline</t>
  </si>
  <si>
    <t>Efremovka-Dikanka-Kiev Gas Pipeline</t>
  </si>
  <si>
    <t>Efremovka</t>
  </si>
  <si>
    <t>LINESTRING (36.577117 49.846877, 34.545095 49.586663, 30.523151 50.450892)</t>
  </si>
  <si>
    <t>P1454</t>
  </si>
  <si>
    <t>https://www.gem.wiki/Shebelinka-Dikanka-Kiev_Gas_Pipeline</t>
  </si>
  <si>
    <t>Shebelinka-Dikanka-Kiev Gas Pipeline</t>
  </si>
  <si>
    <t>1200, 2350</t>
  </si>
  <si>
    <t>LINESTRING (36.520685 49.45604, 34.525097 49.82768, 30.519139 50.435536)</t>
  </si>
  <si>
    <t>P1455</t>
  </si>
  <si>
    <t>https://www.gem.wiki/Tula-Shostka-Kiev_Gas_Pipeline</t>
  </si>
  <si>
    <t>Tula-Shostka-Kiev Gas Pipeline</t>
  </si>
  <si>
    <t>LINESTRING (37.34291 53.91179, 37.151642 53.922134, 36.985474 53.906765, 36.763 53.932645, 36.644897 53.897056, 36.469116 53.827407, 36.33728 53.778746, 36.177979 53.771442, 35.991211 53.725154, 35.822296 53.634054, 35.680847 53.546836, 35.370483 53.425901, 35.115738 53.37145, 34.991455 53.333333, 34.940643 53.300928, 34.770355 53.250836, 34.61174 53.274247, 34.466171 53.26973, 34.162674 53.298056, 33.95874 53.107217, 33.634644 52.241256, 33.475342 51.8731, 31.322021 51.464275, 30.521393 50.428643)</t>
  </si>
  <si>
    <t>P1456</t>
  </si>
  <si>
    <t>https://www.gem.wiki/Serpukhov_Kalinin_Leningrad_Pipeline</t>
  </si>
  <si>
    <t>Serpukhov-Kalinin-Leningrad Pipeline</t>
  </si>
  <si>
    <t>Serpukhov</t>
  </si>
  <si>
    <t>St. Petersburg</t>
  </si>
  <si>
    <t>LINESTRING (30.157471 59.791653, 30.346298 59.725254, 30.655975 59.651786, 30.787125 59.585804, 30.823517 59.524917, 30.938873 59.487634, 31.609039 59.120997, 31.59668 59.074448, 31.537628 59.012284, 31.473083 58.852121, 31.28333 58.58003, 31.521149 58.441983, 31.80542 58.360673, 32.111664 58.359233, 32.216034 58.331125, 32.509918 58.245946, 32.967224 58.024828, 33.27965 57.95168, 33.592072 57.914848, 33.932648 57.761334, 34.045258 57.713685, 34.29657 57.67552, 34.553375 57.563732, 34.841766 57.35246, 35.02667 56.96417, 35.20736 56.93305, 35.230713 56.91916, 35.247536 56.881404, 35.232773 56.83853, 35.283242 56.812369, 35.294915 56.76904, 35.314484 56.755654, 35.325814 56.726981, 35.356369 56.713014, 35.353966 56.673161, 35.416451 56.65615, 35.45662 56.629482, 35.470696 56.60999, 35.599099 56.549937, 35.688706 56.524239, 35.705185 56.489978, 35.705357 56.434204, 35.703469 56.378539, 35.720806 56.372539, 35.747071 56.300566, 35.800629 56.193548, 35.88515 56.10573, 35.948601 56.065885, 35.980873 56.024966, 35.966111 55.961101, 36.047135 55.837883, 36.060524 55.763648, 36.09211 55.681711, 36.080437 55.61864, 36.118889 55.603877, 36.158028 55.574916, 36.181717 55.537956, 36.289864 55.43643, 36.354752 55.389183, 36.416207 55.356545, 36.439209 55.335424, 36.470452 55.305288, 36.544953 55.246123, 36.614304 55.218224, 36.640396 55.213515, 36.75415 55.18288, 36.807938 55.131265, 36.830597 55.102154, 36.925698 55.025934, 36.96827 55.008385, 37.012558 54.989053, 37.050667 54.981948, 37.095642 54.977014, 37.18731 54.961616, 37.351418 54.972277, 37.50156 54.9684)</t>
  </si>
  <si>
    <t>P1457</t>
  </si>
  <si>
    <t>https://www.gem.wiki/Rostov-Taganrog-Zhdanov_Gas_Pipeline</t>
  </si>
  <si>
    <t>Rostov-Taganrog-Zhdanov Gas Pipeline</t>
  </si>
  <si>
    <t>Zhdanov</t>
  </si>
  <si>
    <t>LINESTRING (39.421054 57.183367, 38.946179 47.207382, 34.753509 48.228737)</t>
  </si>
  <si>
    <t>P1460</t>
  </si>
  <si>
    <t>https://www.gem.wiki/Dikanka-Kremenchuk%E2%80%93Krivyi_Rih_Gas_Pipeline</t>
  </si>
  <si>
    <t>Dikanka-Kremenchuk–Krivyi Rih Gas Pipeline</t>
  </si>
  <si>
    <t>Dikanka</t>
  </si>
  <si>
    <t>LINESTRING (34.524752 49.825798, 33.426787 49.077919, 33.388517 47.908209)</t>
  </si>
  <si>
    <t>P1462</t>
  </si>
  <si>
    <t>https://www.gem.wiki/Bilche-Wolitz-Dolyna_Gas_Pipeline</t>
  </si>
  <si>
    <t>Bilche-Wolitz-Dolyna Gas Pipeline</t>
  </si>
  <si>
    <t>Bliche</t>
  </si>
  <si>
    <t>LINESTRING (23.5416 49.2137, 23.989637 48.976337)</t>
  </si>
  <si>
    <t>P1463</t>
  </si>
  <si>
    <t>https://www.gem.wiki/Bohorodchany-Dolyna_Gas_Pipeline</t>
  </si>
  <si>
    <t>Bohorodchany-Dolyna Gas Pipeline</t>
  </si>
  <si>
    <t>Bohorodchany</t>
  </si>
  <si>
    <t>LINESTRING (24.536991 48.807141, 23.989637 48.976337)</t>
  </si>
  <si>
    <t>P1465</t>
  </si>
  <si>
    <t>https://www.gem.wiki/Dashava-Kiev-Bryansk-Moscow_Gas_Pipeline</t>
  </si>
  <si>
    <t>Dashava-Kiev-Bryansk-Moscow Gas Pipeline</t>
  </si>
  <si>
    <t>Dashava</t>
  </si>
  <si>
    <t>Газопровод Дашава - Киев - Брянск - Москва</t>
  </si>
  <si>
    <t>LINESTRING (24.011517 49.26252, 30.512343 50.449558, 31.34345 51.495473, 33.468923 51.86815, 34.41969 53.264976, 34.246696 54.369381, 37.602831 55.724292)</t>
  </si>
  <si>
    <t>P1466</t>
  </si>
  <si>
    <t>https://www.gem.wiki/Petrovsk-Algasovo-Elets_Pipelines</t>
  </si>
  <si>
    <t>Petrovsk-Elets Gas Pipeline</t>
  </si>
  <si>
    <t>Elets</t>
  </si>
  <si>
    <t>LINESTRING (45.39148 52.319442, 41.664682 53.682042, 38.506994 52.620203)</t>
  </si>
  <si>
    <t>P1467</t>
  </si>
  <si>
    <t>https://www.gem.wiki/Polyansk-Orenburg_Pipeline</t>
  </si>
  <si>
    <t>Polyansk-Orenburg Pipeline</t>
  </si>
  <si>
    <t>Polyansk</t>
  </si>
  <si>
    <t>LINESTRING (48.535167 57.472242, 55.098939 51.774637)</t>
  </si>
  <si>
    <t>P1470</t>
  </si>
  <si>
    <t>https://www.gem.wiki/Krasnodar-Serpukhov_Pipeline</t>
  </si>
  <si>
    <t>Krasnodar-Serpukhov Gas Pipeline</t>
  </si>
  <si>
    <t>820, 1020</t>
  </si>
  <si>
    <t>LINESTRING (38.996085 45.027689, 37.412634 54.92129)</t>
  </si>
  <si>
    <t>P1471</t>
  </si>
  <si>
    <t>https://www.gem.wiki/Novopskov-Aksai-Mozdok_Pipeline</t>
  </si>
  <si>
    <t>Novopskov-Aksai-Mozdok Pipeline</t>
  </si>
  <si>
    <t>1200, 1220</t>
  </si>
  <si>
    <t>LINESTRING (44.595 43.73778, 44.423904 43.73836, 44.167099 43.770102, 44.064789 43.736872, 43.741379 43.867208, 43.569717 44.004669, 43.44889 44.10222, 43.371277 44.205835, 42.989502 44.233393, 42.442932 44.492587, 41.97708 44.65291, 41.900482 44.843212, 41.893616 45.056061, 41.951294 45.187844, 41.952667 45.238152, 41.897736 45.292279, 41.77889 45.33306, 41.724014 45.42448, 41.691742 45.506347, 41.493988 45.711933, 41.386871 45.800084, 41.295 45.88694, 41.10672 46.125605, 40.860901 46.355459, 40.852661 46.387675, 40.811462 46.403776, 40.63611 46.5425, 40.616455 46.568774, 40.618858 46.581282, 40.524101 46.635058, 40.520668 46.643308, 40.182495 46.92729, 40.175629 46.943231, 39.710083 47.424371, 39.66751 47.73424, 39.545288 47.82883, 39.462891 47.997274, 39.523315 48.162421, 39.402466 48.60749, 39.325562 48.680081, 39.281616 48.987427, 39.15113 49.52606)</t>
  </si>
  <si>
    <t>P1472</t>
  </si>
  <si>
    <t>Russia, Georgia, Armenia</t>
  </si>
  <si>
    <t>https://www.gem.wiki/North_Caucasus_Transcaucasia_Pipeline</t>
  </si>
  <si>
    <t>North Caucasus Transcaucasia Pipeline</t>
  </si>
  <si>
    <t>Mozdok - Tbilisi - Yerevan Gas Pipeline; North-South Gas Pipeline</t>
  </si>
  <si>
    <t>Gazprom [unknown %]; Georgian Oil &amp; Gas Corporation [unknown %]</t>
  </si>
  <si>
    <t>500, 700, 1200, 1400</t>
  </si>
  <si>
    <t>Yerevan</t>
  </si>
  <si>
    <t>Моздок-Тбилиси</t>
  </si>
  <si>
    <t>LINESTRING (44.51747312814405 40.19803095529114, 44.807238 41.726995, 44.708871 42.083237, 44.642903 42.288671, 44.427969 42.385771, 44.452781 42.502078, 44.599609 43.177576, 44.596267 43.736271)</t>
  </si>
  <si>
    <t>P1475</t>
  </si>
  <si>
    <t>https://www.gem.wiki/Maykop-Samur-Sochi_Pipeline</t>
  </si>
  <si>
    <t>Maykop-Samur-Sochi Pipeline</t>
  </si>
  <si>
    <t>Maykop</t>
  </si>
  <si>
    <t>LINESTRING (40.105273 44.597083, 39.732684 43.602668)</t>
  </si>
  <si>
    <t>P1476</t>
  </si>
  <si>
    <t>Kazakhstan, Russia</t>
  </si>
  <si>
    <t>https://www.gem.wiki/Makat%E2%80%93North_Caucasus_Pipeline</t>
  </si>
  <si>
    <t>Makat–North Caucasus Pipeline</t>
  </si>
  <si>
    <t>1200, 1400, 1420</t>
  </si>
  <si>
    <t>Makat</t>
  </si>
  <si>
    <t>Chechnya</t>
  </si>
  <si>
    <t>Газопровод Макат Северный Кавказ</t>
  </si>
  <si>
    <t>LINESTRING (53.338749 47.64377, 47.244491 45.741114, 44.915633 43.466603)</t>
  </si>
  <si>
    <t>P1477</t>
  </si>
  <si>
    <t>https://www.gem.wiki/Kumli-Kizlyar-Babayurt-Aksai_Pipeline</t>
  </si>
  <si>
    <t>Kumli-Kizlyar-Babayurt-Aksai Pipeline</t>
  </si>
  <si>
    <t>Kumli</t>
  </si>
  <si>
    <t>Aksai</t>
  </si>
  <si>
    <t>LINESTRING (46.063949 43.990843, 46.714243 43.844716, 46.776541 43.600639, 39.868388 47.26528)</t>
  </si>
  <si>
    <t>P1480</t>
  </si>
  <si>
    <t>https://www.gem.wiki/Kyiv-Western_Border_of_Ukraine_Gas_Pipeline</t>
  </si>
  <si>
    <t xml:space="preserve">Kyiv–Western Border of Ukraine Gas Pipeline </t>
  </si>
  <si>
    <t>LINESTRING (30.530178 50.442514, 25.650686 49.585181, 22.90299 49.678789)</t>
  </si>
  <si>
    <t>P1481</t>
  </si>
  <si>
    <t>https://www.gem.wiki/Ananjiv-Bohorodchani_Gas_Pipeline</t>
  </si>
  <si>
    <t>Ananjiv-Bohorodchani Gas Pipeline</t>
  </si>
  <si>
    <t>Gas Transmission System Operator of Ukraine [unknown %]; SNTGN Transgaz SA [unknown %]</t>
  </si>
  <si>
    <t>JSC Mahistralni Gazoprovody Ukrainy (MGU) [unknown %]; Transgaz [unknown %]</t>
  </si>
  <si>
    <t>Ananjiv</t>
  </si>
  <si>
    <t>Bohorodchani</t>
  </si>
  <si>
    <t>LINESTRING (29.993189 47.717178, 27.78245 48.606661, 24.536991 48.807141)</t>
  </si>
  <si>
    <t>P1483</t>
  </si>
  <si>
    <t>https://www.gem.wiki/Novopskov-Shebelinka_Gas_Pipeline</t>
  </si>
  <si>
    <t>Novopskov-Shebelinka Gas Pipeline</t>
  </si>
  <si>
    <t>LINESTRING (39.118453 49.5316, 36.518108 49.452581)</t>
  </si>
  <si>
    <t>P1485</t>
  </si>
  <si>
    <t>https://www.gem.wiki/Kemenchug-Ananijiv_Gas_Pipeline</t>
  </si>
  <si>
    <t>Kremenchuk-Anan'iv-Bohorodchany Gas Pipeline</t>
  </si>
  <si>
    <t>Kremenchug</t>
  </si>
  <si>
    <t>Ananiev</t>
  </si>
  <si>
    <t>LINESTRING (33.426097 49.076571, 29.992502 47.717178)</t>
  </si>
  <si>
    <t>P1487</t>
  </si>
  <si>
    <t>Poland, Ukraine</t>
  </si>
  <si>
    <t>https://www.gem.wiki/Poland-Ukraine_Interconnector_Gas_Pipeline</t>
  </si>
  <si>
    <t>Poland-Ukraine Interconnector Gas Pipeline</t>
  </si>
  <si>
    <t>Gaz-System [unknown %]; Ukrtransgaz [unknown %]</t>
  </si>
  <si>
    <t>Gas Transmission System Operator of Ukraine [unknown %]; Gaz-System [unknown %]</t>
  </si>
  <si>
    <t>Hermanowice</t>
  </si>
  <si>
    <t>Bliche Volytsia UGS</t>
  </si>
  <si>
    <t>LINESTRING (22.864459 49.7370911, 23.142027 49.6133108, 23.3671874 49.6117133, 23.5781722 49.5129957, 23.7968996 49.4762185, 23.794964 49.4471839, 23.9323944 49.3600801)</t>
  </si>
  <si>
    <t>P1488</t>
  </si>
  <si>
    <t>https://www.gem.wiki/Kramatorsk-Donetsk-Mariupol_Gas_Pipeline</t>
  </si>
  <si>
    <t>Kramatorsk-Donetsk-Mariupol Gas Pipeline</t>
  </si>
  <si>
    <t>Kramatorsk</t>
  </si>
  <si>
    <t>LINESTRING (37.568179 48.730625, 37.806926 48.001267, 37.549627 47.093958)</t>
  </si>
  <si>
    <t>P1489</t>
  </si>
  <si>
    <t>Slovakia, Ukraine</t>
  </si>
  <si>
    <t>https://www.gem.wiki/Vojany-Uzhgorod_Gas_Pipeline</t>
  </si>
  <si>
    <t>Vojany-Uzhgorod Gas Pipeline</t>
  </si>
  <si>
    <t>Budince Pipeline</t>
  </si>
  <si>
    <t>Eustream [unknown %]; Gas Transmission System Operator of Ukraine [unknown %]</t>
  </si>
  <si>
    <t>JSC Mahistralni Gazoprovody Ukrainy (MGU) [unknown %]; SPP Infrastructure [unknown %]</t>
  </si>
  <si>
    <t>Vojany</t>
  </si>
  <si>
    <t>Вояни-Ужгород</t>
  </si>
  <si>
    <t>LINESTRING (21.988859 48.569357, 22.288911 48.621376)</t>
  </si>
  <si>
    <t>P1490</t>
  </si>
  <si>
    <t>https://www.gem.wiki/Nam_Con_Son_2_Gas_Pipeline</t>
  </si>
  <si>
    <t>Nam Con Son 2 Gas Pipeline</t>
  </si>
  <si>
    <t>PetroVietnam [unknown %]</t>
  </si>
  <si>
    <t>LINESTRING (107.760613 9.404674, 107.850877 9.131052, 107.947589 8.908181, 107.960484 8.359985, 108.031406 8.155806, 108.102328 7.919593, 108.147461 7.715192, 108.22483 7.363648)</t>
  </si>
  <si>
    <t>P1353</t>
  </si>
  <si>
    <t>https://www.gem.wiki/Strachocina_Pog%C3%B3rska_Wola_Pipeline</t>
  </si>
  <si>
    <t>Strachocina-Pogórska-Wola Gas Pipeline</t>
  </si>
  <si>
    <t>Gaz-System [unknown %]</t>
  </si>
  <si>
    <t>Strachocina</t>
  </si>
  <si>
    <t>Pogórska Wola</t>
  </si>
  <si>
    <t>LINESTRING (22.0727 49.611, 21.9516 49.6158, 21.8934 49.6178, 21.8658 49.6178, 21.8079 49.648, 21.7671 49.6612, 21.6987 49.6796, 21.5829 49.7138, 21.3895 49.7375, 21.379 49.8033, 21.3579 49.8533, 21.3303 49.8704, 21.2974 49.9151, 21.275 49.9282, 21.1248 50.0138)</t>
  </si>
  <si>
    <t>P0983</t>
  </si>
  <si>
    <t>https://www.gem.wiki/South_Sumatra_West_Java_Phase_II_Gas_Pipeline</t>
  </si>
  <si>
    <t>South Sumatra West Java Phase II Gas Pipeline</t>
  </si>
  <si>
    <t>SSWJ II Gas Pipeline</t>
  </si>
  <si>
    <t>Grissik</t>
  </si>
  <si>
    <t>Rawa Maju</t>
  </si>
  <si>
    <t>LINESTRING (103.8777104 -2.3299948, 105.101669 -4.455503, 105.777872 -5.391467, 106.98603 -6.046937, 107.111278 -6.283153)</t>
  </si>
  <si>
    <t>P0984</t>
  </si>
  <si>
    <t>https://www.gem.wiki/Tanjung_Batu-Muara_Badak_Gas_Pipeline</t>
  </si>
  <si>
    <t>Tanjung Batu-Muara Badak Gas Pipeline</t>
  </si>
  <si>
    <t>PK 52 Gas Pipeline</t>
  </si>
  <si>
    <t>Perusahaan Listrik Negara [100.00%]</t>
  </si>
  <si>
    <t>Tanjung Batu</t>
  </si>
  <si>
    <t>Muara Badak</t>
  </si>
  <si>
    <t>LINESTRING (117.05 -0.3771084, 117.416642 -0.30815)</t>
  </si>
  <si>
    <t>P0985</t>
  </si>
  <si>
    <t>https://www.gem.wiki/Tegalgede-Muara_Tawar_Gas_Pipeline</t>
  </si>
  <si>
    <t>Tegalgede-Muara Tawar Gas Pipeline</t>
  </si>
  <si>
    <t>Tegalgede</t>
  </si>
  <si>
    <t>Cikarang</t>
  </si>
  <si>
    <t>Muara Tawar</t>
  </si>
  <si>
    <t>LINESTRING (107.2040207 -6.334934, 106.995763 -6.097581)</t>
  </si>
  <si>
    <t>P0988</t>
  </si>
  <si>
    <t>https://www.gem.wiki/Trans-Central_Sumatra_Gas_Pipeline</t>
  </si>
  <si>
    <t>Trans-Central Sumatra Gas Pipeline</t>
  </si>
  <si>
    <t>Gresik-Duri Gas Pipeline</t>
  </si>
  <si>
    <t>LINESTRING (103.937396 -2.289742, 101.215535 1.273838)</t>
  </si>
  <si>
    <t>P0990</t>
  </si>
  <si>
    <t>https://www.gem.wiki/Wampu-Belawan-Paya_Pasir_Gas_Pipeline</t>
  </si>
  <si>
    <t>Wampu-Belawan-Paya Pasir Gas Pipeline</t>
  </si>
  <si>
    <t>Wampu</t>
  </si>
  <si>
    <t>Paya Pasir</t>
  </si>
  <si>
    <t>LINESTRING (98.333752 3.683502, 98.669173 3.76367, 98.661362 3.727698)</t>
  </si>
  <si>
    <t>P0991</t>
  </si>
  <si>
    <t>https://www.gem.wiki/West_Kalimantan-Central_Kalimantan_Gas_Pipeline</t>
  </si>
  <si>
    <t>West Kalimantan-Central Kalimantan Gas Pipeline</t>
  </si>
  <si>
    <t>Pontianak</t>
  </si>
  <si>
    <t>LINESTRING (109.378 -0.052, 109.53 -0.296, 109.784 -0.625, 109.954 -0.87, 110.152 -1.246, 110.208 -1.453, 110.217 -1.66, 110.434 -2.309, 110.631 -2.592, 110.97 -2.705, 111.648 -2.695, 111.996 -2.837, 112.203 -2.94, 112.598 -2.94, 112.947 -2.855, 113.135 -2.799, 113.398 -2.893)</t>
  </si>
  <si>
    <t>P1175</t>
  </si>
  <si>
    <t>https://www.gem.wiki/Palm_Valley_to_Alice_Springs_Pipeline</t>
  </si>
  <si>
    <t>Palm Valley to Alice Springs Pipeline</t>
  </si>
  <si>
    <t>Palm Valley Pipeline</t>
  </si>
  <si>
    <t>Cheung Kong Holdings [100.00%]</t>
  </si>
  <si>
    <t>Amadeus Basin</t>
  </si>
  <si>
    <t>Palm Valley</t>
  </si>
  <si>
    <t>Alice Springs</t>
  </si>
  <si>
    <t>Northern Teritory</t>
  </si>
  <si>
    <t>MULTILINESTRING ((132.242532 -23.83271, 132.386058 -23.868541, 132.395075 -23.872901, 132.4936 -23.895444, 132.499699 -23.896845, 132.51557 -23.900493, 132.717242 -23.926731, 132.726 -23.934132, 132.772003 -23.954376, 132.779373 -23.950542, 133.162554 -23.968481, 133.203676 -23.972011, 133.501296 -23.956989, 133.655493 -23.915304, 133.717289 -23.873921, 133.807142 -23.813761, 133.864007 -23.775531), (133.717289 -23.873921, 133.818569 -23.856999, 133.819911 -23.858319, 133.821109 -23.859757, 133.822141 -23.861282, 133.823833 -23.86623), (132.726 -23.934132, 132.695114 -23.94154, 132.681231 -23.957749, 132.654132 -23.965001, 132.647796 -23.999407))</t>
  </si>
  <si>
    <t>P0992</t>
  </si>
  <si>
    <t>https://www.gem.wiki/West_Natuna_Transportation_System_Gas_Pipeline</t>
  </si>
  <si>
    <t>West Natuna Transportation System Gas Pipeline</t>
  </si>
  <si>
    <t>WNTS</t>
  </si>
  <si>
    <t>Pt Medco Daya Abadi Lestari [40.00%]; INPEX [35.00%]; Chevron [25.00%]</t>
  </si>
  <si>
    <t>South Natuna Sea Block B PSC Oil And Gas Fields, Natuna Sea Block A PSC Oil And Gas Fields</t>
  </si>
  <si>
    <t>LINESTRING (105.5231374 4.8807624, 104.8474354 1.6510168, 103.8558764 1.3682598)</t>
  </si>
  <si>
    <t>P0993</t>
  </si>
  <si>
    <t>https://www.gem.wiki/Amagasaki%E2%80%93Kumiyama_Gas_Pipeline</t>
  </si>
  <si>
    <t>Amagasaki-Kumiyama Gas Pipeline</t>
  </si>
  <si>
    <t>Amagasaki</t>
  </si>
  <si>
    <t>Hyogo</t>
  </si>
  <si>
    <t>尼崎・久御山ライン</t>
  </si>
  <si>
    <t>LINESTRING (135.412624 34.73617, 135.684796 34.883832)</t>
  </si>
  <si>
    <t>P0875</t>
  </si>
  <si>
    <t>https://www.gem.wiki/Rashidpur-Habigonj_Gas_Pipeline</t>
  </si>
  <si>
    <t>Rashidpur-Habigonj Gas Pipeline</t>
  </si>
  <si>
    <t>Rashidpur-Ashuganj Gas Transmission Pipeline</t>
  </si>
  <si>
    <t>Rashidpur</t>
  </si>
  <si>
    <t>LINESTRING (91.774313 24.628283, 91.414122 24.378616)</t>
  </si>
  <si>
    <t>P0994</t>
  </si>
  <si>
    <t>https://www.gem.wiki/Chiba_Gas_Pipeline</t>
  </si>
  <si>
    <t>Chiba Gas Pipeline</t>
  </si>
  <si>
    <t>K&amp;O Energy Group [100.00%]</t>
  </si>
  <si>
    <t>Sodegaura Valve Station</t>
  </si>
  <si>
    <t>Edogawa</t>
  </si>
  <si>
    <t>LINESTRING (139.977 35.4637913, 140.13462 35.5728153, 139.996312 35.696498, 139.8677 35.7049983)</t>
  </si>
  <si>
    <t>P0876</t>
  </si>
  <si>
    <t>https://www.gem.wiki/Sangu_Gas_Transmission_Pipeline</t>
  </si>
  <si>
    <t>Sangu Gas Transmission Pipeline</t>
  </si>
  <si>
    <t>Santos Limited [100.00%]</t>
  </si>
  <si>
    <t>Sangu Gas Field</t>
  </si>
  <si>
    <t>LINESTRING (91.5553 22.026241, 91.784511 22.355769)</t>
  </si>
  <si>
    <t>P0995</t>
  </si>
  <si>
    <t>https://www.gem.wiki/Chiba-Kashima_Gas_Pipeline</t>
  </si>
  <si>
    <t>Chiba-Kashima Gas Pipeline</t>
  </si>
  <si>
    <t>Ibaraki Prefecture</t>
  </si>
  <si>
    <t>LINESTRING (140.107931 35.620857, 140.6661 35.902118)</t>
  </si>
  <si>
    <t>P1523</t>
  </si>
  <si>
    <t>https://www.gem.wiki/Abstubetsu_Gas_Pipeline</t>
  </si>
  <si>
    <t>Abstubetsu Gas Pipeline</t>
  </si>
  <si>
    <t>Hokkaido Gas [unknown %]</t>
  </si>
  <si>
    <t>Kitahiroshima governor station (北広島 GS)</t>
  </si>
  <si>
    <t>Atsubetsu governor station (厚別 GS)</t>
  </si>
  <si>
    <t>LINESTRING (141.566667 42.983333, 141.477392 43.046008)</t>
  </si>
  <si>
    <t>P1524</t>
  </si>
  <si>
    <t>https://www.gem.wiki/Ishikari_Trunk_Line</t>
  </si>
  <si>
    <t>Ishikari Trunk Line</t>
  </si>
  <si>
    <t>Jo Nishi</t>
  </si>
  <si>
    <t>Kita-ku</t>
  </si>
  <si>
    <t>Sapporo City</t>
  </si>
  <si>
    <t>LINESTRING (141.293247 43.20997, 141.353032 43.065252)</t>
  </si>
  <si>
    <t>P1525</t>
  </si>
  <si>
    <t>https://www.gem.wiki/Hakodate_Trunk_Line</t>
  </si>
  <si>
    <t>Hakodate Trunk line</t>
  </si>
  <si>
    <t>Hakodate Minato Plant</t>
  </si>
  <si>
    <t>Hakodate governor station (函館 GS) and the Hakodate east governor station (函館東 GS)</t>
  </si>
  <si>
    <t>LINESTRING (140.728606 41.768098, 140.784224 41.812386)</t>
  </si>
  <si>
    <t>P1526</t>
  </si>
  <si>
    <t>https://www.gem.wiki/Chitose_Trunk_Line</t>
  </si>
  <si>
    <t>Chitose Trunk Line</t>
  </si>
  <si>
    <t>Chitose governor station (千歳 GS)</t>
  </si>
  <si>
    <t>Chitose City Kamasacho 943-3, 924-1 Kamitacho, Chitose (千歳市上長都 943-3、 千歳市上長都 924-1).</t>
  </si>
  <si>
    <t>LINESTRING (141.32079 43.190746, 141.390828 43.260296)</t>
  </si>
  <si>
    <t>P1527</t>
  </si>
  <si>
    <t>https://www.gem.wiki/Tomatoh_Line</t>
  </si>
  <si>
    <t>Tomatoh Trunk Line</t>
  </si>
  <si>
    <t>Kashiwabara governor station (柏原 GS)</t>
  </si>
  <si>
    <t>Kashiwara, Tomakomai City (苫小牧市柏原 6-183)</t>
  </si>
  <si>
    <t>LINESTRING (141.364847 43.245532, 141.40132 43.278659)</t>
  </si>
  <si>
    <t>P1528</t>
  </si>
  <si>
    <t>https://www.gem.wiki/Izumisawa_Pipeline</t>
  </si>
  <si>
    <t>Izumisawa Trunk Line</t>
  </si>
  <si>
    <t>1007 Izumisawa</t>
  </si>
  <si>
    <t>Chitose-shi</t>
  </si>
  <si>
    <t>Wakakusa GS</t>
  </si>
  <si>
    <t>Zumisawa</t>
  </si>
  <si>
    <t>LINESTRING (141.651526 42.821906, 141.651177 42.851613)</t>
  </si>
  <si>
    <t>P1529</t>
  </si>
  <si>
    <t>https://www.gem.wiki/Shin_Kitami_Gas_Pipeline</t>
  </si>
  <si>
    <t>Shin Kitami Gas Pipeline</t>
  </si>
  <si>
    <t>Kitami Plant, Hoji</t>
  </si>
  <si>
    <t>Kitami</t>
  </si>
  <si>
    <t>Minaminakamachi</t>
  </si>
  <si>
    <t>Kitami-shi</t>
  </si>
  <si>
    <t>LINESTRING (143.900222 43.8071, 143.898016 43.800383)</t>
  </si>
  <si>
    <t>P1531</t>
  </si>
  <si>
    <t>https://www.gem.wiki/Kawachi_Pipeline</t>
  </si>
  <si>
    <t>Kawchi Pipeline</t>
  </si>
  <si>
    <t>Osaka Gas [unknown %]</t>
  </si>
  <si>
    <t>Shin Matsubara Valve Statio</t>
  </si>
  <si>
    <t>Hanoi Governor Station</t>
  </si>
  <si>
    <t>P1532</t>
  </si>
  <si>
    <t>https://www.gem.wiki/Wakakura_Pipeline</t>
  </si>
  <si>
    <t>Wakakura Pipeline</t>
  </si>
  <si>
    <t>Saibu Gas [unknown %]</t>
  </si>
  <si>
    <t>Hibikimachi</t>
  </si>
  <si>
    <t>Wakamatsu-ku</t>
  </si>
  <si>
    <t>Kitakyushu-shi</t>
  </si>
  <si>
    <t>Kitahama-cho</t>
  </si>
  <si>
    <t>LINESTRING (130.813982 33.912752, 130.793375 33.939792)</t>
  </si>
  <si>
    <t>P1533</t>
  </si>
  <si>
    <t>https://www.gem.wiki/Kitakyushu_Gas_Pipeline</t>
  </si>
  <si>
    <t>Kitakyushu Gas Pipeline</t>
  </si>
  <si>
    <t>Kitakyushu-sh</t>
  </si>
  <si>
    <t>LINESTRING (130.7944 33.938674, 130.81148 33.905769)</t>
  </si>
  <si>
    <t>P1534</t>
  </si>
  <si>
    <t>https://www.gem.wiki/Honjo_line</t>
  </si>
  <si>
    <t>Honjo Line</t>
  </si>
  <si>
    <t>Hagiwaramachi</t>
  </si>
  <si>
    <t>Kumamoto-shi</t>
  </si>
  <si>
    <t>Takasaki-shi</t>
  </si>
  <si>
    <t>Minami Kumamoto</t>
  </si>
  <si>
    <t>LINESTRING (130.70891 32.780513, 130.712033 32.788073)</t>
  </si>
  <si>
    <t>P1535</t>
  </si>
  <si>
    <t>https://www.gem.wiki/Izumi_line</t>
  </si>
  <si>
    <t>Izumi Line</t>
  </si>
  <si>
    <t>Hagiwara (熊本市萩原町)</t>
  </si>
  <si>
    <t>Kokufu (熊本市国府)</t>
  </si>
  <si>
    <t>LINESTRING (130.708857 32.78061, 130.727268 32.789107)</t>
  </si>
  <si>
    <t>P1536</t>
  </si>
  <si>
    <t>https://www.gem.wiki/Suruga_Line</t>
  </si>
  <si>
    <t>Suruga Line</t>
  </si>
  <si>
    <t>Yoshiwara base (吉原基地)</t>
  </si>
  <si>
    <t>Yoshiwara governor station (吉原 GS)</t>
  </si>
  <si>
    <t>P1537</t>
  </si>
  <si>
    <t>https://www.gem.wiki/Hakata_line</t>
  </si>
  <si>
    <t>Hakata Trunk Line</t>
  </si>
  <si>
    <t>Higashihama</t>
  </si>
  <si>
    <t>Fukuoka-shi</t>
  </si>
  <si>
    <t>Katakasu</t>
  </si>
  <si>
    <t>LINESTRING (130.406403 33.615432, 130.423163 33.596727)</t>
  </si>
  <si>
    <t>P1538</t>
  </si>
  <si>
    <t>https://www.gem.wiki/Futo_line</t>
  </si>
  <si>
    <t>Futo Line</t>
  </si>
  <si>
    <t>Higashi-ku</t>
  </si>
  <si>
    <t>Hakozaki</t>
  </si>
  <si>
    <t>LINESTRING (130.407265 33.615929, 130.409368 33.633975)</t>
  </si>
  <si>
    <t>P1539</t>
  </si>
  <si>
    <t>https://www.gem.wiki/Shimizu_Central_Line</t>
  </si>
  <si>
    <t>Shimizu line</t>
  </si>
  <si>
    <t>Shizuoka Gas [unknown %]</t>
  </si>
  <si>
    <t>Sodeshicho</t>
  </si>
  <si>
    <t>Shizuoka Prefecture</t>
  </si>
  <si>
    <t>Shimizu-ku</t>
  </si>
  <si>
    <t>Matsubaracho</t>
  </si>
  <si>
    <t>LINESTRING (138.492128 35.02678, 138.491139 35.01244)</t>
  </si>
  <si>
    <t>P1540</t>
  </si>
  <si>
    <t>https://www.gem.wiki/Susono_Trunk_Line</t>
  </si>
  <si>
    <t>Susono Trunk Line</t>
  </si>
  <si>
    <t>Suyama governor station (須山 GS)</t>
  </si>
  <si>
    <t>Imazato</t>
  </si>
  <si>
    <t>Shizuoka</t>
  </si>
  <si>
    <t>P1541</t>
  </si>
  <si>
    <t>https://www.gem.wiki/Shin_Negishi_Trunk_Line</t>
  </si>
  <si>
    <t>Shin Negishi Trunk Line</t>
  </si>
  <si>
    <t>Negishi Line</t>
  </si>
  <si>
    <t>Tokyo Gas [unknown %]</t>
  </si>
  <si>
    <t>Shinisogo</t>
  </si>
  <si>
    <t>Isogo Ward</t>
  </si>
  <si>
    <t>Yokohama</t>
  </si>
  <si>
    <t>Hōya</t>
  </si>
  <si>
    <t>P1542</t>
  </si>
  <si>
    <t>Negishi Line Expansion</t>
  </si>
  <si>
    <t>Shimo-asō</t>
  </si>
  <si>
    <t>P1543</t>
  </si>
  <si>
    <t>https://www.gem.wiki/Utsunomiya_Pipeline</t>
  </si>
  <si>
    <t>Utsunomiya Pipeline</t>
  </si>
  <si>
    <t>Tokyo Oil [unknown %]</t>
  </si>
  <si>
    <t>Sano valve station (佐野ＶＳ)</t>
  </si>
  <si>
    <t>Tsuruta governor station (鶴田ＧＳ)</t>
  </si>
  <si>
    <t>P1544</t>
  </si>
  <si>
    <t>https://www.gem.wiki/Sapporo_pipeline</t>
  </si>
  <si>
    <t>Sapporo Pipeline</t>
  </si>
  <si>
    <t>Ishikari LNG (石狩 LNG 基地)</t>
  </si>
  <si>
    <t>Newport governor station (新港 GS)</t>
  </si>
  <si>
    <t>P1545</t>
  </si>
  <si>
    <t>https://www.gem.wiki/Nihongi_Pipeline</t>
  </si>
  <si>
    <t>Nihongi Pipeline</t>
  </si>
  <si>
    <t>INPEX [unknown %]</t>
  </si>
  <si>
    <t>Kubiki</t>
  </si>
  <si>
    <t>Niigata Prefecture</t>
  </si>
  <si>
    <t>Nakago</t>
  </si>
  <si>
    <t>LINESTRING (138.286273 37.184173, 138.225243 36.980954)</t>
  </si>
  <si>
    <t>P1546</t>
  </si>
  <si>
    <t>https://www.gem.wiki/Niigata_Pipeline</t>
  </si>
  <si>
    <t>Niigata Pipeline</t>
  </si>
  <si>
    <t>Nagaoka city (長岡市)</t>
  </si>
  <si>
    <t>Niigata prefecture</t>
  </si>
  <si>
    <t>Niigata city (新潟市 )</t>
  </si>
  <si>
    <t>LINESTRING (139.035963 37.915323, 138.852628 37.445255)</t>
  </si>
  <si>
    <t>P1547</t>
  </si>
  <si>
    <t>https://www.gem.wiki/Naruto_Pipeline</t>
  </si>
  <si>
    <t>Naruto Pipeline</t>
  </si>
  <si>
    <t>Sanmu city (山武市)</t>
  </si>
  <si>
    <t>Hiba City</t>
  </si>
  <si>
    <t>LINESTRING (140.412664 35.602663, 140.105046 35.607129)</t>
  </si>
  <si>
    <t>P1548</t>
  </si>
  <si>
    <t>https://www.gem.wiki/Iwaki_Offshore_Line</t>
  </si>
  <si>
    <t>Iwaki Offshore line</t>
  </si>
  <si>
    <t>Naraha</t>
  </si>
  <si>
    <t>Fukushima</t>
  </si>
  <si>
    <t>LINESTRING (140.995208 37.283105, 141.446929 37.279654)</t>
  </si>
  <si>
    <t>P1549</t>
  </si>
  <si>
    <t>https://www.gem.wiki/Toyano_Pipeline</t>
  </si>
  <si>
    <t>Toyano Pipeline</t>
  </si>
  <si>
    <t>Aoyama (青山) Niigata city</t>
  </si>
  <si>
    <t>Hamacho (浜 町) Niigata city</t>
  </si>
  <si>
    <t>LINESTRING (138.991043 37.899715, 139.066574 37.941829)</t>
  </si>
  <si>
    <t>P1550</t>
  </si>
  <si>
    <t>https://www.gem.wiki/Hosokusa_pipeline</t>
  </si>
  <si>
    <t>Hosokusa Pipeline</t>
  </si>
  <si>
    <t>Ohamishirasato</t>
  </si>
  <si>
    <t>Sanmu</t>
  </si>
  <si>
    <t>Chiba Prefecture</t>
  </si>
  <si>
    <t>LINESTRING (140.320445 35.521873, 140.414 35.603424)</t>
  </si>
  <si>
    <t>P1551</t>
  </si>
  <si>
    <t>https://www.gem.wiki/Kogoshima_Hayato_Gas_Pipeline</t>
  </si>
  <si>
    <t>Kogoshima Hayato Gas Pipeline</t>
  </si>
  <si>
    <t>Nippon Gas [unknown %]</t>
  </si>
  <si>
    <t>Kagoshima Plant (鹿児島工場)</t>
  </si>
  <si>
    <t>Taniyama Supply Station (谷山供給所)</t>
  </si>
  <si>
    <t>P1552</t>
  </si>
  <si>
    <t>Shinyashiki Kosha Building (新屋敷公社ビル)</t>
  </si>
  <si>
    <t>P1553</t>
  </si>
  <si>
    <t>https://www.gem.wiki/Saikyo_line</t>
  </si>
  <si>
    <t>Saikyo line</t>
  </si>
  <si>
    <t>Higashi Ward</t>
  </si>
  <si>
    <t>Chou Ward</t>
  </si>
  <si>
    <t>LINESTRING (130.386645 33.582452, 130.408189 33.615124)</t>
  </si>
  <si>
    <t>P1554</t>
  </si>
  <si>
    <t>https://www.gem.wiki/Nishi_west_line</t>
  </si>
  <si>
    <t>Nishi west line</t>
  </si>
  <si>
    <t>Higashi Ward (福岡市東区東浜)</t>
  </si>
  <si>
    <t>Sawara Ward (福岡市早良区高取)</t>
  </si>
  <si>
    <t>LINESTRING (130.408402 33.615241, 130.351925 33.579495)</t>
  </si>
  <si>
    <t>P1555</t>
  </si>
  <si>
    <t>https://www.gem.wiki/Shin_Sasebo_line</t>
  </si>
  <si>
    <t>Sin Sasebo</t>
  </si>
  <si>
    <t>Hariokitamachi</t>
  </si>
  <si>
    <t>Sasebo-shi</t>
  </si>
  <si>
    <t>Sashikata-cho</t>
  </si>
  <si>
    <t>LINESTRING (129.755388 33.107866, 129.780751 33.106572)</t>
  </si>
  <si>
    <t>P1556</t>
  </si>
  <si>
    <t>https://www.gem.wiki/Kashima_Area_High-Pressure_Distribution_Pipeline</t>
  </si>
  <si>
    <t>Kashima Area High-Pressure Distribution Pipeline</t>
  </si>
  <si>
    <t>Kamisu City</t>
  </si>
  <si>
    <t>Ibaraki Pref</t>
  </si>
  <si>
    <t>P1557</t>
  </si>
  <si>
    <t>Negishi Plant, Isogo ward (根岸工場（横浜市磯子区))</t>
  </si>
  <si>
    <t>Kanagawa</t>
  </si>
  <si>
    <t>Shibashi governor station Izumi ward (新橋ガバナステーション（横浜市泉区)), Yokohama city, Japan.</t>
  </si>
  <si>
    <t>P1558</t>
  </si>
  <si>
    <t>https://www.gem.wiki/Sakai_Connection_Pipeline</t>
  </si>
  <si>
    <t>Sakai Connection Pipeline</t>
  </si>
  <si>
    <t>Senboku factory (泉北第１工場)</t>
  </si>
  <si>
    <t>Sakai Governor Station</t>
  </si>
  <si>
    <t>P1559</t>
  </si>
  <si>
    <t>https://www.gem.wiki/Senboku_No.1_Connection_Pipeline</t>
  </si>
  <si>
    <t>Senboku No.1 Connection Pipeline</t>
  </si>
  <si>
    <t>Senboku No.1 Plant (泉北第１工場)</t>
  </si>
  <si>
    <t>Senboku No.2 Plant (泉北第２工場)</t>
  </si>
  <si>
    <t>P1560</t>
  </si>
  <si>
    <t>https://www.gem.wiki/Beigang_Liaison_Tube</t>
  </si>
  <si>
    <t>Hokuko Connection Pipeline</t>
  </si>
  <si>
    <t>Beigang Liaison Tube</t>
  </si>
  <si>
    <t>Beigang Governor Station (北港 GS)</t>
  </si>
  <si>
    <t>P1561</t>
  </si>
  <si>
    <t>https://www.gem.wiki/Torishima_Connection_Line</t>
  </si>
  <si>
    <t>Torishima Connection Line</t>
  </si>
  <si>
    <t>Hokko GS</t>
  </si>
  <si>
    <t>Torishima GS</t>
  </si>
  <si>
    <t>P1562</t>
  </si>
  <si>
    <t>https://www.gem.wiki/Harima_West_Coastal_Line</t>
  </si>
  <si>
    <t>Harima Nishi Coastal Line</t>
  </si>
  <si>
    <t>Himeji Factory (姫路製造所)</t>
  </si>
  <si>
    <t>Rika Governor Station</t>
  </si>
  <si>
    <t>P1563</t>
  </si>
  <si>
    <t>https://www.gem.wiki/Amagasaki_line</t>
  </si>
  <si>
    <t>Amanosaki Line</t>
  </si>
  <si>
    <t>Torishima Governor Station (酉島 GS)</t>
  </si>
  <si>
    <t>Torishima</t>
  </si>
  <si>
    <t>Hachijō</t>
  </si>
  <si>
    <t>Amagasaki Governor Station (尼崎 GS)</t>
  </si>
  <si>
    <t>P1564</t>
  </si>
  <si>
    <t>https://www.gem.wiki/Chuen-Fukuroi_Line</t>
  </si>
  <si>
    <t>Chuen-Fukuroi Line</t>
  </si>
  <si>
    <t>Shizuoka Gas Ogasayama office (小笠山事業所)</t>
  </si>
  <si>
    <t>Fukuroi Gas Co (袋井ガス)</t>
  </si>
  <si>
    <t>P1565</t>
  </si>
  <si>
    <t>https://www.gem.wiki/Shin_Chitose_Airport_Trunk_Line</t>
  </si>
  <si>
    <t>Shin Chitose Airport Trunk Line</t>
  </si>
  <si>
    <t>Chitose governor stations (千歳 GS)</t>
  </si>
  <si>
    <t>Chitose International Airport (新千歳空港)</t>
  </si>
  <si>
    <t>P1566</t>
  </si>
  <si>
    <t>https://www.gem.wiki/Shizuhama_Trunk_Line</t>
  </si>
  <si>
    <t>Shizuhama Trunk Line</t>
  </si>
  <si>
    <t>Shimizu ward (静岡市清水区)</t>
  </si>
  <si>
    <t>Suruga ward ( 静岡市駿河区)</t>
  </si>
  <si>
    <t>LINESTRING (138.502348 35.115966, 138.389051 34.949824)</t>
  </si>
  <si>
    <t>P1567</t>
  </si>
  <si>
    <t>Albania, Italy</t>
  </si>
  <si>
    <t>https://www.gem.wiki/Eagle_FLNG_Pipeline</t>
  </si>
  <si>
    <t>Eagle FLNG Pipeline</t>
  </si>
  <si>
    <t>Gruppo Falcione [unknown %]</t>
  </si>
  <si>
    <t>28, 32, 36, 42</t>
  </si>
  <si>
    <t>Levan</t>
  </si>
  <si>
    <t>LINESTRING (19.483333 40.683333, 17.609292 40.645137)</t>
  </si>
  <si>
    <t>P1568</t>
  </si>
  <si>
    <t>France, Belgium</t>
  </si>
  <si>
    <t>https://www.gem.wiki/Dunkirk-Zeebrugge_Gas_Pipeline</t>
  </si>
  <si>
    <t>Dunkirk-Zeebrugge Gas Pipeline</t>
  </si>
  <si>
    <t>Fluxys Belgium NV [unknown %]</t>
  </si>
  <si>
    <t>Fluxys [unknown %]</t>
  </si>
  <si>
    <t>Loon-Plage</t>
  </si>
  <si>
    <t>LINESTRING (2.19653 51.03361, 2.313768 50.926515, 2.601207 50.991395, 2.709921 51.01204, 3.434761 51.210768, 3.22241 51.353)</t>
  </si>
  <si>
    <t>P1571</t>
  </si>
  <si>
    <t>https://www.gem.wiki/2nd_Bangabandhu_Railway_Bridge_Gas_Transmission_Pipeline</t>
  </si>
  <si>
    <t>2nd Bangabandhu Railway Bridge Gas Transmission Pipeline</t>
  </si>
  <si>
    <t>Gas Transmission Company Limited (GTCL) [unknown %]</t>
  </si>
  <si>
    <t>Petrobangla [unknown %]</t>
  </si>
  <si>
    <t>Char Pathailkandi</t>
  </si>
  <si>
    <t>LINESTRING (89.747738 24.401055, 89.807991 24.400547)</t>
  </si>
  <si>
    <t>P1572</t>
  </si>
  <si>
    <t>https://www.gem.wiki/Al_Andalus_Pipeline</t>
  </si>
  <si>
    <t>Al Ándalus Gas Pipeline</t>
  </si>
  <si>
    <t>48, 36, 22, 20, 16, 12, 10, 8, 6</t>
  </si>
  <si>
    <t>Tarifa</t>
  </si>
  <si>
    <t>MULTILINESTRING ((-6.007 36.2, -6.111 36.382, -6.014 36.781, -5.651 37.09, -5.24 37.249, -5.012 37.4, -4.555 37.737, -4.582 37.802, -4.706 37.845, -4.888 37.903), (-4.555 37.736, -4.349 37.684, -4.071 37.671, -4.039 37.559, -3.955 37.411, -3.913 37.356, -3.831 37.333, -3.73 37.176), (-4.45 36.686, -4.593 36.708, -4.676 36.657, -4.827 36.665, -4.791 37.063, -5.018 37.396), (-4.827 36.665, -4.857 36.605, -4.859 36.496, -4.878 36.479, -4.94 36.488, -5.005 36.505, -5.177 36.48, -5.292 36.446, -5.317 36.419), (-4.071 37.67, -3.878 37.756, -3.876 37.92, -3.685 38, -3.561 38.139), (-3.729 37.176, -3.777 37.117, -3.727 36.969, -3.606 36.828, -3.617 36.765))</t>
  </si>
  <si>
    <t>P1573</t>
  </si>
  <si>
    <t>https://www.gem.wiki/Algete-Haro_Gas_Pipeline</t>
  </si>
  <si>
    <t>Algete-Haro Gas Pipeline</t>
  </si>
  <si>
    <t>Haro-Burgos-Madrid Gas Pipeline</t>
  </si>
  <si>
    <t>26, 20, 16, 12, 10, 8, 6, 4</t>
  </si>
  <si>
    <t>LINESTRING (-3.54579975 40.58592346, -3.5370499 40.60742122, -3.54300047 40.67605104, -3.58209063 40.73065925, -3.64209598 40.88067263, -3.6220942 40.93317731, -3.59959219 41.06568913, -3.60209241 41.12069404, -3.64959665 41.2357043, -3.69210044 41.44072258, -3.71710267 41.59573641, -3.68919968 41.67040032, -3.75620787 41.91552077, -3.75620787 42.33614183, -3.69100046 42.34600051, -2.87952449 42.56387564, -2.88239723 42.56585546)</t>
  </si>
  <si>
    <t>P1574</t>
  </si>
  <si>
    <t>https://www.gem.wiki/Algete-Yela_Gas_Pipeline</t>
  </si>
  <si>
    <t>Algete-Yela Gas Pipeline</t>
  </si>
  <si>
    <t>Algete</t>
  </si>
  <si>
    <t>Yela</t>
  </si>
  <si>
    <t>Guadalajara</t>
  </si>
  <si>
    <t>LINESTRING (-3.505144 40.59625, -2.781027 40.823525)</t>
  </si>
  <si>
    <t>P1575</t>
  </si>
  <si>
    <t>https://www.gem.wiki/Almer%C3%ADa-Chinchilla_Gas_Pipeline</t>
  </si>
  <si>
    <t>Almería-Chinchilla Gas Pipeline</t>
  </si>
  <si>
    <t>Almería-Lorca-Chinchilla Pipeline</t>
  </si>
  <si>
    <t>20, 42</t>
  </si>
  <si>
    <t>Almeria</t>
  </si>
  <si>
    <t>Chinchilla</t>
  </si>
  <si>
    <t>Albacete</t>
  </si>
  <si>
    <t>MULTILINESTRING ((-1.71943 38.8923695702509, -1.71704 38.7793232989746, -1.73364 38.6012228210496, -1.66726 38.5258631736977, -1.68272 38.4618165537468, -1.71636 38.4297718968377, -1.72102 38.318504438079, -1.79515 38.236665262612, -1.79352 38.1929874388873, -1.82459 38.1402822619404, -1.83113 38.0836782280338, -1.87854 38.0193022295838, -1.87037 37.9613154368635, -1.85565 37.9019926871391, -1.8671 37.8271262281467, -1.89 37.6800082881554), (-1.89 37.6800079405405, -1.96004 37.4077205678854, -1.96372 37.3997434714299, -1.96439 37.3930952423389, -1.95569 37.3816589089018, -1.95703 37.3742110563398, -1.96807 37.3641020734866, -1.97109 37.3561203354216, -1.97175 37.3531934854395, -1.96539 37.340686568212, -1.96807 37.3289760768676, -1.96707 37.3172637599911, -1.92824 37.28211585822, -1.90949 37.2775880406936, -1.9038 37.2693307310704, -1.90146 37.2581419636705, -1.90046 37.2536127042933, -1.89486 37.2376036456944, -1.89227 37.2108251151965, -1.92849 37.1737314555266, -1.94142 37.1737314555266, -1.9466 37.1572395358612, -1.95953 37.1428061543397, -1.9854 37.1428061543397, -1.99833 37.1386818250805, -2.02679 37.1118682043976, -2.05007 37.0912358792509, -2.06042 37.0891723376826, -2.05783 37.0705979352914, -2.05007 37.05408353535, -2.04231 37.0437602099073, -2.03455 37.0334354804229, -2.03972 37.0107161340414, -2.06301 37.0045187695932, -2.0837 36.9714576267352, -2.14838 36.9466523409892, -2.20011 36.9404497570645, -2.21046 36.9114976896026, -2.22081 36.8680489773912, -2.25961 36.8618400000021, -2.30876 36.8701185243976, -2.44846 36.8390694332856))</t>
  </si>
  <si>
    <t>P1576</t>
  </si>
  <si>
    <t>https://www.gem.wiki/Baleares_Gas_Pipeline</t>
  </si>
  <si>
    <t>Baleares Gas Pipeline</t>
  </si>
  <si>
    <t>Montesa</t>
  </si>
  <si>
    <t>Valencia</t>
  </si>
  <si>
    <t>Palma de Mallorca</t>
  </si>
  <si>
    <t>Mallorca</t>
  </si>
  <si>
    <t>MULTILINESTRING ((-0.644814 38.946109, 0.107364 38.842685), (0.107364 38.842685, 1.305725 38.98239), (1.305725 38.98239, 1.420438 38.907235, 2.658225 39.569874))</t>
  </si>
  <si>
    <t>P1577</t>
  </si>
  <si>
    <t>https://www.gem.wiki/Alcazar_de_San_Juan-Yela_Gas_Pipeline</t>
  </si>
  <si>
    <t>Alcazar de San Juan-Yela Gas Pipeline</t>
  </si>
  <si>
    <t>Huelva-Alcazar-Madrid Gas Pipeline</t>
  </si>
  <si>
    <t>4, 6, 8, 10, 12, 16, 20, 26, 32</t>
  </si>
  <si>
    <t>Alcazar de San Juan</t>
  </si>
  <si>
    <t>MULTILINESTRING ((-3.20698 40.0100187506799, -3.22333 39.9372709960707, -3.25371 39.8072268402605, -3.27942 39.6985185888725, -3.28176 39.6319513363626, -3.3063 39.5860365836001, -3.31915 39.5337828077539, -3.31682 39.4986245155072, -3.30864 39.4760777901221, -3.33434 39.4481096985781, -3.36156 39.424107088523, -3.35014 39.3898129655976), (-3.20698467 40.01001868, -3.18914487 40.02641495, -3.17734914 40.05737875, -3.16481617 40.09129149, -3.16260447 40.13699996, -3.17956084 40.190818, -3.12648003 40.27043921, -3.1257428 40.34858595, -3.14638533 40.39060825, -3.08150879 40.44295183, -3.06381519 40.49455817, -3.03816679 40.54226399, -3.00801753 40.5589423, -3.03688384 40.58845009, -2.98749038 40.66414397, -2.94130428 40.70904712, -2.822594 40.806731))</t>
  </si>
  <si>
    <t>P1578</t>
  </si>
  <si>
    <t>https://www.gem.wiki/Eje_Levante_Gas_Pipeline</t>
  </si>
  <si>
    <t>Eje Levante Gas Pipeline</t>
  </si>
  <si>
    <t>Main segment</t>
  </si>
  <si>
    <t>40, 32, 30, 26, 24, 20, 16, 12, 10, 8, 6</t>
  </si>
  <si>
    <t>MULTILINESTRING ((-0.99799 37.6240006767872, -0.95054 37.6997094967505, -0.96138 37.7939537960188, -0.9072 37.8510131250997, -0.90359 37.9507607641065, -0.83497 38.1810864100861, -0.73384 38.2293342561386, -0.70856 38.2633723031159, -0.63993 38.3058974438788, -0.62187 38.3370667114114, -0.56047 38.3398996166117, -0.52436 38.4163461760471, -0.4774 38.4927119306893, -0.50269 38.5351024158151, -0.51713 38.5774679372067, -0.51713 38.6254520057386, -0.52797 38.6536629401729, -0.50991 38.7072331180779, -0.60382 38.7579468165861, -0.48824 38.8311363582069, -0.49185 38.873326900241, -0.52075 38.8705149760506, -0.61662 38.9600140970133), (-0.61730999 38.95924485, -0.55386902 39.06752122, -0.55195617 39.10386549, -0.56534616 39.20333404, -0.54813045 39.24924259, -0.54047903 39.33914685, -0.55386902 39.3678397, -0.54047903 39.41757398, -0.50796047 39.48834967, -0.45706386 39.53328984), (-0.45706293 39.53328888, -0.41999406 39.61225742, -0.23600291 39.80501006, -0.1413478 39.91124981, -0.07815022 39.98881049))</t>
  </si>
  <si>
    <t>P1580</t>
  </si>
  <si>
    <t>https://www.gem.wiki/Huelva-C%C3%B3rdoba_Gas_Pipeline</t>
  </si>
  <si>
    <t>Huelva-Córdoba Gas Pipeline</t>
  </si>
  <si>
    <t>4, 6, 8, 10, 16, 20, 26, 30</t>
  </si>
  <si>
    <t>MULTILINESTRING ((-6.949304 37.247367, -6.013082 37.355431), (-6.013082 37.355431, -4.789464 37.870809))</t>
  </si>
  <si>
    <t>P1582</t>
  </si>
  <si>
    <t>https://www.gem.wiki/Pa%C3%ADs_Vasco_Gas_Pipeline</t>
  </si>
  <si>
    <t>País Vasco Gas Pipeline</t>
  </si>
  <si>
    <t>30, 26, 24, 20, 16, 10, 6</t>
  </si>
  <si>
    <t>Haro</t>
  </si>
  <si>
    <t>La Rioja</t>
  </si>
  <si>
    <t>Bermeo</t>
  </si>
  <si>
    <t>MULTILINESTRING ((-2.854455970206297 42.57230707082422, -2.7730500310056656 43.20724991976076, -2.415633703096259 43.12600016873361, -2.776453870100092 43.2076897766623, -2.8937190151582475 43.21190841065734, -2.987127301175786 43.29808917930034, -3.0377542497288594 43.32304429904593), (-2.776453870100092 43.2076897766623, -2.7477164239695084 43.2390005260027, -2.7273224645706313 43.41757921073907))</t>
  </si>
  <si>
    <t>P1583</t>
  </si>
  <si>
    <t>https://www.gem.wiki/Ruta_de_la_Plata_Gas_Pipeline</t>
  </si>
  <si>
    <t>Ruta de la Plata Gas Pipeline</t>
  </si>
  <si>
    <t>26, 20, 16, 10</t>
  </si>
  <si>
    <t>Almendralejo</t>
  </si>
  <si>
    <t>Oviedo</t>
  </si>
  <si>
    <t>MULTILINESTRING ((-5.644 41.5060001617553, -5.67449 41.3905451273871, -5.69957 41.3779991075325, -5.70375 41.3160176558989, -5.72883 41.2775438195802, -5.72605 41.1359822711292, -5.74883 41.002883547324, -5.75167 40.953439712311, -5.76876 40.8479792859124, -5.80862 40.8221266137668, -5.84279 40.7121403091289, -5.85134 40.4786275406468, -5.90829 40.2116897955399, -5.99371 40.1485994184189, -6.04497 40.0745566951347, -6.13324 39.9502454634306, -6.1788 39.9371469017719, -6.20442 39.9000206935738, -6.19873 39.8235210166832, -6.18164 39.657113895692, -6.1731 39.6483444975632, -6.18164 39.6132557815563, -6.17595 39.4925026284593, -6.18164 39.4749210271525, -6.16456 39.4485402919559, -6.2272 39.2746176280943, -6.29011 39.0175401214433, -6.34864 38.9576756563272, -6.324 38.8665847353714, -6.324 38.7801802713539, -6.38256 38.7112711276379, -6.38265 38.7112711276379), (-5.847 43.399000001017, -5.83934 43.2837141565397, -5.81221 43.2124811761622, -5.84021 43.1705225500625, -5.90554 43.1376158953449, -5.88376 43.1012845413271, -5.8962 43.0524303148985, -5.87754 43.0274200681499, -5.86976 42.9398039274868, -5.84487 42.9181651540651, -5.84643 42.8691651246037, -5.77488 42.8258303699233, -5.7671 42.7356424074103, -5.74844 42.7025024725429, -5.69089 42.6567631757462, -5.71888 42.6315922113719, -5.73426 42.6123054029444, -5.73426 42.4561610671437, -5.75201 42.4299657776709, -5.76018 42.4052774459228, -5.75467 42.3808380756534, -5.70503 42.35435135241, -5.68021 42.1706755049208, -5.67745 42.0356398976818, -5.70503 41.9803151784698, -5.65815 41.8941588827785, -5.71606 41.7420765651592, -5.71882 41.6720798388439, -5.68021 41.6081928845014, -5.65264 41.5751941940486, -5.644 41.5060001627704))</t>
  </si>
  <si>
    <t>P1584</t>
  </si>
  <si>
    <t>https://www.gem.wiki/Tivissa-Barcelona_Gas_Pipeline</t>
  </si>
  <si>
    <t>Tivissa-Barcelona Gas Pipeline</t>
  </si>
  <si>
    <t>Tivissa</t>
  </si>
  <si>
    <t>LINESTRING (2.1728249040403007 41.39435329519759, 1.922289991424446 41.47124530585939, 1.582309807944596 41.28093139970363, 1.1098977310680322 41.15283723484357, 0.7391091823567758 41.04521004596368)</t>
  </si>
  <si>
    <t>P1586</t>
  </si>
  <si>
    <t>https://www.gem.wiki/Yela%E2%80%93Villar_de_Arnedo_Gas_Pipeline</t>
  </si>
  <si>
    <t>Yela–Villar de Arnedo Gas Pipeline</t>
  </si>
  <si>
    <t>El Villar de Arnedo</t>
  </si>
  <si>
    <t>LINESTRING (-2.789065047755584 40.82725019781464, -2.746338260547061 40.944712091822005, -2.493861790678513 41.029741561254355, -2.4200609764092453 41.1673150283406, -2.5404728312696294 41.479438836372786, -2.478324777148141 41.76109941561343, -1.8918025163765924 41.87978181153829, -1.8840339967509256 42.00113077996836, -2.0860151726457636 42.32647026617793)</t>
  </si>
  <si>
    <t>P1590</t>
  </si>
  <si>
    <t>France, Spain</t>
  </si>
  <si>
    <t>https://www.gem.wiki/Larrau%E2%80%93Villar_de_Arnedo_Gas_Pipeline</t>
  </si>
  <si>
    <t>Larrau–Villar de Arnedo Gas Pipeline</t>
  </si>
  <si>
    <t>Enagás [unknown %]; Teréga [unknown %]</t>
  </si>
  <si>
    <t>Crédit Agricole Assurances [unknown %]; Electricite de France [unknown %]; Enagás [unknown %]; GIC [unknown %]; Snam [unknown %]</t>
  </si>
  <si>
    <t>26, 14, 8</t>
  </si>
  <si>
    <t>Larrau</t>
  </si>
  <si>
    <t>MULTILINESTRING ((-0.9520201275748321 43.02427592124571, -1.3475279356419017 42.64158434987167, -1.6716246116968618 42.79494533361115, -2.1000914037695213 42.32154230290087), (-1.649651955693136 42.79897603003121, -1.9627623037462327 42.30123140286889))</t>
  </si>
  <si>
    <t>P1591</t>
  </si>
  <si>
    <t>https://www.gem.wiki/Zarza_de_Tajo%E2%80%93Yela_Gas_Pipeline</t>
  </si>
  <si>
    <t>Zarza de Tajo-Yela Expansion</t>
  </si>
  <si>
    <t>Zarza de Tajo</t>
  </si>
  <si>
    <t>P1595</t>
  </si>
  <si>
    <t>https://www.gem.wiki/Guitiriz-Lugo_Gas_Pipeline</t>
  </si>
  <si>
    <t>Guitiriz-Lugo Gas Pipeline</t>
  </si>
  <si>
    <t>Guitiriz</t>
  </si>
  <si>
    <t>Lugo</t>
  </si>
  <si>
    <t>Begonte</t>
  </si>
  <si>
    <t>LINESTRING (-7.893496 43.181061, -7.680593 43.297222, -7.684023 43.150374)</t>
  </si>
  <si>
    <t>P1596</t>
  </si>
  <si>
    <t>https://www.gem.wiki/Robregordo-Segovia-Avila_Gas_Pipeline</t>
  </si>
  <si>
    <t>Robregordo-Segovia-Avila Gas Pipeline</t>
  </si>
  <si>
    <t>Redexis Gas [unknown %]</t>
  </si>
  <si>
    <t>Palazuelos de Eresma</t>
  </si>
  <si>
    <t>Segovia</t>
  </si>
  <si>
    <t>Vicolozano</t>
  </si>
  <si>
    <t>Avila</t>
  </si>
  <si>
    <t>LINESTRING (-3.579308093636996 41.18759232144093, -4.062825 40.929946, -4.633321 40.681597)</t>
  </si>
  <si>
    <t>P1597</t>
  </si>
  <si>
    <t>https://www.gem.wiki/Getafe-Cuenca-Fuentes_Gas_Pipeline</t>
  </si>
  <si>
    <t>Getafe-Zarza de Tajo-Cuenca Gas Pipeline</t>
  </si>
  <si>
    <t>32, 12,  8</t>
  </si>
  <si>
    <t>Fuentes</t>
  </si>
  <si>
    <t>Cuenca</t>
  </si>
  <si>
    <t>LINESTRING (-3.68099 40.2230021813979, -3.61105 40.1499684451429, -3.50744 40.1386538808902, -3.48277 40.0933767811896, -3.43672 40.0745024263896, -3.36107 40.0745024263896, -3.33804 40.050587398965, -3.29528 40.0518462938957, -3.20698 40.0100185945755, -3.1869912198630694 39.98227063111487, -2.9824866232809057 39.99336666074882, -2.812198534041147 39.91967967082055, -2.243656054797427 39.99757494802522, -2.1296728982901687 40.0533102643813, -2.0225561969941914 39.949163994718965)</t>
  </si>
  <si>
    <t>P1598</t>
  </si>
  <si>
    <t>https://www.gem.wiki/Hewett_Pipeline_System</t>
  </si>
  <si>
    <t>Hewett Pipeline System</t>
  </si>
  <si>
    <t>Eni S.p.A. [unknown %]</t>
  </si>
  <si>
    <t>254, 304.8, 508, 609.6, 762</t>
  </si>
  <si>
    <t>Hewett gas field</t>
  </si>
  <si>
    <t>Bacton</t>
  </si>
  <si>
    <t>MULTILINESTRING ((1.795206 53.017347, 1.792872 53.017847, 1.785814 53.020508, 1.781783 53.021656, 1.766606 53.026583, 1.761361 53.027592, 1.758719 53.027867, 1.753703 53.028133, 1.748925 53.027917, 1.739408 53.026878, 1.714328 53.023444, 1.707 53.022628, 1.696511 53.021097, 1.691114 53.020514, 1.687786 53.019906, 1.659597 53.016261, 1.638689 53.013314, 1.630822 53.012411, 1.587203 53.006439, 1.582292 53.005481, 1.575178 53.0033, 1.5668 52.999686, 1.563575 52.997519, 1.558378 52.993661, 1.555603 52.990306, 1.553231 52.987736, 1.551922 52.985489, 1.547656 52.979581, 1.544583 52.976806, 1.543319 52.975244, 1.541489 52.973522, 1.539494 52.971975, 1.536903 52.969278, 1.5318 52.963644, 1.52955 52.960881, 1.526411 52.957481, 1.517958 52.947725, 1.515303 52.944917, 1.512994 52.942031, 1.504219 52.932439, 1.502575 52.930289, 1.498886 52.924319, 1.497775 52.922939, 1.495739 52.920917, 1.493553 52.919219, 1.489842 52.915858, 1.485078 52.910619, 1.483144 52.908253, 1.481597 52.906761, 1.480572 52.904636, 1.479017 52.902, 1.478431 52.900611, 1.476767 52.898325, 1.475717 52.895683, 1.472839 52.890081, 1.466858 52.877114, 1.460656 52.865214), (1.847508 52.999697, 1.844975 53.000714, 1.841075 53.001764, 1.837164 53.003433, 1.821061 53.008797, 1.815494 53.010858, 1.810228 53.012539, 1.806403 53.014017, 1.795531 53.017403), (1.686253 53.054597, 1.692061 53.052306, 1.696942 53.050625, 1.703983 53.048475, 1.706369 53.047517, 1.708258 53.047108, 1.717333 53.043803, 1.725194 53.041281, 1.727747 53.040269, 1.738842 53.036503, 1.742331 53.035461, 1.765958 53.027336, 1.779775 53.022822, 1.795186 53.017494), (1.766006 53.097664, 1.766131 53.096589, 1.765933 53.095469, 1.764531 53.092633, 1.764036 53.090264, 1.763167 53.088008, 1.761736 53.0826, 1.761381 53.080594, 1.758172 53.070575, 1.757258 53.066558, 1.756475 53.064844, 1.7561 53.062281, 1.755094 53.058975, 1.755044 53.057356, 1.754869 53.056558, 1.754467 53.055611, 1.753589 53.0543, 1.753106 53.052883, 1.752706 53.050403, 1.751931 53.047586, 1.752089 53.043019, 1.752397 53.041375, 1.753536 53.03835, 1.756542 53.034747, 1.759703 53.031936, 1.763031 53.029803, 1.766728 53.027922, 1.771683 53.025864, 1.786325 53.021158, 1.791703 53.01915, 1.795189 53.017536), (1.851142 53.086972, 1.850872 53.08685, 1.849583 53.087317, 1.848058 53.087519, 1.845289 53.087414, 1.838394 53.088536, 1.796075 53.093781, 1.785342 53.095244, 1.769875 53.097031, 1.766086 53.097703), (1.888922 53.078775, 1.887786 53.078567, 1.882556 53.074969, 1.876525 53.071275, 1.843186 53.049242, 1.796428 53.018717, 1.796197 53.018536, 1.796267 53.018278), (1.375202 53.410039, 1.374772 53.409758, 1.374842 53.409528, 1.377332 53.405459, 1.3792 53.401673, 1.382239 53.396894, 1.393046 53.378419, 1.395517 53.373885, 1.397461 53.370868, 1.404873 53.357606, 1.416945 53.337136, 1.42543 53.322225, 1.440393 53.296581, 1.444376 53.289386, 1.452979 53.274782, 1.458913 53.264185, 1.462672 53.25789, 1.466138 53.251612, 1.46686 53.249853, 1.467112 53.248616, 1.467127 53.225258, 1.467001 53.21885, 1.467162 53.214337, 1.466995 53.20609, 1.467155 53.19703, 1.466972 53.194008, 1.46698 53.186706, 1.466685 53.178186, 1.466747 53.170308, 1.466573 53.164092, 1.466694 53.160658, 1.466304 53.153102, 1.466474 53.149499, 1.466145 53.135774, 1.466291 53.133114, 1.466054 53.127954, 1.466118 53.121223, 1.465835 53.11733, 1.465987 53.113705, 1.46583 53.110879, 1.465946 53.107897, 1.465686 53.094473, 1.465791 53.091133, 1.46547 53.083438, 1.465479 53.07003, 1.465209 53.063151, 1.465352 53.056264, 1.465027 53.050144, 1.465138 53.043491, 1.464956 53.041734, 1.465018 53.036958, 1.464802 53.031388, 1.464904 53.024174, 1.464733 53.021468, 1.464761 53.015425, 1.464502 53.010306, 1.46465 53.005397, 1.464433 53.000271, 1.464433 52.994204, 1.46424 52.990975, 1.464386 52.985261, 1.464137 52.981944, 1.464248 52.976033, 1.464042 52.971326, 1.464118 52.964792, 1.463898 52.959383, 1.464004 52.956176, 1.463743 52.949043, 1.463861 52.94588, 1.463584 52.942137, 1.463736 52.938314, 1.463576 52.93371, 1.463708 52.931575, 1.463486 52.92742, 1.463556 52.923039, 1.463385 52.919917, 1.463518 52.916353, 1.463312 52.913538, 1.463345 52.908484, 1.463117 52.907091, 1.463097 52.905718, 1.462363 52.901399, 1.458123 52.865575), (1.360559 53.546568, 1.360923 53.546528, 1.362126 53.542005, 1.363611 53.533962, 1.368627 53.510789, 1.368993 53.508101, 1.369347 53.507216, 1.371146 53.499204, 1.377937 53.467105, 1.378399 53.457233, 1.383856 53.433179, 1.384283 53.431405, 1.384975 53.429661, 1.388662 53.42377, 1.389752 53.421141, 1.389779 53.419235, 1.38936 53.417577, 1.388472 53.415862, 1.387123 53.414251, 1.385258 53.412834, 1.379055 53.408925, 1.376345 53.407313, 1.376215 53.407359), (-3.013701 16.769459, -2.990769 16.783152))</t>
  </si>
  <si>
    <t>P1599</t>
  </si>
  <si>
    <t>https://www.gem.wiki/Llandarcy-Bacton_Pipeline</t>
  </si>
  <si>
    <t>Llandarcy-Bacton Gas Pipeline</t>
  </si>
  <si>
    <t>Independent Oil &amp; Gas PLC [unknown %]</t>
  </si>
  <si>
    <t>Llandarcy</t>
  </si>
  <si>
    <t>LINESTRING (-3.857882 51.647159, -2.227165596226359 52.03323054786713, -1.476773006111699 52.52268731404102, -1.008826045412253 52.42254072415341, 1.457531 52.860715)</t>
  </si>
  <si>
    <t>P1600</t>
  </si>
  <si>
    <t>https://www.gem.wiki/Sean_Field%E2%80%93Bacton_Pipeline</t>
  </si>
  <si>
    <t>Sean Gas Field–Bacton Pipeline</t>
  </si>
  <si>
    <t>Shell [unknown %]</t>
  </si>
  <si>
    <t>Sean gas field</t>
  </si>
  <si>
    <t>LINESTRING (2.861423 53.189202, 2.860844 53.18948, 2.858416 53.187201, 2.857845 53.18741, 2.857772 53.187341, 2.858347 53.187132, 2.851703 53.181623, 2.848785 53.179578, 2.845396 53.177815, 2.839258 53.175225, 2.833952 53.173605, 2.829853 53.172692, 2.825401 53.171998, 2.815109 53.170857, 2.810782 53.170099, 2.806658 53.169081, 2.802708 53.167806, 2.624341 53.100544, 2.564921 53.077958, 2.483746 53.047696, 2.477494 53.045249, 2.468521 53.042036, 2.390132 53.012542, 2.382434 53.009801, 2.35096 52.997797, 2.345928 52.99603, 2.316839 52.984968, 2.305358 52.980796, 2.266311 52.965942, 2.206977 52.943757, 2.200627 52.941256, 2.082667 52.903052, 2.07773 52.901056, 2.052367 52.890061, 1.9284 52.835857, 1.917237 52.831403, 1.911958 52.829762, 1.905144 52.827984, 1.89675 52.826192, 1.889581 52.825028, 1.882301 52.824173, 1.876416 52.823719, 1.870495 52.823469, 1.860115 52.823533, 1.852725 52.823945, 1.845384 52.82458, 1.755909 52.832794, 1.615417 52.847257, 1.605222 52.848484, 1.599511 52.84946, 1.513312 52.866312, 1.509013 52.867005, 1.506082 52.867303, 1.498671 52.867397, 1.492812 52.866805, 1.488538 52.86605, 1.485767 52.865402, 1.48184 52.864162, 1.470513 52.860221, 1.468488 52.859309)</t>
  </si>
  <si>
    <t>P1607</t>
  </si>
  <si>
    <t>https://www.gem.wiki/Snohvit%E2%80%93Melkoya_Island_Pipeline</t>
  </si>
  <si>
    <t>Snohvit–Melkoya Island Pipeline</t>
  </si>
  <si>
    <t>Snohvit Project</t>
  </si>
  <si>
    <t>Equinor [unknown %]</t>
  </si>
  <si>
    <t>Snøhvit</t>
  </si>
  <si>
    <t>Melkoya Island</t>
  </si>
  <si>
    <t>LINESTRING (21.226542 71.571335, 21.228834 71.571457, 21.247845 71.566795, 21.26281 71.564064, 21.3179 71.557541, 21.349741 71.552536, 21.40346 71.541214, 21.439829 71.534912, 21.463533 71.52993, 21.690639 71.490921, 21.736492 71.481575, 21.823906 71.466133, 21.870195 71.456543, 21.941658 71.445946, 21.984182 71.437988, 22.020632 71.428833, 22.074841 71.419876, 22.214485 71.393005, 22.270168 71.384048, 22.286104 71.380791, 22.30088 71.376381, 22.432482 71.327682, 22.493746 71.306076, 22.520517 71.295448, 22.661739 71.242798, 22.718721 71.227463, 22.75593 71.213188, 22.825274 71.190704, 22.937222 71.162834, 22.954863 71.157326, 22.967709 71.151436, 22.994871 71.135185, 23.01796 71.118294, 23.039963 71.103821, 23.077864 71.074364, 23.128738 71.038979, 23.136791 71.028587, 23.138996 71.023712, 23.139057 70.998444, 23.139956 70.99469, 23.158396 70.970871, 23.166323 70.965027, 23.174015 70.961761, 23.196238 70.954506, 23.269974 70.937706, 23.285099 70.935883, 23.391754 70.92791, 23.407795 70.925316, 23.420946 70.921532, 23.429333 70.917709, 23.442907 70.908272, 23.458544 70.89225, 23.500267 70.8601, 23.523705 70.837418, 23.528116 70.834137, 23.536629 70.830139, 23.55965 70.822487, 23.614294 70.801132, 23.633018 70.792427, 23.641287 70.787384, 23.647795 70.780228, 23.65122 70.768883, 23.649971 70.764252, 23.644989 70.759804, 23.629253 70.752022, 23.598688 70.74263, 23.566713 70.731323, 23.52907 70.717331, 23.526037 70.715691, 23.525021 70.714294, 23.525324 70.712502, 23.535883 70.701157, 23.542433 70.696884, 23.551987 70.693642, 23.574324 70.689034, 23.589659 70.684807)</t>
  </si>
  <si>
    <t>P1623</t>
  </si>
  <si>
    <t>https://www.gem.wiki/Groningen-Rotterdam_Pipeline</t>
  </si>
  <si>
    <t>Groningen-Rotterdam Pipeline</t>
  </si>
  <si>
    <t>Gasunie Transport Services  [unknown %]</t>
  </si>
  <si>
    <t>Gasunie [unknown %]</t>
  </si>
  <si>
    <t>MULTILINESTRING ((6.9723944 53.1763506, 6.4979 53.28), (6.4979 53.28, 6.31028 53.278554), (6.31028 53.278554, 6.07 53.19), (6.07 53.19, 5.8924892 53.0481093), (5.8924892 53.0481093, 5.589 53.056), (5.589 53.056, 5.429 52.95), (5.429 52.95, 5.050348 52.756746), (5.050348 52.756746, 4.700005 52.487665), (4.700005 52.487665, 4.643 52.449), (4.700005 52.487665, 4.643 52.449), (4.643 52.449, 4.711 52.3), (4.711 52.3, 4.59 52.127), (4.59 52.127, 4.554 51.978))</t>
  </si>
  <si>
    <t>P1624</t>
  </si>
  <si>
    <t>https://www.gem.wiki/North_Sea_Fields%E2%80%93Uithuizen_Gas_Pipeline</t>
  </si>
  <si>
    <t>North Sea Fields–Uithuizen Pipeline</t>
  </si>
  <si>
    <t>Suez Energy [48.30%]; Energie Beheer Nederland B.V. [45.00%]; TotalEnergies SE [5.00%]; Venture Production [1.80%]</t>
  </si>
  <si>
    <t>North Sea Fields</t>
  </si>
  <si>
    <t>Uithuizen</t>
  </si>
  <si>
    <t>LINESTRING (6.661254 53.407904, 6.221801 54.028759)</t>
  </si>
  <si>
    <t>P1626</t>
  </si>
  <si>
    <t>https://www.gem.wiki/Maastricht-Paris_Pipeline</t>
  </si>
  <si>
    <t>Paris-Taisnieres sur Hon</t>
  </si>
  <si>
    <t>GRTGaz [unknown %]</t>
  </si>
  <si>
    <t>Taisnieres sur Hon</t>
  </si>
  <si>
    <t>Paris</t>
  </si>
  <si>
    <t>LINESTRING (2.49745160597731 48.99705563081642, 2.7227383129018192 49.26138965054309, 2.691664284360508 49.531878858689375, 3.8486356796053824 50.313336304214445)</t>
  </si>
  <si>
    <t>P1628</t>
  </si>
  <si>
    <t>https://www.gem.wiki/Kipi-Komotini_Pipeline</t>
  </si>
  <si>
    <t>Kipi-Komotini Pipeline</t>
  </si>
  <si>
    <t>DESFA S.A. [unknown %]</t>
  </si>
  <si>
    <t>Copelouzos Group [unknown %]; Enagás [unknown %]; Fluxys [unknown %]; Government of Greece [unknown %]; Snam [unknown %]</t>
  </si>
  <si>
    <t>Kipi</t>
  </si>
  <si>
    <t>LINESTRING (25.4375 41.0968, 25.4938 41.0466, 25.5576 40.9964, 25.5842 40.9759, 25.6123 40.963, 25.6465 40.9592, 25.6602 40.9485, 25.6739 40.9341, 25.6868 40.9212, 25.6997 40.8855, 25.7251 40.8681, 25.7544 40.86, 25.8302 40.8662, 25.8849 40.8799, 25.9946 40.9309, 26.0651 40.9205, 26.1253 40.9205, 26.2209 40.9499, 26.3255 40.9809, 26.3856 40.9646)</t>
  </si>
  <si>
    <t>P1633</t>
  </si>
  <si>
    <t>https://www.gem.wiki/Erzurum-Sivas_Pipeline</t>
  </si>
  <si>
    <t>Erzurum-Sivas Pipeline</t>
  </si>
  <si>
    <t>Turkey-Eastern Anatolia Project</t>
  </si>
  <si>
    <t>BOTAŞ [unknown %]</t>
  </si>
  <si>
    <t>Sivas</t>
  </si>
  <si>
    <t>LINESTRING (37.190126 39.637702, 37.695021 39.823711, 38.066889 39.872455, 38.384337 39.865493, 38.698952 39.85621, 39.049657 39.925801, 39.460639 39.937393, 39.829484 39.881735, 40.429613 39.808616, 40.665432 39.850408, 40.889158 39.998795, 41.040324 40.015006, 41.336609 40.001111)</t>
  </si>
  <si>
    <t>P1634</t>
  </si>
  <si>
    <t>https://www.gem.wiki/Izmit-Eregli_Pipeline</t>
  </si>
  <si>
    <t>Izmit-Eregli Pipeline</t>
  </si>
  <si>
    <t>Pazarcik (Izmit) - Karadeniz Eregli Natural Gas Transmission Line, Pazarcik-Karadeniz gas pipeline</t>
  </si>
  <si>
    <t>16, 24</t>
  </si>
  <si>
    <t>Izmit</t>
  </si>
  <si>
    <t>Eregli</t>
  </si>
  <si>
    <t>LINESTRING (31.491169 41.241492, 31.509309 40.974969, 31.382329 40.961272, 31.259885 40.930444, 31.194127 40.892638, 30.763304 40.813743, 30.491206 40.830902)</t>
  </si>
  <si>
    <t>P1635</t>
  </si>
  <si>
    <t>Estonia, Türkiye</t>
  </si>
  <si>
    <t>https://www.gem.wiki/Murati-Silivri_Pipeline</t>
  </si>
  <si>
    <t>Murati-Silivri Pipeline</t>
  </si>
  <si>
    <t>4, 6, 10</t>
  </si>
  <si>
    <t>Murati</t>
  </si>
  <si>
    <t>Silivri</t>
  </si>
  <si>
    <t>LINESTRING (28.5804 41.1619, 28.312148 41.165184, 28.034003 41.206139, 27.93121 41.256161, 27.752834 41.292516, 27.323522 41.505694, 27.290266 41.749759, 27.169333 41.907455, 27.018 42.041)</t>
  </si>
  <si>
    <t>P1636</t>
  </si>
  <si>
    <t>https://www.gem.wiki/Sivas-Ankara_Pipeline</t>
  </si>
  <si>
    <t>Sivas-Ankara Pipeline</t>
  </si>
  <si>
    <t>36, 40</t>
  </si>
  <si>
    <t>LINESTRING (32.816583 39.934633, 32.827665 39.619074, 33.154183 39.523525, 33.49563 39.496701, 34.163972 39.282905, 34.683983 39.029715, 35.264461 38.860415, 35.772378 38.954521, 36.413322 39.329692, 37.190126 39.637702)</t>
  </si>
  <si>
    <t>P1637</t>
  </si>
  <si>
    <t>https://www.gem.wiki/Tekirdag-Buyukkaristiran_Pipeline</t>
  </si>
  <si>
    <t>Tekirdag-Buyukkaristiran Pipeline</t>
  </si>
  <si>
    <t>Thrace Basin Pipeline</t>
  </si>
  <si>
    <t>Tekirdag</t>
  </si>
  <si>
    <t>Buyukkaristiran</t>
  </si>
  <si>
    <t>LINESTRING (27.516687 40.997292, 27.570679 41.140143, 27.604691 41.273205, 27.549516 41.375376, 27.323522 41.505694)</t>
  </si>
  <si>
    <t>P1639</t>
  </si>
  <si>
    <t>https://www.gem.wiki/Sarakhs-Sari_Pipeline</t>
  </si>
  <si>
    <t>Sarakhs-Sari Pipeline</t>
  </si>
  <si>
    <t>30, 36</t>
  </si>
  <si>
    <t>Sarakhs</t>
  </si>
  <si>
    <t>LINESTRING (61.1814775473952 36.35568978311614, 60.57825665285748 36.01306334109593, 59.29635812588341 36.08916103648654, 57.08390364370747 37.54216632341827, 55.61312484328509 37.40323513280816, 53.58416123113464 36.46197316236614, 53.04997739643898 36.54850686793727)</t>
  </si>
  <si>
    <t>P1647</t>
  </si>
  <si>
    <t>https://www.gem.wiki/Messoyaka-Norilsk_Pipeline</t>
  </si>
  <si>
    <t>Messoyakha-Norilsk Pipeline</t>
  </si>
  <si>
    <t>NORILSKTRANSGAZ [unknown %]</t>
  </si>
  <si>
    <t>Nornickel [unknown %]</t>
  </si>
  <si>
    <t>Messoyakha</t>
  </si>
  <si>
    <t>Norilsk</t>
  </si>
  <si>
    <t>Газопровод Мессояха - Норильск</t>
  </si>
  <si>
    <t>LINESTRING (77.78324953761205 69.29391236117691, 84.01402899284136 68.34993467704571, 86.53052791478565 68.90758126249358)</t>
  </si>
  <si>
    <t>P1655</t>
  </si>
  <si>
    <t>https://www.gem.wiki/Paterna-Tivissa_Gas_Pipeline</t>
  </si>
  <si>
    <t>Paterna-Tivissa Gas Pipeline</t>
  </si>
  <si>
    <t>Cartagena-Girona Gas Pipeline</t>
  </si>
  <si>
    <t>Paterna</t>
  </si>
  <si>
    <t>LINESTRING (0.7282132257376001 41.03156229719648, 0.4847316272935564 40.953199058190485, -0.0449572289813305 39.98219102869681, -0.446706602227901 39.49745483549906)</t>
  </si>
  <si>
    <t>P1656</t>
  </si>
  <si>
    <t>https://www.gem.wiki/Cordoba%E2%80%93Campo_Major_Pipeline</t>
  </si>
  <si>
    <t>Cordoba–Campo Major Pipeline</t>
  </si>
  <si>
    <t>32, 24</t>
  </si>
  <si>
    <t>Campo Major</t>
  </si>
  <si>
    <t>MULTILINESTRING ((-7.059 38.982, -6.9714 38.87665), (-6.382539 38.711202, -6.9714 38.87665), (-6.38262 38.7112688707851, -6.27033 38.6553333400081, -6.18191 38.5993199504349, -6.11021 38.5675596095464, -6.00027 38.5189578067595, -5.83297 38.4403778401694, -5.52466 38.2960921946885, -5.42667 38.2566916551393, -5.3478 38.2266578482267, -5.30478 38.2003680904299, -5.25459 38.1759476695503, -5.16377 38.1383618068492, -5.05861 38.0763027895732, -4.99886 38.0518408252844, -4.93911 38.0405479296971, -4.90326 38.0160740141446, -4.68 37.9060000425185))</t>
  </si>
  <si>
    <t>P1673</t>
  </si>
  <si>
    <t>https://www.gem.wiki/Campo_Maior%E2%80%93Leiria_Pipeline</t>
  </si>
  <si>
    <t>Campo Maior–Leiria Pipeline</t>
  </si>
  <si>
    <t>REN Gasodutos, S.A. [unknown %]</t>
  </si>
  <si>
    <t>Other [unknown %]; Pontegadea Inversiones S.L [unknown %]; State Grid Corporation of China [unknown %]</t>
  </si>
  <si>
    <t>Campo Maior</t>
  </si>
  <si>
    <t>Leiria</t>
  </si>
  <si>
    <t>LINESTRING (-8.9085 39.747, -8.8741 39.747, -8.8636 39.758, -8.8502 39.775, -8.8362 39.791, -8.8301 39.799, -8.8117 39.812, -8.7886 39.825, -8.7647 39.836, -8.754 39.842, -8.7425 39.845, -8.7337 39.847, -8.7181 39.827, -8.7081 39.815, -8.6944 39.806, -8.6571 39.786, -8.6289 39.769, -8.6088 39.758, -8.5679 39.735, -8.5479 39.723, -8.5305 39.71, -8.5125 39.696, -8.501 39.685, -8.4905 39.674, -8.4846 39.667, -8.4756 39.657, -8.4661 39.64, -8.4611 39.628, -8.457 39.616, -8.45 39.6, -8.4459 39.586, -8.4384 39.565, -8.4361 39.555, -8.4308 39.543, -8.4265 39.529, -8.423 39.521, -8.4139 39.503, -8.3971 39.48, -8.3834 39.464, -8.3733 39.454, -8.3626 39.445, -8.3505 39.436, -8.3347 39.429, -8.3189 39.426, -8.3011 39.423, -8.2878 39.423, -8.2533 39.425, -8.2346 39.427, -8.2075 39.431, -8.1873 39.433, -8.1666 39.436, -8.1533 39.436, -8.1368 39.434, -8.1235 39.432, -8.1145 39.426, -8.1065 39.42, -8.0927 39.404, -8.0832 39.391, -8.074 39.369, -8.0484 39.33, -8.0299 39.295, -8.0115 39.275, -7.993 39.264, -7.9653 39.251, -7.9377 39.243, -7.8977 39.238, -7.8536 39.238, -7.7962 39.234, -7.7245 39.235, -7.6815 39.228, -7.6251 39.218, -7.5903 39.206, -7.5636 39.197, -7.538 39.184, -7.5124 39.171, -7.4878 39.155, -7.457 39.133, -7.413 39.091, -7.3853 39.069, -7.3566 39.038, -7.3084 38.996, -7.2859 38.985, -7.248 38.97, -7.168 38.961, -7.1281 38.962, -7.1055 38.964, -7.084 38.967, -7.0696 38.969, -7.0573 38.982, -7.059 38.982)</t>
  </si>
  <si>
    <t>P1674</t>
  </si>
  <si>
    <t>https://www.gem.wiki/Valen%C3%A7a_do_Minho-Braga_Pipeline</t>
  </si>
  <si>
    <t>Valença do Minho-Braga Pipeline</t>
  </si>
  <si>
    <t>Tuy-Braga Pipeline</t>
  </si>
  <si>
    <t>Valença do Minho</t>
  </si>
  <si>
    <t>Braga</t>
  </si>
  <si>
    <t>LINESTRING (-8.5462 41.556, -8.5454 41.583, -8.5426 41.617, -8.5432 41.633, -8.5481 41.641, -8.5515 41.655, -8.55 41.698, -8.5425 41.73, -8.5436 41.758, -8.551 41.776, -8.5599 41.789, -8.5685 41.802, -8.5792 41.817, -8.5871 41.829, -8.5912 41.838, -8.5956 41.847, -8.598 41.873, -8.5967 41.886, -8.5963 41.905, -8.5946 41.916, -8.5946 41.934, -8.5943 41.962, -8.595 41.969, -8.5967 41.978, -8.5981 41.988, -8.6015 42.004, -8.6121 42.017, -8.6396 42.025)</t>
  </si>
  <si>
    <t>P1675</t>
  </si>
  <si>
    <t>https://www.gem.wiki/Leiria-Braga_Pipeline</t>
  </si>
  <si>
    <t>Leiria-Braga Pipeline</t>
  </si>
  <si>
    <t>LINESTRING (-8.808544 39.749353, -8.8294 39.81801, -8.753641 39.845433, -8.566439 40.033433, -8.445155 40.283536, -8.500838 40.516209, -8.547036 40.552075, -8.553048 40.709913, -8.572145 40.752592, -8.555502 40.928333, -8.523626 40.991761, -8.459283 41.069999, -8.512021 41.411101, -8.478764 41.452835, -8.426614 41.549954)</t>
  </si>
  <si>
    <t>P1676</t>
  </si>
  <si>
    <t>https://www.gem.wiki/Setubal-Leiria_Pipeline</t>
  </si>
  <si>
    <t>Setubal-Leiria Pipeline</t>
  </si>
  <si>
    <t>LINESTRING (-8.844799 37.941287, -8.566179 38.176488, -8.50935 38.372342, -8.676767 38.466038, -8.840595 38.499787, -8.898652 38.56704, -8.861592 38.675238, -8.927365 38.742786, -8.826257 38.954135, -8.95396 39.012139, -8.998487 39.137297, -8.9632 39.362327, -8.937247 39.479486, -8.841974 39.611535, -8.808544 39.749353)</t>
  </si>
  <si>
    <t>P1681</t>
  </si>
  <si>
    <t>https://www.gem.wiki/Goldeneye_Field%E2%80%93St._Fergus_Pipeline</t>
  </si>
  <si>
    <t>Goldeneye Field–St. Fergus Pipeline</t>
  </si>
  <si>
    <t>Goldeneye Field</t>
  </si>
  <si>
    <t>LINESTRING (-1.827016 57.580384, -1.779311 57.586562, -1.773703 57.587059, -1.767023 57.587263, -1.760342 57.587092, -1.693851 57.583177, -1.622984 57.582048, -1.568896 57.579205, -1.561708 57.579376, -1.555127 57.579985, -1.547904 57.581103, -1.541639 57.58261, -1.53419 57.585353, -1.528212 57.58836, -1.48767 57.612754, -1.482638 57.615516, -1.430154 57.643248, -1.424648 57.645876, -1.415318 57.649971, -1.285558 57.704835, -1.113784 57.77676, -1.086736 57.788318, -1.050933 57.802945, -1.030784 57.811498, -1.00609 57.82234, -0.99169 57.828407, -0.975871 57.8342, -0.830436 57.894592, -0.7042 57.946472, -0.696913 57.948741, -0.68893 57.950465, -0.627467 57.960641, -0.566636 57.971012, -0.40365 57.998414, -0.398393 57.999404, -0.3815 58.003207, -0.381622 58.003498, -0.380717 58.003685, -0.379987 58.002752)</t>
  </si>
  <si>
    <t>P1684</t>
  </si>
  <si>
    <t>https://www.gem.wiki/DEUDAN_Gas_Pipeline</t>
  </si>
  <si>
    <t>DEUDAN Gas Pipeline</t>
  </si>
  <si>
    <t>Hamburg-Aalborg Pipeline</t>
  </si>
  <si>
    <t>Deutsch/Dänische Erdgastransport-Gesellschaft mbH [200.00%]</t>
  </si>
  <si>
    <t>Gasunie [75.00%]; Open Grid Europe [25.00%]</t>
  </si>
  <si>
    <t>Quarnstedt interconnection</t>
  </si>
  <si>
    <t>Steinburg</t>
  </si>
  <si>
    <t>Ellund</t>
  </si>
  <si>
    <t>Schleswig-Flensburg</t>
  </si>
  <si>
    <t>LINESTRING (9.7845 53.939552, 9.701103 54.016962, 9.651131 54.096333, 9.583523 54.166948, 9.586462 54.246032, 9.498277 54.304388, 9.504156 54.39519, 9.392455 54.44308, 9.395395 54.487499, 9.368939 54.588118, 9.268996 54.656193, 9.301306 54.813958)</t>
  </si>
  <si>
    <t>P1687</t>
  </si>
  <si>
    <t>https://www.gem.wiki/Nord%E2%80%93West_Anbindungsleitung_Gas_Pipeline_(NOWAL)</t>
  </si>
  <si>
    <t>Nord–West Anbindungsleitung Gas Pipeline (NOWAL)</t>
  </si>
  <si>
    <t>Drohne</t>
  </si>
  <si>
    <t>LINESTRING (9.373400946624809 53.123303883153305, 8.1667550650315 52.727849069525114, 8.176043160242408 52.65158913087517, 8.038714069103316 52.41099140851138)</t>
  </si>
  <si>
    <t>P1688</t>
  </si>
  <si>
    <t>https://www.gem.wiki/Zeelink_Gas_Pipeline</t>
  </si>
  <si>
    <t>Zeelink Gas Pipeline</t>
  </si>
  <si>
    <t>Open Grid Europe [300.00%]; Thyssengas [25.00%]</t>
  </si>
  <si>
    <t>Macquarie Group Limited [25.00%]; ADIA [unknown %]; BCI [unknown %]; MEAG [unknown %]</t>
  </si>
  <si>
    <t>Legden</t>
  </si>
  <si>
    <t>Stolberg</t>
  </si>
  <si>
    <t>LINESTRING (7.1195168 52.0433574, 7.1255786 52.0347698, 7.130125 52.0317389, 7.1243157 52.0254245, 7.1187591 52.023909, 7.1172436 52.0186049, 7.1101715 52.0107751, 7.1101715 52.0031978, 7.1091612 51.9999143, 7.1114344 51.9900638, 7.091986 51.9766773, 7.0940066 51.9716258, 7.0942592 51.962533, 7.0826407 51.9557135, 7.0738005 51.9478836, 7.0697593 51.9405589, 7.0644552 51.9387909, 7.0631923 51.9360126, 7.0556151 51.9327291, 7.0515738 51.9251518, 7.0500584 51.9213632, 7.0384399 51.9158065, 7.0331358 51.9155539, 7.0260637 51.9150488, 7.0204891 51.9114978, 7.0146764 51.9023635, 7.0132232 51.895928, 7.0130156 51.8905305, 7.0059573 51.8853406, 6.9949547 51.882019, 6.9951623 51.8793203, 6.9937091 51.8768291, 6.9905952 51.8683177, 6.9897648 51.8633353, 6.9816644 51.8591377, 6.9683782 51.8541554, 6.9488641 51.854363, 6.9409754 51.8497959, 6.9310108 51.8450212, 6.9245753 51.8427376, 6.9189702 51.8421148, 6.9114967 51.8371325, 6.9104587 51.8311122, 6.9152334 51.8236387, 6.9198006 51.816788, 6.9216689 51.8151272, 6.9187626 51.8109753, 6.9210461 51.7972739, 6.9077599 51.7933296, 6.9009093 51.7908384, 6.8969021 51.7848836, 6.8769387 51.7698684, 6.8709667 51.7667971, 6.8707961 51.7603132, 6.8682367 51.7569007, 6.8510137 51.7550475, 6.8462532 51.7497581, 6.8399059 51.745262, 6.8277401 51.7423528, 6.8094915 51.7405015, 6.7803996 51.7399726, 6.7695562 51.7394436, 6.7677049 51.7391792, 6.7600352 51.7352121, 6.7528944 51.7333608, 6.7473405 51.7293937, 6.7491918 51.71617, 6.7547457 51.712203, 6.7584483 51.6913096, 6.7581839 51.6807307, 6.7494563 51.6754413, 6.74258 51.6751768, 6.7372905 51.6738544, 6.7312077 51.6706808, 6.7301498 51.6603663, 6.7346458 51.6571927, 6.7244588 51.648642, 6.7257459 51.645746, 6.718345 51.6428501, 6.7299289 51.6277266, 6.7276765 51.6254742, 6.718345 51.6235436, 6.7103007 51.6190387, 6.6987168 51.6193605, 6.6935684 51.6174299, 6.6794103 51.6171081, 6.6771578 51.6145339, 6.6694352 51.6148557, 6.6655739 51.618717, 6.649807 51.6135686, 6.6427279 51.6116379, 6.6395102 51.6109944, 6.63404 51.6119597, 6.624065 51.618717, 6.6128029 51.618717, 6.6099069 51.6148557, 6.6057238 51.6119597, 6.6028278 51.6023064, 6.6031496 51.5958709, 6.5822342 51.5955492, 6.5674326 51.5813911, 6.5558487 51.577208, 6.5429777 51.571416, 6.533968 51.564337, 6.5313938 51.5524313, 6.5342898 51.5479265, 6.5243339 51.5449354, 6.5136832 51.5304118, 6.5156197 51.5255705, 6.510133 51.5207293, 6.5059372 51.5136289, 6.4965776 51.5133061, 6.4930273 51.5100786, 6.4852814 51.5094331, 6.4814084 51.5055602, 6.475599 51.5003962, 6.471726 51.494264, 6.4630118 51.4923275, 6.4565568 51.4887773, 6.4365465 51.4732854, 6.4284778 51.4684442, 6.4242821 51.4581163, 6.4262185 51.4523068, 6.4317053 51.4500476, 6.4391285 51.4461746, 6.4526839 51.4348784, 6.4643028 51.4232595, 6.4681758 51.4206775, 6.470435 51.4197093, 6.4697895 51.4142226, 6.4714032 51.4100268, 6.4736625 51.4035719, 6.4791492 51.4003444, 6.475599 51.3961487, 6.4797947 51.3896937, 6.4843131 51.3851753, 6.4836676 51.3738791, 6.4839904 51.3645194, 6.4733397 51.3325674, 6.4601071 51.3261124, 6.4549431 51.3232077, 6.4552658 51.3173982, 6.4714032 51.3161072, 6.4852814 51.3035201, 6.4975458 51.2935149, 6.507551 51.2915784, 6.5172334 51.2886737, 6.5365983 51.2922239, 6.5378893 51.2896419, 6.5666138 51.2870599, 6.5762131 51.2682986, 6.5643414 51.2338325, 6.5620437 51.2319177, 6.5651073 51.2277051, 6.5612778 51.2211949, 6.5693199 51.2123869, 6.5704687 51.2066425, 6.5934462 51.184048, 6.5888507 51.1786866, 6.5804256 51.175623, 6.5689369 51.1710275, 6.5662562 51.1706445, 6.5612778 51.1675809, 6.5570652 51.1633683, 6.5520868 51.1610706, 6.4708999 51.1319658, 6.4686021 51.1262215, 6.4631487 51.1186545, 6.4512771 51.1125272, 6.4455327 51.1106124, 6.4409372 51.1067829, 6.4317462 51.1106124, 6.424853 51.1094636, 6.4183427 51.1067829, 6.4148961 51.1060169, 6.4118325 51.1067829, 6.4064711 51.1044851, 6.3727708 51.1029533, 6.3639628 51.0960601, 6.362814 51.0826566, 6.3394536 51.078827, 6.3367729 51.0730826, 6.3310285 51.069636, 6.3306455 51.0646576, 6.3203057 51.0569984, 6.3111147 51.0370847, 6.2804782 51.0271278, 6.2578837 51.0202345, 6.2609473 51.016405, 6.2605644 51.0110436, 6.2590326 51.0052992, 6.263628 50.9976401, 6.2556465 50.992875, 6.2430561 50.974619, 6.2329838 50.9617139, 6.2235411 50.9440873, 6.2166164 50.9299232, 6.2188197 50.9233132, 6.2163016 50.9198509, 6.2093769 50.9138704, 6.2087474 50.9100933, 6.2134688 50.8997063, 6.2163016 50.8943554, 6.2232263 50.8864864, 6.2298362 50.8786174, 6.2298362 50.875155, 6.2241706 50.8698041, 6.2342429 50.8616204, 6.2355019 50.8575285, 6.2389643 50.8531219, 6.2411676 50.8502891, 6.2446299 50.8414758, 6.2427414 50.8370692, 6.2370757 50.8373839, 6.2351871 50.8323478, 6.2166164 50.8260526, 6.2153573 50.8235345, 6.1939537 50.8172393, 6.1886028 50.8172393, 6.1826223 50.8140917, 6.1697172 50.8037047, 6.1691001 50.8000324, 6.1734982 50.7958931, 6.172722 50.7917538, 6.1755678 50.78451, 6.1820355 50.7803707, 6.1773787 50.7728682, 6.1742743 50.7697638, 6.1703937 50.7705399, 6.1675479 50.7679528, 6.1584932 50.7632961, 6.1491798 50.756311, 6.1465927 50.7498434, 6.1442643 50.7480324, 6.1424534 50.7477737, 6.1333987 50.7498434, 6.1297768 50.7480324, 6.1328813 50.7444105, 6.1333987 50.7415648, 6.1261549 50.7345797, 6.1212395 50.7296643, 6.1147718 50.725525)</t>
  </si>
  <si>
    <t>P1689</t>
  </si>
  <si>
    <t>https://www.gem.wiki/Larino-Chieti_Pipeline</t>
  </si>
  <si>
    <t>Larino-Chieti Gas Pipeline</t>
  </si>
  <si>
    <t>Gasdotti Italia S.p.A. [unknown %]</t>
  </si>
  <si>
    <t>OTPP [unknown %]; Other [unknown %]</t>
  </si>
  <si>
    <t>Larino</t>
  </si>
  <si>
    <t>Campobasso</t>
  </si>
  <si>
    <t>Chieti</t>
  </si>
  <si>
    <t>Pescara</t>
  </si>
  <si>
    <t>LINESTRING (14.1416 42.3595, 14.1561 42.3533, 14.1766 42.3562, 14.1844 42.3566, 14.1989 42.3495, 14.2055 42.3443, 14.2267 42.3406, 14.2338 42.338, 14.2364 42.3332, 14.2371 42.3254, 14.2371 42.3157, 14.239 42.3075, 14.2487 42.2904, 14.2606 42.2823, 14.2717 42.2811, 14.2821 42.2752, 14.2929 42.2696, 14.3022 42.2678, 14.3044 42.2626, 14.3241 42.2611, 14.3327 42.2577, 14.3501 42.2473, 14.3643 42.2406, 14.3951 42.2109, 14.3981 42.2053, 14.3988 42.1997, 14.4107 42.1927, 14.4185 42.1923, 14.4301 42.1823, 14.4765 42.1499, 14.478 42.1417, 14.4821 42.1287, 14.4882 42.1239, 14.5149 42.1232, 14.5252 42.1205, 14.5505 42.1061, 14.5937 42.0897, 14.6108 42.0883, 14.63 42.0753, 14.6443 42.0767, 14.6587 42.0773, 14.671 42.0719, 14.6875 42.0678, 14.6991 42.063, 14.7183 42.0486, 14.7409 42.0376, 14.7498 42.0219, 14.7553 42.0123, 14.8417 41.9249, 14.9271 41.8026)</t>
  </si>
  <si>
    <t>P1690</t>
  </si>
  <si>
    <t>https://www.gem.wiki/San_Marco%E2%80%93Recanati_Pipeline</t>
  </si>
  <si>
    <t>San Marco–Recanati Pipeline</t>
  </si>
  <si>
    <t>Monte Urano</t>
  </si>
  <si>
    <t>Fermo</t>
  </si>
  <si>
    <t>Racanati</t>
  </si>
  <si>
    <t>Macerata</t>
  </si>
  <si>
    <t>LINESTRING (13.671386 43.205382, 13.582783395341629 43.30275331462973, 13.548616 43.402668)</t>
  </si>
  <si>
    <t>P1691</t>
  </si>
  <si>
    <t>https://www.gem.wiki/Matagiola-Massafra_Gas_Pipeline</t>
  </si>
  <si>
    <t>Matagiola-Massafra Gas Pipeline</t>
  </si>
  <si>
    <t>Metanodotto Matagiola-Massafra</t>
  </si>
  <si>
    <t>Snam Rete Gas S.P.A [100.00%]</t>
  </si>
  <si>
    <t>Massafra</t>
  </si>
  <si>
    <t>LINESTRING (17.885891332442956 40.58407203646372, 17.8511516 40.6030328, 17.7714426 40.5957865, 17.6078837 40.5843995, 17.3749677 40.5823292, 17.280766 40.6144198, 17.1762126 40.6144198, 17.1185121 40.5815663)</t>
  </si>
  <si>
    <t>P1692</t>
  </si>
  <si>
    <t>Greece, Italy</t>
  </si>
  <si>
    <t>https://www.gem.wiki/Greece-Italy_Interconnector_Gas_Pipeline_(IGI)</t>
  </si>
  <si>
    <t>Greece-Italy Interconnector Gas Pipeline</t>
  </si>
  <si>
    <t>IGI</t>
  </si>
  <si>
    <t>LINESTRING (17.87175295 40.64050538, 19.95740174 39.80626151, 20.21717309 39.34594225, 22.25948124 39.99910193, 22.62370983 40.50959978, 24.07724284 40.94789642, 24.2247833 41.00343984)</t>
  </si>
  <si>
    <t>P1693</t>
  </si>
  <si>
    <t>Austria, Czech Republic</t>
  </si>
  <si>
    <t>https://www.gem.wiki/Bidirectional_Austrian-Czech_Interconnector_Gas_Pipeline_(BACI)</t>
  </si>
  <si>
    <t>Bidirectional Austrian-Czech Interconnector Gas Pipeline (BACI)</t>
  </si>
  <si>
    <t>BACI</t>
  </si>
  <si>
    <t>Gas Connect Austria GmbH [unknown %]; Net4Gas [unknown %]</t>
  </si>
  <si>
    <t>Allianz [unknown %]; Mubadala Investment Company [unknown %]; OMV Group [unknown %]; Snam [unknown %]; Verbund [unknown %]</t>
  </si>
  <si>
    <t>Baumgarten</t>
  </si>
  <si>
    <t>Breclav</t>
  </si>
  <si>
    <t>LINESTRING (16.513973 47.73821, 16.82303 48.699885, 16.883651 48.748581)</t>
  </si>
  <si>
    <t>P1694</t>
  </si>
  <si>
    <t>https://www.gem.wiki/Beglej-Dermantsi-Batultsi-Kalugerovo_Pipeline</t>
  </si>
  <si>
    <t>Beglej-Dermantsi-Batultsi-Kalugerovo Pipeline</t>
  </si>
  <si>
    <t>Bulgartransgaz [unknown %]</t>
  </si>
  <si>
    <t>Bulgarian Energy Holding [unknown %]</t>
  </si>
  <si>
    <t>Beglej</t>
  </si>
  <si>
    <t>Kalugerovo</t>
  </si>
  <si>
    <t>LINESTRING (24.479049 43.247939, 24.275019 43.148362, 24.004301 43.086368, 23.885953 42.997901)</t>
  </si>
  <si>
    <t>P1695</t>
  </si>
  <si>
    <t>https://www.gem.wiki/Valchi_Dol%E2%80%93Preselka_Pipeline</t>
  </si>
  <si>
    <t>Valchi Dol–Preselka Pipeline</t>
  </si>
  <si>
    <t>Valchi Dol</t>
  </si>
  <si>
    <t>Preselka</t>
  </si>
  <si>
    <t>LINESTRING (27.541864 43.408824, 27.282056 43.43485)</t>
  </si>
  <si>
    <t>P1696</t>
  </si>
  <si>
    <t>https://www.gem.wiki/Lozenets%E2%80%93Nedyalsko_Loop_Gas_Pipeline</t>
  </si>
  <si>
    <t>Lozenets–Nedyalsko Loop Gas Pipeline</t>
  </si>
  <si>
    <t>Lozenets</t>
  </si>
  <si>
    <t>Nedyalsko</t>
  </si>
  <si>
    <t>LINESTRING (27.803312 42.210294, 26.817859 42.461991)</t>
  </si>
  <si>
    <t>P1697</t>
  </si>
  <si>
    <t>https://www.gem.wiki/Gorni_Bogrov%E2%80%93Novi_Iskar_Pipeline</t>
  </si>
  <si>
    <t>Gorni Bogrov–Novi Iskar Pipeline</t>
  </si>
  <si>
    <t>Gorni Bogrov</t>
  </si>
  <si>
    <t>Novi Iskar</t>
  </si>
  <si>
    <t>P1698</t>
  </si>
  <si>
    <t>https://www.gem.wiki/Kate%C5%99insk%C3%BD_Potok_Junction_Point%E2%80%93P%C5%99imda_Junction_Point_Gas_Pipeline</t>
  </si>
  <si>
    <t>Kateřinský Potok Junction Point–Přimda Junction Point Gas Pipeline</t>
  </si>
  <si>
    <t>Capacity4Gas – DE/CZ Project</t>
  </si>
  <si>
    <t>Net4Gas [unknown %]</t>
  </si>
  <si>
    <t>Allianz [unknown %]; Mubadala Investment Company [unknown %]; OMV Group [unknown %]</t>
  </si>
  <si>
    <t>HSK</t>
  </si>
  <si>
    <t>Primda</t>
  </si>
  <si>
    <t>LINESTRING (12.673810250212656 49.67491900327846, 12.6802 49.7438, 12.7482 49.7721, 12.8066 49.7797, 12.8633 49.7702, 12.9217 49.7514, 13.0142 49.7589, 13.4048 49.9646, 13.4237 50.0702, 13.452 50.1269, 13.4331 50.1967, 13.4274 50.2589, 13.4821 50.3004, 13.5086 50.3344, 13.4991 50.3759, 13.4463 50.525, 13.441 50.5859)</t>
  </si>
  <si>
    <t>P1699</t>
  </si>
  <si>
    <t>Czech Republic, Poland</t>
  </si>
  <si>
    <t>https://www.gem.wiki/Czech-Polish_Interconnector_Gas_Pipeline_(CPI)</t>
  </si>
  <si>
    <t>Czech-Polish Interconnector Gas Pipeline (CPI)</t>
  </si>
  <si>
    <t>STORK II</t>
  </si>
  <si>
    <t>Gaz-System [unknown %]; Net4Gas [unknown %]</t>
  </si>
  <si>
    <t>Allianz [unknown %]; Gaz-System [unknown %]; Mubadala Investment Company [unknown %]; OMV Group [unknown %]</t>
  </si>
  <si>
    <t>Libhošť</t>
  </si>
  <si>
    <t>Kędzierzyn</t>
  </si>
  <si>
    <t>LINESTRING (16.9162 48.774, 17.0843 48.877, 17.1241 48.938, 17.1616 48.967, 17.1983 49.005, 17.2715 49.14, 17.2984 49.187, 17.3374 49.228, 17.4228 49.306, 17.4619 49.353, 17.5009 49.402, 17.5595 49.482, 17.6278 49.509, 17.8499 49.631, 17.9085 49.663, 18.0256 49.724, 18.0842 49.751, 18.1428 49.782, 18.2623 49.833, 18.3331 49.855, 18.399 49.88, 18.4966 49.914, 18.4893 50.024, 18.4492 50.17, 18.4361 50.214, 18.3833 50.245, 18.3404 50.271, 18.3113 50.33, 18.2595 50.383)</t>
  </si>
  <si>
    <t>P1701</t>
  </si>
  <si>
    <t>https://www.gem.wiki/Celorico%E2%80%93Spanish_Border_Pipeline</t>
  </si>
  <si>
    <t>Celorico-Spanish Border Gas Pipeline</t>
  </si>
  <si>
    <t>Interconnection ES-PT</t>
  </si>
  <si>
    <t>Enagás [unknown %]; REN Gasodutos, S.A. [unknown %]</t>
  </si>
  <si>
    <t>Enagás [unknown %]; Other [unknown %]; Pontegadea Inversiones S.L [unknown %]; State Grid Corporation of China [unknown %]</t>
  </si>
  <si>
    <t>Celorico da Beira</t>
  </si>
  <si>
    <t>Vale de Frades</t>
  </si>
  <si>
    <t>LINESTRING (-7.3925426 40.633253, -7.3697202 40.654093, -7.3492105 40.694694, -7.3261893 40.733621, -7.3048424 40.769618, -7.2914482 40.795151, -7.2579629 40.855424, -7.2303233 40.905424, -7.2008308 40.989478, -7.1669144 41.086803, -7.1300488 41.179705, -7.0917085 41.269657, -7.062216 41.417119, -6.9781624 41.561633, -6.7481208 41.623567, -6.491778 41.656873)</t>
  </si>
  <si>
    <t>P1702</t>
  </si>
  <si>
    <t>https://www.gem.wiki/Black_Sea_Shore%E2%80%93Podi%C8%99or_Gas_Pipeline</t>
  </si>
  <si>
    <t>Black Sea Shore–Podișor Gas Pipeline</t>
  </si>
  <si>
    <t>Tuzla - Podisor pipeline</t>
  </si>
  <si>
    <t>SNTGN Transgaz SA [unknown %]</t>
  </si>
  <si>
    <t>Transgaz [unknown %]</t>
  </si>
  <si>
    <t>48, 40</t>
  </si>
  <si>
    <t>Black sea shore</t>
  </si>
  <si>
    <t>Podisor</t>
  </si>
  <si>
    <t>LINESTRING (28.6559142 43.9679461, 28.6178287 43.9721117, 28.6142582 43.9625903, 28.4440635 43.973897, 28.3196904 43.9756822, 28.2499065 43.99157, 28.1917676 43.9950936, 28.1406758 44.0911109, 28.1353904 44.1210613, 28.0798941 44.197699, 28.0173507 44.2505526, 27.9424748 44.2945972, 27.782476 44.3049781, 27.7725579 44.3341125, 27.7583006 44.3489897, 27.7403241 44.3589078, 27.6919733 44.3613873, 27.6696576 44.3818434, 27.5202557 44.3817469, 27.3360799 44.3828367, 27.1901353 44.3319688, 27.157742 44.3190115, 27.1312384 44.3131218, 27.024635 44.3190115, 26.9494576 44.3209792, 26.9401421 44.3302948, 26.84842 44.3274285, 26.7968263 44.3080808, 26.7511135 44.2748875, 26.6257122 44.2032296, 26.5798511 44.1774327, 26.5526211 44.1781493, 26.5512859 44.1526104, 26.4531279 44.1603796, 26.4095358 44.1645982, 26.3518817 44.1526456, 26.2970401 44.1399898, 26.2632914 44.084445, 26.1574751 44.060146, 26.1389976 44.0806764, 26.0645319 44.0595617, 25.8652455 44.1148128, 25.8633484 44.1859551, 25.8078574 44.2286405, 25.7514178 44.2566231, 25.7182181 44.2599431, 25.7138959 44.2956655, 25.7173523 44.3124537, 25.7069831 44.3331922, 25.6921699 44.3356611, 25.6901948 44.3628186, 25.6704439 44.3860259, 25.6872322 44.3998516)</t>
  </si>
  <si>
    <t>P1705</t>
  </si>
  <si>
    <t>https://www.gem.wiki/North_Macedonia%E2%80%93Greece_Interconnector_Gas_Pipeline</t>
  </si>
  <si>
    <t>North Macedonia–Greece Interconnector Gas Pipeline</t>
  </si>
  <si>
    <t>Nea Massivria-Evzoni</t>
  </si>
  <si>
    <t>Gas Interconnection Greece-North Macedonia (IGNM)</t>
  </si>
  <si>
    <t>DESFA S.A. [500.00%]</t>
  </si>
  <si>
    <t>Snam [36.00%]; Government of Greece [34.00%]; Enagás [12.00%]; Fluxys [12.00%]; Copelouzos Group [6.00%]</t>
  </si>
  <si>
    <t>Nea Messimvria</t>
  </si>
  <si>
    <t>Evzoni</t>
  </si>
  <si>
    <t>LINESTRING (22.768942451408822 40.751876503704466, 22.55610716111449 41.104549308033654)</t>
  </si>
  <si>
    <t>P1706</t>
  </si>
  <si>
    <t>Romania, Serbia</t>
  </si>
  <si>
    <t>https://www.gem.wiki/Romania-Serbia_Interconnection_Gas_Pipeline</t>
  </si>
  <si>
    <t>Romania-Serbia Interconnection Gas Pipeline</t>
  </si>
  <si>
    <t>SNTGN Transgaz SA [unknown %]; Srbijagas [unknown %]</t>
  </si>
  <si>
    <t>Srbijagas [unknown %]; Transgaz [unknown %]</t>
  </si>
  <si>
    <t>Petrovaselo</t>
  </si>
  <si>
    <t>Mokrin</t>
  </si>
  <si>
    <t>LINESTRING (21.581009871729155 45.8158770672692, 20.53240203849431 45.87129298893951, 20.411439 45.933505)</t>
  </si>
  <si>
    <t>P1707</t>
  </si>
  <si>
    <t>https://www.gem.wiki/Komotini-Thesprotia_Gas_Pipeline</t>
  </si>
  <si>
    <t>Komotini-Thesprotia Gas Pipeline</t>
  </si>
  <si>
    <t>Thesprotia</t>
  </si>
  <si>
    <t>LINESTRING (25.405642 41.121522, 20.259309 39.489804)</t>
  </si>
  <si>
    <t>P1708</t>
  </si>
  <si>
    <t>https://www.gem.wiki/Hungary-Slovenia-Italy_Interconnector_Gas_Pipeline</t>
  </si>
  <si>
    <t>Hungary-Slovenia-Italy Interconnector Gas Pipeline</t>
  </si>
  <si>
    <t>Pince-Lendava-Kidričevo Gas Pipeline</t>
  </si>
  <si>
    <t>Plinovodi d.o.o. [unknown %]</t>
  </si>
  <si>
    <t>Other [unknown %]; SDH [unknown %]</t>
  </si>
  <si>
    <t>Pince</t>
  </si>
  <si>
    <t>Kidričevo</t>
  </si>
  <si>
    <t>LINESTRING (15.7919 46.3968, 15.816 46.4101, 15.8706 46.4454, 15.9324 46.4654, 15.996 46.4963, 16.0487 46.5218, 16.1178 46.5254, 16.1833 46.5473, 16.2578 46.5473, 16.3323 46.5436, 16.372 46.5628, 16.5233 46.5254)</t>
  </si>
  <si>
    <t>P1709</t>
  </si>
  <si>
    <t>https://www.gem.wiki/Spain-Portugal_Interconnector_Gas_Pipeline</t>
  </si>
  <si>
    <t>Spain-Portugal Interconnector Gas Pipeline</t>
  </si>
  <si>
    <t>Zamora</t>
  </si>
  <si>
    <t>Portuguese</t>
  </si>
  <si>
    <t>LINESTRING (-5.74694 41.50329, -6.559922 41.741776)</t>
  </si>
  <si>
    <t>P1710</t>
  </si>
  <si>
    <t>Bosnia and Herzegovina, Croatia</t>
  </si>
  <si>
    <t>https://www.gem.wiki/Bosnia_and_Herzegovina%E2%80%93Croatia_North_Interconnector_Gas_Pipeline</t>
  </si>
  <si>
    <t>Bosnia and Herzegovina–Croatia North Interconnector Gas Pipeline</t>
  </si>
  <si>
    <t>Brod-Zenica Gas Pipeline, Slobodnica-Bosanski Brod gas pipeline</t>
  </si>
  <si>
    <t>BH-Gas d.o.o. [unknown %]; Plinacro [unknown %]</t>
  </si>
  <si>
    <t>GWh/d</t>
  </si>
  <si>
    <t>Brod</t>
  </si>
  <si>
    <t>LINESTRING (17.9072 44.2027, 17.9892 44.2395, 18.0194 44.2689, 18.0511 44.2991, 18.0789 44.3292, 18.1073 44.3577, 18.1391 44.3869, 18.1511 44.42, 18.1444 44.4571, 18.1391 44.4916, 18.1391 44.5273, 18.159 44.6771, 18.1656 44.7155, 18.1564 44.75, 18.1299 44.7818, 18.106 44.8136, 18.0822 44.8467, 18.0596 44.8759, 18.0318 44.9117, 18.0185 44.9461, 18.0063 45.1404)</t>
  </si>
  <si>
    <t>P1711</t>
  </si>
  <si>
    <t>Šempeter-Vodice Gas Pipeline</t>
  </si>
  <si>
    <t>Šempeter</t>
  </si>
  <si>
    <t>Vodice</t>
  </si>
  <si>
    <t>MULTILINESTRING ((13.633655 45.928762, 13.90521 45.887113), (13.90521 45.887113, 14.189347 45.89476), (14.189347 45.89476, 14.493541 46.189905))</t>
  </si>
  <si>
    <t>P1712</t>
  </si>
  <si>
    <t>Croatia, Slovenia</t>
  </si>
  <si>
    <t>https://www.gem.wiki/Umag-Plovanija-Koper_Gas_Pipeline</t>
  </si>
  <si>
    <t>Umag-Plovanija-Koper Gas Pipeline</t>
  </si>
  <si>
    <t>Umag (Kovri)-Koper,  Interconnection Croatia/Slovenia</t>
  </si>
  <si>
    <t>Plinacro [unknown %]</t>
  </si>
  <si>
    <t>Umag</t>
  </si>
  <si>
    <t>Koper</t>
  </si>
  <si>
    <t>LINESTRING (13.515183 45.440657, 13.624919 45.452989, 13.726528 45.549234)</t>
  </si>
  <si>
    <t>P1714</t>
  </si>
  <si>
    <t>https://www.gem.wiki/North%E2%80%93Vest_Romania_Pipeline</t>
  </si>
  <si>
    <t>North–Vest Romania Pipeline</t>
  </si>
  <si>
    <t>15.8, 19.7, 27.6</t>
  </si>
  <si>
    <t>Horia</t>
  </si>
  <si>
    <t>Mediesu Aurit</t>
  </si>
  <si>
    <t>MULTILINESTRING ((21.3104873862884 46.1818, 21.4712101438267 46.469, 21.5010972950982 46.5444, 21.5139060742146 46.627, 21.5338308417289 46.6654, 21.6206459001843 46.7878, 21.9237870059381 47.0297, 22.0063324713547 47.1336, 22.1116490996448 47.1635, 22.6808146477481 47.5281, 22.7498240448933 47.6472, 22.877491429612 47.6903, 23.096007391964 47.5948, 23.1476725721948 47.5608, 23.2598238170859 47.368, 23.4274206212491 47.2596, 23.480345927827 47.2294, 23.5622541403879 47.2243, 23.8785959914015 46.9315, 23.9460277922935 46.8886), (22.3044098866697 47.2868, 22.4826548241134 47.2706, 22.5535476969603 47.2476, 22.9765782943383 47.1342))</t>
  </si>
  <si>
    <t>P1728</t>
  </si>
  <si>
    <t>Libya, Tunisia</t>
  </si>
  <si>
    <t>https://www.gem.wiki/Mellitah-G%C3%A1bes_Pipeline</t>
  </si>
  <si>
    <t>Mellitah-Gábes Pipeline</t>
  </si>
  <si>
    <t>https://www.albayan.ae/economy/2002-08-08-1.1341621</t>
  </si>
  <si>
    <t>Mellitah</t>
  </si>
  <si>
    <t>Melita Port</t>
  </si>
  <si>
    <t>Gábes</t>
  </si>
  <si>
    <t>خط  غاز مليته- قابس</t>
  </si>
  <si>
    <t>LINESTRING (10.16015520339233 33.67917454453751, 11.36968954795432 33.12382718170904, 12.57376119864669 32.75220050168888)</t>
  </si>
  <si>
    <t>P1729</t>
  </si>
  <si>
    <t>https://www.gem.wiki/Theddlethorpe-Killingholme_Pipeline</t>
  </si>
  <si>
    <t>Theddlethorpe-Killingholme Pipeline</t>
  </si>
  <si>
    <t>Uniper [unknown %]</t>
  </si>
  <si>
    <t>20, 30</t>
  </si>
  <si>
    <t>Mablethorpe and Sutton</t>
  </si>
  <si>
    <t>LINESTRING (0.1365549686 53.64206829, -0.05180312584 53.4517632, 0.2185249863 53.33656406)</t>
  </si>
  <si>
    <t>P1731</t>
  </si>
  <si>
    <t>https://www.gem.wiki/Murdoch_Field%E2%80%93Theddlethorpe_Gas_Pipeline</t>
  </si>
  <si>
    <t>Murdoch Field–Theddlethorpe Gas Pipeline</t>
  </si>
  <si>
    <t>Harbour Energy [unknown %]</t>
  </si>
  <si>
    <t>Theddlethorpe</t>
  </si>
  <si>
    <t>LINESTRING (2.240925035 54.19171227, 1.346598121 53.53689999, 0.1959754984 53.35127739)</t>
  </si>
  <si>
    <t>P1733</t>
  </si>
  <si>
    <t>Ireland</t>
  </si>
  <si>
    <t>United Kingdom, Ireland</t>
  </si>
  <si>
    <t>https://www.gem.wiki/UK-Ireland_Interconnector_Gas_Pipeline</t>
  </si>
  <si>
    <t>UK-Ireland Interconnector</t>
  </si>
  <si>
    <t>Moffat-Dublin Pipeline. IC1</t>
  </si>
  <si>
    <t>Gas Networks Ireland [unknown %]</t>
  </si>
  <si>
    <t>Ervia [unknown %]</t>
  </si>
  <si>
    <t>Moffat</t>
  </si>
  <si>
    <t>LINESTRING (-6.08249 53.53813, -6.04014 53.54518, -6.0334 53.54618, -6.0188 53.54759, -6.00535 53.54868, -5.98736 53.55052, -5.97239 53.55167, -5.95824 53.55303, -5.95492 53.55362, -5.95146 53.55452, -5.94794 53.55574, -5.94371 53.55747, -5.94021 53.55851, -5.93653 53.5593, -5.93345 53.55971, -5.92882 53.56008, -5.92505 53.56005, -5.92146 53.55977, -5.91451 53.55858, -5.91068 53.5581, -5.90708 53.55792, -5.90227 53.5581, -5.7484 53.57182, -5.73821 53.57257, -5.70376 53.57579, -5.63369 53.58183, -5.60908 53.58412, -5.53719 53.59029, -5.51181 53.59261, -5.48966 53.59438, -5.47534 53.59576, -5.45991 53.59695, -5.4468 53.59825, -5.43829 53.59936, -5.42909 53.6017, -5.42567 53.60311, -5.42278 53.60478, -5.41946 53.60731, -5.41699 53.61018, -5.40569 53.62646, -5.39955 53.63565, -5.39709 53.63893, -5.39177 53.64657, -5.38209 53.66072, -5.37398 53.67215, -5.34888 53.70848, -5.3472 53.71069, -5.3331 53.73106, -5.32846 53.7375, -5.32412 53.74393, -5.32033 53.74912, -5.28513 53.79991, -5.28128 53.80519, -5.27052 53.82084, -5.24785 53.85292, -5.22024 53.89265, -5.20688 53.91146, -5.19299 53.93141, -5.18506 53.9424, -5.18249 53.94625, -5.17973 53.94995, -5.13056 54.01984, -5.11362 54.04372, -5.11173 54.04617, -5.09717 54.06704, -5.08514 54.08375, -5.08305 54.08694, -5.0777 54.09429, -5.06837 54.10778, -5.06185 54.11669, -5.04477 54.14094, -5.02508 54.16834, -5.01829 54.17817, -5.00286 54.19951, -4.99531 54.21042, -4.99122 54.21604, -4.98892 54.21847, -4.98668 54.22028, -4.9758 54.22772, -4.96585 54.23419, -4.95442 54.24195, -4.92109 54.26403, -4.87558 54.29458, -4.80994 54.33808, -4.8068 54.34077, -4.80441 54.34391, -4.802 54.34621, -4.79986 54.34774, -4.78974 54.35352, -4.78735 54.35505, -4.78358 54.35833, -4.7776 54.36409, -4.77458 54.36636, -4.77256 54.36759, -4.76972 54.36896, -4.75562 54.37444, -4.74962 54.37794, -4.72409 54.395, -4.68851 54.41838, -4.65957 54.43765, -4.63769 54.45191, -4.62762 54.45896, -4.62288 54.46167, -4.60985 54.47032, -4.57738 54.49138, -4.56216 54.50155, -4.54899 54.51, -4.54374 54.51317, -4.5376 54.51721, -4.53258 54.52075, -4.51795 54.53037, -4.51155 54.53452, -4.5073 54.53701, -4.49584 54.54491, -4.48871 54.54928, -4.47716 54.55702, -4.46782 54.56277, -4.46096 54.56753, -4.45165 54.57318, -4.44702 54.57656, -4.43895 54.58153, -4.43418 54.58496, -4.42717 54.58915, -4.42099 54.59354, -4.41542 54.59691, -4.39827 54.60826, -4.39115 54.61264, -4.37603 54.62275, -4.36763 54.62792, -4.35165 54.63844, -4.34614 54.64185, -4.34265 54.64426, -4.3231 54.6569, -4.21704 54.72528, -4.20805 54.73099, -4.20411 54.73301, -4.19862 54.7352, -4.15675 54.75087, -4.15418 54.75203, -4.1511 54.75381, -4.14844 54.7558, -4.14717 54.75704, -4.11914 54.78821)</t>
  </si>
  <si>
    <t>P1735</t>
  </si>
  <si>
    <t>https://www.gem.wiki/Steinitz-Bernau_Gas_Pipeline</t>
  </si>
  <si>
    <t>Steinitz-Bernau Gas Pipeline</t>
  </si>
  <si>
    <t>(part of the Berlin-Dornum pipeline)</t>
  </si>
  <si>
    <t>Ontras [unknown %]</t>
  </si>
  <si>
    <t>Bernau bei Berlin</t>
  </si>
  <si>
    <t>Barnim</t>
  </si>
  <si>
    <t>LINESTRING (11.053551 52.964348, 11.186037 52.993842, 11.225236 53.003143, 11.532598 52.97089, 11.716275 52.947926, 11.782122 52.914503, 12.02818 52.92704, 12.288101 52.910323, 12.534159 52.862227, 12.752493 52.837112, 13.060932 52.832925, 13.190892 52.818266, 13.421355 52.776357)</t>
  </si>
  <si>
    <t>P1764</t>
  </si>
  <si>
    <t>https://www.gem.wiki/Britannia%E2%80%93St._Fergus_Pipeline</t>
  </si>
  <si>
    <t>Britannia–St. Fergus Pipeline</t>
  </si>
  <si>
    <t>Britannia</t>
  </si>
  <si>
    <t>LINESTRING (-1.827381 57.589078, -1.790403 57.589528, -1.728011 57.586111, -1.719736 57.585508, -1.691458 57.583908, -1.649244 57.583442, -1.637956 57.583853, -1.621161 57.585681, -1.609583 57.586647, -1.604578 57.586739, -1.596247 57.587197, -1.586219 57.586967, -1.574939 57.587153, -1.558214 57.586669, -1.549894 57.587253, -1.540206 57.588583, -1.522236 57.591586, -1.505669 57.595347, -1.484275 57.599256, -1.463755 57.603772, -1.442414 57.607742, -1.424214 57.611761, -1.399692 57.616325, -1.377922 57.620969, -1.365989 57.623086, -1.347322 57.627072, -1.323233 57.631628, -1.297444 57.636931, -1.276875 57.640778, -1.255058 57.645386, -1.236492 57.6489, -1.213795 57.653528, -1.20075 57.655983, -1.175544 57.659333, -1.163261 57.66155, -1.075331 57.679147, -0.909797 57.711975, -0.837678 57.726078, -0.81255 57.731147, -0.727308 57.747686, -0.658486 57.760808, -0.635644 57.765356, -0.577392 57.776311, -0.552586 57.781261, -0.534275 57.784583, -0.514986 57.788422, -0.489947 57.793056, -0.469864 57.797047, -0.451536 57.800369, -0.382653 57.813533, -0.2208 57.844072, -0.198067 57.848181, -0.178692 57.85195, -0.157933 57.855681, -0.125031 57.861964, -0.115628 57.863164, -0.105619 57.863703, -0.089197 57.864103, -0.060136 57.86437, -0.036156 57.864803, 0.040494 57.865753, 0.0493 57.866172, 0.057111 57.867083, 0.081514 57.871361, 0.104153 57.875633, 0.179575 57.889261, 0.19665 57.892495, 0.223142 57.898322, 0.277814 57.910758, 0.418542 57.942347, 0.485828 57.955628, 0.53115 57.961995, 0.577803 57.968336, 0.657689 57.978075, 0.785669 57.994967, 0.792114 57.996053, 0.857847 58.009128, 0.878578 58.01302, 0.927197 58.019011, 1.013828 58.030472, 1.1046 58.041492, 1.110642 58.042517, 1.140236 58.04816, 1.13981 58.048743, 1.139491 58.048695)</t>
  </si>
  <si>
    <t>P1770</t>
  </si>
  <si>
    <t>https://www.gem.wiki/Zeepipe_Gas_Pipeline</t>
  </si>
  <si>
    <t>Zeepipe Gas Pipeline</t>
  </si>
  <si>
    <t>Petoro [46.70%]; Solveig Gas Norway [25.55%]; CapeOmega [11.24%]; Silex Gas Norway AS [6.43%]; Infragas Norge AS [5.01%]; Statoil Petroleum AS [5.00%]; Dea Norge AS [0.08%]</t>
  </si>
  <si>
    <t>Petoro [46.70%]; Solveig Gas Norway [25.55%]; Partners Group [11.24%]; Silex Gas Norway AS [6.43%]; Public Sector Pensions Investment Board [5.01%]; Statoil Petroleum AS [5.00%]; Dea Norge AS [0.08%]</t>
  </si>
  <si>
    <t>30, 40</t>
  </si>
  <si>
    <t>Sleipner</t>
  </si>
  <si>
    <t>MULTILINESTRING ((3.299816 54.789494, 3.282261 54.629156, 3.210892 54.178981, 3.136744 53.698311, 3.091739 53.263397, 3.091731 53.247569, 3.092792 53.2384, 3.095872 53.223978, 3.121769 53.125311, 3.197453 52.828461, 3.205436 52.796653, 3.207508 52.782617, 3.2078 52.768997, 3.206681 52.756647, 3.174225 52.520108, 3.173953 52.508289, 3.174681 52.499422, 3.185144 52.415278, 3.184836 52.398917, 3.156531 52.169511, 3.152692 52.155528, 3.148092 52.143917, 3.127044 52.106253, 3.122328 52.095147, 3.119008 52.084747, 3.116203 52.071581, 3.082403 51.831169, 3.021828 51.631136, 3.018906 51.617983, 3.018028 51.6083, 3.018147 51.600864, 3.019811 51.588519, 3.025358 51.571092, 3.034547 51.553961, 3.047994 51.537422, 3.058631 51.526978, 3.218225 51.395533, 3.234006 51.381611, 3.237222 51.374914, 3.237289 51.369664, 3.229797 51.350508), (1.91053 58.368563, 1.91045 58.367749, 1.934189 58.355456, 1.940003 58.351686, 1.944111 58.347328, 1.946603 58.3417, 1.972283 58.138494, 1.97685 58.1201, 1.983311 58.105411, 2.247133 57.6918, 2.367347 57.500206, 2.375739 57.485992, 2.381086 57.474069, 2.386286 57.456328, 2.387594 57.448906, 2.388344 57.437069, 2.389517 57.111381, 2.391192 57.098689, 2.393531 57.089133, 2.398769 57.074892, 2.40445 57.063861, 2.410625 57.053908, 2.503253 56.923272, 2.652686 56.709872, 2.863767 56.404428, 3.174806 56.155339, 3.257508 56.088403, 3.273872 56.073481, 3.284369 56.061742, 3.295372 56.046342, 3.394133 55.876731, 3.404878 55.855906, 3.408953 55.844633, 3.412514 55.828406, 3.413539 55.815581, 3.412897 55.803183, 3.362525 55.358742, 3.299816 54.789494), (2.472667 58.188778, 2.26995 58.241761, 2.232014 58.252297, 2.003953 58.327914, 1.919014 58.363547, 1.910561 58.367886, 1.910531 58.368564), (4.845402 60.54833, 4.797442 60.527317, 4.688397 60.488464, 4.676206 60.482483, 4.667061 60.475953, 4.659292 60.467033, 4.651383 60.452064, 4.647147 60.446286, 4.612878 60.412042, 4.467442 60.287881, 4.428047 60.250953, 4.380764 60.213164, 4.303328 60.146267, 4.264214 60.115817, 4.222703 60.073033, 4.188403 60.046181, 4.144817 60.007944, 4.123289 59.986622, 4.082831 59.953978, 4.017111 59.889819, 3.96135 59.849947, 3.852772 59.7505, 3.822639 59.725558, 3.712147 59.620153, 3.701017 59.608189, 3.683464 59.594642, 3.662244 59.575597, 3.624628 59.548825, 3.619633 59.543686, 3.609478 59.529742, 3.602394 59.523211, 3.587806 59.514639, 3.543728 59.496403, 3.532344 59.492417, 3.492186 59.48355, 3.435158 59.474747, 3.381169 59.458914, 3.308603 59.444036, 3.278103 59.433842, 3.267858 59.429094, 3.258986 59.423697, 3.204906 59.385567, 3.097744 59.300131, 3.011828 59.234022, 2.886622 59.132931, 2.475706 58.793822, 2.137067 58.510478, 2.039161 58.437219, 1.9614 58.3943, 1.910531 58.368564), (4.845402 60.54833, 4.7976 60.527248, 4.692584 60.489067, 4.683717 60.485001, 4.6755 60.479935, 4.670166 60.475285, 4.664283 60.468636, 4.653934 60.448833, 4.65075 60.444283, 4.644633 60.43795, 4.468234 60.287334, 4.429966 60.25135, 4.387466 60.217266, 4.356633 60.1875, 4.348517 60.178234, 4.343783 60.171001, 4.340267 60.163353, 4.326217 60.125099, 4.321116 60.116497, 4.312284 60.106133, 4.253767 60.054081, 4.2189 60.020283, 4.184383 59.984249, 4.1059 59.906334, 4.050817 59.861431, 4.0096 59.819717, 3.957 59.762917, 3.8448 59.651119, 3.8135 59.625, 3.781117 59.588833, 3.772883 59.581715, 3.734767 59.552601, 3.662167 59.482582, 3.651533 59.471317, 3.614767 59.424217, 3.5674 59.378582, 3.53745 59.344597, 3.503683 59.31675, 3.475167 59.291985, 3.444467 59.261799, 3.41725 59.237598, 3.410117 59.229485, 3.388133 59.19875, 3.381917 59.191433, 3.2382 59.044765, 3.2161 59.025715, 3.157933 58.965801, 3.15055 58.957901, 3.13475 58.938217, 3.048667 58.849064, 3.03065 58.832249, 3.016683 58.817833, 2.7414 58.528465, 2.67125 58.45385, 2.653967 58.433369, 2.461983 58.226952, 2.458867 58.221901, 2.457317 58.21735, 2.456933 58.212616, 2.457617 58.208233, 2.4592 58.204018, 2.462167 58.199436, 2.472667 58.188777))</t>
  </si>
  <si>
    <t>P1773</t>
  </si>
  <si>
    <t>Ukraine, Romania</t>
  </si>
  <si>
    <t>https://www.gem.wiki/Siret-Khotyn_Gas_Pipeline</t>
  </si>
  <si>
    <t>Romania-Ukraine Interconnector</t>
  </si>
  <si>
    <t>Siret-Khotyn Gas Pipeline</t>
  </si>
  <si>
    <t>Khotyn</t>
  </si>
  <si>
    <t>Siret</t>
  </si>
  <si>
    <t>LINESTRING (26.07196 47.98468, 26.1250071 48.1950959, 26.4939146 48.5081147)</t>
  </si>
  <si>
    <t>P1783</t>
  </si>
  <si>
    <t>https://www.gem.wiki/TransSakhalin_Gas_Pipeline_System</t>
  </si>
  <si>
    <t>TransSakhalin Gas Pipeline System</t>
  </si>
  <si>
    <t>Sakhalin II</t>
  </si>
  <si>
    <t>Sakhalin Energy Investment Company Ltd. [400.00%]</t>
  </si>
  <si>
    <t>Gazprom [50.00%]; Shell [27.50%]; Mitsui Group [12.50%]; Mitsubishi [10.00%]</t>
  </si>
  <si>
    <t>mtpa</t>
  </si>
  <si>
    <t>20, 48, 30</t>
  </si>
  <si>
    <t>Piltun-Astokhskoye-A field, Piltun-Astokhskoye-B field, Lunskoye field</t>
  </si>
  <si>
    <t>Piltun-Astokhskoye field</t>
  </si>
  <si>
    <t>Nogliki</t>
  </si>
  <si>
    <t>Sakhalin Oblast</t>
  </si>
  <si>
    <t>Prigorodnoye</t>
  </si>
  <si>
    <t>Сахалин-2</t>
  </si>
  <si>
    <t>LINESTRING (142.9109287 46.6288694, 142.818832 46.682185, 142.820892 46.771497, 142.815399 46.773848, 142.808189 46.786779, 142.763214 46.810164, 142.701931 46.828842, 142.688885 46.862773, 142.674809 46.878147, 142.664852 46.933503, 142.640476 46.952489, 142.641678 46.969711, 142.676182 47.013327, 142.671633 47.030121, 142.678757 47.058546, 142.700729 47.074681, 142.704678 47.279113, 142.714977 47.287613, 142.714291 47.309616, 142.708797 47.318112, 142.726479 47.345453, 142.678328 47.414847, 142.662191 47.455081, 142.631292 47.475854, 142.631636 47.486991, 142.636871 47.498532, 142.630262 47.513259, 142.633867 47.516505, 142.620134 47.556082, 142.624683 47.559905, 142.62125 47.57143, 142.607346 47.587757, 142.595158 47.611892, 142.577219 47.633123, 142.563314 47.638791, 142.546062 47.665676, 142.536364 47.699942, 142.514648 47.754964, 142.51173 47.821223, 142.481003 47.835687, 142.450619 47.87462, 142.483149 47.9252, 142.477312 47.941647, 142.486925 47.977053, 142.5107 48.025869, 142.507181 48.083928, 142.533445 48.139459, 142.55619 48.169692, 142.556276 48.17885, 142.557907 48.182284, 142.560053 48.200822, 142.583399 48.245197, 142.557907 48.351629, 142.579193 48.372159, 142.580395 48.39724, 142.585287 48.40442, 142.576361 48.418378, 142.576532 48.430567, 142.61095 48.468312, 142.617216 48.492151, 142.617559 48.511715, 142.612238 48.529509, 142.625456 48.542239, 142.625198 48.557409, 142.645712 48.571382, 142.683306 48.576153, 142.73901 48.585011, 142.78965 48.662283, 142.801666 48.67294, 142.836857 48.74238, 142.917881 48.875667, 142.917881 48.891358, 142.93745 48.91528, 142.93848 48.945617, 142.934704 48.989455, 142.924061 48.998353, 142.923031 49.123995, 142.920284 49.167002, 142.948437 49.256266, 142.964401 49.282812, 142.90638 49.388742, 142.886639 49.41209, 142.872906 49.468236, 142.853165 49.478498, 142.843723 49.518968, 142.824497 49.547712, 142.829475 49.609486, 142.825356 49.621276, 142.830334 49.698171, 142.805786 49.747001, 142.808876 49.768626, 142.768364 49.820487, 142.725792 49.861227, 142.733002 49.924262, 142.727165 49.986111, 142.754974 50.023182, 142.650948 50.196023, 142.642021 50.45663, 142.68528 50.533508, 142.69352 50.610478, 142.645111 50.750577, 142.719269 50.778589, 142.69043 50.848006, 142.69249 50.894155, 142.707939 51.049812, 142.764931 51.075488, 142.736778 51.235052, 142.748108 51.351844, 142.771454 51.441383, 143.096237 51.735108, 143.09761 51.748289, 143.10688 51.820925, 143.11203 51.843626, 143.095894 51.877551, 143.103447 51.892385, 143.098984 51.917168, 143.088684 51.942148, 143.096924 51.952518, 143.089027 51.975364, 143.00972 52.087629, 143.002338 52.135911, 143.011951 52.148132, 143.005257 52.179827, 143.046627 52.218125, 143.052807 52.229797, 143.01693 52.34373, 143.01884 52.43506)</t>
  </si>
  <si>
    <t>P1789</t>
  </si>
  <si>
    <t>https://www.gem.wiki/Khoms-Melita_Pipeline</t>
  </si>
  <si>
    <t>Khoms-Melita Pipeline</t>
  </si>
  <si>
    <t>Khoms</t>
  </si>
  <si>
    <t>Murqub</t>
  </si>
  <si>
    <t>Melita</t>
  </si>
  <si>
    <t>خط غاز الخمس - مليتة</t>
  </si>
  <si>
    <t>LINESTRING (15.04123032 32.21030293, 14.95581121 32.21720945, 13.37044805 32.88312064, 12.57453153 32.78685855)</t>
  </si>
  <si>
    <t>P1805</t>
  </si>
  <si>
    <t>https://www.gem.wiki/Amber_Grid_Gas_Transmission_System</t>
  </si>
  <si>
    <t>Amber Grid Gas Transmission System</t>
  </si>
  <si>
    <t>MULTILINESTRING ((25.270984 54.717289, 25.276166 54.762169, 25.048122 54.918858, 24.796754 55.194931, 24.786389 55.351412, 24.713829 55.441183, 24.672366 55.476447, 24.672366 55.558606, 24.542795 55.697593, 24.379536 55.81862, 24.040061 55.838997, 23.773145 55.88844, 23.425895 56.001631, 23.218581 56.024808, 23.114925 56.007426, 22.8506 56.021912, 22.664018 55.990037, 22.249392 55.929111, 21.845131 55.856455, 21.420138 55.806971, 21.156511 55.704874, 21.782937 55.411772, 22.161283 55.267343, 22.664018 55.163856, 22.99572 55.045257, 23.046634 54.95339), (24.379536 55.81862, 24.317342 55.894253, 24.265514 55.920399, 24.306977 56.128936, 24.286245 56.275969), (25.270984 54.717289, 25.11809 54.711301, 24.985928 54.730758, 24.928917 54.786085, 24.737152 54.827903, 24.638678 54.821932, 24.429018 54.857882, 24.169631 54.920348, 23.913081 54.994745, 23.757596 54.981364, 23.638391 54.984338, 23.560648 54.962027, 23.402572 54.970953, 23.046634 54.95339), (24.737152 54.827903, 24.905594 54.953099, 25.203607 54.991772, 25.592319 54.895021, 25.747804 54.930772, 25.79445 54.987311, 25.887741 55.02298, 26.338647 55.419127, 26.338647 55.495535, 26.38011 55.524883), (22.8506 56.021912, 22.860966 56.170797, 22.81432 56.214053, 22.86874 56.340657, 22.925751 56.366502), (23.046634 54.95339, 23.021634 54.857747, 23.076054 54.84432, 23.070871 54.775624, 23.231539 54.616877, 23.350744 54.589859), (24.306977 56.128936, 24.485784 56.127492, 24.636086 56.208289), (24.786389 55.351412, 24.998885 55.369088, 25.061079 55.445592, 25.273575 55.466165, 25.50162 55.469103), (23.913081 54.994745, 23.881984 55.107565, 23.889758 55.203804, 23.840521 55.257006), (25.11809 54.711301, 25.198424 54.63488, 25.304672 54.546291, 25.327995 54.404751, 25.397963 54.339841, 25.372049 54.267262))</t>
  </si>
  <si>
    <t>P1815</t>
  </si>
  <si>
    <t>https://www.gem.wiki/Alwyn_Field%E2%80%93Frigg_Field_Gas_Pipeline</t>
  </si>
  <si>
    <t>Alwyn Field–Frigg Field Gas Pipeline</t>
  </si>
  <si>
    <t>Alwyn gas field</t>
  </si>
  <si>
    <t>LINESTRING (1.12735 59.856062, 1.105377 60.89058)</t>
  </si>
  <si>
    <t>P1824</t>
  </si>
  <si>
    <t>https://www.gem.wiki/Okha-Komsomolsk_Gas_Pipeline</t>
  </si>
  <si>
    <t>Okha-Komsomolsk Gas Pipeline</t>
  </si>
  <si>
    <t>Rosneft [100.00%]</t>
  </si>
  <si>
    <t>Okha</t>
  </si>
  <si>
    <t>Komsomolsk</t>
  </si>
  <si>
    <t>Оха-Комсомольск-на-амуре</t>
  </si>
  <si>
    <t>LINESTRING (142.938492 53.569315, 143.01884 52.43506, 142.858658 52.442827, 142.762527 52.397182, 142.703819 52.387125, 142.675667 52.371407, 142.670174 52.355264, 142.658501 52.352538, 142.614899 52.313306, 142.56752 52.298612, 142.560654 52.287483, 142.543831 52.27551, 142.525291 52.27446, 142.440491 52.217915, 142.384529 52.199822, 142.3629 52.189299, 142.281189 52.189299, 142.214241 52.180879, 142.194672 52.172458, 142.161369 52.172247, 142.13562 52.168668, 142.12738 52.169721, 142.02614 52.19364, 141.847229 52.112409, 141.792641 52.098492, 141.687241 52.092586, 141.630936 52.07402, 141.317825 52.090582, 141.294479 52.077079, 141.285381 52.060407, 141.241093 52.038977, 141.238003 52.02567, 141.217232 52.013838, 141.207275 51.971557, 141.183243 51.959923, 141.107883 51.877869, 141.095009 51.840232, 140.9939 51.758384, 140.928841 51.686073, 140.862236 51.634321, 140.82756 51.57963, 140.83065 51.554661, 140.812798 51.523805, 140.790997 51.506071, 140.746365 51.48769, 140.74482 51.480955, 140.711861 51.47315, 140.660534 51.474861, 140.615215 51.494744, 140.57321 51.49772, 140.538826 51.487049, 140.493336 51.488438, 140.488358 51.486514, 140.427761 51.489935, 140.386906 51.502652, 140.327511 51.51825, 140.302448 51.514939, 140.235157 51.486514, 140.18692 51.476358, 140.168552 51.477106, 140.116024 51.466735, 140.089245 51.471172, 140.064011 51.480047, 139.9823 51.518784, 139.901619 51.516648, 139.803429 51.505323, 139.655113 51.465558, 139.588852 51.427043, 139.34166 51.358062, 139.263039 51.325034, 139.164162 51.286615, 139.151115 51.272656, 139.140472 51.270508, 139.11052 51.26041, 139.053612 51.233977, 139.008636 51.233977, 138.948212 51.222153, 138.901176 51.206883, 138.894653 51.201291, 138.871307 51.198924, 138.760757 51.150925, 138.663254 51.11861, 138.597679 51.104384, 138.581886 51.09576, 138.547211 51.099857, 138.472023 51.08541, 138.400955 51.020882, 138.412628 51.002954, 138.421555 50.999497, 138.420181 50.992798, 138.45829 50.958643, 138.451424 50.919701, 138.381729 50.845188, 138.313065 50.830662, 138.255043 50.844105, 138.193588 50.833264, 138.129044 50.812877, 138.12252 50.78597, 138.075829 50.75579, 138.007507 50.761436, 137.984161 50.7534, 137.588654 50.738193, 136.98221 50.52591)</t>
  </si>
  <si>
    <t>P1828</t>
  </si>
  <si>
    <t>https://www.gem.wiki/El_Aricha-Beni_Saf_Gas_Pipeline</t>
  </si>
  <si>
    <t>El Aricha-Beni Saf Gas Pipeline</t>
  </si>
  <si>
    <t>EGPDF</t>
  </si>
  <si>
    <t>Sonatrach [unknown %]</t>
  </si>
  <si>
    <t>El Aricha</t>
  </si>
  <si>
    <t>Tlemcen</t>
  </si>
  <si>
    <t>Beni Saf</t>
  </si>
  <si>
    <t>أنبوب غاز سوناطراك ، أنبوب الغاز العريشة - بني صاف</t>
  </si>
  <si>
    <t>LINESTRING (-1.2900539 34.1767641, -1.466983 35.2861743)</t>
  </si>
  <si>
    <t>P1831</t>
  </si>
  <si>
    <t>https://www.gem.wiki/Sougueur%E2%80%93Hadjret_En_Nouss_gas_pipeline</t>
  </si>
  <si>
    <t>Sougueur-Hadjret En Nouss Gas Pipeline</t>
  </si>
  <si>
    <t>Sougueur</t>
  </si>
  <si>
    <t>Tiaret</t>
  </si>
  <si>
    <t>Hadjret En Nouss</t>
  </si>
  <si>
    <t>Tipaza</t>
  </si>
  <si>
    <t>انبوب غاز سوقر- حجرة النص</t>
  </si>
  <si>
    <t>LINESTRING (1.505 35.19, 2.387 35.38, 2.81 35.693, 2.554 36.47, 2.241 36.565, 2.106 36.515, 2.057 36.573)</t>
  </si>
  <si>
    <t>P1835</t>
  </si>
  <si>
    <t>https://www.gem.wiki/Hassi_R%27Mel-Skikda-El_Kala_gas_pipeline</t>
  </si>
  <si>
    <t>Hassi R'Mel-Skikda-El Kala Gas Pipeline</t>
  </si>
  <si>
    <t>GK3</t>
  </si>
  <si>
    <t>El Kala</t>
  </si>
  <si>
    <t>El Tarf</t>
  </si>
  <si>
    <t>LINESTRING (3.2516514 32.9361073, 6.8927595 36.8739242, 8.4205565 36.8882698)</t>
  </si>
  <si>
    <t>P1836</t>
  </si>
  <si>
    <t>https://www.gem.wiki/Mocta_Douz-Beni_Saf_gas_pipeline</t>
  </si>
  <si>
    <t>Mocta Douz-Beni Saf Gas Pipeline</t>
  </si>
  <si>
    <t>GZ4</t>
  </si>
  <si>
    <t>Mocta Douz</t>
  </si>
  <si>
    <t>Mascara</t>
  </si>
  <si>
    <t>LINESTRING (-0.0411 35.6148, -1.3902997 35.3033015)</t>
  </si>
  <si>
    <t>P1837</t>
  </si>
  <si>
    <t>https://www.gem.wiki/Sougueur-Arzew_gas_pipeline</t>
  </si>
  <si>
    <t>Sougueur-Arzew Gas Pipeline</t>
  </si>
  <si>
    <t>https://www.aljazeera.net/ebusiness/2006/2/7/%D8%B3%D9%88%D9%86%D8%A7%D8%B7%D8%B1%D8%A7%D9%83-%D8%A7%D9%84%D8%AC%D8%B2%D8%A7%D8%A6%D8%B1%D9%8A%D8%A9-%D8%AA%D9%88%D9%82%D8%B9-%D8%A7%D8%AA%D9%81%D8%A7%D9%82%D9%8A%D8%A7%D8%AA-%D8%A8%D9%80240</t>
  </si>
  <si>
    <t>انبوب غاز سوقر-أرزيو</t>
  </si>
  <si>
    <t>LINESTRING (1.4968627 35.1839342, 1.3004 35.3447, 0.7192 35.727, -0.0411 35.6148, -0.2617 35.8093)</t>
  </si>
  <si>
    <t>P1839</t>
  </si>
  <si>
    <t>Ecuador</t>
  </si>
  <si>
    <t>https://www.gem.wiki/Amistad-Valvula_de_Playa_gas_pipeline</t>
  </si>
  <si>
    <t>Amistad-Valvula de Playa Gas Pipeline</t>
  </si>
  <si>
    <t>Gasoducto Amistad-Bajo Alto</t>
  </si>
  <si>
    <t>EP Petroecuador [100.00%]</t>
  </si>
  <si>
    <t>Gasoducto Amistad</t>
  </si>
  <si>
    <t>https://www.gem.wiki/Gasoducto_Amistad-Bajo_Alto</t>
  </si>
  <si>
    <t>LINESTRING (-80.518599 -3.282639, -79.880048 -3.11629)</t>
  </si>
  <si>
    <t>P1841</t>
  </si>
  <si>
    <t>https://www.gem.wiki/Baiji-K3-Al_Kaem_gas_pipeline</t>
  </si>
  <si>
    <t>Baiji-K3-Al Kaem Gas Pipeline</t>
  </si>
  <si>
    <t>Iraq Ministry of Oil [unknown %]</t>
  </si>
  <si>
    <t>Bajii</t>
  </si>
  <si>
    <t>Saladin</t>
  </si>
  <si>
    <t>Al-Qa'im</t>
  </si>
  <si>
    <t>Al Anbar</t>
  </si>
  <si>
    <t>أنبوب  غاز بيجي-القائم</t>
  </si>
  <si>
    <t>LINESTRING (43.451355 35.015917, 41.139845 34.324859)</t>
  </si>
  <si>
    <t>P1842</t>
  </si>
  <si>
    <t>https://www.gem.wiki/Baiji-Al_Mushraq_gas_pipeline</t>
  </si>
  <si>
    <t>Baiji-Al Mushraq Gas Pipeline</t>
  </si>
  <si>
    <t>Al Mushraq</t>
  </si>
  <si>
    <t>Mosul</t>
  </si>
  <si>
    <t>أنبوب  غاز بيجي- المشراق</t>
  </si>
  <si>
    <t>LINESTRING (43.451355 35.015917, 43.311989 35.981678)</t>
  </si>
  <si>
    <t>P1845</t>
  </si>
  <si>
    <t>https://www.gem.wiki/Taji-South_Baghdad_gas_pipeline</t>
  </si>
  <si>
    <t>Taji-South Baghdad Gas Pipeline</t>
  </si>
  <si>
    <t>Taji</t>
  </si>
  <si>
    <t xml:space="preserve">        Baghdad </t>
  </si>
  <si>
    <t>انبوب غاز  تاجي- جنوب بغداد</t>
  </si>
  <si>
    <t>LINESTRING (44.26479688964884 33.53065395810237, 44.383364637719644 33.24386958928312)</t>
  </si>
  <si>
    <t>P1846</t>
  </si>
  <si>
    <t>https://www.gem.wiki/Strategy-Kabesa_Cement_gas_pipeline</t>
  </si>
  <si>
    <t>Strategy-Kabesa Cement Gas Pipeline</t>
  </si>
  <si>
    <t>P1847</t>
  </si>
  <si>
    <t>https://www.gem.wiki/Strategy-Hilla_gas_pipeline</t>
  </si>
  <si>
    <t>Strategy-Hilla Gas Pipeline</t>
  </si>
  <si>
    <t>P1848</t>
  </si>
  <si>
    <t>https://www.gem.wiki/Strategy-Najaf_gas_pipeline</t>
  </si>
  <si>
    <t>Strategy-Najaf Gas Pipeline</t>
  </si>
  <si>
    <t>P1850</t>
  </si>
  <si>
    <t>https://www.gem.wiki/Khor_Al-Zubair-Hartha_gas_pipeline</t>
  </si>
  <si>
    <t>Khor Al-Zubair-Hartha Gas Pipeline</t>
  </si>
  <si>
    <t>Hartha</t>
  </si>
  <si>
    <t>أنبوب  غاز خور الزبير- الهارثة</t>
  </si>
  <si>
    <t>LINESTRING (47.76992799610953 30.231520653050502, 47.739007076852616 30.69089265741324)</t>
  </si>
  <si>
    <t>P1851</t>
  </si>
  <si>
    <t>https://www.gem.wiki/Rumela-Nasriyaha_gas_pipeline</t>
  </si>
  <si>
    <t>Rumela-Nasriyaha Gas Pipeline</t>
  </si>
  <si>
    <t>Rumela</t>
  </si>
  <si>
    <t>Nasriyaha</t>
  </si>
  <si>
    <t>Dhi Qar</t>
  </si>
  <si>
    <t>أنبوب غاز الرميلة- الناصرية</t>
  </si>
  <si>
    <t>LINESTRING (46.261723 31.037651, 47.411089 30.230506)</t>
  </si>
  <si>
    <t>P1852</t>
  </si>
  <si>
    <t>https://www.gem.wiki/Trans-Iraq-Nasriyaha_gas_pipeline</t>
  </si>
  <si>
    <t>Trans-Iraq-Nasriyaha Gas Pipeline</t>
  </si>
  <si>
    <t>P1853</t>
  </si>
  <si>
    <t>https://www.gem.wiki/West_Qurna-Baghdad_Gas_Pipeline</t>
  </si>
  <si>
    <t>West Qurna-Baghdad Gas Pipeline</t>
  </si>
  <si>
    <t>Iraq Ministry of Oil [100.00%]</t>
  </si>
  <si>
    <t xml:space="preserve"> Al-Qurnah</t>
  </si>
  <si>
    <t>West Qurna field</t>
  </si>
  <si>
    <t>انبوب  غاز غرب القرنة- بغداد</t>
  </si>
  <si>
    <t>LINESTRING (47.290833 30.885278, 44.0757167 33.3113716)</t>
  </si>
  <si>
    <t>P1855</t>
  </si>
  <si>
    <t>https://www.gem.wiki/Bahr_Assalam-Mellitah_gas_pipeline</t>
  </si>
  <si>
    <t>Bahr Assalam–Mellitah Gas Pipeline</t>
  </si>
  <si>
    <t xml:space="preserve"> خط  غاز بحر السلام- مليته </t>
  </si>
  <si>
    <t>P1856</t>
  </si>
  <si>
    <t>https://www.gem.wiki/Intesar-Brega_gas_pipeline</t>
  </si>
  <si>
    <t>Intesar-Brega Gas Pipeline</t>
  </si>
  <si>
    <t>Libyan National Oil Corporation [81.00%]; Occidental Petroleum [14.25%]; OMV [4.75%]</t>
  </si>
  <si>
    <t>Libyan National Oil Corporation [81.00%]; Occidental Petroleum [14.25%]; OMV Group [4.75%]</t>
  </si>
  <si>
    <t>Intesar Oil field</t>
  </si>
  <si>
    <t>Sirte Basin</t>
  </si>
  <si>
    <t>Mersa Brega</t>
  </si>
  <si>
    <t xml:space="preserve">  خط غاز الإنتصار 103 أ</t>
  </si>
  <si>
    <t>LINESTRING (20.987025 28.925529, 20.768509 29.063142, 20.515029 29.259051, 20.244069 29.482488, 20.203279 29.52306, 20.019725 29.604155, 19.914837 29.669997, 19.903183 29.776267, 19.897355 29.819249, 19.754591 30.197697, 19.716715 30.265664, 19.658444 30.341128, 19.590704 30.408996)</t>
  </si>
  <si>
    <t>P1857</t>
  </si>
  <si>
    <t>https://www.gem.wiki/103D-103A_gas_pipeline</t>
  </si>
  <si>
    <t>103D-103A Gas Pipeline</t>
  </si>
  <si>
    <t>P1858</t>
  </si>
  <si>
    <t>https://www.gem.wiki/Bu-Attifel-Intesar_gas_pipeline</t>
  </si>
  <si>
    <t>Bu-Attifel-Intesar Gas Pipeline</t>
  </si>
  <si>
    <t>Bu-Attifel Oil field</t>
  </si>
  <si>
    <t>LINESTRING (22.067954 28.879617, 21.560996 28.900025, 21.193888 28.889821, 21.129789 28.884719)</t>
  </si>
  <si>
    <t>P1859</t>
  </si>
  <si>
    <t>https://www.gem.wiki/Bouri-Bahr_Assalam_gas_pipeline</t>
  </si>
  <si>
    <t>Bouri-Bahr Assalam Gas Pipeline</t>
  </si>
  <si>
    <t>P1860</t>
  </si>
  <si>
    <t>https://www.gem.wiki/Waha-Nasser_gas_pipeline</t>
  </si>
  <si>
    <t>Waha-Nasser Gas Pipeline</t>
  </si>
  <si>
    <t>Libyan National Oil Corporation [59.18%]; ConocoPhillips [16.33%]; TotalEnergies SE [16.33%]; Hess Corporation [8.16%]</t>
  </si>
  <si>
    <t>Libyan National Oil Corporation [59.18%]; ConocoPhillips [16.33%]; TotalEnergies SE [16.33%]; Hess Corporation [unknown %]</t>
  </si>
  <si>
    <t>LINESTRING (19.922649 28.301594, 19.7701 28.9162)</t>
  </si>
  <si>
    <t>P1861</t>
  </si>
  <si>
    <t>https://www.gem.wiki/Faregh-Intesar_gas_pipeline</t>
  </si>
  <si>
    <t>Farigh-Intesar Gas Pipeline</t>
  </si>
  <si>
    <t>LINESTRING (21.122506 28.88727, 20.994309 28.928079)</t>
  </si>
  <si>
    <t>P1862</t>
  </si>
  <si>
    <t>https://www.gem.wiki/Brega-Benghazi_gas_pipeline</t>
  </si>
  <si>
    <t>Brega-Benghazi Gas Pipeline</t>
  </si>
  <si>
    <t>Libyan National Oil Corporation [unknown %]</t>
  </si>
  <si>
    <t xml:space="preserve">Mersa Brega </t>
  </si>
  <si>
    <t>خط غاز البريقة- بنغازي</t>
  </si>
  <si>
    <t>LINESTRING (19.596797 30.4165, 19.675676 30.407224, 19.858532 30.419592, 19.899765 30.455142, 19.980437 30.533923, 20.021669 30.587952, 20.098755 30.729827, 20.136402 30.8284, 20.159707 30.88688, 20.256514 31.059033, 20.321051 31.148062, 20.340771 31.174141, 20.3336 31.198679, 20.319258 31.232409, 20.174049 31.643855, 20.147158 31.75215, 20.125646 31.840523, 20.05573 32.077036)</t>
  </si>
  <si>
    <t>P1863</t>
  </si>
  <si>
    <t>https://www.gem.wiki/Brega-Khoms_gas_pipeline</t>
  </si>
  <si>
    <t>Brega-Khoms Gas Pipeline</t>
  </si>
  <si>
    <t>خط غاز البريقة - الخمس</t>
  </si>
  <si>
    <t>LINESTRING (19.59859 30.417273, 19.595004 30.34768, 19.569906 30.298162, 19.42649 30.234679, 19.295622 30.220739, 19.127108 30.220739, 19.032094 30.237777, 18.862235 30.29197, 18.738538 30.346133, 18.605878 30.423457, 18.489352 30.511531, 18.351313 30.610327, 18.259885 30.672023, 18.157701 30.746006, 17.825602 30.855336, 17.752101 30.867647, 17.559384 30.944555, 17.363979 31.006037, 17.288686 31.019865, 17.229526 31.038299, 17.141684 31.092045, 16.814066 31.125813, 16.708296 31.124278, 16.61149 31.113535, 16.37306 31.1565, 16.107739 31.216312, 16.046339 31.219378, 15.703035 31.360319, 15.611607 31.375625, 15.240517 31.413882, 15.101582 31.562932, 15.035252 31.756723, 14.983263 31.90903, 14.992227 32.073239, 15.046008 32.238669, 15.092618 32.279601, 15.12668 32.326574, 15.119509 32.343236, 15.081862 32.352323, 14.850603 32.390176, 14.717942 32.394717, 14.447243 32.518001)</t>
  </si>
  <si>
    <t>P1864</t>
  </si>
  <si>
    <t>https://www.gem.wiki/Khoms-Tripoli_gas_pipeline</t>
  </si>
  <si>
    <t>Khoms-Tripoli Gas Pipeline</t>
  </si>
  <si>
    <t>http://www.alwasatnews.com/news/639479.html</t>
  </si>
  <si>
    <t>Tripoli</t>
  </si>
  <si>
    <t>خط غاز الخمس - طرابلس</t>
  </si>
  <si>
    <t>LINESTRING (14.447243 32.518001, 14.346852 32.566361, 14.343266 32.608654, 14.289485 32.617714, 14.103044 32.681111, 13.923773 32.732399, 13.755258 32.777628, 13.662037 32.795714, 13.568817 32.789686, 13.489937 32.768584, 13.4254 32.765569)</t>
  </si>
  <si>
    <t>P1865</t>
  </si>
  <si>
    <t>https://www.gem.wiki/Tripoli-Mellitah_gas_pipeline</t>
  </si>
  <si>
    <t>Tripoli-Mellitah Gas Pipeline</t>
  </si>
  <si>
    <t>خط غاز طرابلس- مليتة</t>
  </si>
  <si>
    <t>LINESTRING (13.424952 32.766323, 13.163216 32.757278, 12.93375 32.745216, 12.849493 32.748232, 12.763443 32.772353, 12.357394 32.808522, 12.205014 32.8763)</t>
  </si>
  <si>
    <t>P1866</t>
  </si>
  <si>
    <t>https://www.gem.wiki/Nasser-Brega_gas_pipeline</t>
  </si>
  <si>
    <t>Nasser-Brega Gas Pipeline</t>
  </si>
  <si>
    <t>LINESTRING (19.7701 28.9162, 19.781 28.9384516, 19.7798 28.9833, 19.7948 29.0027, 19.8144 29.0667, 19.8175 29.1246, 19.8234 29.1452, 19.8141 29.2898, 19.8145 29.4575, 19.8126 29.4964, 19.8831 29.774, 19.8173 29.8705, 19.7163 30.2585, 19.6064 30.3963, 19.6091 30.4102)</t>
  </si>
  <si>
    <t>P1867</t>
  </si>
  <si>
    <t>https://www.gem.wiki/Attahaddy-km-91.5_gas_pipeline</t>
  </si>
  <si>
    <t>Attahaddy-km-91.5 Gas Pipeline</t>
  </si>
  <si>
    <t>30, 12</t>
  </si>
  <si>
    <t>P1868</t>
  </si>
  <si>
    <t>https://www.gem.wiki/Km-81.5-Brega_gas_pipeline</t>
  </si>
  <si>
    <t>Km-81.5-Brega Gas Pipeline</t>
  </si>
  <si>
    <t>P1869</t>
  </si>
  <si>
    <t>https://www.gem.wiki/Raguba-Km-110_gas_pipeline</t>
  </si>
  <si>
    <t>Raguba-Km-110 Gas Pipeline</t>
  </si>
  <si>
    <t>P1870</t>
  </si>
  <si>
    <t>https://www.gem.wiki/Intesar-Sahel_gas_pipeline</t>
  </si>
  <si>
    <t>Intesar-Sahel Gas Pipeline</t>
  </si>
  <si>
    <t>P1871</t>
  </si>
  <si>
    <t>https://www.gem.wiki/Sahel-km-81.5_gas_pipeline</t>
  </si>
  <si>
    <t>Sahel-km-81.5 Gas Pipeline</t>
  </si>
  <si>
    <t>P1872</t>
  </si>
  <si>
    <t>https://www.gem.wiki/Km-91.5-Brega_gas_pipeline</t>
  </si>
  <si>
    <t>Km-91.5-Brega Gas Pipeline</t>
  </si>
  <si>
    <t>36, 16</t>
  </si>
  <si>
    <t>P1873</t>
  </si>
  <si>
    <t>https://www.gem.wiki/Jakhira-Intesar_gas_pipeline</t>
  </si>
  <si>
    <t>Jakhira-Intesar Gas Pipeline</t>
  </si>
  <si>
    <t>BASF [unknown %]</t>
  </si>
  <si>
    <t>20, 8</t>
  </si>
  <si>
    <t xml:space="preserve"> Jakhira Oasis</t>
  </si>
  <si>
    <t xml:space="preserve"> Intesar Oil field</t>
  </si>
  <si>
    <t>P1875</t>
  </si>
  <si>
    <t>https://www.gem.wiki/Sapele_LTX-Oben_gas_pipeline</t>
  </si>
  <si>
    <t>Sapele LTX-Oben Gas Pipeline</t>
  </si>
  <si>
    <t>Nigerian Gas Company [unknown %]</t>
  </si>
  <si>
    <t>Nigerian National Petroleum Corporation [unknown %]</t>
  </si>
  <si>
    <t>16, 18</t>
  </si>
  <si>
    <t>P1876</t>
  </si>
  <si>
    <t>https://www.gem.wiki/Afisiere-Aladja_gas_pipeline</t>
  </si>
  <si>
    <t>Afisiere-Aladja Gas Pipeline</t>
  </si>
  <si>
    <t>6, 8, 14, 16</t>
  </si>
  <si>
    <t>P1877</t>
  </si>
  <si>
    <t>https://www.gem.wiki/Oben-Ajaokuta_Steel_gas_pipeline</t>
  </si>
  <si>
    <t>Oben-Ajaokuta Steel Gas Pipeline</t>
  </si>
  <si>
    <t>LINESTRING (6.649988209604506 7.543391667989012, 8.80770710698739 8.09405329165208)</t>
  </si>
  <si>
    <t>P1878</t>
  </si>
  <si>
    <t>https://www.gem.wiki/Escravos-Egbin_gas_pipeline</t>
  </si>
  <si>
    <t>Escravos-Egbin Gas Pipeline</t>
  </si>
  <si>
    <t>20, 24, 30, 36</t>
  </si>
  <si>
    <t>LINESTRING (5.154702 5.611742, 5.06358 5.69049, 4.931694 5.778769, 4.907714 5.845567, 4.838174 5.933822, 4.747052 6.00537, 4.619961 6.057833, 4.357987 6.191351, 4.082224 6.320068, 3.909572 6.386798, 3.789076 6.429691, 3.640403 6.460668, 3.580455 6.46305, 3.585251 6.494024, 3.614026 6.575025)</t>
  </si>
  <si>
    <t>P1879</t>
  </si>
  <si>
    <t>https://www.gem.wiki/Egbin_Node-Alagbado_gas_pipeline</t>
  </si>
  <si>
    <t>Egbin Node-Alagbado Gas Pipeline</t>
  </si>
  <si>
    <t>LINESTRING (3.615225 6.572643, 3.641602 6.669111, 3.642801 6.686974, 3.567266 6.707217, 3.416196 6.735795, 3.35385 6.738176, 3.314284 6.736986, 3.275917 6.729841)</t>
  </si>
  <si>
    <t>P1880</t>
  </si>
  <si>
    <t>https://www.gem.wiki/Alagbado-SNG_gas_pipeline</t>
  </si>
  <si>
    <t>Alagbado-SNG Gas Pipeline</t>
  </si>
  <si>
    <t>12, 6, 4</t>
  </si>
  <si>
    <t>P1881</t>
  </si>
  <si>
    <t>https://www.gem.wiki/Ajaokuta-Obajana_gas_pipeline</t>
  </si>
  <si>
    <t>Ajaokuta-Obajana Gas Pipeline</t>
  </si>
  <si>
    <t>LINESTRING (6.649988209604506 7.543391667989012, 6.431390309998804 7.920447640972519)</t>
  </si>
  <si>
    <t>P1882</t>
  </si>
  <si>
    <t>https://www.gem.wiki/Alakiri-Notore_Onne_gas_pipeline</t>
  </si>
  <si>
    <t>Alakiri-Notore Onne Gas Pipeline</t>
  </si>
  <si>
    <t>P1883</t>
  </si>
  <si>
    <t>https://www.gem.wiki/Imo_River-Aba_Industries_gas_pipeline</t>
  </si>
  <si>
    <t>Imo River-Aba Industries Gas Pipeline</t>
  </si>
  <si>
    <t>P1884</t>
  </si>
  <si>
    <t>https://www.gem.wiki/Alakiri-Ikot-Abasi_gas_pipeline#Pipeline_Details</t>
  </si>
  <si>
    <t>Alakiri-Ikot-Abasi Gas Pipeline</t>
  </si>
  <si>
    <t>14, 16, 24</t>
  </si>
  <si>
    <t>P1885</t>
  </si>
  <si>
    <t>https://www.gem.wiki/Obiafu-Ubeta_gas_pipeline</t>
  </si>
  <si>
    <t>Obiafu-Ubeta Gas Pipeline</t>
  </si>
  <si>
    <t>Nigeria LNG Limited [100.00%]</t>
  </si>
  <si>
    <t>LINESTRING (6.656771098254168 5.391229358840709, 6.657961697139246 5.08320898475473)</t>
  </si>
  <si>
    <t>P1886</t>
  </si>
  <si>
    <t>https://www.gem.wiki/Ubeta_Node-Rumuji_gas_pipeline</t>
  </si>
  <si>
    <t>Ubeta Node-Rumuji Gas Pipeline</t>
  </si>
  <si>
    <t>P1887</t>
  </si>
  <si>
    <t>https://www.gem.wiki/Soku-Rumuji_gas_pipeline</t>
  </si>
  <si>
    <t>Soku-Rumuji Gas Pipeline</t>
  </si>
  <si>
    <t>LINESTRING (6.68242962286816 4.678397767333637, 6.779594448147763 4.942555606186712)</t>
  </si>
  <si>
    <t>P1888</t>
  </si>
  <si>
    <t>https://www.gem.wiki/Rumuji_Node-Bonny_gas_pipeline</t>
  </si>
  <si>
    <t>Rumuji Node-Bonny Gas Pipeline</t>
  </si>
  <si>
    <t>LINESTRING (6.77899363331469 4.939819231506705, 7.190551252570926 4.413504828059465)</t>
  </si>
  <si>
    <t>P1889</t>
  </si>
  <si>
    <t>https://www.gem.wiki/Soku-Bonny_gas_pipeline</t>
  </si>
  <si>
    <t>Soku-Bonny Gas Pipeline</t>
  </si>
  <si>
    <t>LINESTRING (6.597662 4.654036, 6.621641 4.611014, 6.679192 4.577551, 6.847047 4.51062, 7.043678 4.438901, 7.173167 4.407821)</t>
  </si>
  <si>
    <t>P1890</t>
  </si>
  <si>
    <t>https://www.gem.wiki/Bonga-Riser_gas_pipeline</t>
  </si>
  <si>
    <t>Bonga-Riser Gas Pipeline</t>
  </si>
  <si>
    <t>P1891</t>
  </si>
  <si>
    <t>https://www.gem.wiki/Riser-Bonny_gas_pipeline</t>
  </si>
  <si>
    <t>Riser-Bonny Gas Pipeline</t>
  </si>
  <si>
    <t>P1892</t>
  </si>
  <si>
    <t>https://www.gem.wiki/Obiafu-Rumuji_gas_pipeline</t>
  </si>
  <si>
    <t>Obiafu-Rumuji Gas Pipeline</t>
  </si>
  <si>
    <t>Agip [unknown %]</t>
  </si>
  <si>
    <t>LINESTRING (6.656781827090473 5.391229358840709, 6.779379871421665 4.941401199496428)</t>
  </si>
  <si>
    <t>P1893</t>
  </si>
  <si>
    <t>https://www.gem.wiki/Rumuji-Bonny_gas_pipeline</t>
  </si>
  <si>
    <t>Rumuji-Bonny Gas Pipeline</t>
  </si>
  <si>
    <t>P1894</t>
  </si>
  <si>
    <t>https://www.gem.wiki/Amenam-Bonny_gas_pipeline</t>
  </si>
  <si>
    <t>Amenam-Bonny Gas Pipeline</t>
  </si>
  <si>
    <t>TotalEnergies SE [unknown %]</t>
  </si>
  <si>
    <t>P1895</t>
  </si>
  <si>
    <t>https://www.gem.wiki/Tampen_Link_Gas_Pipeline</t>
  </si>
  <si>
    <t>Tampen Link Gas Pipeline</t>
  </si>
  <si>
    <t>Gassled [500.00%]</t>
  </si>
  <si>
    <t>Petoro [46.70%]; Partners Group [26.32%]; HitecVision [15.55%]; Allianz [6.43%]; Equinor [5.00%]</t>
  </si>
  <si>
    <t>Statfjord</t>
  </si>
  <si>
    <t>Far North Liquids And Associated Gas System</t>
  </si>
  <si>
    <t>LINESTRING (1.829892 61.206924, 1.824147 61.206249, 1.822734 61.203739, 1.838403 61.192635, 1.853491 61.175484, 1.854927 61.172981, 1.854929 61.169739, 1.8487 61.152775, 1.826146 61.129395, 1.817023 61.110809, 1.797519 61.089439, 1.786205 61.066715, 1.767558 61.046127, 1.760388 61.041088, 1.751823 61.037327, 1.700189 61.022018)</t>
  </si>
  <si>
    <t>P1897</t>
  </si>
  <si>
    <t>https://www.gem.wiki/A47-Yanbu_gas_pipeline</t>
  </si>
  <si>
    <t>A47-Yanbu Gas Pipeline</t>
  </si>
  <si>
    <t>Saudi Aramco [unknown %]</t>
  </si>
  <si>
    <t>42, 48, 56</t>
  </si>
  <si>
    <t>P1898</t>
  </si>
  <si>
    <t>https://www.gem.wiki/UBTG-1-Berri_gas_pipeline</t>
  </si>
  <si>
    <t>UBTG-1-Berri Gas Pipeline</t>
  </si>
  <si>
    <t>56, 36, 38, 40, 42</t>
  </si>
  <si>
    <t>P1899</t>
  </si>
  <si>
    <t>https://www.gem.wiki/UBTG-1-Berri_2_gas_pipeline</t>
  </si>
  <si>
    <t>UBTG-1-Berri 2 Gas Pipeline</t>
  </si>
  <si>
    <t>P1900</t>
  </si>
  <si>
    <t>https://www.gem.wiki/UBTG-km56-AY-1_KP916_gas_pipeline</t>
  </si>
  <si>
    <t>UBTG-km56-AY-1 KP916 Gas Pipeline</t>
  </si>
  <si>
    <t>P1901</t>
  </si>
  <si>
    <t>https://www.gem.wiki/UBTG-1km-Juanymah_gas_pipeline</t>
  </si>
  <si>
    <t>UBTG-1km-Juanymah Gas Pipeline</t>
  </si>
  <si>
    <t>28, 30, 38, 40</t>
  </si>
  <si>
    <t>P1902</t>
  </si>
  <si>
    <t>https://www.gem.wiki/Safianah-Juanymah_gas_pipeline</t>
  </si>
  <si>
    <t>Safianayh-Juanymah Gas Pipeline</t>
  </si>
  <si>
    <t>LINESTRING (51.683438 26.750553, 49.902101 26.750384)</t>
  </si>
  <si>
    <t>P1903</t>
  </si>
  <si>
    <t>https://www.gem.wiki/AY%E2%80%931_KP_943-Riyadh_gas_pipeline</t>
  </si>
  <si>
    <t>AY–1 KP 943-Riyadh Gas Pipeline</t>
  </si>
  <si>
    <t>P1904</t>
  </si>
  <si>
    <t>https://www.gem.wiki/Tanajib-Berri_gas_pipeline</t>
  </si>
  <si>
    <t>Tanajib-Berri Gas Pipeline</t>
  </si>
  <si>
    <t>Tanajib Copmplex</t>
  </si>
  <si>
    <t xml:space="preserve"> coast of the Persian Gulf</t>
  </si>
  <si>
    <t>Berri Gas Plant</t>
  </si>
  <si>
    <t>LINESTRING (48.769038 27.872046, 49.608011 26.95479)</t>
  </si>
  <si>
    <t>P1905</t>
  </si>
  <si>
    <t>https://www.gem.wiki/Haradh-Uthmaniya_gas_pipeline</t>
  </si>
  <si>
    <t>Haradh-Uthmaniya Gas Pipeline</t>
  </si>
  <si>
    <t>24, 32, 48</t>
  </si>
  <si>
    <t>Haradh</t>
  </si>
  <si>
    <t>Ahsa</t>
  </si>
  <si>
    <t>Uthmaniya</t>
  </si>
  <si>
    <t>LINESTRING (49.203809 24.059199, 49.290311 25.210703)</t>
  </si>
  <si>
    <t>P1906</t>
  </si>
  <si>
    <t>https://www.gem.wiki/Abqaiq-Berri_gas_pipeline</t>
  </si>
  <si>
    <t>Abqaiq-Berri Gas Pipeline</t>
  </si>
  <si>
    <t>LINESTRING (49.688328 25.934821, 49.608011 26.95479)</t>
  </si>
  <si>
    <t>P1907</t>
  </si>
  <si>
    <t>https://www.gem.wiki/Haradh-3-Uthmaniya_gas_pipeline</t>
  </si>
  <si>
    <t>Haradh-3-Uthmaniya Gas Pipeline</t>
  </si>
  <si>
    <t>24, 32</t>
  </si>
  <si>
    <t>LINESTRING (49.203809 24.059199, 49.305911 25.193055)</t>
  </si>
  <si>
    <t>P1908</t>
  </si>
  <si>
    <t>https://www.gem.wiki/UA-1-km199-Uthmaniya_gas_pipeline</t>
  </si>
  <si>
    <t>UA-1-km199-Uthmaniya Gas Pipeline</t>
  </si>
  <si>
    <t>P1909</t>
  </si>
  <si>
    <t>https://www.gem.wiki/Juaymah-Jubail_gas_pipeline</t>
  </si>
  <si>
    <t>Juaymah-Jubail Gas Pipeline</t>
  </si>
  <si>
    <t>30, 38, 40</t>
  </si>
  <si>
    <t>Al Juaima'h</t>
  </si>
  <si>
    <t>LINESTRING (49.90604801438648 26.752363877038277, 49.52616878940619 27.002236657934976)</t>
  </si>
  <si>
    <t>P1910</t>
  </si>
  <si>
    <t>https://www.gem.wiki/UBTG-1-km0-UBTG-1-km56_gas_pipeline</t>
  </si>
  <si>
    <t>UBTG-1-km0-UBTG-1-km56 Gas Pipeline</t>
  </si>
  <si>
    <t>P1911</t>
  </si>
  <si>
    <t>https://www.gem.wiki/UBTG-1-km0-UBTG-1-km56_2_gas_pipeline</t>
  </si>
  <si>
    <t>UBTG-1-km0-UBTG-1-km56 2 Gas Pipeline</t>
  </si>
  <si>
    <t>P1912</t>
  </si>
  <si>
    <t>https://www.gem.wiki/Hawiyah-UBTG-1-km0_gas_pipeline</t>
  </si>
  <si>
    <t>Hawiyah-UBTG-1-km0 Gas Pipeline</t>
  </si>
  <si>
    <t>P1913</t>
  </si>
  <si>
    <t>https://www.gem.wiki/Abqaiq-B-Shedgum_gas_pipeline</t>
  </si>
  <si>
    <t>Abqaiq-B-Shedgum Gas Pipeline</t>
  </si>
  <si>
    <t>Abqaiq</t>
  </si>
  <si>
    <t>Shedgum</t>
  </si>
  <si>
    <t>LINESTRING (49.68437980661228 25.93111636068203, 49.391472227260714 25.652049326483905)</t>
  </si>
  <si>
    <t>P1914</t>
  </si>
  <si>
    <t>https://www.gem.wiki/Waqr_Khuff-Haradh_gas_pipeline</t>
  </si>
  <si>
    <t>Waqr Khuff-Haradh Gas Pipeline</t>
  </si>
  <si>
    <t>P1915</t>
  </si>
  <si>
    <t>https://www.gem.wiki/Hawiyah-Uthmniyah_gas_pipeline</t>
  </si>
  <si>
    <t>Hawiyah-Uthmniyah Gas Pipeline</t>
  </si>
  <si>
    <t>Al Hawiyah</t>
  </si>
  <si>
    <t>LINESTRING (49.35263502724914 24.803769201382597, 49.290375552256 25.210606361239197)</t>
  </si>
  <si>
    <t>P1916</t>
  </si>
  <si>
    <t>https://www.gem.wiki/Qatif_North-Berri_gas_pipeline</t>
  </si>
  <si>
    <t>Qatif North-Berri Gas Pipeline</t>
  </si>
  <si>
    <t xml:space="preserve">Qatif </t>
  </si>
  <si>
    <t>LINESTRING (49.967648817063804 26.57869054263801, 49.6084103276218 26.95522835462947)</t>
  </si>
  <si>
    <t>P1917</t>
  </si>
  <si>
    <t>https://www.gem.wiki/Haradh_Khuff-Hawiyah_gas_pipeline</t>
  </si>
  <si>
    <t>Haradh Khuff-Hawiyah Gas Pipeline</t>
  </si>
  <si>
    <t>LINESTRING (49.20243540279765 24.058572142252032, 49.35263502724914 24.803769201382597)</t>
  </si>
  <si>
    <t>P1918</t>
  </si>
  <si>
    <t>https://www.gem.wiki/Haradh_Khuff-Hawiyah_2_gas_pipeline</t>
  </si>
  <si>
    <t>Haradh Khuff-Hawiyah 2 Gas Pipeline</t>
  </si>
  <si>
    <t>LINESTRING (49.20243540279765 24.058572142252032, 49.35263502724915 24.803769201382597)</t>
  </si>
  <si>
    <t>P1919</t>
  </si>
  <si>
    <t>https://www.gem.wiki/Haradh_Khuff-Hawiyah_3_gas_pipeline</t>
  </si>
  <si>
    <t>Haradh Khuff-Hawiyah 3 Gas Pipeline</t>
  </si>
  <si>
    <t>LINESTRING (49.20243540279765 24.058572142252032, 49.35263502724916 24.803769201382597)</t>
  </si>
  <si>
    <t>P1920</t>
  </si>
  <si>
    <t>https://www.gem.wiki/Tinat_Kuff-Haradh_gas_pipeline</t>
  </si>
  <si>
    <t>Tinat Kuff-Haradh Gas Pipeline</t>
  </si>
  <si>
    <t>LINESTRING (49.47086109839933 23.773030877032042, 49.20243540279765 24.058572142252032)</t>
  </si>
  <si>
    <t>P1921</t>
  </si>
  <si>
    <t>https://www.gem.wiki/Abu_Ali-Berri_gas_pipeline</t>
  </si>
  <si>
    <t>Abu Ali-Berri Gas Pipeline</t>
  </si>
  <si>
    <t>Abu Ali Island</t>
  </si>
  <si>
    <t>LINESTRING (49.5578636052472 27.334204100728968, 49.6084103276218 26.95522835462947)</t>
  </si>
  <si>
    <t>P1922</t>
  </si>
  <si>
    <t>https://www.gem.wiki/Berri-Abu_Ali_gas_pipeline</t>
  </si>
  <si>
    <t>Berri-Abu Ali Gas Pipeline</t>
  </si>
  <si>
    <t>LINESTRING (49.6084103276218 26.95522835462947, 49.5578636052472 27.334204100728968)</t>
  </si>
  <si>
    <t>P1923</t>
  </si>
  <si>
    <t>https://www.gem.wiki/Berri-Abu_Ali_2_gas_pipeline</t>
  </si>
  <si>
    <t>Berri-Abu Ali 2 Gas Pipeline</t>
  </si>
  <si>
    <t>P1924</t>
  </si>
  <si>
    <t>https://www.gem.wiki/Aindar-Shedgum_gas_pipeline</t>
  </si>
  <si>
    <t>Aindar-Shedgum Gas Pipeline</t>
  </si>
  <si>
    <t>Aindar</t>
  </si>
  <si>
    <t>LINESTRING (49.423327430651014 25.948964603945925, 49.391472227260714 25.652049326483905)</t>
  </si>
  <si>
    <t>P1925</t>
  </si>
  <si>
    <t>https://www.gem.wiki/Depco-Abqaiq_gas_pipeline</t>
  </si>
  <si>
    <t>Depco-Abqaiq Gas Pipeline</t>
  </si>
  <si>
    <t>P1926</t>
  </si>
  <si>
    <t>P1950</t>
  </si>
  <si>
    <t>https://www.gem.wiki/Muscar-Soto_gas_pipeline</t>
  </si>
  <si>
    <t>Muscar-Soto Gas Pipeline</t>
  </si>
  <si>
    <t>PDVSA [unknown %]</t>
  </si>
  <si>
    <t>Muscar</t>
  </si>
  <si>
    <t>Monagas</t>
  </si>
  <si>
    <t>Maremare</t>
  </si>
  <si>
    <t>Anzoátegui</t>
  </si>
  <si>
    <t>Gasoducto Muscar-Soto</t>
  </si>
  <si>
    <t>https://www.gem.wiki/Gasoducto_Muscar-Soto</t>
  </si>
  <si>
    <t>LINESTRING (-63.563063 9.649531, -64.30033 9.230701)</t>
  </si>
  <si>
    <t>P1951</t>
  </si>
  <si>
    <t>https://www.gem.wiki/Santa_B%C3%A1rbara-Aguasay_Gas_Pipeline</t>
  </si>
  <si>
    <t>Santa Bárbara-Aguasay Gas Pipeline</t>
  </si>
  <si>
    <t>Santa Bárbara</t>
  </si>
  <si>
    <t>Aguasay</t>
  </si>
  <si>
    <t>Gasoducto Santa Bárbara-Aguasay</t>
  </si>
  <si>
    <t>https://www.gem.wiki/Gasoducto_Santa_B%C3%A1rbara-Aguasay</t>
  </si>
  <si>
    <t>LINESTRING (-63.56306 9.647507, -63.729921 9.423475)</t>
  </si>
  <si>
    <t>P1952</t>
  </si>
  <si>
    <t>https://www.gem.wiki/Santa_B%C3%A1rbara-Aguasay_2_Gas_Pipeline</t>
  </si>
  <si>
    <t>Santa Bárbara-Aguasay 2 Gas Pipeline</t>
  </si>
  <si>
    <t>Gasoducto Santa Bárbara-Aguasay 2</t>
  </si>
  <si>
    <t>https://www.gem.wiki/Gasoducto_Santa_B%C3%A1rbara-Aguasay_2</t>
  </si>
  <si>
    <t>P1997</t>
  </si>
  <si>
    <t>https://www.gem.wiki/Atlantic_Bridge_Gas_Pipeline</t>
  </si>
  <si>
    <t>Atlantic Bridge Gas Pipeline</t>
  </si>
  <si>
    <t>Enbridge [unknown %]</t>
  </si>
  <si>
    <t>Masschusetts</t>
  </si>
  <si>
    <t>P1998</t>
  </si>
  <si>
    <t>Spruce Ridge Program: Chetwynd Loop</t>
  </si>
  <si>
    <t>Chetwynd</t>
  </si>
  <si>
    <t>LINESTRING (-121.755081 55.624453, -121.479033 55.798153)</t>
  </si>
  <si>
    <t>P1999</t>
  </si>
  <si>
    <t>Spruce Ridge Program: Aitken Creek Loop</t>
  </si>
  <si>
    <t>Fort St. John</t>
  </si>
  <si>
    <t>LINESTRING (-121.840452 57.058001, -122.07018 57.169267)</t>
  </si>
  <si>
    <t>P2000</t>
  </si>
  <si>
    <t>Jackfish Lake Expansion</t>
  </si>
  <si>
    <t>Taylor</t>
  </si>
  <si>
    <t>MULTILINESTRING ((-120.6817 56.127661, -120.878458 56.0305), (-121.23858 55.839624, -121.551051 55.728751))</t>
  </si>
  <si>
    <t>P2001</t>
  </si>
  <si>
    <t>Wyndwood Pipeline Expansion Project</t>
  </si>
  <si>
    <t>Pine Valley</t>
  </si>
  <si>
    <t>Hasler Flat</t>
  </si>
  <si>
    <t>LINESTRING (-121.23858 55.839624, -121.551051 55.728751)</t>
  </si>
  <si>
    <t>P2003</t>
  </si>
  <si>
    <t>Chesapeake Utilities [unknown %]</t>
  </si>
  <si>
    <t>10, 16, 24</t>
  </si>
  <si>
    <t>Maryland, Delaware</t>
  </si>
  <si>
    <t>MULTILINESTRING ((-75.932363 39.96985, -75.906754 39.907477), (-75.883763 39.864746, -75.854979 39.788678), (-75.725604 39.458783, -75.731574 39.441462), (-75.561925 39.122559, -75.578331 39.117354, -75.588025 39.05239, -75.575585 39.04932), (-75.838944 39.740521, -75.848927 39.736276, -75.827524 39.689348, -75.801739 39.660922), (-75.725715 39.543415, -75.736454 39.539772, -75.727161 39.534466), (-75.584437 38.618304, -75.553224 38.561688), (-75.587822 38.702166, -75.587638 38.679714), (-75.587909 38.627501, -75.502602 38.599286, -75.324108 38.602599))</t>
  </si>
  <si>
    <t>P2004</t>
  </si>
  <si>
    <t>LINESTRING (-80.783914 39.832494, -80.717039 39.26094, -82.134625 38.433491)</t>
  </si>
  <si>
    <t>P2005</t>
  </si>
  <si>
    <t>2021 NGTL System, Alberta Gas Pipeline System</t>
  </si>
  <si>
    <t>Western Canadian Sedimentary Basin</t>
  </si>
  <si>
    <t>Clearwater County</t>
  </si>
  <si>
    <t>LINESTRING (-119.40906 55.454208, -119.404337 55.022512, -115.379159 52.419763)</t>
  </si>
  <si>
    <t>P2006</t>
  </si>
  <si>
    <t>2018 NGTL System, Alberta Gas Pipeline System</t>
  </si>
  <si>
    <t>P2007</t>
  </si>
  <si>
    <t>2019 NGTL System, Alberta Gas Pipeline System</t>
  </si>
  <si>
    <t>P2008</t>
  </si>
  <si>
    <t>TEMAX Pipeline Expansion</t>
  </si>
  <si>
    <t>LINESTRING (-80.871588 39.765924, -76.326575 39.726636)</t>
  </si>
  <si>
    <t>P2009</t>
  </si>
  <si>
    <t>Phase III (Eastern Panhandle Expansion Project)</t>
  </si>
  <si>
    <t>Potomac Pipeline, Mountaineer Gas Pipeline Phase III</t>
  </si>
  <si>
    <t>Maryland, Pennsylvania</t>
  </si>
  <si>
    <t>Berkeley Springs</t>
  </si>
  <si>
    <t>LINESTRING (-78.277067 39.72261, -78.266398 39.659034, -78.225976 39.625399)</t>
  </si>
  <si>
    <t>P2010</t>
  </si>
  <si>
    <t>Expansion, Phase I</t>
  </si>
  <si>
    <t>Engie [unknown %]</t>
  </si>
  <si>
    <t>Yucatan</t>
  </si>
  <si>
    <t>Cancún</t>
  </si>
  <si>
    <t>Quintana Roo</t>
  </si>
  <si>
    <t>Ampliación, Fase I</t>
  </si>
  <si>
    <t>LINESTRING (-88.201734 20.689874, -86.821128 21.159654)</t>
  </si>
  <si>
    <t>P2013</t>
  </si>
  <si>
    <t>Extension</t>
  </si>
  <si>
    <t>SCANA [unknown %]</t>
  </si>
  <si>
    <t>Franklinton</t>
  </si>
  <si>
    <t>Clayton</t>
  </si>
  <si>
    <t>LINESTRING (-78.456702 36.104163, -78.458698 35.649988)</t>
  </si>
  <si>
    <t>P2015</t>
  </si>
  <si>
    <t>Iran Gas Trunkline 7</t>
  </si>
  <si>
    <t>National Iranian Gas Company [unknown %]</t>
  </si>
  <si>
    <t>P2025</t>
  </si>
  <si>
    <t>Enhancement of Latvia-Lithuania interconnection (ELLI)</t>
  </si>
  <si>
    <t>AB Amber Grid [unknown %]; JSC Conexus Baltic Grid [unknown %]</t>
  </si>
  <si>
    <t>Augstsprieguma Tikls [unknown %]; EPSO-G [unknown %]; MM Capital Partners [unknown %]; Other [unknown %]</t>
  </si>
  <si>
    <t>P2027</t>
  </si>
  <si>
    <t>Expansion I</t>
  </si>
  <si>
    <t>Komsomolsk-on Amur</t>
  </si>
  <si>
    <t>Khabarovsk Krai</t>
  </si>
  <si>
    <t>Сахалин — Хабаровск — Владивосток</t>
  </si>
  <si>
    <t>LINESTRING (136.98221 50.52591, 136.981144 50.491289, 136.917801 50.459253, 136.888275 50.402391, 136.860809 50.384005, 136.864929 50.334066, 136.925354 50.238422, 137.106628 50.073006, 137.080536 49.987435, 137.086029 49.953429, 137.044659 49.891206, 137.132034 49.815613, 137.137527 49.796226, 137.139931 49.760976, 137.123623 49.651849, 137.093925 49.583895, 137.087059 49.571986, 137.069206 49.552166, 137.000027 49.525208, 136.981831 49.511501, 136.933937 49.502249, 136.924667 49.496452, 136.873169 49.491992, 136.828709 49.456967, 136.767254 49.438217, 136.69395 49.40282, 136.547699 49.342125, 136.519203 49.321653, 136.513367 49.317625, 136.493969 49.25817, 136.498518 49.149545, 136.516457 49.121916, 136.523967 49.066275, 136.505642 49.030553, 136.483326 49.008037, 136.44865 48.989455, 136.370716 48.958806, 136.351318 48.943024, 136.381359 48.912572, 136.28583 48.901515, 136.269865 48.901007, 136.252184 48.909131, 136.238365 48.919341, 136.176739 48.89243, 136.150818 48.893164, 136.115112 48.881764, 136.014004 48.865562, 135.962591 48.859012, 135.95006 48.852574, 135.951862 48.841051, 135.950146 48.829639, 135.933752 48.800532, 135.921736 48.796631, 135.915041 48.792334, 135.902681 48.790468, 135.8953 48.7847, 135.894442 48.781533, 135.884914 48.772313, 135.88131 48.765977, 135.877705 48.76626, 135.87101 48.755453, 135.868521 48.754774, 135.862513 48.744531, 135.803032 48.72115, 135.78372 48.722736, 135.742521 48.72115, 135.740891 48.719508, 135.717115 48.718489, 135.707932 48.695663, 135.702953 48.694303, 135.701237 48.689997, 135.693169 48.684048, 135.701237 48.67464, 135.681067 48.651454, 135.671883 48.643969, 135.670595 48.639772, 135.650682 48.617988, 135.648108 48.612087, 135.629568 48.598011, 135.599442 48.59364, 135.587425 48.582626, 135.588884 48.578254, 135.584421 48.567691, 135.569143 48.547581, 135.56262 48.540875, 135.553608 48.539966, 135.536785 48.524563, 135.507259 48.526041, 135.469151 48.498521, 135.392075 48.472011, 135.280838 48.466092, 135.13042 48.37421)</t>
  </si>
  <si>
    <t>P2030</t>
  </si>
  <si>
    <t>Kyrgyzstan</t>
  </si>
  <si>
    <t>Turkmenistan, Uzbekistan, Tajikistan, Kyrgyzstan, China</t>
  </si>
  <si>
    <t>https://www.gem.wiki/Central_Asia%E2%80%93China_Gas_Pipeline</t>
  </si>
  <si>
    <t>Central Asia–China Gas Pipeline</t>
  </si>
  <si>
    <t>Line D</t>
  </si>
  <si>
    <t>中亚管线D</t>
  </si>
  <si>
    <t>Qazaqgaz [unknown %]; Trans-Asia Gas Pipeline Co., Ltd. [unknown %]; Turkmengaz [unknown %]</t>
  </si>
  <si>
    <t>China Reform Holdings Corp. [unknown %]; Qazaqgaz [unknown %]; Turkmengaz [unknown %]</t>
  </si>
  <si>
    <t>Galkynysh gas field</t>
  </si>
  <si>
    <t>Irkeshtam</t>
  </si>
  <si>
    <t>LINESTRING (62.3792257 37.2726395, 71.7579738 39.940996, 73.9261698 39.69572899)</t>
  </si>
  <si>
    <t>P2031</t>
  </si>
  <si>
    <t>Jemena [unknown %]</t>
  </si>
  <si>
    <t>SP Group [unknown %]; State Grid Corporation of China [unknown %]</t>
  </si>
  <si>
    <t>Longreach</t>
  </si>
  <si>
    <t>LINESTRING (139.485 -20.788, 139.562 -20.867, 139.611 -21.018, 139.718 -21.232, 139.772 -21.364, 140.104 -21.66, 140.314 -21.805, 140.524 -21.945, 140.71 -22.104, 140.905 -22.203, 141.12 -22.267, 141.34 -22.443, 141.516 -22.542, 141.721 -22.695, 141.921 -22.826, 142.092 -22.934, 142.332 -23.038, 142.596 -23.082, 142.801 -23.163, 143.025 -23.222, 143.431 -23.495, 143.69 -23.607, 143.905 -23.715, 144.139 -23.782, 144.383 -23.777, 144.616 -23.78, 144.74 -23.796)</t>
  </si>
  <si>
    <t>P2035</t>
  </si>
  <si>
    <t>https://www.gem.wiki/Pioneer_Gas_Pipeline</t>
  </si>
  <si>
    <t>Pioneer Gas Pipeline</t>
  </si>
  <si>
    <t>Tidewater Midstream [50.00%]; TransAlta [50.00%]</t>
  </si>
  <si>
    <t>Brazeau County</t>
  </si>
  <si>
    <t>Wabamum</t>
  </si>
  <si>
    <t>P2036</t>
  </si>
  <si>
    <t>https://www.gem.wiki/Bulgaria_National_Gas_Transmission_Network</t>
  </si>
  <si>
    <t>Bulgaria National Gas Transmission Network</t>
  </si>
  <si>
    <t>P2039</t>
  </si>
  <si>
    <t>Natural Gas Pipeline Co of America LLC (NGPL) [100.00%]</t>
  </si>
  <si>
    <t>MULTILINESTRING ((-87.630028 41.876768, -88.79675 38.850532, -89.503244 37.622804, -94.478977 33.254689, -95.372534 29.77677, -93.946487 29.884819, -93.41662 30.243348, -92.081162 29.882927), (-95.372534 29.77677, -97.909973 27.782797))</t>
  </si>
  <si>
    <t>P2040</t>
  </si>
  <si>
    <t>Charlestown</t>
  </si>
  <si>
    <t>LINESTRING (-81.640113 38.38004, -81.622947 38.382193, -81.605781 38.377887, -81.587242 38.36389, -81.575569 38.347737, -81.571449 38.333734, -81.575569 38.321884, -81.582092 38.317574, -81.600288 38.309493, -81.647323 38.311109, -81.684402 38.329964, -81.694702 38.358506, -81.680282 38.392419, -81.640113 38.38004)</t>
  </si>
  <si>
    <t>P2041</t>
  </si>
  <si>
    <t>Rattlesnake Expansion</t>
  </si>
  <si>
    <t>Energy Spectrum Securities [unknown %]</t>
  </si>
  <si>
    <t>LINESTRING (-105.569562 39.761534, -104.870029 40.071521)</t>
  </si>
  <si>
    <t>P2046</t>
  </si>
  <si>
    <t>Reverse Flow</t>
  </si>
  <si>
    <t>Schwörstadt</t>
  </si>
  <si>
    <t>P2047</t>
  </si>
  <si>
    <t>https://www.gem.wiki/Iwafune-Oki_Gas_Pipeline</t>
  </si>
  <si>
    <t>Iwafune-Oki Gas Pipeline</t>
  </si>
  <si>
    <t>JAPEX [unknown %]</t>
  </si>
  <si>
    <t>Iwafune-Oki Oil and Gas Field</t>
  </si>
  <si>
    <t>Offshore Japan</t>
  </si>
  <si>
    <t>LINESTRING (139.368733 38.170227, 139.092016 38.226415)</t>
  </si>
  <si>
    <t>P2049</t>
  </si>
  <si>
    <t>https://www.gem.wiki/Gasoducto_del_Pacifico</t>
  </si>
  <si>
    <t>Gasoducto del Pacifico</t>
  </si>
  <si>
    <t>Naturgy [56.70%]; Enap [unknown %]; Trigas [unknown %]; YPF [unknown %]</t>
  </si>
  <si>
    <t>Loma La Lata gasfield</t>
  </si>
  <si>
    <t>Bío Bío</t>
  </si>
  <si>
    <t>Gasoducto del Pacífico</t>
  </si>
  <si>
    <t>https://www.gem.wiki/Gasoducto_del_Pac%C3%ADfico</t>
  </si>
  <si>
    <t>P0996</t>
  </si>
  <si>
    <t>https://www.gem.wiki/Chuo_Trunk_Line_Gas_Pipeline</t>
  </si>
  <si>
    <t>Chuo Trunk Line Gas Pipeline</t>
  </si>
  <si>
    <t>Chuo Trunk Line Gas Pipeline Phase one and Phase 2</t>
  </si>
  <si>
    <t>Soka</t>
  </si>
  <si>
    <t>Saitama</t>
  </si>
  <si>
    <t>LINESTRING (139.875835 35.694463, 139.733036 35.83453)</t>
  </si>
  <si>
    <t>P2052</t>
  </si>
  <si>
    <t>https://www.gem.wiki/Bir_Rebaa_Nord%E2%80%93Menzel_Ledjmet_Est_Gas_Pipeline</t>
  </si>
  <si>
    <t>Bir Rebaa Nord–Menzel Ledjmet Est Gas Pipeline</t>
  </si>
  <si>
    <t>https://www.spglobal.com/marketintelligence/en/news-insights/latest-news-headlines/eni-sonatrach-complete-gas-pipeline-in-algeria-57398317</t>
  </si>
  <si>
    <t>Bir Rebaa Nord gas field</t>
  </si>
  <si>
    <t>Menzel Ledjmet Est gas field</t>
  </si>
  <si>
    <t>Illizi</t>
  </si>
  <si>
    <t>LINESTRING (8.5690428 31.2312522, 7.6920558 30.1862002)</t>
  </si>
  <si>
    <t>P2053</t>
  </si>
  <si>
    <t>https://www.gem.wiki/GR-5_Gas_Pipeline</t>
  </si>
  <si>
    <t>GR-5 Gas Pipeline</t>
  </si>
  <si>
    <t>Reggane gas fields</t>
  </si>
  <si>
    <t>انبوب الغاز (جي أر5)</t>
  </si>
  <si>
    <t>LINESTRING (0.765564 27.16603, 0.862661 28.511334, 2.215693 29.090823, 2.9551 30.4219, 3.0778 31.0414, 3.0446 31.4653, 2.9625 31.8042, 3.1114 32.6619, 3.2516 32.9361)</t>
  </si>
  <si>
    <t>P2054</t>
  </si>
  <si>
    <t>https://www.gem.wiki/GR-7_Gas_Pipeline</t>
  </si>
  <si>
    <t>GR-7 Gas Pipeline</t>
  </si>
  <si>
    <t>PC04-GR5-Hassi R'Mel gas pipeline</t>
  </si>
  <si>
    <t>Hassi Tidjerane gas fields</t>
  </si>
  <si>
    <t>El Bayadh</t>
  </si>
  <si>
    <t>انبوب الغاز (جي أر7)</t>
  </si>
  <si>
    <t>LINESTRING (0.4929102 30.8570627, 1.8558497 30.7727772, 2.9551 30.4219, 3.0778 31.0414, 3.0446 31.4653, 2.9625 31.8042, 3.1114 32.6619, 3.2516 32.9361)</t>
  </si>
  <si>
    <t>P2055</t>
  </si>
  <si>
    <t>Algeria, Spain</t>
  </si>
  <si>
    <t>https://www.gem.wiki/Medgaz_Gas_Pipeline</t>
  </si>
  <si>
    <t>Medgaz Gas Pipeline</t>
  </si>
  <si>
    <t>Sonatrach [51.00%]; Naturgy Energy Group [49.00%]</t>
  </si>
  <si>
    <t>24, 48</t>
  </si>
  <si>
    <t>https://www.hydrocarbons-technology.com/projects/medgaz-pipeline/, https://www.nsenergybusiness.com/projects/medgaz-gas-pipeline/</t>
  </si>
  <si>
    <t>انبوب ميدغاز</t>
  </si>
  <si>
    <t>LINESTRING (3.2516 32.9361, 2.0971467 34.1087281, 0.1388036 35.3968053, -1.3902997 35.3033015, -2.4761491 36.8330583)</t>
  </si>
  <si>
    <t>P2056</t>
  </si>
  <si>
    <t>Capacity expansion</t>
  </si>
  <si>
    <t>P2057</t>
  </si>
  <si>
    <t>https://www.gem.wiki/Rocade_East-West_Gas_Pipeline</t>
  </si>
  <si>
    <t>Rocade East-West Gas Pipeline</t>
  </si>
  <si>
    <t>Gazoduc Rocade Est-Ouest (GREO)</t>
  </si>
  <si>
    <t>Société Algérienne de Gestion du Réseau de Transport du Gaz (GRTG) [unknown %]</t>
  </si>
  <si>
    <t>Government of Togo [unknown %]</t>
  </si>
  <si>
    <t>LINESTRING (7.152264 35.42903, -0.62502 35.212171)</t>
  </si>
  <si>
    <t>P2058</t>
  </si>
  <si>
    <t>https://www.gem.wiki/Tidikelt-Tamenrasset_Gas_Pipeline</t>
  </si>
  <si>
    <t>Tidikelt-Tamenrasset Gas Pipeline</t>
  </si>
  <si>
    <t>Gazoduc Tidikelt - Tamenrasset</t>
  </si>
  <si>
    <t>https://www.aps.dz/ar/economie/56650-2018-05-12-14-45-34</t>
  </si>
  <si>
    <t xml:space="preserve">Tidikelt </t>
  </si>
  <si>
    <t>Salah</t>
  </si>
  <si>
    <t>Tamenrasset</t>
  </si>
  <si>
    <t xml:space="preserve">Tamanrasset </t>
  </si>
  <si>
    <t>انبوب غاز عين صالح – تمنراست</t>
  </si>
  <si>
    <t>LINESTRING (2.01098 25.456563, 2.065706 25.410943, 2.133061 25.393197, 2.423529 25.309503, 2.492287 25.296817, 2.663481 25.251136, 2.809417 25.207978, 2.865546 25.194011, 3.006571 25.122885, 3.083748 25.03519, 3.130055 24.977964, 3.152506 24.941071, 3.184781 24.878709, 3.2367 24.811221, 3.277394 24.779375, 3.359483 24.713745, 3.453499 24.634688, 3.499805 24.618105, 3.578386 24.563239, 3.680822 24.503241, 3.788871 24.45088, 3.920774 24.38316, 4.086355 24.30901, 4.129855 24.294943, 4.171952 24.288548, 4.24948 24.257208, 4.298593 24.245693, 4.356126 24.221381, 4.458562 24.176584, 4.52311 24.140735, 4.645191 24.074131, 4.70974 24.015184, 4.774288 23.956209, 4.799546 23.94595, 4.826208 23.911319, 4.962321 23.732888, 4.979159 23.686635, 5.019853 23.581222, 5.078789 23.461564, 5.133515 23.402339, 5.205781 23.315384, 5.312426 23.216122, 5.376975 23.174848, 5.448539 23.125819, 5.506072 23.107751, 5.546766 23.0871, 5.639379 23.04966, 5.809169 22.99671)</t>
  </si>
  <si>
    <t>P2059</t>
  </si>
  <si>
    <t>https://www.gem.wiki/Ilizi-Djanet_Gas_Pipeline</t>
  </si>
  <si>
    <t>Ilizi-Djanet Gas Pipeline</t>
  </si>
  <si>
    <t>Ilizi</t>
  </si>
  <si>
    <t xml:space="preserve">Illizi </t>
  </si>
  <si>
    <t>Djanet</t>
  </si>
  <si>
    <t>أنبوب غاز  إليزي- جانت</t>
  </si>
  <si>
    <t>LINESTRING (8.482108 26.474467, 9.495597 24.55108)</t>
  </si>
  <si>
    <t>P2060</t>
  </si>
  <si>
    <t>https://www.gem.wiki/Hassi_Messaoud-El_Oued_gas_pipeline</t>
  </si>
  <si>
    <t>Hassi Messaoud-El Oued gas pipeline</t>
  </si>
  <si>
    <t>https://www.meed.com/algeria-plans-1446km-gas-pipeline-expansion/</t>
  </si>
  <si>
    <t>LINESTRING (5.7458 30.982303, 6.084534 33.101543, 6.849926 33.358046)</t>
  </si>
  <si>
    <t>P2061</t>
  </si>
  <si>
    <t>https://www.gem.wiki/El_Oued-Taleb_El_Arbi_Gas_Pipeline</t>
  </si>
  <si>
    <t>El Oued-Taleb El Arbi Gas Pipeline</t>
  </si>
  <si>
    <t>El Oued-Taleb Larbi Gas Pipeline</t>
  </si>
  <si>
    <t>LINESTRING (6.85682 33.368489, 6.988211 33.559386, 7.514058 33.728865)</t>
  </si>
  <si>
    <t>P2062</t>
  </si>
  <si>
    <t>Gasoducto de la Costa</t>
  </si>
  <si>
    <t>P2063</t>
  </si>
  <si>
    <t>https://www.gem.wiki/Santa_Cruz_Norte_Gas_Pipeline</t>
  </si>
  <si>
    <t>Santa Cruz Norte Gas Pipeline</t>
  </si>
  <si>
    <t>Distrigas SA [unknown %]</t>
  </si>
  <si>
    <t>to be determined</t>
  </si>
  <si>
    <t>Pico Truncado</t>
  </si>
  <si>
    <t>Los Antiguos</t>
  </si>
  <si>
    <t>Gasoducto Santa Cruz Norte</t>
  </si>
  <si>
    <t>https://www.gem.wiki/Gasoducto_Santa_Cruz_Norte</t>
  </si>
  <si>
    <t>LINESTRING (-71.62 -46.553, -71.473 -46.604, -71.136 -46.608, -70.56 -46.464, -70.428 -46.434, -70.104 -46.459, -69.688 -46.613, -69.131 -46.559, -68.698 -46.532, -67.939772 -46.662132)</t>
  </si>
  <si>
    <t>P2064</t>
  </si>
  <si>
    <t>https://www.gem.wiki/Santa_Cruz_Sur_Gas_Pipeline</t>
  </si>
  <si>
    <t>Santa Cruz Sur Gas Pipeline</t>
  </si>
  <si>
    <t>Campo Boleadoras</t>
  </si>
  <si>
    <t>El Calafate</t>
  </si>
  <si>
    <t>Gasoducto Santa Cruz Sur</t>
  </si>
  <si>
    <t>Fase 1</t>
  </si>
  <si>
    <t>https://www.gem.wiki/Gasoducto_Santa_Cruz_Sur</t>
  </si>
  <si>
    <t>LINESTRING (-69.52321748692073 -50.76508568620942, -70.777547 -50.789336, -70.780876 -51.029725, -72.264484 -50.338929)</t>
  </si>
  <si>
    <t>P2065</t>
  </si>
  <si>
    <t>Phase 2</t>
  </si>
  <si>
    <t>Esperanza</t>
  </si>
  <si>
    <t>El Turbio</t>
  </si>
  <si>
    <t>Fase 2</t>
  </si>
  <si>
    <t>LINESTRING (-70.780876 -51.029725, -72.196212 -51.169174, -72.231113 -51.547982, -72.213205 -51.586839, -72.088506 -51.682146)</t>
  </si>
  <si>
    <t>P2066</t>
  </si>
  <si>
    <t>https://www.gem.wiki/Northeast_Argentina_Gas_Pipeline</t>
  </si>
  <si>
    <t>Northeast Argentina Gas Pipeline</t>
  </si>
  <si>
    <t>Northern segment</t>
  </si>
  <si>
    <t>GNEA Pipeline</t>
  </si>
  <si>
    <t>Enarsa (Energía Argentina SA) [100.00%]</t>
  </si>
  <si>
    <t>Enarsa (Energía Argentina SA) [unknown %]</t>
  </si>
  <si>
    <t>Vaca Muerta shale fields</t>
  </si>
  <si>
    <t>Río Bermejo</t>
  </si>
  <si>
    <t>Formosa</t>
  </si>
  <si>
    <t>Gasoducto del Noreste Argentino</t>
  </si>
  <si>
    <t>Norte</t>
  </si>
  <si>
    <t>https://www.gem.wiki/Gasoducto_del_Noreste_Argentino</t>
  </si>
  <si>
    <t>LINESTRING (-58.633935 -26.660857, -58.185572 -26.156573, -63.6856136 -22.2008677)</t>
  </si>
  <si>
    <t>P2068</t>
  </si>
  <si>
    <t>https://www.gem.wiki/San_Sebasti%C3%A1n-Ushuaia_Gas_Pipeline</t>
  </si>
  <si>
    <t>San Sebastián-Ushuaia Gas Pipeline</t>
  </si>
  <si>
    <t>Gasoducto Fueguino</t>
  </si>
  <si>
    <t>Camuzzi Gas del Sur SA [100.00%]</t>
  </si>
  <si>
    <t>San Sebastián</t>
  </si>
  <si>
    <t>Ushuaia</t>
  </si>
  <si>
    <t>Gasoducto San Sebastián-Ushuaia</t>
  </si>
  <si>
    <t>https://www.gem.wiki/Gasoducto_San_Sebasti%C3%A1n-Ushuaia</t>
  </si>
  <si>
    <t>LINESTRING (-68.151616 -53.363194, -68.093535 -53.503882, -67.805144 -53.82367, -66.95729986 -54.25199031, -67.00151682 -54.38352573, -67.191244 -54.510112, -67.36851756 -54.66068508, -67.46579486 -54.75010202, -67.59402404 -54.72457444, -67.77531356 -54.72457444, -67.87259087 -54.7909127, -68.317568 -54.809613)</t>
  </si>
  <si>
    <t>P2069</t>
  </si>
  <si>
    <t>https://www.gem.wiki/Amadeus_to_Moomba_Gas_Pipeline</t>
  </si>
  <si>
    <t>Amadeus to Moomba Gas Pipeline</t>
  </si>
  <si>
    <t>AMGP</t>
  </si>
  <si>
    <t>CKI Group [unknown %]</t>
  </si>
  <si>
    <t>Moomba</t>
  </si>
  <si>
    <t>LINESTRING (132.242532 -23.83271, 140.205795 -28.11552)</t>
  </si>
  <si>
    <t>P2070</t>
  </si>
  <si>
    <t>https://www.gem.wiki/Barossa_Export_Pipeline</t>
  </si>
  <si>
    <t>Barrosa Export Pipeline</t>
  </si>
  <si>
    <t>ConocoPhillips [37.50%]; SK E&amp;S Australia [37.50%]; Santos Limited [25.00%]</t>
  </si>
  <si>
    <t>Barossa field</t>
  </si>
  <si>
    <t>LINESTRING (130.321607 -9.817829, 129.828964 -12.051674)</t>
  </si>
  <si>
    <t>P2071</t>
  </si>
  <si>
    <t>https://www.gem.wiki/Blue_Energy_Bowen_Gas_Pipeline</t>
  </si>
  <si>
    <t>Blue Energy Bowen Gas Pipeline</t>
  </si>
  <si>
    <t>Moranbah to Rolleston Gas Pipeline</t>
  </si>
  <si>
    <t>Blue Energy [unknown %]</t>
  </si>
  <si>
    <t>LINESTRING (148.003325 -21.979008, 148.84317 -24.709099)</t>
  </si>
  <si>
    <t>P2072</t>
  </si>
  <si>
    <t>https://www.gem.wiki/BSOPP_Gas_Pipeline</t>
  </si>
  <si>
    <t>BSOPP Gas Pipeline</t>
  </si>
  <si>
    <t>Kalium Lakes Ltd. [unknown %]</t>
  </si>
  <si>
    <t>Kumarina</t>
  </si>
  <si>
    <t>Newman</t>
  </si>
  <si>
    <t>LINESTRING (119.615202 -24.70743, 120.349091 -24.753993)</t>
  </si>
  <si>
    <t>P2073</t>
  </si>
  <si>
    <t>https://www.gem.wiki/Eastern_Gas_Pipeline</t>
  </si>
  <si>
    <t>Eastern Gas Pipeline</t>
  </si>
  <si>
    <t>Sydney to Hunter Valley extension</t>
  </si>
  <si>
    <t>Sydney</t>
  </si>
  <si>
    <t>Kurri Kurri</t>
  </si>
  <si>
    <t>LINESTRING (150.864407 -33.832022, 151.6831 -32.82622)</t>
  </si>
  <si>
    <t>P2074</t>
  </si>
  <si>
    <t>https://www.gem.wiki/Equus_Gas_Pipeline</t>
  </si>
  <si>
    <t>Equus Gas Pipeline</t>
  </si>
  <si>
    <t>Western Gas [unknown %]</t>
  </si>
  <si>
    <t>Carnavoran Basin</t>
  </si>
  <si>
    <t>Onslow</t>
  </si>
  <si>
    <t>LINESTRING (114.097159 -20.757012, 115.116667 -21.633333)</t>
  </si>
  <si>
    <t>P2077</t>
  </si>
  <si>
    <t>https://www.gem.wiki/Port_Kembla_to_EGP_Gas_Pipeline</t>
  </si>
  <si>
    <t>Port Kembla to EGP Gas Pipeline</t>
  </si>
  <si>
    <t>LINESTRING (150.8893602 -34.4814133, 150.797282 -34.403565)</t>
  </si>
  <si>
    <t>P2078</t>
  </si>
  <si>
    <t>https://www.gem.wiki/Moheshkhali_Zero_Point-CTMS_Gas_Pipeline</t>
  </si>
  <si>
    <t>Moheshkhali Zero Point-CTMS Gas Pipeline</t>
  </si>
  <si>
    <t>LINESTRING (91.874987 22.333524, 91.953564 22.3331024)</t>
  </si>
  <si>
    <t>P2079</t>
  </si>
  <si>
    <t>https://www.gem.wiki/North-South_Gas_Transmission_Pipeline</t>
  </si>
  <si>
    <t>North-South Gas Transmission Pipeline</t>
  </si>
  <si>
    <t>Kailashtilla Gas Field</t>
  </si>
  <si>
    <t>LINESTRING (92.024692 24.867817, 90.995529 24.029072)</t>
  </si>
  <si>
    <t>P2082</t>
  </si>
  <si>
    <t>https://www.gem.wiki/Vega_Pl%C3%A9yade_Gas_Pipeline</t>
  </si>
  <si>
    <t>Vega Pléyade Gas Pipeline</t>
  </si>
  <si>
    <t>TotalEnergies SE [37.50%]; Wintershall Energía [37.50%]; Pan American Energy [25.00%]</t>
  </si>
  <si>
    <t>TotalEnergies SE [37.50%]; Wintershall Dea AG [37.50%]; Pan American Energy [25.00%]</t>
  </si>
  <si>
    <t>Vega Pléyade offshore gas field</t>
  </si>
  <si>
    <t>Vega Pléyade platform</t>
  </si>
  <si>
    <t>Rio Cullen and Cañadon Alfa gas processing plants</t>
  </si>
  <si>
    <t>Gasoducto Vega Pléyade</t>
  </si>
  <si>
    <t>https://www.gem.wiki/Gasoducto_Vega_Pl%C3%A9yade</t>
  </si>
  <si>
    <t>LINESTRING (-67.679 -53.395, -68.352389 -52.897239, -68.564841 -52.73997)</t>
  </si>
  <si>
    <t>P2083</t>
  </si>
  <si>
    <t>Croatia, Bosnia and Herzegovina</t>
  </si>
  <si>
    <t>https://www.gem.wiki/Licka_Jesenica-Trzac-Bosanska_Krupa_gas_pipeline</t>
  </si>
  <si>
    <t>Licka Jesenica-Trzac-Bosanska Krupa gas pipeline</t>
  </si>
  <si>
    <t>Bosnia and Herzegovina–Croatia West Interconnection Gas Pipeline</t>
  </si>
  <si>
    <t>Licka Jesenica</t>
  </si>
  <si>
    <t>Bosanska Krupa</t>
  </si>
  <si>
    <t>LINESTRING (15.438384 44.9974586, 15.567382 44.9768816, 15.778428 44.9818748, 15.808387 44.9818748, 15.890608 45.0101696, 16.151398 44.8828124)</t>
  </si>
  <si>
    <t>P2084</t>
  </si>
  <si>
    <t>Replacement</t>
  </si>
  <si>
    <t>P2085</t>
  </si>
  <si>
    <t>https://www.gem.wiki/Balkan_Stream_gas_pipeline</t>
  </si>
  <si>
    <t>Balkan Stream Gas Pipeline</t>
  </si>
  <si>
    <t>Kireevo</t>
  </si>
  <si>
    <t>Pliska</t>
  </si>
  <si>
    <t>LINESTRING (27.4249001 43.3200989, 27.3959999 43.3506012, 27.3279991 43.3566017, 27.3055992 43.3728981, 27.2870007 43.4053993, 27.2143002 43.4480019, 27.1639996 43.4310989, 27.1249008 43.4379005, 27.0597 43.4412994, 26.9655991 43.446701, 26.9255009 43.4696999, 26.9125004 43.4608994, 26.8733997 43.4487, 26.8519001 43.4547997, 26.8043995 43.4357986, 26.7625008 43.4432983, 26.7168007 43.4183006, 26.5835991 43.4236984, 26.4606991 43.4039993, 26.3925991 43.4053993, 26.3554001 43.4006996, 26.2054005 43.3769989, 26.1541996 43.3755989, 26.1121998 43.3863983, 25.9946003 43.3618011, 25.9356003 43.3504982, 25.8491001 43.3452988, 25.7000008 43.3283997, 25.6749992 43.3227997, 25.5181999 43.3184013, 25.4258003 43.3241005, 25.4018993 43.3202019, 25.3602009 43.3088989, 25.3160992 43.3088989, 25.2420998 43.3132019, 25.1896992 43.3059006, 25.0930996 43.3075981, 25.0363998 43.3214989, 25.0048008 43.3205986, 24.9381008 43.3084984, 24.8754997 43.2949982, 24.8349991 43.2966995, 24.8108997 43.3064003, 24.7677994 43.3003006, 24.6499004 43.280899, 24.6296997 43.2806015, 24.6007004 43.2961006, 24.5778008 43.2905998, 24.5361996 43.2872009, 24.5216999 43.2724991, 24.5014992 43.2672005, 24.4815998 43.2675018, 24.3778 43.3107986, 24.3745995 43.3619003, 24.3665009 43.3735008, 24.3323002 43.4049988, 24.3393993 43.4359016, 24.3316994 43.4701004, 24.3185997 43.4822006, 24.2863998 43.4847984, 24.2481995 43.5138016, 24.2404995 43.5306015, 24.0501003 43.6046982, 24.0023994 43.6094017, 23.8806 43.6362, 23.8026009 43.6439018, 23.6574001 43.6815987, 23.5233002 43.6936989, 23.4496994 43.7153015, 23.4281998 43.7118988, 23.2483997 43.6599998, 23.1273003 43.6627007, 23.0807991 43.6977997, 23.0379009 43.7018013, 23.0006008 43.6897011, 22.9643002 43.7010994, 22.9139996 43.6997986, 22.8516006 43.7274017, 22.8516006 43.7456017, 22.8034992 43.7794991, 22.7880001 43.7821007, 22.7516994 43.7834015, 22.7015991 43.7985001, 22.6341991 43.8170013, 22.5995998 43.8182983, 22.5704002 43.8362999, 22.5454006 43.8667984, 22.5156002 43.8656006, 22.4321003 43.8401985, 22.4099998 43.8286018, 22.3740005 43.838501)</t>
  </si>
  <si>
    <t>P2086</t>
  </si>
  <si>
    <t>https://www.gem.wiki/Chiren-Kozloduy-Oryahovo_Gas_Pipeline</t>
  </si>
  <si>
    <t>Chiren-Kozloduy-Oryahovo Gas Pipeline</t>
  </si>
  <si>
    <t>Chiren gas field</t>
  </si>
  <si>
    <t>Chiren</t>
  </si>
  <si>
    <t>Oryahovo</t>
  </si>
  <si>
    <t>LINESTRING (23.59354 43.329518, 23.718602 43.773953, 23.959255 43.725686)</t>
  </si>
  <si>
    <t>P2087</t>
  </si>
  <si>
    <t>https://www.gem.wiki/Dobrish-Silistra_Gas_Pipeline</t>
  </si>
  <si>
    <t>Dobrish-Silistra Gas Pipeline</t>
  </si>
  <si>
    <t>Dobrish</t>
  </si>
  <si>
    <t>Silistra</t>
  </si>
  <si>
    <t>LINESTRING (27.7418803 43.575254, 27.2197371 44.1112063)</t>
  </si>
  <si>
    <t>P2088</t>
  </si>
  <si>
    <t>https://www.gem.wiki/Razlog-Bansko_Gas_Pipeline</t>
  </si>
  <si>
    <t>Razlog - Bansko Gas Pipeline</t>
  </si>
  <si>
    <t>Simitli-Razlog-Bansko Gas Pipeline</t>
  </si>
  <si>
    <t>Razlog</t>
  </si>
  <si>
    <t>LINESTRING (23.464961472238123 41.8860262532378, 23.485198666213385 41.839536144527926)</t>
  </si>
  <si>
    <t>P2089</t>
  </si>
  <si>
    <t>https://www.gem.wiki/Panagiurishte-Pirdop_Gas_Pipeline</t>
  </si>
  <si>
    <t>Panagiurishte-Pirdop Gas Pipeline</t>
  </si>
  <si>
    <t xml:space="preserve">преносния газопровод до Панагюрище и Пирдоп </t>
  </si>
  <si>
    <t>LINESTRING (24.1263937 42.3120574, 24.1197223 42.320619, 24.1211717 42.3290849, 24.1187583 42.3328147, 24.1163449 42.3398355, 24.1112987 42.3426877, 24.1042779 42.3466369, 24.0963795 42.3479533, 24.0917721 42.3512443, 24.0922109 42.3587039, 24.0961601 42.3657247, 24.1073495 42.3837155, 24.1031809 42.3924915, 24.1034003 42.3990735, 24.1112987 42.4036809, 24.1205135 42.4060943, 24.1314835 42.4089465, 24.1424535 42.4120181, 24.1534235 42.4091659, 24.1578115 42.4107017, 24.1615413 42.4179419, 24.1628577 42.4234269, 24.1602249 42.4304477, 24.1604443 42.4335193, 24.1714143 42.4431729, 24.1685621 42.4486579, 24.1681233 42.4545817, 24.1696341 42.4648748, 24.1620371 42.4718062, 24.1567148 42.4835947, 24.1442277 42.4933407, 24.1349386 42.4950158, 24.1317406 42.4994319, 24.1462074 42.5132896, 24.1585422 42.514051, 24.1632629 42.5184671, 24.1618924 42.5311065, 24.1670699 42.53735, 24.1711815 42.5461823, 24.1699633 42.5557761, 24.1593036 42.5632378, 24.1526032 42.567654, 24.1524509 42.5706996, 24.1560484 42.5768342, 24.1589079 42.6035231, 24.1555718 42.6113073, 24.1525534 42.6222688, 24.1573193 42.6284644, 24.1652624 42.6302119, 24.167406 42.6370661, 24.1645038 42.6426528, 24.1563778 42.650416, 24.1531855 42.6599206, 24.1494127 42.6599206, 24.1396179 42.6617344, 24.1367158 42.6673936, 24.1388924 42.679365, 24.1469458 42.6974308)</t>
  </si>
  <si>
    <t>P2090</t>
  </si>
  <si>
    <t>https://www.gem.wiki/AGRS_Graf_Ignatievo_to_Hisarya%E2%80%93Banya%E2%80%93Karlovo-Sopot_Gas_Pipeline</t>
  </si>
  <si>
    <t>AGRS Graf Ignatievo to Hisarya–Banya–Karlovo-Sopot Gas Pipeline</t>
  </si>
  <si>
    <t>Graf Ignatievo</t>
  </si>
  <si>
    <t>Sopot</t>
  </si>
  <si>
    <t>MULTILINESTRING ((24.688719 42.272237, 24.711125 42.30776, 24.724242 42.325248, 24.736265 42.373887, 24.744462 42.404492, 24.746648 42.455317, 24.749928 42.491933, 24.751021 42.525816, 24.750474 42.5597, 24.747195 42.578281, 24.743369 42.595769, 24.738997 42.608339, 24.735172 42.62692, 24.72916 42.644955), (24.749928 42.491933, 24.7018 42.4892))</t>
  </si>
  <si>
    <t>P2091</t>
  </si>
  <si>
    <t>https://www.gem.wiki/Varna-Oryahovo_Gas_Pipeline</t>
  </si>
  <si>
    <t>Varna-Oryahovo Gas Pipeline</t>
  </si>
  <si>
    <t>LINESTRING (23.958000906374338 43.745061453488155, 23.956037 43.721184, 24.145662 43.623662, 24.291945 43.55323, 24.386757 43.369023, 24.576382 43.336516, 24.798515 43.314844, 25.134423 43.355478, 25.359264 43.369023, 25.467621 43.409657, 25.586814 43.390694, 25.668082 43.393403, 25.817074 43.412366, 26.100503 43.457997, 26.42391 43.486184, 26.550009 43.492118, 26.65979 43.495085, 26.760669 43.486184, 26.863032 43.526239, 26.971329 43.53069, 27.27545 43.524756, 27.362978 43.463931, 27.441604 43.37492, 27.419351 43.322997, 27.437154 43.284426, 27.483143 43.245854, 27.592923 43.202832, 27.707154 43.187997, 27.797649 43.187997, 27.937099 43.170195)</t>
  </si>
  <si>
    <t>P2097</t>
  </si>
  <si>
    <t>https://www.gem.wiki/North_Montney_Mainline_Pipeline</t>
  </si>
  <si>
    <t>North Montney Mainline Pipeline</t>
  </si>
  <si>
    <t>TC Energy [unknown %]</t>
  </si>
  <si>
    <t>Aitken</t>
  </si>
  <si>
    <t>LINESTRING (-120.90819 58.356362, -121.852574 57.04578, -122.107011 56.198981, -121.277439 55.986339)</t>
  </si>
  <si>
    <t>P2098</t>
  </si>
  <si>
    <t>https://www.gem.wiki/North_Wapiti_Pipeline_System</t>
  </si>
  <si>
    <t>North Wapiti Pipeline System</t>
  </si>
  <si>
    <t>Keyera [unknown %]</t>
  </si>
  <si>
    <t>LINESTRING (-119.116836 55.009225, -118.910388 54.799231)</t>
  </si>
  <si>
    <t>P2099</t>
  </si>
  <si>
    <t>https://www.gem.wiki/Northern_Border_Gas_Pipeline</t>
  </si>
  <si>
    <t>Northern Border Gas Pipeline</t>
  </si>
  <si>
    <t>OneOK Inc. [50.00%]; TC Energy [50.00%]</t>
  </si>
  <si>
    <t>TC Energy [50.00%]; OneOK Inc. [unknown %]</t>
  </si>
  <si>
    <t>Port of Morgan</t>
  </si>
  <si>
    <t>Fort Hayden</t>
  </si>
  <si>
    <t>LINESTRING (-107.832497 48.998274, -103.646712 48.140463, -102.767805 47.535778, -101.888899 47.491256, -95.36302 44.469104, -91.517806 41.033822, -88.617415 40.9343, -87.716536 41.857322, -86.185646 41.357445)</t>
  </si>
  <si>
    <t>P2110</t>
  </si>
  <si>
    <t>https://www.gem.wiki/Alton_Natural_Gas_Pipeline</t>
  </si>
  <si>
    <t>Alton Natural Gas Pipeline</t>
  </si>
  <si>
    <t>AltaGas [50.00%]; Veresen [50.00%]</t>
  </si>
  <si>
    <t>LINESTRING (-63.270953 45.202174, -63.269961 45.202024, -63.268261 45.201575, -63.266206 45.200926, -63.264364 45.200177, -63.258058 45.195084, -63.257491 45.194335, -63.251823 45.179804, -63.251469 45.179104, -63.251256 45.176607, -63.247997 45.174459, -63.241904 45.17436, -63.241018 45.173935, -63.239459 45.172736, -63.238538 45.171587, -63.2379 45.170738, -63.236342 45.169989, -63.234783 45.169539, -63.23372 45.16924, -63.233437 45.16854, -63.23287 45.167591, -63.231736 45.166942, -63.229965 45.165943, -63.229256 45.164594, -63.229398 45.162945, -63.229894 45.161447, -63.229044 45.161047, -63.222809 45.159048, -63.221392 45.158649, -63.219833 45.15745, -63.219514 45.157125, -63.219443 45.156076, -63.21838 45.155826, -63.217247 45.155076, -63.215546 45.154327, -63.209949 45.154127, -63.207256 45.151928, -63.204281 45.14953, -63.202226 45.148331, -63.197762 45.145282, -63.194574 45.142734, -63.194007 45.142034, -63.193723 45.140835, -63.193157 45.140635, -63.192661 45.137686, -63.188622 45.133887)</t>
  </si>
  <si>
    <t>P0877</t>
  </si>
  <si>
    <t>https://www.gem.wiki/Semutang-Chittagong_Gas_Pipeline</t>
  </si>
  <si>
    <t>Semutang-Chittagong Gas Pipeline</t>
  </si>
  <si>
    <t>Semutang Gas Field</t>
  </si>
  <si>
    <t>Khagrachhari</t>
  </si>
  <si>
    <t>LINESTRING (91.762224 22.838253, 91.82126 22.34614)</t>
  </si>
  <si>
    <t>P0997</t>
  </si>
  <si>
    <t>https://www.gem.wiki/Daini_Joso_Gas_Pipeline</t>
  </si>
  <si>
    <t>Daini Joso Gas Pipeline</t>
  </si>
  <si>
    <t>千葉ニュータウン</t>
  </si>
  <si>
    <t>牛久</t>
  </si>
  <si>
    <t>LINESTRING (140.11632 35.800173, 140.187198 35.97364)</t>
  </si>
  <si>
    <t>P0998</t>
  </si>
  <si>
    <t>https://www.gem.wiki/Echigo_Gas_Pipeline</t>
  </si>
  <si>
    <t>Echigo Gas Pipeline</t>
  </si>
  <si>
    <t>P1176</t>
  </si>
  <si>
    <t>Papua New Guinea</t>
  </si>
  <si>
    <t>Papua New Guinea, Australia</t>
  </si>
  <si>
    <t>https://www.gem.wiki/Papua_New_Guinea_to_Queensland_Pipeline</t>
  </si>
  <si>
    <t>Papua New Guinea to Queensland Gas Pipeline</t>
  </si>
  <si>
    <t>Chevron [50.00%]; International Petroleum Corporation [50.00%]</t>
  </si>
  <si>
    <t>Pandora Gas Field</t>
  </si>
  <si>
    <t>LINESTRING (151.287354 -23.863356, 151.016837 -23.629009, 150.798727 -23.494788, 150.738417 -23.453917, 150.714839 -23.427677, 150.695455 -23.389475, 150.664506 -23.293456, 150.643287 -23.26059, 150.615669 -23.214559, 150.578845 -23.177735, 150.538952 -23.153185, 150.496729 -23.125679, 150.211509 -22.991458, 149.926289 -22.857237, 149.523625 -22.639127, 149.471045 -22.606957, 149.415808 -22.563995, 149.372847 -22.527171, 149.348297 -22.484209, 149.322293 -22.437795, 149.171295 -22.051909, 149.003518 -21.749912, 148.785409 -21.431136, 148.567299 -21.196249, 148.433078 -21.078805, 148.332412 -20.978139, 148.188743 -20.732783, 148.036244 -20.580283, 147.669531 -20.336287, 147.47286 -20.139616, 147.304285 -19.886754, 147.107614 -19.718178, 146.967135 -19.633891, 146.714272 -19.549603, 146.489505 -19.493412, 146.180451 -19.43722, 146.126165 -19.421649, 146.039972 -19.352932, 146.015692 -19.305039, 146.000348 -19.209909, 145.98378 -19.184357, 145.954318 -19.151604, 145.83157 -19.016581, 145.787109 -18.987686, 145.64663 -18.903399, 145.50615 -18.734824, 145.281384 -18.481961, 145.140904 -18.257194, 145.028521 -18.116715, 145.009159 -18.074491, 144.972329 -17.920044, 144.888042 -17.723373, 144.747562 -17.442414, 144.578987 -17.189552, 144.4947 -17.049072, 144.453725 -17.01579, 144.315633 -16.957485, 144.288015 -16.939073, 144.101358 -16.740018, 143.988974 -16.599539, 143.978077 -16.558555, 143.960878 -16.430964, 143.839985 -16.049151, 143.820399 -16.009526, 143.797024 -15.978571, 143.677344 -15.880372, 143.651824 -15.840951, 143.637451 -15.806724, 143.623728 -15.616184, 143.595632 -15.082362, 143.595632 -14.885692, 143.567537 -14.717116, 143.455153 -14.464254, 143.174195 -14.01472, 143.161803 -13.974711, 143.174195 -13.846145, 143.174195 -13.67757, 143.118003 -13.508995, 142.921332 -13.312324, 142.716842 -12.96511, 142.696565 -12.918982, 142.676949 -12.851568, 142.664674 -12.716545, 142.584182 -12.413256, 142.556086 -12.244681, 142.471798 -11.823243, 142.387511 -11.345614, 142.339392 -11.163785, 142.331319 -11.120847, 142.330186 -11.083998, 142.387511 -10.867984, 142.431453 -10.675862, 142.443702 -10.643217, 142.465209 -10.626763, 142.526583 -10.60835, 142.556086 -10.587026, 142.584888 -10.568457, 142.624781 -10.510152, 142.668469 -10.418451, 142.780853 -10.193684, 142.867208 -10.111221, 142.977524 -10.053205, 143.091223 -10.01916, 143.20229 -9.997013, 143.278414 -10.006886, 143.314674 -9.997013, 143.330582 -9.966993, 143.314674 -9.800342, 143.379681 -9.663192, 143.444123 -9.540444, 143.539441 -9.435096, 143.579146 -9.411558, 143.876591 -9.350808, 144.073262 -9.210329, 144.241837 -8.92937, 144.298029 -8.648412, 144.401523 -8.425983, 144.500649 -8.290144, 144.593018 -8.1978)</t>
  </si>
  <si>
    <t>P1177</t>
  </si>
  <si>
    <t>https://www.gem.wiki/Parmelia_Pipeline</t>
  </si>
  <si>
    <t>Parmelia Gas Pipeline</t>
  </si>
  <si>
    <t>Western Australian Natural Gas (WANG) Pipeline, Dongara to Pinjarra Pipeline</t>
  </si>
  <si>
    <t>Perth Basin</t>
  </si>
  <si>
    <t>Dongara</t>
  </si>
  <si>
    <t>Pinjarra</t>
  </si>
  <si>
    <t>MULTILINESTRING ((115.008833 -29.263, 115.009814 -29.263, 115.010185 -29.263, 115.027129 -29.277, 115.115401 -29.313, 115.132848 -29.388, 115.178258 -29.532, 115.251504 -29.824, 115.354587 -30.038, 115.383447 -30.129, 115.401807 -30.211, 115.404956 -30.22, 115.424316 -30.242, 115.427127 -30.254, 115.432188 -30.266, 115.443294 -30.288, 115.454327 -30.311, 115.471604 -30.345, 115.473108 -30.355, 115.47514 -30.363, 115.472959 -30.716, 115.600161 -30.839, 115.603613 -30.838, 115.682994 -30.903, 115.683067 -30.903, 115.684816 -30.907, 115.685535 -30.909, 115.695399 -30.935, 115.695825 -30.937, 115.729965 -31.027, 115.767944 -31.113, 115.784686 -31.134, 115.789924 -31.138, 115.790678 -31.139, 115.792168 -31.143, 115.794026 -31.15, 115.796921 -31.17, 115.801359 -31.191, 115.803255 -31.192, 115.837229 -31.268, 115.837669 -31.271, 115.838657 -31.272, 115.878674 -31.361, 115.88975 -31.403, 115.905078 -31.489, 115.928742 -31.597, 115.927901 -31.599, 115.930277 -31.607, 115.931226 -31.609, 115.941768 -31.657, 115.941849 -31.669, 115.943884 -31.694, 115.947102 -31.701, 115.948211 -31.716, 115.948139 -31.718, 115.948456 -31.722, 115.948708 -31.723, 115.952543 -31.776, 115.952963 -31.777, 115.95546 -31.78, 115.957269 -31.781, 115.958838 -31.783, 115.968585 -31.796, 115.968787 -31.796, 115.969387 -31.801, 115.969716 -31.802, 115.969718 -31.808, 115.974167 -31.814, 115.974219 -31.827, 115.977241 -31.831, 115.980955 -31.846, 115.981004 -31.846, 115.981017 -31.851, 115.981212 -31.852, 115.981347 -31.855, 115.981316 -31.86, 115.981471 -31.861, 115.981515 -31.868, 115.98234 -31.871, 115.982355 -31.872, 115.982323 -31.872, 115.982313 -31.874, 115.982659 -31.875, 115.983183 -31.875, 115.983823 -31.876, 115.984498 -31.878, 115.984485 -31.881, 115.984391 -31.883, 115.984311 -31.883, 115.984292 -31.884, 115.984283 -31.885, 115.984283 -31.885, 115.984278 -31.885, 115.98422 -31.889, 115.985199 -31.89, 115.985289 -31.89, 115.985834 -31.892, 115.985952 -31.892, 115.985921 -31.892, 115.985867 -31.893, 115.985833 -31.893, 115.986051 -31.893, 115.986208 -31.894, 115.986275 -31.894, 115.986403 -31.894, 115.987026 -31.894, 115.987374 -31.895, 115.98778 -31.895, 115.987976 -31.895, 115.987956 -31.895, 115.988396 -31.898, 115.988365 -31.9, 115.988384 -31.901, 115.988422 -31.901, 115.988149 -31.906, 115.988188 -31.907, 115.988352 -31.907, 115.988636 -31.907, 115.988708 -31.907, 115.988705 -31.907, 115.988758 -31.907, 115.988758 -31.907, 115.988823 -31.908, 115.993466 -31.925, 115.993723 -31.925, 115.994296 -31.927, 115.994293 -31.927, 115.993206 -31.931, 115.993103 -31.931, 115.991789 -31.935, 115.991624 -31.935, 115.989998 -31.94, 115.989817 -31.941, 115.991094 -31.947, 115.991006 -31.948, 115.991243 -31.949, 115.991222 -31.95, 115.991768 -31.952, 115.991396 -31.957, 115.991293 -31.958, 115.986565 -31.977, 115.986552 -31.977, 115.983573 -31.98, 115.982956 -31.981, 115.979232 -31.984, 115.979018 -31.984, 115.978326 -31.986, 115.978688 -31.987, 115.978801 -31.987, 115.978865 -31.988, 115.97889 -31.988, 115.978869 -31.989, 115.97884 -31.989, 115.978775 -31.989, 115.978686 -31.989, 115.978579 -31.989, 115.978505 -31.99, 115.977404 -31.992, 115.977139 -31.992, 115.976836 -31.993, 115.976795 -31.995, 115.977118 -31.998, 115.977242 -31.999, 115.977418 -32.001, 115.97741 -32.002, 115.977321 -32.003, 115.977022 -32.004, 115.976914 -32.004, 115.976681 -32.005, 115.976311 -32.005, 115.975409 -32.006, 115.97367 -32.009, 115.972938 -32.01, 115.972377 -32.011, 115.972125 -32.012, 115.972026 -32.012, 115.971969 -32.013, 115.971948 -32.013, 115.972119 -32.021, 115.972128 -32.022, 115.972096 -32.023, 115.971997 -32.024, 115.971788 -32.025, 115.971509 -32.026, 115.971371 -32.026, 115.97124 -32.026, 115.971184 -32.026, 115.971095 -32.027, 115.970699 -32.027, 115.969848 -32.029, 115.969135 -32.029, 115.968775 -32.029, 115.968096 -32.03, 115.964816 -32.032, 115.963035 -32.034, 115.960662 -32.037, 115.960509 -32.037, 115.959874 -32.037, 115.959731 -32.037, 115.957258 -32.038, 115.956245 -32.039, 115.938502 -32.05, 115.937057 -32.051, 115.935683 -32.052, 115.930678 -32.054, 115.930374 -32.054, 115.929967 -32.055, 115.92894 -32.055, 115.916336 -32.065, 115.915716 -32.066, 115.915391 -32.066, 115.914649 -32.066, 115.913721 -32.066, 115.913438 -32.066, 115.91325 -32.067, 115.913194 -32.067, 115.914262 -32.071, 115.908163 -32.072, 115.907849 -32.072, 115.907318 -32.073, 115.89913 -32.074, 115.897907 -32.075, 115.896513 -32.075, 115.89539 -32.075, 115.893218 -32.075, 115.892249 -32.076, 115.891687 -32.076, 115.890967 -32.076, 115.890384 -32.076, 115.889554 -32.076, 115.888483 -32.077, 115.88173 -32.08, 115.880893 -32.08, 115.879807 -32.081, 115.8732 -32.084, 115.872463 -32.084, 115.87012 -32.085, 115.864331 -32.088, 115.863786 -32.088, 115.863113 -32.088, 115.862788 -32.089, 115.862157 -32.089, 115.855327 -32.092, 115.852827 -32.093, 115.851295 -32.094, 115.846405 -32.096, 115.845674 -32.096, 115.844658 -32.097, 115.836927 -32.101, 115.836365 -32.101, 115.835672 -32.102, 115.834825 -32.102, 115.834427 -32.102, 115.831516 -32.103, 115.830183 -32.103, 115.828562 -32.104, 115.828131 -32.104, 115.827502 -32.105, 115.826179 -32.106, 115.810483 -32.119, 115.810221 -32.119, 115.810227 -32.12, 115.81026 -32.121, 115.810364 -32.121, 115.81038 -32.125, 115.810439 -32.126, 115.810899 -32.128, 115.810924 -32.129, 115.810935 -32.134, 115.811006 -32.135, 115.811071 -32.135, 115.811109 -32.135, 115.8111 -32.136, 115.810962 -32.136, 115.810937 -32.136, 115.810949 -32.14, 115.811068 -32.14, 115.810974 -32.141, 115.810949 -32.142, 115.810959 -32.143, 115.811234 -32.144, 115.811245 -32.144, 115.810973 -32.145, 115.810971 -32.15, 115.810691 -32.15, 115.81042 -32.151, 115.810372 -32.151, 115.810376 -32.157, 115.810397 -32.157, 115.810465 -32.157, 115.810732 -32.158, 115.810874 -32.158, 115.810891 -32.158, 115.810877 -32.173, 115.810825 -32.173, 115.810921 -32.183, 115.809529 -32.185, 115.809455 -32.185, 115.8094 -32.187, 115.805647 -32.189, 115.799958 -32.189, 115.799641 -32.189, 115.798031 -32.19, 115.797803 -32.19, 115.796602 -32.19, 115.796096 -32.19, 115.795663 -32.19, 115.792074 -32.194, 115.791926 -32.194, 115.791773 -32.194, 115.7914 -32.194, 115.791176 -32.194, 115.790762 -32.194, 115.782754 -32.194, 115.782689 -32.194, 115.782275 -32.194, 115.782223 -32.194, 115.781459 -32.194, 115.78106 -32.194, 115.780667 -32.195, 115.780326 -32.195, 115.779973 -32.195, 115.779681 -32.196, 115.779544 -32.196, 115.779449 -32.197, 115.779381 -32.197, 115.779312 -32.198, 115.779257 -32.199, 115.779283 -32.199, 115.779409 -32.199, 115.778376 -32.199, 115.777188 -32.199, 115.776681 -32.2, 115.778099 -32.201, 115.779567 -32.201, 115.779924 -32.201, 115.781396 -32.201, 115.780985 -32.199, 115.780891 -32.199, 115.780878 -32.199, 115.78092 -32.198, 115.780991 -32.198, 115.781058 -32.197, 115.781138 -32.196, 115.781158 -32.196, 115.781519 -32.196, 115.781745 -32.196, 115.782325 -32.196, 115.782365 -32.196, 115.783031 -32.196, 115.783099 -32.196, 115.79071 -32.196, 115.791175 -32.196, 115.791444 -32.196, 115.792134 -32.196, 115.792655 -32.196, 115.793217 -32.195, 115.793378 -32.195, 115.796719 -32.191, 115.797831 -32.191, 115.798416 -32.191, 115.798696 -32.191, 115.800112 -32.19, 115.805124 -32.19, 115.805055 -32.2, 115.804733 -32.201, 115.804696 -32.201, 115.804649 -32.212), (115.792713 -32.225, 115.784526 -32.229, 115.781906 -32.23, 115.781579 -32.23, 115.781335 -32.23, 115.781132 -32.23, 115.781072 -32.23, 115.78126 -32.24, 115.78132 -32.24, 115.781283 -32.241, 115.781195 -32.241, 115.781053 -32.242, 115.781318 -32.249, 115.780052 -32.261, 115.7802 -32.261, 115.778998 -32.264, 115.778952 -32.264, 115.778962 -32.267, 115.779124 -32.268, 115.779524 -32.27, 115.780003 -32.27, 115.78061 -32.271, 115.787221 -32.277, 115.796838 -32.284, 115.797036 -32.285, 115.800452 -32.286, 115.800773 -32.287, 115.800869 -32.287, 115.801197 -32.291, 115.801232 -32.291, 115.801331 -32.291, 115.801444 -32.291, 115.802765 -32.292, 115.803272 -32.293, 115.804088 -32.295, 115.804093 -32.307, 115.804099 -32.307, 115.804168 -32.307, 115.804238 -32.307, 115.806367 -32.31, 115.82817 -32.359, 115.828323 -32.359, 115.828494 -32.359, 115.831765 -32.361, 115.833501 -32.376, 115.833549 -32.376, 115.83371 -32.377, 115.835306 -32.378, 115.835557 -32.379, 115.869689 -32.511, 115.869711 -32.511, 115.869703 -32.511, 115.872035 -32.532, 115.872107 -32.532, 115.872304 -32.533, 115.919426 -32.579, 115.924119 -32.588, 115.924576 -32.597, 115.924771 -32.597, 115.940284 -32.618))</t>
  </si>
  <si>
    <t>P0999</t>
  </si>
  <si>
    <t>https://www.gem.wiki/Fukuhoku_Gas_Pipeline</t>
  </si>
  <si>
    <t>Fukuhoku Gas Pipeline</t>
  </si>
  <si>
    <t>MULTILINESTRING ((130.799555 33.942498, 130.713477 33.931953, 130.703461 33.87967), (130.741179 33.871978, 130.406918 33.616272))</t>
  </si>
  <si>
    <t>P1000</t>
  </si>
  <si>
    <t>https://www.gem.wiki/Fukunan_Gas_Pipeline</t>
  </si>
  <si>
    <t>Fukunan Gas Pipeline</t>
  </si>
  <si>
    <t>Fukukita Plant (福北工場)</t>
  </si>
  <si>
    <t>Omuta Governor Station</t>
  </si>
  <si>
    <t>MULTILINESTRING ((73.1578824 17.5871629, 74.8165923 16.184096, 74.9820004 15.459609, 75.8972014 14.460689, 76.3840674 14.2276291, 77.0834884 13.3403621, 77.2626484 12.7109252, 77.5899874 12.9725822), (74.8165923 16.184096, 74.5006383 15.874969, 73.874119 15.448986))</t>
  </si>
  <si>
    <t>P1178</t>
  </si>
  <si>
    <t>https://www.gem.wiki/Pilbara_Pipeline_System</t>
  </si>
  <si>
    <t>Pilbara Pipeline System</t>
  </si>
  <si>
    <t>Port Hedland</t>
  </si>
  <si>
    <t>LINESTRING (116.728422 -20.764628, 116.730358 -20.765286, 116.732794 -20.766047, 116.761241 -20.778177, 116.774599 -20.77719, 116.788501 -20.787966, 116.816315 -20.794247, 116.863777 -20.784357, 116.874837 -20.779806, 116.910031 -20.777203, 116.943136 -20.769076, 116.945025 -20.76862, 116.947817 -20.767337, 116.951236 -20.765534, 116.954207 -20.763958, 116.958475 -20.761175, 116.962653 -20.759134, 116.976929 -20.758373, 117.001205 -20.752408, 117.007577 -20.748111, 117.010974 -20.745817, 117.018387 -20.744109, 117.027408 -20.745369, 117.02898 -20.744643, 117.033287 -20.744977, 117.040528 -20.750361, 117.047362 -20.752471, 117.051412 -20.750589, 117.060245 -20.740677, 117.066184 -20.732427, 117.069923 -20.731037, 117.078435 -20.736096, 117.082867 -20.739946, 117.085622 -20.738842, 117.093862 -20.739254, 117.097766 -20.737999, 117.10611 -20.737515, 117.148647 -20.737531, 117.187736 -20.75486, 117.20526 -20.779187, 117.240112 -20.802045, 117.279533 -20.814731, 117.353884 -20.873112, 117.363379 -20.874155, 117.410998 -20.890574, 117.440887 -20.897551, 117.442979 -20.899028, 117.465096 -20.904597, 117.550169 -20.916799, 117.595774 -20.898165, 117.637741 -20.879778, 117.747378 -20.842556, 117.84092 -20.804504, 117.851303 -20.80406, 117.861701 -20.802445, 117.869634 -20.80041, 117.904651 -20.797901, 118.014926 -20.737419, 118.170947 -20.63971, 118.20799 -20.599831, 118.455324 -20.470515, 118.485995 -20.455687, 118.542112 -20.435336, 118.547812 -20.430416, 118.548189 -20.430227, 118.549624 -20.429014, 118.551151 -20.427016)</t>
  </si>
  <si>
    <t>P1001</t>
  </si>
  <si>
    <t>https://www.gem.wiki/Gunma_Trunk_Line_Gas_Pipeline</t>
  </si>
  <si>
    <t>Gunma Trunk Line Gas Pipeline</t>
  </si>
  <si>
    <t>Annaka</t>
  </si>
  <si>
    <t>Gunma</t>
  </si>
  <si>
    <t>Takasaki</t>
  </si>
  <si>
    <t>LINESTRING (138.887312 36.336355, 139.005349 36.34335)</t>
  </si>
  <si>
    <t>P1002</t>
  </si>
  <si>
    <t>https://www.gem.wiki/Himeji_Gas_Pipeline</t>
  </si>
  <si>
    <t>Himeji Gas Pipeline</t>
  </si>
  <si>
    <t>LINESTRING (134.690558 34.764604, 134.670468 34.734702)</t>
  </si>
  <si>
    <t>P1003</t>
  </si>
  <si>
    <t>https://www.gem.wiki/Himeji-Okayama_Gas_Pipeline</t>
  </si>
  <si>
    <t>Himeji-Okayama Gas Pipeline</t>
  </si>
  <si>
    <t>Okayama</t>
  </si>
  <si>
    <t>LINESTRING (134.835454 35.080871, 133.935986 34.659771)</t>
  </si>
  <si>
    <t>P1004</t>
  </si>
  <si>
    <t>https://www.gem.wiki/Ibaraki_Main_Gas_Pipeline</t>
  </si>
  <si>
    <t>Ibaraki Main Gas Pipeline</t>
  </si>
  <si>
    <t>Hitachi–Kamisu Gas Pipeline</t>
  </si>
  <si>
    <t>Hitachi LNG terminal</t>
  </si>
  <si>
    <t>LINESTRING (140.62 36.484, 140.605 36.484, 140.605 36.476, 140.596 36.461, 140.5798 36.402, 140.574 36.341, 140.552 36.334, 140.557 36.298, 140.556 36.263, 140.548 36.252, 140.546 36.189, 140.571 36.176, 140.644 36.003, 140.682 35.922)</t>
  </si>
  <si>
    <t>P1005</t>
  </si>
  <si>
    <t>https://www.gem.wiki/Ibaraki-Tochigi_Gas_Pipeline</t>
  </si>
  <si>
    <t>Ibaraki-Tochigi Gas Pipeline</t>
  </si>
  <si>
    <t>Hitachi</t>
  </si>
  <si>
    <t>Moka</t>
  </si>
  <si>
    <t>Tochigi</t>
  </si>
  <si>
    <t>LINESTRING (140.655773 36.603851, 140.015928 36.448276)</t>
  </si>
  <si>
    <t>P0878</t>
  </si>
  <si>
    <t>https://www.gem.wiki/Shahaji_Bazar_Shamsher_Nagar_Gas_Pipeline</t>
  </si>
  <si>
    <t>Shahaji Bazar-Shamsher Nagar Gas Pipeline</t>
  </si>
  <si>
    <t>Shahaji Bazar</t>
  </si>
  <si>
    <t>Shamsher Nagar</t>
  </si>
  <si>
    <t>LINESTRING (91.373849 24.241991, 91.897759 24.384975)</t>
  </si>
  <si>
    <t>P1179</t>
  </si>
  <si>
    <t>https://www.gem.wiki/Queensland_Hunter_Gas_Pipeline</t>
  </si>
  <si>
    <t>Queensland Hunter Gas Pipeline</t>
  </si>
  <si>
    <t>QHGP</t>
  </si>
  <si>
    <t>Hunter Gas Pipeline Pty Ltd [100.00%]</t>
  </si>
  <si>
    <t>Narrabi Gas Project</t>
  </si>
  <si>
    <t>Wallumbilla</t>
  </si>
  <si>
    <t>MULTILINESTRING ((149.186142 -26.693663, 149.24233 -26.74534, 149.264841 -26.774416, 149.265779 -26.809119, 149.268593 -26.889782, 149.27891 -26.964817, 149.30142 -27.009838, 149.307048 -27.056735, 149.33331 -27.09519, 149.372703 -27.134583, 149.386773 -27.15428, 149.394276 -27.188046, 149.416912 -27.43204, 149.431076 -27.635048, 149.426354 -27.715307, 149.40747 -27.76724, 149.398028 -27.800288, 149.393307 -27.861662, 149.393307 -27.923037, 149.393307 -27.993853, 149.421633 -28.083555, 149.464123 -28.211025, 149.483008 -28.305448, 149.516056 -28.39987, 149.544383 -28.475408, 149.567624 -28.631634, 149.579103 -28.669899, 149.590583 -28.696684, 149.617368 -28.738775, 149.6365 -28.769386, 149.655632 -28.811477, 149.670938 -28.857394, 149.682417 -28.914791, 149.682417 -28.964534, 149.678591 -29.025757, 149.682417 -29.075501, 149.69007 -29.121418, 149.698349 -29.147488, 149.713029 -29.167335, 149.762772 -29.220905, 149.827822 -29.301261, 149.873739 -29.351004, 149.90435 -29.393095, 149.916811 -29.410826, 149.923483 -29.423707, 149.924732 -29.430953, 149.923129 -29.437678, 149.919656 -29.450492, 149.908177 -29.530847, 149.869912 -29.741301, 149.846248 -29.938805, 149.827822 -30.062721, 149.827822 -30.181341, 149.820269 -30.305444, 149.823995 -30.334398), (149.823995 -30.334398, 149.828655 -30.34977, 149.877565 -30.437712, 149.938788 -30.537199, 149.948157 -30.551782, 149.961068 -30.564694, 150.006327 -30.597515, 150.018374 -30.608224, 150.029752 -30.613578, 150.084193 -30.629034, 150.106718 -30.637672, 150.124788 -30.646372, 150.13011 -30.651992, 150.134827 -30.660427, 150.137763 -30.68643, 150.160722 -30.759132, 150.214292 -30.835661, 150.260209 -30.893058, 150.298473 -30.954281, 150.348217 -31.046115, 150.401787 -31.12647, 150.436225 -31.187693, 150.46301 -31.222131, 150.487631 -31.257509, 150.532342 -31.299116, 150.547965 -31.311401, 150.557689 -31.31918, 150.563523 -31.328904, 150.565468 -31.336035, 150.566223 -31.350744, 150.575903 -31.399145, 150.585584 -31.44432, 150.609784 -31.484654, 150.646892 -31.518535, 150.682386 -31.570163, 150.716267 -31.634698, 150.7324 -31.696006, 150.771121 -31.728273, 150.822749 -31.768607, 150.867923 -31.789581, 150.877926 -31.800184, 150.885056 -31.811204, 150.889594 -31.821576, 150.892124 -31.834756, 150.887001 -31.863064, 150.877277 -31.891587, 150.840496 -31.967052, 150.827589 -32.004159, 150.826714 -32.023831, 150.830816 -32.041267, 150.859857 -32.088055, 150.887649 -32.134682, 150.907745 -32.162557, 150.930434 -32.18719, 151.034101 -32.280046, 151.127676 -32.346194, 151.142938 -32.353015, 151.156617 -32.363186, 151.167139 -32.377216, 151.174464 -32.392982, 151.178715 -32.406948, 151.184144 -32.415569, 151.19168 -32.422506, 151.230932 -32.455903, 151.285787 -32.486557, 151.356775 -32.543025, 151.384202 -32.572066, 151.401714 -32.583921, 151.42131 -32.591426, 151.490685 -32.604333, 151.504138 -32.609203, 151.535254 -32.630595, 151.576193 -32.660801, 151.611099 -32.692179, 151.621368 -32.701136, 151.629899 -32.709034, 151.653236 -32.735612, 151.662311 -32.751818, 151.668155 -32.764057, 151.678145 -32.787329, 151.681042 -32.799278, 151.682354 -32.810076, 151.68296 -32.820168, 151.6831 -32.82622))</t>
  </si>
  <si>
    <t>P1006</t>
  </si>
  <si>
    <t>https://www.gem.wiki/Iruma_Gas_Pipeline</t>
  </si>
  <si>
    <t>Iruma Gas Pipeline</t>
  </si>
  <si>
    <t>Konosu-shi</t>
  </si>
  <si>
    <t>Ome-shi</t>
  </si>
  <si>
    <t>LINESTRING (139.368943 35.818189, 139.244122 35.80412)</t>
  </si>
  <si>
    <t>P1180</t>
  </si>
  <si>
    <t>https://www.gem.wiki/Reedy_Creek_Wallumbilla_Pipeline</t>
  </si>
  <si>
    <t>Reedy Creek Wallumbilla Pipeline</t>
  </si>
  <si>
    <t>RCWP</t>
  </si>
  <si>
    <t>Wandoan</t>
  </si>
  <si>
    <t>LINESTRING (149.37492 -26.355393, 149.201695 -26.685293, 149.19989 -26.687459, 149.197002 -26.689265, 149.185977 -26.693229)</t>
  </si>
  <si>
    <t>P1007</t>
  </si>
  <si>
    <t>https://www.gem.wiki/Ise_Bay_2_Gas_Pipeline</t>
  </si>
  <si>
    <t>Ise Bay 2 Gas Pipeline</t>
  </si>
  <si>
    <t>Toho Gas Co. Yokkaichi Works</t>
  </si>
  <si>
    <t>Kwagoe</t>
  </si>
  <si>
    <t>Mie</t>
  </si>
  <si>
    <t>Chubu Electric Kawagoe Thermal Power Plant</t>
  </si>
  <si>
    <t>LINESTRING (136.645966 34.973913, 136.687237 35.007603)</t>
  </si>
  <si>
    <t>P1008</t>
  </si>
  <si>
    <t>https://www.gem.wiki/Ise_Bay_Gas_Pipeline</t>
  </si>
  <si>
    <t>Ise Bay Gas Pipeline</t>
  </si>
  <si>
    <t>Chubu Electric Power [100.00%]</t>
  </si>
  <si>
    <t>Chita LNG</t>
  </si>
  <si>
    <t>Aichi</t>
  </si>
  <si>
    <t>LINESTRING (136.687237 35.007603, 136.8306 34.964795)</t>
  </si>
  <si>
    <t>P1012</t>
  </si>
  <si>
    <t>https://www.gem.wiki/Joso_Gas_Pipeline</t>
  </si>
  <si>
    <t>Joso Gas Pipeline</t>
  </si>
  <si>
    <t>P1013</t>
  </si>
  <si>
    <t>https://www.gem.wiki/Keihin_Gas_Pipeline</t>
  </si>
  <si>
    <t>Keihin Gas Pipeline</t>
  </si>
  <si>
    <t>Negishi Plant (根岸工場) Valve Station</t>
  </si>
  <si>
    <t>Oi (大井) Governor Station</t>
  </si>
  <si>
    <t>LINESTRING (139.729042 35.514834, 139.780468 35.518117, 139.752723 35.641128)</t>
  </si>
  <si>
    <t>P1014</t>
  </si>
  <si>
    <t>https://www.gem.wiki/Keiji_Gas_Pipeline</t>
  </si>
  <si>
    <t>Keiji Gas Pipeline</t>
  </si>
  <si>
    <t>Fushimi Governor Station</t>
  </si>
  <si>
    <t>Kusatsu Governor Station</t>
  </si>
  <si>
    <t>LINESTRING (135.768999 35.011554, 135.959371 35.013241)</t>
  </si>
  <si>
    <t>P1015</t>
  </si>
  <si>
    <t>https://www.gem.wiki/Kinki_Trunk_Line_Bay_Line</t>
  </si>
  <si>
    <t>Kinki Trunk Line Bay Line</t>
  </si>
  <si>
    <t>Bay Coastal Line</t>
  </si>
  <si>
    <t>LINESTRING (135.40767 34.545819, 135.403599 34.664862)</t>
  </si>
  <si>
    <t>P1016</t>
  </si>
  <si>
    <t>https://www.gem.wiki/Kinki_Trunk_Line_No._1_East_Line</t>
  </si>
  <si>
    <t>Kinki Trunk Line No. 1 East Line</t>
  </si>
  <si>
    <t>No.1 Tobu [Eastern] Line (North bound), Kinki Trunk Line No. 1 East Line (north), Kinki Trunk Line No. 1 East Line (South)</t>
  </si>
  <si>
    <t>Senboku</t>
  </si>
  <si>
    <t>Hirakata</t>
  </si>
  <si>
    <t>LINESTRING (135.679275 34.821713, 135.602921 34.574113)</t>
  </si>
  <si>
    <t>P1017</t>
  </si>
  <si>
    <t>https://www.gem.wiki/Kinki_Trunk_Line_No._1_West_Line</t>
  </si>
  <si>
    <t>Kinki Trunk Line No. 1 West Line</t>
  </si>
  <si>
    <t>P1018</t>
  </si>
  <si>
    <t>https://www.gem.wiki/Kinki_Trunk_Line_No._2_East_Line</t>
  </si>
  <si>
    <t>Kinki Trunk Line No. 2 East Line</t>
  </si>
  <si>
    <t>No.1 Tobu [Eastern] Line</t>
  </si>
  <si>
    <t>LINESTRING (135.362971 34.387338, 135.796931 35.033064)</t>
  </si>
  <si>
    <t>P1182</t>
  </si>
  <si>
    <t>https://www.gem.wiki/Roma_to_Brisbane_Pipeline</t>
  </si>
  <si>
    <t>Roma to Brisbane Pipeline</t>
  </si>
  <si>
    <t>RBP</t>
  </si>
  <si>
    <t>Roma</t>
  </si>
  <si>
    <t>LINESTRING (149.185977 -26.693229, 149.326705 -26.718443, 149.371663 -26.730695, 149.382193 -26.733292, 149.404774 -26.738535, 149.424405 -26.744387, 149.433619 -26.745819, 149.456913 -26.752651, 149.570821 -26.783704, 149.578882 -26.785895, 149.62679 -26.794742, 149.647086 -26.839267, 149.65458 -26.845799, 149.66665 -26.859048, 149.68025 -26.87325, 149.682556 -26.875062, 149.770453 -26.893103, 149.786466 -26.892593, 149.827285 -26.897763, 149.830483 -26.900188, 149.838037 -26.900871, 149.960367 -26.912371, 149.971159 -26.91405, 150.007734 -26.916587, 150.018348 -26.919871, 150.033827 -26.919582, 150.064249 -26.922223, 150.082646 -26.922263, 150.112835 -26.930859, 150.120029 -26.932225, 150.197024 -26.943868, 150.224399 -26.94923, 150.258181 -26.953246, 150.301375 -26.966784, 150.402086 -26.98381, 150.429087 -26.989592, 150.478275 -26.994638, 150.495528 -26.996933, 150.496625 -26.997066, 150.546785 -27.007232, 150.554695 -27.009396, 150.56118 -27.01117, 150.565708 -27.012372, 150.569296 -27.012028, 150.573224 -27.014188, 150.584728 -27.017532, 150.608793 -27.024025, 150.638331 -27.030945, 150.661197 -27.036427, 150.677087 -27.040196, 150.702343 -27.049654, 150.716072 -27.054601, 150.72352 -27.056609, 150.731548 -27.056444, 150.741933 -27.05799, 150.748753 -27.059285, 150.751662 -27.059426, 150.753113 -27.060097, 150.755953 -27.060077, 150.772157 -27.062448, 150.785407 -27.064372, 150.789192 -27.064855, 150.793439 -27.065185, 150.805135 -27.06782, 150.812894 -27.069668, 150.819873 -27.069887, 150.822671 -27.068986, 150.834522 -27.071547, 150.841705 -27.070998, 150.849187 -27.071319, 150.856042 -27.072386, 150.86114 -27.072478, 150.865652 -27.074056, 150.887087 -27.076714, 150.898749 -27.076795, 150.907653 -27.080616, 150.93612 -27.085093, 150.957954 -27.092107, 150.971269 -27.093667, 150.986657 -27.09639, 150.989727 -27.095344, 151.003664 -27.097406, 151.012915 -27.098402, 151.063713 -27.111216, 151.075031 -27.115528, 151.079719 -27.118192, 151.087179 -27.120134, 151.089492 -27.120808, 151.100829 -27.122341, 151.136493 -27.141351, 151.145433 -27.14401, 151.20941 -27.197952, 151.210458 -27.198096, 151.241659 -27.202509, 151.247225 -27.203003, 151.30274 -27.210794, 151.304498 -27.211474, 151.308283 -27.214293, 151.420289 -27.298378, 151.422462 -27.299513, 151.430647 -27.300591, 151.465981 -27.305211, 151.495704 -27.30894, 151.575204 -27.358858, 151.582313 -27.37211, 151.584015 -27.37236, 151.601441 -27.374878, 151.602559 -27.375455, 151.617873 -27.385677, 151.633006 -27.394829, 151.681767 -27.415895, 151.67932 -27.430764, 151.707426 -27.450027, 151.721394 -27.46206, 151.736539 -27.468809, 151.75147 -27.476972, 151.789011 -27.489887, 151.791145 -27.490271, 151.806172 -27.498438, 151.825797 -27.503303, 151.859181 -27.507818, 151.860701 -27.507207, 151.863085 -27.507367, 151.9355 -27.517204, 151.936296 -27.517041, 151.946185 -27.513147, 151.954797 -27.51425, 151.956702 -27.51483, 151.958203 -27.515469, 151.961597 -27.516288, 151.984132 -27.52002, 151.986689 -27.521005, 151.993607 -27.521264, 152.000332 -27.522089, 152.001666 -27.522815, 152.012431 -27.5232, 152.022419 -27.524317, 152.024195 -27.524919, 152.026053 -27.524805, 152.066816 -27.53056, 152.069272 -27.531858, 152.080276 -27.530755, 152.089869 -27.531256, 152.10139 -27.533994, 152.119304 -27.537101, 152.121466 -27.536736, 152.123555 -27.537593, 152.171072 -27.544332, 152.223613 -27.533213, 152.262126 -27.538826, 152.276337 -27.536274, 152.280866 -27.535912, 152.284962 -27.535332, 152.294618 -27.536553, 152.381111 -27.51261, 152.392435 -27.508027, 152.422286 -27.512015, 152.425543 -27.513311, 152.444852 -27.515439, 152.458257 -27.514834, 152.463749 -27.514637, 152.516049 -27.52102, 152.5476 -27.52501, 152.549616 -27.525033, 152.554149 -27.526867, 152.560088 -27.528533, 152.565511 -27.528775, 152.568445 -27.531011, 152.5768 -27.533317, 152.613065 -27.535438, 152.615255 -27.535281, 152.643895 -27.546393, 152.646684 -27.547587, 152.701661 -27.566786, 152.718099 -27.572568, 152.722272 -27.573255, 152.727013 -27.573897, 152.733073 -27.575059, 152.740283 -27.575816, 152.743546 -27.576061, 152.747756 -27.576615, 152.758765 -27.576206, 152.766211 -27.577169, 152.768854 -27.576107, 152.771222 -27.574173, 152.778219 -27.575007, 152.792504 -27.571068, 152.811105 -27.573405, 152.815687 -27.577356, 152.815581 -27.57888, 152.817489 -27.580739, 152.827926 -27.581123, 152.83172 -27.581515, 152.834588 -27.580748, 152.839444 -27.58095, 152.853719 -27.592734, 152.853659 -27.594685, 152.854113 -27.595567, 152.85587 -27.5977, 152.855184 -27.599007, 152.855599 -27.600561, 152.856712 -27.602187, 152.858341 -27.604072, 152.860227 -27.607983, 152.867313 -27.620976, 152.874181 -27.622104, 152.875457 -27.623839, 152.875203 -27.625905, 152.875198 -27.626389, 152.879004 -27.629978, 152.878995 -27.631018, 152.880557 -27.633769, 152.900234 -27.636802, 152.901421 -27.636893, 152.904342 -27.637336, 152.904807 -27.637319, 152.908823 -27.633066, 152.910164 -27.632624, 152.911514 -27.632746, 152.913133 -27.63294, 152.915019 -27.632662, 152.916059 -27.63264, 152.920633 -27.633331, 152.930688 -27.634884, 152.974058 -27.626563, 152.97924 -27.624692, 152.982341 -27.623978, 152.991581 -27.623178, 152.994074 -27.62347, 152.994214 -27.623487, 152.994283 -27.623117, 152.99445 -27.622198, 152.994979 -27.621478, 153.00426 -27.615245, 153.00514 -27.614778, 153.005732 -27.614784, 153.008057 -27.614655, 153.011462 -27.613219, 153.012764 -27.609498, 153.012852 -27.609135, 153.013472 -27.609216, 153.021955 -27.610367, 153.023003 -27.610786, 153.024576 -27.611762, 153.025078 -27.610741, 153.026289 -27.607732, 153.026472 -27.607735, 153.028066 -27.607975, 153.028603 -27.60759, 153.029863 -27.606526, 153.032517 -27.6036, 153.040262 -27.600553, 153.041854 -27.600397, 153.043808 -27.600019, 153.04536 -27.599584, 153.046322 -27.599129, 153.053051 -27.597169, 153.053473 -27.597022, 153.053821 -27.595114, 153.059169 -27.595868, 153.059476 -27.594088, 153.062565 -27.592068, 153.064299 -27.590752, 153.066004 -27.589452, 153.070512 -27.584264, 153.071476 -27.583233, 153.079119 -27.578978, 153.081426 -27.57726, 153.084412 -27.574732, 153.08753 -27.575136, 153.088139 -27.572153, 153.089395 -27.570732, 153.094508 -27.566287, 153.099805 -27.554813, 153.100508 -27.554042, 153.103476 -27.552226, 153.106763 -27.534631, 153.106675 -27.533785, 153.107563 -27.529122, 153.106686 -27.528656, 153.107649 -27.523825, 153.107781 -27.523167, 153.1084 -27.523254, 153.108827 -27.51983, 153.109267 -27.518505, 153.10982 -27.515075, 153.109813 -27.513501, 153.11052 -27.508661, 153.112879 -27.499584, 153.113878 -27.49667, 153.114884 -27.493524, 153.115306 -27.492784, 153.116224 -27.48741, 153.116889 -27.485941, 153.118927 -27.474556, 153.118562 -27.47349, 153.117946 -27.472719, 153.117823 -27.468602, 153.117334 -27.466878, 153.11717 -27.465498, 153.117553 -27.463318, 153.117399 -27.459779, 153.117337 -27.45725, 153.117058 -27.456986, 153.115733 -27.456418, 153.11457 -27.454851, 153.112962 -27.453307, 153.112377 -27.452915, 153.111681 -27.451858, 153.111758 -27.45051, 153.111889 -27.448157, 153.111925 -27.447516, 153.11246 -27.446644, 153.112456 -27.446148, 153.112393 -27.445537, 153.113041 -27.444581, 153.114743 -27.443737, 153.11812 -27.444296, 153.122892 -27.44492, 153.126073 -27.445384, 153.12736 -27.445464, 153.128635 -27.445068, 153.131955 -27.442189, 153.135313 -27.439194, 153.13853 -27.436275, 153.140141 -27.43188, 153.149503 -27.419341, 153.150351 -27.419019, 153.151683 -27.41894, 153.152257 -27.418905, 153.1523 -27.419272)</t>
  </si>
  <si>
    <t>P1019</t>
  </si>
  <si>
    <t>https://www.gem.wiki/Kinki_Trunk_Line_No._2_West_Line</t>
  </si>
  <si>
    <t>Kinki Trunk Line No. 2 West Line</t>
  </si>
  <si>
    <t>No.2 Seibu [Western] Line</t>
  </si>
  <si>
    <t>Fushimi (伏見 ) GS</t>
  </si>
  <si>
    <t>LINESTRING (134.63982 34.788793, 135.760263 34.93833)</t>
  </si>
  <si>
    <t>P1020</t>
  </si>
  <si>
    <t>https://www.gem.wiki/Kinki_Trunk_Line_No._3_West_Line</t>
  </si>
  <si>
    <t>Kinki Trunk Line No. 3 West Line</t>
  </si>
  <si>
    <t>No.3 Seibu [Western] Line</t>
  </si>
  <si>
    <t>姫路製造所</t>
  </si>
  <si>
    <t>LINESTRING (134.588262 34.795804, 135.225453 34.734775)</t>
  </si>
  <si>
    <t>P1021</t>
  </si>
  <si>
    <t>https://www.gem.wiki/Kisarazu_Rinkai_2_Gas_Pipeline</t>
  </si>
  <si>
    <t>Kisarazu Rinkai 2 Gas Pipeline</t>
  </si>
  <si>
    <t>Kisarazu</t>
  </si>
  <si>
    <t>LINESTRING (139.924591 35.390347, 139.902433 35.330306)</t>
  </si>
  <si>
    <t>P1022</t>
  </si>
  <si>
    <t>https://www.gem.wiki/Kisarazu_Rinkai_Gas_Pipeline</t>
  </si>
  <si>
    <t>Kisarazu Rinkai Gas Pipeline</t>
  </si>
  <si>
    <t>Sodeguara</t>
  </si>
  <si>
    <t>LINESTRING (140.021515 35.415076, 139.924591 35.390347)</t>
  </si>
  <si>
    <t>P1023</t>
  </si>
  <si>
    <t>https://www.gem.wiki/Kofu_Gas_Pipeline</t>
  </si>
  <si>
    <t>Kofu Gas Pipeline</t>
  </si>
  <si>
    <t>Chino-shi</t>
  </si>
  <si>
    <t>Shōwa</t>
  </si>
  <si>
    <t>Yamanashi</t>
  </si>
  <si>
    <t>LINESTRING (138.113825 36.048243, 138.567576 35.666012)</t>
  </si>
  <si>
    <t>P1183</t>
  </si>
  <si>
    <t>https://www.gem.wiki/SEA_Gas_Pipeline</t>
  </si>
  <si>
    <t>SEA Gas Pipeline</t>
  </si>
  <si>
    <t>Port Campbell to Adelaide Pipeline</t>
  </si>
  <si>
    <t>APA Group [unknown %]; Retail Employees Superannuation Trust [unknown %]</t>
  </si>
  <si>
    <t>MULTILINESTRING ((140.971694 -37.092669, 140.970209 -37.088054, 140.948119 -37.067864, 140.923284 -37.051187, 140.908919 -37.040034, 140.892921 -37.030871, 140.892003 -37.025639, 140.892363 -37.022056, 140.887897 -37.017136, 140.882559 -37.012711, 140.882522 -36.997963, 140.876794 -36.989404, 140.870094 -36.986835, 140.867473 -36.982811, 140.866349 -36.97921, 140.866324 -36.97576, 140.858429 -36.964916, 140.858426 -36.964864, 140.856828 -36.960631, 140.848911 -36.950448, 140.847791 -36.946916, 140.846507 -36.945982, 140.845031 -36.943678, 140.843118 -36.937546, 140.8428 -36.936591, 140.836904 -36.929823, 140.832113 -36.922813, 140.827261 -36.92076, 140.814585 -36.913187, 140.782353 -36.898258, 140.763798 -36.880922, 140.749907 -36.86571, 140.744413 -36.862695, 140.742836 -36.860931, 140.738237 -36.848095, 140.732975 -36.83866, 140.720818 -36.818925, 140.70942 -36.781128, 140.709723 -36.770908, 140.703902 -36.768258, 140.69778 -36.766503, 140.687429 -36.761352, 140.681438 -36.75547, 140.675543 -36.743618, 140.647571 -36.718206, 140.643967 -36.711199, 140.637779 -36.705221, 140.630385 -36.701328, 140.619741 -36.687239, 140.611383 -36.679057, 140.59916 -36.65821, 140.595411 -36.652869, 140.590609 -36.648486, 140.572028 -36.615453, 140.561141 -36.601679, 140.558369 -36.592535, 140.548824 -36.57903, 140.545675 -36.572415, 140.536059 -36.541117, 140.496746 -36.511521, 140.452251 -36.473144, 140.435122 -36.45177, 140.427565 -36.449068, 140.412975 -36.438364, 140.405223 -36.435505, 140.399277 -36.431748, 140.391718 -36.420346, 140.38547 -36.415408, 140.378449 -36.400326, 140.3677 -36.384736, 140.354663 -36.360645, 140.344305 -36.349043, 140.341717 -36.342889, 140.342764 -36.330587, 140.341589 -36.328158, 140.328359 -36.314647, 140.313458 -36.3011, 140.303878 -36.286159, 140.292027 -36.27574, 140.282721 -36.264901, 140.27391 -36.251862, 140.266893 -36.239273, 140.264819 -36.236698, 140.259781 -36.234855, 140.252642 -36.227339, 140.252283 -36.222162, 140.252585 -36.219883, 140.251994 -36.217999, 140.246895 -36.207057, 140.246199 -36.202625, 140.243903 -36.199122, 140.23956 -36.196081, 140.238802 -36.194801, 140.238875 -36.192252, 140.240178 -36.188543, 140.240533 -36.181878, 140.240618 -36.178416, 140.238555 -36.169387, 140.237872 -36.163403, 140.230359 -36.15913, 140.226077 -36.151457, 140.203577 -36.129094, 140.197767 -36.12605, 140.182002 -36.108125, 140.149298 -36.077477, 140.133619 -36.058592, 140.108229 -36.0453, 140.098041 -36.037698, 140.096523 -36.007889, 140.088533 -35.997785, 140.078894 -35.989483, 140.075613 -35.983172, 140.067849 -35.974989, 140.064118 -35.968283, 140.046063 -35.953407, 140.042978 -35.948313, 140.009321 -35.916508, 140.005146 -35.914432, 139.99724 -35.906063, 140.003968 -35.895423, 139.990391 -35.875482, 139.878981 -35.786806, 139.853055 -35.755512, 139.849668 -35.745436, 139.842857 -35.736745, 139.828126 -35.728331, 139.787666 -35.682105, 139.78123 -35.661583, 139.762847 -35.645733, 139.75587 -35.638158, 139.742971 -35.636277, 139.735144 -35.628849, 139.730521 -35.621258, 139.718907 -35.61479, 139.718616 -35.605073, 139.69987 -35.577839, 139.675224 -35.506808, 139.649197 -35.474457, 139.643152 -35.47136, 139.626747 -35.448116, 139.60148 -35.426516, 139.599847 -35.414575, 139.557406 -35.377503, 139.52079 -35.330972, 139.485718 -35.320155, 139.477531 -35.30507, 139.46546 -35.30008, 139.448776 -35.288316, 139.433283 -35.27278, 139.423359 -35.261763, 139.395945 -35.253428, 139.340026 -35.225402, 139.315405 -35.21708, 139.303826 -35.201872, 139.288817 -35.190078, 139.277577 -35.184371, 139.277132 -35.179522, 139.265977 -35.166392, 139.254423 -35.161844, 139.243524 -35.145008, 139.241085 -35.12205, 139.236788 -35.11833, 139.238071 -35.104893, 139.227628 -35.096448, 139.227826 -35.084177, 139.234786 -35.076736, 139.236414 -35.017813, 139.223304 -35.00974, 139.221934 -34.977088, 139.214654 -34.967282, 139.192552 -34.923642, 139.188688 -34.903027, 139.180516 -34.876372, 139.178518 -34.860265, 139.179883 -34.854075, 139.173235 -34.851631, 139.164173 -34.840323, 139.159943 -34.832743, 139.148186 -34.795329, 139.114968 -34.782843, 139.106521 -34.7747, 139.102435 -34.760444, 139.077851 -34.758581, 139.046001 -34.737716, 139.037525 -34.740318, 139.03548 -34.738237, 139.034674 -34.732639, 139.027695 -34.72879, 139.013604 -34.708972, 139.007583 -34.70488, 138.985913 -34.700626, 138.94402 -34.687781, 138.937544 -34.672818, 138.933977 -34.671773, 138.930356 -34.667844, 138.921326 -34.662123, 138.924727 -34.657373, 138.903358 -34.642863, 138.859159 -34.633503, 138.856357 -34.633726, 138.854136 -34.636342, 138.848887 -34.634349, 138.847457 -34.629815, 138.838202 -34.627684, 138.8313 -34.621941, 138.82959 -34.617032, 138.821089 -34.613444, 138.815085 -34.614061, 138.80214 -34.610026, 138.792978 -34.609777, 138.788114 -34.608014, 138.784463 -34.607795, 138.782926 -34.6054, 138.774427 -34.60762, 138.760805 -34.616086, 138.750002 -34.627716, 138.723635 -34.658909, 138.711735 -34.651293, 138.707504 -34.651278, 138.701582 -34.659147, 138.69515 -34.656743, 138.692503 -34.66126, 138.657832 -34.648073, 138.650969 -34.659719, 138.639869 -34.65509, 138.597798 -34.72165, 138.584799 -34.737286, 138.572409 -34.740795, 138.579766 -34.74607, 138.578797 -34.749258, 138.585075 -34.754792, 138.589882 -34.769984, 138.588167 -34.774394, 138.588625 -34.780364, 138.585921 -34.78121, 138.578382 -34.789128, 138.581272 -34.832266, 138.532596 -34.833829, 138.527407 -34.828059, 138.523046 -34.821432, 138.525485 -34.816985, 138.525548 -34.814392, 138.516336 -34.811287, 138.518624 -34.803779), (140.971694 -37.092669, 140.972025 -37.093634, 140.97201 -37.104136, 140.972124 -37.104893, 140.971986 -37.105333, 140.971998 -37.110544, 140.97254 -37.111045, 140.985847 -37.124646, 140.987447 -37.126676, 140.989283 -37.127301, 140.990107 -37.12764, 140.991042 -37.128047, 140.991509 -37.128324, 140.99213 -37.12876, 140.992642 -37.129063, 140.998654 -37.13198, 141.000505 -37.133538, 141.011412 -37.139653, 141.013353 -37.140589, 141.014358 -37.141, 141.015309 -37.141533, 141.016822 -37.142266, 141.022049 -37.147091, 141.024215 -37.155348, 141.028412 -37.161625, 141.029915 -37.163177, 141.030563 -37.163777, 141.031211 -37.164516, 141.033282 -37.166655, 141.034012 -37.167344, 141.034664 -37.168085, 141.035025 -37.168455, 141.038668 -37.1707, 141.042729 -37.174512, 141.045753 -37.17709, 141.046549 -37.178176, 141.05274 -37.180297, 141.054726 -37.180916, 141.063529 -37.184112, 141.067538 -37.187313, 141.070651 -37.190304, 141.077343 -37.195562, 141.079581 -37.198064, 141.085187 -37.203684, 141.086669 -37.204753, 141.089336 -37.206106, 141.095899 -37.211497, 141.099578 -37.216612, 141.100644 -37.217922, 141.103495 -37.221747, 141.104497 -37.222948, 141.105193 -37.223871, 141.106222 -37.22601, 141.107166 -37.227376, 141.113808 -37.244923, 141.114277 -37.247694, 141.114204 -37.250977, 141.119538 -37.257252, 141.120851 -37.258016, 141.121673 -37.259295, 141.122182 -37.259994, 141.122976 -37.260498, 141.123767 -37.261048, 141.124698 -37.262017, 141.126684 -37.263685, 141.127713 -37.264934, 141.128518 -37.265272, 141.129023 -37.265356, 141.129883 -37.264909, 141.129959 -37.264932, 141.138501 -37.271962, 141.138919 -37.27247, 141.144414 -37.2771, 141.147784 -37.280594, 141.149533 -37.284178, 141.1685 -37.306179, 141.169807 -37.306889, 141.175895 -37.309635, 141.176737 -37.310222, 141.178012 -37.310457, 141.1878 -37.314973, 141.208878 -37.34895, 141.209413 -37.35287, 141.210836 -37.353699, 141.211618 -37.354043, 141.212121 -37.354544, 141.212492 -37.35513, 141.212694 -37.355761, 141.21214 -37.359768, 141.21045 -37.363145, 141.209958 -37.363676, 141.209369 -37.364376, 141.208948 -37.365267, 141.208757 -37.366615, 141.20841 -37.368747, 141.208889 -37.36949, 141.208386 -37.3726, 141.208137 -37.373577, 141.208233 -37.373877, 141.208207 -37.374453, 141.208667 -37.374581, 141.210764 -37.375064, 141.213056 -37.376318, 141.214393 -37.376642, 141.213513 -37.382838, 141.213448 -37.383857, 141.21333 -37.384074, 141.21476 -37.385962, 141.214577 -37.38949, 141.215818 -37.391168, 141.237972 -37.404601, 141.241332 -37.404984, 141.241771 -37.405424, 141.241718 -37.406509, 141.24172 -37.407736, 141.241334 -37.408472, 141.240776 -37.409393, 141.250027 -37.425148, 141.251027 -37.429512, 141.256273 -37.435384, 141.257499 -37.437344, 141.26627 -37.444401, 141.268634 -37.445781, 141.283429 -37.450435, 141.288703 -37.453504, 141.290355 -37.455389, 141.293563 -37.456402, 141.300329 -37.460855, 141.30072 -37.461184, 141.301383 -37.461566, 141.302628 -37.462635, 141.302949 -37.462796, 141.307058 -37.466552, 141.308351 -37.467207, 141.313031 -37.47046, 141.319542 -37.471681, 141.322384 -37.473178, 141.322475 -37.474192, 141.32255 -37.475885, 141.325669 -37.479914, 141.328627 -37.488469, 141.331736 -37.492023, 141.331946 -37.492567, 141.332049 -37.49315, 141.331142 -37.49737, 141.331128 -37.497388, 141.332099 -37.498782, 141.332084 -37.498813, 141.331935 -37.500136, 141.332222 -37.502807, 141.330684 -37.509393, 141.33373 -37.513502, 141.336599 -37.516284, 141.337264 -37.521906, 141.339016 -37.530708, 141.347125 -37.543871, 141.354002 -37.552279, 141.359749 -37.556008, 141.360366 -37.55672, 141.361442 -37.559067, 141.36059 -37.56302, 141.360366 -37.563755, 141.36014 -37.564788, 141.357958 -37.573487, 141.357713 -37.575273, 141.358492 -37.580113, 141.360161 -37.584751, 141.360215 -37.585808, 141.359506 -37.588958, 141.359673 -37.590144, 141.362094 -37.597448, 141.363189 -37.598695, 141.364226 -37.599485, 141.366085 -37.601592, 141.370342 -37.603946, 141.378783 -37.607405, 141.383364 -37.607476, 141.404658 -37.609944, 141.405639 -37.610613, 141.406797 -37.611331, 141.407865 -37.611734, 141.416107 -37.615338, 141.418294 -37.616352, 141.425593 -37.617329, 141.428238 -37.616705, 141.433156 -37.618056, 141.435577 -37.619294, 141.43995 -37.620144, 141.442552 -37.621779, 141.446088 -37.626186, 141.449393 -37.631048, 141.450147 -37.631956, 141.450811 -37.63245, 141.451832 -37.632708, 141.453177 -37.634065, 141.453626 -37.635293, 141.457953 -37.639638, 141.458978 -37.640741, 141.460654 -37.642336, 141.468057 -37.647977, 141.46872 -37.648452, 141.472972 -37.651944, 141.47489 -37.653267, 141.476276 -37.654082, 141.493534 -37.666254, 141.496337 -37.666664, 141.497672 -37.667506, 141.497986 -37.668269, 141.498533 -37.669076, 141.501096 -37.670317, 141.503502 -37.671828, 141.504849 -37.675326, 141.512038 -37.682847, 141.518449 -37.688851, 141.533589 -37.69951, 141.534205 -37.700557, 141.534425 -37.701379, 141.53296 -37.710251, 141.532809 -37.711621, 141.53192 -37.713803, 141.530605 -37.719249, 141.531673 -37.720248, 141.532419 -37.721051, 141.533555 -37.721466, 141.534837 -37.721584, 141.540161 -37.721648, 141.541414 -37.721935, 141.54175 -37.722313, 141.541433 -37.72364, 141.540944 -37.724243, 141.541411 -37.725378, 141.542495 -37.725761, 141.54352 -37.726182, 141.546107 -37.72735, 141.546654 -37.727477, 141.548941 -37.727587, 141.549877 -37.7282, 141.549928 -37.729901, 141.564015 -37.739418, 141.584223 -37.746583, 141.586733 -37.748929, 141.587087 -37.749288, 141.588459 -37.750583, 141.58906 -37.752184, 141.590483 -37.754517, 141.591517 -37.756644, 141.593343 -37.759678, 141.59652 -37.762961, 141.601152 -37.769379, 141.604102 -37.769743, 141.609235 -37.778937, 141.61666 -37.789182, 141.623625 -37.791768, 141.626656 -37.792503, 141.627181 -37.792533, 141.628175 -37.792533, 141.631389 -37.793268, 141.631921 -37.793527, 141.633232 -37.793965, 141.638172 -37.794593, 141.639212 -37.794806, 141.642685 -37.795961, 141.642853 -37.796004, 141.643109 -37.796172, 141.642379 -37.796927, 141.642464 -37.796993, 141.644506 -37.797926, 141.646998 -37.798515, 141.647692 -37.798297, 141.67738 -37.807757, 141.679438 -37.808212, 141.679671 -37.808358, 141.698874 -37.813379, 141.699953 -37.8136, 141.709659 -37.816172, 141.711766 -37.816829, 141.712884 -37.817015, 141.720004 -37.818877, 141.720574 -37.819047, 141.721443 -37.819336, 141.722083 -37.81958, 141.722675 -37.819827, 141.723202 -37.820068, 141.723779 -37.820351, 141.724378 -37.82067, 141.724657 -37.820852, 141.72443 -37.821131, 141.728869 -37.823764, 141.729522 -37.823732, 141.735724 -37.827384, 141.735738 -37.827883, 141.736484 -37.827909, 141.736902 -37.82812, 141.737583 -37.828519, 141.738245 -37.828882, 141.739025 -37.829276, 141.739931 -37.82969, 141.740631 -37.829979, 141.741407 -37.830274, 141.7466 -37.832149, 141.747506 -37.832535, 141.755448 -37.836406, 141.75618 -37.836789, 141.757622 -37.83745, 141.758893 -37.837994, 141.76457 -37.840003, 141.766583 -37.840794, 141.767627 -37.841367, 141.768979 -37.842201, 141.789972 -37.863606, 141.790474 -37.86445, 141.791119 -37.868879, 141.794466 -37.870909, 141.794959 -37.871759, 141.796624 -37.874509, 141.808978 -37.882222, 141.813095 -37.888043, 141.813443 -37.888638, 141.817725 -37.893739, 141.818394 -37.894443, 141.818692 -37.894886, 141.818797 -37.894947, 141.819763 -37.895087, 141.828861 -37.904286, 141.829214 -37.904543, 141.829603 -37.905232, 141.830023 -37.905466, 141.830164 -37.905815, 141.830367 -37.906181, 141.831903 -37.908555, 141.84821 -37.916707, 141.850503 -37.917448, 141.863203 -37.923268, 141.868838 -37.924886, 141.879669 -37.926521, 141.884304 -37.930283, 141.885582 -37.931071, 141.887333 -37.93225, 141.888179 -37.932732, 141.894823 -37.936927, 141.895977 -37.938453, 141.899727 -37.941317, 141.902437 -37.943235, 141.908336 -37.943875, 141.908667 -37.948129, 141.910244 -37.949421, 141.934854 -37.981506, 141.938145 -37.984581, 141.94123 -37.985426, 141.948326 -37.989121, 141.949214 -37.989381, 141.975586 -37.991811, 141.9888 -37.995325, 141.989153 -37.995419, 141.994672 -38.003465, 141.995509 -38.004353, 141.998832 -38.007321, 142.001594 -38.008513, 142.005909 -38.013909, 142.013728 -38.021327, 142.019089 -38.022447, 142.01918 -38.022519, 142.019319 -38.022856, 142.01939 -38.025091, 142.021476 -38.027967, 142.024526 -38.033732, 142.026074 -38.034641, 142.029025 -38.035398, 142.030556 -38.035892, 142.030635 -38.039158, 142.030877 -38.041812, 142.03636 -38.049988, 142.038812 -38.052241, 142.039404 -38.05264, 142.039863 -38.052881, 142.041526 -38.054159, 142.043202 -38.055391, 142.044427 -38.056398, 142.047484 -38.058766, 142.048217 -38.060239, 142.066857 -38.068421, 142.06876 -38.069679, 142.071566 -38.070482, 142.076183 -38.072503, 142.076643 -38.072695, 142.080915 -38.074328, 142.087496 -38.077148, 142.107834 -38.077035, 142.108478 -38.077094, 142.1097 -38.077087, 142.12797 -38.080096, 142.131846 -38.081036, 142.154281 -38.085032, 142.159107 -38.086212, 142.16091 -38.086825, 142.165874 -38.08777, 142.170156 -38.088352, 142.17281 -38.090855, 142.186223 -38.093452, 142.187607 -38.095496, 142.189198 -38.096881, 142.226542 -38.132255, 142.229126 -38.134784, 142.229967 -38.135687, 142.254338 -38.158236, 142.266622 -38.162967, 142.31055 -38.178468, 142.316952 -38.181056, 142.327197 -38.186568, 142.332693 -38.188526, 142.337058 -38.190648, 142.351254 -38.195033, 142.361914 -38.201332, 142.371653 -38.206422, 142.380004 -38.211048, 142.384876 -38.2138, 142.39053 -38.216526, 142.405667 -38.226225, 142.408043 -38.227129, 142.410724 -38.228456, 142.412142 -38.229623, 142.430367 -38.241579, 142.435333 -38.243947, 142.435587 -38.244169, 142.436002 -38.244345, 142.442539 -38.248242, 142.447445 -38.253031, 142.450879 -38.254711, 142.453397 -38.25665, 142.458366 -38.258881, 142.459307 -38.25927, 142.462431 -38.26111, 142.465518 -38.26241, 142.467195 -38.26325, 142.468366 -38.264819, 142.469155 -38.266034, 142.470544 -38.267234, 142.475345 -38.270461, 142.488596 -38.275318, 142.492657 -38.279492, 142.494824 -38.280667, 142.495933 -38.28161, 142.950097 -38.575775, 142.950957 -38.576256, 142.957269 -38.577615, 142.966426 -38.578503, 142.96835 -38.578467, 142.971841 -38.578226, 142.97404 -38.578017, 142.97668 -38.577855, 142.978438 -38.577747, 142.981038 -38.577588, 142.982045 -38.577615, 142.982845 -38.57765, 142.985292 -38.577916, 142.993375 -38.578861, 142.993758 -38.578949, 142.994721 -38.579003, 142.995192 -38.578805, 142.995288 -38.578765, 143.000205 -38.574734, 143.001305 -38.57286, 143.003153 -38.571183, 143.003707 -38.569707, 143.005101 -38.568086, 143.005216 -38.567268, 143.004682 -38.566182, 143.004467 -38.565121, 143.004064 -38.564541, 143.004481 -38.563913, 143.004489 -38.5639, 143.004619 -38.563705, 143.014158 -38.563117, 143.014417 -38.563137, 143.022994 -38.567647, 143.024548 -38.568692, 143.027295 -38.570552, 143.02813 -38.571117, 143.02816 -38.571355, 143.028163 -38.57138, 143.028203 -38.571693, 143.028219 -38.571729, 143.02825 -38.571769, 143.028459 -38.571917, 143.02954 -38.57207, 143.031215 -38.573012, 143.033252 -38.574373, 143.034321 -38.574508, 143.03963 -38.574976, 143.040184 -38.574912, 143.042285 -38.572695, 143.042511 -38.571629, 143.042596 -38.57149, 143.042787 -38.570339, 142.495933 -38.28161, 142.496196 -38.281834, 142.499572 -38.282866, 142.505013 -38.287076, 142.507312 -38.288959, 142.508547 -38.289814, 142.511581 -38.292159, 142.521386 -38.29749, 142.525294 -38.29842, 142.530374 -38.302641, 142.535424 -38.308767, 142.540002 -38.312369, 142.55278 -38.323845, 142.555478 -38.32646, 142.558395 -38.328891, 142.565358 -38.335302, 142.56807 -38.337576, 142.569574 -38.338683, 142.570877 -38.33931, 142.57226 -38.340122, 142.574744 -38.34431, 142.579161 -38.349934, 142.58324 -38.352475, 142.587943 -38.356631, 142.589949 -38.35773, 142.595637 -38.362208, 142.595894 -38.362358, 142.596074 -38.362549, 142.600341 -38.365904, 142.600835 -38.367159, 142.602875 -38.367396, 142.605693 -38.367724, 142.605771 -38.367815, 142.605977 -38.368058, 142.608917 -38.370821, 142.620723 -38.379791, 142.631752 -38.387181, 142.633904 -38.398936, 142.633948 -38.399399, 142.633706 -38.399695, 142.633619 -38.400176, 142.633681 -38.400285, 142.644756 -38.406142, 142.645763 -38.406884, 142.646671 -38.407126, 142.661499 -38.41471, 142.665596 -38.416468, 142.666175 -38.416808, 142.666968 -38.417166, 142.669382 -38.418802, 142.675825 -38.42235, 142.683941 -38.42771, 142.68744 -38.429701, 142.705792 -38.441176, 142.72018 -38.448369, 142.746793 -38.45856, 142.747238 -38.45877, 142.750362 -38.460478, 142.751042 -38.460937, 142.751854 -38.461297, 142.75409 -38.462516, 142.755833 -38.462734, 142.759879 -38.465674, 142.765638 -38.468817, 142.770979 -38.472205, 142.784573 -38.480042, 142.805605 -38.489784, 142.806713 -38.490332, 142.807455 -38.49064, 142.808289 -38.491025, 142.815335 -38.494043, 142.821073 -38.496857, 142.83094 -38.500805, 142.844025 -38.50555, 142.84448 -38.505711, 142.844873 -38.505891, 142.851899 -38.508697, 142.852756 -38.508885, 142.856148 -38.509629, 142.857275 -38.509877, 142.860467 -38.5123, 142.861027 -38.513198, 142.865063 -38.517236, 142.871753 -38.523161, 142.872191 -38.523739, 142.872645 -38.523874, 142.873259 -38.524495, 142.875683 -38.526639, 142.883688 -38.533253, 142.884731 -38.53364, 142.885586 -38.534825, 142.891821 -38.539977, 142.892288 -38.540456, 142.893129 -38.541065, 142.899159 -38.546043, 142.910168 -38.556071, 142.924904 -38.564831, 142.925264 -38.565019, 142.92531 -38.56504, 142.925693 -38.565194, 142.930208 -38.566428, 142.932066 -38.567434, 142.93949 -38.57083, 142.94638 -38.573479, 142.950097 -38.575775, 142.948527 -38.577359, 142.948374 -38.578107, 142.948362 -38.578147, 142.948135 -38.578916, 142.948097 -38.579312, 142.947272 -38.583321, 142.947251 -38.583672, 142.946626 -38.586691))</t>
  </si>
  <si>
    <t>P1024</t>
  </si>
  <si>
    <t>https://www.gem.wiki/Koga-Moka_Gas_Pipeline</t>
  </si>
  <si>
    <t>Koga-Moka Gas Pipeline</t>
  </si>
  <si>
    <t>Koga</t>
  </si>
  <si>
    <t>LINESTRING (140.015222 36.439436, 139.778424 36.178173)</t>
  </si>
  <si>
    <t>P1025</t>
  </si>
  <si>
    <t>https://www.gem.wiki/Koriyama_North_Gas_Pipeline</t>
  </si>
  <si>
    <t>Koriyama North Gas Pipeline</t>
  </si>
  <si>
    <t>JAPEX [100.00%]</t>
  </si>
  <si>
    <t>Motomiya</t>
  </si>
  <si>
    <t>Koriyama</t>
  </si>
  <si>
    <t>LINESTRING (140.417436 37.504592, 140.361504 37.400312)</t>
  </si>
  <si>
    <t>P1026</t>
  </si>
  <si>
    <t>https://www.gem.wiki/Kumagaya-Sano_Gas_Pipeline</t>
  </si>
  <si>
    <t>Kumagaya-Sano Gas Pipeline</t>
  </si>
  <si>
    <t>Kumagaya</t>
  </si>
  <si>
    <t>Sano</t>
  </si>
  <si>
    <t>LINESTRING (139.389372 36.149474, 139.578349 36.314363)</t>
  </si>
  <si>
    <t>P1027</t>
  </si>
  <si>
    <t>https://www.gem.wiki/Kurume_Gas_Pipeline</t>
  </si>
  <si>
    <t>Kurume Gas Pipeline</t>
  </si>
  <si>
    <t>Fukuoka-sh</t>
  </si>
  <si>
    <t>Hakata-ku</t>
  </si>
  <si>
    <t>LINESTRING (130.408227 33.614574, 130.421182 33.60714)</t>
  </si>
  <si>
    <t>P1028</t>
  </si>
  <si>
    <t>https://www.gem.wiki/Matsumoto_Gas_Pipeline</t>
  </si>
  <si>
    <t>Matsumoto Gas Pipeline</t>
  </si>
  <si>
    <t>300, 400</t>
  </si>
  <si>
    <t>Chino City</t>
  </si>
  <si>
    <t>Matsumoto</t>
  </si>
  <si>
    <t>LINESTRING (138.718957 37.529199, 139.039603 37.916689)</t>
  </si>
  <si>
    <t>P1029</t>
  </si>
  <si>
    <t>https://www.gem.wiki/Mie-Shiga_Gas_Pipeline</t>
  </si>
  <si>
    <t>Mie-Shiga Gas Pipeline</t>
  </si>
  <si>
    <t>Chubu Electric Power [unknown %]; Osaka Gas [unknown %]</t>
  </si>
  <si>
    <t>Taga</t>
  </si>
  <si>
    <t>Shiga</t>
  </si>
  <si>
    <t>LINESTRING (136.623816 34.965532, 136.292232 35.222261)</t>
  </si>
  <si>
    <t>P1030</t>
  </si>
  <si>
    <t>https://www.gem.wiki/Minamifuji_Gas_Pipeline</t>
  </si>
  <si>
    <t>Minamifuji Gas Pipeline</t>
  </si>
  <si>
    <t>INPEX [33.33%]; Shizuoka Gas [33.33%]; Tokyo Gas [33.33%]</t>
  </si>
  <si>
    <t>Fuji</t>
  </si>
  <si>
    <t>Gotemba</t>
  </si>
  <si>
    <t>LINESTRING (138.677053 35.160984, 138.935398 35.310011)</t>
  </si>
  <si>
    <t>P1031</t>
  </si>
  <si>
    <t>https://www.gem.wiki/Nagasaki_Gas_Pipeline</t>
  </si>
  <si>
    <t>Nagasaki Gas Pipeline</t>
  </si>
  <si>
    <t>Oe Town</t>
  </si>
  <si>
    <t>Miharacho</t>
  </si>
  <si>
    <t>LINESTRING (129.819674 32.767436, 129.882324 32.780047)</t>
  </si>
  <si>
    <t>P1032</t>
  </si>
  <si>
    <t>https://www.gem.wiki/Nanohana_Gas_Pipeline</t>
  </si>
  <si>
    <t>Nanohana Gas Pipeline</t>
  </si>
  <si>
    <t>Nanohana Pipeline Company [200.00%]</t>
  </si>
  <si>
    <t>Keiyo Gas [50.00%]; Otaki Gas [50.00%]</t>
  </si>
  <si>
    <t>LINESTRING (139.82861 35.34609, 140.0179901197854 35.48471490390119)</t>
  </si>
  <si>
    <t>P1033</t>
  </si>
  <si>
    <t>https://www.gem.wiki/Naoetsu_Gas_Pipeline</t>
  </si>
  <si>
    <t>Naoetsu Gas Pipeline</t>
  </si>
  <si>
    <t>Yachiho</t>
  </si>
  <si>
    <t>Tomioka</t>
  </si>
  <si>
    <t>LINESTRING (138.278473 37.205523, 138.260447 37.143857)</t>
  </si>
  <si>
    <t>P1034</t>
  </si>
  <si>
    <t>https://www.gem.wiki/Niigata-Sendai_Gas_Pipeline</t>
  </si>
  <si>
    <t>Niigata-Sendai Gas Pipeline</t>
  </si>
  <si>
    <t>Seiro</t>
  </si>
  <si>
    <t>LINESTRING (139.265346 37.984276, 140.878564 38.260766)</t>
  </si>
  <si>
    <t>P1036</t>
  </si>
  <si>
    <t>https://www.gem.wiki/Northern_Saitama_Gas_Pipeline</t>
  </si>
  <si>
    <t>Northern Saitama Gas Pipeline</t>
  </si>
  <si>
    <t>Kawagachi</t>
  </si>
  <si>
    <t>LINESTRING (139.73372 35.832024, 139.390061 36.150582)</t>
  </si>
  <si>
    <t>P1037</t>
  </si>
  <si>
    <t>https://www.gem.wiki/Omuta_Kumamoto_Gas_Pipeline</t>
  </si>
  <si>
    <t>Omuta-Kumamoto Gas Pipeline</t>
  </si>
  <si>
    <t>P1038</t>
  </si>
  <si>
    <t>https://www.gem.wiki/Oumi_Gas_Pipeline</t>
  </si>
  <si>
    <t>Oumi Gas Pipeline</t>
  </si>
  <si>
    <t>Itoigawa</t>
  </si>
  <si>
    <t>LINESTRING (138.23593 37.148314, 137.86165 37.036586)</t>
  </si>
  <si>
    <t>P1039</t>
  </si>
  <si>
    <t>https://www.gem.wiki/Ryomo_Gas_Pipeline</t>
  </si>
  <si>
    <t>Ryomo Gas Pipeline</t>
  </si>
  <si>
    <t>Honjo-shi</t>
  </si>
  <si>
    <t>Ota</t>
  </si>
  <si>
    <t>LINESTRING (139.185925 36.22935, 139.340211 36.307376, 139.533427 36.246825, 139.567961 36.311037)</t>
  </si>
  <si>
    <t>P1041</t>
  </si>
  <si>
    <t>https://www.gem.wiki/Saito_Gas_Pipeline</t>
  </si>
  <si>
    <t>Saito Gas Pipeline</t>
  </si>
  <si>
    <t>LINESTRING (139.802252 35.839161, 139.77877 36.181221)</t>
  </si>
  <si>
    <t>P1042</t>
  </si>
  <si>
    <t>https://www.gem.wiki/Minamiashigara_Pipeline</t>
  </si>
  <si>
    <t>Minamiashigara Pipeline</t>
  </si>
  <si>
    <t>P1185</t>
  </si>
  <si>
    <t>https://www.gem.wiki/South_East_Pipeline_System</t>
  </si>
  <si>
    <t>South East Pipeline System</t>
  </si>
  <si>
    <t>SEPS</t>
  </si>
  <si>
    <t>Queensland Investment Corporation [100.00%]</t>
  </si>
  <si>
    <t>Penola, Snuggery, Mount Gambier</t>
  </si>
  <si>
    <t>MULTILINESTRING ((140.433841 -37.673943, 140.464304 -37.674034, 140.467667 -37.675998, 140.468506 -37.675636, 140.472011 -37.676588, 140.476268 -37.676332, 140.480294 -37.679385, 140.482913 -37.682027, 140.484754 -37.682735, 140.486656 -37.682159, 140.487346 -37.683271, 140.488832 -37.68313, 140.48998 -37.682929, 140.49145 -37.6829, 140.49326 -37.682796, 140.494418 -37.682865, 140.523634 -37.683444, 140.529354 -37.682661, 140.531157 -37.681036, 140.534952 -37.68048, 140.538192 -37.681258, 140.572541 -37.680529, 140.575144 -37.681413, 140.581443 -37.680611, 140.60079 -37.670502, 140.601127 -37.669559, 140.609659 -37.665185, 140.62862 -37.660622, 140.628982 -37.659871, 140.63929 -37.656763, 140.642648 -37.65741), (140.642648 -37.65741, 140.665379 -37.661793, 140.671219 -37.663832, 140.678307 -37.665353, 140.684124 -37.671806, 140.685198 -37.673022, 140.685558 -37.673712, 140.686142 -37.674495, 140.690471 -37.680213, 140.690506 -37.680844, 140.696508 -37.686105, 140.715098 -37.709696, 140.719228 -37.713248, 140.725165 -37.721075, 140.72587 -37.721262, 140.726959 -37.725068, 140.734343 -37.739068, 140.735363 -37.741578, 140.73593 -37.753129, 140.736712 -37.754015, 140.741521 -37.761875, 140.749783 -37.782945, 140.762264 -37.792371, 140.76234 -37.793262), (140.642648 -37.65741, 140.654102 -37.638513, 140.654436 -37.637705, 140.654986 -37.636584, 140.655669 -37.635003, 140.656209 -37.63351, 140.656594 -37.632038, 140.657178 -37.6305, 140.657834 -37.628772, 140.658571 -37.627315, 140.65905 -37.626272, 140.670893 -37.606156, 140.674942 -37.582235, 140.679628 -37.56633, 140.682179 -37.553152, 140.690812 -37.538477, 140.695238 -37.533675, 140.696269 -37.533561, 140.708052 -37.524197, 140.712719 -37.517944, 140.715411 -37.515536, 140.735028 -37.499574, 140.740855 -37.495177, 140.749558 -37.484068, 140.768386 -37.470696, 140.776809 -37.465565, 140.78912 -37.449293))</t>
  </si>
  <si>
    <t>P1043</t>
  </si>
  <si>
    <t>https://www.gem.wiki/Second_Joso_Gas_Pipeline</t>
  </si>
  <si>
    <t>Second Joso Gas Pipeline</t>
  </si>
  <si>
    <t>Daini Joso Line</t>
  </si>
  <si>
    <t>LINESTRING (140.13282 35.974391, 140.116619 35.823438)</t>
  </si>
  <si>
    <t>P1186</t>
  </si>
  <si>
    <t>https://www.gem.wiki/South_East_South_Australia_Pipeline</t>
  </si>
  <si>
    <t>South East South Australia Pipeline</t>
  </si>
  <si>
    <t>SESA</t>
  </si>
  <si>
    <t>Poolaijello</t>
  </si>
  <si>
    <t>Katnook</t>
  </si>
  <si>
    <t>MULTILINESTRING ((141.10836 -37.243141, 141.10816 -37.243122, 141.105984 -37.244207, 141.105638 -37.246871, 141.105273 -37.247271, 141.105522 -37.247769, 141.105438 -37.248414, 141.105103 -37.249587, 141.105414 -37.250311, 141.101921 -37.271213, 141.102093 -37.271485, 141.101113 -37.277373, 141.10105 -37.277534, 141.100993 -37.277876, 141.101003 -37.278038, 141.099761 -37.285498, 141.099544 -37.28563, 141.091039 -37.284776, 141.08993 -37.284667, 141.081596 -37.283839, 141.081337 -37.283819, 141.072236 -37.282932, 141.071815 -37.283175, 141.071607 -37.283615, 141.071523 -37.284525, 141.07134 -37.285304, 141.070341 -37.291683, 141.072225 -37.293584, 141.071938 -37.296033, 141.070848 -37.296939, 141.070431 -37.302003, 141.070082 -37.305137, 141.067684 -37.308989, 141.06642 -37.3171, 141.064537 -37.317415, 141.064218 -37.318324, 141.062901 -37.319019, 141.062689 -37.319095, 141.062398 -37.319248, 141.062304 -37.319258, 141.06111 -37.319122, 141.058335 -37.318885, 141.058248 -37.318904, 141.04474 -37.317693, 141.044183 -37.317801, 141.04107 -37.317492, 141.040686 -37.31708, 141.038639 -37.316677, 141.032076 -37.315965, 141.025819 -37.312354, 141.025216 -37.312418, 141.010466 -37.326972, 141.010359 -37.32704, 141.0103 -37.32709, 141.01025 -37.32717, 141.005716 -37.330997, 141.003863 -37.330996, 141.003873 -37.332592, 141.003035 -37.333057, 141.002489 -37.333372, 140.997469 -37.336163, 140.996913 -37.33641, 140.987178 -37.341824, 140.986832 -37.342097, 140.985997 -37.342481, 140.985086 -37.342988, 140.982702 -37.342509, 140.981446 -37.340856, 140.98074 -37.341193, 140.97417 -37.342653, 140.973845 -37.34264, 140.973116 -37.342862), (140.842437 -37.411567, 140.836352 -37.415006, 140.835416 -37.415336, 140.827734 -37.419063, 140.815077 -37.425593, 140.800484 -37.432634, 140.800281 -37.432644, 140.799295 -37.432281, 140.799104 -37.432339), (140.973116 -37.342862, 140.967884 -37.344271, 140.951587 -37.346812, 140.951338 -37.346185, 140.949717 -37.346441, 140.949101 -37.346578, 140.943706 -37.347428, 140.926533 -37.355247, 140.926157 -37.356472, 140.926208 -37.357597, 140.924387 -37.361589, 140.918881 -37.364592, 140.914669 -37.366139, 140.908668 -37.368651, 140.906225 -37.369185, 140.903393 -37.369317, 140.899345 -37.370319, 140.895336 -37.369605, 140.894949 -37.369706, 140.893819 -37.371341, 140.893041 -37.374749, 140.892878 -37.374847, 140.89131 -37.374881, 140.889629 -37.376014, 140.887244 -37.379252, 140.885743 -37.382147, 140.884357 -37.38319, 140.882461 -37.384163, 140.881988 -37.385106, 140.880216 -37.386292, 140.877677 -37.389632, 140.874868 -37.394629, 140.874657 -37.39525, 140.865581 -37.401869, 140.854911 -37.401417, 140.850847 -37.405157, 140.843302 -37.411223, 140.842437 -37.411567), (140.842437 -37.411567, 140.837249 -37.411276, 140.836307 -37.411114, 140.831661 -37.410887, 140.830253 -37.411147, 140.829945 -37.411435, 140.820334 -37.413209, 140.818921 -37.413282, 140.814806 -37.416113, 140.808416 -37.424469, 140.804687 -37.426231, 140.804041 -37.426074, 140.803849 -37.426129, 140.800024 -37.430652, 140.799104 -37.432339), (140.799104 -37.432339, 140.797751 -37.434712, 140.797074 -37.435148, 140.796444 -37.436098, 140.795746 -37.436666, 140.794955 -37.437813, 140.794387 -37.439888, 140.79372 -37.440549, 140.79312 -37.44188, 140.792577 -37.442686, 140.791816 -37.444343, 140.78959 -37.44626, 140.789359 -37.446523, 140.788236 -37.448977, 140.787688 -37.45049, 140.787703 -37.451166, 140.78772 -37.451972, 140.786937 -37.452579, 140.786648 -37.452559, 140.786166 -37.452526, 140.782893 -37.453778, 140.782478 -37.454388, 140.782091 -37.455319, 140.782056 -37.455461, 140.782028 -37.455497))</t>
  </si>
  <si>
    <t>P0879</t>
  </si>
  <si>
    <t>https://www.gem.wiki/Srikail_to_A_B_Pipeline</t>
  </si>
  <si>
    <t>Srikail to A-B Pipeline</t>
  </si>
  <si>
    <t>Srikail Gas Field (Location 2)-AB Pipeline Project</t>
  </si>
  <si>
    <t>Srikail Gas Field</t>
  </si>
  <si>
    <t>LINESTRING (90.99295 23.738702, 90.966916 23.741944)</t>
  </si>
  <si>
    <t>P0881</t>
  </si>
  <si>
    <t>https://www.gem.wiki/Tarakandi-Jamalpur_Gas_Pipeline</t>
  </si>
  <si>
    <t>Tarakandi-Jamalpur Gas Pipeline</t>
  </si>
  <si>
    <t>Jamalpur</t>
  </si>
  <si>
    <t>LINESTRING (89.826123 24.686113, 89.946014 24.921741)</t>
  </si>
  <si>
    <t>P1187</t>
  </si>
  <si>
    <t>https://www.gem.wiki/South_Gippsland_Natural_Gas_Pipeline</t>
  </si>
  <si>
    <t>South Gippsland Natural Gas Pipeline</t>
  </si>
  <si>
    <t>SGNGP</t>
  </si>
  <si>
    <t>Lang Lang</t>
  </si>
  <si>
    <t>Korumburra, Leongatha, Inverloch and Wonthaggi</t>
  </si>
  <si>
    <t>MULTILINESTRING ((145.619783 -38.583149, 145.619849 -38.583143, 145.620046 -38.58308, 145.621875 -38.582483, 145.622281 -38.582996, 145.628092 -38.583629, 145.630979 -38.58391, 145.632431 -38.584104, 145.638221 -38.584702, 145.641602 -38.585693, 145.644724 -38.586387, 145.64916 -38.587535, 145.65796 -38.589683, 145.667228 -38.590466, 145.674505 -38.591129), (145.674505 -38.591129, 145.676935 -38.589477, 145.681834 -38.587174, 145.688516 -38.584606, 145.695209 -38.585601, 145.695261 -38.585628, 145.695277 -38.585679, 145.695161 -38.586391, 145.695194 -38.586434, 145.69525 -38.586458, 145.710132 -38.587779, 145.710182 -38.587753, 145.710208 -38.587716, 145.710935 -38.582674, 145.716009 -38.582485, 145.717176 -38.581584), (145.717176 -38.581584, 145.71983 -38.579532, 145.720271 -38.579376, 145.720992 -38.573877, 145.722487 -38.570112, 145.724353 -38.567465, 145.726223 -38.565259, 145.729856 -38.56318, 145.733193 -38.561493, 145.74034 -38.55692, 145.744894 -38.55259, 145.746819 -38.549797, 145.748436 -38.547039, 145.751982 -38.542811, 145.754753 -38.540491), (145.754753 -38.540491, 145.757584 -38.53813, 145.760196 -38.534913, 145.761459 -38.53301, 145.762988 -38.531205, 145.764962 -38.531405, 145.765856 -38.52936, 145.771186 -38.526169, 145.775357 -38.523331, 145.776578 -38.522545, 145.778182 -38.521409, 145.782048 -38.517315, 145.784075 -38.516022, 145.785044 -38.515572, 145.786411 -38.515851, 145.786482 -38.515842, 145.787765 -38.51511, 145.794808 -38.510363, 145.795484 -38.506286, 145.793164 -38.502899, 145.793156 -38.502863, 145.793208 -38.502549), (145.793208 -38.502549, 145.794208 -38.496497, 145.79806 -38.491556, 145.800836 -38.489952, 145.801944 -38.488107, 145.80404 -38.486309, 145.804072 -38.486266, 145.805072 -38.480404, 145.803775 -38.479058, 145.802816 -38.474272, 145.801894 -38.47164, 145.801615 -38.47005, 145.801066 -38.46955, 145.800466 -38.467449, 145.803737 -38.464375, 145.804167 -38.463201, 145.805387 -38.461521, 145.806973 -38.457535), (145.924256 -38.486184, 145.930832 -38.487044), (145.861791 -38.472076, 145.862667 -38.473401, 145.866645 -38.475001, 145.867862 -38.475278, 145.868583 -38.475005, 145.87086 -38.475867, 145.888793 -38.477895, 145.891018 -38.479042, 145.891838 -38.480719, 145.89473 -38.48225, 145.899244 -38.482693, 145.899638 -38.482827, 145.900501 -38.483082, 145.924256 -38.486184), (145.807011 -38.457365, 145.807144 -38.457406, 145.807498 -38.457254, 145.808973 -38.457403, 145.810184 -38.457566, 145.811589 -38.457694, 145.812395 -38.457794, 145.813539 -38.457996, 145.818013 -38.458944, 145.819865 -38.459388, 145.821961 -38.457914, 145.8237 -38.458038, 145.824906 -38.458193, 145.826273 -38.457754, 145.828645 -38.456717, 145.830543 -38.457535, 145.83139 -38.458403, 145.840035 -38.458423, 145.842876 -38.460467, 145.846193 -38.462694, 145.846554 -38.463108, 145.847571 -38.46372, 145.848193 -38.464213, 145.850045 -38.464396, 145.854247 -38.466043, 145.854766 -38.466782, 145.861473 -38.471691, 145.861673 -38.471897, 145.861791 -38.472076), (145.765884 -38.427789, 145.766644 -38.427719, 145.767124 -38.428459, 145.770735 -38.428786, 145.772389 -38.429529, 145.773816 -38.429141, 145.774485 -38.429119, 145.775123 -38.429253, 145.77607 -38.429189, 145.779102 -38.429855, 145.780389 -38.43032, 145.781397 -38.431587, 145.782829 -38.431751, 145.783405 -38.434379, 145.78404 -38.434625, 145.784243 -38.435119, 145.790264 -38.442545, 145.792428 -38.445601, 145.79458 -38.447778, 145.800699 -38.454239, 145.805715 -38.456823, 145.806686 -38.457296, 145.806884 -38.457341), (145.764486 -38.427839, 145.764886 -38.427885, 145.765236 -38.427855), (145.765236 -38.427855, 145.765884 -38.427789), (145.708762 -38.414134, 145.710609 -38.414564, 145.712925 -38.414606, 145.717042 -38.415281, 145.719415 -38.415401, 145.720933 -38.415178, 145.722868 -38.415264, 145.723375 -38.414854, 145.727654 -38.41449, 145.730346 -38.415183, 145.736693 -38.416541, 145.739555 -38.418301, 145.740111 -38.419852, 145.741414 -38.420305, 145.747348 -38.424416, 145.74833 -38.424792, 145.750144 -38.425204, 145.752265 -38.425381, 145.753341 -38.425805, 145.756302 -38.426123, 145.756704 -38.426678, 145.757296 -38.42678, 145.757359 -38.42679, 145.758878 -38.426765, 145.760446 -38.426565, 145.762634 -38.427622, 145.764486 -38.427839), (145.667595 -38.378602, 145.671043 -38.389503, 145.673151 -38.390082, 145.674866 -38.395379, 145.676392 -38.395786, 145.679477 -38.398545, 145.682899 -38.399951, 145.683297 -38.39997, 145.685039 -38.401109, 145.693244 -38.40403, 145.69463 -38.408712, 145.695234 -38.410036, 145.695274 -38.410072, 145.695516 -38.410169, 145.696521 -38.410054, 145.698042 -38.410107, 145.698374 -38.41124, 145.701093 -38.412653, 145.701135 -38.412697, 145.701469 -38.413344, 145.702753 -38.413737, 145.704669 -38.413988, 145.708762 -38.414134), (145.6296 -38.343493, 145.631258 -38.343702, 145.633401 -38.343869, 145.633989 -38.344021, 145.636775 -38.343857, 145.638755 -38.346428, 145.640461 -38.349174, 145.642294 -38.350214, 145.643727 -38.352422, 145.647327 -38.355831, 145.649505 -38.356842, 145.649794 -38.357128, 145.650106 -38.357964, 145.650403 -38.358185, 145.650852 -38.358733, 145.65089 -38.359121, 145.651502 -38.359372, 145.651494 -38.359988, 145.651954 -38.360148, 145.652628 -38.361805, 145.653899 -38.362267, 145.655255 -38.362719, 145.657049 -38.364086, 145.660443 -38.365496, 145.66116 -38.368069, 145.663774 -38.370621, 145.663721 -38.372367, 145.665432 -38.373789, 145.667188 -38.377313, 145.667595 -38.378602), (145.606532 -38.325609, 145.606634 -38.325633, 145.605338 -38.332006, 145.615325 -38.333927, 145.61575 -38.333951, 145.619149 -38.3346, 145.620976 -38.335165, 145.624051 -38.33591, 145.62535 -38.336612, 145.626079 -38.337522, 145.625879 -38.338141, 145.626901 -38.338922, 145.626925 -38.338954, 145.62767 -38.340821, 145.627225 -38.34309, 145.627476 -38.343352, 145.628006 -38.343295, 145.6296 -38.343493), (145.601022 -38.321737, 145.600842 -38.32171, 145.600722 -38.322183, 145.600518 -38.323172, 145.600463 -38.323913, 145.600635 -38.324133, 145.60289 -38.324424, 145.605015 -38.325436, 145.605311 -38.325459, 145.606532 -38.325609))</t>
  </si>
  <si>
    <t>P1044</t>
  </si>
  <si>
    <t>https://www.gem.wiki/Second_Suruga_Trunk_Pipeline</t>
  </si>
  <si>
    <t>Second Suruga Trunk Pipeline</t>
  </si>
  <si>
    <t>Shizuoka Gas [100.00%]</t>
  </si>
  <si>
    <t>Fuji City</t>
  </si>
  <si>
    <t>LINESTRING (138.16004 34.68247, 138.677055 35.162105)</t>
  </si>
  <si>
    <t>P1188</t>
  </si>
  <si>
    <t>https://www.gem.wiki/South_West_Queensland_Pipeline</t>
  </si>
  <si>
    <t>South West Queensland Pipeline</t>
  </si>
  <si>
    <t>QSN Link, SWQP, Ballera to Wallumbilla Pipeline</t>
  </si>
  <si>
    <t>Cooper Basin</t>
  </si>
  <si>
    <t>MULTILINESTRING ((140.204 -28.122, 140.27 -28.106, 140.501 -27.986, 140.726 -27.816, 141 -27.704), (149.183 -26.692, 149.098 -26.681, 148.797 -26.7, 148.612 -26.677, 148.489 -26.702, 148.391 -26.687, 148.282 -26.698, 147.651 -26.683, 147.485 -26.662, 146.925 -26.654, 146.539 -26.611, 146.178 -26.642, 145.859 -26.709, 145.523 -26.736, 145.333 -26.777, 144.991 -26.809, 144.883 -26.834, 144.811 -26.824, 144.543 -26.843, 143.77 -26.946, 143.217 -26.97, 142.955 -27.039, 142.749 -27.061, 142.57 -27.115, 142.514 -27.136, 142.356 -27.28, 142.22 -27.332, 142.061 -27.36, 141.923 -27.363, 141.818 -27.398), (141 -27.704, 141.095 -27.67, 141.134 -27.624, 141.239 -27.562, 141.422 -27.52, 141.786 -27.405, 141.805 -27.385))</t>
  </si>
  <si>
    <t>P1045</t>
  </si>
  <si>
    <t>https://www.gem.wiki/Shiga_Gas_Pipeline</t>
  </si>
  <si>
    <t>Shiga Gas Pipeline</t>
  </si>
  <si>
    <t>Taga Governor Station</t>
  </si>
  <si>
    <t>LINESTRING (135.938019 35.026878, 136.345402 35.209579)</t>
  </si>
  <si>
    <t>P1046</t>
  </si>
  <si>
    <t>https://www.gem.wiki/Shin_Nagaoka_Gas_Pipeline</t>
  </si>
  <si>
    <t>Shin Nagaoka Gas Pipeline</t>
  </si>
  <si>
    <t>250, 400</t>
  </si>
  <si>
    <t>Nagaoka City</t>
  </si>
  <si>
    <t>Joetsu City</t>
  </si>
  <si>
    <t>LINESTRING (138.8417703709181 37.451511828057264, 138.24167592236873 37.138110168357535)</t>
  </si>
  <si>
    <t>P1047</t>
  </si>
  <si>
    <t>https://www.gem.wiki/Shin_Oumi_Gas_Pipeline</t>
  </si>
  <si>
    <t>Shin Oumi Gas Pipeline</t>
  </si>
  <si>
    <t>LINESTRING (138.23462 37.172408, 137.857548 37.04318)</t>
  </si>
  <si>
    <t>P1189</t>
  </si>
  <si>
    <t>https://www.gem.wiki/Spring_Gully_to_Wallumbilla_Pipeline</t>
  </si>
  <si>
    <t>Spring Gully to Wallumbilla Pipeline</t>
  </si>
  <si>
    <t>Origin Energy Limited [100.00%]</t>
  </si>
  <si>
    <t>Spring Gully</t>
  </si>
  <si>
    <t>LINESTRING (149.064132 -25.945761, 149.065646 -25.947122, 149.065631 -25.954912, 149.066857 -25.957182, 149.068219 -25.958113, 149.069711 -25.962762, 149.069774 -25.963934, 149.074467 -25.977007, 149.07284 -25.983617, 149.073631 -25.98601, 149.070843 -25.995589, 149.06999 -25.999245, 149.069455 -25.999761, 149.069064 -26.000992, 149.068369 -26.003182, 149.06811 -26.003993, 149.068231 -26.004108, 149.068795 -26.004464, 149.068977 -26.004652, 149.069311 -26.005468, 149.069593 -26.006564, 149.069999 -26.007023, 149.070385 -26.007358, 149.070477 -26.007531, 149.070581 -26.008694, 149.070788 -26.011024, 149.071018 -26.013394, 149.070891 -26.014322, 149.071257 -26.015588, 149.072177 -26.017677, 149.07245 -26.018522, 149.073085 -26.020345, 149.073158 -26.020533, 149.073555 -26.020782, 149.075442 -26.022828, 149.076825 -26.024282, 149.076924 -26.024423, 149.076986 -26.024576, 149.077474 -26.026437, 149.077856 -26.027965, 149.078099 -26.029008, 149.078123 -26.029062, 149.078187 -26.029106, 149.078765 -26.029386, 149.079522 -26.029746, 149.081393 -26.030582, 149.08165 -26.030821, 149.085402 -26.034544, 149.089668 -26.045258, 149.091576 -26.049972, 149.092476 -26.052197, 149.09354 -26.054824, 149.099155 -26.06102, 149.100611 -26.063662, 149.107302 -26.070005, 149.109834 -26.085392, 149.109905 -26.086758, 149.111414 -26.092221, 149.111173 -26.102712, 149.109672 -26.12247, 149.115903 -26.138533, 149.11752 -26.150624, 149.118326 -26.154675, 149.118174 -26.155546, 149.119008 -26.160227, 149.118776 -26.178174, 149.120378 -26.182082, 149.121945 -26.194655, 149.124887 -26.209448, 149.121941 -26.218585, 149.121837 -26.219154, 149.118316 -26.224879, 149.119876 -26.249767, 149.122022 -26.284021, 149.124027 -26.310281, 149.123543 -26.313388, 149.123543 -26.315978, 149.123547 -26.328981, 149.124038 -26.343432, 149.1239 -26.344266, 149.12382 -26.345322, 149.123944 -26.348667, 149.125168 -26.349563, 149.132341 -26.358346, 149.13237 -26.358821, 149.132948 -26.380482, 149.132618 -26.391834, 149.13358 -26.402847, 149.137161 -26.417698, 149.135108 -26.431931, 149.133793 -26.437788, 149.133844 -26.439006, 149.133483 -26.442191, 149.132853 -26.447395, 149.132571 -26.452421, 149.132434 -26.457223, 149.133072 -26.46219, 149.13316 -26.462874, 149.137549 -26.473993, 149.139917 -26.477457, 149.140183 -26.481995, 149.148033 -26.498296, 149.146611 -26.507634, 149.144175 -26.523535, 149.144133 -26.523811, 149.14292 -26.531721, 149.141888 -26.538476, 149.141715 -26.539602, 149.142172 -26.539677, 149.141651 -26.543088, 149.140997 -26.544976, 149.140952 -26.545106, 149.140941 -26.545139, 149.141215 -26.549989, 149.143555 -26.556137, 149.144005 -26.560099, 149.145069 -26.563837, 149.144917 -26.566319, 149.144869 -26.566522, 149.150972 -26.57375, 149.151526 -26.574039, 149.151588 -26.574479, 149.157162 -26.58108, 149.157018 -26.586309, 149.156856 -26.587341, 149.156733 -26.588144, 149.156596 -26.588241, 149.153431 -26.608826, 149.153306 -26.609613, 149.158858 -26.618586, 149.160306 -26.620853, 149.161534 -26.622912, 149.162722 -26.624901, 149.164298 -26.627541, 149.165373 -26.629437, 149.166898 -26.634394, 149.168364 -26.639077, 149.170946 -26.646926, 149.171401 -26.648358, 149.172462 -26.651688, 149.173032 -26.653812, 149.173225 -26.656704, 149.173547 -26.661477, 149.175084 -26.665445, 149.175971 -26.667788, 149.1777 -26.672249, 149.181048 -26.68119, 149.183382 -26.687343, 149.183487 -26.687618, 149.184382 -26.690004, 149.184645 -26.690604, 149.184708 -26.690648, 149.186848 -26.690874, 149.186569 -26.692975, 149.186449 -26.693165, 149.186304 -26.694167, 149.185861 -26.694114)</t>
  </si>
  <si>
    <t>P0882</t>
  </si>
  <si>
    <t>https://www.gem.wiki/Titas_to_A-B_Pipeline</t>
  </si>
  <si>
    <t>Titas to A-B Pipeline</t>
  </si>
  <si>
    <t>Titas Gas Field</t>
  </si>
  <si>
    <t>LINESTRING (91.116667 23.983333, 90.995097 24.027465)</t>
  </si>
  <si>
    <t>P1048</t>
  </si>
  <si>
    <t>https://www.gem.wiki/Shin_Tokyo_Gas_Pipeline</t>
  </si>
  <si>
    <t>Shin Tokyo Gas Pipeline</t>
  </si>
  <si>
    <t>New Tokyo Line</t>
  </si>
  <si>
    <t>Fujioka</t>
  </si>
  <si>
    <t>LINESTRING (138.241472 37.164731, 139.075884 36.258743)</t>
  </si>
  <si>
    <t>P1049</t>
  </si>
  <si>
    <t>https://www.gem.wiki/Shin-Yachiyo_Gas_Pipeline</t>
  </si>
  <si>
    <t>Shin-Yachiyo Gas Pipeline</t>
  </si>
  <si>
    <t>Mobara</t>
  </si>
  <si>
    <t>Yachiyo</t>
  </si>
  <si>
    <t>LINESTRING (140.30071 35.450362, 140.104436 35.740754)</t>
  </si>
  <si>
    <t>P1050</t>
  </si>
  <si>
    <t>https://www.gem.wiki/Shiroishi-Koriyama_Gas_Pipeline</t>
  </si>
  <si>
    <t>Shiroishi-Koriyama Gas Pipeline</t>
  </si>
  <si>
    <t>Shiroishi</t>
  </si>
  <si>
    <t>LINESTRING (140.619677 38.004052, 140.358767 37.402501)</t>
  </si>
  <si>
    <t>P1051</t>
  </si>
  <si>
    <t>https://www.gem.wiki/Shizuoka_Gas_Pipeline</t>
  </si>
  <si>
    <t>Shizuoka Gas Pipeline</t>
  </si>
  <si>
    <t>Shizuoka Line</t>
  </si>
  <si>
    <t>Showa-cho</t>
  </si>
  <si>
    <t>LINESTRING (138.533457 35.628565, 138.934033 35.313377)</t>
  </si>
  <si>
    <t>P2184</t>
  </si>
  <si>
    <t>https://www.gem.wiki/Buenaventura-Yumbo_Gas_Pipeline</t>
  </si>
  <si>
    <t>Buenaventura-Yumbo Gas Pipeline</t>
  </si>
  <si>
    <t>Buenaventura</t>
  </si>
  <si>
    <t>Valle del Cauca</t>
  </si>
  <si>
    <t>Yumbo</t>
  </si>
  <si>
    <t>Gasoducto Buenaventura-Yumbo</t>
  </si>
  <si>
    <t>https://www.gem.wiki/Gasoducto_Buenaventura-Yumbo</t>
  </si>
  <si>
    <t>LINESTRING (-77.075801 3.90657, -77.07086477 3.92063765, -77.06844614 3.9272733, -77.05332968 3.92787654, -77.04063186 3.93511536, -77.0327713 3.9550218, -76.97049151 3.93571859, -76.95416574 3.87599647, -76.89067663 3.87117026, -76.87979278 3.86151775, -76.86588564 3.8699637, -76.86528099 3.84522888, -76.82295491 3.85789803, -76.7957453 3.79756709, -76.77034965 3.78308704, -76.76188444 3.73421508, -76.74495401 3.73542183, -76.73286085 3.75171276, -76.72741892 3.73783532, -76.71411644 3.74205891, -76.70867452 3.74990267, -76.69537204 3.72335427, -76.66513913 3.71551027, -76.66151118 3.61775617, -76.64337143 3.59422119, -76.59197549 3.60689394, -76.5369516 3.56585771, -76.50974198 3.56585771, -76.49220689 3.54714941, -76.490478 3.545451)</t>
  </si>
  <si>
    <t>P2185</t>
  </si>
  <si>
    <t>https://www.gem.wiki/Northwestern_Gas_Pipeline</t>
  </si>
  <si>
    <t xml:space="preserve">Northwestern Gas Pipeline </t>
  </si>
  <si>
    <t>Canacol Energy [unknown %]</t>
  </si>
  <si>
    <t>Jobo Gas fields</t>
  </si>
  <si>
    <t>Medellín</t>
  </si>
  <si>
    <t>Antioquia</t>
  </si>
  <si>
    <t>Gasoducto Noroccidente</t>
  </si>
  <si>
    <t>Etapa 1</t>
  </si>
  <si>
    <t>https://www.gem.wiki/Gasoducto_Noroccidente</t>
  </si>
  <si>
    <t>LINESTRING (-75.38632 8.641459, -75.580185 6.249318)</t>
  </si>
  <si>
    <t>P2186</t>
  </si>
  <si>
    <t>Ballena-Cartagena-Jobo Pipeline, Gasoducto Ballena-Cartagena-Jobo</t>
  </si>
  <si>
    <t>10, 12, 20</t>
  </si>
  <si>
    <t>Ballena gas fields</t>
  </si>
  <si>
    <t>Ballena</t>
  </si>
  <si>
    <t>La Guajira</t>
  </si>
  <si>
    <t>Gasoducto de la Costa Atlántica</t>
  </si>
  <si>
    <t>MULTILINESTRING ((-72.722667 11.695213, -72.886365 11.531629, -73.017653 11.472538, -73.072964 11.3891617, -73.119976 11.28097, -73.312477 11.264693, -73.552439 11.249646, -74.242211 11.017228, -74.289976 10.98913, -74.311305 10.981126, -74.385036 10.972171, -74.443315 10.971202, -74.537814 10.989276, -74.76447 10.934965, -74.844677 10.85408, -75.367814 10.494749, -75.493986 10.349857, -75.428544 9.622149, -75.438486 9.362283, -75.38632 8.641459), (-75.438486 9.362283, -75.094309 9.406774))</t>
  </si>
  <si>
    <t>P2187</t>
  </si>
  <si>
    <t>Phase 2 Expansion</t>
  </si>
  <si>
    <t>Mamonal-Paiva-Caracolí Gas Pipeline</t>
  </si>
  <si>
    <t>Mamonal</t>
  </si>
  <si>
    <t>Caracolí</t>
  </si>
  <si>
    <t>Atlántico</t>
  </si>
  <si>
    <t>Gasoducto Mamonal-Paiva-Caracolí</t>
  </si>
  <si>
    <t>Ampliación, Etapa 2</t>
  </si>
  <si>
    <t>P2188</t>
  </si>
  <si>
    <t>Croatia, Serbia</t>
  </si>
  <si>
    <t>https://www.gem.wiki/Interconnector_Croatia-Serbia</t>
  </si>
  <si>
    <t>Interconnector Croatia-Serbia</t>
  </si>
  <si>
    <t>Slobodnica-Sotin-Bačko Novo Selo</t>
  </si>
  <si>
    <t>NIS [unknown %]; Plinacro [unknown %]</t>
  </si>
  <si>
    <t>Bačko Novo Selo</t>
  </si>
  <si>
    <t>Interkonekcija sa Srbijom</t>
  </si>
  <si>
    <t>LINESTRING (17.8431 45.1202, 18.0263 45.1972, 18.0726 45.1756, 18.0953 45.1752, 18.1426 45.1739, 18.2841 45.1743, 18.3247 45.1873, 18.3736 45.2067, 18.4235 45.226, 18.4687 45.238, 18.5094 45.2501, 18.5491 45.2519, 18.6008 45.2491, 18.6502 45.2503, 18.7928 45.2466, 18.8436 45.2442, 18.8932 45.2442, 18.9778 45.2442, 19.0177 45.2696, 19.0866 45.3071, 19.1282 45.3322, 19.9894833867689 45.405629764489625)</t>
  </si>
  <si>
    <t>P2189</t>
  </si>
  <si>
    <t>https://www.gem.wiki/Omi%C5%A1alj-Zlobin-Bosiljevo-Sisak-Kozarac-Slobodnica_LNG_main_evacuation_pipeline</t>
  </si>
  <si>
    <t>Omišalj-Zlobin-Bosiljevo-Sisak-Kozarac-Slobodnica LNG main evacuation pipeline</t>
  </si>
  <si>
    <t>Phase One</t>
  </si>
  <si>
    <t>Omišalj-Zlobin Gas Pipeline</t>
  </si>
  <si>
    <t>Krk LNG Terminal</t>
  </si>
  <si>
    <t>Krk</t>
  </si>
  <si>
    <t>Zlobin</t>
  </si>
  <si>
    <t>LINESTRING (14.5574 45.2106, 14.6858 45.3141, 14.7657 45.3228, 14.8134 45.361, 14.8688 45.3743, 14.9299 45.382, 15.0062 45.3724, 15.0654 45.3553, 15.136 45.3705)</t>
  </si>
  <si>
    <t>P2190</t>
  </si>
  <si>
    <t>Phase Two (A)</t>
  </si>
  <si>
    <t>Bosiljevo-Sisak Pipeline, Zlobin-Bosiljevo-Sisak-Kozarac Pipeline</t>
  </si>
  <si>
    <t>Kozarac</t>
  </si>
  <si>
    <t>LINESTRING (15.136 45.3705, 15.2047 45.3782, 15.2696 45.3705, 15.3402 45.3801, 15.3994 45.403, 15.4624 45.4354, 15.5254 45.4488, 15.6036 45.4278, 15.678 45.4106, 15.7467 45.3953, 15.8155 45.3915, 15.888 45.3801, 15.9662 45.3724, 16.0388 45.3762, 16.1017 45.3762, 16.1838 45.3839, 16.2525 45.3991, 16.3212 45.4087, 16.3899 45.424, 16.4491 45.4469, 16.4892 45.4793, 16.5347 45.5175, 16.5722 45.4656)</t>
  </si>
  <si>
    <t>P2191</t>
  </si>
  <si>
    <t>Phase Two (B)</t>
  </si>
  <si>
    <t>Kozarac-Slobodnica Pipeline</t>
  </si>
  <si>
    <t>LINESTRING (16.5722 45.4656, 16.6295 45.4352, 16.685 45.4083, 16.7495 45.3797, 16.8067 45.3421, 16.8372 45.2956, 16.8998 45.2669, 16.9589 45.2383, 17.0323 45.2275, 17.0824 45.1971, 17.1397 45.1613, 17.2202 45.1595, 17.2847 45.1577, 17.3563 45.1559, 17.4261 45.1434, 17.4959 45.1237, 17.5586 45.0969, 17.623 45.0825, 17.6928 45.0772, 17.7716 45.0879, 17.8432 45.1201)</t>
  </si>
  <si>
    <t>P2194</t>
  </si>
  <si>
    <t>https://www.gem.wiki/Ellund-Aalborg_Gas_Pipeline</t>
  </si>
  <si>
    <t>Ellund-Aalborg Gas Pipeline</t>
  </si>
  <si>
    <t>North-South Main Transmission Pipeline</t>
  </si>
  <si>
    <t>Energinet [unknown %]</t>
  </si>
  <si>
    <t>Ellund (German border)</t>
  </si>
  <si>
    <t>Aabenraa</t>
  </si>
  <si>
    <t>Syddanmark</t>
  </si>
  <si>
    <t>Aalborg</t>
  </si>
  <si>
    <t>Nordjylland</t>
  </si>
  <si>
    <t>LINESTRING (9.288706 54.802543, 9.230634 55.597205, 9.414554 56.640003, 10.034576 57.055422)</t>
  </si>
  <si>
    <t>P2196</t>
  </si>
  <si>
    <t>Djibouti</t>
  </si>
  <si>
    <t>Ethiopia</t>
  </si>
  <si>
    <t>Djibouti, Ethiopia</t>
  </si>
  <si>
    <t>https://www.gem.wiki/Ethiopia%E2%80%93Djibouti_Gas_Pipeline</t>
  </si>
  <si>
    <t>Ethiopia–Djibouti Gas Pipeline</t>
  </si>
  <si>
    <t>GCL-Poly [100.00%]</t>
  </si>
  <si>
    <t>Hilala gas field</t>
  </si>
  <si>
    <t>Somali</t>
  </si>
  <si>
    <t>Damerdjog</t>
  </si>
  <si>
    <t>Arta</t>
  </si>
  <si>
    <t>LINESTRING (43.811535 6.081716, 42.361503 7.178823, 41.928722 9.604572, 42.58103 10.677035, 43.228 11.49563)</t>
  </si>
  <si>
    <t>P2197</t>
  </si>
  <si>
    <t>https://www.gem.wiki/Ramle-Elyakim_Gas_Pipeline</t>
  </si>
  <si>
    <t>Ramle-Elyakim Gas Pipeline</t>
  </si>
  <si>
    <t>Israel Natural Gas Lines [unknown %]</t>
  </si>
  <si>
    <t>Ramle</t>
  </si>
  <si>
    <t>Elyakim</t>
  </si>
  <si>
    <t>LINESTRING (35.07001 32.631921, 34.872926 31.931193)</t>
  </si>
  <si>
    <t>P2199</t>
  </si>
  <si>
    <t>Equatorial Guinea</t>
  </si>
  <si>
    <t>https://www.gem.wiki/Alen%E2%80%93Punta_Europa_Gas_Pipeline</t>
  </si>
  <si>
    <t>Alen–Punta Europa Gas Pipeline</t>
  </si>
  <si>
    <t>Atlas Petroleum International [unknown %]; GEPetrol [unknown %]; Glencore Exploration [unknown %]; Gunvor Resources [unknown %]; Noble Energy [unknown %]</t>
  </si>
  <si>
    <t>Atlas Petroleum International [unknown %]; Chevron [unknown %]; GEPetrol [unknown %]; Glencore Exploration [unknown %]; Gunvor Resources [unknown %]</t>
  </si>
  <si>
    <t>Alen offshore terminal</t>
  </si>
  <si>
    <t>Punta Europa petrochemical hub</t>
  </si>
  <si>
    <t>Bioko Norte</t>
  </si>
  <si>
    <t>LINESTRING (9.16 3.51, 8.926113 3.826376, 8.716426 3.77937)</t>
  </si>
  <si>
    <t>P2201</t>
  </si>
  <si>
    <t>https://www.gem.wiki/Monaco_Gas_Pipeline</t>
  </si>
  <si>
    <t>Monaco Gas Pipeline</t>
  </si>
  <si>
    <t>Monaco 1 Bavarian Gas Pipeline</t>
  </si>
  <si>
    <t>Bayernets [300.00%]</t>
  </si>
  <si>
    <t>Bayerngas GmbH [59.10%]; Stadtwerke München GmbH [32.40%]; Stadtwerke Augsburg Holding GmbH [8.50%]</t>
  </si>
  <si>
    <t>Finsing</t>
  </si>
  <si>
    <t>LINESTRING (11.81893651747055 48.21578706818795, 11.87301366495296 48.21639779444549, 12.08565600263729 48.21029020387738, 12.145232521050112 48.234716194572215, 12.193060609061744 48.22519657772612, 12.287090102192975 48.20979027385526, 12.307129174499634 48.221088683333406, 12.345665852012432 48.19848937110596, 12.566095647385648 48.19951682893198, 12.629295798506638 48.17382420115275, 12.658442038652897 48.18568978969413, 12.818669369095854 48.18205610499726)</t>
  </si>
  <si>
    <t>P2203</t>
  </si>
  <si>
    <t>https://www.gem.wiki/Wardenburg-Werne_Gas_Pipeline</t>
  </si>
  <si>
    <t>Wardenburg-Werne Gas Pipeline</t>
  </si>
  <si>
    <t>Open Grid Europe [unknown %]</t>
  </si>
  <si>
    <t>ADIA [unknown %]; BCI [unknown %]; MEAG [unknown %]; Macquarie Group Limited [unknown %]</t>
  </si>
  <si>
    <t>Wardenburg</t>
  </si>
  <si>
    <t>Oldenburg</t>
  </si>
  <si>
    <t>Werne</t>
  </si>
  <si>
    <t>Unna</t>
  </si>
  <si>
    <t>LINESTRING (8.240445 53.153377, 8.190078 53.007697, 8.151699 52.941006, 8.11003 52.865608, 8.109086 52.814926, 8.166755 52.727849, 8.211968 52.652954, 8.208719 52.518684, 8.094679 52.368966, 8.002569 52.323415, 7.976252 52.240231, 7.941163 52.202613, 7.879757 52.170343, 7.813964 52.105734, 7.783261 52.057215, 7.642904 51.981637, 7.493774 51.91946, 7.485002 51.805696)</t>
  </si>
  <si>
    <t>P2204</t>
  </si>
  <si>
    <t>https://www.gem.wiki/Werne-Gernsheim_Gas_Pipeline</t>
  </si>
  <si>
    <t>Werne-Gernsheim Gas Pipeline</t>
  </si>
  <si>
    <t>LINESTRING (8.236681 49.804105, 8.227908 49.962372, 8.175274 50.148236, 7.877015 50.274549, 7.762894 50.431218, 7.600687 50.570766, 7.368221 50.637577, 7.162071 50.757042, 7.065575 50.83744, 6.929604 50.975733, 6.919622 51.083369, 6.942763 51.15765, 7.122596 51.278532, 7.214705 51.333373, 7.318321 51.397624, 7.408427 51.438688, 7.425755 51.604728, 7.420855 51.737163, 7.485002 51.805696)</t>
  </si>
  <si>
    <t>P2205</t>
  </si>
  <si>
    <t>https://www.gem.wiki/Werne-Schl%C3%BCchtern-Rimpar_Gas_Pipeline</t>
  </si>
  <si>
    <t>Werne-Schlüchtern-Rimpar Gas Pipeline</t>
  </si>
  <si>
    <t>Rimpar</t>
  </si>
  <si>
    <t>Würzburg</t>
  </si>
  <si>
    <t>MULTILINESTRING ((9.5483 50.3528, 9.4967 50.4001, 9.4329 50.4767, 9.3785 50.5552, 9.3678 50.5838), (9.3678 50.5838, 9.2094 50.6499, 9.0518 50.7423, 9.049 50.7776, 9.0355 50.8075, 9.0137 50.8211, 8.9838 50.832, 8.9621 50.8401, 8.9512 50.8429, 8.9376 50.8456, 8.9158 50.8429, 8.8941 50.8456, 8.8805 50.8456, 8.8588 50.8592, 8.8479 50.8728, 8.8452 50.8782, 8.8397 50.8972, 8.8424 50.9271, 8.8343 50.9462, 8.8153 50.9625, 8.7935 50.9679, 8.7582 50.9733, 8.731 50.9788, 8.712 50.9978, 8.7038 51.0033, 8.6793 51.0196, 8.6658 51.0603, 8.6494 51.0902, 8.6087 51.1283, 8.5597 51.1419, 8.5244 51.1473, 8.5054 51.1473, 8.4863 51.1528, 8.4619 51.1718, 8.4564 51.1935, 8.4374 51.2343, 8.383 51.2724, 7.8366 51.5442, 7.5784 51.6832), (9.548 50.3525, 9.948338 49.841916))</t>
  </si>
  <si>
    <t>P2206</t>
  </si>
  <si>
    <t>https://www.gem.wiki/Atuabo%E2%80%93Aboadze_Gas_Pipeline</t>
  </si>
  <si>
    <t>Atuabo–Aboadze Gas Pipeline</t>
  </si>
  <si>
    <t>Ghana National Gas Company [100.00%]</t>
  </si>
  <si>
    <t>Atuabo</t>
  </si>
  <si>
    <t>Western</t>
  </si>
  <si>
    <t>Takoradi Thermal Power Station</t>
  </si>
  <si>
    <t>MULTILINESTRING ((-2.530492 4.979945, -2.490306 4.972795, -2.454483 4.971031, -2.430209 4.974582, -2.420609 4.974294, -2.414132 4.970465, -2.405046 4.971048, -2.373182 4.962066, -2.350396 4.947283, -2.340598 4.945861, -2.327866 4.939661, -2.295584 4.918617, -2.266073 4.908574, -2.246854 4.896094, -2.202608 4.899215, -2.117174 4.917112, -2.098347 4.92337, -1.982603 4.96497, -1.910334 4.964846, -1.876862 4.954608, -1.861459 4.965472, -1.803003 4.965456, -1.777666 4.976064, -1.759192 4.981166, -1.731285 5.001802, -1.696491 5.012353, -1.675136 5.0023, -1.665249 4.987186), (-2.340598 4.945861, -2.311847 4.959594, -2.271279 4.987009, -2.262524 5.026191, -2.205935 5.042358, -2.198678 5.135261, -2.177101 5.236397, -2.198817 5.275675, -2.205021 5.38202, -2.173462 5.431537, -2.153619 5.444461))</t>
  </si>
  <si>
    <t>P2207</t>
  </si>
  <si>
    <t>https://www.gem.wiki/Ghana%E2%80%93C%C3%B4te_d%27Ivoire_Gas_Pipeline</t>
  </si>
  <si>
    <t>Ghana–Cote d'Ivoire Gas Pipeline</t>
  </si>
  <si>
    <t>Ghana–Côte d'Ivoire border</t>
  </si>
  <si>
    <t>LINESTRING (-2.530492 4.979945, -3.10621 5.0926)</t>
  </si>
  <si>
    <t>P2208</t>
  </si>
  <si>
    <t>https://www.gem.wiki/Jubilee%E2%80%93Atuabo_Gas_Pipeline</t>
  </si>
  <si>
    <t>Jubilee–Atuabo Gas Pipeline</t>
  </si>
  <si>
    <t>Jubilee offshore oil &amp; gas field</t>
  </si>
  <si>
    <t>LINESTRING (-2.95 4.52, -2.530492 4.979945)</t>
  </si>
  <si>
    <t>P2209</t>
  </si>
  <si>
    <t>https://www.gem.wiki/Slovakia-Hungary_Interconnector_Gas_Pipeline</t>
  </si>
  <si>
    <t>Slovakia-Hungary Interconnector Gas Pipeline</t>
  </si>
  <si>
    <t>Serbian-Hungarian Gas Pipeline stage 2</t>
  </si>
  <si>
    <t>FGSZ [unknown %]</t>
  </si>
  <si>
    <t>MOL Group [unknown %]</t>
  </si>
  <si>
    <t>P2210</t>
  </si>
  <si>
    <t>https://www.gem.wiki/Dahej-Koyali_Refinery_Gas_Pipeline</t>
  </si>
  <si>
    <t>Dahej-Koyali Refinery Gas Pipeline</t>
  </si>
  <si>
    <t>Indian Oil Corporation [100.00%]</t>
  </si>
  <si>
    <t>Koyali</t>
  </si>
  <si>
    <t>Vadodara</t>
  </si>
  <si>
    <t>LINESTRING (72.536 21.6746, 73.120016 22.369774)</t>
  </si>
  <si>
    <t>P2211</t>
  </si>
  <si>
    <t>https://www.gem.wiki/Dahej-OPAL_Gas_Pipeline</t>
  </si>
  <si>
    <t>Dahej-OPAL Gas Pipeline</t>
  </si>
  <si>
    <t>ONGC Petro Additions Limited [unknown %]</t>
  </si>
  <si>
    <t>LINESTRING (72.536 21.6746, 72.6308323 21.69492)</t>
  </si>
  <si>
    <t>P2212</t>
  </si>
  <si>
    <t>https://www.gem.wiki/Dahej-Uran-Panvel-Dhabhol_Gas_Pipeline</t>
  </si>
  <si>
    <t>Uran-Panvel-Dhabhol Gas Pipeline</t>
  </si>
  <si>
    <t>DPPL</t>
  </si>
  <si>
    <t>GAIL (India) Limited [unknown %]</t>
  </si>
  <si>
    <t>Panvel</t>
  </si>
  <si>
    <t>Dabhol</t>
  </si>
  <si>
    <t>LINESTRING (73.0899344 19.0032678, 73.172884 17.5924158)</t>
  </si>
  <si>
    <t>P2213</t>
  </si>
  <si>
    <t>Nepal</t>
  </si>
  <si>
    <t>India, Nepal</t>
  </si>
  <si>
    <t>https://www.gem.wiki/Gorakhpur-Rupandehi_Gas_Pipeline</t>
  </si>
  <si>
    <t>Gorakhpur-Rupandehi Gas Pipeline</t>
  </si>
  <si>
    <t>Gorakhpur-Bhairahawa Gas Pipeline</t>
  </si>
  <si>
    <t>Indian Oil Corporation [unknown %]; Nepal Oil Corporation [unknown %]</t>
  </si>
  <si>
    <t>Gorakhpur</t>
  </si>
  <si>
    <t>Rupandehi</t>
  </si>
  <si>
    <t>LINESTRING (83.38846 26.761092, 83.360957 27.572028)</t>
  </si>
  <si>
    <t>P2214</t>
  </si>
  <si>
    <t>https://www.gem.wiki/Kanai_Chhata-Shrirampur_Gas_Pipeline</t>
  </si>
  <si>
    <t>Kanai Chhata-Shrirampur Gas Pipeline</t>
  </si>
  <si>
    <t>H-Energy [100.00%]</t>
  </si>
  <si>
    <t>Kanai Chhata</t>
  </si>
  <si>
    <t>Shrirampur</t>
  </si>
  <si>
    <t>MULTILINESTRING ((87.878 21.784, 87.825 22.196, 87.874 22.44, 88.325 22.73, 88.434 22.986, 88.565 23.189, 88.827 23.219), (87.825 22.196, 88.0616449 22.021794), (88.434 22.986, 87.9121199 23.203309))</t>
  </si>
  <si>
    <t>P2215</t>
  </si>
  <si>
    <t>https://www.gem.wiki/Langtala-Jodhpur-Pali_Gas_Pipeline</t>
  </si>
  <si>
    <t>Langtala-Jodhpur-Pali Gas Pipeline</t>
  </si>
  <si>
    <t>Langtala</t>
  </si>
  <si>
    <t>Pali</t>
  </si>
  <si>
    <t>LINESTRING (69.771 27.144, 69.891 27.202, 70.037 27.242, 70.617 27.235, 71.222 27.054, 71.532 26.837, 71.735 26.637, 72.465 26.476, 72.675 26.366, 73.195 26.333, 73.258 26.291, 73.348 26.199, 73.355 26.181, 73.451 26.148, 73.515 26.094, 73.518 26.076, 73.627 26.045, 73.69 25.955, 73.792 25.91)</t>
  </si>
  <si>
    <t>P2216</t>
  </si>
  <si>
    <t>https://www.gem.wiki/Mumbai-Nagpur-Jharsuguda_Gas_Pipeline</t>
  </si>
  <si>
    <t>Mumbai-Nagpur-Jharsuguda Gas Pipeline</t>
  </si>
  <si>
    <t>Mumbai</t>
  </si>
  <si>
    <t>MULTILINESTRING ((73.263244 19.308792, 73.338379 19.549197, 73.523533 19.673056, 73.598668 19.703374, 73.633552 19.738738, 73.826756 19.847308, 73.85359 19.854879, 73.998494 19.854879, 74.065579 19.837211, 74.2883 19.84226, 74.417103 19.875069, 74.484188 19.88264, 74.591524 20.023889, 74.655925 20.039016, 74.910848 20.104546, 75.006108 20.112106, 75.10271 20.124704, 75.177845 20.14234, 75.255664 20.147379, 75.346899 20.157455, 75.435451 20.182643, 75.566938 20.2179, 75.725258 20.255666, 75.913096 20.29594, 76.079466 20.313557, 76.141184 20.331171, 76.267304 20.348784, 76.68323 20.537363, 76.836183 20.622776, 76.911318 20.657932, 76.946202 20.670486, 77.042805 20.675507, 77.496298 20.670486, 77.64791 20.655421, 77.774029 20.655421, 77.94845 20.680528, 78.026269 20.718181, 78.104087 20.743278, 78.155071 20.758334, 78.227523 20.748296, 78.299975 20.72822, 78.471712 20.723201, 78.506596 20.710651, 78.554897 20.705631, 78.621982 20.740768, 78.697117 20.813526, 78.726634 20.841114, 78.815186 20.873713, 78.871538 20.87622, 78.922522 20.968959, 78.96009 21.029083, 78.988265 21.03284, 79.044617 21.025326, 79.133169 21.070405, 79.213671 21.112966, 79.243188 21.120476, 79.321006 21.168028, 79.366624 21.20806, 79.409558 21.228072, 79.439076 21.238077, 79.546411 21.238077, 79.600079 21.278089, 79.659114 21.305592, 79.731566 21.370578, 79.769133 21.398063, 79.812067 21.415551, 79.887203 21.438032, 79.981121 21.477991, 80.053573 21.520434, 80.117974 21.577838, 80.147492 21.5978, 80.168959 21.60279, 80.190426 21.617758, 80.273611 21.555379, 80.295078 21.542899, 80.313862 21.433037, 80.380947 21.348086, 80.434615 21.295592, 80.477549 21.200555, 80.5017 21.143002, 80.515117 21.135494, 80.566101 21.1405, 80.600985 21.130488, 80.619769 21.115469, 80.705638 21.122979, 80.843833 21.178037, 80.908234 21.190547, 80.988736 21.185543, 81.03167 21.180539, 81.114855 21.200555, 81.211458 21.268087, 81.254392 21.295592, 81.426129 21.308092, 81.549565 21.33059, 81.638117 21.348086, 81.697152 21.395564, 81.75082 21.468002, 81.823272 21.582829, 81.855472 21.692578, 81.89304 21.782311, 81.937316 21.847083, 81.993667 21.884439, 82.111736 21.93423, 82.240539 21.996446, 82.28884 22.011373, 82.479361 22.011373, 82.514246 22.023812, 82.753068 22.028787, 82.927488 22.028787, 83.005307 22.021324, 83.107276 21.969074, 83.163627 21.904358, 83.238762 21.867008, 83.335364 21.83712, 83.456117 21.814701, 83.720431 21.815947, 83.961937 21.830893, 84.09074 21.875723, 84.09074 21.940453), (78.976861 21.030336, 78.970153 21.070405, 78.908434 21.211812, 78.903068 21.306842, 78.913801 21.619006, 78.979544 22.001422, 78.983569 22.077285, 78.998328 22.109607, 79.011745 22.132912, 79.160674 22.320454, 79.30826 22.49411, 79.686619 22.906902, 79.838231 23.063769, 79.984476 23.162489, 80.015335 23.188083, 80.005943 23.289176))</t>
  </si>
  <si>
    <t>P2217</t>
  </si>
  <si>
    <t>https://www.gem.wiki/Abadi_Gas_Pipeline</t>
  </si>
  <si>
    <t>Abadi Gas Pipeline</t>
  </si>
  <si>
    <t>Shell [63.00%]; INPEX [35.00%]</t>
  </si>
  <si>
    <t>Masela Field</t>
  </si>
  <si>
    <t>Saumlaki</t>
  </si>
  <si>
    <t>Maluku</t>
  </si>
  <si>
    <t>LINESTRING (131.319732 -9.082283, 131.341276 -7.991214)</t>
  </si>
  <si>
    <t>P2218</t>
  </si>
  <si>
    <t>https://www.gem.wiki/BOB_Siak_Gas_Pipeline</t>
  </si>
  <si>
    <t>BOB Siak Gas Pipeline</t>
  </si>
  <si>
    <t>LINESTRING (101.694385 0.575978, 102.398583 0.68851)</t>
  </si>
  <si>
    <t>P2225</t>
  </si>
  <si>
    <t>Iran, Oman</t>
  </si>
  <si>
    <t>https://www.gem.wiki/Iran-Oman_Gas_Pipeline</t>
  </si>
  <si>
    <t>Iran-Oman Gas Pipeline</t>
  </si>
  <si>
    <t>Iran Ministry of Petroleum [unknown %]</t>
  </si>
  <si>
    <t>Rudan County</t>
  </si>
  <si>
    <t>Kūh-e Mobārak</t>
  </si>
  <si>
    <t>Hormozgan</t>
  </si>
  <si>
    <t>Sohar port</t>
  </si>
  <si>
    <t>LINESTRING (57.347288 25.843336, 57.1607 25.0899, 56.721953 24.377131)</t>
  </si>
  <si>
    <t>P2227</t>
  </si>
  <si>
    <t>https://www.gem.wiki/Russian_Federation-Turkey_Natural_Gas_Main_Transmission_Line</t>
  </si>
  <si>
    <t>Russian Federation – Turkey Natural Gas Main Transmission Line</t>
  </si>
  <si>
    <t>Rusya Federasyonu (batı), Russia Westward - Turkey Main Transmission Line</t>
  </si>
  <si>
    <t>Malkoclar</t>
  </si>
  <si>
    <t>LINESTRING (32.8106995 39.9821014, 32.7094002 39.9747009, 32.612999 39.9376984, 32.612999 39.8674011, 32.4730988 39.8414993, 32.3572998 39.8637009, 32.2801018 39.9487991, 32.0679016 39.9229012, 31.9713993 39.7710991, 31.9039001 39.7970009, 31.8556004 39.8156013, 31.7206001 39.7970009, 31.6772003 39.8488998, 31.4648991 39.8156013, 31.4118996 39.8674011, 30.9969997 39.8193016, 30.7751007 39.8969994, 30.5869999 39.8637009, 30.5387993 39.9118004, 30.1142998 39.9784012, 29.8199997 40.0780983, 29.7380009 40.0411987, 29.5160999 40.1260986, 29.4920006 40.1997986, 29.2266998 40.2661018, 29.2507992 40.3470001, 29.3327999 40.4351997, 29.4533997 40.486599, 29.5450993 40.7392998, 29.6077995 40.7685013, 29.4678993 40.8779984, 29.2364006 40.7904015, 28.9661999 40.8852997, 28.8167 40.9071999, 28.7154007 41.0965004, 28.5804005 41.1618996, 28.2907009 41.1114006, 28.0098 41.1764984, 27.9265003 41.2206993, 27.7196007 41.2787018, 27.5722008 41.4227982, 27.4081993 41.5167999, 27.4227009 41.6575012, 27.3645992 41.8147011, 27.2998009 41.8492012, 27.2595997 42.0283012)</t>
  </si>
  <si>
    <t>P2231</t>
  </si>
  <si>
    <t>https://www.gem.wiki/North_Gas-Baiji_gas_pipeline</t>
  </si>
  <si>
    <t>North Gas-Baiji Gas Pipeline</t>
  </si>
  <si>
    <t>Kirkuk- Baiji Gas Pipeline</t>
  </si>
  <si>
    <t>Baiji</t>
  </si>
  <si>
    <t xml:space="preserve"> انبوب غاز كركوك -بيجي</t>
  </si>
  <si>
    <t>P2232</t>
  </si>
  <si>
    <t>https://www.gem.wiki/North_Gas-K1_gas_pipeline</t>
  </si>
  <si>
    <t>North Gas-K1 Gas Pipeline</t>
  </si>
  <si>
    <t xml:space="preserve"> انبوب غاز الشمال- -كيلو١</t>
  </si>
  <si>
    <t>P2233</t>
  </si>
  <si>
    <t>https://www.gem.wiki/North_Gas-Taji_gas_pipeline</t>
  </si>
  <si>
    <t>North Gas-Taji Gas Pipeline</t>
  </si>
  <si>
    <t xml:space="preserve"> انبوب غازالشمال -تاجي</t>
  </si>
  <si>
    <t>P2234</t>
  </si>
  <si>
    <t>https://www.gem.wiki/North_Rumela-Khor_Al-Zubair_gas_pipeline</t>
  </si>
  <si>
    <t>North Rumela-Khor Al-Zubair Gas Pipeline</t>
  </si>
  <si>
    <t xml:space="preserve">Rumela Oil field </t>
  </si>
  <si>
    <t xml:space="preserve"> انبوب غاز شمال الرميلة -خور الزوبير </t>
  </si>
  <si>
    <t>LINESTRING (47.41109932732805 30.230524300546808, 47.708711018644806 30.380370870363556)</t>
  </si>
  <si>
    <t>P2235</t>
  </si>
  <si>
    <t>https://www.gem.wiki/Methanization_of_Sardinia_Project</t>
  </si>
  <si>
    <t>Methanization of Sardinia Project</t>
  </si>
  <si>
    <t>ENURA SpA [unknown %]</t>
  </si>
  <si>
    <t>Gasdotti Italia S.p.A. [unknown %]; Snam [unknown %]</t>
  </si>
  <si>
    <t>10, 26, 8, 16, 6</t>
  </si>
  <si>
    <t>Olbia</t>
  </si>
  <si>
    <t>MULTILINESTRING ((8.827 39.4464578, 8.835 39.4438051, 8.865 39.4421376, 8.875 39.437198, 8.889 39.4377188, 8.903 39.4403224, 8.916 39.4392809), (8.953 39.2207961, 8.989 39.2284762, 8.999 39.2215664, 9.019 39.2296278, 9.058 39.2195511, 9.07 39.2253092, 9.076 39.2247334, 9.079 39.2224301, 9.085 39.2163841, 9.087 39.2140809), (8.7039557 39.869659, 8.6707112 39.786746, 8.6760561 39.776725, 8.6787285 39.768708, 8.6814009 39.752005, 8.6874138 39.735302, 8.7001078 39.724613, 8.7174785 39.707242, 8.7261639 39.695884, 8.7281682 39.681186, 8.7341811 39.675841, 8.7361855 39.671164, 8.733513 39.65847, 8.7442027 39.639095, 8.7482113 39.621725, 8.7475432 39.613039, 8.7528881 39.562263, 8.7542243 39.547565, 8.7609053 39.539548, 8.7836209 39.530862, 8.7861225 39.50855, 8.797105 39.496469, 8.8152262 39.473406, 8.8267579 39.446499, 8.8322491 39.436614, 8.8327983 39.424534, 8.8300526 39.417395, 8.8399369 39.394881, 8.8415843 39.383349, 8.8410352 39.372366, 8.8459773 39.35754, 8.8525668 39.3515, 8.8580581 39.346558, 8.8613529 39.335575, 8.8734337 39.330084, 8.896497 39.305922, 8.9069304 39.298234, 8.9184621 39.274622, 8.9299937 39.263639, 8.9349359 39.261443, 8.9527276 39.220807, 8.9670049 39.204334, 8.9730453 39.186762, 8.9994033 39.168091, 8.9905931 39.138155, 8.9978145 39.129579, 8.9969118 39.121455, 9.0045845 39.116491), (8.7032674 39.867886, 8.6624247 39.868244, 8.6466086 39.86278, 8.6339556 39.848114, 8.6293546 39.843513, 8.6215903 39.840637, 8.615839 39.840062, 8.5991601 39.847251, 8.5775927 39.846101, 8.5709786 39.854728), (8.6352301 39.896372, 8.6448103 39.883598, 8.6618417 39.881603, 8.6624177 39.868238), (8.6601969 39.721358, 8.6866882 39.705536, 8.7021414 39.687508, 8.71042 39.687508, 8.7185145 39.681437, 8.728204 39.681176), (8.647718 39.556399, 8.6679742 39.5663, 8.7047474 39.601398, 8.7132906 39.605565, 8.7301686 39.610774, 8.7475485 39.613031), (8.7525383 39.472292, 8.7742583 39.476082, 8.7863477 39.482742, 8.7950561 39.494626, 8.7960917 39.497597), (8.7856084 39.513219, 8.8057474 39.514257, 8.8175779 39.521619, 8.8556983 39.546857, 8.8767302 39.551326, 8.8861946 39.554481, 8.895277 39.553458), (8.4542408 39.171794, 8.4652707 39.17575, 8.4650309 39.196012, 8.4699464 39.203925, 8.5071124 39.220589, 8.5226982 39.237254, 8.5560451 39.243288, 8.5869891 39.272129, 8.6008088 39.277237, 8.6074182 39.288653, 8.6617955 39.311185, 8.6927395 39.310584, 8.7059583 39.319897, 8.7269882 39.321399, 8.7498207 39.330713, 8.7786617 39.337322, 8.7867732 39.341528, 8.7969878 39.351142, 8.8117087 39.355949, 8.833039 39.355348, 8.8499158 39.353895), (8.9069416 39.298237, 8.9167205 39.301644, 8.9461479 39.303451, 8.9541894 39.303509, 8.9706804 39.294011, 9.0010502 39.314504, 9.0146702 39.311099, 9.0293116 39.31842, 9.0436125 39.310248, 9.0628506 39.294415), (8.3156964 40.830843, 8.3167895 40.812807, 8.3736309 40.767443, 8.4414033 40.70623, 8.4452292 40.68874, 8.463812 40.679995, 8.4731034 40.665238, 8.5048034 40.646109, 8.527212 40.637911, 8.553993 40.601292, 8.5627379 40.588174, 8.5709361 40.582162, 8.5758551 40.572324, 8.5993568 40.548823, 8.6108344 40.543904, 8.6091948 40.526414, 8.6015431 40.515483, 8.6190327 40.480504, 8.6157534 40.469573, 8.6310569 40.4652, 8.6441741 40.444431, 8.6682224 40.425302, 8.6758741 40.422569, 8.6800389 40.399712, 8.69097 40.394793, 8.6855045 40.366373, 8.6887838 40.357081, 8.6986217 40.344511, 8.7161114 40.318823, 8.7248562 40.301333, 8.7319614 40.289309, 8.7321384 40.259773, 8.7337565 40.249255, 8.7483194 40.239547, 8.7483194 40.212848, 8.7531736 40.196667, 8.7709727 40.161878, 8.7798723 40.155406, 8.7847265 40.114144, 8.7895808 40.104436, 8.7871537 40.073692, 8.7831084 40.052657, 8.7677365 40.034857, 8.7369927 39.985505, 8.725666 39.963661, 8.7240479 39.924018, 8.723722 39.911438, 8.7039563 39.86966), (8.3554163 40.572939, 8.360807 40.59495, 8.3693421 40.656044, 8.3787758 40.668173, 8.3998892 40.671318, 8.4425651 40.691084, 8.448405 40.696025, 8.4555925 40.709502, 8.4614324 40.710849, 8.4767059 40.713095, 8.4802997 40.718486, 8.4928778 40.717588, 8.5000654 40.713095), (8.5640285 40.273251, 8.5841143 40.283089, 8.5980514 40.285138, 8.6037902 40.289238, 8.6497005 40.284319, 8.6693764 40.287188, 8.680854 40.293337, 8.714057 40.290877, 8.7321276 40.287444), (8.7239944 39.922506, 8.7347112 39.921603, 8.7464096 39.912112, 8.7804491 39.89832), (8.7527664 40.198026, 8.7717324 40.21016, 8.7744547 40.218872, 8.7891551 40.225949, 8.8539456 40.228127, 8.8670126 40.234116, 8.8942355 40.234661, 8.9029468 40.23575, 8.9263585 40.231394, 8.9410589 40.233027, 8.953037 40.229216, 8.9873378 40.231939, 9.0183719 40.253172, 9.0227276 40.247183, 9.0488616 40.250995, 9.0543062 40.248272, 9.0717288 40.249906, 9.1054852 40.266239, 9.1381527 40.272773, 9.1452307 40.28094, 9.1593866 40.283118, 9.1827983 40.290196, 9.1898762 40.293462, 9.2040321 40.309252, 9.2192769 40.309252, 9.276445 40.339741, 9.2973483 40.334369), (8.7319938 40.287452, 8.743845 40.320088, 8.7553097 40.341811, 8.8210808 40.38767, 8.8216842 40.41784, 8.8295284 40.436545, 8.8247012 40.463699, 8.8307352 40.473353, 8.828925 40.483611, 8.8325454 40.490248, 8.8343557 40.502317, 8.8536646 40.519815, 8.8669395 40.53128, 8.8778008 40.566277, 8.8778008 40.581363, 8.9043506 40.608516, 8.907971 40.625411, 8.9270355 40.635906, 8.9870491 40.65591, 9.0109255 40.673979, 9.0122161 40.679787, 9.0309301 40.684304, 9.0541611 40.712052, 9.108367 40.740445, 9.1232091 40.743672, 9.1457948 40.763677, 9.1574104 40.767548, 9.183868 40.774001, 9.1877398 40.777228, 9.2296848 40.779164, 9.2393644 40.774001, 9.2651767 40.783681, 9.2922797 40.800459, 9.3077671 40.809493, 9.3277716 40.816592, 9.3490667 40.818528, 9.3639088 40.825626, 9.3735884 40.83337, 9.4064991 40.837242, 9.4168241 40.841759, 9.4277943 40.848857, 9.4419911 40.857891, 9.4594144 40.861118, 9.4968422 40.86628), (8.7370542 40.526489, 8.7466526 40.519072, 8.7590869 40.521254, 8.7758841 40.526489, 8.7900636 40.519509, 8.7968261 40.518854, 8.8282391 40.518854, 8.8464605 40.513256))</t>
  </si>
  <si>
    <t>P2236</t>
  </si>
  <si>
    <t>https://www.gem.wiki/TAP_Interconnection_Gas_Pipeline</t>
  </si>
  <si>
    <t>TAP Interconnection Gas Pipeline</t>
  </si>
  <si>
    <t>Progetto di Interconnessione TAP</t>
  </si>
  <si>
    <t>Snam Rete Gas S.P.A [unknown %]</t>
  </si>
  <si>
    <t>Snam [unknown %]</t>
  </si>
  <si>
    <t>Azerbaijan (via Trans-Adriatic Pipeline)</t>
  </si>
  <si>
    <t>LINESTRING (18.31378 40.275141, 17.885854 40.583513)</t>
  </si>
  <si>
    <t>P2237</t>
  </si>
  <si>
    <t>https://www.gem.wiki/Northern_Kyushu_Gas_Pipeline</t>
  </si>
  <si>
    <t>Northern Kyushu Gas Pipeline</t>
  </si>
  <si>
    <t>Kitakyushu-Fukuoka Gas Pipeline</t>
  </si>
  <si>
    <t>Hibiki Liquid Natural Gas Terminal</t>
  </si>
  <si>
    <t>Shingu</t>
  </si>
  <si>
    <t>LINESTRING (130.752303 33.915867, 130.455062 33.699555)</t>
  </si>
  <si>
    <t>P2239</t>
  </si>
  <si>
    <t>https://www.gem.wiki/Klaipeda-Kursenai_Gas_Pipeline</t>
  </si>
  <si>
    <t>Klaipeda-Kursenai Gas Pipeline</t>
  </si>
  <si>
    <t>AB Amber Grid [unknown %]</t>
  </si>
  <si>
    <t>EPSO-G [unknown %]; Other [unknown %]</t>
  </si>
  <si>
    <t>Kursenai</t>
  </si>
  <si>
    <t>LINESTRING (21.160638 55.7, 22.938466 55.998097)</t>
  </si>
  <si>
    <t>P2241</t>
  </si>
  <si>
    <t>https://www.gem.wiki/Cuxtal_Gas_Pipeline</t>
  </si>
  <si>
    <t>Cuxtal Gas Pipeline</t>
  </si>
  <si>
    <t>Nuevo Pemex processing center</t>
  </si>
  <si>
    <t>Cactus processing center</t>
  </si>
  <si>
    <t>Gasoducto Cuxtal</t>
  </si>
  <si>
    <t>https://www.gem.wiki/Gasoducto_Cuxtal#Detalles_del_proyecto</t>
  </si>
  <si>
    <t>LINESTRING (-93.119699 17.864064, -93.193326 17.901117)</t>
  </si>
  <si>
    <t>P2242</t>
  </si>
  <si>
    <t>Expansion, Phase II</t>
  </si>
  <si>
    <t>Ampliación, Fase II</t>
  </si>
  <si>
    <t>P2243</t>
  </si>
  <si>
    <t>https://www.gem.wiki/Los_Ramones-Cempoala_Gas_Pipeline</t>
  </si>
  <si>
    <t>Los Ramones-Cempoala Gas Pipeline</t>
  </si>
  <si>
    <t>Los Ramones</t>
  </si>
  <si>
    <t>Cempoala</t>
  </si>
  <si>
    <t>Gasoducto Los Ramones-Cempoala</t>
  </si>
  <si>
    <t>https://www.gem.wiki/Gasoducto_Los_Ramones-Cempoala</t>
  </si>
  <si>
    <t>LINESTRING (-99.459929 25.682397, -97.896091 22.491871, -97.682312 21.350303, -97.406105 20.953385, -96.375974 19.51619)</t>
  </si>
  <si>
    <t>P2244</t>
  </si>
  <si>
    <t>https://www.gem.wiki/Morelos_Gas_Pipeline</t>
  </si>
  <si>
    <t>Morelos Gas Pipeline</t>
  </si>
  <si>
    <t>Macquarie [100.00%]</t>
  </si>
  <si>
    <t>Macquarie Group Limited [100.00%]</t>
  </si>
  <si>
    <t>Tlaxco</t>
  </si>
  <si>
    <t>Huexca</t>
  </si>
  <si>
    <t>Morelos</t>
  </si>
  <si>
    <t>Gasoducto Morelos</t>
  </si>
  <si>
    <t>https://www.gem.wiki/Gasoducto_Morelos</t>
  </si>
  <si>
    <t>LINESTRING (-98.339599 19.569869, -98.32698246 19.56154209, -98.31929279 19.5492237, -98.32390659 19.53980311, -98.31852383 19.50863881, -98.32852039 19.49776613, -98.32621349 19.47674354, -98.33390316 19.43106437, -98.32236866 19.40785734, -98.32313763 19.34547202, -98.31775486 19.28959516, -98.30545139 19.28233702, -98.30929623 19.25184934, -98.30237553 19.22861682, -98.31391003 19.20029775, -98.34082386 19.20102394, -98.36619976 19.18432074, -98.36850666 19.13710687, -98.39003772 19.11821755, -98.40541705 19.07897897, -98.40003429 19.03100809, -98.41233775 19.01719572, -98.37696529 18.96847979, -98.36850666 18.96775257, -98.36927562 18.93793418, -98.36081699 18.93138796, -98.36543079 18.90229057, -98.37542735 18.89792552, -98.36927562 18.8768262, -98.40157222 18.86809467, -98.40772395 18.85790731, -98.45078608 18.84626385, -98.48769648 18.82006312, -98.55305864 18.81351229, -98.56074831 18.82224667, -98.58074144 18.81278441, -98.659945 18.81787954, -98.6737864 18.81351229, -98.68839676 18.81933526, -98.6991623 18.81278441, -98.70300713 18.78803445, -98.74222443 18.75672783, -98.75452789 18.72395886, -98.78374862 18.73269787, -98.78451759 18.74070824, -98.83373145 18.7559997, -98.83296248 18.76692132, -98.87217978 18.76764941, -98.87756255 18.7727459, -98.88525221 18.7727459, -98.89140395 18.78075436, -98.88371428 18.78439445, -98.88525221 18.78949043, -98.87855 18.801525)</t>
  </si>
  <si>
    <t>P2245</t>
  </si>
  <si>
    <t>https://www.gem.wiki/S%C3%A1sabe-Guaymas_Gas_Pipeline</t>
  </si>
  <si>
    <t>Sásabe-Guaymas Gas Pipeline</t>
  </si>
  <si>
    <t>Gasoducto Sásabe-Guaymas</t>
  </si>
  <si>
    <t>https://www.gem.wiki/Gasoducto_S%C3%A1sabe-Guaymas</t>
  </si>
  <si>
    <t>MULTILINESTRING ((-111.571888 31.491108, -111.545298 31.454068, -111.915 31.27145, -112.028 30.89079, -112.248 30.54488, -112.341 30.26646, -112.36 30.00434, -111.831 29.54863, -111.752 29.37754, -111.607 29.31636, -111.527 29.25107, -111.485 29.17348, -111.466 29.10401, -111.391 29.04267, -111.359 28.88303, -111.312 28.64515, -111.289 28.57121, -111.19 28.49312, -111.143 28.36969, -111.055 28.1719, -110.91 28.0481, -110.86580133777757 27.9310466440578), (-112.36 30.00434, -112.6933 29.907))</t>
  </si>
  <si>
    <t>P2246</t>
  </si>
  <si>
    <t>https://www.gem.wiki/Sistema_Nacional_de_Gasoductos_(SNG)</t>
  </si>
  <si>
    <t>Sistema Nacional de Gasoductos (SNG)</t>
  </si>
  <si>
    <t>4, 8, 10, 12, 16, 18, 20, 24, 26, 30, 32, 36, 40, 42, 48</t>
  </si>
  <si>
    <t>Ciudad Pemex</t>
  </si>
  <si>
    <t>https://www.gem.wiki/Sistema_Nacional_de_Gasoductos</t>
  </si>
  <si>
    <t>MULTILINESTRING ((-106.461112 31.45222, -106.395427 29.892039, -103.260155 25.773315, -100.547995 25.698712, -99.459615 25.682706, -98.095241 23.793119, -97.905992 22.485112, -97.808102 22.188398, -97.680207 21.639341, -97.380431 20.986512, -97.200187 20.645834, -96.376213 19.515204, -96.387353 19.378389, -96.132459 19.020939, -95.94625 18.892458, -95.888271 18.845433, -95.839605 18.818788, -95.637731 18.716878, -95.541598 18.159889, -94.691576 18.079042, -94.043036 18.093326, -93.440714 17.915949, -93.193382 17.90086, -93.12918981268172 17.906763748144186, -92.491029 17.887894), (-99.459615 25.682706, -98.486312 26.010062), (-102.163206 17.939267, -102.291794 18.384296, -101.995163 18.491125, -101.9663245 18.6440889, -102.140732 18.826161, -101.99592 19.418149, -101.336192 19.55617, -101.125326 20.548584, -100.122254 20.450329, -96.798352 19.498628, -96.376213 19.515204), (-100.122254 20.450329, -96.739988 18.823421, -95.541598 18.159889, -94.691576 18.079042), (-94.691576 18.079042, -95.19943 16.161725), (-101.125326 20.548584, -103.533834 20.437878), (-96.376213 19.515204, -96.739988 18.823421))</t>
  </si>
  <si>
    <t>P2247</t>
  </si>
  <si>
    <t>Yuma Lateral Pipeline</t>
  </si>
  <si>
    <t>Los Algodones</t>
  </si>
  <si>
    <t>Colorado River</t>
  </si>
  <si>
    <t>Gasoducto Yuma Lateral</t>
  </si>
  <si>
    <t>LINESTRING (-114.7541566 32.7137673, -114.719944 32.717943)</t>
  </si>
  <si>
    <t>P2248</t>
  </si>
  <si>
    <t>https://www.gem.wiki/Tendrara_Export_Pipeline</t>
  </si>
  <si>
    <t>Tendrara Export Pipeline</t>
  </si>
  <si>
    <t>Tendrara gas fields</t>
  </si>
  <si>
    <t>Figuig</t>
  </si>
  <si>
    <t>Oriental</t>
  </si>
  <si>
    <t>Jerada</t>
  </si>
  <si>
    <t>LINESTRING (-2.000753 33.050155, -1.990135 34.025084)</t>
  </si>
  <si>
    <t>P2249</t>
  </si>
  <si>
    <t>https://www.gem.wiki/African_Renaissance_Gas_Pipeline</t>
  </si>
  <si>
    <t>African Renaissance Gas Pipeline</t>
  </si>
  <si>
    <t>China National Petroleum Corporation [unknown %]; Empresa Nacional de Hidrocarbonetos de Mozambique [unknown %]; Profin Consulting [unknown %]; Progas Investment Group [unknown %]</t>
  </si>
  <si>
    <t>Rovuma gas fields</t>
  </si>
  <si>
    <t>Bacia do Rovuma</t>
  </si>
  <si>
    <t>Cabo Delgado</t>
  </si>
  <si>
    <t>LINESTRING (40.474 -10.774, 40.373 -11.041, 40.354 -11.363, 40.222 -11.62, 40.153 -11.835, 40.167 -12.135, 40.185 -12.301, 40.157 -12.368, 40.034 -12.6, 40.02 -12.717, 39.974 -12.984, 39.929 -13.203, 39.883 -13.252, 39.874 -13.475, 39.924 -13.541, 39.942 -13.706, 40.029 -13.888, 39.984 -14.27, 39.672 -14.647, 39.42 -14.908, 39.137 -15.129, 38.862 -15.332, 38.752 -15.341, 38.546 -15.451, 38.258 -15.429, 37.891 -15.621, 37.659 -15.812, 37.402 -16.171, 37.227 -16.418, 37.169 -16.577, 37.086 -16.696, 37.053 -17.005, 36.954 -17.124, 36.68 -17.322, 36.506 -17.401, 36.15 -17.488, 35.818 -17.544, 35.561 -17.757, 35.329 -17.852, 35.014 -18.372, 34.997 -18.466, 34.906 -18.553, 34.806 -18.851, 34.806 -19.008, 34.782 -19.071, 34.5 -19.321, 34.475 -19.407, 34.533 -19.595, 34.549 -19.751, 34.508 -20.11, 34.541 -20.428, 35.067 -21.728, 33.51 -23.648, 32.843 -24.399, 32.119 -25.436, 31.823 -25.51, 31.601 -25.548, 31.313 -25.6, 31.288 -25.703, 31.198 -25.74, 31.066 -25.733, 30.901 -25.823, 30.736 -25.823, 30.597 -26.076, 30.26 -26.2, 29.547 -26.515, 29.24 -26.647, 29.01 -26.515, 28.621 -26.479)</t>
  </si>
  <si>
    <t>P2250</t>
  </si>
  <si>
    <t>https://www.gem.wiki/GasNosu_North%E2%80%93South_Gas_Pipeline</t>
  </si>
  <si>
    <t>GasNosu North–South Gas Pipeline</t>
  </si>
  <si>
    <t>PGPN Phase 4</t>
  </si>
  <si>
    <t>Empresa Nacional de Hidrocarbonetos de Mozambique [unknown %]; Gigajoule International [unknown %]</t>
  </si>
  <si>
    <t>Palma</t>
  </si>
  <si>
    <t>Richards Bay</t>
  </si>
  <si>
    <t>LINESTRING (40.472306 -10.775229, 39.26490544547393 -15.11465890355538, 34.41652144787818 -19.374273631226753, 33.82575197572085 -19.97849888380094, 33.88686605904747 -20.80909943291108, 34.51278202836165 -21.657697508249694, 34.87054606597257 -23.688267886954105, 32.311991130330824 -25.853724558191256)</t>
  </si>
  <si>
    <t>P2251</t>
  </si>
  <si>
    <t>https://www.gem.wiki/Matola_Gas_Company_Pipeline</t>
  </si>
  <si>
    <t>Matola Gas Company Pipeline</t>
  </si>
  <si>
    <t>Gasoduto de Matola, Gasoduto MGC</t>
  </si>
  <si>
    <t>Empresa Nacional de Hidrocarbonetos de Mozambique [50.40%]; Gigajoule International [49.60%]</t>
  </si>
  <si>
    <t>Ressano Garcia</t>
  </si>
  <si>
    <t>LINESTRING (31.991431 -25.440589, 32.433792 -25.888101, 32.601177 -25.959418)</t>
  </si>
  <si>
    <t>P2252</t>
  </si>
  <si>
    <t>https://www.gem.wiki/Zawtika_Gas_Pipeline</t>
  </si>
  <si>
    <t>Zawtika Gas Pipeline</t>
  </si>
  <si>
    <t>Thailand Exploration and Production International [80.00%]; Myanma Oil and Gas Enterprise [20.00%]</t>
  </si>
  <si>
    <t>Zawtika gas field</t>
  </si>
  <si>
    <t>Zawtika</t>
  </si>
  <si>
    <t>Kanbauk</t>
  </si>
  <si>
    <t>Tanintharyi</t>
  </si>
  <si>
    <t>LINESTRING (98.035254 14.593032, 97.1818673 13.2354576)</t>
  </si>
  <si>
    <t>P2253</t>
  </si>
  <si>
    <t>LINESTRING (96.442 13.618, 98.152 13.984, 98.24 14.094, 98.605 14.356)</t>
  </si>
  <si>
    <t>P2254</t>
  </si>
  <si>
    <t>South Africa, Namibia</t>
  </si>
  <si>
    <t>https://gem.wiki/Phased_Gas_Pipeline_Network</t>
  </si>
  <si>
    <t>Phased Gas Pipeline Network</t>
  </si>
  <si>
    <t>Abraham Villiers Bay–Oranjemund</t>
  </si>
  <si>
    <t>PGPN Phase 6</t>
  </si>
  <si>
    <t>Transnet [100.00%]</t>
  </si>
  <si>
    <t>Kudu offshore gas field</t>
  </si>
  <si>
    <t>Oranjemund</t>
  </si>
  <si>
    <t>ǁKaras</t>
  </si>
  <si>
    <t>Alexander Villiersbaai</t>
  </si>
  <si>
    <t>Northern Cape</t>
  </si>
  <si>
    <t>LINESTRING (16.417535 -28.609291, 17.665794 -30.979993)</t>
  </si>
  <si>
    <t>P2256</t>
  </si>
  <si>
    <t>Expansion (ELPS II)</t>
  </si>
  <si>
    <t>Looping Expansion of Escravos-Lagos Gas Pipeline System</t>
  </si>
  <si>
    <t>LINESTRING (3.3683804 6.5027996, 3.9471174 7.3711725, 4.5156164 7.5291285, 5.1939794 7.2839985, 5.6515804 7.0659925, 5.7759844 5.5545046)</t>
  </si>
  <si>
    <t>P2258</t>
  </si>
  <si>
    <t>https://www.gem.wiki/Johan_Sverdrup_Gas_Pipeline</t>
  </si>
  <si>
    <t>Johan Sverdrup Gas Pipeline</t>
  </si>
  <si>
    <t>Johan Sverdrup oil field</t>
  </si>
  <si>
    <t>Johan Sverdrup</t>
  </si>
  <si>
    <t>Statpipe</t>
  </si>
  <si>
    <t>Johan Sverdrup gassrør</t>
  </si>
  <si>
    <t>LINESTRING (2.55823 58.838336, 2.557166 58.846679, 2.557889 58.850062, 2.561237 58.854172, 2.5671 58.857559, 2.573507 58.859507, 2.613626 58.867351, 2.672438 58.885819, 2.778711 58.902463, 3.477101 59.024373, 3.585657 59.042201, 3.677422 59.058247, 3.714383 59.063557, 3.7461 59.069664, 3.771415 59.073185, 3.82007 59.082481, 3.849266 59.086676, 3.871401 59.09144, 3.905639 59.097109, 3.931872 59.100335, 3.965108 59.107048, 4.031628 59.117268, 4.053997 59.121645, 4.62092 59.213421, 4.769013 59.236496, 4.802942 59.238149, 4.852559 59.236432, 4.864407 59.237181, 4.876001 59.238915, 4.893519 59.24381, 4.998816 59.283694, 5.022198 59.294056, 5.029119 59.298108, 5.034581 59.302696, 5.054176 59.326808)</t>
  </si>
  <si>
    <t>P2259</t>
  </si>
  <si>
    <t>https://www.gem.wiki/Fahud-Sohar_Gas_Pipeline</t>
  </si>
  <si>
    <t>Fahud-Sohar Gas Pipeline</t>
  </si>
  <si>
    <t>Oman Oil Company SAOC [unknown %]</t>
  </si>
  <si>
    <t>Sultanate of Oman [unknown %]</t>
  </si>
  <si>
    <t>Fahud oilfield</t>
  </si>
  <si>
    <t>LINESTRING (56.49767 22.309248, 56.608625 24.483609)</t>
  </si>
  <si>
    <t>P2265</t>
  </si>
  <si>
    <t>https://www.gem.wiki/Goleni%C3%B3w-Lw%C3%B3wek_Gas_Pipeline</t>
  </si>
  <si>
    <t>Goleniów-Lwówek 1</t>
  </si>
  <si>
    <t>Goleniów</t>
  </si>
  <si>
    <t>Pomerania</t>
  </si>
  <si>
    <t>Ciecierzyce</t>
  </si>
  <si>
    <t>Lubusz</t>
  </si>
  <si>
    <t>LINESTRING (14.8341434 53.5622814, 15.1001934 53.3212956, 15.1127699 53.1708312, 15.2610544 53.0394564, 15.2805655 52.7845112, 15.3351966 52.7597971, 15.3338958 52.7038653, 15.4574662 52.5946031, 15.5745329 52.6037083, 15.7800499 52.6011068, 15.9539636 52.5097289, 16.1805889 52.4483647)</t>
  </si>
  <si>
    <t>P2266</t>
  </si>
  <si>
    <t>Goleniów-Lwówek 2</t>
  </si>
  <si>
    <t>Lwówek</t>
  </si>
  <si>
    <t>Nowy Tomyśl</t>
  </si>
  <si>
    <t>P2267</t>
  </si>
  <si>
    <t>https://www.gem.wiki/Lw%C3%B3wek-Odalon%C3%B3w_Gas_Pipeline</t>
  </si>
  <si>
    <t>Lwówek-Odlonów Gas Pipeline</t>
  </si>
  <si>
    <t>LINESTRING (17.685757 51.573096, 17.674312 51.583764, 17.655237 51.58969, 17.639023 51.588505, 17.623764 51.581986, 17.604689 51.579023, 17.585614 51.58495, 17.553187 51.593838, 17.538881 51.596208, 17.521714 51.603317, 17.504546 51.606279, 17.473073 51.627597, 17.454952 51.63411, 17.435877 51.641804, 17.409173 51.651865, 17.383422 51.655415, 17.374838 51.655415, 17.350994 51.666656, 17.312845 51.67612, 17.284233 51.675528, 17.279464 51.689129, 17.270404 51.697701, 17.247514 51.704794, 17.222717 51.712477, 17.217948 51.723113, 17.197919 51.734928, 17.172169 51.743787, 17.141649 51.750872, 17.11399 51.754415, 17.090147 51.756777, 17.07298 51.76327, 17.058674 51.768582, 17.04246 51.769763, 16.997634 51.785105, 16.973791 51.796903, 16.92515 51.819901, 16.891769 51.834048, 16.869833 51.846423, 16.84599 51.859383, 16.839314 51.869395, 16.825961 51.874106, 16.806887 51.877639, 16.800211 51.885293, 16.804026 51.895299, 16.81857 51.918541, 16.811894 51.929716, 16.814755 51.948532, 16.81094 51.956173, 16.792819 51.9597, 16.792819 51.971452, 16.785189 51.983202, 16.781374 51.986726, 16.764207 51.986726, 16.762299 51.994948, 16.745371 52.008159, 16.718666 52.024594, 16.687193 52.037503, 16.661442 52.045716, 16.641413 52.046889, 16.624246 52.053928, 16.60231 52.062137, 16.570836 52.08793, 16.561299 52.104336, 16.5489 52.112536, 16.547947 52.118979, 16.536502 52.126591, 16.529826 52.138885, 16.517427 52.150591, 16.505982 52.158198, 16.486908 52.168728, 16.481185 52.176917, 16.475463 52.194459, 16.484046 52.204397, 16.484046 52.221344, 16.463064 52.236532, 16.442082 52.242373, 16.423961 52.246461, 16.4211 52.253467, 16.422053 52.27273, 16.416331 52.285567, 16.409655 52.296651, 16.393441 52.303067, 16.385811 52.304233, 16.381519 52.314146, 16.370075 52.329886, 16.356722 52.344454, 16.332879 52.355523, 16.315711 52.36193, 16.314758 52.37416, 16.279469 52.403845, 16.258487 52.407918, 16.225106 52.415481, 16.188864 52.428858, 16.149761 52.445719, 16.130686 52.456182, 16.113519 52.47129, 16.097305 52.474195)</t>
  </si>
  <si>
    <t>P2270</t>
  </si>
  <si>
    <t>https://www.gem.wiki/Rembelszczyzna-Mory_Gas_Pipeline</t>
  </si>
  <si>
    <t>Rembelszczyzna-Mory Gas Pipeline</t>
  </si>
  <si>
    <t>Rembelszczyzna</t>
  </si>
  <si>
    <t>Mory</t>
  </si>
  <si>
    <t>LINESTRING (21.0294383 52.3783234, 20.9696877 52.3629005, 20.9658489 52.3544132, 20.9565952 52.3557044, 20.9474491 52.3435455, 20.9528291 52.3288041, 20.9669249 52.315892, 20.9517467 52.3085372, 20.9376406 52.2990477, 20.9366147 52.2926358, 20.9396924 52.2875063, 20.9350759 52.2823768, 20.9268687 52.2785297, 20.9276381 52.2744261, 20.9250734 52.2687837, 20.9163533 52.2654495, 20.9109673 52.2610895, 20.9055813 52.2541647, 20.8932706 52.2469834, 20.8814728 52.241341, 20.8873717 52.2336467, 20.8855764 52.2287737, 20.8791645 52.2231313, 20.8689055 52.2162065)</t>
  </si>
  <si>
    <t>P2271</t>
  </si>
  <si>
    <t>https://www.gem.wiki/Skocz%C3%B3w-Komorowice-O%C5%9Bwi%C4%99cim_Gas_Pipeline</t>
  </si>
  <si>
    <t>Skoczów-Komorowice-Oświęcim Gas Pipeline</t>
  </si>
  <si>
    <t>Skoczów</t>
  </si>
  <si>
    <t>Oświęcim</t>
  </si>
  <si>
    <t>LINESTRING (18.791131 49.8026062, 18.8217595 49.8023403, 18.8441821 49.8051431, 18.8628676 49.8140187, 18.8904287 49.8270986, 18.9123842 49.8256971, 18.9231283 49.8266314, 18.9315368 49.8299014, 18.9642364 49.8551268, 18.9717106 49.8588639, 19.0025417 49.8672724, 19.0361756 49.8714766, 19.0539268 49.8724109, 19.0693423 49.876148, 19.0898964 49.8826879, 19.1207275 49.9051105, 19.1403472 49.9233289, 19.1482886 49.9303359, 19.1651055 49.9401458, 19.183791 49.9480871, 19.1889295 49.9635027, 19.1865938 49.9868596, 19.1847253 50.0027422, 19.1795868 50.0176906, 19.1800539 50.025632, 19.1861267 50.0321719, 19.194068 50.0363761, 19.2118193 50.0438503)</t>
  </si>
  <si>
    <t>P2272</t>
  </si>
  <si>
    <t>https://www.gem.wiki/Szczecin_-_Lw%C3%B3wek_to_Dolna_Odra_Gas_Pipeline</t>
  </si>
  <si>
    <t>Szczecin - Lwówek to Dolna Odra Gas Pipeline</t>
  </si>
  <si>
    <t>DN 700 MOP Szczecin - Lwówek gas pipeline and the planned DN 1000 MOP 8.4 MPa gas pipeline</t>
  </si>
  <si>
    <t>Nowe Czarnowo</t>
  </si>
  <si>
    <t>Gryfino</t>
  </si>
  <si>
    <t>West Pomeranian Voivodeship</t>
  </si>
  <si>
    <t>LINESTRING (15.146123108824062 53.127189582363386, 15.073293322756838 53.117865731291545, 14.906270432407178 53.09804583105297, 14.787800707856844 53.17086818094448, 14.631839977979846 53.15345695509353, 14.481464623182537 53.18391663214742, 14.471164939731475 53.25093400355797, 14.449878930604918 53.284608631704565)</t>
  </si>
  <si>
    <t>P2273</t>
  </si>
  <si>
    <t>https://www.gem.wiki/Twor%C3%B3rog-K%C4%99dzierzyn_Gas_Pipeline</t>
  </si>
  <si>
    <t>Tworórog-Kędzierzyn Gas Pipeline</t>
  </si>
  <si>
    <t>Tworóg</t>
  </si>
  <si>
    <t>LINESTRING (18.7154188 50.530218, 18.6788358 50.49064, 18.61318 50.488709, 18.5365816 50.446869, 18.5269263 50.432708, 18.4327809 50.413858, 18.3989652 50.387261, 18.3788277 50.388021, 18.3640095 50.362944, 18.2283664 50.348126)</t>
  </si>
  <si>
    <t>P2275</t>
  </si>
  <si>
    <t>https://www.gem.wiki/Zdzieszowice-Wroc%C5%82aw_Gas_Pipeline</t>
  </si>
  <si>
    <t>Zdzieszowice-Wrocław Gas Pipeline</t>
  </si>
  <si>
    <t>Zdzieszowice</t>
  </si>
  <si>
    <t>Wrocław</t>
  </si>
  <si>
    <t>MULTILINESTRING ((18.2284354 50.3480888, 18.1531859 50.3975897, 18.1360196 50.4390748, 18.098826 50.4390748, 18.0559104 50.4548106, 18.0287305 50.516323, 17.9743707 50.5363503, 17.9142887 50.5907101, 17.8112912 50.6965687, 17.6868358 50.7452065, 17.5623804 50.7752474, 17.4064536 50.8281767, 17.3377885 50.8768145, 17.270554 50.9125775, 17.3206223 50.9626457, 17.3277749 51.0112835, 17.303456 51.0270192, 17.168987 51.0899622, 17.1403765 51.2172786), (17.9606232 50.6928035, 17.937141 50.6646248, 17.8783929 50.6275859))</t>
  </si>
  <si>
    <t>P2276</t>
  </si>
  <si>
    <t>https://www.gem.wiki/Czesz%C3%B3w-Kie%C5%82cz%C3%B3w_Gas_Pipeline</t>
  </si>
  <si>
    <t>Czeszów-Kiełczów Gas Pipeline</t>
  </si>
  <si>
    <t>Czeszów</t>
  </si>
  <si>
    <t>Kiełczów</t>
  </si>
  <si>
    <t>LINESTRING (17.245909 51.381055, 17.171752 51.143016)</t>
  </si>
  <si>
    <t>P2277</t>
  </si>
  <si>
    <t>https://www.gem.wiki/BRUA_Gas_Pipeline</t>
  </si>
  <si>
    <t>BRUA Gas Pipeline</t>
  </si>
  <si>
    <t>SNTGN Transgaz SA [100.00%]</t>
  </si>
  <si>
    <t>Transgaz [100.00%]</t>
  </si>
  <si>
    <t>Recaș</t>
  </si>
  <si>
    <t>Timiș</t>
  </si>
  <si>
    <t>LINESTRING (21.511790584445457 45.80096711703579, 21.46285552649292 46.20940154231101)</t>
  </si>
  <si>
    <t>P2278</t>
  </si>
  <si>
    <t>https://www.gem.wiki/Romania-Moldova_Gas_Pipeline</t>
  </si>
  <si>
    <t>Romania-Moldova Gas Pipeline</t>
  </si>
  <si>
    <t>Iasi-Chisinau Gas Pipeline</t>
  </si>
  <si>
    <t>SNTGN Transgaz SA [75.00%]; European Bank for Reconstruction and Development [25.00%]</t>
  </si>
  <si>
    <t>Transgaz [75.00%]; European Bank for Reconstruction and Development [25.00%]</t>
  </si>
  <si>
    <t>Iasi</t>
  </si>
  <si>
    <t>Ungheni</t>
  </si>
  <si>
    <t>LINESTRING (27.59992955187076 47.15925996957262, 27.566925306031607 47.16915978033876, 27.667879469774885 47.21269703131838, 27.77854076464732 47.227201511992426)</t>
  </si>
  <si>
    <t>P2282</t>
  </si>
  <si>
    <t>https://www.gem.wiki/Barnaul-Biysk-Gorno-Altaysk_Gas_Pipeline</t>
  </si>
  <si>
    <t>Barnaul-Biysk-Gorno-Altaysk Gas Pipeline</t>
  </si>
  <si>
    <t>300, 325, 520, 720</t>
  </si>
  <si>
    <t>Nadym, Urengoy fields and Kovyktinskoye starting 2022</t>
  </si>
  <si>
    <t>Barnaul</t>
  </si>
  <si>
    <t>Pervomaysky District</t>
  </si>
  <si>
    <t>Altai Krai</t>
  </si>
  <si>
    <t>Gorno-Altaysk</t>
  </si>
  <si>
    <t>Altai Republic</t>
  </si>
  <si>
    <t>LINESTRING (83.993225 53.385786, 84.47525 53.251247, 84.605713 53.238099, 84.711456 53.151712, 84.693604 53.040387, 84.922943 52.762892, 85.058899 52.681378, 85.145416 52.588032, 85.569763 52.435921, 85.726318 52.42671, 85.823822 52.366376, 85.928192 52.101444, 85.904846 51.989954, 85.950165 51.964577)</t>
  </si>
  <si>
    <t>P2283</t>
  </si>
  <si>
    <t>https://www.gem.wiki/Novosibirsk-Barnaul_Gas_Pipeline</t>
  </si>
  <si>
    <t>Novosibirsk-Barnaul Gas Pipeline</t>
  </si>
  <si>
    <t>Novosibirsk-Barnaul Segment</t>
  </si>
  <si>
    <t>Novosibirsk Oblast</t>
  </si>
  <si>
    <t>Новосибирск-Барнаул</t>
  </si>
  <si>
    <t>LINESTRING (83.062134 54.927931, 83.079987 54.775346, 83.28186 54.603892, 83.345032 54.46046, 83.268127 54.314921, 83.361511 54.093228, 83.380737 54.075506, 83.472748 53.822544, 83.557892 53.771442, 83.629303 53.758454, 83.766632 53.581907, 83.82431 53.55581, 83.839417 53.523166, 83.993225 53.385786)</t>
  </si>
  <si>
    <t>P2285</t>
  </si>
  <si>
    <t>https://www.gem.wiki/Belousovo-Leningrad_Gas_Pipeline</t>
  </si>
  <si>
    <t>Belousovo-Leningrad Gas Pipeline</t>
  </si>
  <si>
    <t>Zhukovsky District</t>
  </si>
  <si>
    <t>Kaluga Oblast</t>
  </si>
  <si>
    <t>Saint-Petersburg</t>
  </si>
  <si>
    <t>LINESTRING (36.684149 55.11288, 35.815148 56.035726, 33.279648 57.951681, 31.283333 58.580033, 30.339904 60.128929)</t>
  </si>
  <si>
    <t>P2286</t>
  </si>
  <si>
    <t>https://www.gem.wiki/Binaradka-Ulyanovsk_Gas_Pipeline</t>
  </si>
  <si>
    <t>Binaradka-Ulyanovsk Gas Pipeline</t>
  </si>
  <si>
    <t>Stavropolsky District</t>
  </si>
  <si>
    <t>Samara Oblast</t>
  </si>
  <si>
    <t>Ulyanovsk</t>
  </si>
  <si>
    <t>Ulyanovsk Oblast</t>
  </si>
  <si>
    <t>LINESTRING (49.711211 53.678621, 49.720051 53.79928, 49.220366 53.860365, 48.80103 53.970608, 48.371496 54.003867, 48.303044 54.162258, 48.39483 54.335804)</t>
  </si>
  <si>
    <t>P2287</t>
  </si>
  <si>
    <t>https://www.gem.wiki/Bovanenkovo-Ukhta_3_Gas_Pipeline</t>
  </si>
  <si>
    <t>III</t>
  </si>
  <si>
    <t>Bovanenkovo-Ukhta III Gas Pipeline</t>
  </si>
  <si>
    <t>Bovanenkovo gas field</t>
  </si>
  <si>
    <t>Bovanenkovo</t>
  </si>
  <si>
    <t>Yamalo-Nenets Autonomus Okrug</t>
  </si>
  <si>
    <t>Бованенково - Ухта - 3 (III)</t>
  </si>
  <si>
    <t>LINESTRING (68.078 70.49, 68.291016 70.453346, 68.262901 70.428937, 68.1987 70.410234, 68.183937 70.357032, 68.071327 70.314372, 68.301353 69.657802, 68.317146 69.498741, 68.261871 69.487882, 68.261184 69.470132, 68.223076 69.454907, 68.149604 69.377647, 68.08231 69.36709, 67.994079 69.360657, 66.828155 68.916054, 66.81472 68.88222, 66.700782 68.839105, 66.688423 68.800904, 66.404495 68.724056, 66.270942 68.6581, 66.220474 68.619338, 66.138076 68.606779, 66.015253 68.543817, 65.953884 68.534493, 65.610561 68.366192, 65.453663 68.285937, 65.416412 68.278865, 65.288438 68.214092, 65.253849 68.19277, 65.256767 68.18359, 65.233764 68.170212, 65.202007 68.155801, 65.08361 68.07056, 65.026397 68.066319, 65.026397 68.066319, 64.93267 68.042188, 64.937992 68.030145, 64.901428 68.021447, 64.89748 67.983267, 64.900398 67.961246, 64.703159 67.904257, 64.655952 67.896096, 64.603424 67.793375, 64.48257 67.650039, 64.442749 67.599835, 64.391594 67.573446, 64.369621 67.568585, 64.059944 67.443434, 63.961067 67.417135, 63.868026 67.387364, 63.777046 67.33594, 63.694992 67.334879, 63.64639 67.29611, 63.404541 67.262989, 63.253822 67.274032, 62.98603 67.176731, 62.984228 67.168583, 62.92921 67.154885, 62.783298 67.041327, 62.703819 67.012434, 62.707252 66.945109, 62.636528 66.856497, 62.34745 66.734132, 62.350883 66.706645, 62.291145 66.687032, 62.040519 66.647759, 61.97196 66.64719, 61.826973 66.616077, 61.683464 66.607604, 61.601066 66.592836, 61.539268 66.598033, 61.494636 66.584902, 61.534462 66.553962, 61.496696 66.519417, 61.470604 66.503774, 61.467857 66.487847, 61.2574 66.413154, 61.217918 66.382138, 60.356178 66.097924, 60.275 66.01444, 60.17662 65.982025, 59.699745 65.820657, 59.54113 65.802038, 59.535637 65.794417, 59.014473 65.669056, 58.941345 65.680542, 58.601455 65.615814, 58.332977 65.552492, 58.48167 65.53028, 58.272552 65.502866, 58.075485 65.436121, 58.065872 65.424671, 58.040809 65.426818, 58.01712 65.419373, 58.006477 65.406626, 57.90142 65.392439, 57.857818 65.364042, 57.717399 65.328575, 57.621269 65.287016, 57.55213 65.27766, 57.501793 65.215826, 57.458191 65.154282, 57.25254 65.097379, 57.214775 65.098539, 57.149543 65.072582, 57.135467 65.040791, 57.104568 65.029604, 57.064743 65.028877, 57.023544 64.998343, 56.980972 64.988885, 56.889305 64.99456, 56.869049 65.023645, 56.775322 65.023791, 56.688118 65.033672, 56.56278 64.99472, 56.465301 64.975784, 56.448822 64.965589, 56.328315 64.933087, 56.217766 64.888424, 55.897789 64.782894, 55.851097 64.795357, 55.831871 64.794624, 55.819168 64.80078, 55.571975 64.778348, 55.43602 64.730783, 55.092354 64.592165, 55.018882 64.542202, 54.963951 64.544865, 54.869988 64.432199, 54.78 64.30333, 54.727745 64.280859, 54.67968 64.243791, 54.568443 64.185099, 54.34391 64.064031, 54.280739 63.996812, 54.088478 63.903099, 53.978615 63.860069, 53.852958 63.792663, 53.71944 63.66361)</t>
  </si>
  <si>
    <t>P2288</t>
  </si>
  <si>
    <t>https://www.gem.wiki/Bryansk-Smolensk_Gas_Pipeline</t>
  </si>
  <si>
    <t>Bryansk-Smolensk Gas Pipeline</t>
  </si>
  <si>
    <t>Bryansk</t>
  </si>
  <si>
    <t>Bryansk Oblast</t>
  </si>
  <si>
    <t>Smolensk</t>
  </si>
  <si>
    <t>Smolensk Oblast</t>
  </si>
  <si>
    <t>LINESTRING (33.965209 53.104865, 33.471368 53.692174, 32.934416 53.921341, 32.568836 54.276422, 32.482122 54.310838, 31.927093 54.877701)</t>
  </si>
  <si>
    <t>P2289</t>
  </si>
  <si>
    <t>Uzbekistan, Turkmenistan, Kazakhstan, Russia</t>
  </si>
  <si>
    <t>https://www.gem.wiki/Bukhara-Ural_Gas_Pipeline</t>
  </si>
  <si>
    <t>Bukhara-Ural Gas Pipeline</t>
  </si>
  <si>
    <t>1000, 1020</t>
  </si>
  <si>
    <t>Yekaterinburg</t>
  </si>
  <si>
    <t>Sverdlovsk Oblast</t>
  </si>
  <si>
    <t>Газопровод Бухара-Урал</t>
  </si>
  <si>
    <t>LINESTRING (63.485626 40.153802, 59.923309 41.83368, 58.546551 43.482639, 58.230589 44.025062, 58.814846 46.210514, 59.077472 47.08076, 59.212172 48.025332, 59.125763 48.92711, 59.048445 49.919392, 59.31179 50.872136, 59.916749 51.931128, 60.754094 53.017194, 61.663509 54.062115, 61.175319 54.599694, 61.42395 55.154808, 61.294045 55.364199, 61.314001 55.469505, 61.144692 55.951814, 61.00394 56.003975, 60.599472 56.848482)</t>
  </si>
  <si>
    <t>P2290</t>
  </si>
  <si>
    <t>https://www.gem.wiki/Gazli-Kagan_Gas_Pipeline</t>
  </si>
  <si>
    <t>Gazli-Kagan Gas Pipeline</t>
  </si>
  <si>
    <t>Segment I, II</t>
  </si>
  <si>
    <t>Uztransgaz [unknown %]</t>
  </si>
  <si>
    <t>Government of Uzbekistan [unknown %]</t>
  </si>
  <si>
    <t>Kagan</t>
  </si>
  <si>
    <t>LINESTRING (63.485626 40.153802, 64.52644 39.725165)</t>
  </si>
  <si>
    <t>P2291</t>
  </si>
  <si>
    <t>https://www.gem.wiki/Central_Asia-Center_Gas_Pipeline</t>
  </si>
  <si>
    <t>Central Asia-Center Gas Pipeline</t>
  </si>
  <si>
    <t>Phase I, II</t>
  </si>
  <si>
    <t>40.16, 48.03</t>
  </si>
  <si>
    <t>Dauletabad and Okarem gas fields</t>
  </si>
  <si>
    <t>Voskresensk</t>
  </si>
  <si>
    <t>Moscow Oblast</t>
  </si>
  <si>
    <t>Газопровод Центральная Азия - Центр</t>
  </si>
  <si>
    <t>LINESTRING (61.346111 37.401528, 61.655649 38.413627, 60.939904 40.009661, 60.338121 41.32965, 58.642584 42.250885, 58.827772 43.037295, 58.20224 43.169434, 57.517698 43.962509, 55.191937 45.339272, 54.022271 46.990808, 53.343918 47.676794, 51.705555 48.527036, 50.317812 49.235142, 48.633041 50.142751, 47.551575 51.243904, 46.433501 51.844859, 41.722872 53.690025, 40.127563 54.328537, 38.716209 55.30872)</t>
  </si>
  <si>
    <t>P2292</t>
  </si>
  <si>
    <t>Phase III, IV</t>
  </si>
  <si>
    <t>55.91, 48.03</t>
  </si>
  <si>
    <t>Dauletabad gas field</t>
  </si>
  <si>
    <t>Belogorodsk Oblast</t>
  </si>
  <si>
    <t>LINESTRING (63.444241 40.181218, 63.318574 40.133195, 62.423192 40.121184, 62.203274 40.360999, 61.983356 40.599964, 61.873397 40.802415, 61.810563 40.980537, 61.574936 41.08718, 61.260767 41.110855, 60.868056 41.146352, 60.506762 41.08718, 60.31826 41.217287, 59.941258 41.394289, 59.548547 41.629544, 59.281503 41.92241, 59.014459 42.08583, 58.527498 42.237201, 58.511789 42.434602, 58.386122 42.816022, 58.244745 43.114889, 58.103369 43.423712, 57.852034 43.640093, 55.244432 45.243716, 54.557188 46.061726, 53.913141 47.098199, 53.316221 47.672514, 52.200921 48.188242, 50.57117 49.214557, 48.906074 50.159653, 48.760771 50.219996, 48.36806 50.119381, 47.849681 50.058911, 46.483046 50.028647, 45.744749 49.978164, 45.54054 49.897282, 45.304913 49.85679, 44.975036 49.897282, 44.598033 49.836531, 44.079654 49.785847, 43.639818 49.694482, 43.184273 49.85679, 42.60306 50.109308, 42.084682 50.169715, 40.875131 50.440604, 40.309627 50.530558, 39.77554 50.580458, 39.304287 50.739784, 38.974409 50.729842, 38.86445 50.580458, 38.440322 50.330428, 38.188987 50.240094, 38.126153 50.129452)</t>
  </si>
  <si>
    <t>P2296</t>
  </si>
  <si>
    <t>https://www.gem.wiki/Sohranovka-Oktyabrskaya_Gas_Pipeline</t>
  </si>
  <si>
    <t>Sohranovka-Oktyabrskaya Gas Pipeline</t>
  </si>
  <si>
    <t>Kalininskaya field</t>
  </si>
  <si>
    <t>Chertkovsky District</t>
  </si>
  <si>
    <t>Rostov Oblast</t>
  </si>
  <si>
    <t>Rodionovo-Nesvetaysky District</t>
  </si>
  <si>
    <t>Газопровод КС Сохрановка - КС Октябрьская</t>
  </si>
  <si>
    <t>LINESTRING (40.56609 49.51711, 40.497017 49.433364, 40.482254 49.400578, 40.501136 49.331144, 40.492553 49.321312, 40.49633 49.303879, 40.546112 49.283308, 40.545768 49.210572, 40.562248 49.178086, 40.549888 49.136383, 40.50663 49.108561, 40.507316 49.094196, 40.51075 49.054219, 40.543708 49.002067, 40.531349 48.957964, 40.550575 48.871445, 40.487404 48.792908, 40.432472 48.719676, 40.352821 48.687999, 40.365181 48.294461, 40.42052 48.22798, 40.492897 48.175711, 40.48603 48.127218, 40.447578 48.116232, 40.435219 47.941975, 40.345955 47.928193, 40.326729 47.889583, 40.335655 47.571104, 40.28965 47.541024, 40.35777 47.56592, 40.151253 47.57421, 39.873505 47.620975, 39.66751 47.73424)</t>
  </si>
  <si>
    <t>P2297</t>
  </si>
  <si>
    <t>https://www.gem.wiki/Dolgoderevenskoye-Sysert_Gas_Pipeline</t>
  </si>
  <si>
    <t>Dolgoderevenskoye-Sysert Gas Pipeline</t>
  </si>
  <si>
    <t>Dolgoderevenskoye</t>
  </si>
  <si>
    <t>Chelyabinsk Oblast</t>
  </si>
  <si>
    <t>Sysert</t>
  </si>
  <si>
    <t>LINESTRING (60.810356 56.500029, 60.807991 56.390344, 60.84713 56.329102, 60.810737 56.226558, 60.852623 56.1023, 60.906868 56.055936, 60.935707 56.002605, 61.068229 55.953813, 61.148567 55.794333, 61.249504 55.480021, 61.28747 55.370832)</t>
  </si>
  <si>
    <t>P2298</t>
  </si>
  <si>
    <t>https://www.gem.wiki/Dombarovka-Orenburg_Gas_Pipeline</t>
  </si>
  <si>
    <t>Dombarovka-Orenburg Gas Pipeline</t>
  </si>
  <si>
    <t>Dombarovka</t>
  </si>
  <si>
    <t>Orenburg Oblast</t>
  </si>
  <si>
    <t>LINESTRING (55.096436 51.780586, 55.59494 51.773364, 56.30806 51.72722, 56.703186 51.524125, 56.935959 51.519425, 57.340393 51.470263, 57.509651 51.399634, 57.65625 51.367922, 57.79 51.37639, 57.894516 51.430468, 58.026695 51.410985, 58.204193 51.296276, 58.975296 51.196988, 59.047394 51.17633, 59.078979 51.138863, 59.116058 51.018938, 59.31179 50.87214)</t>
  </si>
  <si>
    <t>P2299</t>
  </si>
  <si>
    <t>Turkmenistan, Uzbekistan, Kazakhstan, China</t>
  </si>
  <si>
    <t>Line A</t>
  </si>
  <si>
    <t>中亚管线A</t>
  </si>
  <si>
    <t>PipeChina [unknown %]; Qazaqgaz [unknown %]; Turkmengaz [unknown %]; Uztransgaz [unknown %]</t>
  </si>
  <si>
    <t>Government of Uzbekistan [unknown %]; PipeChina [unknown %]; Qazaqgaz [unknown %]; Turkmengaz [unknown %]</t>
  </si>
  <si>
    <t>Galkynysh; Dauletabad; Bagtyyarlyk gas fields</t>
  </si>
  <si>
    <t>Bagtyyarlyk gas field</t>
  </si>
  <si>
    <t>Horgos</t>
  </si>
  <si>
    <t>LINESTRING (62.8822533 38.734072, 63.8015013 39.056406, 65.0072681 38.196849, 65.7474417 38.172973, 65.8190714 38.566936, 66.1414051 38.793764, 66.1055903 39.092221, 66.2488497 39.37874, 66.3801708 39.474246, 66.7383194 39.510061, 66.7980108 39.581691, 66.6308748 39.748827, 67.1084062 39.868209, 67.8843947 40.238296, 68.1112222 40.297988, 69.2334209 41.288865, 69.4244335 41.81415, 69.5676929 42.267805, 70.033286 42.554323, 70.8822017 42.520534, 71.6327141 42.980031, 73.3481711 42.796232, 73.5013369 43.056614, 74.0986835 43.301679, 74.481598 43.194463, 74.8185627 43.378262, 76.7025021 43.301679, 76.9475673 43.408895, 77.3917482 43.439529, 78.5918501 43.663011, 79.3320126 43.931001, 79.8041852 44.160707, 80.314642 44.198991)</t>
  </si>
  <si>
    <t>P2300</t>
  </si>
  <si>
    <t>Line B</t>
  </si>
  <si>
    <t>中亚管线B</t>
  </si>
  <si>
    <t>P0883</t>
  </si>
  <si>
    <t>https://www.gem.wiki/Titas-Dhaka_Gas_Pipeline</t>
  </si>
  <si>
    <t>Titas-Dhaka Gas Pipeline</t>
  </si>
  <si>
    <t>Titas-Narsingdi-Demra Gas Transmission Pipeline (T-D line)</t>
  </si>
  <si>
    <t>Bra</t>
  </si>
  <si>
    <t>LINESTRING (91.12229 23.959852, 90.483055 23.722134)</t>
  </si>
  <si>
    <t>P1052</t>
  </si>
  <si>
    <t>https://www.gem.wiki/Sodegaura-Rinkai_Gas_Pipeline</t>
  </si>
  <si>
    <t>Sodegaura-Rinkai Gas Pipeline</t>
  </si>
  <si>
    <t>Kisarazu-Rinkai Gas Pipeline</t>
  </si>
  <si>
    <t>Sodguara</t>
  </si>
  <si>
    <t>LINESTRING (140.015335 35.415919, 140.114989 35.49871)</t>
  </si>
  <si>
    <t>P1053</t>
  </si>
  <si>
    <t>https://www.gem.wiki/Soka-Yashio_Gas_Pipeline</t>
  </si>
  <si>
    <t>Soka-Yashio Gas Pipeline</t>
  </si>
  <si>
    <t>P1054</t>
  </si>
  <si>
    <t>https://www.gem.wiki/Soma-Iwamuna_Gas_Pipeline</t>
  </si>
  <si>
    <t>Soma-Iwamuna Gas Pipeline</t>
  </si>
  <si>
    <t>100, 500</t>
  </si>
  <si>
    <t>Shinchi</t>
  </si>
  <si>
    <t>Iwanum</t>
  </si>
  <si>
    <t>LINESTRING (140.903109 37.867573, 140.871682 38.112626)</t>
  </si>
  <si>
    <t>P1055</t>
  </si>
  <si>
    <t>https://www.gem.wiki/Takasago_Gas_Pipeline</t>
  </si>
  <si>
    <t>Takasago Gas Pipeline</t>
  </si>
  <si>
    <t>P1056</t>
  </si>
  <si>
    <t>https://www.gem.wiki/Tochigi_Gas_Pipeline</t>
  </si>
  <si>
    <t>Tochigi Gas Pipeline</t>
  </si>
  <si>
    <t>LINESTRING (139.578351 36.314916, 140.013848 36.439438)</t>
  </si>
  <si>
    <t>P1057</t>
  </si>
  <si>
    <t>https://www.gem.wiki/Tokyo-Niigata_Gas_Pipeline</t>
  </si>
  <si>
    <t>Tokyo-Niigata Gas Pipeline</t>
  </si>
  <si>
    <t>Tokyo Line</t>
  </si>
  <si>
    <t>150, 400</t>
  </si>
  <si>
    <t>Joetsu-shi</t>
  </si>
  <si>
    <t>Adachi-ku</t>
  </si>
  <si>
    <t>LINESTRING (139.730376 35.707742, 139.042161 37.897227)</t>
  </si>
  <si>
    <t>P1058</t>
  </si>
  <si>
    <t>https://www.gem.wiki/Toyama_Gas_Pipeline</t>
  </si>
  <si>
    <t>Toyama Gas Pipeline</t>
  </si>
  <si>
    <t>Itoigawa City</t>
  </si>
  <si>
    <t>Toyama City</t>
  </si>
  <si>
    <t>LINESTRING (137.863009 37.032192, 137.211851 36.701344)</t>
  </si>
  <si>
    <t>P2309</t>
  </si>
  <si>
    <t>https://www.gem.wiki/Gorky-Center_Gas_Pipeline</t>
  </si>
  <si>
    <t>Gorky-Center Gas Pipeline</t>
  </si>
  <si>
    <t>Kstovsky District</t>
  </si>
  <si>
    <t>LINESTRING (44.294128 56.089661, 44.202805 55.989932, 44.179459 55.97764, 44.103928 55.959195, 44.098434 55.961117, 44.064789 55.954966, 44.051056 55.954198, 44.009857 55.946124, 43.984451 55.955735, 43.955612 55.957273, 43.915787 55.96227, 43.901367 55.96496, 43.880768 55.962654, 43.761292 55.963038, 43.588943 55.966881, 43.558044 55.975719, 43.520279 55.969187, 43.411789 55.983787, 43.350677 55.998765, 43.23647 55.99612, 43.195152 55.963615, 43.124771 55.956312, 43.025551 55.919584, 42.971649 55.892834, 42.915001 55.888021, 42.797241 55.857973, 42.696648 55.815944, 42.635193 55.785261, 42.549362 55.771359, 42.493744 55.736003, 42.408257 55.742961, 42.272987 55.671777, 42.228699 55.61714, 42.124329 55.56864, 42.112999 55.523772, 42.054977 55.523772, 42.03816 55.51196, 41.926918 55.465913, 41.87645 55.400853, 41.691227 55.333734, 41.65535 55.292508, 41.564026 55.269923, 41.552696 55.239497, 41.53141 55.219917, 41.4921 55.197291, 41.49313 55.173966, 41.447811 55.152001, 41.443863 55.140621, 41.438026 55.137874, 41.44043 55.105677, 41.389961 55.07365, 41.362839 55.065, 41.31443 55.040811, 41.297264 55.041598, 41.279411 55.0294, 41.240616 55.028612, 41.20079 55.050056, 41.194954 55.051236, 41.190147 55.083673, 41.146889 55.099195, 41.139679 55.139444, 41.099854 55.150431, 41.067238 55.162985, 41.047325 55.176907, 40.925446 55.17279, 40.832405 55.206304, 40.767517 55.177299, 40.55358 55.17458, 40.527878 55.178083, 40.454407 55.204345, 40.407028 55.212573, 40.317421 55.213356, 40.253563 55.18318, 40.229874 55.183376, 40.198975 55.172594, 40.165329 55.155532, 40.149193 55.153766, 40.144386 55.140425, 40.058556 55.072078, 40.038986 55.066966, 39.955902 54.95002, 39.946289 54.866334, 39.80072 54.832732, 39.641418 54.817305, 39.428558 54.77297, 39.26083 54.84242, 39.188232 54.768216, 39.06395 54.78683, 38.855209 54.783266, 38.681488 54.774554, 38.531113 54.714309, 38.351212 54.755539, 38.18985 54.833523, 38.020935 54.823635, 37.838287 54.749595, 37.565002 54.686534, 37.42424 54.641658, 37.286911 54.662315, 37.104263 54.690106, 36.739655 54.796727, 36.705322 54.96106, 36.687469 55.053989, 36.68415 55.11288)</t>
  </si>
  <si>
    <t>P2310</t>
  </si>
  <si>
    <t>https://www.gem.wiki/Gorky-Cherepovets_gas_pipeline_Gas_Pipeline</t>
  </si>
  <si>
    <t>Gorky-Cherepovets Gas Pipeline</t>
  </si>
  <si>
    <t>Газопровод Горький - Череповец</t>
  </si>
  <si>
    <t>LINESTRING (43.997498 56.328721, 43.25592 56.327198, 42.637939 56.219687, 42.168923 56.202542, 42.118798 56.234288, 42.05781 56.24639, 42.041207 56.273649, 41.992455 56.304573, 41.989708 56.329372, 41.815987 56.377015, 41.800194 56.386156, 41.789894 56.38349, 41.748009 56.39301, 41.737023 56.407095, 41.704064 56.40861, 41.645699 56.427262, 41.627159 56.476494, 41.608277 56.490358, 41.564375 56.492447, 41.519871 56.502604, 41.510086 56.521108, 41.509228 56.532585, 41.473866 56.542447, 41.445971 56.540788, 41.440306 56.538086, 41.420822 56.54112, 41.414385 56.546572, 41.409149 56.571544, 41.38134 56.597874, 41.365547 56.630807, 41.316452 56.670327, 41.29654 56.740377, 41.253281 56.790348, 41.176377 56.811804, 41.160584 56.825358, 41.123162 56.832321, 41.0775 56.858093, 40.988922 56.953126, 40.92034 56.97125, 40.904122 56.994182, 40.870819 57.031637, 40.875969 57.060638, 40.687142 57.187977, 40.639592 57.209313, 40.618477 57.255204, 40.429993 57.380022, 40.347467 57.411068, 40.338326 57.41431, 40.164261 57.477612, 40.00946 57.512135, 39.835052 57.605693, 39.711456 57.734951, 39.429932 57.814041, 39.300842 57.929799, 39.057083 57.993907, 38.917007 58.02701, 38.829803 58.049909, 38.885765 58.111989, 38.899498 58.135921, 38.940353 58.164184, 38.961983 58.223353, 39.098625 58.306062, 39.065323 58.361394, 39.098969 58.451326, 39.046097 58.505533, 38.908081 58.518445, 38.660202 58.604399, 38.568878 58.676581, 38.146591 58.947529, 37.900085 59.130158)</t>
  </si>
  <si>
    <t>P2312</t>
  </si>
  <si>
    <t>https://www.gem.wiki/Gryazovets-Ring_of_the_Moscow_Region_Gas_Pipeline</t>
  </si>
  <si>
    <t>Gryazovets-Ring of the Moscow region (KGMO) Gas Pipeline</t>
  </si>
  <si>
    <t>Gryazovetsky District</t>
  </si>
  <si>
    <t>Dmitrovsky District</t>
  </si>
  <si>
    <t>LINESTRING (40.24889 58.78778, 40.240002 58.762236, 40.25528 58.755025, 40.246181 58.720103, 40.282574 58.693622, 40.296822 58.671672, 40.35759 58.501767, 40.369949 58.450607, 40.398102 58.440905, 40.400848 58.431201, 40.381622 58.417898, 40.390205 58.401892, 40.377159 58.390197, 40.35553 58.388038, 40.315704 58.364635, 40.314674 58.333108, 40.268326 58.316702, 40.239487 58.25534, 40.252533 58.207078, 40.24412 58.13159, 40.192108 58.054269, 40.198975 57.96815, 40.192966 57.961685, 40.200863 57.951485, 40.187473 57.929343, 40.169106 57.860736, 40.195541 57.838081, 40.23571 57.825377, 40.24601 57.816692, 40.2388 57.781748, 40.246868 57.761883, 40.254765 57.707541, 40.283089 57.653208, 40.230904 57.633364, 40.207043 57.616451, 40.219059 57.555445, 40.206184 57.500423, 40.227814 57.471266, 40.222836 57.464435, 40.209446 57.459172, 40.166874 57.461111, 40.110226 57.41242, 40.094261 57.407612, 40.07246 57.388004, 40.069027 57.379121, 40.006714 57.336621, 40.003452 57.315214, 39.96706 57.300286, 39.956589 57.288413, 39.92628 57.26709, 39.912987 57.245623, 39.773426 57.14099, 39.735146 57.126457, 39.721584 57.107817, 39.674206 57.085157, 39.629574 57.081426, 39.514904 57.012515, 39.503918 56.949, 39.44521 56.909752, 39.401093 56.892691, 39.360409 56.864927, 39.342041 56.838269, 39.269428 56.805766, 39.234924 56.793922, 39.19364 56.762133, 39.113646 56.757899, 39.065838 56.748017, 38.94104 56.705636, 38.84461 56.69033, 38.807573 56.675659, 38.797703 56.673914, 38.782339 56.662076, 38.71316 56.62942, 38.688183 56.611759, 38.686981 56.609208, 38.645868 56.585913, 38.606901 56.580288, 38.598576 56.581612, 38.564329 56.562699, 38.545275 56.566056, 38.537464 56.569556, 38.523731 56.554516, 38.479528 56.543114, 38.415241 56.546237, 38.330441 56.552955, 38.300228 56.547372, 38.285122 56.530809, 38.253536 56.527779, 38.237915 56.532986, 38.209419 56.556739, 38.145733 56.559199, 38.12582 56.54141, 37.991924 56.502966, 37.863693 56.500029, 37.755547 56.452436, 37.589722 56.445415, 37.579079 56.37932, 37.43852 56.32542)</t>
  </si>
  <si>
    <t>P2313</t>
  </si>
  <si>
    <t>https://www.gem.wiki/Gryazovets-Volkhov_Gas_Pipeline</t>
  </si>
  <si>
    <t>Gryazovets-Volkhov Gas Pipeline</t>
  </si>
  <si>
    <t>Volkhov</t>
  </si>
  <si>
    <t>Volkhovsky District</t>
  </si>
  <si>
    <t>Грязовец - Волхов</t>
  </si>
  <si>
    <t>LINESTRING (40.24889 58.78778, 40.021384 58.762508, 39.970057 58.804025, 39.962332 58.80438, 39.942419 58.80203, 39.941561 58.802562, 39.871266 58.802474, 39.863541 58.805311, 39.80715 58.873862, 39.787581 58.879922, 39.767668 58.891774, 39.755995 58.896726, 39.506743 58.969331, 39.315512 59.053843, 39.059737 59.019059, 38.926871 59.016239, 38.920519 59.026547, 38.79864 59.045216, 38.755209 59.048562, 38.698561 59.024257, 38.662341 59.03192, 38.645861 59.042839, 38.616164 59.046977, 38.603461 59.0446, 38.546641 59.04504, 38.518488 59.055868, 38.42861 59.04611, 38.396952 59.063876, 38.321421 59.076456, 38.298075 59.072586, 38.283827 59.081117, 38.291209 59.085778, 38.151648 59.169565, 38.107665 59.201304, 37.956641 59.191312, 37.952521 59.195695, 37.85742 59.198149, 37.746527 59.185877, 37.577612 59.214623, 37.455733 59.203583, 37.391875 59.218652, 37.199957 59.226885, 37.1155 59.211819, 37.037222 59.214973, 36.886504 59.207088, 36.752264 59.229862, 36.6836 59.226885, 36.641028 59.214272, 36.547987 59.222506, 36.394179 59.181668, 36.356413 59.184825, 36.305258 59.200779, 36.277792 59.196747, 36.165526 59.236867, 36.12364 59.269243, 36.096175 59.276414, 36.013091 59.27449, 35.88861 59.26944, 35.508063 59.290927, 35.441801 59.281311, 35.182249 59.32168, 35.111525 59.315042, 34.800131 59.330586, 34.732153 59.351183, 34.654562 59.346471, 34.576628 59.358686, 34.561522 59.356069, 34.538863 59.364268, 34.505217 59.362698, 34.472601 59.371419, 34.23889 59.39111, 34.099753 59.351358, 33.836424 59.491365, 33.740637 59.498142, 33.727591 59.505091, 33.656866 59.5202, 33.485892 59.591139, 33.221877 59.605344, 33.035796 59.60084, 32.976744 59.61227, 32.869627 59.684051, 32.844221 59.683533, 32.704489 59.728254, 32.45558 59.72463, 32.38778 59.78056)</t>
  </si>
  <si>
    <t>P2315</t>
  </si>
  <si>
    <t>https://www.gem.wiki/Igrim-Serov-Nizhny_Tagil_Gas_Pipeline</t>
  </si>
  <si>
    <t>Igrim-Serov-Nizhny Tagil Gas Pipeline</t>
  </si>
  <si>
    <t>1000, 1020, 1200</t>
  </si>
  <si>
    <t>Punginskoye, Berezovskoye, Igrimskoe fields</t>
  </si>
  <si>
    <t>Igrim</t>
  </si>
  <si>
    <t>Khanty-Mansi Autonomus Okrug</t>
  </si>
  <si>
    <t>Nizhny Tagil</t>
  </si>
  <si>
    <t>LINESTRING (64.411667 63.1875, 60.566667 59.6, 59.966667 57.916667)</t>
  </si>
  <si>
    <t>P2320</t>
  </si>
  <si>
    <t>https://www.gem.wiki/Kartaly-Magnitogorsk_Gas_Pipeline</t>
  </si>
  <si>
    <t>Kartaly-Magnitogorsk Gas Pipeline</t>
  </si>
  <si>
    <t>Kartalinsky District</t>
  </si>
  <si>
    <t>LINESTRING (60.75409 53.01719, 60.489349 53.053596, 60.37674 53.108041, 60.03067 53.105568, 59.900208 53.188756, 59.565125 53.229879, 59.315186 53.382509, 58.969116 53.421809)</t>
  </si>
  <si>
    <t>P2321</t>
  </si>
  <si>
    <t>https://www.gem.wiki/Kasimovskoye-Voskresensk_Gas_Pipeline</t>
  </si>
  <si>
    <t>Kasimovskoye UGS-KS Voskresensk Gas Pipeline</t>
  </si>
  <si>
    <t>Kasimovsky District</t>
  </si>
  <si>
    <t>Ryazan Oblast</t>
  </si>
  <si>
    <t>Kolomensky District</t>
  </si>
  <si>
    <t>LINESTRING (41.2149233 54.9144595, 41.199768 54.9198158, 41.1941628 54.9461931, 41.1939154 54.9591192, 41.2207811 54.9748931, 41.2338556 54.9779324, 41.2340344 54.9793774, 41.2348278 54.9851865, 41.2414217 55.0105797, 41.2402452 55.0184706, 41.2385215 55.0292926, 41.225279 55.03384, 41.2196701 55.0364585, 41.2106685 55.0411933, 41.2004083 55.0501127, 41.195073 55.0510374, 41.1899018 55.0836718, 41.1462618 55.0991101, 41.1394933 55.1400797, 41.1394764 55.1401822, 41.1273557 55.1434818, 41.105823 55.1495798, 41.0985998 55.1501896, 41.0964931 55.1512683, 41.0873982 55.1558462, 41.0806224 55.1605153, 41.068732 55.1631737, 41.0673277 55.1640166, 41.0632923 55.1674893, 41.0597903 55.1710836, 41.0583681 55.172038, 41.0547562 55.173329, 41.0513087 55.1749821, 41.0483571 55.1766045, 41.0472192 55.1767662, 41.0117283 55.1756756, 41.0006132 55.1755041, 40.9812154 55.1750629, 40.9544792 55.1744992, 40.926198 55.1733964, 40.9242668 55.173666, 40.8892049 55.1868984, 40.8614487 55.1974802, 40.8389012 55.2057929, 40.8374072 55.2059595, 40.8212194 55.202839, 40.8194524 55.2024091, 40.7962503 55.1916512, 40.7783117 55.1828556, 40.7750501 55.1808463, 40.766982 55.1770235, 40.7385721 55.1771338, 40.702094 55.1775381, 40.6696071 55.1778935, 40.6504454 55.1780405, 40.6027021 55.1786286, 40.5868663 55.1786286, 40.5695071 55.1786531, 40.552734 55.1794892, 40.5425229 55.178635, 40.5298038 55.1783657, 40.5282299 55.1784889, 40.4956069 55.1876456, 40.4933538 55.1877314, 40.4916801 55.1886869, 40.4862926 55.1929311, 40.4707589 55.1972362, 40.4629912 55.1995998, 40.4546383 55.2045121, 40.4531684 55.2048861, 40.4358472 55.2077795, 40.4281225 55.2092243, 40.4072442 55.212689, 40.3604879 55.2128971, 40.3351464 55.213044, 40.3293743 55.2139132, 40.3258981 55.2130807, 40.3176369 55.2131664, 40.2986684 55.2054164, 40.2640142 55.1904018, 40.2549162 55.1868249, 40.2534082 55.1834923, 40.2527489 55.1831987, 40.2516131 55.1830625, 40.2333727 55.1836274, 40.2298107 55.1835417, 40.2272358 55.1825738, 40.2115717 55.1746585, 40.1980533 55.1722812, 40.1820888 55.1646213, 40.1681413 55.1578303, 40.1633134 55.1553048, 40.1519837 55.1547531, 40.1499023 55.1554765, 40.1476493 55.1536742, 40.1440015 55.1410685, 40.1408686 55.1393515, 40.1299252 55.1370211, 40.1318135 55.1338564, 40.1251402 55.129428, 40.1242818 55.1291458, 40.120398 55.1290231, 40.1178875 55.1247046, 40.110785 55.1178577, 40.1068582 55.1148265, 40.1039374 55.1140251, 40.1063209 55.111051, 40.0815628 55.0926973, 40.0670359 55.082104, 40.0587348 55.0718933, 40.0510507 55.0715079, 40.039524 55.0669725, 40.0366916 55.067464, 40.0298466 55.0696756, 40.0258126 55.0700196, 40.0226583 55.0712727, 40.0113716 55.0768747, 39.9765093 55.0825856, 39.9397154 55.0880109, 39.8989978 55.0935406, 39.8972007 55.0947436, 39.8842769 55.1036954, 39.8834449 55.1046616, 39.8740068 55.1282752, 39.8735316 55.1306157, 39.8714246 55.132826, 39.8602658 55.137174, 39.8380657 55.1447989, 39.8368488 55.1459083, 39.8361583 55.1461003, 39.8340718 55.1462192, 39.8218574 55.150327, 39.8173513 55.1517861, 39.8023007 55.1546651, 39.7705521 55.1648296, 39.7552111 55.169632, 39.7390523 55.1690091, 39.7265854 55.1717665, 39.6915021 55.1796456, 39.6730055 55.1835417, 39.6504964 55.1832477, 39.6386733 55.1830761, 39.6294963 55.1830165, 39.6127095 55.1827821, 39.5717468 55.1824268, 39.5281392 55.1819543, 39.5072665 55.181704, 39.4993271 55.1815692, 39.4906797 55.1830639, 39.4890918 55.1835417, 39.4852295 55.1832354, 39.4835558 55.1832354, 39.4797148 55.1842523, 39.4782206 55.184196, 39.4742383 55.1825308, 39.4725195 55.1823761, 39.4705132 55.1825194, 39.4688524 55.182811, 39.4442311 55.1902479, 39.4337426 55.1930974, 39.4296481 55.1963309, 39.424488 55.1962028, 39.4208983 55.199148, 39.4179818 55.1998202, 39.4141677 55.2014847, 39.4123592 55.2036899, 39.4105782 55.2048042, 39.4084754 55.2056246, 39.395883 55.2174221, 39.3873825 55.2247458, 39.3863096 55.225113, 39.3683495 55.2310115, 39.360996 55.2330972, 39.353985 55.235368, 39.3521901 55.2368391, 39.3494979 55.2377666, 39.3461887 55.2389498, 39.329867 55.2407726, 39.324763 55.2402609, 39.3192663 55.2391097, 39.3157888 55.2352081, 39.3098435 55.2356239, 39.2878568 55.2379585, 39.2784901 55.2388539, 39.2660946 55.2395254, 39.2567839 55.240229, 39.2474785 55.2392826, 39.1946497 55.2337279, 39.1593097 55.2300734, 39.1582843 55.2298092, 39.152378 55.226606, 39.1505112 55.2246969, 39.1483869 55.223681, 39.1280665 55.2157494, 39.1267576 55.2156637, 39.1117801 55.2167287, 39.101695 55.2171939, 39.0885844 55.218014, 39.0859022 55.2197644, 39.0822544 55.2201438, 39.0787568 55.2178059, 39.0401973 55.2113913, 39.0382232 55.2113546, 39.0364129 55.2121743, 39.023632 55.2198623, 39.0196194 55.2225918, 39.016036 55.222347, 39.010736 55.2227386, 38.9933338 55.2238401, 38.9664688 55.2227753, 38.9446892 55.2267651, 38.9235105 55.228099, 38.8963666 55.2297021, 38.8935127 55.2300448, 38.8926771 55.2301762, 38.8919859 55.2304361, 38.8899906 55.232474, 38.8798442 55.241766, 38.8663258 55.2428181, 38.8552751 55.2436254, 38.8447823 55.2445062, 38.8312425 55.2454114, 38.8151876 55.2369264, 38.8144505 55.2365732, 38.8135729 55.2363364, 38.8128354 55.2363522, 38.8120071 55.2365578, 38.8085181 55.2377898, 38.8066406 55.2386169, 38.8033125 55.2396433)</t>
  </si>
  <si>
    <t>P2322</t>
  </si>
  <si>
    <t>https://www.gem.wiki/Kazan-Gorky_Gas_Pipeline</t>
  </si>
  <si>
    <t>Kazan-Gorky Gas Pipeline</t>
  </si>
  <si>
    <t>Kazan</t>
  </si>
  <si>
    <t>LINESTRING (49.125366 55.750304, 49.095154 55.795877, 49.053955 55.805912, 48.946838 55.838314, 48.810883 55.859129, 48.69278 55.901496, 48.626862 55.939971, 48.60083 55.98833, 48.39344 56.066173, 48.367176 56.064349, 48.347263 56.072509, 48.326835 56.072125, 48.321342 56.050137, 48.212166 56.04351, 48.128395 56.031405, 47.987976 56.034191, 47.959137 56.002279, 47.814598 56.031885, 47.609977 56.016121, 47.327079 55.989561, 47.272834 55.994181, 46.9853 56.11012, 46.926422 56.110788, 46.858959 56.084217, 46.723003 56.067709, 46.654339 56.071933, 46.551513 56.079131, 46.530571 56.097169, 46.498127 56.099567, 46.464824 56.111939, 46.446972 56.11376, 46.413669 56.122101, 46.358909 56.118075, 46.336078 56.111843, 46.290416 56.110308, 46.2681 56.0988, 46.260376 56.099279, 46.202011 56.088535, 46.015587 56.073084, 45.976448 56.08153, 45.945205 56.095538, 45.846157 56.120663, 45.759639 56.123443, 45.539226 56.11376, 45.46833 56.115103, 45.318126 56.107911, 45.266113 56.131686, 45.233154 56.133507, 45.193844 56.128619, 45.165176 56.118554, 45.13977 56.12191, 45.001926 56.083929, 44.99161 56.0668, 44.82975 56.029867, 44.679203 56.061277, 44.588051 56.074524, 44.561271 56.104842, 44.331245 56.154298, 43.997498 56.328721)</t>
  </si>
  <si>
    <t>P2326</t>
  </si>
  <si>
    <t>Estonia, Russia</t>
  </si>
  <si>
    <t>https://www.gem.wiki/Kohtla-J%C3%A4rve-Leningrad_Gas_Pipeline</t>
  </si>
  <si>
    <t>Kohtla-Järve-Leningrad Gas Pipeline</t>
  </si>
  <si>
    <t>Mooni, Jõhvi</t>
  </si>
  <si>
    <t>Vsevolozhsky District</t>
  </si>
  <si>
    <t>LINESTRING (27.410009 59.353498, 27.937643 59.368521, 29.1757 59.721197, 29.609462 59.722803, 29.82937 59.807426, 30.155443 59.791056, 30.31911 59.930373, 30.336561 60.127659)</t>
  </si>
  <si>
    <t>P2327</t>
  </si>
  <si>
    <t>https://www.gem.wiki/Kovykta-Sayansk-Irkutsk_Gas_Pipeline</t>
  </si>
  <si>
    <t>Kovykta-Sayansk-Irkutsk Gas Pipeline</t>
  </si>
  <si>
    <t>Kovykta - Zhigalovo - Sayansk - Angarsk - Irkutsk gas pipeline: Kovyktinskoye - Zima gas pipeline</t>
  </si>
  <si>
    <t>Kovykta gas field</t>
  </si>
  <si>
    <t>Irkutsk Oblast</t>
  </si>
  <si>
    <t>Газопровод Ковыкта - Саянск - Иркутск</t>
  </si>
  <si>
    <t>LINESTRING (104.288984 52.375684, 104.08652 52.491907, 103.812799 52.686128, 103.529641 52.880422, 103.195334 53.057469, 102.962026 53.245688, 102.703106 53.469816, 102.447977 53.692013, 102.199089 53.946438, 102.392243 54.012518, 102.67337 54.098492, 103.209602 54.172906, 103.957337 54.299176, 104.496361 54.488111, 104.799973 54.640657, 105.053323 54.827008, 105.351213 54.921923, 105.62016 54.961893, 106.07681 55.113992, 106.342165 55.21326, 106.608275 55.306517)</t>
  </si>
  <si>
    <t>P2334</t>
  </si>
  <si>
    <t>https://www.gem.wiki/Srednevilyuyskoye_Gas_Condensate_Field-Yakutsk_Gas_Pipeline</t>
  </si>
  <si>
    <t>Srednevilyuyskoye Gas Condensate Field-Yakutsk Gas Pipeline</t>
  </si>
  <si>
    <t>Taas-Tumus - Yakutsk Gas Pipeline; Ust Vilyuiskoe - Yakutsk Gas Pipeline; Kysyl-Syr - Mastakh - Berge - Yakutsk Gas Pipeline</t>
  </si>
  <si>
    <t>SAKHATRANSNEFTEGAZ [unknown %]</t>
  </si>
  <si>
    <t>Ust Vilyuiskoe gas field; Taas-Tumus gas field</t>
  </si>
  <si>
    <t>Taas-Tumus (Tas-Tumus)</t>
  </si>
  <si>
    <t>Republic of Sakha (Yakutia)</t>
  </si>
  <si>
    <t>Yakutsk</t>
  </si>
  <si>
    <t>МГП Таас-Тумус - Якутск</t>
  </si>
  <si>
    <t>LINESTRING (126.686928 64.182677, 127.467155 63.487621, 128.649387 62.794229, 129.721069 62.052437)</t>
  </si>
  <si>
    <t>P2335</t>
  </si>
  <si>
    <t>https://www.gem.wiki/Leningrad-Vyborg-State_Border_Gas_Pipeline</t>
  </si>
  <si>
    <t>Leningrad-Vyborg-State Border Gas Pipeline</t>
  </si>
  <si>
    <t>Vyborgsky District</t>
  </si>
  <si>
    <t>LINESTRING (30.779572 59.949165, 30.708847 59.974429, 30.662584 59.966139, 30.657907 59.968286, 30.654516 59.968437, 30.640182 59.971658, 30.423889 60.097718, 30.394535 60.106788, 30.389042 60.117096, 30.369387 60.125818, 30.3399 60.12893, 30.26227 60.123253, 30.247808 60.125968, 30.246949 60.140351, 30.219612 60.152891, 30.186481 60.161839, 30.180988 60.161412, 30.140991 60.171702, 30.109663 60.174648, 30.061598 60.170635, 30.046492 60.180837, 29.998169 60.191975, 29.95225 60.194791, 29.945297 60.206009, 29.951391 60.211467, 29.943752 60.243219, 29.894829 60.259275, 29.767456 60.319086, 29.754496 60.331706, 29.616737 60.405333, 29.615965 60.409106, 29.614677 60.410208, 29.482155 60.479978, 29.457092 60.505935, 29.450054 60.531617, 29.32045 60.597166, 29.25024 60.613933, 29.25024 60.613933, 29.177456 60.645084, 28.898163 60.818891, 28.792248 60.91141, 28.796711 60.922424, 28.789673 60.968026, 28.821774 61.019967, 28.841858 61.024375, 28.851814 61.032939, 28.835506 61.041667, 28.828468 61.066425, 28.811131 61.102531)</t>
  </si>
  <si>
    <t>P2336</t>
  </si>
  <si>
    <t>https://www.gem.wiki/Magnitogorsk-Ishimbay_Gas_Pipeline</t>
  </si>
  <si>
    <t>Magnitogorsk-Ishimbay Gas Pipeline</t>
  </si>
  <si>
    <t>Sterlitamaksky District</t>
  </si>
  <si>
    <t>Republic of Bashkortostan</t>
  </si>
  <si>
    <t>LINESTRING (58.96637 53.422628, 58.74115 53.473572, 58.559875 53.475204, 58.42804 53.458881, 58.29071 53.486626, 58.128662 53.460513, 58.005066 53.444185, 57.889709 53.468675, 57.744141 53.47194, 57.689209 53.484994, 57.661743 53.476836, 57.601318 53.494783, 57.354126 53.519244, 57.161865 53.57301, 56.953125 53.586033, 56.733398 53.568125, 56.637268 53.587661, 55.93689 53.438991)</t>
  </si>
  <si>
    <t>P2337</t>
  </si>
  <si>
    <t>https://www.gem.wiki/Magnitogorsk-Sterlitamak_Gas_Pipeline</t>
  </si>
  <si>
    <t>Magnitogorsk-Sterlitamak Gas Pipeline</t>
  </si>
  <si>
    <t>Sterlitamak</t>
  </si>
  <si>
    <t>LINESTRING (58.96637 53.422628, 58.74115 53.543572, 58.559875 53.545204, 58.42804 53.528881, 58.29071 53.556626, 58.128662 53.530513, 58.005066 53.514185, 57.889709 53.538675, 57.744141 53.54194, 57.689209 53.554994, 57.661743 53.546836, 57.601318 53.564783, 57.354126 53.589244, 57.161865 53.64301, 56.953125 53.656033, 56.733398 53.638125, 56.637268 53.657661, 55.979462 53.660102)</t>
  </si>
  <si>
    <t>P2339</t>
  </si>
  <si>
    <t>https://www.gem.wiki/Maykop-Nevinnomyssk_Gas_Pipeline</t>
  </si>
  <si>
    <t>Maykop-Nevinnomyssk Gas Pipeline</t>
  </si>
  <si>
    <t>Maykopski District</t>
  </si>
  <si>
    <t>Reublic of Adygea</t>
  </si>
  <si>
    <t>Nevinomyssk</t>
  </si>
  <si>
    <t>LINESTRING (41.97708 44.65291, 41.644363 44.589, 41.435623 44.572372, 41.009903 44.557206, 40.670013 44.642277, 40.514832 44.609046, 40.388489 44.614912, 40.336304 44.646185, 40.229187 44.654978, 40.10652 44.70842)</t>
  </si>
  <si>
    <t>P2340</t>
  </si>
  <si>
    <t>https://www.gem.wiki/Minnibaevo-Kazan_Gas_Pipeline</t>
  </si>
  <si>
    <t>Minnibaevo-Kazan Gas Pipeline</t>
  </si>
  <si>
    <t>Minnibaevo</t>
  </si>
  <si>
    <t>LINESTRING (52.227631 54.812161, 52.151849 54.973446, 52.02276 55.025564, 51.966455 55.07919, 51.566827 55.267888, 51.348474 55.307088, 50.926874 55.348598, 50.698907 55.456477, 50.139978 55.404919, 50.06582 55.488472, 49.958704 55.483792, 49.818628 55.536805, 49.73623 55.620857, 49.593408 55.665922, 49.541223 55.709384, 49.362695 55.786875, 49.125366 55.750304)</t>
  </si>
  <si>
    <t>P2341</t>
  </si>
  <si>
    <t>https://www.gem.wiki/Minnibayevo-Izhevsk_Gas_Pipeline</t>
  </si>
  <si>
    <t>Minnibayevo-Izhevsk Gas Pipeline</t>
  </si>
  <si>
    <t>Izhevsk</t>
  </si>
  <si>
    <t>Republic of Udmurtia</t>
  </si>
  <si>
    <t>LINESTRING (52.227631 54.812161, 52.199221 54.850129, 52.230377 54.926353, 52.029877 55.165142, 51.960526 55.341251, 52.038803 55.459392, 52.126007 55.57718, 52.204971 55.659383, 52.921143 56.081232, 53.050232 56.436685, 53.150482 56.672075, 53.227386 56.848221)</t>
  </si>
  <si>
    <t>P2342</t>
  </si>
  <si>
    <t>https://www.gem.wiki/Mokrous-Samara-Tolyatti_Gas_Pipeline</t>
  </si>
  <si>
    <t>Mokrous-Samara-Tolyatti Gas Pipeline</t>
  </si>
  <si>
    <t>Mokrous</t>
  </si>
  <si>
    <t>Saratov Oblast</t>
  </si>
  <si>
    <t>Tolyatti</t>
  </si>
  <si>
    <t>LINESTRING (47.55158 51.2439, 48.320618 51.353774, 48.480606 51.550605, 48.554764 51.580483, 48.616562 51.626969, 48.67218 51.70235, 48.815002 52.033063, 48.849335 52.082038, 49.045715 52.178142, 49.211884 52.378114, 49.481049 52.557986, 49.612885 52.725481, 49.64447 52.874103, 49.713135 52.981723, 50.340729 53.046167, 50.464325 53.259463, 50.417633 53.392338, 50.08255 53.490497, 49.577179 53.508468, 49.508514 53.480691)</t>
  </si>
  <si>
    <t>P2343</t>
  </si>
  <si>
    <t>https://www.gem.wiki/Mozdok-Nevinnomyssk_Gas_Pipeline</t>
  </si>
  <si>
    <t>Mozdok-Nevinnomyssk Gas Pipeline</t>
  </si>
  <si>
    <t>Mozdoksky District</t>
  </si>
  <si>
    <t>Republic of North Ossetia-Alania</t>
  </si>
  <si>
    <t>LINESTRING (44.595 43.73778, 44.353904 43.66836, 44.097099 43.700102, 43.994789 43.666872, 43.671379 43.797208, 43.499717 43.934669, 43.37889 44.03222, 43.301277 44.135835, 42.919502 44.163393, 42.372932 44.422587, 41.97708 44.65291)</t>
  </si>
  <si>
    <t>P2346</t>
  </si>
  <si>
    <t>https://www.gem.wiki/Murmansk-Volkhov_Gas_Pipeline</t>
  </si>
  <si>
    <t>Murmansk-Volkhov Gas Pipeline</t>
  </si>
  <si>
    <t>Severomorsk</t>
  </si>
  <si>
    <t>Murmansk Oblast</t>
  </si>
  <si>
    <t>Газопровод Мурманск - Волхов</t>
  </si>
  <si>
    <t>LINESTRING (35.1614 69.16384, 33.009109 68.987955, 32.823715 67.943842, 32.399368 67.18487, 33.045502 66.275836, 34.621868 64.962873, 34.748039 64.536856, 34.486599 62.926408, 34.259491 61.785461, 33.52684 60.718549, 32.38991 59.780856)</t>
  </si>
  <si>
    <t>P2348</t>
  </si>
  <si>
    <t>https://www.gem.wiki/Nadym-Punga_I,_II,_IV,_V_Gas_Pipeline</t>
  </si>
  <si>
    <t>Nadym-Punga Gas Pipeline</t>
  </si>
  <si>
    <t>Nadym</t>
  </si>
  <si>
    <t>Nadymsky District</t>
  </si>
  <si>
    <t>Punga</t>
  </si>
  <si>
    <t>Beryozovsky District</t>
  </si>
  <si>
    <t>Khanty-Mansi Autonomous Okrug</t>
  </si>
  <si>
    <t>LINESTRING (73.04129 65.31859, 72.883339 65.382976, 72.736396 65.295074, 72.562675 65.261098, 72.055244 65.255912, 71.00605 65.051102, 71.007423 64.961511, 70.86615 64.85788, 70.736885 64.802245, 70.627021 64.6927, 70.583763 64.689169, 70.509605 64.606044, 70.36129 64.544569, 70.319404 64.515557, 70.184135 64.488294, 69.531135 64.416151, 69.379387 64.350972, 68.98002 64.29699, 68.803978 64.295194, 68.683815 64.299971, 68.457908 64.296687, 68.359718 64.266815, 67.973137 64.210268, 67.896919 64.224341, 67.517891 64.152105, 67.439613 64.149104, 67.322883 64.101339, 67.2192 64.086903, 67.175941 64.045057, 66.819572 63.913998, 66.712455 63.810897, 66.60472 63.7736, 66.469383 63.661646, 66.475563 63.639649, 66.389732 63.492874, 66.207084 63.433522, 66.077995 63.336388, 65.913887 63.290327, 65.845909 63.242954, 65.386543 63.104728, 65.349464 63.077315, 65.25196 63.049565, 65.14333 62.96722, 64.797363 62.963027, 64.716339 62.905852, 64.503479 62.876754, 64.412842 62.844806, 64.314308 62.781983, 64.2772 62.76384)</t>
  </si>
  <si>
    <t>P2350</t>
  </si>
  <si>
    <t>https://www.gem.wiki/Nizhnevartovsk-Parabel-Kuzbass_Gas_Pipeline</t>
  </si>
  <si>
    <t>Nizhnevartovsk-Parabel-Kuzbass Gas Pipeline</t>
  </si>
  <si>
    <t>1020, 1420</t>
  </si>
  <si>
    <t>Nizhnevartovsk</t>
  </si>
  <si>
    <t>Kuzbass</t>
  </si>
  <si>
    <t>Kemerovo Oblast</t>
  </si>
  <si>
    <t>LINESTRING (73.04594 61.27654, 73.285675 61.305859, 73.441887 61.287803, 73.446178 61.30454, 73.528233 61.31929, 73.67672 61.34984, 73.721008 61.396226, 73.801689 61.425633, 73.849754 61.432694, 73.881683 61.447466, 73.963051 61.466003, 74.012833 61.462559, 74.215393 61.483546, 74.261398 61.474694, 74.363708 61.476169, 74.42585 61.430231, 74.64489 61.343091, 74.73381 61.344902, 74.800758 61.310474, 74.85363 61.306023, 74.936371 61.278153, 74.977226 61.280298, 75.032845 61.265117, 75.192146 61.271553, 75.382347 61.209609, 75.513153 61.191747, 75.609627 61.161953, 75.704727 61.165596, 75.858192 61.137767, 75.898705 61.112567, 75.967712 61.103443, 76.069336 61.044991, 76.233444 61.073567, 76.348801 61.051639, 76.36871 60.9919, 76.328545 60.956777, 76.38176 60.893713, 76.352234 60.856115, 76.508789 60.825503, 76.642342 60.804911, 76.706543 60.775088, 76.867561 60.741545, 77.018967 60.690662, 77.156296 60.681249, 77.214661 60.65905, 77.24968 60.624882, 77.33757 60.601127, 77.374649 60.528915, 77.367439 60.505428, 77.321091 60.49968, 77.309074 60.48852, 77.313194 60.469742, 77.370872 60.429782, 77.392502 60.389095, 77.444 60.361262, 77.608109 60.381969, 77.96707 60.27107, 78.010826 60.186598, 77.999496 60.17183, 78.170815 60.01958, 78.406506 59.893329, 78.463497 59.883166, 78.564091 59.835328, 78.671379 59.814015, 78.695068 59.791048, 78.794289 59.78241, 78.829479 59.760804, 78.838749 59.746018, 78.876858 59.717638, 78.948097 59.692525, 78.958397 59.680222, 78.96801 59.678142, 78.980198 59.669561, 78.976593 59.663319, 78.998394 59.631137, 79.102249 59.572071, 79.19117 59.506455, 79.243355 59.485891, 79.358025 59.482056, 79.440765 59.470373, 79.462395 59.462175, 79.536209 59.453975, 79.583931 59.427443, 79.594231 59.411199, 79.66423 59.38232, 79.684181 59.367844, 79.721947 59.358571, 79.753876 59.344745, 79.782715 59.337917, 79.838676 59.3169, 79.975662 59.306212, 80.064926 59.291137, 80.115738 59.270793, 80.171013 59.267109, 80.189209 59.259915, 80.245857 59.219001, 80.384903 59.191933, 80.576477 59.125578, 80.642738 59.082916, 80.644112 59.06033, 80.68943 59.013699, 80.721359 59.003799, 80.814056 59.003092, 80.90641 58.949654, 81.038589 58.837201, 81.212997 58.797204, 81.418991 58.672118, 81.47534 58.67243, 81.561127 58.650155, 81.588593 58.648012, 81.6679 58.620313, 81.742058 58.573265, 81.807976 58.546045, 81.925049 58.525078, 82.094307 58.459049, 82.135506 58.456535, 82.267685 58.399193, 82.283134 58.366616, 82.389221 58.292712, 82.419434 58.243416, 82.588692 58.139727, 82.690315 58.115979, 82.711601 58.105459, 82.728081 58.069343, 82.81505 58.03904, 82.926521 57.999548, 82.95845 57.962778, 82.991066 57.950756, 83.112602 57.869958, 83.155518 57.825194, 83.17337 57.821721, 83.526993 57.608452, 83.725777 57.56631, 83.874779 57.397994, 83.891945 57.348385, 83.890915 57.180553, 83.956833 57.128973, 83.96825 57.09952, 83.976231 57.06967, 83.955975 57.044745, 83.961039 56.965521, 83.965673 56.950685, 83.956146 56.810464, 83.958979 56.800361, 83.976831 56.788986, 83.982582 56.7801, 83.976746 56.765473, 83.947306 56.732483, 83.937778 56.69904, 83.984385 56.637964, 84.008675 56.605901, 84.007473 56.598248, 84.033051 56.553712, 84.102917 56.5283, 84.10738 56.482686, 84.141541 56.472068, 84.205227 56.436495, 84.21175 56.399085, 84.20042 56.390724, 84.230804 56.267761, 84.326591 56.182158, 84.325733 56.17633, 84.342556 56.154633, 84.339123 56.149853, 84.398003 56.068299, 84.401779 56.048362, 84.541168 55.983307, 84.612579 55.9065, 84.645538 55.815172, 84.64469 55.79439, 84.677296 55.789025, 84.689655 55.76711, 84.729996 55.764599, 84.75008 55.740835, 84.783726 55.723437, 84.803982 55.708545, 84.807072 55.698776, 84.809647 55.668485, 84.923973 55.556991, 84.998131 55.52008, 85.190048 55.455888, 85.246353 55.442843, 85.287895 55.418492, 85.430717 55.369747, 85.654907 55.329535, 85.762539 55.234407, 85.787773 55.16122, 85.830345 55.10548, 85.89489 55.046319, 85.99411 54.997312, 86.180878 54.818096, 86.298294 54.663904, 86.388245 54.532637, 86.445923 54.444492, 86.756287 54.356556, 86.932068 54.256802, 86.962967 54.075103, 86.754913 53.931837, 86.829071 53.813626, 87.099609 53.749523)</t>
  </si>
  <si>
    <t>P2351</t>
  </si>
  <si>
    <t>https://www.gem.wiki/Nizhnyaya_Tura-Perm-Gorky</t>
  </si>
  <si>
    <t>Nizhnyaya Tura-Perm-Gorky</t>
  </si>
  <si>
    <t>Nizhnyaya Tura</t>
  </si>
  <si>
    <t>LINESTRING (59.95398 58.63518, 59.870338 58.660514, 59.650612 58.667298, 59.500237 58.639258, 59.386253 58.631395, 59.352608 58.606366, 59.294243 58.593666, 59.238625 58.564313, 59.134254 58.572012, 58.898392 58.537265, 58.794022 58.497461, 58.43927 58.35623, 58.336716 58.363915, 58.228569 58.365716, 58.151665 58.35545, 58.07785 58.338695, 58.035965 58.312374, 57.92472 58.298666, 57.906876 58.25823, 57.825851 58.214132, 57.719421 58.156214, 57.687149 58.154765, 57.575912 58.126495, 57.510681 58.127583, 57.415924 58.109087, 57.387085 58.105459, 57.301941 58.0855, 57.190704 58.076424, 57.178345 58.078602, 57.077408 58.061171, 57.028656 58.062624, 56.977844 58.048455, 56.851501 58.019373, 56.839485 58.011917, 56.775799 58.011008, 56.720867 57.997365, 56.704559 57.99791, 56.671429 57.986355, 56.662846 57.979984, 56.652374 57.980348, 56.641388 57.971428, 56.556244 57.939641, 56.50525 57.94085, 56.474876 57.92834, 56.463203 57.915942, 56.397629 57.895329, 56.389732 57.878174, 56.376257 57.862836, 56.351795 57.846578, 56.300125 57.830953, 56.282959 57.828577, 56.264591 57.82748, 56.24794 57.831136, 56.24279 57.835797, 56.179533 57.838081, 56.043663 57.806633, 56.034393 57.798676, 56.028042 57.796572, 56.01757 57.798401, 56.000061 57.793736, 55.720596 57.781108, 55.705147 57.777813, 55.683174 57.779826, 55.363541 57.772504, 55.332298 57.764081, 55.29929 57.73051, 55.273762 57.719461, 55.142269 57.67295, 55.034466 57.610935, 54.984684 57.603118, 54.916191 57.542733, 54.877396 57.49535, 54.692345 57.404468, 54.568405 57.319107, 54.559135 57.304737, 54.559307 57.262894, 54.554329 57.25723, 54.547462 57.214589, 54.536991 57.204456, 54.278469 57.082079, 54.229717 57.073589, 54.14011 57.053055, 54.0962 57.01531, 54.024582 56.977357, 54.034195 56.9534, 54.035912 56.888378, 54.021835 56.863426, 54.029045 56.842025, 54.022865 56.810089, 54.047241 56.798622, 54.03162 56.761851, 54.08329 56.731165, 54.062691 56.717885, 53.992996 56.707898, 53.958664 56.680751, 53.898926 56.671698, 53.876953 56.683768, 53.585815 56.631686, 53.271332 56.635463, 53.01384 56.660378, 52.733688 56.58407, 52.493362 56.57348, 52.267456 56.542073, 52.147942 56.431165, 52.115326 56.423585, 52.045975 56.430408, 51.768227 56.379211, 51.724968 56.383764, 51.595192 56.364407, 51.473656 56.320724, 51.447563 56.318063, 51.397438 56.297532, 51.317101 56.293729, 50.978241 56.20653, 50.913353 56.214344, 50.824433 56.182601, 50.684529 56.140475, 50.62685 56.14711, 50.51158 56.112827, 50.37369 56.15024, 50.401459 56.087788, 50.351076 56.091038, 50.339661 56.09534, 50.259924 56.092902, 50.199328 56.108193, 50.164566 56.10676, 50.029898 56.04996, 49.912567 56.034933, 49.868794 56.019326, 49.713955 56.024162, 49.61422 56.018224, 49.585123 56.009748, 49.541264 55.985983, 49.518433 55.989626, 49.425221 55.99044, 49.387884 55.968966, 49.376469 55.951125, 49.312611 55.930541, 49.267893 55.928525, 49.223519 55.942346, 49.200602 55.94652, 49.097863 55.945033, 49.055376 55.925597, 49.035979 55.925357, 48.999501 55.915035, 48.968859 55.918108, 48.943024 55.905143, 48.873973 55.892606, 48.770075 55.908121, 48.697119 55.932797, 48.60083 55.98833, 48.39344 56.066173, 48.367176 56.064349, 48.347263 56.072509, 48.326835 56.072125, 48.321342 56.050137, 48.212166 56.04351, 48.128395 56.031405, 47.987976 56.034191, 47.959137 56.002279, 47.884598 55.961885, 47.679977 55.946121, 47.397079 55.919561, 47.342834 55.924181, 47.0553 56.04012, 46.996422 56.040788, 46.928959 56.014217, 46.793003 55.997709, 46.724339 56.001933, 46.621513 56.009131, 46.600571 56.027169, 46.568127 56.029567, 46.534824 56.041939, 46.516972 56.04376, 46.483669 56.052101, 46.428909 56.048075, 46.406078 56.041843, 46.360416 56.040308, 46.3381 56.0288, 46.330376 56.029279, 46.272011 56.018535, 46.085587 56.003084, 46.046448 56.01153, 46.015205 56.025538, 45.916157 56.050663, 45.829639 56.053443, 45.609226 56.04376, 45.53833 56.045103, 45.388126 56.037911, 45.336113 56.061686, 45.303154 56.063507, 45.263844 56.058619, 45.235176 56.048554, 45.20977 56.05191, 45.071926 56.013929, 45.06161 55.9968, 44.89975 55.959867, 44.749203 55.991277, 44.658051 56.004524, 44.631271 56.034842, 44.401245 56.084298, 44.294128 56.089661)</t>
  </si>
  <si>
    <t>P2352</t>
  </si>
  <si>
    <t>https://www.gem.wiki/Power_of_Siberia_Gas_Pipeline</t>
  </si>
  <si>
    <t>Power of Siberia Gas Pipeline</t>
  </si>
  <si>
    <t>Yakutia–Khabarovsk–Vladivostok pipeline</t>
  </si>
  <si>
    <t>Chayandinskoye field</t>
  </si>
  <si>
    <t>Yakutia</t>
  </si>
  <si>
    <t>Blagoveshchensk</t>
  </si>
  <si>
    <t>Amur Oblas</t>
  </si>
  <si>
    <t>Сила Сибири</t>
  </si>
  <si>
    <t>LINESTRING (127.967698 50.237342, 127.848749 50.736836, 127.682219 51.231059, 127.56327 51.64628, 127.46811 52.057734, 127.349161 52.49441, 127.016102 52.696721, 126.659254 52.826286, 126.207246 53.069968, 125.850398 53.241154, 125.30323 53.609717, 124.779853 53.72248, 123.994786 53.778747, 122.876662 53.961098, 122.448443 54.281774, 120.592832 55.660769, 120.117034 56.008128, 119.522287 56.457699, 118.76101 57.018747, 118.309003 57.366766, 117.880784 57.673371)</t>
  </si>
  <si>
    <t>P2353</t>
  </si>
  <si>
    <t>Kovyktinskoye field</t>
  </si>
  <si>
    <t>Газопровод Сила Сибири II этап</t>
  </si>
  <si>
    <t>LINESTRING (113.289336 58.788021, 112.956277 58.689256, 112.33774 58.441115, 111.766783 58.228811, 111.172035 57.901636, 110.672448 57.647919, 110.19665 57.418046, 109.482953 57.109289, 109.149895 56.823984, 108.840626 56.470842, 108.483778 56.03472, 108.198299 55.660769, 108.00798 55.3103, 107.651132 54.778733)</t>
  </si>
  <si>
    <t>P2355</t>
  </si>
  <si>
    <t>https://www.gem.wiki/SRTO-Surgut-Omsk_Gas_Pipeline</t>
  </si>
  <si>
    <t>SRTO-Surgut-Omsk Gas Pipeline</t>
  </si>
  <si>
    <t>Noyabrsk</t>
  </si>
  <si>
    <t>Omsk Oblast</t>
  </si>
  <si>
    <t>LINESTRING (75.549 63.19162, 75.354157 63.08357, 75.335617 62.991885, 75.311241 62.965056, 75.218201 62.916171, 75.199318 62.82286, 75.184212 62.793365, 75.182495 62.758184, 75.165329 62.702971, 75.130997 62.679816, 75.03521 62.649863, 75.000878 62.615141, 74.973069 62.559661, 74.953499 62.497736, 74.8795 62.38602, 74.851189 62.323947, 74.820633 62.218196, 74.820977 62.191941, 74.857025 62.138078, 74.82132 62.070131, 74.789391 62.043103, 74.784584 61.998648, 74.769478 61.956226, 74.784584 61.903076, 74.837799 61.843677, 74.942513 61.796659, 74.966545 61.75753, 75.014954 61.724533, 75.036583 61.701105, 75.027314 61.669024, 74.995385 61.649956, 75.036927 61.618638, 74.989891 61.555581, 74.99066 61.48853, 74.968262 61.451404, 74.937706 61.408058, 74.945603 61.398856, 74.925347 61.3635, 74.952813 61.32481, 75.008774 61.310309, 75.027657 61.260164, 74.991265 61.228618, 74.967919 61.186452, 75.019074 61.158807, 74.995041 61.124009, 74.996414 61.090168, 74.799004 60.96086, 74.638672 60.93441, 74.610176 60.919428, 74.49585 60.846751, 74.452591 60.836235, 74.24424 60.77631, 74.208489 60.760188, 73.956833 60.655097, 73.722344 60.640991, 73.645439 60.613098, 73.51738 60.59006, 73.487168 60.57946, 73.314133 60.557913, 73.126335 60.542754, 72.9636 60.580469, 72.889099 60.543933, 72.741814 60.541406, 72.638817 60.530116, 72.59075 60.49216, 72.419091 60.366897, 72.179108 60.322996, 71.961441 60.146797, 71.759911 60.083809, 71.68026 60.031312, 71.672707 60.000322, 71.623612 59.975989, 71.550827 59.959357, 71.39432 59.88214, 71.160126 59.791367, 71.156349 59.781368, 71.084938 59.750833, 71.061592 59.750316, 71.014214 59.732707, 70.909844 59.713706, 70.811997 59.716989, 70.320702 59.639153, 70.195046 59.603288, 70.105782 59.530227, 70.088616 59.457877, 70.06986 59.43381, 70.042267 59.423212, 70.028878 59.399501, 69.972229 59.379438, 69.917641 59.333511, 69.908758 59.281746, 69.749756 59.138282, 69.739456 59.119647, 69.680748 59.075304, 69.6138 59.040776, 69.575692 59.012387, 69.446602 58.968788, 69.367981 58.868319, 69.30069 58.859284, 69.114266 58.756184, 69.08656 58.71348, 69.049378 58.683244, 68.890076 58.588192, 68.818322 58.498969, 68.739357 58.420105, 68.616448 58.39282, 68.523064 58.352572, 68.428994 58.361201, 68.268318 58.309039, 68.12275 58.237685, 68.06892 58.15901, 68.026619 58.116995, 68.01014 58.037636, 67.909203 57.984269, 67.852898 57.968643, 67.827492 57.9461, 67.688103 57.907891, 67.559014 57.847401, 67.471123 57.817117, 67.309075 57.767076, 67.174492 57.68071, 67.035103 57.501097, 66.99388 57.49962, 66.932793 57.484524, 66.904641 57.473102, 66.777611 57.467574, 66.721306 57.451723, 66.487809 57.400066, 66.253701 57.3069, 66.167183 57.283571, 66.15036 57.263564, 66.147271 57.249478, 66.137314 57.231491, 66.121178 57.149423, 66.119805 57.10255, 66.15345 57.041453, 66.122208 56.993697, 66.074829 56.956532, 66.056977 56.931859, 66.06247 56.905111, 66.038437 56.873476, 66.040154 56.847249, 66.031227 56.818753, 65.91871 56.85829, 65.954018 56.775962, 66.007748 56.75564, 66.046543 56.718073, 66.060448 56.709782, 66.047916 56.689331, 66.097527 56.669528, 66.120186 56.669434, 66.174431 56.643769, 66.194172 56.63905, 66.208076 56.627437, 66.238461 56.625832, 66.257858 56.614404, 66.32103 56.601838, 66.372013 56.570265, 66.41407 56.539801, 66.459732 56.50846, 66.584702 56.477377, 66.693878 56.482781, 66.798248 56.479368, 67.046471 56.46306, 67.649 56.44807, 67.791824 56.47349, 68.013611 56.438204, 68.204498 56.443897, 68.391953 56.413142, 68.538208 56.398325, 68.670044 56.366581, 69.00624 56.31808, 69.139023 56.252124, 69.397202 56.179961, 69.43325 56.180916, 69.510498 56.165053, 69.685936 56.184929, 69.921112 56.210905, 70.09105 56.22579, 70.219116 56.245067, 70.504761 56.271193, 70.618057 56.252506, 70.86525 56.271955, 70.999489 56.258799, 71.191406 56.212432, 71.217499 56.171934, 71.283073 56.130628, 71.297493 56.109576, 71.419029 56.042897, 71.560307 55.98638, 71.590004 55.965921, 71.697464 55.943625, 71.790676 55.94151, 71.799774 55.935068, 71.861057 55.914389, 71.923027 55.912273, 72.010231 55.891294, 72.1836 55.8439, 72.151852 55.819319, 72.154255 55.813243, 72.146873 55.802439, 72.143612 55.791438, 72.128506 55.763344, 72.129536 55.75127, 72.268581 55.716959, 72.344284 55.673422, 72.367973 55.670712, 72.472858 55.631775, 72.584953 55.578151, 72.712326 55.51522, 73.011703 55.406214, 73.063889 55.399196, 73.265076 55.338518, 73.294601 55.236658, 73.33994 55.2094)</t>
  </si>
  <si>
    <t>P2357</t>
  </si>
  <si>
    <t>https://www.gem.wiki/SRTO-Ural_II_Gas_Pipeline</t>
  </si>
  <si>
    <t>SRTO-Ural II Gas Pipeline</t>
  </si>
  <si>
    <t>LINESTRING (64.2772 62.76384, 64.317055 62.70974, 64.275856 62.690529, 64.273109 62.667523, 64.2453 62.654436, 64.233284 62.632823, 64.130287 62.606297, 64.105225 62.593341, 63.956909 62.561718, 63.9291 62.557604, 63.91468 62.549375, 63.861465 62.547951, 63.843613 62.534811, 63.809967 62.527051, 63.746109 62.461249, 63.726883 62.395461, 63.654099 62.357256, 63.634186 62.341164, 63.636932 62.319003, 63.60775 62.288205, 63.562088 62.272076, 63.486557 62.185053, 63.49617 62.102276, 63.487244 62.078492, 63.489304 62.061768, 63.428192 62.012507, 63.394547 61.963812, 63.395233 61.928612, 63.3815 61.917301, 63.386993 61.877841, 63.378067 61.866187, 63.38768 61.852262, 63.360901 61.602478, 63.345795 61.597906, 63.345795 61.525969, 63.29764 61.33903, 63.211899 61.336833, 63.047791 61.271223, 62.999039 61.239192, 62.875443 61.216553, 62.806091 61.220024, 62.762833 61.199025, 62.7388 61.185128, 62.42363 61.114059, 62.335052 61.117376, 62.254028 61.092492, 61.99351 61.05759, 61.88942 61.053301, 61.688919 60.952444, 61.597595 60.925094, 61.494598 60.918753, 61.456146 60.891709, 60.57312 60.68024, 60.519562 60.688309, 60.34164 60.61671, 60.25795 60.448414, 60.269623 60.428088, 60.252457 60.406054, 60.275116 60.316068, 60.258636 60.294299, 60.152893 59.959135, 60.2546 59.81799, 60.494843 59.607349, 60.444031 59.331088, 60.455017 59.247628, 60.438538 59.206876, 60.461884 59.092088, 60.496216 59.077977, 60.516815 58.985406, 60.390472 58.901099, 60.332794 58.77176, 60.269623 58.717251, 60.150833 58.69157, 59.95398 58.63518, 59.926987 58.606188, 59.897461 58.541028, 59.874115 58.519879, 59.856949 58.486157, 59.894028 58.293253, 59.848709 58.252811, 59.865875 58.222811, 59.881668 58.140271, 59.811974 57.957132, 59.745712 57.762432, 59.775925 57.561891, 59.82399 57.452339, 59.884415 57.235219, 59.973679 57.082919, 60.332794 56.90787, 60.600586 56.849723)</t>
  </si>
  <si>
    <t>P2358</t>
  </si>
  <si>
    <t>https://www.gem.wiki/Novoportovskoye_Oil_and_Gas_Condensate_Field-Yamburg_Gas_Pipeline</t>
  </si>
  <si>
    <t>Novoportovskoye Oil and Gas Condensate Field-Yamburg Gas Pipeline</t>
  </si>
  <si>
    <t>The Gas of Yamal</t>
  </si>
  <si>
    <t>Novoportovskoye Oil and Gas Condensate Field</t>
  </si>
  <si>
    <t>Yamburg-Tula Gas Pipeline</t>
  </si>
  <si>
    <t>Yamalsky District</t>
  </si>
  <si>
    <t>Новопортовское НГКМ - Ямбург; Газ Ямала</t>
  </si>
  <si>
    <t>LINESTRING (72.53105 67.80072, 72.605896 67.765245, 72.639198 67.727019, 72.712326 67.713612, 72.914886 67.677128, 75.012245 67.548592)</t>
  </si>
  <si>
    <t>P2362</t>
  </si>
  <si>
    <t>https://www.gem.wiki/Omsk-Novosibirsk-Kuzbass_Gas_Pipeline</t>
  </si>
  <si>
    <t>Omsk-Novosibirsk-Kuzbass Gas Pipeline</t>
  </si>
  <si>
    <t>1000, 1200, 1220</t>
  </si>
  <si>
    <t>Yurginsky District</t>
  </si>
  <si>
    <t>LINESTRING (73.33994 55.2094, 73.363781 55.185214, 73.38275 55.167986, 73.442488 55.136672, 73.443861 55.134832, 73.453088 55.13363, 73.482099 55.114808, 73.492355 55.113458, 73.498321 55.110562, 73.521473 55.106413, 73.528748 55.101012, 73.542051 55.0989, 73.590889 55.087186, 73.60857 55.092, 73.619771 55.08974, 73.622088 55.091877, 73.711567 55.103651, 73.766155 55.103712, 73.861256 55.100079, 73.875675 55.093645, 73.990002 55.100472, 74.063644 55.075714, 74.143896 55.095511, 74.290924 55.079153, 74.513397 55.086228, 74.782562 55.114514, 75.142708 55.129042, 75.2069 55.1416, 75.283813 55.165338, 75.638466 55.180436, 75.845146 55.212965, 76.017494 55.266403, 76.132507 55.294365, 76.14109 55.291433, 76.26194 55.305897, 76.442184 55.292215, 76.69693 55.332269, 76.824303 55.319378, 76.975365 55.341447, 77.085228 55.368186, 77.218781 55.386717, 77.311821 55.371893, 77.434731 55.388082, 77.571373 55.371112, 77.71934 55.38028, 77.728615 55.378915, 77.904739 55.345156, 78.133392 55.336956, 78.277931 55.371503, 78.465042 55.362625, 78.509674 55.364381, 78.680477 55.374917, 78.92561 55.372478, 78.963633 55.376331, 79.08371 55.351549, 79.129972 55.346718, 79.17362 55.34025, 79.248075 55.338518, 79.275112 55.341593, 79.300261 55.33388, 79.333305 55.328656, 79.368324 55.327045, 79.394674 55.328168, 79.419308 55.323724, 79.468918 55.335198, 79.565563 55.339006, 79.592514 55.332562, 79.702549 55.349939, 79.811211 55.352379, 79.936867 55.32309, 80.130501 55.263468, 80.319672 55.264446, 80.490646 55.189061, 80.634155 55.190629, 80.97473 55.14513, 81.193771 55.159651, 81.640778 55.1969, 82.200394 55.13807, 82.521057 55.055562, 82.728424 55.006764, 83.05418 54.98953, 83.296967 55.231373, 83.571625 55.325238, 83.805084 55.530185, 84.079742 55.630322, 84.421692 55.697712, 84.64469 55.79439)</t>
  </si>
  <si>
    <t>P2364</t>
  </si>
  <si>
    <t>https://www.gem.wiki/Orenburg-Samara_Gas_Pipeline</t>
  </si>
  <si>
    <t>Orenburg-Samara Gas Pipeline</t>
  </si>
  <si>
    <t>Chapayevsk</t>
  </si>
  <si>
    <t>LINESTRING (55.104158 51.784269, 53.345 52.28194, 51.85667 52.74583, 50.859357 52.890158, 50.071294 52.725921, 49.710481 52.974777)</t>
  </si>
  <si>
    <t>P2365</t>
  </si>
  <si>
    <t>https://www.gem.wiki/Orenburg-Zainsk_Gas_Pipeline</t>
  </si>
  <si>
    <t>Orenburg-Zainsk Gas Pipeline</t>
  </si>
  <si>
    <t>Zainsk</t>
  </si>
  <si>
    <t>LINESTRING (52.007217 55.295929, 51.984558 55.206304, 52.172699 54.954751, 52.741241 54.554544, 52.89917 54.499555, 53.331757 54.371759, 53.404541 54.176904, 53.44162 54.101281, 53.504791 53.969012, 53.53775 53.951237, 53.638 53.708901, 53.624268 53.550099, 53.706665 53.432447, 54.102173 53.294772, 54.168091 53.16324, 54.700928 52.908902, 55.26123 52.338695, 55.266724 52.187405, 55.217285 52.042355, 55.096436 51.780586)</t>
  </si>
  <si>
    <t>P2366</t>
  </si>
  <si>
    <t>https://www.gem.wiki/Ostrogozhsk-Belousovo_Gas_Pipeline</t>
  </si>
  <si>
    <t>Ostrogozhsk-Belousovo Gas Pipeline</t>
  </si>
  <si>
    <t>Ostrogozhsky District</t>
  </si>
  <si>
    <t>Voronezh Oblast</t>
  </si>
  <si>
    <t>LINESTRING (38.99924 50.83566, 38.942451 50.864478, 38.9432838 51.040361, 38.949318 51.047222, 38.935241 51.138217, 38.917389 51.164275, 38.933868 51.19333, 38.921508 51.255899, 38.906402 51.287688, 38.862457 51.328252, 38.830528 51.392137, 38.873013 51.465558, 38.910179 51.596055, 38.928375 51.623985, 38.932838 51.65062, 38.917389 51.667019, 38.913955 51.681071, 38.876533 51.733407, 38.797569 51.799274, 38.722725 51.849353, 38.722038 51.863772, 38.718605 51.903613, 38.673286 51.956115, 38.578529 52.075286, 38.552437 52.114517, 38.531151 52.125901, 38.510551 52.161297, 38.465233 52.213076, 38.446006 52.24504, 38.454246 52.292103, 38.424034 52.336598, 38.411674 52.412053, 38.397941 52.435083, 38.403434 52.456428, 38.391075 52.538361, 38.258552 52.654728, 38.233146 52.742112, 38.219413 52.798195, 38.22422 52.804007, 38.213234 52.856693, 38.165168 52.928361, 38.134956 52.957325, 38.084144 53.040387, 38.044319 53.062263, 37.91209 53.15146, 37.915916 53.205621, 37.863731 53.253712, 37.820472 53.330463, 37.736015 53.41076, 37.68383 53.444717, 37.580833 53.577015, 37.424965 53.749523, 37.399559 53.820922, 37.390632 53.822949, 37.371406 53.861436, 37.306175 53.884512, 37.27291 53.91179, 37.307167 53.954671, 37.287598 53.992028, 37.287598 54.000505, 37.272491 54.007365, 37.266655 54.035401, 37.178421 54.080944, 37.178764 54.093027, 37.169838 54.106918, 37.159538 54.113157, 37.139626 54.134283, 37.139282 54.174091, 37.158508 54.183736, 37.170868 54.196994, 37.153015 54.213459, 37.155762 54.285671, 37.142029 54.337345, 37.120743 54.415334, 37.091217 54.449283, 37.085037 54.511117, 36.993713 54.586388, 36.940069 54.612591, 36.942387 54.651889, 36.926508 54.667577, 36.919041 54.681771, 36.906424 54.701069, 36.913033 54.728387, 36.912518 54.732848, 36.915436 54.740578, 36.914921 54.749793, 36.921787 54.765344, 36.915951 54.774752, 36.921873 54.792917, 36.938438 54.817404, 36.907024 54.84924, 36.910114 54.873446, 36.8787 54.90731, 36.882391 54.931679, 36.856985 54.956427, 36.815701 54.993028, 36.757507 55.034319, 36.68415 55.11288)</t>
  </si>
  <si>
    <t>P2370</t>
  </si>
  <si>
    <t>https://www.gem.wiki/Pochinki-Izobilnoe-North_Stavropol_Underground_Gas_Storage_Pipeline</t>
  </si>
  <si>
    <t>Part of Pochinki-Isobilnoe-North Stavropol pipeline, no details available on this smaller segment. Initial source was Wikipedia, no sources there. Recommend deleting this.</t>
  </si>
  <si>
    <t>Pochinkovsky District</t>
  </si>
  <si>
    <t>Spornyy</t>
  </si>
  <si>
    <t>LINESTRING (44.63861 54.6707, 44.702339 54.670555, 44.706802 54.660429, 44.793148 54.638976, 44.794693 54.627748, 44.840012 54.586388, 44.884644 54.57246, 44.907303 54.554146, 44.936142 54.547376, 44.941635 54.53702, 44.934769 54.53184, 44.946442 54.488389, 45.020599 54.40974, 45.033646 54.382557, 45.002747 54.349353, 45.032959 54.14635, 45.038452 54.047295, 44.89151 53.87925, 44.866791 53.824976, 44.866791 53.738965, 44.836578 53.685322, 44.837952 53.597395, 44.813232 53.542756, 44.822845 53.476605, 44.77636 53.42877, 44.7789 53.327592, 44.79126 53.288616, 44.755554 53.24303, 44.763794 53.185465, 44.796753 53.182173, 44.848938 53.130294, 44.853058 53.094849, 44.855804 53.035433, 44.915886 52.992057, 44.973564 52.922151, 44.968758 52.910351, 45.033989 52.861876, 45.040169 52.862705, 45.078964 52.812723, 45.060768 52.796327, 45.250626 52.51831, 45.303497 52.431734, 45.42233 52.25748, 45.443573 52.183616, 45.409927 52.149501, 45.405121 52.060512, 45.354309 51.928601, 45.214233 51.655519, 45.090637 51.337476, 45.024719 51.175899, 44.917603 51.106971, 44.917603 50.982641, 44.89443 50.89964, 44.870911 50.666872, 44.874001 50.658167, 44.89563 50.615271, 44.88224 50.601763, 44.920006 50.488095, 44.89769 50.436079, 44.903183 50.406767, 44.89357 50.38094, 44.905243 50.359042, 44.89151 50.330121, 44.89975 50.241935, 44.854431 50.212064, 44.815979 50.156226, 44.66011 50.006856, 44.618225 49.926914, 44.634705 49.886229, 44.631271 49.861891, 44.654617 49.832225, 44.624405 49.79545, 44.61778 49.7675, 44.600372 49.601811, 44.67247 49.528774, 44.749374 49.478386, 44.717102 49.397569, 44.717789 49.367172, 44.680023 49.287963, 44.406052 49.074766, 44.254303 48.676454, 43.86064 48.60542, 43.717003 48.539341, 43.537788 48.376093, 43.395996 48.242967, 43.258667 48.074409, 43.251801 47.935667, 43.229141 47.743941, 43.23028 47.62278, 43.032761 47.487513, 42.810974 47.402997, 42.52533 47.13976, 42.269897 47.02895, 42.06665 46.839528, 41.932755 46.80194, 41.790619 46.671114, 41.731567 46.633879, 41.669769 46.535248, 41.65022 46.43061, 41.412964 46.103709, 41.577759 45.912944, 41.676636 45.779017, 41.852417 45.598666, 41.890869 45.440863, 41.77889 45.33306, 41.76145 45.28569)</t>
  </si>
  <si>
    <t>P2371</t>
  </si>
  <si>
    <t>https://www.gem.wiki/Pochinki-Penza_Gas_Pipeline</t>
  </si>
  <si>
    <t>Pochinki-Penza Gas Pipeline</t>
  </si>
  <si>
    <t>Penzensky District</t>
  </si>
  <si>
    <t>Penza Oblast</t>
  </si>
  <si>
    <t>LINESTRING (44.63861 54.6707, 44.502339 54.470555, 44.506802 54.460429, 44.593148 54.438976, 44.594693 54.427748, 44.640012 54.386388, 44.684644 54.37246, 44.707303 54.354146, 44.736142 54.347376, 44.741635 54.33702, 44.734769 54.33184, 44.746442 54.288389, 44.820599 54.20974, 44.833646 54.182557, 44.802747 54.149353, 44.832959 53.94635, 44.838452 53.847295, 44.69151 53.67925, 44.666791 53.624976, 44.666791 53.538965, 44.636578 53.485322, 44.637952 53.397395, 44.613232 53.342756, 44.622845 53.276605, 44.763794 53.185465)</t>
  </si>
  <si>
    <t>P2372</t>
  </si>
  <si>
    <t>https://www.gem.wiki/Pochinki-Yaroslavl_Gas_Pipeline</t>
  </si>
  <si>
    <t>Pochinki-Yaroslavl Gas Pipeline</t>
  </si>
  <si>
    <t>LINESTRING (45.848127 54.20364, 39.867937 57.628641)</t>
  </si>
  <si>
    <t>P2373</t>
  </si>
  <si>
    <t>https://www.gem.wiki/Pokhvistnevo-Samara_Gas_Pipeline</t>
  </si>
  <si>
    <t>Pokhvistnevo-Samara Gas Pipeline</t>
  </si>
  <si>
    <t>Krasnyye Peski</t>
  </si>
  <si>
    <t>LINESTRING (49.713135 52.981723, 50.340729 53.046167, 50.464325 53.259463, 51.134491 53.287384, 51.34028 53.32694, 51.479187 53.434083, 51.779938 53.592505, 52.05 53.68361)</t>
  </si>
  <si>
    <t>P2375</t>
  </si>
  <si>
    <t>https://www.gem.wiki/Polyana-Underground_Gas_Storage_Compressor_Station_Pipeline</t>
  </si>
  <si>
    <t>Polyana-Underground Gas Storage Compressor Station Pipeline</t>
  </si>
  <si>
    <t>Blagoveshchensky District</t>
  </si>
  <si>
    <t>LINESTRING (55.096436 51.780586, 55.299683 52.180669, 55.788574 52.417498, 55.836639 52.465214, 55.75694 52.8375, 55.914917 52.934569, 55.93689 53.438991, 55.979462 53.660102, 56.1525 54.45056, 56.47522 54.856059, 56.51212 55.37145)</t>
  </si>
  <si>
    <t>P2376</t>
  </si>
  <si>
    <t>https://www.gem.wiki/Proskokovo-Achinsk-Krasnoyarsk-Kansk-Balagansk_Gas_Pipeline</t>
  </si>
  <si>
    <t>Proskokovo-Achinsk-Krasnoyarsk-Kansk-Balagansk Gas Pipeline</t>
  </si>
  <si>
    <t>Proskokovo</t>
  </si>
  <si>
    <t>Balagansk</t>
  </si>
  <si>
    <t>Проскоково – Ачинск – Красноярск – Канск – Балаганск</t>
  </si>
  <si>
    <t>LINESTRING (84.644852 55.79414, 90.465546 56.277674, 93.051453 56.01911, 94.945221 55.775801, 95.710144 56.209759, 98.105164 55.876852, 98.898926 54.971308, 102.186584 54.103697, 103.036652 54.007769)</t>
  </si>
  <si>
    <t>P2378</t>
  </si>
  <si>
    <t>https://www.gem.wiki/Punga-Vuktyl-Ukhta_I,_II_Gas_Pipeline</t>
  </si>
  <si>
    <t>Punga-Vuktyl-Ukhta I, II Gas Pipeline</t>
  </si>
  <si>
    <t>Medvezhye field</t>
  </si>
  <si>
    <t>Sosnogorsk</t>
  </si>
  <si>
    <t>Republic of Komi</t>
  </si>
  <si>
    <t>LINESTRING (64.2772 62.76384, 64.173203 62.780962, 64.085655 62.81941, 64.008751 62.831327, 63.938541 62.830778, 63.594189 62.865012, 63.172073 62.886769, 63.031998 62.908042, 62.960243 62.932189, 62.852097 62.949837, 62.813988 62.95093, 62.769871 62.948432, 62.706528 62.959828, 62.383804 62.973794, 61.869335 62.926798, 61.801701 62.902178, 61.751404 62.894905, 61.632442 62.893575, 61.53717 62.906947, 61.458893 62.904054, 59.7667 63.2159, 59.647865 63.242748, 59.561005 63.245221, 59.50882 63.260827, 59.49337 63.273645, 59.473114 63.279821, 59.369087 63.282445, 59.301796 63.302813, 59.229698 63.311141, 59.029884 63.376602, 59.004478 63.381833, 58.95607 63.380448, 58.944397 63.382755, 58.902855 63.377987, 58.829727 63.388446, 58.767586 63.431628, 57.781219 63.592409, 57.76371 63.602943, 57.597542 63.634674, 57.526474 63.663476, 57.481499 63.673374, 57.438068 63.687074, 57.427425 63.685857, 57.405109 63.68852, 57.354641 63.684944, 57.008057 63.701072, 56.611176 63.680377, 56.519852 63.68677, 56.191635 63.666979, 56.119537 63.679769, 55.439758 63.605996, 55.084076 63.672461, 54.748993 63.672461, 54.440002 63.610879, 53.77472 63.66056)</t>
  </si>
  <si>
    <t>P2379</t>
  </si>
  <si>
    <t>https://www.gem.wiki/Ring_of_the_Moscow_Region-Belousovo_Gas_Pipeline</t>
  </si>
  <si>
    <t>Ring of the Moscow region-Belousovo Gas Pipeline</t>
  </si>
  <si>
    <t>Elshansky field</t>
  </si>
  <si>
    <t>LINESTRING (36.10638 54.55809, 36.111116 54.642304, 36.104164 54.652038, 36.112747 54.667478, 36.146393 54.680084, 36.150684 54.688023, 36.142187 54.772276, 36.384487 54.909679, 36.393929 54.911948, 36.580782 55.029793, 36.646442 55.060872, 36.689744 55.096567, 36.68415 55.11288, 36.779566 55.13363, 36.775618 55.138708, 36.780682 55.14381, 36.814928 55.154404, 36.820421 55.154747, 36.869431 55.174211, 36.879044 55.171417, 36.980238 55.213014)</t>
  </si>
  <si>
    <t>P2380</t>
  </si>
  <si>
    <t>https://www.gem.wiki/Ring_of_the_Moscow_Region_Gas_Pipeline</t>
  </si>
  <si>
    <t>Ring of the Moscow Region Gas Pipeline</t>
  </si>
  <si>
    <t>LINESTRING (37.50156 54.9684, 38.139038 55.037467, 38.79912 55.23676, 39.012451 55.587659, 39.001465 55.875311, 38.726807 56.163906, 38.248901 56.383502, 37.43852 56.32542, 36.974487 56.15472, 36.502075 55.801281, 36.765747 55.40407, 36.980238 55.213014, 37.12829 55.112943, 37.50156 54.9684)</t>
  </si>
  <si>
    <t>P2381</t>
  </si>
  <si>
    <t>https://www.gem.wiki/Rostov-Maykop_Gas_Pipeline</t>
  </si>
  <si>
    <t>Rostov-Maykop Gas Pipeline</t>
  </si>
  <si>
    <t>Yaroslavl Oblast</t>
  </si>
  <si>
    <t>Maykopsky District</t>
  </si>
  <si>
    <t>Republic of Adygea</t>
  </si>
  <si>
    <t>LINESTRING (40.10652 44.70842, 39.950409 44.853922, 39.752655 45.067701, 39.75001 45.27466, 39.425812 45.54964, 39.537048 45.665886, 39.58639 45.745, 39.770508 46.17983, 39.64972 46.6025, 39.747162 46.854557, 39.748535 46.991494, 39.868011 47.060767, 40.00946 47.115934, 40.100098 47.144897, 39.80896 47.46895, 39.66751 47.73424)</t>
  </si>
  <si>
    <t>P2383</t>
  </si>
  <si>
    <t>https://www.gem.wiki/Saratov-Gorky_Gas_Pipeline</t>
  </si>
  <si>
    <t>Saratov-Gorky Gas Pipeline</t>
  </si>
  <si>
    <t>Tatishchevsky District</t>
  </si>
  <si>
    <t>LINESTRING (45.81306 51.66861, 45.797882 51.688734, 45.776253 51.728517, 45.763893 51.73362, 45.761147 51.760615, 45.720634 51.778249, 45.674973 51.821349, 45.628624 51.846171, 45.612488 51.869284, 45.564423 51.90679, 45.517044 51.978748, 45.493698 51.988052, 45.460052 52.020388, 45.483398 52.097437, 45.42233 52.25748, 45.303497 52.431734, 45.250626 52.51831, 45.060768 52.796327, 45.078964 52.812723, 45.040169 52.862705, 45.033989 52.861876, 44.968758 52.910351, 44.973564 52.922151, 44.915886 52.992057, 44.855804 53.035433, 44.853058 53.094849, 44.848938 53.130294, 44.796753 53.182173, 44.763794 53.185465, 44.755554 53.24303, 44.79126 53.288616, 44.7789 53.327592, 44.77636 53.42877, 44.822845 53.476605, 44.813232 53.542756, 44.837952 53.597395, 44.836578 53.685322, 44.866791 53.738965, 44.866791 53.824976, 44.89151 53.87925, 45.038452 54.047295, 45.032959 54.14635, 45.002747 54.349353, 45.033646 54.382557, 45.020599 54.40974, 44.946442 54.488389, 44.934769 54.53184, 44.941635 54.53702, 44.936142 54.547376, 44.907303 54.554146, 44.884644 54.57246, 44.840012 54.586388, 44.794693 54.627748, 44.793148 54.638976, 44.706802 54.660429, 44.702339 54.670555, 44.63861 54.6707, 45.12085 54.957117, 45.258179 55.053989, 45.093384 55.175731, 45.075531 55.349451, 44.967041 55.521634, 44.820099 55.649699, 44.743195 55.811314, 44.67453 55.939202, 44.5784 56.010666, 44.294128 56.089661, 44.085388 56.193717, 43.997498 56.328721)</t>
  </si>
  <si>
    <t>P2385</t>
  </si>
  <si>
    <t>https://www.gem.wiki/Saratov-Moscow_Gas_Pipeline</t>
  </si>
  <si>
    <t>Saratov-Moscow Gas Pipeline</t>
  </si>
  <si>
    <t>LINESTRING (45.81306 51.66861, 45.790801 51.664251, 45.703812 51.667019, 45.666046 51.681071, 45.565796 51.674258, 45.495071 51.696821, 45.434647 51.710012, 45.31701 51.75739, 45.088577 51.848929, 45.060768 51.891113, 44.943352 51.893868, 44.863358 51.904884, 44.763107 51.918015, 44.642258 51.92352, 44.579773 51.941725, 44.539948 51.971346, 44.400558 52.03602, 44.258423 52.065578, 44.11972 52.094695, 43.963165 52.181932, 43.903427 52.205082, 43.865662 52.22822, 43.82079 52.25552, 43.652802 52.307639, 43.599243 52.347715, 43.584824 52.367005, 43.558388 52.376228, 43.514786 52.46354, 43.465004 52.47818, 43.430672 52.482153, 43.408356 52.500131, 43.378143 52.509326, 43.300209 52.552976, 43.122711 52.528337, 43.038597 52.546504, 42.981606 52.569256, 42.926674 52.569256, 42.872772 52.61639, 42.809258 52.64348, 42.76014 52.68315, 42.678108 52.7658, 42.598457 52.807535, 42.544556 52.845083, 42.482243 52.959393, 42.39727 53.028207, 42.388 53.076084, 42.245865 53.13153, 42.195396 53.190402, 42.118835 53.290668, 41.993866 53.355469, 41.973267 53.40462, 41.7677 53.40958, 41.594238 53.477831, 41.564713 53.502751, 41.514587 53.511326, 41.436996 53.497033, 41.31546 53.528472, 41.275635 53.571715, 41.234436 53.583538, 41.188431 53.621838, 41.144485 53.62876, 41.011963 53.671087, 40.979004 53.697113, 40.88562 53.687355, 40.718765 53.677188, 40.608902 53.687762, 40.487366 53.727186, 40.342484 53.743026, 40.14473 53.762514, 40.106964 53.804706, 40.03624 53.863461, 40.02955 53.88198, 40.03212 53.934262, 40.002594 53.966185, 40.008087 54.011804, 40.008087 54.202215, 39.966202 54.27605, 39.861832 54.348553, 39.884491 54.378958, 39.844703 54.432512, 39.697418 54.507928, 39.538459 54.675419, 39.423103 54.745235, 39.26083 54.84242, 39.119568 54.980766, 38.978119 55.068146, 38.818817 55.212573, 38.79912 55.23676, 38.737106 55.301011, 38.633423 55.354135, 38.567505 55.430962, 38.383484 55.498694, 38.036728 55.58339, 37.810135 55.706611, 37.617188 55.749531)</t>
  </si>
  <si>
    <t>P2387</t>
  </si>
  <si>
    <t>https://www.gem.wiki/Shebelinka-Belgorod-Kursk-Bryansk_Gas_Pipeline</t>
  </si>
  <si>
    <t>Shebelinka-Belgorod-Kursk-Bryansk Gas Pipeline</t>
  </si>
  <si>
    <t>Shebelinskoe gas field</t>
  </si>
  <si>
    <t>LINESTRING (36.580724 49.400519, 36.556966 49.556029, 36.212759 49.987333, 36.157417 50.21036, 36.57205 50.671881, 36.084739 51.498851, 36.185789 51.739125, 35.749795 52.689376, 35.503047 52.967969, 34.272935 53.23831)</t>
  </si>
  <si>
    <t>P2388</t>
  </si>
  <si>
    <t>https://www.gem.wiki/Shkapovo-Ishimbay_Gas_Pipeline</t>
  </si>
  <si>
    <t>Shkapovo-Ishimbay Gas Pipeline</t>
  </si>
  <si>
    <t>Shkapovo</t>
  </si>
  <si>
    <t>LINESTRING (54.107323 53.775298, 54.253235 53.703617, 54.796371 53.64301, 54.977303 53.601062, 55.065193 53.559277, 55.189476 53.558665, 55.571251 53.535819, 55.93689 53.438991)</t>
  </si>
  <si>
    <t>P2390</t>
  </si>
  <si>
    <t>https://www.gem.wiki/Shkapovo-Tubankul_Gas_Pipeline</t>
  </si>
  <si>
    <t>Shkapovo-Tubankul Gas Pipeline</t>
  </si>
  <si>
    <t>Tuymazy</t>
  </si>
  <si>
    <t>LINESTRING (54.107323 53.775298, 54.077454 53.854957, 54.19693 53.982743, 54.047241 54.374958, 53.833008 54.558526, 53.670959 54.59355)</t>
  </si>
  <si>
    <t>P2424</t>
  </si>
  <si>
    <t>https://www.gem.wiki/Sobolevo-Petropavlovsk-Kamchatsky_Gas_Pipeline</t>
  </si>
  <si>
    <t>Sobolevo-Petropavlovsk-Kamchatsky Gas Pipeline</t>
  </si>
  <si>
    <t>Nizhe Kvachikskoe field</t>
  </si>
  <si>
    <t>Sobolevsky DistrictPetropavlovsk-Kamchatskiy</t>
  </si>
  <si>
    <t>Kamchatka Krai</t>
  </si>
  <si>
    <t>Petropavlovsk-Kamchatsky</t>
  </si>
  <si>
    <t>LINESTRING (155.707169 54.708359, 155.841064 54.700821, 155.956421 54.307711, 156.236572 53.605544, 156.588135 52.935397, 156.906738 52.898962, 157.214355 52.958566, 157.807617 53.100621, 158.241577 53.271783, 158.645325 53.023044)</t>
  </si>
  <si>
    <t>P2425</t>
  </si>
  <si>
    <t>https://www.gem.wiki/Pochinki-Anapa_Gas_Pipeline</t>
  </si>
  <si>
    <t>Pochinki-Anapa Gas Pipeline</t>
  </si>
  <si>
    <t>South European East</t>
  </si>
  <si>
    <t>North of Urengoy</t>
  </si>
  <si>
    <t>Nizhgorod Oblast</t>
  </si>
  <si>
    <t>Anapsky District</t>
  </si>
  <si>
    <t>Газопровод Починки - Анапа</t>
  </si>
  <si>
    <t>LINESTRING (44.63861 54.6707, 44.602339 54.570555, 44.606802 54.560429, 44.693148 54.538976, 44.694693 54.527748, 44.740012 54.486388, 44.784644 54.47246, 44.807303 54.454146, 44.836142 54.447376, 44.841635 54.43702, 44.834769 54.43184, 44.846442 54.388389, 44.920599 54.30974, 44.933646 54.282557, 44.902747 54.249353, 44.932959 54.04635, 44.938452 53.947295, 44.79151 53.77925, 44.766791 53.724976, 44.766791 53.638965, 44.736578 53.585322, 44.737952 53.497395, 44.713232 53.442756, 44.722845 53.376605, 44.67636 53.32877, 44.6789 53.227592, 44.69126 53.188616, 44.655554 53.14303, 44.663794 53.085465, 44.696753 53.082173, 44.748938 53.030294, 44.753058 52.994849, 44.755804 52.935433, 44.815886 52.892057, 44.873564 52.822151, 44.868758 52.810351, 44.933989 52.761876, 44.940169 52.762705, 44.978964 52.712723, 44.960768 52.696327, 45.150626 52.41831, 45.203497 52.331734, 45.32233 52.15748, 45.343573 52.083616, 45.309927 52.049501, 45.305121 51.960512, 45.254309 51.828601, 45.114233 51.555519, 44.990637 51.237476, 44.924719 51.075899, 44.817603 51.006971, 44.817603 50.882641, 44.79443 50.79964, 44.770911 50.566872, 44.774001 50.558167, 44.79563 50.515271, 44.78224 50.501763, 44.820006 50.388095, 44.79769 50.336079, 44.803183 50.306767, 44.79357 50.28094, 44.805243 50.259042, 44.79151 50.230121, 44.79975 50.141935, 44.754431 50.112064, 44.715979 50.056226, 44.56011 49.906856, 44.518225 49.826914, 44.534705 49.786229, 44.531271 49.761891, 44.554617 49.732225, 44.524405 49.69545, 44.51778 49.6675, 44.500372 49.501811, 44.57247 49.428774, 44.649374 49.378386, 44.617102 49.297569, 44.617789 49.267172, 44.580023 49.187963, 44.306052 48.974766, 44.154303 48.576454, 43.76064 48.50542, 43.617003 48.439341, 43.437788 48.276093, 43.295996 48.142967, 43.158667 47.974409, 43.151801 47.835667, 43.129141 47.643941, 43.13028 47.52278, 42.932761 47.387513, 42.710974 47.302997, 42.42533 47.03976, 42.169897 46.92895, 41.96665 46.739528, 41.832755 46.70194, 41.680619 46.571114, 41.631567 46.533879, 41.569769 46.435248, 41.55022 46.33061, 41.401978 46.198844, 41.19873 46.097995, 40.800476 45.920587, 40.105591 45.79434, 39.729309 45.786679, 39.440918 45.790509, 39.19128 45.48494)</t>
  </si>
  <si>
    <t>P2426</t>
  </si>
  <si>
    <t>https://www.gem.wiki/Pisarevka-Anapa_Gas_Pipeline</t>
  </si>
  <si>
    <t>Pisarevka-Anapa Gas Pipeline</t>
  </si>
  <si>
    <t>South European West</t>
  </si>
  <si>
    <t>700-1400</t>
  </si>
  <si>
    <t>Kantemirovsky District</t>
  </si>
  <si>
    <t>LINESTRING (40.19104 49.91781, 40.503845 49.759978, 40.56609 49.51711, 40.567017 49.503364, 40.552254 49.470578, 40.571136 49.401144, 40.562553 49.391312, 40.56633 49.373879, 40.616112 49.353308, 40.615768 49.280572, 40.632248 49.248086, 40.619888 49.206383, 40.57663 49.178561, 40.577316 49.164196, 40.58075 49.124219, 40.613708 49.072067, 40.601349 49.027964, 40.620575 48.941445, 40.557404 48.862908, 40.502472 48.789676, 40.422821 48.757999, 40.435181 48.364461, 40.49052 48.29798, 40.562897 48.245711, 40.55603 48.197218, 40.517578 48.186232, 40.505219 48.011975, 40.415955 47.998193, 40.396729 47.959583, 40.405655 47.641104, 40.35965 47.611024, 40.35777 47.56592, 40.36171 47.540846, 40.36171 47.540846, 40.315018 47.501895, 40.276566 47.495864, 40.288925 47.35278, 40.263519 47.332773, 40.218887 47.292271, 39.747162 47.071992, 39.624939 47.01678, 39.490356 46.666402, 39.509583 46.379149, 39.539795 46.06942, 39.440918 45.790509, 39.19128 45.48494, 39.75001 45.27466, 39.19128 45.48494, 38.71582 45.260389, 37.78649 45.02851, 37.42724 44.82824)</t>
  </si>
  <si>
    <t>P2429</t>
  </si>
  <si>
    <t>https://www.gem.wiki/Sverdlovsk-Nizhny_Tagil_Gas_Pipeline</t>
  </si>
  <si>
    <t>Sverdlovsk-Nizhny Tagil Gas Pipeline</t>
  </si>
  <si>
    <t>Bukhara-Ural I</t>
  </si>
  <si>
    <t>Газопровод Свердловск - Нижний Тагил (Бухара - Урал I)</t>
  </si>
  <si>
    <t>LINESTRING (59.811974 57.957132, 59.815712 57.832432, 59.845925 57.631891, 59.89399 57.522339, 59.954415 57.305219, 60.043679 57.152919, 60.402794 56.97787, 60.600586 56.849723)</t>
  </si>
  <si>
    <t>P2430</t>
  </si>
  <si>
    <t>https://www.gem.wiki/Syzran-Ulyanovsk_Gas_Pipeline</t>
  </si>
  <si>
    <t>Syzran-Ulyanovsk Gas Pipeline</t>
  </si>
  <si>
    <t>Syzransky District</t>
  </si>
  <si>
    <t>Газопровод Сызрань - Ульяновск</t>
  </si>
  <si>
    <t>LINESTRING (48.36393 53.28803, 48.372459 53.367762, 48.329201 53.480691, 48.340874 53.505609, 48.323364 53.566414, 48.323364 53.768196, 48.202515 53.923751, 48.180542 54.049714, 48.394775 54.335744)</t>
  </si>
  <si>
    <t>P2431</t>
  </si>
  <si>
    <t>https://www.gem.wiki/Tas-Yuryakh-Mirny-Udachny_Gas_Pipeline</t>
  </si>
  <si>
    <t>Tas-Yuryakh-Mirny-Udachny Gas Pipeline</t>
  </si>
  <si>
    <t>Tas-Yuryakh-Mirny-Aykhal</t>
  </si>
  <si>
    <t>Alrosa PJSC [100.00%]</t>
  </si>
  <si>
    <t>Srednebotuobinskoye oil and gas condensate field</t>
  </si>
  <si>
    <t>Tas Yuryakh</t>
  </si>
  <si>
    <t>Respublic of Sakha (Yakutia)</t>
  </si>
  <si>
    <t>Aykhal</t>
  </si>
  <si>
    <t>Таас-Юрях - Мирный - Айхал</t>
  </si>
  <si>
    <t>LINESTRING (113.142014 61.787409, 113.529968 61.808501, 113.705063 61.799417, 113.961182 61.809799, 114.079285 61.782539, 114.333344 61.787084, 114.283905 61.932167, 114.230347 62.00574, 114.2276 62.086851, 114.163742 62.124436, 114.23584 62.220916, 114.253693 62.375409, 114.196701 62.44283, 113.90625 62.549692, 113.427658 62.777978, 113.144073 62.906791, 112.944946 62.94648, 112.744446 62.938984, 112.525406 62.995782, 112.453995 63.120847, 112.427216 63.25712, 112.460861 63.457567, 112.444382 63.681595, 112.39563 63.806743, 112.558365 63.978672, 112.51236 64.055983, 112.561111 64.152544, 112.541199 64.269646, 112.453995 64.366061, 112.506866 64.54726, 112.484894 64.759782, 112.479401 65.037669, 112.446442 65.295477, 112.279587 65.457405, 112.254868 65.622023, 111.917038 65.800806, 111.725464 65.943673)</t>
  </si>
  <si>
    <t>P2432</t>
  </si>
  <si>
    <t>https://www.gem.wiki/Torzhok-Valdai_Gas_Pipeline</t>
  </si>
  <si>
    <t>Torzhok-Valdai Gas Pipeline</t>
  </si>
  <si>
    <t>Valdai</t>
  </si>
  <si>
    <t>Novgorod Oblast</t>
  </si>
  <si>
    <t>LINESTRING (33.27965 57.95168, 33.522072 57.844848, 33.862648 57.691334, 33.975258 57.643685, 34.22657 57.60552, 34.483375 57.493732, 34.771766 57.28246, 35.02667 56.96417)</t>
  </si>
  <si>
    <t>P2433</t>
  </si>
  <si>
    <t>https://www.gem.wiki/Tula-Torzhok_Gas_Pipeline</t>
  </si>
  <si>
    <t>Tula-Torzhok Gas Pipeline</t>
  </si>
  <si>
    <t>Tula Oblast</t>
  </si>
  <si>
    <t>Torzhoksky District</t>
  </si>
  <si>
    <t>Газопровод Тула - Торжок</t>
  </si>
  <si>
    <t>LINESTRING (35.02667 56.96417, 35.075912 56.947409, 35.077629 56.934861, 35.13736 56.86305, 35.160713 56.84916, 35.177536 56.811404, 35.162773 56.76853, 35.213242 56.742369, 35.224915 56.69904, 35.244484 56.685654, 35.255814 56.656981, 35.286369 56.643014, 35.283966 56.603161, 35.346451 56.58615, 35.38662 56.559482, 35.400696 56.53999, 35.529099 56.479937, 35.618706 56.454239, 35.635185 56.419978, 35.635357 56.364204, 35.633469 56.308539, 35.650806 56.302539, 35.677071 56.230566, 35.730629 56.123548, 35.81515 56.03573, 35.878601 55.995885, 35.910873 55.954966, 35.896111 55.891101, 35.977135 55.767883, 35.990524 55.693648, 36.02211 55.611711, 36.010437 55.54864, 36.048889 55.533877, 36.088028 55.504916, 36.111717 55.467956, 36.219864 55.36643, 36.284752 55.319183, 36.346207 55.286545, 36.369209 55.265424, 36.400452 55.235288, 36.474953 55.176123, 36.544304 55.148224, 36.570396 55.143515, 36.68415 55.11288, 36.737938 55.061265, 36.760597 55.032154, 36.855698 54.955934, 36.89827 54.938385, 36.942558 54.919053, 36.980667 54.911948, 37.025642 54.907014, 37.11731 54.891616, 37.281418 54.902277, 37.50156 54.9684, 37.506981 54.922012, 37.492218 54.896157, 37.481575 54.89517, 37.423553 54.836686, 37.41394 54.805038, 37.41394 54.769603, 37.43454 54.717878, 37.424583 54.679786, 37.443123 54.642055, 37.423553 54.630332, 37.432137 54.617412, 37.428017 54.567882, 37.466125 54.437304, 37.610321 54.1986)</t>
  </si>
  <si>
    <t>P2435</t>
  </si>
  <si>
    <t>https://www.gem.wiki/Tuymazy-Ufa_Gas_Pipeline</t>
  </si>
  <si>
    <t>Tuymazy-Ufa Gas Pipeline</t>
  </si>
  <si>
    <t>Ufa</t>
  </si>
  <si>
    <t>Газопровод Туймазы - Уфа</t>
  </si>
  <si>
    <t>LINESTRING (55.950129 54.731941, 55.585304 54.64109, 55.075865 54.734634, 53.908667 54.484665, 53.70521 54.603424)</t>
  </si>
  <si>
    <t>P2437</t>
  </si>
  <si>
    <t>https://www.gem.wiki/Ukhta-Cheboksary_Gas_Pipeline</t>
  </si>
  <si>
    <t>Ukhta-Cheboksary Gas Pipeline</t>
  </si>
  <si>
    <t>Cheboksarskiy Rayon</t>
  </si>
  <si>
    <t>Republic of Chuvashia</t>
  </si>
  <si>
    <t>Газопровод Ухта - Чебоксары</t>
  </si>
  <si>
    <t>LINESTRING (53.77472 63.66056, 53.467712 63.675064, 53.375702 63.689164, 53.278885 63.664991, 53.239059 63.658457, 53.156662 63.628847, 53.10585 63.613825, 53.081818 63.594806, 53.063278 63.554885, 53.031693 63.520756, 52.761154 63.393412, 52.669144 63.370226, 52.421265 63.2447, 52.386246 63.236933, 52.319641 63.208957, 52.305222 63.192159, 52.224197 63.160713, 52.240677 63.145134, 52.230377 63.12362, 52.117081 63.09054, 51.995544 63.023953, 51.92389 62.99, 51.880188 62.865169, 51.800537 62.718239, 51.844482 62.517388, 51.344604 61.840599, 50.657959 61.119366, 49.888916 60.078544, 49.086914 59.349996, 48.493652 58.332567, 48.048706 57.586559, 47.466431 56.854979, 47.3224 55.97721)</t>
  </si>
  <si>
    <t>P2438</t>
  </si>
  <si>
    <t>Energy Transfer [unknown %]</t>
  </si>
  <si>
    <t>P2440</t>
  </si>
  <si>
    <t>https://www.gem.wiki/Urengoy-Chelyabinsk_Gas_Pipeline</t>
  </si>
  <si>
    <t>Urengoy-Chelyabinsk Gas Pipeline</t>
  </si>
  <si>
    <t>LINESTRING (76.82846 66.03047, 76.830826 66.015088, 76.856232 65.996729, 76.867733 65.971158, 76.92421 65.959762, 76.998711 65.938634, 77.012444 65.920571, 77.011242 65.906489, 77.039394 65.895765, 77.045574 65.888683, 77.043343 65.868339, 77.053986 65.85795, 77.109947 65.836176, 77.110977 65.826969, 77.130375 65.804957, 77.198696 65.765952, 77.217922 65.760455, 77.325726 65.709945, 77.43679 65.556968, 77.495842 65.518796, 77.493954 65.512536, 77.519875 65.469952, 77.577724 65.435934, 77.625275 65.402516, 77.672482 65.391295, 77.700119 65.373562, 77.707672 65.352237, 77.735825 65.31312, 77.717972 65.29153, 77.71966 65.27079, 77.698231 65.253689, 77.725697 65.232123, 77.699089 65.168544, 77.716084 65.139043, 77.751617 65.124317, 77.760201 65.105752, 77.720203 65.047519, 77.724152 65.032597, 77.715397 65.026002, 77.681923 65.00766, 77.649822 65.003235, 77.634888 64.99061, 77.613773 64.962728, 77.597122 64.956625, 77.511635 64.936998, 77.490692 64.921359, 77.467346 64.911243, 77.462711 64.899959, 77.412071 64.869795, 77.344265 64.857472, 77.228222 64.809804, 77.229424 64.7611, 77.191143 64.736348, 77.136211 64.723598, 77.111492 64.721399, 77.094326 64.708128, 77.07407 64.700793, 77.027206 64.639763, 77.017593 64.585522, 76.98086 64.56888, 76.948757 64.551465, 76.896229 64.539291, 76.880264 64.493056, 76.859322 64.485219, 76.850052 64.45607, 76.804047 64.417552, 76.815033 64.380465, 76.79821 64.34957, 76.825333 64.272925, 76.843185 64.245341, 76.842499 64.1868, 76.821213 64.168256, 76.839409 64.118846, 76.729546 64.080755, 76.728172 64.035548, 76.715126 64.028633, 76.714439 64.007275, 76.733322 63.979726, 76.707916 63.933903, 76.648178 63.898278, 76.629639 63.866085, 76.55085 63.85338, 76.47892 63.831131, 76.410255 63.794466, 76.213531 63.744998, 76.173706 63.729654, 76.121864 63.722207, 76.065559 63.696356, 75.973549 63.677485, 75.928917 63.652964, 75.953979 63.622016, 75.939903 63.571482, 75.777512 63.463243, 75.73597 63.452964, 75.668335 63.421031, 75.593834 63.400747, 75.543365 63.362444, 75.59967 63.302041, 75.549 63.19162, 75.284157 63.08357, 75.265617 62.991885, 75.241241 62.965056, 75.148201 62.916171, 75.129318 62.82286, 75.114212 62.793365, 75.112495 62.758184, 75.095329 62.702971, 75.060997 62.679816, 74.96521 62.649863, 74.930878 62.615141, 74.903069 62.559661, 74.883499 62.497736, 74.8095 62.38602, 74.781189 62.323947, 74.750633 62.218196, 74.750977 62.191941, 74.787025 62.138078, 74.75132 62.070131, 74.719391 62.043103, 74.714584 61.998648, 74.699478 61.956226, 74.714584 61.903076, 74.767799 61.843677, 74.872513 61.796659, 74.896545 61.75753, 74.944954 61.724533, 74.966583 61.701105, 74.957314 61.669024, 74.925385 61.649956, 74.966927 61.618638, 74.919891 61.555581, 74.92066 61.48853, 74.898262 61.451404, 74.867706 61.408058, 74.875603 61.398856, 74.855347 61.3635, 74.882813 61.32481, 74.938774 61.310309, 74.957657 61.260164, 74.921265 61.228618, 74.897919 61.186452, 74.949074 61.158807, 74.925041 61.124009, 74.926414 61.090168, 74.729004 61.03086, 74.568672 61.00441, 74.540176 60.989428, 74.42585 60.916751, 74.382591 60.906235, 74.17424 60.84631, 74.138489 60.830188, 73.886833 60.725097, 73.652344 60.710991, 73.575439 60.683098, 73.44738 60.66006, 73.417168 60.64946, 73.244133 60.627913, 73.056335 60.612754, 72.8936 60.650469, 72.819099 60.613933, 72.671814 60.611406, 72.568817 60.600116, 72.52075 60.56216, 72.349091 60.436897, 72.109108 60.392996, 71.891441 60.216797, 71.689911 60.153809, 71.61026 60.101312, 71.602707 60.070322, 71.553612 60.045989, 71.480827 60.029357, 71.32432 59.95214, 71.090126 59.861367, 71.086349 59.851368, 71.014938 59.820833, 70.991592 59.820316, 70.944214 59.802707, 70.839844 59.783706, 70.741997 59.786989, 70.250702 59.709153, 70.125046 59.673288, 70.035782 59.600227, 70.018616 59.527877, 69.99986 59.50381, 69.972267 59.493212, 69.958878 59.469501, 69.902229 59.449438, 69.847641 59.403511, 69.828758 59.351746, 69.679756 59.208282, 69.669456 59.189647, 69.610748 59.145304, 69.5438 59.110776, 69.505692 59.082387, 69.376602 59.038788, 69.297981 58.938319, 69.23069 58.929284, 69.044266 58.826184, 69.01656 58.78348, 68.979378 58.753244, 68.820076 58.658192, 68.748322 58.568969, 68.669357 58.490105, 68.546448 58.46282, 68.453064 58.422572, 68.358994 58.431201, 68.198318 58.379039, 68.05275 58.307685, 67.99892 58.22901, 67.956619 58.186995, 67.94014 58.107636, 67.839203 58.054269, 67.782898 58.038643, 67.757492 58.0161, 67.618103 57.977891, 67.489014 57.917401, 67.401123 57.887117, 67.239075 57.837076, 67.104492 57.75071, 66.965103 57.571097, 66.92388 57.56962, 66.862793 57.554524, 66.834641 57.543102, 66.707611 57.537574, 66.651306 57.521723, 66.347809 57.470066, 66.183701 57.3769, 66.097183 57.353571, 66.08036 57.333564, 66.077271 57.319478, 66.067314 57.301491, 66.051178 57.219423, 66.049805 57.17255, 66.08345 57.111453, 66.052208 57.063697, 66.004829 57.026532, 65.986977 57.001859, 65.99247 56.975111, 65.968437 56.943476, 65.970154 56.917249, 65.961227 56.888753, 65.91871 56.85829, 65.799866 56.811404, 65.805702 56.785836, 65.566406 56.670754, 65.418777 56.63669, 65.262051 56.558063, 65.137596 56.518878, 65.034084 56.507229, 64.877872 56.468844, 64.640121 56.408583, 64.32212 56.32965, 64.169769 56.305015, 64.114151 56.285106, 63.820095 56.203458, 63.71109 56.171934, 63.521576 56.166009, 63.462009 56.158649, 63.340302 56.080562, 63.093967 56.010666, 63.052425 55.994925, 63.040581 55.994061, 62.989941 55.97034, 62.901707 55.923624, 62.90205 55.918526, 62.75438 55.85846, 62.712364 55.849494, 62.650566 55.832047, 62.410583 55.734843, 62.369728 55.726337, 62.289562 55.686875, 62.251625 55.64408, 62.120991 55.569902, 61.914654 55.476032, 61.799984 55.44995, 61.704025 55.415374, 61.478634 55.41479, 61.399326 55.391787, 61.28747 55.37083)</t>
  </si>
  <si>
    <t>P2447</t>
  </si>
  <si>
    <t>Russia, Latvia</t>
  </si>
  <si>
    <t>https://www.gem.wiki/Valdai-Pskov-Riga_Gas_Pipeline</t>
  </si>
  <si>
    <t>Valdai-Pskov-Riga Gas Pipeline</t>
  </si>
  <si>
    <t>Zimogor'e</t>
  </si>
  <si>
    <t>Газопровод Валдай - Псков - Рига</t>
  </si>
  <si>
    <t>LINESTRING (33.27965 57.95168, 32.981644 57.928887, 32.778053 57.949663, 32.589912 57.95695, 32.401428 57.930528, 32.044029 57.931622, 32.028236 57.920865, 31.858292 57.932897, 31.80233 57.928523, 31.638908 57.941828, 31.616936 57.930163, 31.570244 57.920501, 31.26503 57.913389, 31.028652 57.880912, 31.010799 57.888851, 30.931664 57.882737, 30.809269 57.881733, 30.701122 57.873062, 30.648766 57.876896, 30.574093 57.874157, 30.554008 57.867584, 30.51178 57.869684, 30.353165 57.856352, 29.811401 57.789893, 29.613304 57.773968, 29.543953 57.744114, 29.168701 57.705248, 29.014549 57.727803, 28.963737 57.732019, 28.906403 57.714785, 28.827095 57.720836, 28.750877 57.757487, 28.588829 57.756938, 28.212891 57.773053, 28.171005 57.761883, 28.098564 57.759868, 27.874374 57.699928, 27.80189 57.69894, 27.684216 57.695341, 27.623405 57.686809, 27.58667 57.675245, 27.555256 57.673593, 27.532253 57.664779, 27.504272 57.662576, 27.402649 57.640715, 27.36351 57.625644, 27.246952 57.601646, 27.205067 57.591803, 27.182064 57.595851, 27.129192 57.592723, 27.088852 57.591159, 27.048168 57.568612, 26.985855 57.556458, 26.896591 57.546971, 26.852131 57.540522, 26.800289 57.520893, 26.775055 57.519787, 26.760807 57.522552, 26.695747 57.513979, 26.631031 57.490276, 26.573181 57.485848, 26.564255 57.479942, 26.479282 57.467851, 26.465549 57.470066, 26.430531 57.460095, 26.419029 57.451138, 26.349335 57.447166, 26.337662 57.440885, 26.305218 57.442917, 26.265736 57.43682, 26.246166 57.439776, 26.214924 57.436265, 26.200333 57.431461, 26.149006 57.428319, 26.110039 57.415656, 26.099052 57.405947, 26.070385 57.395774, 26.054592 57.397162, 25.990219 57.374956, 25.959492 57.376252, 25.831432 57.347366, 25.816498 57.348941, 25.78474 57.346255, 25.756073 57.332822, 25.703201 57.333564, 25.668011 57.322258, 25.552826 57.294721, 25.448456 57.296669, 25.431633 57.288877, 25.359879 57.278672, 25.338936 57.270505, 25.15337 57.241815, 25.069084 57.207059, 25.005226 57.203247, 24.990463 57.197482, 24.970036 57.196831, 24.936218 57.174877, 24.797344 57.134935, 24.782324 57.13419, 24.743185 57.129066, 24.704819 57.126737, 24.661732 57.112012, 24.636068 57.114948, 24.628258 57.120028, 24.577103 57.103902, 24.533157 57.102317, 24.523373 57.084038, 24.12941 56.970808)</t>
  </si>
  <si>
    <t>P2450</t>
  </si>
  <si>
    <t>https://www.gem.wiki/Yamburg-Tula_Gas_Pipeline</t>
  </si>
  <si>
    <t>Yamburg</t>
  </si>
  <si>
    <t>Shchyokinsky District</t>
  </si>
  <si>
    <t>LINESTRING (75.46492 67.85743, 75.32917 67.83684, 75.346164 67.755629, 75.322132 67.732354, 75.294494 67.67465, 75.183563 67.604381, 75.093956 67.558293, 75.012245 67.548592, 75.013275 67.516447, 74.884186 67.455317, 74.822044 67.394558, 74.660339 67.265808, 74.595451 67.184204, 74.458809 67.094708, 74.474602 66.985425, 74.444046 66.93423, 74.507904 66.892901, 74.512711 66.858924, 74.474945 66.82571, 74.479408 66.75061, 74.383621 66.694576, 74.228439 66.624252, 73.81748 66.46149, 73.782463 66.405482, 73.803749 66.375369, 73.77388 66.313311, 73.7677 66.266442, 73.715515 66.24294, 73.66745 66.1949, 73.694229 66.166615, 73.67981 66.151767, 73.680496 66.130937, 73.66333 66.111897, 73.655777 66.047863, 73.609085 66.024157, 73.606339 65.985065, 73.618698 65.91987, 73.656807 65.876128, 73.678436 65.836106, 73.707619 65.820501, 73.700752 65.801932, 73.743324 65.730344, 73.745041 65.675674, 73.706932 65.652755, 73.687019 65.614653, 73.609428 65.57692, 73.517761 65.508551, 73.46944 65.425, 73.488198 65.288822, 73.383141 65.230068, 73.300743 65.207678, 73.164788 65.064857, 73.030205 65.01891, 72.895623 64.861107, 72.791252 64.83491, 72.75692 64.790024, 72.41889 64.63639, 72.361412 64.599744, 72.103234 64.351258, 71.717339 64.30319, 71.545677 64.317441, 71.320458 64.285959, 71.243553 64.249681, 71.15806 64.23139, 71.076012 64.195473, 70.948296 64.184737, 70.82058 64.231822, 70.700074 64.257863, 70.211525 64.240456, 70.146294 64.167731, 70.015145 64.131298, 69.60944 63.96361, 69.52488 63.9457, 69.340172 63.936974, 69.249535 63.92102, 68.973503 63.84202, 68.647347 63.854095, 68.559456 63.833866, 68.496971 63.850775, 68.282738 63.841718, 67.956581 63.781262, 67.90194 63.745, 67.829552 63.740986, 67.575493 63.690333, 67.443657 63.626508, 67.392159 63.593019, 67.263069 63.55888, 67.068062 63.316908, 67.00556 63.17972, 66.592217 62.941678, 66.484757 62.836009, 66.422272 62.796265, 66.355324 62.722423, 66.295243 62.686769, 66.296616 62.663972, 66.148987 62.571975, 66.087876 62.517809, 66.01944 62.49278, 65.919648 62.473044, 65.866089 62.45024, 65.85373 62.43265, 65.740776 62.382676, 65.709191 62.296175, 65.676918 62.276423, 65.651512 62.272279, 65.546456 62.217407, 65.495644 62.127866, 65.134468 61.945085, 64.82363 61.9484, 64.749985 61.908896, 64.610596 61.846107, 64.508286 61.76955, 64.270363 61.702895, 63.840179 61.660225, 63.6129 61.596599, 63.37223 61.54773, 63.115768 61.499769, 63.002472 61.453209, 62.912521 61.438111, 62.41745 61.293988, 62.207336 61.262641, 61.880493 61.182646, 61.70102 61.16009, 61.618881 61.160794, 61.353836 61.088177, 60.759888 60.881352, 60.696716 60.875337, 60.425491 60.784306, 60.297089 60.779278, 60.164566 60.752115, 60.136414 60.703096, 60.11751 60.68834, 60.055389 60.65905, 60.035477 60.599779, 60.018997 60.568415, 59.970932 60.520468, 59.931107 60.410123, 59.914627 60.360583, 59.896088 60.298041, 59.860382 60.24799, 59.766312 60.156885, 59.780045 60.110039, 59.758759 60.037417, 59.774551 60.01958, 59.767685 59.991775, 59.781418 59.96051, 59.768372 59.895826, 59.82309 59.86806, 59.839783 59.815828, 59.848022 59.813756, 59.844589 59.780941, 59.771805 59.730446, 59.743652 59.699281, 59.59053 59.628186, 59.591217 59.618116, 59.537659 59.587542, 59.526672 59.56181, 59.488907 59.5183, 59.363937 59.253596, 59.253387 59.181557, 59.166183 59.151995, 59.076233 59.085739, 58.84552 59.005213, 58.813934 59.00486, 58.778915 58.935485, 58.772049 58.877329, 58.733597 58.86668, 58.712311 58.817653, 58.629227 58.699776, 58.563995 58.655156, 58.427353 58.62228, 58.289337 58.558225, 58.163681 58.522747, 57.863617 58.483645, 57.82469 58.46391, 57.788086 58.425089, 57.590332 58.399553, 57.502441 58.40351, 57.453003 58.390917, 57.336273 58.391277, 57.325974 58.394515, 57.308121 58.392356, 57.09938 58.394875, 56.979904 58.414661, 56.917419 58.399193, 56.782837 58.397034, 56.750221 58.388937, 56.696663 58.391457, 56.623192 58.382638, 56.600876 58.383178, 56.56517 58.378499, 56.51355 58.38543, 56.47728 58.389477, 56.433678 58.383718, 56.393166 58.387858, 56.370678 58.382638, 56.261158 58.382728, 56.252918 58.385158, 56.135159 58.382818, 56.106834 58.380209, 56.048813 58.360133, 56.000919 58.350046, 55.985813 58.341938, 55.919895 58.332026, 55.876122 58.338064, 55.846424 58.330494, 55.83252 58.331305, 55.81501 58.325627, 55.772438 58.299207, 55.745659 58.296681, 55.631504 58.266808, 55.623951 58.260307, 55.604725 58.256063, 55.55666 58.248114, 55.486622 58.225161, 55.422421 58.213589, 55.36869 58.195952, 55.259171 58.151414, 55.207672 58.115707, 55.1754 58.102557, 55.144844 58.079238, 55.139866 58.070614, 55.111198 58.062715, 55.039616 57.99691, 54.886322 57.972702, 54.831562 57.96724, 54.815598 57.967422, 54.77441 57.95032, 54.724274 57.947112, 54.679127 57.929343, 54.594154 57.907552, 54.559994 57.878721, 54.516907 57.859, 54.47485 57.793644, 54.456139 57.785134, 54.402924 57.723311, 54.40155 57.706165, 54.392281 57.690938, 54.373398 57.676805, 54.292717 57.600083, 54.262333 57.584995, 54.241219 57.545497, 54.184914 57.509277, 54.169636 57.50402, 54.119167 57.474774, 54.121227 57.456032, 54.116421 57.448829, 54.080544 57.431276, 54.015656 57.422588, 53.967419 57.40604, 53.888454 57.375604, 53.81759 57.31362, 53.788376 57.31577, 53.616714 57.253609, 53.589592 57.228251, 53.486252 57.215705, 53.459129 57.207152, 53.349266 57.187344, 53.332958 57.188367, 53.206959 57.160637, 53.183441 57.150675, 53.136578 57.138382, 53.050404 57.146671, 52.968521 57.135867, 52.71944 56.963602, 52.690945 56.957144, 52.648201 56.94048, 52.531643 56.923714, 52.47036 56.926149, 52.414742 56.917249, 52.335434 56.887252, 52.308998 56.876185, 52.295952 56.86549, 52.26025 56.85409, 52.213898 56.848784, 52.081375 56.830005, 52.075195 56.824933, 51.997948 56.821927, 51.958122 56.802946, 51.887398 56.793734, 51.80397 56.760816, 51.706467 56.754793, 51.617203 56.729375, 51.477127 56.729187, 51.328125 56.709406, 51.27079 56.704129, 51.107368 56.714305, 50.885239 56.666981, 50.84198 56.669623, 50.797863 56.664812, 50.773487 56.651792, 50.655899 56.647639, 50.50263 56.6646, 50.337982 56.684523, 50.238419 56.672452, 50.062981 56.661133, 49.996033 56.64679, 49.874153 56.594278, 49.856644 56.594089, 49.543533 56.515943, 49.228363 56.461732, 49.163818 56.463629, 49.10408 56.444277, 49.05906 56.42686, 49.01207 56.404974, 48.90976 56.373807, 48.822899 56.327579, 48.797493 56.319774, 48.77861 56.311776, 48.671494 56.316918, 48.640251 56.327769, 48.575706 56.330624, 48.550301 56.325675, 48.511505 56.307586, 48.493309 56.306444, 48.46035 56.288727, 48.366623 56.254032, 48.238564 56.252697, 48.166809 56.232856, 47.995148 56.131011, 47.998581 56.092725, 47.887344 56.068203, 47.788467 56.075868, 47.758942 56.06552, 47.741089 56.065903, 47.651138 56.050184, 47.620926 56.04865, 47.559128 56.025634, 47.544708 56.02621, 47.495613 56.013545, 47.416306 56.014889, 47.39296 55.978409, 47.375107 55.970532, 47.364464 55.968803, 47.32241 55.97721, 47.277603 55.978793, 47.241211 55.982634, 47.190399 55.975143, 47.131348 55.996653, 47.117615 55.995117, 47.092896 55.987052, 47.057533 55.994733, 47.032814 55.988204, 46.958656 55.975335, 46.953506 55.967458, 46.921234 55.957081, 46.862526 55.926894, 46.797295 55.908039, 46.785278 55.907462, 46.768112 55.897454, 46.716957 55.88417, 46.683655 55.880896, 46.648293 55.86645, 46.600571 55.861056, 46.576195 55.849686, 46.539116 55.841591, 46.498947 55.824623, 46.449852 55.776959, 46.362305 55.765952, 46.30291 55.759191, 46.277847 55.759964, 46.244545 55.755713, 46.175194 55.753202, 46.133308 55.733683, 46.107903 55.727303, 46.088333 55.709706, 46.034775 55.686295, 45.995293 55.686682, 45.887489 55.666355, 45.840454 55.646986, 45.82745 55.61066, 45.755653 55.585331, 45.716515 55.558738, 45.659523 55.544173, 45.522194 55.480994, 45.402031 55.443427, 45.377998 55.441479, 45.316887 55.410892, 45.232086 55.390422, 45.192261 55.374819, 45.146599 55.346913, 45.10643 55.317034, 45.048409 55.310977, 45.018539 55.299056, 44.966698 55.269923, 44.863701 55.228827, 44.644661 55.183376, 44.537888 55.135126, 44.494972 55.124723, 44.452057 55.119422, 44.382362 55.063428, 44.368286 55.049466, 44.37296 55.03073, 44.351463 55.004795, 44.24881 54.974264, 44.163666 54.95692, 44.125557 54.935032, 43.990288 54.881742, 43.826523 54.85428, 43.684731 54.790987, 43.523369 54.765642, 43.401146 54.727198, 43.331795 54.712326, 43.218155 54.661918, 43.168716 54.659932, 43.106918 54.642453, 42.937317 54.580022, 42.85849 54.55843, 42.772179 54.542397, 42.769432 54.535028, 42.690125 54.501948, 42.640686 54.501948, 42.593307 54.466646, 42.495804 54.405344, 42.433319 54.389154, 42.39624 54.375758, 42.350922 54.373958, 42.283287 54.356756, 42.237282 54.350154, 42.182865 54.320028, 42.155571 54.322431, 42.079697 54.310214, 42.06974 54.304305, 42.008801 54.3013, 41.836967 54.228915, 41.749077 54.203018, 41.614151 54.183736, 41.468239 54.146752, 41.371422 54.125029, 41.236496 54.108528, 41.11917 54.08009, 40.876007 54.071074, 40.756531 54.070671, 40.698853 54.0747, 40.626411 54.087993, 40.550537 54.062007, 40.511398 54.061604, 40.478783 54.068858, 40.406342 54.055962, 40.373383 54.046288, 40.331154 54.048706, 40.319138 54.038425, 40.290642 54.036006, 40.237427 54.048706, 40.095291 53.978301, 39.980278 53.967801, 39.883804 53.963155, 39.8069 53.944367, 39.668198 53.931433, 39.529495 53.933858, 39.4174 53.958, 39.164886 53.931837, 38.980865 53.941538, 38.772125 53.971436, 38.601837 53.99889, 38.327179 54.008576, 38.130798 54.021486, 37.944031 54.034393, 37.710571 54.002119, 37.481232 53.960126, 37.34291 53.91179)</t>
  </si>
  <si>
    <t>P2458</t>
  </si>
  <si>
    <t>https://www.gem.wiki/Yurga-Novosibirsk_Gas_Pipeline</t>
  </si>
  <si>
    <t>Yurga-Novosibirsk Gas Pipeline</t>
  </si>
  <si>
    <t>Yurga</t>
  </si>
  <si>
    <t>LINESTRING (83.05418 54.98953, 83.366967 55.161373, 83.641625 55.255238, 83.875084 55.460185, 84.149742 55.560322, 84.491692 55.627712, 84.64469 55.79439)</t>
  </si>
  <si>
    <t>P2459</t>
  </si>
  <si>
    <t>https://www.gem.wiki/Zapolyarnoye-Novy_Urengoy_Gas_Pipeline</t>
  </si>
  <si>
    <t>Zapolyarnoye-Novy Urengoy Gas Pipeline</t>
  </si>
  <si>
    <t>Zapolyarnoye oil field</t>
  </si>
  <si>
    <t>Tazovsky District</t>
  </si>
  <si>
    <t>Purovsky District</t>
  </si>
  <si>
    <t>Yamalo-Nenets Oblast</t>
  </si>
  <si>
    <t>LINESTRING (79.47448 66.77451, 79.367294 66.738546, 79.370728 66.688327, 79.344635 66.679902, 79.238205 66.304137, 79.105682 66.19102, 78.607864 66.072939, 78.51397 66.0704, 78.30883 66.087416, 78.21785 66.069736, 78.057518 66.058454, 78.014946 66.042705, 77.750244 65.994145, 77.645531 66.006154, 77.510262 66.008667, 77.43988 66.036989, 76.993561 66.086442, 76.82846 66.03047)</t>
  </si>
  <si>
    <t>P2462</t>
  </si>
  <si>
    <t>Serbia, North Macedonia</t>
  </si>
  <si>
    <t>https://www.gem.wiki/Serbia-North_Macedonia_Interconnector_Pipeline</t>
  </si>
  <si>
    <t>Serbia-North Macedonia Interconnection Pipeline</t>
  </si>
  <si>
    <t>MER JSC Skopje [unknown %]; Srbijagas [unknown %]</t>
  </si>
  <si>
    <t>19.69, 11.8</t>
  </si>
  <si>
    <t>Vranje</t>
  </si>
  <si>
    <t>LINESTRING (21.918526 42.550859, 22.151095 42.288946)</t>
  </si>
  <si>
    <t>P2463</t>
  </si>
  <si>
    <t>https://www.gem.wiki/Banatski_Dvor-Pancevo-Belgrade_Gas_Pipeline</t>
  </si>
  <si>
    <t>Mokrin-Pancevo Gas Pipeline</t>
  </si>
  <si>
    <t>Srbijagas [unknown %]</t>
  </si>
  <si>
    <t>LINESTRING (20.411439 45.933505, 20.338366 45.936593, 20.342397 45.80347, 20.310148 45.721514, 20.247954 45.637827, 20.263502 45.502375, 20.28481 45.361742, 20.475999 45.201284, 20.554317 45.141199, 20.591173 45.04851, 20.626301 44.92143)</t>
  </si>
  <si>
    <t>P2464</t>
  </si>
  <si>
    <t>https://www.gem.wiki/Aleksandrovac-Novi_Pazar-Tutin_Pipeline</t>
  </si>
  <si>
    <t>Aleksandrovac-Novi Pazar-Tutin Pipeline</t>
  </si>
  <si>
    <t>Разводни гасовод Александровац</t>
  </si>
  <si>
    <t>Aleksandrovac</t>
  </si>
  <si>
    <t>Tutin</t>
  </si>
  <si>
    <t>LINESTRING (21.050643557278526 43.45820798201507, 20.51807935274551 43.14046174137135, 20.332102457830164 42.98902381638402)</t>
  </si>
  <si>
    <t>P2466</t>
  </si>
  <si>
    <t>https://www.gem.wiki/Vecs%C3%A9s-V%C3%A1rosf%C3%B6ld_transit_line</t>
  </si>
  <si>
    <t>Vecsés-Városföld transit line</t>
  </si>
  <si>
    <t>Magyar Gaz Tranzit Zrt. [unknown %]</t>
  </si>
  <si>
    <t>Vecsés</t>
  </si>
  <si>
    <t>LINESTRING (19.291 47.3909, 19.387869 47.319607, 19.416534 47.279647, 19.462718 47.221273, 19.566232 47.14984, 19.637896 47.120589, 19.685672 47.082648, 19.700005 47.031656, 19.738225 46.974095, 19.768484 46.930613, 19.789983 46.879475, 19.758726 46.828512)</t>
  </si>
  <si>
    <t>P2467</t>
  </si>
  <si>
    <t>https://www.gem.wiki/Vodice-Jar%C5%A1e-Novo_mesto_pipeline</t>
  </si>
  <si>
    <t>Vodice-Jarše-Novo mesto pipeline</t>
  </si>
  <si>
    <t>Novo mesto</t>
  </si>
  <si>
    <t>LINESTRING (14.493846 46.189632, 14.480685 46.153737, 14.48387 46.130565, 14.547571 46.086954, 14.569867 46.081431, 14.594551 46.080326, 14.621624 46.074803, 14.624809 46.064306, 14.621624 46.052703, 14.626402 46.04165, 14.631975 46.021195, 14.634364 45.997415, 14.658252 45.983031, 14.709213 45.97307, 14.734694 45.965876, 14.760174 45.967536, 14.783266 45.952591, 14.810339 45.948715, 14.852541 45.947054, 14.899521 45.947608, 14.934556 45.938195, 14.960037 45.934319, 14.983925 45.923242, 15.001443 45.922134, 15.051607 45.898865, 15.064347 45.882238, 15.089828 45.871151, 15.110531 45.84897, 15.145567 45.830109, 15.175825 45.822341)</t>
  </si>
  <si>
    <t>P2469</t>
  </si>
  <si>
    <t>Coega–Richards Bay Gas Pipeline</t>
  </si>
  <si>
    <t>PGPN Phase 7</t>
  </si>
  <si>
    <t>Coega port</t>
  </si>
  <si>
    <t>Eastern Cape</t>
  </si>
  <si>
    <t>LINESTRING (25.680922 -33.794416, 32.064359 -28.81787)</t>
  </si>
  <si>
    <t>P2470</t>
  </si>
  <si>
    <t>Mossel Bay–Coega Gas Pipeline</t>
  </si>
  <si>
    <t>PGPN Phase 2</t>
  </si>
  <si>
    <t>LINESTRING (22.108545 -34.147236, 25.680922 -33.794416)</t>
  </si>
  <si>
    <t>P2471</t>
  </si>
  <si>
    <t>Richards Bay–Gauteng Gas Pipeline</t>
  </si>
  <si>
    <t>PGPN Phase 3</t>
  </si>
  <si>
    <t>Secunda/Sasolburg</t>
  </si>
  <si>
    <t>Mpumalanga/Free State</t>
  </si>
  <si>
    <t>LINESTRING (32.064359 -28.81787, 29.172917 -26.547864, 27.854889 -26.809005)</t>
  </si>
  <si>
    <t>P2472</t>
  </si>
  <si>
    <t>Saldanha–Ankerlig Gas Pipeline</t>
  </si>
  <si>
    <t>PGPN Phase 1A</t>
  </si>
  <si>
    <t>Saldanha Bay LNG Terminal</t>
  </si>
  <si>
    <t>Ankerlig Power Station</t>
  </si>
  <si>
    <t>LINESTRING (18.031326 -32.973567, 18.464379 -33.58743)</t>
  </si>
  <si>
    <t>P2473</t>
  </si>
  <si>
    <t>Saldanha–Mossel Bay Gas Pipeline</t>
  </si>
  <si>
    <t>PGPN Phase 1B</t>
  </si>
  <si>
    <t>LINESTRING (18.031326 -32.973567, 22.108545 -34.147236)</t>
  </si>
  <si>
    <t>P2474</t>
  </si>
  <si>
    <t>Abraham Villiers Bay–Saldanha Gas Pipeline</t>
  </si>
  <si>
    <t>PGPN Phase 5</t>
  </si>
  <si>
    <t>LINESTRING (17.665794 -30.979993, 18.031326 -32.973567)</t>
  </si>
  <si>
    <t>P2475</t>
  </si>
  <si>
    <t>https://www.gem.wiki/Secunda%E2%80%93Durban_Lilly_Gas_Pipeline</t>
  </si>
  <si>
    <t>Secunda–Durban Lilly Gas Pipeline</t>
  </si>
  <si>
    <t>Secunda</t>
  </si>
  <si>
    <t>LINESTRING (29.172917 -26.547864, 31.03086 -29.890965)</t>
  </si>
  <si>
    <t>P2476</t>
  </si>
  <si>
    <t>https://www.gem.wiki/Cantanhede-Mangualde_Gas_Pipeline</t>
  </si>
  <si>
    <t>Cantanhede-Mangualde Pipeline</t>
  </si>
  <si>
    <t>Cantanhede</t>
  </si>
  <si>
    <t>Mangualde</t>
  </si>
  <si>
    <t>LINESTRING (-8.592449 40.348407, -7.764355 40.605383)</t>
  </si>
  <si>
    <t>P2479</t>
  </si>
  <si>
    <t>https://www.gem.wiki/Yong%27an-Nankan_Gas_Pipeline</t>
  </si>
  <si>
    <t>Yong'an-Nankan Gas Pipeline</t>
  </si>
  <si>
    <t>永安-南崁輸氣管線</t>
  </si>
  <si>
    <t>Yong'an LNG Terminal imported LNG</t>
  </si>
  <si>
    <t>Yong'an</t>
  </si>
  <si>
    <t>Nankan</t>
  </si>
  <si>
    <t>LINESTRING (120.3359985 22.5296001, 120.3880005 22.5879002, 120.3679962 22.6562004, 120.3320007 22.7113991, 120.322998 22.7201004, 120.3130035 22.7810993, 120.3099976 22.8426991, 120.3059998 22.8945999, 120.2919998 22.9573002, 120.2839966 22.9867992, 120.2809982 23.0289001, 120.2659988 23.1210003, 120.2529984 23.1930008, 120.3150024 23.1947994, 120.3359985 23.1993008, 120.3509979 23.2073994, 120.3610001 23.2203999, 120.3539963 23.3498993, 120.3550034 23.4741001, 120.3560028 23.6072006, 120.3580017 23.6615009, 120.3809967 23.6884003, 120.401001 23.7154007, 120.4189987 23.7542, 120.4280014 23.7954998, 120.4309998 23.8286991, 120.4369965 23.8705997, 120.4520035 23.9164009, 120.4729996 23.9894009, 120.4860001 24.0128002, 120.5169983 24.0540009, 120.5839996 24.1338005, 120.6419983 24.1828003, 120.6439972 24.2586002, 120.7689972 24.4377995, 120.7269974 24.4743004, 120.7440033 24.4927006, 120.7659988 24.4986992, 120.7870026 24.5025005, 120.8730011 24.4993, 120.9000015 24.5025005, 120.9169998 24.5107002, 120.9280014 24.5291004, 120.9400024 24.559, 120.9520035 24.5683002, 120.9889984 24.6909008, 121.0039978 24.7700996, 121.0879974 24.8449001, 121.1289978 24.8985996, 121.163002 24.9326992, 121.2659988 24.9787006, 121.3190002 24.9944, 121.288002 25.0522995)</t>
  </si>
  <si>
    <t>P2480</t>
  </si>
  <si>
    <t>https://www.gem.wiki/Yong%27an-Pingdong_Gas_Pipeline</t>
  </si>
  <si>
    <t>Yong'an-Pingdong Gas Pipeline</t>
  </si>
  <si>
    <t>永安-屏東輸氣管線</t>
  </si>
  <si>
    <t>Pingdong</t>
  </si>
  <si>
    <t>LINESTRING (120.20781 22.810466, 120.452764 22.631648)</t>
  </si>
  <si>
    <t>P2482</t>
  </si>
  <si>
    <t>https://www.gem.wiki/Isan_Gas_Pipeline</t>
  </si>
  <si>
    <t>Isan Gas Pipeline</t>
  </si>
  <si>
    <t>Nakhon Ratchasima</t>
  </si>
  <si>
    <t>Khon Kaen</t>
  </si>
  <si>
    <t>LINESTRING (102.804681 16.690074, 102.1297 14.969537)</t>
  </si>
  <si>
    <t>P2484</t>
  </si>
  <si>
    <t>https://www.gem.wiki/RA6-Ratchaburi_Gas_Pipeline</t>
  </si>
  <si>
    <t>RA6-Ratchaburi Gas Pipeline</t>
  </si>
  <si>
    <t>Ratchaburi-Wang Noi gas pressure control station no.6</t>
  </si>
  <si>
    <t>Ratchaburi</t>
  </si>
  <si>
    <t>LINESTRING (100.325578 13.9645648, 100.277685 13.9643079, 100.241349 13.9896854, 100.20732 13.9957413, 100.19492 13.9925692, 100.180789 13.9911273, 100.169831 13.9885318, 100.151663 13.9842061, 100.128016 13.9957413, 100.117346 13.9925692, 100.078126 14.006123, 100.062553 14.0087184, 100.044674 13.9957413, 100.044674 13.9821875, 100.025064 13.9723826, 100.018431 13.9723826, 100.012664 13.9744012, 100.006031 13.9741128, 99.999687 13.9769966, 99.992189 13.9775734, 99.985356 13.9797511, 99.976391 13.975184, 99.968102 13.9734925, 99.959476 13.9711243, 99.948312 13.9718009, 99.939685 13.9743382, 99.93461 13.9745074, 99.922939 13.9734925, 99.912113 13.9709552, 99.902809 13.9704477, 99.893337 13.9670647, 99.88471 13.963005, 99.880312 13.9618209, 99.870332 13.9560697, 99.865427 13.9494727, 99.853924 13.9347564, 99.843268 13.9357713, 99.839208 13.9366171, 99.835825 13.9347564, 99.832611 13.9318808, 99.833118 13.9168262, 99.831765 13.9071845, 99.829566 13.9046472, 99.829397 13.9021099, 99.829735 13.8997417, 99.825337 13.8961895, 99.822631 13.892299, 99.822293 13.8904383, 99.814681 13.8875627, 99.808591 13.8858712, 99.800133 13.8762295, 99.784975 13.8605165, 99.766211 13.8437872, 99.764855 13.7967644, 99.766889 13.7888519, 99.770054 13.7811655, 99.768472 13.7780005, 99.76395 13.7728008, 99.762142 13.7698619, 99.761238 13.7587844, 99.739083 13.7592366, 99.729362 13.7592366, 99.718736 13.7617234, 99.709919 13.763758, 99.70472 13.7633059, 99.700877 13.7639841, 99.689831 13.7603911, 99.681737 13.7619183, 99.671046 13.7625292, 99.662647 13.7668054, 99.653114 13.7691012, 99.642262 13.7709098, 99.630054 13.7706837, 99.623498 13.7702316, 99.61762 13.7695534, 99.614681 13.7663884, 99.613551 13.7641277, 99.600439 13.7659362, 99.602201 13.7527519, 99.603205 13.6882195, 99.603707 13.684202, 99.593161 13.6864619, 99.590148 13.6874662, 99.582364 13.6892239, 99.576338 13.6887217, 99.575082 13.6831976, 99.57458 13.6744091, 99.57458 13.671647, 99.566294 13.6688849, 99.559263 13.6671273, 99.543766 13.6726494, 99.540464 13.6684782, 99.531252 13.6650022, 99.529112 13.6639863)</t>
  </si>
  <si>
    <t>P2485</t>
  </si>
  <si>
    <t>https://www.gem.wiki/South_Natural_Gas_Pipeline</t>
  </si>
  <si>
    <t>South Natural Gas Pipeline</t>
  </si>
  <si>
    <t>16, 24, 40</t>
  </si>
  <si>
    <t>LINESTRING (37.005 39.746, 37.001 39.655, 37.023 39.41, 37.224 39.285, 37.389 39.183, 37.531 39.122, 37.648 38.967, 37.667 38.871, 37.957 38.596, 37.981 38.567, 38.04 38.554, 38.048 38.506, 37.997 38.404, 37.898 38.222, 37.897 38.067, 37.965 37.983, 37.881 37.905, 37.701 37.844, 37.495 37.726, 37.242 37.558, 37.079 37.523, 36.882 37.415, 36.835 37.389, 36.768 37.38, 36.695 37.322, 36.591 37.311, 36.486 37.247, 36.282 37.235, 36.157 37.139, 35.988 37.075, 35.924 37.039, 35.517 37.01, 35.3 36.984, 35.053 36.934, 34.65 36.81)</t>
  </si>
  <si>
    <t>P2486</t>
  </si>
  <si>
    <t>https://www.gem.wiki/Konya-Izmir_Gas_Pipeline</t>
  </si>
  <si>
    <t>Konya-Izmir Gas Pipeline</t>
  </si>
  <si>
    <t>10, 12, 16, 24, 40</t>
  </si>
  <si>
    <t>LINESTRING (32.832767 37.960209, 32.469968 38.198192, 32.046704 38.350095, 31.780651 38.397499, 31.526693 38.558441, 30.982495 38.558441, 30.764816 38.378541, 30.063406 38.084057, 29.688514 38.055496, 29.349902 37.855252, 29.095944 37.855252, 28.805705 37.941137, 28.267554 37.860026, 27.832196 37.840928, 27.529864 37.888664, 27.445211 38.10785, 27.239625 38.316893, 27.154972 38.444872)</t>
  </si>
  <si>
    <t>P2487</t>
  </si>
  <si>
    <t>https://www.gem.wiki/Bing%C3%B6l-Bitlis_Gas_Pipeline</t>
  </si>
  <si>
    <t>Bingöl-Bitlis Gas Pipeline</t>
  </si>
  <si>
    <t>Bingöl</t>
  </si>
  <si>
    <t>Bitlis</t>
  </si>
  <si>
    <t>LINESTRING (40.489775 38.884385, 42.108946 38.395939)</t>
  </si>
  <si>
    <t>P2488</t>
  </si>
  <si>
    <t>https://www.gem.wiki/Hakkari_Gas_Pipeline</t>
  </si>
  <si>
    <t>Hakkari Gas Pipeline</t>
  </si>
  <si>
    <t>Hakkari Doğal Gaz Boru Hattı</t>
  </si>
  <si>
    <t xml:space="preserve">Erçek District </t>
  </si>
  <si>
    <t>Hakkari</t>
  </si>
  <si>
    <t>LINESTRING (43.65254232491645 38.65199247887607, 43.73694395406089 37.57738053548528)</t>
  </si>
  <si>
    <t>P2489</t>
  </si>
  <si>
    <t>https://www.gem.wiki/Demirciler-Adapazar%C4%B1-D%C3%BCzce_Gas_Pipeline</t>
  </si>
  <si>
    <t>Demirciler-Adapazarı-Düzce Gas Pipeline</t>
  </si>
  <si>
    <t>LINESTRING (29.607799 40.768501, 29.860844 40.851487, 30.110267 40.82747, 30.323411 40.865207, 30.491206 40.830902, 30.763304 40.813743, 31.194127 40.892638)</t>
  </si>
  <si>
    <t>P2490</t>
  </si>
  <si>
    <t>https://www.gem.wiki/G%C3%B6rdes-G%C3%B6lhisar_Gas_Pipeline</t>
  </si>
  <si>
    <t>Gördes-Gölhisar Gas Pipeline</t>
  </si>
  <si>
    <t>Gördes</t>
  </si>
  <si>
    <t>Gölhisar</t>
  </si>
  <si>
    <t>LINESTRING (28.289289 38.932833, 29.506647 37.140776)</t>
  </si>
  <si>
    <t>P2491</t>
  </si>
  <si>
    <t>https://www.gem.wiki/Alia%C4%9Fa_Pig-%C3%9C%C3%A7p%C4%B1nar_Pig_Gas_Pipeline</t>
  </si>
  <si>
    <t>Aliağa Pig-Üçpınar Pig Gas Pipeline</t>
  </si>
  <si>
    <t>Botaş Aliağa pig-Üçpınar pig Natural Gas Loop Pipeline</t>
  </si>
  <si>
    <t>BOTAŞ [100.00%]</t>
  </si>
  <si>
    <t>LINESTRING (27.37032536564717 38.73121943285537, 26.967951088870258 38.79546791214936)</t>
  </si>
  <si>
    <t>P2492</t>
  </si>
  <si>
    <t>https://www.gem.wiki/Okarem-Beyneu_gas_pipeline</t>
  </si>
  <si>
    <t>Okarem-Beyneu Gas Pipeline</t>
  </si>
  <si>
    <t>Samruk-Kazyna JSC [unknown %]; Turkmengaz [unknown %]</t>
  </si>
  <si>
    <t>Okarem</t>
  </si>
  <si>
    <t>Beyneu</t>
  </si>
  <si>
    <t>Mangystau</t>
  </si>
  <si>
    <t>LINESTRING (55.2345 45.310956, 52.87838 43.364643, 52.69579 41.497289, 52.94731 40.945036, 52.98311 40.041975, 53.851003 39.991464, 54.323318 39.501206, 53.837841 38.055411)</t>
  </si>
  <si>
    <t>P2493</t>
  </si>
  <si>
    <t>https://www.gem.wiki/Al_Ain-Fujairah_Pipeline</t>
  </si>
  <si>
    <t>Al Ain-Fujairah Pipeline</t>
  </si>
  <si>
    <t>Dolphin Energy [unknown %]</t>
  </si>
  <si>
    <t>Mubadala Investment Company [unknown %]</t>
  </si>
  <si>
    <t>Al Ain</t>
  </si>
  <si>
    <t>ADWEC’s Fujairah power and desalination plants</t>
  </si>
  <si>
    <t>LINESTRING (55.814652 24.132795, 56.37035 25.30193)</t>
  </si>
  <si>
    <t>P2494</t>
  </si>
  <si>
    <t>https://www.gem.wiki/Taweelah-Fujairah_Pipeline</t>
  </si>
  <si>
    <t>Taweelah-Fujairah Pipeline</t>
  </si>
  <si>
    <t>Qatar’s offshore North Field</t>
  </si>
  <si>
    <t>Ras Laffan Processing Plant</t>
  </si>
  <si>
    <t>Taweelah</t>
  </si>
  <si>
    <t>LINESTRING (54.689319 24.759085, 56.37035 25.30193)</t>
  </si>
  <si>
    <t>P2495</t>
  </si>
  <si>
    <t>134th Street Lateral Project</t>
  </si>
  <si>
    <t>Cook County</t>
  </si>
  <si>
    <t>Lake County</t>
  </si>
  <si>
    <t>Inidiana</t>
  </si>
  <si>
    <t>P2496</t>
  </si>
  <si>
    <t>261 Upgrade Project</t>
  </si>
  <si>
    <t>Agawam</t>
  </si>
  <si>
    <t>LINESTRING (-72.634503 42.034815, -72.63452 42.035167, -72.634672 42.035217, -72.635452 42.035293, -72.636129 42.035381, -72.636536 42.035406, -72.636977 42.035419, -72.63696 42.035973, -72.637078 42.036023, -72.637316 42.036048, -72.637061 42.038188, -72.637078 42.038339, -72.63718 42.038452, -72.636773 42.041648, -72.636824 42.041799, -72.637027 42.042001, -72.637248 42.042227, -72.637282 42.042504, -72.637248 42.042882, -72.63718 42.043133, -72.637078 42.043272, -72.637027 42.044429, -72.637078 42.044668, -72.638349 42.051171, -72.638451 42.051649, -72.639654 42.057996, -72.639739 42.058361, -72.640383 42.060711, -72.640416 42.061126, -72.640315 42.061629, -72.640111 42.062535)</t>
  </si>
  <si>
    <t>P2497</t>
  </si>
  <si>
    <t>Acadiana Expansion Project</t>
  </si>
  <si>
    <t>P2498</t>
  </si>
  <si>
    <t>https://www.gem.wiki/Agua_Blanca_Pipeline</t>
  </si>
  <si>
    <t>Agua Blanca Pipeline</t>
  </si>
  <si>
    <t>WhiteWater Midstream [60.00%]; WPX Energy [20.00%]; Marathon Petroleum [10.00%]; Targa Resources [10.00%]</t>
  </si>
  <si>
    <t>MULTILINESTRING ((-104.191143 31.977626, -104.167 31.975675, -104.073879 31.982502, -104.061233 31.962021, -104.060083 31.953243, -104.052036 31.942512, -104.042839 31.934707, -104.032492 31.92495, -104.030192 31.900553, -104.023295 31.892745, -103.968112 31.830254, -103.929024 31.832207, -103.918677 31.833184, -103.90833 31.832207, -103.896834 31.823416, -103.889936 31.807786, -103.865793 31.805832, -103.855446 31.803877, -103.850848 31.797038, -103.758589 31.796061, -103.72295 31.795084, -103.682712 31.792152, -103.643624 31.790198, -103.588441 31.788244, -103.561999 31.787266, -103.543605 31.783357, -103.525211 31.780426, -103.510265 31.779448, -103.505667 31.772607, -103.507966 31.753058, -103.511415 31.740348, -103.512565 31.730571, -103.49417 31.71688, -103.437263 31.674085, -103.410821 31.654515, -103.405073 31.642771, -103.391277 31.624173, -103.364835 31.601655, -103.25102 31.518389, -103.200436 31.485061, -103.191239 31.476237, -103.18779 31.447799, -103.18779 31.414447, -103.183191 31.401691, -103.182041 31.388934, -103.172844 31.344761, -103.160198 31.312354, -103.145253 31.296637, -103.091219 31.282883, -103.053281 31.295655, -103.036036 31.307443, -103.02569 31.309407, -102.996948 31.325121), (-103.673515 31.791419, -103.668916 31.868583, -103.673515 31.884204, -103.681562 31.904701, -103.683862 31.917388, -103.697657 31.935927, -103.703406 31.94178, -103.703406 31.985671), (-103.967824 31.830498, -103.970123 31.821707, -103.997715 31.817799, -104.029905 31.812915, -104.065544 31.809984, -104.095435 31.811938, -104.141421 31.819753, -104.17476 31.826591, -104.202352 31.828544, -104.229943 31.827567, -104.235692 31.832451, -104.235692 31.833428), (-104.093136 31.980795, -104.105782 31.994446, -104.131074 32.027591), (-103.409671 31.654515, -103.364835 31.68876, -103.346441 31.700498, -103.325747 31.713213, -103.309652 31.727882, -103.300455 31.744504, -103.277462 31.76601, -103.270564 31.78067, -103.359087 31.899821))</t>
  </si>
  <si>
    <t>P2499</t>
  </si>
  <si>
    <t>Sendero Gateway Project</t>
  </si>
  <si>
    <t>Agua Blanca Expansion Project</t>
  </si>
  <si>
    <t>LINESTRING (-104.125979 32.256915, -104.141444 32.25704, -104.156121 32.227605, -104.130026 32.063503, -104.138267 31.998552, -104.081204 31.985456)</t>
  </si>
  <si>
    <t>P2500</t>
  </si>
  <si>
    <t>Alabama Compressor Station Upgrade</t>
  </si>
  <si>
    <t>Third Coast Midstream, LLC [unknown %]</t>
  </si>
  <si>
    <t>P2501</t>
  </si>
  <si>
    <t>Alberta Xpress Expansion Project</t>
  </si>
  <si>
    <t>P2502</t>
  </si>
  <si>
    <t>https://www.gem.wiki/Appalachian_Gateway_Pipeline</t>
  </si>
  <si>
    <t>Appalachian Gateway Pipeline</t>
  </si>
  <si>
    <t>Dominion Energy [unknown %]</t>
  </si>
  <si>
    <t>20, 24, 36</t>
  </si>
  <si>
    <t>West Virgina, Pennsylvania</t>
  </si>
  <si>
    <t>West Virgina</t>
  </si>
  <si>
    <t>Delmont</t>
  </si>
  <si>
    <t>MULTILINESTRING ((-80.77701768 39.75483767, -80.29612136 39.85529871, -80.27081103 39.86177503, -80.21597197 39.86501295), (-80.21597197 39.83586609, -80.21597197 39.86501295, -80.16113292 40.00409931, -80.1316042 40.02671452, -80.10629387 40.04609302, -80.10207548 40.04932223, -80.06410998 40.0557802, -80.03458126 40.0686943, -79.95865026 40.12355193, -79.92912154 40.15580047, -79.89537443 40.18803369))</t>
  </si>
  <si>
    <t>P2505</t>
  </si>
  <si>
    <t>Blue Water Energy Center (BWEC) Pipeline</t>
  </si>
  <si>
    <t>Enbridge [60.00%]; DTE Energy [40.00%]</t>
  </si>
  <si>
    <t>Blue Water Energy Center</t>
  </si>
  <si>
    <t>LINESTRING (-82.47903127233472 42.77483820486684, -82.4885745722085 42.800891983042476)</t>
  </si>
  <si>
    <t>P2509</t>
  </si>
  <si>
    <t>Cameron Expansion Project</t>
  </si>
  <si>
    <t>LINESTRING (-93.1436911 30.44623588, -93.1575932 30.44371707, -93.1639579 30.44267898, -93.1718562 30.44154382, -93.1768578 30.44094044, -93.183774 30.44025701, -93.1907 30.43940814, -93.1960727 30.43898605, -93.2013137 30.43756494, -93.2039804 30.43768379, -93.2068768 30.43715087, -93.2094803 30.43511545, -93.2155708 30.43224213, -93.2200982 30.42996101, -93.2247769 30.4283484, -93.2248791 30.42338822, -93.232859 30.42407315, -93.2430412 30.42303463, -93.252852 30.4218134, -93.2579303 30.41988616, -93.2613426 30.41705777, -93.2681117 30.40908126, -93.2807304 30.39573449, -93.2808031 30.38795926, -93.2881469 30.38315113, -93.2952131 30.37981986, -93.2998614 30.37538936, -93.3054804 30.37067009, -93.3086801 30.3681619, -93.3130506 30.36520822, -93.3195819 30.36119007, -93.3288734 30.35563666, -93.3411336 30.34822536, -93.3527449 30.34210869, -93.3640122 30.33531395, -93.3801969 30.32591643, -93.3912326 30.31977107, -93.3913347 30.31464453, -93.391946 30.30060212, -93.3952938 30.29875982, -93.3956705 30.29093527)</t>
  </si>
  <si>
    <t>P2510</t>
  </si>
  <si>
    <t>https://www.gem.wiki/Canton_Gas_Pipeline</t>
  </si>
  <si>
    <t>Canton Gas Pipeline</t>
  </si>
  <si>
    <t>SemGroup Corporation [unknown %]</t>
  </si>
  <si>
    <t>Anadarko Basin</t>
  </si>
  <si>
    <t>LINESTRING (-98.751157 36.71545, -98.749128 36.695117, -98.746085 36.662573, -98.739998 36.645482, -98.733911 36.6349, -98.739998 36.623502, -98.742027 36.553451, -98.738983 36.545301, -98.731882 36.537966, -98.731882 36.485783, -98.722752 36.463757, -98.698405 36.451518, -98.68826 36.440094, -98.675072 36.429483, -98.656812 36.421321, -98.648696 36.419688, -98.632465 36.40091, -98.63145 36.387845, -98.629421 36.372326, -98.625363 36.357622, -98.582756 36.332292, -98.57464 36.325753, -98.57464 36.311858, -98.58377 36.290601, -98.591886 36.265248, -98.590871 36.251342, -98.581741 36.217793, -98.572611 36.203878, -98.560437 36.195692, -98.543192 36.189961, -98.540148 36.187505, -98.537105 36.177679, -98.541163 36.060493)</t>
  </si>
  <si>
    <t>P2514</t>
  </si>
  <si>
    <t>https://www.gem.wiki/Carlsbad_Gateway_Pipeline</t>
  </si>
  <si>
    <t>Carlsbad Gateway Pipeline</t>
  </si>
  <si>
    <t>Sendero Midstream Holdings [unknown %]</t>
  </si>
  <si>
    <t>Carlsbad</t>
  </si>
  <si>
    <t>LINESTRING (-104.126825 32.25772591, -104.1420609 32.25810486, -104.1510232 32.24446167, -104.1510232 32.23991348, -104.1519194 32.23991348, -104.1568487 32.22778387, -104.1564005 32.22550939, -104.1550562 32.22437213, -104.1546081 32.21148216, -104.1528156 32.20996558, -104.1519194 32.20465732, -104.1528156 32.20276145, -104.142509 32.13789859, -104.1416128 32.13600132, -104.1393722 32.1200627, -104.1402684 32.11854459, -104.1371316 32.09349214, -104.1380278 32.09349214, -104.1362354 32.08969571, -104.1353392 32.08931606, -104.1326505 32.07982427, -104.1322024 32.07754609, -104.1330986 32.07602728, -104.1326505 32.06539486, -104.1304099 32.0612175, -104.1330986 32.05779952, -104.1330986 32.05096317, -104.1326505 32.04944391, -104.1330986 32.04678515, -104.1330986 32.0414674, -104.1326505 32.03349019, -104.1371316 32.00803444, -104.138476 31.99767914, -104.1322024 31.99577896, -104.1295137 31.99501888, -104.1272731 31.99463884, -104.1236882 31.99539892, -104.1201033 31.99463884, -104.1160702 31.99311864, -104.1138297 31.99197848, -104.1124853 31.99045825, -104.1120372 31.98931805, -104.1062117 31.98931805, -104.1021787 31.98855792, -104.0959051 31.98817785, -104.0914239 31.9874177, -104.0864947 31.98665755, -104.0802211 31.98399696)</t>
  </si>
  <si>
    <t>P2516</t>
  </si>
  <si>
    <t>Central Virginia Connector Project</t>
  </si>
  <si>
    <t>Columbia Gas Transmission Expansion</t>
  </si>
  <si>
    <t>P2517</t>
  </si>
  <si>
    <t>Cheyenne Hub Enhancement Expansion</t>
  </si>
  <si>
    <t>Kinder Morgan [51.00%]; Sempra Energy [25.00%]; ConocoPhillips [24.00%]</t>
  </si>
  <si>
    <t>P2518</t>
  </si>
  <si>
    <t>Clarksville Interconnection Pipeline</t>
  </si>
  <si>
    <t>Boardwalk Pipeline Partners [unknown %]</t>
  </si>
  <si>
    <t>Kentuky</t>
  </si>
  <si>
    <t>Tennesse</t>
  </si>
  <si>
    <t>LINESTRING (-87.16865 36.897357, -87.139172 36.814592, -87.172209 36.687813, -87.261401 36.610276)</t>
  </si>
  <si>
    <t>P2519</t>
  </si>
  <si>
    <t>https://www.gem.wiki/Comanche_Trail_Pipeline</t>
  </si>
  <si>
    <t>Comanche Trail Pipeline</t>
  </si>
  <si>
    <t>Carso Energy [51.00%]; MasTec [33.00%]; Energy Transfer [16.00%]</t>
  </si>
  <si>
    <t>Grupo Carso [51.00%]; MasTec [33.00%]; Energy Transfer [16.00%]</t>
  </si>
  <si>
    <t>Gasoducto Comanche Trail</t>
  </si>
  <si>
    <t>https://www.gem.wiki/Gasoducto_Comanche_Trail</t>
  </si>
  <si>
    <t>LINESTRING (-106.431466 31.430767, -105.94591 31.543559, -105.658679 31.579503, -105.345364 31.583849, -104.598383 31.524687, -103.496221 31.327788, -103.182779 31.304769)</t>
  </si>
  <si>
    <t>P2521</t>
  </si>
  <si>
    <t>Stage III Pipeline</t>
  </si>
  <si>
    <t>LINESTRING (-97.494258 28.091167, -97.453424 28.023847, -97.464714 27.99474, -97.278628 27.902987)</t>
  </si>
  <si>
    <t>P2522</t>
  </si>
  <si>
    <t>Cheniere Energy [60.00%]; The Blackstone Group [20.00%]</t>
  </si>
  <si>
    <t>MULTILINESTRING ((-93.15616486 30.47273689, -92.99906533 30.54640742, -92.76441035 30.55325765, -92.71668391 30.60804212, -92.52180096 30.6525317, -92.44822271 30.70555021), (-92.49197194 30.67134805, -92.26129416 30.69700081), (-93.15417625 30.47445079, -93.15218765 30.45731041, -93.16809647 30.44359594, -93.31326438 30.36641608, -93.32121878 30.36126859, -93.32519599 30.34239213, -93.38485403 30.32522856, -93.38684263 30.32522856, -93.38286543 30.23249331, -93.40275145 30.23764757), (-93.63144062 29.77786365, -93.63342923 29.76578077, -93.65530384 29.76232825, -93.8581412 29.76232825, -93.8561526 29.76232825))</t>
  </si>
  <si>
    <t>P2523</t>
  </si>
  <si>
    <t>https://www.gem.wiki/Delhi_Connector_Gas_Pipeline</t>
  </si>
  <si>
    <t>Delhi Connector Gas Pipeline</t>
  </si>
  <si>
    <t>Tellurian Inc. [unknown %]</t>
  </si>
  <si>
    <t>Richland Parish</t>
  </si>
  <si>
    <t>LINESTRING (-91.53596145 32.41150653, -91.531412 32.34619036, -91.70429114 32.1229921, -91.74978565 32.0690346, -91.79073071 32.00347194, -91.83167577 31.94172305, -91.87262083 31.87993264, -91.93176369 31.8296974, -91.98635711 31.77169966, -92.03185162 31.71366554, -92.07734613 31.65172242, -92.11829119 31.59361322, -92.15013735 31.53159011, -92.20018131 31.47340599, -92.22747802 31.45400324, -92.25022527 31.3452736, -92.29117033 31.27919777, -92.32301649 31.2052935, -92.3503132 31.14690719, -92.46404947 31.04951675, -92.74611544 30.53364547, -92.79160996 30.47092791, -92.83255502 30.4160169, -93.00088471 30.38070063, -93.02818141 30.34929767)</t>
  </si>
  <si>
    <t>P2524</t>
  </si>
  <si>
    <t>Diamond East Project</t>
  </si>
  <si>
    <t>LINESTRING (-76.482407 41.256046, -76.406581 41.254615, -76.270838 41.297, -75.965011 41.353546, -75.797283 41.294009, -75.778918 41.259053, -75.623669 41.144631)</t>
  </si>
  <si>
    <t>P2526</t>
  </si>
  <si>
    <t>https://www.gem.wiki/Donlin_Gold_Mine_Pipeline</t>
  </si>
  <si>
    <t>Donalin Gold Mine Gas Pipeline</t>
  </si>
  <si>
    <t>Barrick Gold Corp [50.00%]; NOVAGold [50.00%]</t>
  </si>
  <si>
    <t>Cook Inlet</t>
  </si>
  <si>
    <t>Crooked Creek</t>
  </si>
  <si>
    <t>LINESTRING (-158.0934 62.005869, -157.990322 62.061702, -157.865916 62.041328, -157.636714 62.089892, -157.435068 62.085374, -157.277743 62.050086, -157.206597 62.056492, -157.037546 62.011234, -156.909586 62.046828, -156.430945 62.073243, -156.180044 62.118769, -155.708982 62.150096, -155.472876 62.144061, -154.914185 62.258815, -154.760012 62.27419, -154.535846 62.333827, -154.419549 62.380701, -154.246001 62.417062, -153.706816 62.499198, -153.645374 62.465486, -153.583389 62.46353, -153.524804 62.439397, -153.489088 62.379133, -153.428903 62.33671, -153.279519 62.316997, -153.248895 62.301805, -153.221389 62.260573, -153.109711 62.246422, -153.094773 62.195879, -152.81743 62.177659, -152.736287 62.127711, -152.72709 62.088096, -152.609491 62.055814, -152.250398 62.003011, -151.830534 62.019962, -151.590246 61.966409, -151.548637 61.942697, -151.383113 61.924447, -151.244889 61.830473, -151.053997 61.752128, -150.889593 61.619115, -150.873005 61.572749, -150.945904 61.400199, -150.879563 61.351445)</t>
  </si>
  <si>
    <t>P2529</t>
  </si>
  <si>
    <t>East Louisiana Project</t>
  </si>
  <si>
    <t>LINESTRING (-93.21731257255034 30.24092215052808, -93.1455742087433 30.277684622485292)</t>
  </si>
  <si>
    <t>P2530</t>
  </si>
  <si>
    <t>Elwood Power Plant Expansion Project</t>
  </si>
  <si>
    <t>P2531</t>
  </si>
  <si>
    <t>North Expansion</t>
  </si>
  <si>
    <t>LINESTRING (-77.024738 42.287586, -77.026591 41.934433)</t>
  </si>
  <si>
    <t>P2536</t>
  </si>
  <si>
    <t>https://www.gem.wiki/Evangeline_Pass_Gas_Pipeline</t>
  </si>
  <si>
    <t>Evangeline Pass Gas Pipeline</t>
  </si>
  <si>
    <t>Venture Global LNG [unknown %]</t>
  </si>
  <si>
    <t>LINESTRING (-89.90879 29.602722, -89.915999 29.593668, -89.916533 29.591346, -89.917334 29.587631, -89.923742 29.531428, -89.924008 29.528872, -89.923475 29.522135, -89.921873 29.504709, -89.921072 29.49704, -89.920538 29.490301, -89.917601 29.477285, -89.920004 29.46915, -89.937358 29.456597)</t>
  </si>
  <si>
    <t>P2537</t>
  </si>
  <si>
    <t>https://www.gem.wiki/FM_100_Gas_Pipeline</t>
  </si>
  <si>
    <t>FM 100 Gas Pipeline</t>
  </si>
  <si>
    <t>National Fuel Gas Supply Corp [100.00%]</t>
  </si>
  <si>
    <t>McKean County</t>
  </si>
  <si>
    <t>Cameron County</t>
  </si>
  <si>
    <t>LINESTRING (-78.012483 41.85619, -78.029756 41.846182, -78.034554 41.844395, -78.084455 41.844753, -78.09693 41.844395, -78.104607 41.840106, -78.115642 41.836889, -78.130996 41.836174, -78.151149 41.836174, -78.167462 41.830454, -78.181377 41.825091, -78.194332 41.815436, -78.227438 41.798984, -78.241833 41.796123, -78.259586 41.793976, -78.27398 41.786821, -78.282737 41.777161, -78.30049 41.770362, -78.3264 41.761773, -78.345112 41.756047, -78.364784 41.757478, -78.385416 41.754973, -78.421522 41.746382, -78.435437 41.740296, -78.447432 41.732061, -78.498772 41.7052)</t>
  </si>
  <si>
    <t>P2538</t>
  </si>
  <si>
    <t>Gateway Expansion Project</t>
  </si>
  <si>
    <t>P2539</t>
  </si>
  <si>
    <t>https://www.gem.wiki/Golden_Pass_Gas_Pipeline</t>
  </si>
  <si>
    <t>Golden Pass Gas Pipeline</t>
  </si>
  <si>
    <t>Golden Pass Pipeline LLC [unknown %]</t>
  </si>
  <si>
    <t>ExxonMobil [unknown %]; QatarEnergy [unknown %]</t>
  </si>
  <si>
    <t>LINESTRING (-93.671875 30.35938, -93.670923 30.301321, -93.810359 30.256111, -93.843196 30.22851, -93.850334 30.198528, -93.95503 30.103826, -94.099702 29.998654, -94.118737 29.883488, -94.033553 29.843037, -94.023083 29.756424, -93.933615 29.768322)</t>
  </si>
  <si>
    <t>P2541</t>
  </si>
  <si>
    <t>P2542</t>
  </si>
  <si>
    <t>Phase VI Expansion Project</t>
  </si>
  <si>
    <t>LINESTRING (-82.40382644374847 27.794363064705742, -82.41655620799838 27.74573921263537)</t>
  </si>
  <si>
    <t>P2544</t>
  </si>
  <si>
    <t>Hillabee Expansion Project, Phase 2</t>
  </si>
  <si>
    <t>MULTILINESTRING ((-88.25252 32.095894, -88.360271 32.058315), (-86.428837 32.788291, -86.497075 32.771566))</t>
  </si>
  <si>
    <t>P2545</t>
  </si>
  <si>
    <t>Hillabee Expansion Project, Phase 3</t>
  </si>
  <si>
    <t>MULTILINESTRING ((-86.602061 32.720317, -86.721457 32.668055), (-88.170279 32.128558, -88.25252 32.095894))</t>
  </si>
  <si>
    <t>P2547</t>
  </si>
  <si>
    <t>Index 99 Expansion Project</t>
  </si>
  <si>
    <t>Gulf South Gas Pipeline Expansion</t>
  </si>
  <si>
    <t>LINESTRING (-94.096523 31.576403, -94.02597 31.347981, -93.986123 31.284579)</t>
  </si>
  <si>
    <t>P2551</t>
  </si>
  <si>
    <t>https://www.gem.wiki/Leidy_South_Pipeline</t>
  </si>
  <si>
    <t>Leidy South Pipeline</t>
  </si>
  <si>
    <t>Williams Companies [unknown %]</t>
  </si>
  <si>
    <t>MULTILINESTRING ((-74.6841049 40.45295191, -74.6808867 40.44444765, -74.6803518 40.43619107, -74.6801178 40.42835589, -74.6807872 40.42178457, -74.6803026 40.41460106, -74.6823011 40.40938897, -74.6867826 40.40614799, -74.6895074 40.40145225, -74.6893524 40.39823399, -74.6843641 40.39676308, -74.6846267 40.38762521, -74.6828131 40.36458218), (-74.8385884 40.58167796, -74.8327921 40.57889245, -74.8267934 40.57561303, -74.8230625 40.5699979, -74.8180434 40.56723526, -74.8067566 40.56292595, -74.7869585 40.55372695, -74.7753605 40.55024174, -74.7539708 40.54112968, -74.7510179 40.53912449, -74.7486502 40.53814692, -74.7437162 40.53823998, -74.7286574 40.53128511), (-76.0680641 41.11683598, -76.0553589 41.1165256, -76.0386067 41.11701586, -76.0328043 41.11579265, -76.0210188 41.11638105, -76.0149406 41.11675382, -76.0093617 41.11746804, -75.9976107 41.11711504, -75.9897116 41.11733808), (-75.6726249 41.1768559, -75.6546848 41.16222995, -75.6448734 41.15421105, -75.6377967 41.14890717, -75.6361741 41.14241093, -75.6285632 41.13770108, -75.6255027 41.13586082, -75.622445 41.13567608, -75.6207491 41.13436558, -75.6197939 41.13108654, -75.6196668 41.12893132, -75.6097828 41.12113062, -75.6092843 41.11913198, -75.6065969 41.11713511, -75.6039942 41.11657491, -75.5832854 41.09934911, -75.5810552 41.09863221, -75.5722548 41.0912984, -75.5698185 41.09030043, -75.5316684 41.05890357))</t>
  </si>
  <si>
    <t>P2552</t>
  </si>
  <si>
    <t>https://www.gem.wiki/Line_1600_Gas_Pipeline</t>
  </si>
  <si>
    <t>Line 1600 Gas Pipeline</t>
  </si>
  <si>
    <t>Sempra Energy [unknown %]</t>
  </si>
  <si>
    <t>MULTILINESTRING ((-117.13155953 33.427545, -117.13323076 33.42057, -117.13768737 33.417781, -117.14102982 33.408016, -117.15384258 33.404295, -117.15829919 33.40104, -117.16386995 33.389877, -117.17278317 33.388482, -117.17612563 33.385691, -117.18058224 33.377783, -117.18336763 33.375457, -117.1839247 33.368479, -117.19116669 33.360569, -117.19228085 33.356847, -117.19952284 33.355916, -117.20230822 33.349867, -117.21679221 33.343352, -117.23239034 33.327062, -117.23517572 33.320546, -117.23517572 33.318218, -117.23851818 33.31496, -117.23851818 33.255352, -117.23963233 33.252556, -117.24408895 33.250693, -117.24408895 33.239977, -117.25300217 33.23159, -117.25355924 33.22693, -117.25745878 33.22227, -117.2569017 33.216678, -117.266372 33.212017, -117.266372 33.148141, -117.26302954 33.136013, -117.266372 33.129482, -117.26080124 33.123884, -117.26581492 33.112686, -117.266372 33.10662, -117.26247246 33.09822, -117.26414369 33.090286, -117.26581492 33.083285, -117.24353187 33.036597, -117.24464602 32.989883, -117.21846343 32.958571, -117.21957759 32.916493, -117.18058224 32.850999, -117.18281055 32.762036), (-117.13183806 33.426847, -117.1379659 33.408713, -117.1379659 33.398482, -117.13239514 33.386854, -117.13350929 33.375225, -117.12682438 33.357545, -117.12793853 33.34405, -117.12125361 33.335208, -117.10899793 33.325899, -117.09952764 33.323571, -117.09507103 33.32264, -117.08170119 33.311934, -117.07557335 33.310071, -117.0744592 33.293775, -117.07390213 33.275613, -117.07111674 33.264901, -117.06053229 33.251392, -117.04939077 33.240676, -117.04939077 33.221571, -117.04883369 33.21225, -117.04270585 33.199665, -117.04214877 33.173091, -117.04660539 33.162832, -117.05161907 33.159568, -117.04994784 33.150706, -117.04883369 33.147908, -117.04994784 33.143244, -117.04326293 33.096003, -117.04270585 33.091803, -117.04549123 33.087136, -117.051062 33.074066, -117.051062 33.06753, -117.05663276 33.060061, -117.05440445 33.046053, -117.05551861 33.036246, -117.09005734 32.96383, -117.0956281 32.959156, -117.10175594 32.954949, -117.11122624 32.941392, -117.11512577 32.932976, -117.11401162 32.854392, -117.12181069 32.839766, -117.12292484 32.769063, -117.13128099 32.768594))</t>
  </si>
  <si>
    <t>P2553</t>
  </si>
  <si>
    <t>San Diego</t>
  </si>
  <si>
    <t>P2555</t>
  </si>
  <si>
    <t>Lockridge Extension Pipeline Project</t>
  </si>
  <si>
    <t>Permian</t>
  </si>
  <si>
    <t>LINESTRING (-103.102931 31.273344, -103.103064 31.272096, -103.103794 31.270848, -103.105984 31.269487, -103.109302 31.269146, -103.112952 31.26994, -103.11408 31.270508, -103.115408 31.270564, -103.122575 31.272096, -103.12357 31.27272, -103.131666 31.282248, -103.13233 31.282589, -103.135515 31.284177, -103.136644 31.285084, -103.139165 31.28843, -103.139364 31.289508, -103.139962 31.290018, -103.140094 31.291946, -103.140824 31.292683, -103.144209 31.295519, -103.147793 31.300565, -103.148058 31.30187, -103.147793 31.311679, -103.148058 31.31457, -103.148722 31.315704, -103.148124 31.316895, -103.14839 31.318142, -103.149253 31.319786, -103.149518 31.320466, -103.149253 31.321317, -103.148722 31.321997, -103.148854 31.324321, -103.150115 31.331011, -103.150713 31.333958, -103.151774 31.336395, -103.152106 31.337246, -103.151973 31.337869, -103.155358 31.345861, -103.155491 31.347391, -103.156221 31.348071, -103.168116 31.375102, -103.170986 31.382694, -103.172446 31.386773, -103.173973 31.389379, -103.177357 31.396573, -103.17749 31.397309, -103.177424 31.398216, -103.180343 31.409204, -103.18333 31.412263, -103.183662 31.412602, -103.182666 31.437689, -103.182334 31.438425, -103.181472 31.439104, -103.181538 31.439841, -103.18187 31.44052, -103.181538 31.456655, -103.18114 31.457334, -103.181405 31.457957, -103.182932 31.471429, -103.183263 31.473637, -103.183131 31.474372, -103.183263 31.475108, -103.184193 31.482041)</t>
  </si>
  <si>
    <t>P2556</t>
  </si>
  <si>
    <t>Louisiana XPress Expansion Project</t>
  </si>
  <si>
    <t>P2559</t>
  </si>
  <si>
    <t>https://www.gem.wiki/Magnolia_Gas_Pipeline</t>
  </si>
  <si>
    <t>Magnolia Gas Pipeline</t>
  </si>
  <si>
    <t>Kinder Morgan Louisiana Pipeline Company LLC [100.00%]</t>
  </si>
  <si>
    <t>P2560</t>
  </si>
  <si>
    <t>MASS Expansion Project</t>
  </si>
  <si>
    <t>P2561</t>
  </si>
  <si>
    <t>McComb Compressor Station Reliability Project</t>
  </si>
  <si>
    <t>P2562</t>
  </si>
  <si>
    <t>Middlesex Expansion Project</t>
  </si>
  <si>
    <t>LINESTRING (-74.31996184137382 40.5151006625634, -74.32880776688924 40.52942998569838)</t>
  </si>
  <si>
    <t>P2564</t>
  </si>
  <si>
    <t>Midwest Market Access Expansion Project</t>
  </si>
  <si>
    <t>Caisse de dépôt et placement du Québec [unknown %]; GE Energy Financial Services [unknown %]</t>
  </si>
  <si>
    <t>P2565</t>
  </si>
  <si>
    <t>https://www.gem.wiki/MoGas_Pipeline</t>
  </si>
  <si>
    <t>MoGas Pipeline</t>
  </si>
  <si>
    <t>MoGas Pipeline LLC [100.00%]</t>
  </si>
  <si>
    <t>CorEnergy Infrastructure Trust Inc [100.00%]</t>
  </si>
  <si>
    <t>MULTILINESTRING ((-90.092456 38.857215, -90.1103 38.85523, -90.123045 38.842326, -90.295108 38.897896, -90.312952 38.903847, -90.330796 38.89988, -90.496486 38.865155, -90.524526 38.85523, -90.542369 38.84729, -90.566586 38.84729, -90.579331 38.850267, -90.668549 38.885992, -90.692765 38.887976, -90.723354 38.88996, -90.733551 38.89492, -90.739923 38.915749, -90.751394 38.921698, -90.799827 38.954414, -90.878848 39.050489, -90.890319 39.054448, -90.891594 39.064345, -90.911986 39.091059, -91.007577 39.1494, -91.075128 39.186949, -91.135031 39.233364, -91.200033 39.273829, -91.2217 39.284681, -91.238269 39.2906, -91.257387 39.300464, -91.279054 39.312298, -91.376875 39.354688), (-90.198562 38.868132, -90.21768 38.852253, -90.216406 38.843319), (-90.578375 38.850267, -90.580924 38.824455, -90.584748 38.822469, -90.584748 38.813532), (-90.72909 38.893928, -90.740561 38.885992, -90.804288 38.815518, -90.81066 38.80658, -90.81066 38.79466, -90.82468 38.792673, -90.833602 38.767834, -90.862916 38.723102, -90.870564 38.718129, -90.871838 38.700227, -90.879486 38.687295, -90.882035 38.6664, -90.906251 38.658438, -90.948311 38.572794, -90.953409 38.554856, -90.967429 38.5409, -90.968703 38.528937, -90.982723 38.523951, -90.987822 38.516971, -90.995469 38.481062, -90.99292 38.44214, -90.994194 38.434153, -90.986547 38.430159, -90.982723 38.401199, -90.9789 38.39121, -90.9789 38.379221, -90.983998 38.36823, -90.998018 38.358236, -91.010763 38.354239, -91.037529 38.333247, -91.064294 38.319248, -91.080863 38.309248, -91.099981 38.301247, -91.159885 38.232199, -91.175179 38.225191, -91.180277 38.211172, -91.204493 38.207166, -91.418616 38.096917, -91.423715 38.085883, -91.45048 38.07886, -91.496363 38.061802, -91.561365 38.039722, -91.57411 38.033699, -91.621268 38.026671, -91.673525 38.016631, -91.738526 38.003576, -91.749678 38.002572, -91.761149 37.989514, -91.775169 37.987505, -91.81468 37.987505, -91.836347 37.974445, -91.861838 37.963393, -91.914094 37.963393, -91.929389 37.957363, -91.947232 37.955354, -91.948507 37.946308, -91.996939 37.903077, -92.004587 37.904083, -92.004587 37.897043, -92.059392 37.861833, -92.069588 37.856801, -92.079785 37.850763, -92.084883 37.850763, -92.096354 37.852776, -92.112923 37.839692, -92.109099 37.833652, -92.115472 37.823585, -92.121844 37.822579, -92.126943 37.817545, -92.138413 37.816538, -92.142237 37.806468, -92.153708 37.805461), (-91.417023 38.09792, -91.439965 38.128004, -91.439965 38.145046, -91.433592 38.153064, -91.433592 38.163086, -91.443789 38.167095, -91.447612 38.188135, -91.447612 38.204161, -91.453985 38.213175, -91.453985 38.2332, -91.476927 38.259226, -91.48075 38.283241, -91.487123 38.305248, -91.498594 38.328247), (-91.736933 38.003576, -91.738208 37.98851, -91.743306 37.973441, -91.748404 37.950329, -91.739482 37.949324, -91.739482 37.914138, -91.722913 37.888996, -91.719089 37.882961, -91.721639 37.858814, -91.715266 37.855795, -91.719089 37.839692, -91.707619 37.820565, -91.70252 37.81251, -91.696148 37.803447, -91.694873 37.791362, -91.674481 37.76517, -91.665559 37.751063, -91.657911 37.733929, -91.646441 37.718808, -91.638793 37.709734, -91.637519 37.701667, -91.623499 37.701667, -91.603106 37.67746, -91.57889 37.656274))</t>
  </si>
  <si>
    <t>P2566</t>
  </si>
  <si>
    <t>Expansion Project</t>
  </si>
  <si>
    <t>P2567</t>
  </si>
  <si>
    <t>Southgate Expansion</t>
  </si>
  <si>
    <t>Alamaca County</t>
  </si>
  <si>
    <t>North Caolina</t>
  </si>
  <si>
    <t>LINESTRING (-79.341816 36.838964, -79.383689 36.796241, -79.388616 36.791638, -79.390258 36.78572, -79.400931 36.781775, -79.404216 36.773226, -79.413247 36.770595, -79.45512 36.724543, -79.461689 36.719278, -79.491246 36.686365, -79.491246 36.681097, -79.49453 36.677146, -79.504383 36.674512, -79.514235 36.662, -79.519983 36.655413, -79.529014 36.64685, -79.528193 36.642239, -79.529835 36.639603, -79.539688 36.636309, -79.544614 36.63038, -79.552004 36.624449, -79.557751 36.61786, -79.563498 36.615883, -79.566782 36.604679, -79.680086 36.489248, -79.682549 36.485288, -79.685013 36.479346, -79.688297 36.476045, -79.698149 36.470103, -79.702255 36.46284, -79.696507 36.449633, -79.685834 36.438405, -79.676802 36.431964, -79.671055 36.429982, -79.666129 36.424697, -79.657918 36.422715, -79.648066 36.412144, -79.648887 36.406858, -79.642318 36.397606, -79.637392 36.39298, -79.63575 36.38571, -79.633287 36.381083, -79.630003 36.3791, -79.624255 36.378439, -79.619329 36.3672, -79.617687 36.363233, -79.61194 36.36125, -79.610298 36.346702, -79.602908 36.343396, -79.601266 36.333475, -79.593056 36.318261, -79.586487 36.312968, -79.584845 36.307014, -79.587308 36.303706, -79.575814 36.291133, -79.566782 36.289809, -79.565961 36.281867, -79.560214 36.280544, -79.556109 36.272601, -79.548719 36.262009, -79.529835 36.238835, -79.524088 36.236848, -79.524088 36.232875, -79.522446 36.228901, -79.513414 36.214329, -79.511772 36.206379, -79.511772 36.204392, -79.503562 36.203067, -79.495351 36.195116, -79.489604 36.187165, -79.489604 36.174573, -79.482215 36.169271, -79.471541 36.165957, -79.463331 36.159328, -79.436236 36.158002, -79.43131 36.154025, -79.426384 36.146732, -79.409963 36.143417, -79.396826 36.14408, -79.392721 36.142091, -79.388616 36.136123, -79.36809 36.132808, -79.364805 36.117555, -79.363163 36.096328, -79.357416 36.08903, -79.350027 36.075759, -79.350027 36.067132, -79.354953 36.052529, -79.354953 36.042572)</t>
  </si>
  <si>
    <t>P2568</t>
  </si>
  <si>
    <t>https://www.gem.wiki/Norte_Crossing_Pipeline</t>
  </si>
  <si>
    <t>Norte Crossing Pipeline</t>
  </si>
  <si>
    <t>Gasoducto Norte Crossing</t>
  </si>
  <si>
    <t>https://www.gem.wiki/Gasoducto_Norte_Crossing</t>
  </si>
  <si>
    <t>LINESTRING (-106.00688777756555 31.390481073477353, -105.99607312198522 31.40176371079474)</t>
  </si>
  <si>
    <t>P2569</t>
  </si>
  <si>
    <t>North Baja XPress Project (NBXP)</t>
  </si>
  <si>
    <t>P2573</t>
  </si>
  <si>
    <t>https://www.gem.wiki/North_Mist_Expansion_Pipeline</t>
  </si>
  <si>
    <t>North Mist Expansion Pipeline</t>
  </si>
  <si>
    <t>The Pacific Gas and Electric Company [unknown %]</t>
  </si>
  <si>
    <t>LINESTRING (-123.174955 46.179912, -123.23539 46.111892, -123.279147 46.086412, -123.292879 46.047395)</t>
  </si>
  <si>
    <t>P2574</t>
  </si>
  <si>
    <t>Northeast Supply Enhancement Pipelines</t>
  </si>
  <si>
    <t>Transcontinental Gas Pipeline Expansion</t>
  </si>
  <si>
    <t>Queens</t>
  </si>
  <si>
    <t>LINESTRING (-73.870123 40.523825, -73.998812 40.497688, -74.065357 40.52636, -74.191959 40.499847, -74.306223 40.440999)</t>
  </si>
  <si>
    <t>P2575</t>
  </si>
  <si>
    <t>Northern Access 2016 (NY to ON) Expansion Project</t>
  </si>
  <si>
    <t>MULTILINESTRING ((-78.584635 42.7976277, -78.5862317 42.79185018, -78.5806111 42.78892325, -78.5773761 42.78650849, -78.5773316 42.78523968, -78.5709196 42.78560952, -78.5705845 42.78349711, -78.5672391 42.78100689, -78.5672763 42.77539364, -78.5642087 42.77284576, -78.5638123 42.76593912, -78.5676047 42.76322626, -78.567457 42.75694087, -78.5677101 42.75205823, -78.566772 42.75067748, -78.5629746 42.75066569, -78.562685 42.74684181, -78.5617108 42.74578443, -78.561885 42.72552674, -78.5704088 42.72579336, -78.5743722 42.72508789, -78.5783659 42.72529711, -78.5851843 42.72564587, -78.5855388 42.72453234, -78.5938046 42.72574222, -78.5973339 42.72260455, -78.5989212 42.72175333, -78.5997038 42.72078033, -78.6024479 42.7193239, -78.604862 42.71642157, -78.6058561 42.71208061, -78.6154109 42.70970718, -78.6155692 42.70638724, -78.6145544 42.70451326, -78.6160456 42.70265775, -78.6158486 42.70031827, -78.6159898 42.69549678, -78.6137029 42.69360079, -78.6141963 42.68549728, -78.6140607 42.67729041, -78.6101112 42.67098277, -78.6115908 42.66262095, -78.6148284 42.65129955, -78.615377 42.64744929, -78.6133452 42.64507905, -78.6022816 42.64222204, -78.5913011 42.63959333, -78.5910777 42.63016524, -78.591772 42.62927856, -78.5911565 42.624535, -78.5867475 42.61168212, -78.5856653 42.60824107, -78.5851068 42.60501525, -78.5852222 42.58789977, -78.5737879 42.57432457, -78.5667203 42.56708583, -78.5668063 42.56490767, -78.5531239 42.54887095, -78.5497189 42.5475118, -78.5420912 42.544246, -78.5397873 42.54281638, -78.5323122 42.53811427, -78.5228922 42.5291481, -78.5179186 42.52662087, -78.5160182 42.52438445, -78.51437 42.5196388, -78.4929364 42.51904755, -78.4952439 42.48735809, -78.4953248 42.48499679, -78.4921094 42.48257883, -78.4919116 42.48093368, -78.4943429 42.47881517, -78.4944304 42.47275815, -78.4957126 42.47098919, -78.49626 42.44840622, -78.497617 42.44608456, -78.4961081 42.4437718, -78.4971526 42.43202429, -78.5040331 42.42788251, -78.5127802 42.4229754, -78.5213008 42.4178387, -78.5223429 42.41560506, -78.5232527 42.41290371, -78.5171907 42.40507, -78.5141293 42.4015471, -78.504899 42.39011437, -78.5025923 42.38869101, -78.4994043 42.38440121, -78.4966836 42.38352485, -78.4974378 42.3837377, -78.494846 42.37610559, -78.4953442 42.36131379, -78.4942828 42.35938046, -78.4948827 42.34574224, -78.4944831 42.33814451, -78.4958699 42.33448525, -78.4966071 42.32675709, -78.4946565 42.3240646, -78.4947812 42.31746326, -78.4911672 42.31355634, -78.489848 42.30801359, -78.4895224 42.3021263, -78.4895932 42.29960729, -78.4941433 42.29758217, -78.4945126 42.29277451, -78.4929775 42.28991204, -78.4930445 42.28222915, -78.4933647 42.27393842, -78.4869518 42.26517003, -78.4833234 42.26079852, -78.4724691 42.25011987, -78.4609975 42.23969469, -78.4461796 42.22991944, -78.439109 42.22635764, -78.4366244 42.22392609, -78.4299238 42.21499566, -78.4250303 42.2086157, -78.4179457 42.20080691, -78.4136037 42.19676891, -78.4075605 42.19254545, -78.4025667 42.19022294, -78.3985215 42.17976112, -78.3916702 42.17618981, -78.3861155 42.17313019, -78.3787547 42.17351968, -78.3770525 42.17166775, -78.3720578 42.1696802, -78.3705804 42.16723476, -78.3656403 42.16178138, -78.3565002 42.15619622, -78.3526328 42.15351796, -78.3436241 42.14373185, -78.3313196 42.13211768, -78.313348 42.11566975, -78.3079094 42.10857691, -78.305393 42.10283069, -78.3020222 42.09688884, -78.3012782 42.092727, -78.2957707 42.08423587, -78.2916638 42.08238804, -78.2900379 42.07952529, -78.2914686 42.0765748, -78.2957973 42.07456324, -78.2982615 42.07323424, -78.3004542 42.07277797, -78.303076 42.0704221, -78.3013487 42.06764107, -78.3010728 42.06639088, -78.2989573 42.06447324, -78.2963303 42.06243842, -78.2852114 42.05057321, -78.2839445 42.04738526, -78.2834195 42.04535232, -78.2744137 42.03307489, -78.2907215 42.01057982, -78.2937102 42.00644795, -78.2947756 42.00382258, -78.2984354 42.00120108, -78.3057575 41.98991861, -78.3097963 41.98649949, -78.3154453 41.98220673, -78.3201703 41.97723535, -78.3208223 41.9512673, -78.3211136 41.93254397, -78.3292464 41.92491657, -78.3357082 41.91960189, -78.3395295 41.91414357, -78.3449334 41.90675177, -78.3446718 41.90455348, -78.3470719 41.90131015, -78.3471283 41.89638666, -78.3486833 41.89530611, -78.3481291 41.889359, -78.3458881 41.88675083, -78.3459613 41.88210926, -78.35009 41.88057334, -78.351808 41.87885167, -78.3578977 41.87696379, -78.3585861 41.87002381, -78.3586316 41.86687711, -78.3622049 41.86480657, -78.3630427 41.86280705, -78.3718863 41.8628711, -78.3803233 41.86128602, -78.3860238 41.86166835, -78.389786 41.85921394, -78.3940731 41.85562439, -78.4020119 41.85570667, -78.4057615 41.85197145, -78.4080157 41.84992972, -78.4139424 41.84865263, -78.4231919 41.84993934, -78.4332543 41.85185074, -78.4387856 41.84909015, -78.4421414 41.84891087, -78.4470154 41.85349828, -78.4537443 41.85345316, -78.4569894 41.84926646, -78.4670944 41.83386385, -78.4670413 41.83190341, -78.470292 41.82494446, -78.4730324 41.82313159, -78.4844977 41.801946, -78.4837432 41.79772269, -78.4821935 41.79045677, -78.4809575 41.78121547, -78.4808697 41.77571374, -78.48121 41.7703563, -78.4775961 41.76568492, -78.4740995 41.76123004, -78.4713892 41.75966074, -78.4735338 41.75464189, -78.4746209 41.75329118, -78.482084 41.75351779, -78.4810627 41.7501675, -78.4802045 41.74594728, -78.4847885 41.74140465, -78.4849854 41.73534382, -78.4867472 41.73104405, -78.486226 41.72917266, -78.4878615 41.72448353, -78.4949541 41.71978561, -78.4962766 41.71197166, -78.5006762 41.70726561, -78.5015779 41.70362945, -78.5014235 41.69977254), (-78.8169219 43.09126921, -78.8127722 43.08836106, -78.8109648 43.08254111, -78.8119457 43.07766869, -78.8137069 43.07463216, -78.8167101 43.07289805, -78.8173914 43.07117404, -78.8176571 43.06766813))</t>
  </si>
  <si>
    <t>P2576</t>
  </si>
  <si>
    <t>Northern Access 2016 (PA to NY) Expansion Project</t>
  </si>
  <si>
    <t>Sergeant Township, McKean County</t>
  </si>
  <si>
    <t>Town of Wheatfield, Niagra County</t>
  </si>
  <si>
    <t>LINESTRING (-78.67195 41.650901, -78.872876 43.08611)</t>
  </si>
  <si>
    <t>P2577</t>
  </si>
  <si>
    <t>Northern Delaware Basin Expansion Project</t>
  </si>
  <si>
    <t>P2578</t>
  </si>
  <si>
    <t>https://www.gem.wiki/Northern_Natural_Gas_Pipeline</t>
  </si>
  <si>
    <t>Northern Natural Gas Pipeline</t>
  </si>
  <si>
    <t>Northern Lights 2019 Expansion Project</t>
  </si>
  <si>
    <t>Northern Natural Gas [100.00%]</t>
  </si>
  <si>
    <t>MULTILINESTRING ((-93.5838507 44.54812812, -93.5977201 44.54223701, -93.6065586 44.53670149, -93.617053 44.53124356), (-93.8274098 44.7778542, -93.8225417 44.77620394, -93.8170078 44.77452317, -93.8133658 44.7741192, -93.8095266 44.76846619, -93.8045614 44.76419076, -93.8031312 44.76150554, -93.7864203 44.76145634), (-93.8460261 45.17788278, -93.8451708 45.17337828, -93.8438159 45.16974433, -93.8368245 45.16793902, -93.8318485 45.16711791, -93.8333803 45.15021739, -93.8316185 45.14180131, -93.8234662 45.13428582, -93.8139935 45.13206858, -93.8051141 45.11409845, -93.7962938 45.11399352, -93.7924982 45.11411776, -93.7888921 45.1121665, -93.7874608 45.10942152, -93.787354 45.10137819, -93.7839383 45.09735145, -93.7767831 45.09285544, -93.7709505 45.09229007, -93.7659551 45.09176289, -93.7617859 45.08680768, -93.7586719 45.07951912))</t>
  </si>
  <si>
    <t>P2579</t>
  </si>
  <si>
    <t>Illinois, Wisconsin, Minnesota, Michigan</t>
  </si>
  <si>
    <t>MULTILINESTRING ((-103.0230346 31.5289689, -103.0807556 31.9937217, -102.8336066 33.2015842), (-102.8336066 33.2015842, -101.5097976 32.2450196, -101.6801286 31.7092008, -102.2459676 31.160867), (-102.8336066 33.2015842, -103.3702686 32.9415413, -103.1385526 32.4402875), (-102.8336066 33.2015842, -100.8149876 36.4036688, -100.0498566 37.7513411, -98.2436846 38.5977567, -95.9421356 41.2636114, -96.7661535 43.5428512, -98.5185155 45.4507922), (-96.7661535 43.5428512, -93.2351275 44.9825865, -92.1475245 46.7947375, -90.7258735 46.6214986, -87.4090805 46.5346866), (-90.7258735 46.6214986, -89.6986945 44.9943305), (-92.1475245 46.7947375, -92.5331245 47.5231101, -93.5356705 47.2497812), (-92.1475245 46.7947375, -91.2037785 47.3596392), (-100.8149876 36.4036688, -99.2879316 35.9869989), (-100.8149876 36.4036688, -101.4642596 35.920303, -101.9779136 35.8825139), (-100.0498566 37.7513411, -100.9425386 37.1561414), (-98.2436846 38.5977567, -100.8749536 37.972586), (-95.9421356 41.2636114, -93.2351275 44.9825865, -93.5712886 41.7491271, -95.9498716 41.2678704), (-93.5712886 41.7491271, -89.3965696 42.9427545))</t>
  </si>
  <si>
    <t>P2582</t>
  </si>
  <si>
    <t>https://www.gem.wiki/Permian_Pass_Gas_Pipeline</t>
  </si>
  <si>
    <t>Permian Pass Gas Pipeline</t>
  </si>
  <si>
    <t>Kinder Morgan Energy Partners [100.00%]</t>
  </si>
  <si>
    <t>West Texas shale play</t>
  </si>
  <si>
    <t>P2588</t>
  </si>
  <si>
    <t>Portland Xpress Expansion Project</t>
  </si>
  <si>
    <t>Enbridge [38.89%]</t>
  </si>
  <si>
    <t>P2594</t>
  </si>
  <si>
    <t>Putnam Expansion Project</t>
  </si>
  <si>
    <t>Seminole Electric Cooperative</t>
  </si>
  <si>
    <t>MULTILINESTRING ((-82.594358 29.980675, -82.602746 29.912843, -82.748129 29.927382), (-82.032395 29.70907, -82.099495 29.687213, -82.127454 29.747916))</t>
  </si>
  <si>
    <t>P2597</t>
  </si>
  <si>
    <t>https://www.gem.wiki/Red_Bluff_Express_Pipeline</t>
  </si>
  <si>
    <t>Red Bluff Express Pipeline</t>
  </si>
  <si>
    <t>30, 36, 42</t>
  </si>
  <si>
    <t>LINESTRING (-104.102333 31.976163, -104.068993 31.979089, -104.002314 31.893233, -103.968974 31.849298, -103.94943 31.823904, -103.944831 31.815113, -103.825268 31.759412, -103.709154 31.706611, -103.680413 31.689005, -103.335519 31.44314, -103.212507 31.354824, -103.198711 31.344024, -103.194113 31.333223, -103.188364 31.322421, -103.150139 31.312599, -103.138642 31.304741, -103.090357 31.274286)</t>
  </si>
  <si>
    <t>P2600</t>
  </si>
  <si>
    <t>Regional Energy Access Project (Phase I and II)</t>
  </si>
  <si>
    <t>MULTILINESTRING ((-75.920913 41.365798, -75.900666 41.362759, -75.874344 41.343, -75.850047 41.34148, -75.838911 41.334639, -75.817651 41.321715, -75.807527 41.313351, -75.786267 41.320955, -75.78323 41.308028, -75.77007 41.305747, -75.759946 41.293578, -75.757921 41.270755, -75.742735 41.26695, -75.740711 41.258579, -75.645548 41.19462), (-75.500778 41.071094, -75.443073 41.02834, -75.431937 41.020702, -75.4289 41.013064, -75.392454 40.976387, -75.366132 40.942748, -75.341835 40.911387))</t>
  </si>
  <si>
    <t>P2601</t>
  </si>
  <si>
    <t>P2602</t>
  </si>
  <si>
    <t>Phase 3</t>
  </si>
  <si>
    <t>P2603</t>
  </si>
  <si>
    <t>Rochester Expansion Project</t>
  </si>
  <si>
    <t>MULTILINESTRING ((-93.091646 43.844109, -92.929683 43.843393), (-92.579072 43.987183, -92.607271 43.967336, -92.629675 43.838314))</t>
  </si>
  <si>
    <t>P2604</t>
  </si>
  <si>
    <t>Rover Expansion Project</t>
  </si>
  <si>
    <t>P2605</t>
  </si>
  <si>
    <t>Florida Power and Light Expansion Project</t>
  </si>
  <si>
    <t>Sabal Trail Project Phase III</t>
  </si>
  <si>
    <t>Duke Energy [33.40%]; Enbridge [33.30%]; NextEra Energy, Inc. [33.30%]</t>
  </si>
  <si>
    <t>P2606</t>
  </si>
  <si>
    <t>Project Phase II</t>
  </si>
  <si>
    <t>Duke Energy Corporation [33.40%]; Enbridge [33.30%]; NextEra Energy, Inc. [33.30%]</t>
  </si>
  <si>
    <t>P2607</t>
  </si>
  <si>
    <t>Sabine Pass Compression Expansion Project</t>
  </si>
  <si>
    <t>LINESTRING (-93.282995 30.422545, -93.238687 30.42501, -93.225823 30.427475, -93.198667 30.42501, -93.158647 30.439799, -93.138636 30.444728, -93.101475 30.452121, -93.064313 30.461977, -93.035728 30.473064, -92.999995 30.474296, -92.919955 30.500162, -92.879935 30.497699, -92.845632 30.501393, -92.74844 30.51617, -92.727001 30.521095, -92.596936 30.522326, -92.444002 30.572794)</t>
  </si>
  <si>
    <t>P2613</t>
  </si>
  <si>
    <t>https://www.gem.wiki/Sierrita_Gas_Pipeline</t>
  </si>
  <si>
    <t>Sierrita Gas Pipeline</t>
  </si>
  <si>
    <t>Kinder Morgan [35.00%]; Pemex [35.00%]; Mitsui Group [30.00%]</t>
  </si>
  <si>
    <t>Tucson</t>
  </si>
  <si>
    <t>Pima County</t>
  </si>
  <si>
    <t>Gasoducto Sierrita</t>
  </si>
  <si>
    <t>https://www.gem.wiki/Gasoducto_Sierrita</t>
  </si>
  <si>
    <t>LINESTRING (-111.16696573 32.175396, -111.17054585 32.162061, -111.17269392 32.146906, -111.19918681 32.147513, -111.20133488 32.108705, -111.25790079 32.085048, -111.27293729 32.080195, -111.31661476 32.045607, -111.3266391 32.045, -111.35098392 32.011613, -111.36745247 31.986717, -111.3860691 31.960598, -111.38964922 31.953308, -111.39322934 31.94541, -111.39609344 31.936904, -111.39752548 31.92475, -111.39752548 31.908948, -111.39537741 31.898614, -111.39752548 31.891927, -111.39394536 31.883416, -111.39537741 31.879768, -111.39537741 31.870647, -111.39412437 31.862894, -111.39448238 31.858941, -111.39627244 31.853467, -111.39663045 31.844952, -111.39877853 31.841607, -111.40486473 31.840998, -111.412741 31.834611, -111.41453106 31.830049, -111.4249134 31.824878, -111.44245599 31.816664, -111.45641846 31.809058, -111.4664428 31.804495, -111.47038093 31.801148, -111.48219533 31.796584, -111.50045395 31.78464, -111.52086063 31.764552, -111.52193467 31.743852, -111.52265069 31.733195, -111.52730485 31.717665, -111.53195901 31.69939, -111.53876123 31.675628, -111.53840322 31.66923, -111.55200768 31.651251, -111.57563648 31.615587, -111.5824387 31.606592, -111.58279672 31.536743, -111.58852491 31.536743, -111.58566081 31.53186, -111.58351274 31.529114, -111.58315473 31.519348, -111.58601882 31.517517, -111.58601882 31.514465, -111.5824387 31.509582, -111.571888 31.491108)</t>
  </si>
  <si>
    <t>P2614</t>
  </si>
  <si>
    <t>Puerto Libertad Expansion</t>
  </si>
  <si>
    <t>Ampliación en Puerto Libertad</t>
  </si>
  <si>
    <t>P2615</t>
  </si>
  <si>
    <t>Sierrita Pima Expansion Project</t>
  </si>
  <si>
    <t>Serrita Pima Ampliación</t>
  </si>
  <si>
    <t>P2616</t>
  </si>
  <si>
    <t>https://www.gem.wiki/South_Jersey_Gas_Pipeline</t>
  </si>
  <si>
    <t>South Jersey Gas Pipeline</t>
  </si>
  <si>
    <t>LINESTRING (-74.635225 39.288413, -74.67509 39.25789, -74.740164 39.266092, -74.754396 39.291631, -74.818197 39.30366, -74.9507 39.374966)</t>
  </si>
  <si>
    <t>P2617</t>
  </si>
  <si>
    <t>South Mainline Expansion Project</t>
  </si>
  <si>
    <t>LINESTRING (-114.519724 33.648591, -113.330447 33.458181, -113.090248 33.40929, -112.45753 33.184039, -112.082586 32.953292, -111.32098 32.306964, -111.221386 32.202921, -111.156942 32.163254, -110.415841 31.97957, -109.033234 32.277249, -108.705158 32.371311, -107.671132 32.232659, -106.46428 32.07394, -106.212364 31.98454, -105.348235 31.695878)</t>
  </si>
  <si>
    <t>P2622</t>
  </si>
  <si>
    <t>Supply Header Project</t>
  </si>
  <si>
    <t>Atlantic Coast Gas Pipeline Expansion</t>
  </si>
  <si>
    <t>MULTILINESTRING ((-79.641385 40.462675, -79.592275 40.422856), (-80.667076 39.549867, -80.647526 39.551576, -80.608411 39.494469, -80.634891 39.434177, -80.640426 39.285861, -80.610736 39.22301, -80.560236 39.169599))</t>
  </si>
  <si>
    <t>P2625</t>
  </si>
  <si>
    <t>https://www.gem.wiki/Tioga_to_Emerson_Gas_Pipeline</t>
  </si>
  <si>
    <t>Tioga to Emerson Pipeline</t>
  </si>
  <si>
    <t>MDU Resources Group [unknown %]</t>
  </si>
  <si>
    <t>Bakken</t>
  </si>
  <si>
    <t>LINESTRING (-97.208086 49.005584, -97.208969 48.974948, -97.216738 48.947755, -97.232832 48.926112, -97.263909 48.90114, -97.308165 48.879358, -97.359864 48.858178, -97.39765 48.845645, -97.570669 48.802668, -97.587346 48.786212, -97.757037 48.770315, -97.806259 48.744653, -97.908991 48.73734, -98.008613 48.703727, -98.208156 48.706461, -98.774892 48.635175, -99.035244 48.617538, -99.383052 48.56216, -99.664308 48.543029, -100.401327 48.425728, -100.682161 48.427915, -101.421416 48.365926, -101.561075 48.372422, -101.626245 48.354288, -101.940476 48.38358, -102.156059 48.373101, -102.447357 48.400445, -102.91588 48.402099, -102.971522 48.40012, -103.033376 48.368439, -103.620391 48.347271, -103.957739 48.216027, -104.002908 48.153101, -104.023559 48.073133)</t>
  </si>
  <si>
    <t>P2626</t>
  </si>
  <si>
    <t>Trail West/N-MAX</t>
  </si>
  <si>
    <t>LINESTRING (-122.650361 45.19060953, -122.603796 45.14527578, -122.562645 45.11156735, -122.440143 45.10557766, -122.301464 45.1061641, -122.228667 45.09166637, -122.175753 45.06431123, -122.115055 45.04323564, -121.926283 45.04560125, -121.854646 45.04272195, -121.733547 45.00018202, -121.676035 44.96385291, -121.613942 44.92172571, -121.560523 44.88219485, -121.501616 44.82499218, -121.448593 44.78836993, -121.365579 44.74096635, -121.266486 44.70005927, -121.143413 44.67184869, -121.02004 44.63756058)</t>
  </si>
  <si>
    <t>P2627</t>
  </si>
  <si>
    <t>Mobile Bay Lateral Expansion</t>
  </si>
  <si>
    <t>P2628</t>
  </si>
  <si>
    <t>https://www.gem.wiki/TriState_Corridor_Gas_Pipeline</t>
  </si>
  <si>
    <t>TriState Corridor Gas Pipeline</t>
  </si>
  <si>
    <t>Equitrans Midstream Corporation [100.00%]</t>
  </si>
  <si>
    <t>Washington County</t>
  </si>
  <si>
    <t>Energy Solutions Consortium power plant</t>
  </si>
  <si>
    <t>Brook County</t>
  </si>
  <si>
    <t>LINESTRING (-80.355623 40.414967, -80.331874 40.38276, -80.38333 40.346148, -80.424015 40.352111, -80.468798 40.331608, -80.520534 40.341781)</t>
  </si>
  <si>
    <t>P2629</t>
  </si>
  <si>
    <t>West Phase</t>
  </si>
  <si>
    <t>LINESTRING (-79.938505 38.802986, -78.433383 39.221273)</t>
  </si>
  <si>
    <t>P2630</t>
  </si>
  <si>
    <t>West Loop Expansion Project</t>
  </si>
  <si>
    <t>LINESTRING (-80.68094331512344 40.644961505581904, -80.50653439285665 40.65293371337308)</t>
  </si>
  <si>
    <t>P2631</t>
  </si>
  <si>
    <t>Westbrook Xpress Project Phase 2</t>
  </si>
  <si>
    <t>P2635</t>
  </si>
  <si>
    <t>Wick Meter Station Expansion Project</t>
  </si>
  <si>
    <t>Marcellus</t>
  </si>
  <si>
    <t>P2636</t>
  </si>
  <si>
    <t>https://www.gem.wiki/Wildcat_Gas_Pipeline</t>
  </si>
  <si>
    <t>Wildcat Gas Pipeline</t>
  </si>
  <si>
    <t>Enable Midstream Partners, LP [unknown %]</t>
  </si>
  <si>
    <t>LINESTRING (-97.95651673 35.40593896, -96.99534352 33.95613269)</t>
  </si>
  <si>
    <t>P2637</t>
  </si>
  <si>
    <t>Willis Lateral Expansion Project</t>
  </si>
  <si>
    <t>Willis Power Plant</t>
  </si>
  <si>
    <t>LINESTRING (-95.523898 30.446178, -95.375725 30.433336, -95.226113 30.386552)</t>
  </si>
  <si>
    <t>P2640</t>
  </si>
  <si>
    <t>https://www.gem.wiki/Bear_Paw_Gas_Pipeline</t>
  </si>
  <si>
    <t>Bear Paw Gas Pipeline</t>
  </si>
  <si>
    <t>LNG Limited [100.00%]</t>
  </si>
  <si>
    <t>MULTILINESTRING ((-61.61481013 45.17796274, -61.63773886 45.19008342, -61.63917191 45.19614279, -61.65063627 45.2082596, -61.65636846 45.22340198, -61.65923455 45.25367464, -61.65206932 45.26275329, -61.63630582 45.2718305, -61.61051099 45.30106938, -61.58185008 45.32525569, -61.57468485 45.33432289, -61.56895267 45.35547405, -61.56465353 45.36252268, -61.55892135 45.36554326, -61.5574883 45.36755688, -61.55605526 45.38265679, -61.5574883 45.38466981, -61.5574883 45.38970204, -61.55462221 45.39574012, -61.55462221 45.40580216, -61.5574883 45.41485646, -61.55892135 45.42793233, -61.55892135 45.43497193, -61.54602394 45.45508023, -61.53742567 45.46312155, -61.52452825 45.46613674, -61.49730039 45.4651317, -61.47437166 45.48121031, -61.4600412 45.48623394, -61.44571074 45.48824326, -61.43567942 45.49326626, -61.42421506 45.49627985, -61.41131765 45.51134535, -61.40128633 45.51737043, -61.38982196 45.53443796, -61.37979064 45.53544177, -61.37405846 45.54246795, -61.34969668 45.55451079, -61.33106709 45.56554779, -61.328201 45.56655104, -61.29524095 45.55350732), (-61.5574883 45.4269266, -61.5417248 45.43999968, -61.53312653 45.44804314, -61.53169348 45.45407499, -61.52309521 45.45809586, -61.51592998 45.46613674), (-61.36975932 45.54447527, -61.36832628 45.5504968, -61.34969668 45.56053124, -61.33393318 45.56655104, -61.32963404 45.56554779))</t>
  </si>
  <si>
    <t>P2643</t>
  </si>
  <si>
    <t>https://www.gem.wiki/Delaware_Link_Gas_Pipeline</t>
  </si>
  <si>
    <t>Delaware Link Gas Pipeline</t>
  </si>
  <si>
    <t>EagleClaw Midstream [unknown %]</t>
  </si>
  <si>
    <t>LINESTRING (-103.68626037253358 31.363829364734546, -103.08241360137124 31.273273661158115)</t>
  </si>
  <si>
    <t>P2649</t>
  </si>
  <si>
    <t>https://www.gem.wiki/Columbia-to-Eastover_Gas_Pipeline</t>
  </si>
  <si>
    <t>Columbia-to-Eastover Gas Pipeline</t>
  </si>
  <si>
    <t>LINESTRING (-81.026795 33.869638, -80.923867 33.887983, -80.903435 33.931119, -80.845407 33.926514, -80.800962 33.90314, -80.759274 33.916058, -80.64076 33.890835)</t>
  </si>
  <si>
    <t>P2650</t>
  </si>
  <si>
    <t>https://www.gem.wiki/Energie_Saguenay_Gas_Pipeline</t>
  </si>
  <si>
    <t>Energíe Saguenay Gas Pipeline</t>
  </si>
  <si>
    <t>Gazoduq Project</t>
  </si>
  <si>
    <t>GNL Quebec [unknown %]</t>
  </si>
  <si>
    <t>Saguenay</t>
  </si>
  <si>
    <t>LINESTRING (-71.194286 48.258191, -71.28376 48.153838, -71.373233 48.135181, -71.52422 48.150107, -71.613693 48.179946, -71.731127 48.202314, -71.89889 48.232122, -72.089022 48.254467, -72.212048 48.295408, -72.307113 48.34375, -72.4581 48.351183, -72.59231 48.366046, -72.665007 48.414321, -72.754481 48.440296, -72.883099 48.455133, -72.961389 48.425455, -73.101191 48.46255, -73.274546 48.403185, -73.520598 48.32888, -73.772243 48.269359, -73.973558 48.224672, -74.208426 48.198587, -74.409741 48.194859, -74.616649 48.191131, -74.717307 48.191131, -74.974543 48.24702, -75.136714 48.302848, -75.293293 48.369761, -75.461056 48.403185, -75.584082 48.414321, -75.746253 48.373476, -75.84691 48.336315, -75.958752 48.325162, -76.05941 48.347466, -76.137699 48.366046, -76.322238 48.354899, -76.456449 48.34375, -76.517962 48.34375, -76.590659 48.403185, -76.685725 48.432876, -76.808751 48.46255, -76.898224 48.469966, -77.1275 48.499618, -77.278487 48.514438, -77.351184 48.510733, -77.440658 48.495913, -77.518947 48.510733, -77.71467 48.551468, -77.876841 48.569973, -77.955131 48.581073, -78.184406 48.606963, -78.268288 48.655009, -78.38013 48.677168, -78.827498 48.695627, -79.017629 48.71408, -79.20776 48.725148, -79.330786 48.739901, -79.437036 48.762024, -79.599207 48.773081, -79.68868 48.76571, -79.850851 48.776766, -80.013022 48.798872, -80.136048 48.817287, -80.197561 48.817287)</t>
  </si>
  <si>
    <t>P2651</t>
  </si>
  <si>
    <t>Wright Interconnect Expansion Project</t>
  </si>
  <si>
    <t>P2667</t>
  </si>
  <si>
    <t>https://www.gem.wiki/Uquo_to_Oron_Gas_Pipeline</t>
  </si>
  <si>
    <t>Uquo to Oron Pipeline</t>
  </si>
  <si>
    <t>Seven Energy [unknown %]</t>
  </si>
  <si>
    <t>Uquo</t>
  </si>
  <si>
    <t>Oron</t>
  </si>
  <si>
    <t>LINESTRING (8.061658008280281 4.661632284425573, 8.236527337827658 4.807390498402452)</t>
  </si>
  <si>
    <t>P2673</t>
  </si>
  <si>
    <t>https://www.gem.wiki/Waha-to-Presidio_Gas_Pipeline</t>
  </si>
  <si>
    <t>Waha-to-Presidio Gas Pipeline</t>
  </si>
  <si>
    <t>Comision Federal de Electricidad [unknown %]</t>
  </si>
  <si>
    <t>LINESTRING (-103.109637 31.232713, -103.201534 31.158242, -103.424019 30.872227, -103.443366 30.818244, -103.448202 30.597846, -103.477222 30.568699, -103.617485 30.506213, -103.656178 30.485375, -103.757748 30.481207, -103.810951 30.456194, -103.873827 30.452025, -103.946377 30.393635, -104.038273 30.381118, -104.130169 30.193177, -104.173699 30.126266, -104.294615 30.030003, -104.401021 29.67764, -104.37244679996806 29.5607114757933)</t>
  </si>
  <si>
    <t>P2698</t>
  </si>
  <si>
    <t>https://www.gem.wiki/Mubarek-Shurtan-Sheraban_Gas_Pipeline</t>
  </si>
  <si>
    <t>Shurtan-Sherabad Gas Pipeline</t>
  </si>
  <si>
    <t>Uzbekneftegaz [unknown %]</t>
  </si>
  <si>
    <t>Shurtan</t>
  </si>
  <si>
    <t>Sherabad</t>
  </si>
  <si>
    <t>Шуртан-Шерабад</t>
  </si>
  <si>
    <t>LINESTRING (65.810676 38.455913, 67.004219 37.672445)</t>
  </si>
  <si>
    <t>P2699</t>
  </si>
  <si>
    <t>https://www.gem.wiki/Block_B%E2%80%93O_Mon_Gas_Pipeline_System</t>
  </si>
  <si>
    <t>Block B–O Mon Gas Pipeline System</t>
  </si>
  <si>
    <t>Kim Long Pipeline</t>
  </si>
  <si>
    <t>Block B&amp;48/95 and Block 52/97</t>
  </si>
  <si>
    <t>Ca Mau</t>
  </si>
  <si>
    <t>LINESTRING (105.7464119008628 10.04111549284147, 105.62717745729192 9.789806429814751, 105.27313168850985 9.712578762089207, 105.50196337661224 9.283907634056602, 105.15293821208216 9.17349335106157, 105.130278911881 8.53506336992703)</t>
  </si>
  <si>
    <t>P2700</t>
  </si>
  <si>
    <t>https://www.gem.wiki/PM3_CAA_%E2%80%93_Ca_Mau_Gas_Pipeline_System</t>
  </si>
  <si>
    <t>PM3 CAA – Ca Mau Gas Pipeline System</t>
  </si>
  <si>
    <t>Blocks PM3 CAA &amp; 46-Cai Nuoc,</t>
  </si>
  <si>
    <t>LINESTRING (105.0627469 9.236883, 103.984 9.2368, 103.783754 7.001)</t>
  </si>
  <si>
    <t>P2701</t>
  </si>
  <si>
    <t>https://www.gem.wiki/Su_Tu_Vang-Rang_Dong%E2%80%93Bach_Ho-Long_Hai%E2%80%93Dinh_Co_Gas_Pipeline</t>
  </si>
  <si>
    <t>Su Tu Vang-Rang Dong–Bach Ho-Long Hai -Dinh Co Gas Pipeline</t>
  </si>
  <si>
    <t>Su Tu Vang Field</t>
  </si>
  <si>
    <t>Dinh Co</t>
  </si>
  <si>
    <t>Long Dien</t>
  </si>
  <si>
    <t>LINESTRING (107.65549938985569 9.43204457562563, 107.22009649806839 10.458434594892923)</t>
  </si>
  <si>
    <t>P2703</t>
  </si>
  <si>
    <t>https://www.gem.wiki/Achinsk-Abakan_Gas_Pipeline</t>
  </si>
  <si>
    <t>Achinsk-Abakan Gas Pipeline</t>
  </si>
  <si>
    <t>Achinsk</t>
  </si>
  <si>
    <t>Abakan</t>
  </si>
  <si>
    <t>Ачинск - Абакан</t>
  </si>
  <si>
    <t>LINESTRING (90.501165 56.233219, 91.407537 53.692395)</t>
  </si>
  <si>
    <t>P2705</t>
  </si>
  <si>
    <t>https://www.gem.wiki/Ust-Kamovskaya_-_Lesosibirsk_-_Achinsk_Gas_Pipeline</t>
  </si>
  <si>
    <t>Ust-Kamovskaya - Lesosibirsk - Achinsk Gas Pipeline</t>
  </si>
  <si>
    <t>Ust'-Kamovskoe oil &amp; gas field</t>
  </si>
  <si>
    <t>Ust-Kamovskaya field</t>
  </si>
  <si>
    <t>Усть-Камовское - Лесосибирск - Ачинск</t>
  </si>
  <si>
    <t>LINESTRING (97.055672 61.322778, 92.431034 58.217383, 90.499382 56.203508)</t>
  </si>
  <si>
    <t>P2706</t>
  </si>
  <si>
    <t>https://www.gem.wiki/Yakutsk-Aldan_Gas_Pipeline</t>
  </si>
  <si>
    <t>Yakutsk-Aldan Gas Pipeline</t>
  </si>
  <si>
    <t>Aldan</t>
  </si>
  <si>
    <t>Газопровод Якутск-Алдан</t>
  </si>
  <si>
    <t>LINESTRING (129.732449 62.045465, 125.381789 58.605179)</t>
  </si>
  <si>
    <t>P2707</t>
  </si>
  <si>
    <t>https://www.gem.wiki/Ukhta-Torzhok_3_Gas_Pipeline</t>
  </si>
  <si>
    <t>Ukhta-Torzhok 3 Gas Pipeline</t>
  </si>
  <si>
    <t>Газопровод Ухта - Торжок - 3 (III)</t>
  </si>
  <si>
    <t>P2708</t>
  </si>
  <si>
    <t>https://www.gem.wiki/Arc_de_Dierrey_Gas_Pipeline</t>
  </si>
  <si>
    <t>Arc de Dierrey Gas Pipeline</t>
  </si>
  <si>
    <t>Cuvilly</t>
  </si>
  <si>
    <t>Oise</t>
  </si>
  <si>
    <t>Voisines</t>
  </si>
  <si>
    <t>Haute Marne</t>
  </si>
  <si>
    <t>LINESTRING (2.704869 49.529702, 2.953407 49.15734, 3.454167 48.769967, 3.7999 48.3067, 3.8759 48.2867, 3.8956 48.2759, 4.0049 48.2564, 4.0316 48.2581, 4.0742 48.2563, 4.0955 48.2547, 4.1567 48.2441, 4.1619 48.2405, 4.1752 48.2334, 4.2125 48.1995, 4.2342 48.1925, 4.2659 48.1889, 4.3005 48.1889, 4.3191 48.1873, 4.452 48.1557, 4.5105 48.135, 4.5607 48.1205, 4.7301 48.0571, 4.7928 48.0525, 4.9778 48.0082, 5.0068 47.9883, 5.1139 47.9516, 5.14 47.9524)</t>
  </si>
  <si>
    <t>P2709</t>
  </si>
  <si>
    <t>https://www.gem.wiki/Hauts_de_France_II_Gas_Pipeline</t>
  </si>
  <si>
    <t>Hauts de France II Gas Pipeline</t>
  </si>
  <si>
    <t>36, 48</t>
  </si>
  <si>
    <t>MULTILINESTRING ((2.704 49.5309, 2.6956 49.6606, 2.6605 49.6834, 2.6354 49.6996, 2.6203 49.7516, 2.6002 49.8067, 2.56 49.8489, 2.555 49.8748, 2.5299 49.9201, 2.5248 49.975, 2.5148 50.0751, 2.5148 50.1234, 2.4947 50.1878, 2.4746 50.2135, 2.5198 50.2521, 2.5349 50.2842, 2.5299 50.3227, 2.5148 50.3387, 2.4495 50.3772, 2.4244 50.4124, 2.4194 50.4348, 2.4194 50.4923, 2.4194 50.5051, 2.4143 50.5466, 2.3741 50.6232, 2.3691 50.6773, 2.3792 50.6996, 2.3942 50.7282, 2.3591 50.7886, 2.334 50.8362, 2.3088 50.8933, 2.3156 50.9263), (2.3156 50.9263, 2.1947 51.0333))</t>
  </si>
  <si>
    <t>P2711</t>
  </si>
  <si>
    <t>https://www.gem.wiki/Cordillerano-Patag%C3%B3nico_Gas_Pipeline</t>
  </si>
  <si>
    <t>Cordillerano-Patagónico Gas Pipeline</t>
  </si>
  <si>
    <t>North</t>
  </si>
  <si>
    <t>Gasoducto Cordillerano</t>
  </si>
  <si>
    <t>8, 12</t>
  </si>
  <si>
    <t>Plaza Huincul</t>
  </si>
  <si>
    <t>Neuquén</t>
  </si>
  <si>
    <t>Esquel</t>
  </si>
  <si>
    <t>Chubut</t>
  </si>
  <si>
    <t>Gasoducto Cordillerano-Patagónico</t>
  </si>
  <si>
    <t>https://www.gem.wiki/Gasoducto_Cordillerano-Patag%C3%B3nico</t>
  </si>
  <si>
    <t>LINESTRING (-68.838019 -38.748928, -69.371759 -39.577367, -70.096198 -40.052225, -70.638059 -40.56419, -71.318954 -42.912318)</t>
  </si>
  <si>
    <t>P2712</t>
  </si>
  <si>
    <t>South</t>
  </si>
  <si>
    <t>Gasoducto Patagónico</t>
  </si>
  <si>
    <t>10, 12</t>
  </si>
  <si>
    <t>Comodoro Rivadavia</t>
  </si>
  <si>
    <t>LINESTRING (-71.318954 -42.912318, -70.598518 -44.048521, -70.251178 -45.685625, -68.308205 -45.730365, -67.662218 -45.558399)</t>
  </si>
  <si>
    <t>P2713</t>
  </si>
  <si>
    <t>Argentina, Brazil</t>
  </si>
  <si>
    <t>https://www.gem.wiki/N%C3%A9stor_Kirchner_Gas_Pipeline</t>
  </si>
  <si>
    <t>Néstor Kirchner Gas Pipeline</t>
  </si>
  <si>
    <t>Brazil extension</t>
  </si>
  <si>
    <t>Gasoducto AF–CFK</t>
  </si>
  <si>
    <t>San Jerónimo</t>
  </si>
  <si>
    <t>Argentina-Brazil border</t>
  </si>
  <si>
    <t>Gasoducto Néstor Kirchner</t>
  </si>
  <si>
    <t>https://www.gem.wiki/Gasoducto_N%C3%A9stor_Kirchner</t>
  </si>
  <si>
    <t>LINESTRING (-61.07707 -32.86922, -57.67845474657246 -30.12918243213569, -57.242035 -29.794787)</t>
  </si>
  <si>
    <t>P2714</t>
  </si>
  <si>
    <t>Paraguay</t>
  </si>
  <si>
    <t>Bolivia, Paraguay</t>
  </si>
  <si>
    <t>https://www.gem.wiki/Bolivia%E2%80%93Paraguay_Gas_Pipeline</t>
  </si>
  <si>
    <t>Bolivia–Paraguay Gas Pipeline</t>
  </si>
  <si>
    <t>Petróleos Paraguayos [unknown %]; YPFB [unknown %]</t>
  </si>
  <si>
    <t>Villa Montes</t>
  </si>
  <si>
    <t>Asunción</t>
  </si>
  <si>
    <t>Capital district</t>
  </si>
  <si>
    <t>Gasoducto Bolivia–Paraguay</t>
  </si>
  <si>
    <t>https://www.gem.wiki/Gasoducto_Bolivia%E2%80%93Paraguay</t>
  </si>
  <si>
    <t>LINESTRING (-63.475377 -21.266898, -60.599866 -22.030071, -57.579276 -25.276954)</t>
  </si>
  <si>
    <t>P2715</t>
  </si>
  <si>
    <t>Bolivia, Peru</t>
  </si>
  <si>
    <t>https://www.gem.wiki/Bolivia%E2%80%93Peru_Gas_Pipeline</t>
  </si>
  <si>
    <t>Bolivia–Peru Gas Pipeline</t>
  </si>
  <si>
    <t>Bolivia–Ilo Gas Pipeline, Gasoducto Bolivia–Ilo</t>
  </si>
  <si>
    <t>YPFB [unknown %]</t>
  </si>
  <si>
    <t>Tarija gas fields, Bolivia</t>
  </si>
  <si>
    <t>Río Grande</t>
  </si>
  <si>
    <t>Ilo</t>
  </si>
  <si>
    <t>Moquegua</t>
  </si>
  <si>
    <t>Gasoducto Bolivia–Perú</t>
  </si>
  <si>
    <t>https://www.gem.wiki/Gasoducto_Bolivia-Per%C3%BA</t>
  </si>
  <si>
    <t>LINESTRING (-62.908466 -18.193691, -69.47100395339923 -17.440260680712385, -71.1892805 -17.7759701, -71.347902 -17.647268)</t>
  </si>
  <si>
    <t>P2716</t>
  </si>
  <si>
    <t>https://www.gem.wiki/Urucu-Manaus_Gas_Pipeline</t>
  </si>
  <si>
    <t>Urucu-Manaus Gas Pipeline</t>
  </si>
  <si>
    <t>Urucu-Juruá Expansion Project</t>
  </si>
  <si>
    <t>Engie [65.00%]; Caisse de dépôt et placement du Québec [35.00%]</t>
  </si>
  <si>
    <t>Urucu</t>
  </si>
  <si>
    <t>Juruá</t>
  </si>
  <si>
    <t>Gasoduto Urucu-Manaus</t>
  </si>
  <si>
    <t>Projeto de Expansão de Urucu a Juruá</t>
  </si>
  <si>
    <t>https://www.gem.wiki/Gasoduto_Urucu-Manaus</t>
  </si>
  <si>
    <t>LINESTRING (-65.298491 -4.86503, -66.520951 -4.293406)</t>
  </si>
  <si>
    <t>P2717</t>
  </si>
  <si>
    <t>https://www.gem.wiki/Central_Brazil_Gas_Pipeline</t>
  </si>
  <si>
    <t>Central Brazil Gas Pipeline</t>
  </si>
  <si>
    <t>São Carlos-Brasília Gas Pipeline</t>
  </si>
  <si>
    <t>TGBC (Transportadora de Gás Brasil Central) [unknown %]</t>
  </si>
  <si>
    <t>São Carlos</t>
  </si>
  <si>
    <t>Ceilândia</t>
  </si>
  <si>
    <t>Distrito Federal</t>
  </si>
  <si>
    <t>Gasoduto do Brasil Central</t>
  </si>
  <si>
    <t>https://www.gem.wiki/Gasoduto_do_Brasil_Central</t>
  </si>
  <si>
    <t>LINESTRING (-47.945259 -22.062153, -47.809566 -21.173532, -47.94889 -19.73376, -48.278953 -18.916715, -49.203298 -18.40049, -49.234928 -16.699446, -48.952215 -16.326391, -48.150611 -15.835326)</t>
  </si>
  <si>
    <t>P2718</t>
  </si>
  <si>
    <t>Urucu-Porto Velho Expansion Project</t>
  </si>
  <si>
    <t>Porto Velho</t>
  </si>
  <si>
    <t>Rondônia</t>
  </si>
  <si>
    <t>Projeto de Expansão de Urucu a Porto Velho</t>
  </si>
  <si>
    <t>LINESTRING (-65.298491 -4.86503, -64.394636 -5.754978, -63.958977 -7.31801, -63.8153 -8.7948)</t>
  </si>
  <si>
    <t>P2719</t>
  </si>
  <si>
    <t>Türkiye, Azerbaijan</t>
  </si>
  <si>
    <t>https://www.gem.wiki/I%C4%9Fd%C4%B1r-Nakhchivan_Gas_Pipeline</t>
  </si>
  <si>
    <t>Iğdır-Nakhchivan Gas Pipeline</t>
  </si>
  <si>
    <t>Botaş [unknown %]; SOCAR [unknown %]</t>
  </si>
  <si>
    <t>BOTAŞ [unknown %]; SOCAR [unknown %]</t>
  </si>
  <si>
    <t>Iğdır</t>
  </si>
  <si>
    <t>Sadarak</t>
  </si>
  <si>
    <t>Nakhchivan</t>
  </si>
  <si>
    <t>LINESTRING (45.422161 39.189797, 44.916058 39.600136, 44.881215 39.627512, 44.875071 39.629612, 44.866361 39.629456, 44.859206 39.627901, 44.85135 39.628756, 44.845051 39.631945, 44.840384 39.635833, 44.630941 39.792236, 44.618808 39.800013, 44.603876 39.801879, 44.584899 39.802191, 44.042004 39.905628)</t>
  </si>
  <si>
    <t>P2720</t>
  </si>
  <si>
    <t>https://www.gem.wiki/Delaware_Basin_Gas_Pipeline</t>
  </si>
  <si>
    <t>Delaware Basin Gas Pipeline</t>
  </si>
  <si>
    <t>Medallion Midstream LLC [100.00%]</t>
  </si>
  <si>
    <t>MULTILINESTRING ((-103.70369 31.700998, -103.698841 31.714552, -103.698148 31.721623, -103.676675 31.734585, -103.656587 31.755202, -103.660743 31.760503), (-103.67806 31.690389, -103.664206 31.698051, -103.658665 31.696283), (-103.824912 31.927032, -103.83461 31.907629), (-103.856776 31.896456, -103.829761 31.896456), (-104.019561 31.737531, -104.011941 31.772871, -104.005014 31.780526, -104.008477 31.792891, -103.989775 31.804666, -103.989082 31.832918, -103.955832 31.831741, -103.928817 31.852926, -103.917734 31.852926, -103.840844 31.907629, -103.802746 31.908217, -103.803439 31.869987, -103.808288 31.856456, -103.803439 31.845865, -103.803439 31.788181, -103.789585 31.774638, -103.784043 31.771104, -103.773653 31.764626, -103.757721 31.747545, -103.716851 31.694515, -103.704383 31.701588, -103.682909 31.693926, -103.673904 31.687442, -103.66767 31.6786, -103.666977 31.671526, -103.671133 31.664451))</t>
  </si>
  <si>
    <t>P2721</t>
  </si>
  <si>
    <t>https://www.gem.wiki/O%C5%9Bwi%C4%99cim-Tworzen_Gas_Pipeline</t>
  </si>
  <si>
    <t>Oświęcim-Tworzen Gas Pipeline</t>
  </si>
  <si>
    <t>Tworzen</t>
  </si>
  <si>
    <t>LINESTRING (19.401168823242188 50.29942840644836, 19.412155151367188 50.27134893463313, 19.394989013671875 50.22832013317075, 19.378509521484375 50.17601863166723, 19.35791015625 50.14434619645057, 19.281692504882812 50.13862532575246, 19.284095764160156 50.10318469735349, 19.253196716308594 50.09988143925776, 19.217748641967773 50.03867494711694)</t>
  </si>
  <si>
    <t>P2726</t>
  </si>
  <si>
    <t>https://www.gem.wiki/One%C8%99ti-Gheraesti-Letcani_Gas_Pipeline</t>
  </si>
  <si>
    <t>Onești-Gheraesti-Letcani</t>
  </si>
  <si>
    <t>Onești</t>
  </si>
  <si>
    <t>Letcani</t>
  </si>
  <si>
    <t>LINESTRING (26.768 46.2658, 26.742 46.3582, 26.748 46.4369, 26.782 46.5126, 26.783 46.617, 26.676 46.7358, 26.671 46.7881, 26.69 46.838, 26.695 47.0755, 27.087 47.2418, 27.426 47.2093)</t>
  </si>
  <si>
    <t>P2727</t>
  </si>
  <si>
    <t>https://www.gem.wiki/Gheraesti-Siret_Gas_Pipeline</t>
  </si>
  <si>
    <t>Gheraesti-Siret</t>
  </si>
  <si>
    <t>Gheraesti</t>
  </si>
  <si>
    <t>LINESTRING (26.07196 47.98481, 26.09906 47.97771, 26.2317 47.9573, 26.2745 47.9224, 26.3488 47.91, 26.3511 47.8593, 26.3567 47.8042, 26.3612 47.7546, 26.3173 47.7141, 26.2756 47.6679, 26.2339 47.5958, 26.2565 47.5147, 26.288 47.4686, 26.3443 47.428, 26.3882 47.392, 26.4445 47.3481, 26.4907 47.3132, 26.538 47.2726, 26.5898 47.2332, 26.6393 47.1961, 26.7474 47.0977)</t>
  </si>
  <si>
    <t>P2728</t>
  </si>
  <si>
    <t>https://www.gem.wiki/Sealine_Tirrenica_gas_pipeline</t>
  </si>
  <si>
    <t>Sealine Tirrenica gas pipeline</t>
  </si>
  <si>
    <t>Additional Southern developments - Section 1</t>
  </si>
  <si>
    <t>Millazo</t>
  </si>
  <si>
    <t>Montesano sulla Marcellana</t>
  </si>
  <si>
    <t>LINESTRING (15.6673 40.282, 15.5894 40.269, 15.5267 40.257, 15.5169 40.249, 15.5143 40.181, 15.5078 40.111, 15.5119 40.045, 15.5242 39.971, 15.5269 39.9, 15.5282 39.866, 15.5459 39.839, 15.569 39.793, 15.5826 39.772, 15.5989 39.708, 15.6125 39.633, 15.638 39.417, 15.6489 39.343, 15.6544 39.289, 15.6544 39.213, 15.6517 39.142, 15.6462 39.063, 15.6325 38.993, 15.6051 38.918, 15.5449 38.812, 15.5217 38.789, 15.4137 38.695, 15.3621 38.642, 15.3508 38.629, 15.3088 38.574, 15.2733 38.505, 15.2427 38.437, 15.2249 38.374, 15.2233 38.316, 15.2411 38.26)</t>
  </si>
  <si>
    <t>P2729</t>
  </si>
  <si>
    <t>Onesti-Nadlac Gas Pipeline</t>
  </si>
  <si>
    <t>Onesti</t>
  </si>
  <si>
    <t>Nadlac</t>
  </si>
  <si>
    <t>LINESTRING (20.7572 46.1646, 21.3206 46.2885, 21.3879 46.2913, 21.4602 46.2942, 21.4968 46.2906, 21.4703 46.2111, 21.466 46.166, 21.4509 46.1109, 21.4545 46.0858, 21.5723 45.9845, 21.605 45.948, 21.6289 45.8989, 21.7448 45.8384, 21.9223 45.7415, 21.979 45.71, 22.1565 45.6143, 22.2106 45.5992, 22.4423 45.6181, 22.5153 45.6294, 22.5758 45.6445, 22.7936 45.6735, 22.8025 45.7357, 22.8051 45.7876, 22.8051 45.8394, 22.8103 45.8913, 22.8699 45.9198, 22.9348 45.9457, 23.0022 45.9742, 23.067 46.0079, 23.1292 46.0339, 23.194 46.0572, 23.2588 46.0831, 23.3236 46.1142, 23.3807 46.1453, 23.417 46.1972, 23.7773 46.3139, 23.8499 46.3242, 23.9251 46.3398, 24.0003 46.3294, 24.0599 46.3009, 24.1351 46.2776, 24.1896 46.249, 24.2751 46.2516, 24.3425 46.2542, 24.4255 46.249, 24.5007 46.2464, 24.5733 46.2464, 24.6536 46.2464, 24.7262 46.2464, 24.8066 46.2439, 24.8896 46.2464, 24.9544 46.2464, 25.0253 46.2344, 25.0927 46.2113, 25.1602 46.1847, 25.2223 46.1599, 25.2951 46.135, 25.3625 46.1137, 25.4335 46.0871, 25.5045 46.0605, 25.5612 46.0374, 25.6322 46.0126, 25.705 46.0126, 25.7831 46.009, 25.8612 46.0108, 25.9357 46.0108, 26.0315 46.0126, 26.0919 46.0143, 26.1664 46.0143, 26.2374 46.0143, 26.3155 46.0126, 26.3936 46.0126, 26.4397 46.0427, 26.4929 46.0889, 26.532 46.1279, 26.5976 46.1616, 26.6686 46.1812, 26.7684 46.2658)</t>
  </si>
  <si>
    <t>P2730</t>
  </si>
  <si>
    <t>https://www.gem.wiki/UK-Ireland_Interconnector_2</t>
  </si>
  <si>
    <t>UK-Ireland Interconnector 2</t>
  </si>
  <si>
    <t>Interconnector 2, Second Interconnector, IC@</t>
  </si>
  <si>
    <t>Gas Networks Ireland [100.00%]</t>
  </si>
  <si>
    <t>Ervia [100.00%]</t>
  </si>
  <si>
    <t>Gormanston</t>
  </si>
  <si>
    <t>MULTILINESTRING ((-6.221772 53.643492, -6.17936 53.65885, -6.16031 53.666, -6.09596 53.69456, -6.09319 53.69581, -6.08945 53.6978, -6.08605 53.699, -6.08323 53.70021, -5.87635 53.79154, -5.86514 53.79705, -5.85142 53.80251, -5.70347 53.86731, -5.61841 53.90437, -5.60209 53.9108, -5.58577 53.9186, -5.39837 53.99974, -5.39223 54.00208, -5.37563 54.00703, -5.37033 54.00899, -5.36539 54.01154, -5.35288 54.01904, -5.34822 54.02135, -5.22662 54.07358, -5.19276 54.08744, -5.18989 54.08879, -5.1623 54.10511, -5.14188 54.11674, -4.95519 54.22243, -4.78049 54.32053, -4.76236 54.33064, -4.75357 54.33499, -4.72243 54.35237, -4.70793 54.36106, -4.68558 54.37341, -4.66467 54.38522, -4.66041 54.38817, -4.60476 54.43334, -4.5938 54.4404, -4.58274 54.44871, -4.56437 54.45949, -4.55974 54.46174, -4.55428 54.46394, -4.55065 54.46515, -4.54656 54.46623, -4.54142 54.46721, -4.52419 54.46927, -4.51685 54.47033, -4.5116 54.47135, -4.50821 54.47219, -4.50091 54.47451, -4.49537 54.47679, -4.49069 54.479, -4.47162 54.49, -4.45434 54.49724, -4.4506 54.49911, -4.44855 54.50032, -4.44417 54.50357, -4.44248 54.50518, -4.44079 54.50709, -4.43947 54.50891, -4.43842 54.5107, -4.43501 54.51891, -4.43317 54.52196, -4.43158 54.52401, -4.42953 54.52612, -4.4279 54.52754, -4.42478 54.52977, -4.39968 54.54465, -4.37536 54.56165, -4.34704 54.57759, -4.33059 54.58952, -4.30497 54.60857, -4.29687 54.61437, -4.29171 54.61711, -4.28219 54.62127, -4.2771 54.62415, -4.18136 54.68746, -4.16442 54.69796, -4.15525 54.70465, -4.09803 54.74229, -4.09586 54.74382, -4.08837 54.74967, -4.08397 54.75349, -4.07995 54.75668, -4.07856 54.75808, -4.07762 54.75931, -4.07658 54.76128, -4.07608 54.76269, -4.07584 54.76457, -4.07615 54.76672, -4.07651 54.76777, -4.096605 54.781068), (-4.74135 54.34189, -4.72527 54.33206, -4.69027 54.31016, -4.68396 54.30657, -4.6712 54.30065, -4.64638 54.28953, -4.6079 54.27277))</t>
  </si>
  <si>
    <t>P2732</t>
  </si>
  <si>
    <t>https://www.gem.wiki/Cantahede-Monforte_pipeline</t>
  </si>
  <si>
    <t>Cantahede-Monforte pipeline</t>
  </si>
  <si>
    <t>Monforte</t>
  </si>
  <si>
    <t>MULTILINESTRING ((-8.4825 40.3809, -8.4603 40.3819, -8.4311 40.3876, -8.4143 40.3917, -8.402 40.3936, -8.3819 40.3973, -8.3541 40.3999, -8.3256 40.4024, -8.3025 40.4048, -8.2814 40.4055, -8.2529 40.4072, -8.2042 40.4094, -8.1735 40.4128, -8.1477 40.4202, -8.1174 40.4381, -8.0964 40.4572, -8.0749 40.4784, -8.067 40.486, -8.0398 40.5105, -8.0216 40.5225, -8.0059 40.5323, -7.9935 40.5391, -7.9787 40.5459, -7.963 40.5527, -7.9488 40.5558, -7.9069 40.6107), (-7.2779 40.5215, -7.2804 40.5643, -7.2818 40.5881, -7.2899 40.6105, -7.2986 40.6231, -7.3106 40.6346, -7.3271 40.6346, -7.3826 40.6318, -7.4098 40.6327, -7.4171 40.6332, -7.4284 40.6221, -7.4402 40.6104, -7.4683 40.5899, -7.4906 40.5758, -7.5164 40.5647, -7.5322 40.5577, -7.5445 40.5541, -7.5726 40.5442, -7.5973 40.5395, -7.6365 40.5366, -7.6582 40.5371, -7.6781 40.5377, -7.6846 40.5383, -7.7051 40.5407, -7.7409 40.5442, -7.7708 40.5494, -7.7954 40.553, -7.82 40.5565, -7.8358 40.5565, -7.8739 40.5594, -7.9044 40.5618, -7.9331 40.56, -7.949 40.5565), (-7.2772 40.5215, -7.2865 40.5085, -7.3114 40.4688, -7.329 40.4448, -7.3548 40.4152, -7.3761 40.3903, -7.3862 40.3801, -7.4389 40.3358, -7.4666 40.3081, -7.486 40.2841, -7.4924 40.2684, -7.4943 40.2508, -7.4897 40.2268, -7.4804 40.1954, -7.4693 40.1732, -7.4536 40.1372, -7.4426 40.1058, -7.4342 40.0827, -7.4306 40.0587, -7.4259 40.031, -7.4222 40.0098, -7.4179 39.9763, -7.4205 39.9467, -7.4307 39.8824, -7.4539 39.8284, -7.4693 39.8104, -7.5233 39.7589, -7.5658 39.7203, -7.6018 39.6818, -7.6224 39.6548, -7.6288 39.6445, -7.6352 39.6187, -7.6352 39.584, -7.6262 39.5493, -7.6185 39.5171, -7.5992 39.4786, -7.5825 39.4426, -7.5761 39.4348, -7.5581 39.3924, -7.5298 39.3422, -7.5118 39.3075, -7.5053 39.2805, -7.4947 39.2646, -7.4904 39.2473, -7.4774 39.1917, -7.4695 39.1614, -7.4673 39.1469, -7.465 39.1394))</t>
  </si>
  <si>
    <t>P2733</t>
  </si>
  <si>
    <t>Hillabee Expansion Project, Phase 1</t>
  </si>
  <si>
    <t>MULTILINESTRING ((-85.816087 33.032921, -85.943343 32.987481), (-86.721457 32.668055, -86.791926 32.634568), (-86.1724 32.897628, -86.215062 32.879434), (-86.32862 32.83385, -86.419358 32.799553))</t>
  </si>
  <si>
    <t>P2734</t>
  </si>
  <si>
    <t>Northern Lights 2017 Expansion Project</t>
  </si>
  <si>
    <t>MULTILINESTRING ((-93.27018 45.602069, -93.325346 45.593399), (-93.539385 45.513003, -93.540059 45.483692))</t>
  </si>
  <si>
    <t>P2737</t>
  </si>
  <si>
    <t>https://www.gem.wiki/Delta_Express_Gas_Pipeline</t>
  </si>
  <si>
    <t>Delta Express Gas Pipeline</t>
  </si>
  <si>
    <t>Alto</t>
  </si>
  <si>
    <t>Plaquemines Parish</t>
  </si>
  <si>
    <t>LINESTRING (-91.857528 32.3744, -91.771829 32.254121, -91.747127 32.107598, -91.687698 32.047078, -91.679493 31.905083, -91.64581 31.85556, -91.631596 31.789329, -91.6553 31.753842, -91.661323 31.660245, -91.70087 31.563821, -91.692912 31.36358, -91.802343 31.255627, -91.789841 31.056314, -91.843645 30.96537, -91.827565 30.793216, -91.785404 30.749241, -91.767023 30.700645, -91.519734 30.57124, -91.480566 30.473866, -91.490865 30.44712, -91.440359 30.390694, -91.435734 30.361895, -91.267719 30.233158, -91.236114 30.148088, -91.138604 30.136307, -91.028039 30.066627, -91.008277 29.956117, -90.919185 29.843734, -90.800091 29.81734, -90.724849 29.755611, -90.59859 29.735723, -90.45826 29.642386, -90.269904 29.605103, -90.171438 29.566497, -89.925865 29.580656)</t>
  </si>
  <si>
    <t>P2738</t>
  </si>
  <si>
    <t>South Alabama Project</t>
  </si>
  <si>
    <t>LINESTRING (-88.759749 30.955157, -88.592065 30.980112, -88.396904 31.035111, -87.815647 31.068282, -87.277115 30.941865)</t>
  </si>
  <si>
    <t>P2743</t>
  </si>
  <si>
    <t>https://www.gem.wiki/Trail_West_Pipeline</t>
  </si>
  <si>
    <t>Trail West Pipeline</t>
  </si>
  <si>
    <t>LINESTRING (-122.650362 45.19061, -122.562646 45.111567, -122.301464 45.106164, -122.115056 45.043236, -121.854646 45.042722, -121.733548 45.000182, -121.365579 44.740966, -121.266486 44.700059, -121.02004 44.637561)</t>
  </si>
  <si>
    <t>P2744</t>
  </si>
  <si>
    <t>https://www.gem.wiki/Malmoe%E2%80%93Stenungsund_Gas_Pipeline</t>
  </si>
  <si>
    <t>Malmoe–Stenungsund Gas Pipeline</t>
  </si>
  <si>
    <t>Swedegas [100.00%]</t>
  </si>
  <si>
    <t>Malmoe</t>
  </si>
  <si>
    <t>MULTILINESTRING ((13.008 55.6, 13.19 55.7), (13.19 55.7, 12.833 55.87), (12.833 55.87, 12.69 56.045707), (12.69 56.045707, 12.556 56.2), (12.556 56.2, 12.86 56.24), (12.86 56.24, 13.046 56.505), (13.046 56.505, 12.86 56.67), (12.86 56.67, 12.5 56.9), (12.5 56.9, 12.25 57.1), (12.25 57.1, 11.96 57.709), (11.96 57.709, 11.83 58.06))</t>
  </si>
  <si>
    <t>P2745</t>
  </si>
  <si>
    <t>https://www.gem.wiki/Halmstad-Gilaved_Gas_Pipeline</t>
  </si>
  <si>
    <t>Halmstad-Gilaved Gas Pipeline</t>
  </si>
  <si>
    <t>Gislaved</t>
  </si>
  <si>
    <t>MULTILINESTRING ((12.86 56.67, 13.26 56.97), (13.26 56.97, 13.54 57.29))</t>
  </si>
  <si>
    <t>P2746</t>
  </si>
  <si>
    <t>https://www.gem.wiki/Kochi-Koottanad-Bangalore-Mangalore_Gas_Pipeline</t>
  </si>
  <si>
    <t>Kochi-Koottanad-Bangalore-Mangalore Gas Pipeline</t>
  </si>
  <si>
    <t>KKBMPL</t>
  </si>
  <si>
    <t>Koottanad</t>
  </si>
  <si>
    <t>LINESTRING (75.93972285 10.98568191, 76.00247336 10.97413158, 76.04561433 10.95102955, 76.12013055 10.89711781, 76.27700681 10.88941534, 76.35152304 10.86245511, 76.57899361 10.86245511, 76.64174412 10.88171267, 76.78293275 10.88941534, 76.97902808 11.0395775, 77.08884146 11.05112527, 77.21042057 11.0819171, 77.27709298 11.0973118, 77.36337492 11.15888247, 77.43396924 11.15888247, 77.47711021 11.20505192, 77.67320554 11.28967675, 77.75164367 11.35505158, 77.84184752 11.405034, 77.93989518 11.4626951, 78.03794284 11.5472434, 78.12030288 11.60103362, 78.1320686 11.68169948, 78.21835054 11.80841265, 78.23011626 11.87750428, 78.23796007 11.92355563, 78.24580389 12.14602652, 78.24580389 12.1805313, 78.27717914 12.27252208, 78.28110105 12.4142782, 78.27325723 12.48704195, 78.23796007 12.52915898, 78.10853716 12.64016178, 78.03794284 12.68990603, 77.94773899 12.72816422, 77.8928323 12.73581516, 77.63006456 12.88878543)</t>
  </si>
  <si>
    <t>P2747</t>
  </si>
  <si>
    <t>Romania, Moldova</t>
  </si>
  <si>
    <t>Ungheni-Chișinău gas pipeline</t>
  </si>
  <si>
    <t>Chisinau</t>
  </si>
  <si>
    <t>LINESTRING (27.786210206632678 47.19999477334095, 28.8471856672579 47.00914825922446)</t>
  </si>
  <si>
    <t>P2748</t>
  </si>
  <si>
    <t>https://www.gem.wiki/Langtala-Pachpadra_Gas_Pipeline</t>
  </si>
  <si>
    <t>Langtala-Pachpadra Gas Pipeline</t>
  </si>
  <si>
    <t>GIGL [100.00%]</t>
  </si>
  <si>
    <t>Jaisalmer</t>
  </si>
  <si>
    <t>Pachpadra</t>
  </si>
  <si>
    <t>Barmer</t>
  </si>
  <si>
    <t>LINESTRING (69.77 27.144, 70.279 27.018, 70.508 26.985, 70.836 26.858, 70.949 26.783, 71.133 26.698, 71.309 26.562, 71.427 26.435, 71.527 26.401, 71.672 26.395, 71.715 26.38, 71.747 26.371, 71.807 26.313, 71.906 26.265, 71.935 26.212, 72.121 26.141, 72.194 26.006, 72.225 25.958)</t>
  </si>
  <si>
    <t>P2749</t>
  </si>
  <si>
    <t>https://www.gem.wiki/Midia_Gas_Pipeline</t>
  </si>
  <si>
    <t>Midia Gas Pipeline</t>
  </si>
  <si>
    <t>Black Sea Oil &amp; Gas [130.00%]; Petro Ventures Resources [20.00%]; Gas Plus International [15.00%]</t>
  </si>
  <si>
    <t>Petro Ventures Resources [20.00%]; Gas Plus Group [15.00%]; Carlyle Group [unknown %]; European Bank for Reconstruction and Development [unknown %]</t>
  </si>
  <si>
    <t>Ana and Daina fields</t>
  </si>
  <si>
    <t>LINESTRING (30.3 44.1666, 30.1333 44, 29.5 44.5, 28.6648 44.3788)</t>
  </si>
  <si>
    <t>P2751</t>
  </si>
  <si>
    <t>https://www.gem.wiki/Sajaa%E2%80%93Jebel_Dhana_Gas_Pipeline</t>
  </si>
  <si>
    <t>P2752</t>
  </si>
  <si>
    <t>https://www.gem.wiki/Kondalapalli-Tirupati_Gas_Pipeline</t>
  </si>
  <si>
    <t>Kondalapalli-Tirupati Gas Pipeline</t>
  </si>
  <si>
    <t>Kondalapalli</t>
  </si>
  <si>
    <t>Vijayawada</t>
  </si>
  <si>
    <t>Tirupati</t>
  </si>
  <si>
    <t>LINESTRING (80.538643 16.609682, 80.0154 16.2330324, 79.726256 16.0541867, 79.595354 15.6024918, 79.721174 14.3830555, 79.28471 13.6276132)</t>
  </si>
  <si>
    <t>P2755</t>
  </si>
  <si>
    <t>https://gem.wiki/Alessandria–Cortemaggiore_Gas_Pipeline</t>
  </si>
  <si>
    <t>Alessandria–Cortemaggiore Gas Pipeline</t>
  </si>
  <si>
    <t>Alessandria_Cortemaggiore</t>
  </si>
  <si>
    <t>Cortemaggiore</t>
  </si>
  <si>
    <t>Alessandria</t>
  </si>
  <si>
    <t>LINESTRING (8.604493 44.848314, 8.646879 44.886084, 8.70385 44.939171, 8.760821 44.94766, 8.823789 44.949782, 8.877012 44.987437, 8.947477 45.021888, 8.9992 45.022948, 9.041179 45.018709, 9.128884 45.030365, 9.205346 45.061084, 9.288553 45.084907, 9.379257 45.070085, 9.518687 45.018179, 9.605642 44.990618, 9.707591 44.982135, 9.758565 44.973651, 9.845521 44.973651, 9.917407 44.985031)</t>
  </si>
  <si>
    <t>P2757</t>
  </si>
  <si>
    <t>https://gem.wiki/Altamura–Candela_Gas_Pipeline</t>
  </si>
  <si>
    <t>Altamura–Candela Gas Pipeline</t>
  </si>
  <si>
    <t>Altamura_Candela</t>
  </si>
  <si>
    <t>Candela</t>
  </si>
  <si>
    <t>Altamura</t>
  </si>
  <si>
    <t>LINESTRING (15.524902 41.156967, 15.651586 41.095157, 15.71205 41.07237, 15.749479 41.048489, 16.305164 40.844065, 16.411694 40.798309, 16.537319 40.773678)</t>
  </si>
  <si>
    <t>P2758</t>
  </si>
  <si>
    <t>https://gem.wiki/Altamura–Latiano_Gas_Pipeline</t>
  </si>
  <si>
    <t>Altamura–Latiano Gas Pipeline</t>
  </si>
  <si>
    <t>Altramura-Sannicandrio</t>
  </si>
  <si>
    <t>Altamura_Latiano</t>
  </si>
  <si>
    <t>Latiano</t>
  </si>
  <si>
    <t>LINESTRING (16.537319 40.773678, 16.601301 40.785306, 16.660165 40.816304, 16.780451 40.870514, 16.795807 40.920813, 16.808603 40.984599, 16.818841 41.011641)</t>
  </si>
  <si>
    <t>P2759</t>
  </si>
  <si>
    <t>https://gem.wiki/Altamura–MonteAlpi_Gas_Pipeline</t>
  </si>
  <si>
    <t>Altamura–Ferrandina Gas Pipeline</t>
  </si>
  <si>
    <t>Altamura_MonteAlpi</t>
  </si>
  <si>
    <t>LINESTRING (16.372269 40.578194, 16.374518 40.631123, 16.392509 40.644775, 16.410499 40.673777, 16.459974 40.682304, 16.466721 40.731742, 16.504952 40.755596, 16.537319 40.773678)</t>
  </si>
  <si>
    <t>P2760</t>
  </si>
  <si>
    <t>https://gem.wiki/Altamura–Palagiano_Gas_Pipeline</t>
  </si>
  <si>
    <t>Biccari–Massafra Gas Pipeline</t>
  </si>
  <si>
    <t>Biccari</t>
  </si>
  <si>
    <t>LINESTRING (15.216828 41.403627, 15.271312 41.384592, 15.27075 41.358011, 15.283049 41.33016, 15.339194 41.309617, 15.42269 41.250115, 15.524902 41.156967, 15.651586 41.095157, 15.71205 41.07237, 15.749479 41.048489, 16.305164 40.844065, 16.411694 40.798309, 16.537319 40.773678, 16.618996 40.739434, 16.878124 40.67614, 16.950104 40.614971, 17.042238 40.59967, 17.065272 40.575619)</t>
  </si>
  <si>
    <t>P2761</t>
  </si>
  <si>
    <t>https://gem.wiki/Ampelia–Bralos_Gas_Pipeline</t>
  </si>
  <si>
    <t>Ampelia–Bralos Gas Pipeline</t>
  </si>
  <si>
    <t>Ampelia_Bralos</t>
  </si>
  <si>
    <t>Ampelia</t>
  </si>
  <si>
    <t>Bralos</t>
  </si>
  <si>
    <t>LINESTRING (22.4634 38.73, 22.4737 38.8972, 22.4385 38.9235, 22.4048 38.9719, 22.3653 39.0437, 22.3462 39.0715, 22.3433 39.1345, 22.396 39.1873, 22.4444 39.2239, 22.38 39.329)</t>
  </si>
  <si>
    <t>P2762</t>
  </si>
  <si>
    <t>https://gem.wiki/Ampelia–Volvos_Gas_Pipeline</t>
  </si>
  <si>
    <t>Ampelia–Volvos Gas Pipeline</t>
  </si>
  <si>
    <t>Ampelia_Volvos</t>
  </si>
  <si>
    <t>Volos</t>
  </si>
  <si>
    <t>LINESTRING (22.38 39.329, 22.5248 39.3388, 22.5571 39.3527, 22.6866 39.3492, 22.8622 39.3527, 22.9038 39.3631, 22.95 39.367)</t>
  </si>
  <si>
    <t>P2763</t>
  </si>
  <si>
    <t>https://gem.wiki/Anna_Paulowna–Beverwijk_Gas_Pipeline</t>
  </si>
  <si>
    <t>Beverwijk-Den Heder Gas Pipeline</t>
  </si>
  <si>
    <t>Anna Paulowna_Beverwijk</t>
  </si>
  <si>
    <t>Beverwijk</t>
  </si>
  <si>
    <t>LINESTRING (4.688869 52.534462, 4.676272 52.552204, 4.670968 52.571147, 4.662349 52.591693, 4.672957 52.61545, 4.691521 52.625111, 4.699478 52.641608, 4.727987 52.650458, 4.736606 52.662524, 4.727324 52.682625, 4.710086 52.691065, 4.685554 52.726414, 4.708097 52.744078, 4.721357 52.764142, 4.735943 52.779384, 4.762463 52.799432, 4.808874 52.815463, 4.786332 52.842703, 4.755833 52.863522, 4.759811 52.888331, 4.777049 52.910728, 4.812852 52.932313)</t>
  </si>
  <si>
    <t>P2764</t>
  </si>
  <si>
    <t>https://gem.wiki/Annecy–Entre_Deux_Guiers_Gas_Pipeline</t>
  </si>
  <si>
    <t>Annecy–Entre Deux Guiers Gas Pipeline</t>
  </si>
  <si>
    <t>Lyon_Annecy_10</t>
  </si>
  <si>
    <t>GRTgaz [unknown %]</t>
  </si>
  <si>
    <t>Engie [unknown %]; Other [unknown %]; Société d'Infrastructures Gazières [unknown %]</t>
  </si>
  <si>
    <t>Annecy</t>
  </si>
  <si>
    <t>Entre Deux Guiers</t>
  </si>
  <si>
    <t>LINESTRING (5.7521 45.4333, 5.7716 45.4802, 5.849 45.5726, 5.8888 45.6033, 5.916 45.6999, 6.0271 45.7711, 6.0677 45.8194, 6.0845 45.8757, 6.126 45.903)</t>
  </si>
  <si>
    <t>P2767</t>
  </si>
  <si>
    <t>https://gem.wiki/Aranda–Soria_Gas_Pipeline</t>
  </si>
  <si>
    <t>Aranda–Soria Gas Pipeline</t>
  </si>
  <si>
    <t>Aranda_Soria</t>
  </si>
  <si>
    <t>12, 10, 6</t>
  </si>
  <si>
    <t>Aranda</t>
  </si>
  <si>
    <t>Soria</t>
  </si>
  <si>
    <t>LINESTRING (-3.68919967 41.67040032, -3.57806019 41.64808323, -3.43609167 41.64808323, -3.30477079 41.64453402, -3.19119598 41.63033717, -3.10956408 41.61968953, -2.92145579 41.64808323, -2.76529042 41.65518166, -2.57718213 41.64098481, -2.3789792 41.66601321)</t>
  </si>
  <si>
    <t>P2768</t>
  </si>
  <si>
    <t>https://gem.wiki/Arieux_en_Gohelle–Gournay_Sur_Aronde_Gas_Pipeline</t>
  </si>
  <si>
    <t>Arieux en Gohelle–Gournay Sur Aronde Gas Pipeline</t>
  </si>
  <si>
    <t>Arieux en Gohelle_Gournay Sur Aronde</t>
  </si>
  <si>
    <t>Arieux en Gohelle</t>
  </si>
  <si>
    <t>Gournay Sur Aronde</t>
  </si>
  <si>
    <t>LINESTRING (2.7 49.526, 2.738 49.7716, 2.7766 49.7995, 2.8696 50.3633)</t>
  </si>
  <si>
    <t>P2769</t>
  </si>
  <si>
    <t>https://gem.wiki/Aughinish–Craughwell_Gas_Pipeline</t>
  </si>
  <si>
    <t>Aughinish–Craughwell Gas Pipeline</t>
  </si>
  <si>
    <t>Aughinish_Craughwell</t>
  </si>
  <si>
    <t>Aughinish</t>
  </si>
  <si>
    <t>Craughwell</t>
  </si>
  <si>
    <t>LINESTRING (-9.225799 52.534182, -9.234869 52.589319, -8.983933 52.858489, -8.732998 53.20937, -8.844861 53.231092)</t>
  </si>
  <si>
    <t>P2770</t>
  </si>
  <si>
    <t>https://gem.wiki/Aughinish–Mitchestown_Gas_Pipeline</t>
  </si>
  <si>
    <t>Aughinish–Mitchestown Gas Pipeline</t>
  </si>
  <si>
    <t>Aughinish_Mitchestown</t>
  </si>
  <si>
    <t>Mitchelstown</t>
  </si>
  <si>
    <t>LINESTRING (-9.225799 52.534182, -9.103354 52.512108, -8.967305 52.502907, -8.637763 52.445819, -8.519854 52.429231, -8.356594 52.348045, -8.154032 52.22969)</t>
  </si>
  <si>
    <t>P2771</t>
  </si>
  <si>
    <t>https://www.gem.wiki/Illats%E2%80%93Montauban-Toulouse_Gas_Pipeline</t>
  </si>
  <si>
    <t>Illats–Montauban-Toulouse Gas Pipeline</t>
  </si>
  <si>
    <t>Auros_Montauban</t>
  </si>
  <si>
    <t>Teréga [unknown %]</t>
  </si>
  <si>
    <t>Crédit Agricole Assurances [unknown %]; Electricite de France [unknown %]; GIC [unknown %]; Snam [unknown %]</t>
  </si>
  <si>
    <t>Illats</t>
  </si>
  <si>
    <t>Toulouse</t>
  </si>
  <si>
    <t>MULTILINESTRING ((-0.3478714333532471 44.58851748973027, -0.0410685596831454 44.57936998263455, 0.2885212548335434 44.416767688293895, 0.3324666160557293 44.2674811596809, 0.6620564305724181 44.19072602273188, 1.1289753344710607 44.04283868059841, 1.2279249890847068 43.95786662782727, 1.4420856582619148 43.624797306633255), (1.2279249890847068 43.95786662782727, 1.3532202888686127 44.02184071207795))</t>
  </si>
  <si>
    <t>P2773</t>
  </si>
  <si>
    <t>https://gem.wiki/Banatski_Dvor–Novi_Sad_Gas_Pipeline</t>
  </si>
  <si>
    <t>Banatski Dvor–Novi Sad Gas Pipeline</t>
  </si>
  <si>
    <t>Banatski Dvor_Novi Sad</t>
  </si>
  <si>
    <t>Banatski Dvor</t>
  </si>
  <si>
    <t>Novi Sad</t>
  </si>
  <si>
    <t>LINESTRING (19.82 45.269, 19.847148 45.313166, 19.942167 45.379947, 19.989483 45.40563, 20.059644 45.439376, 20.194398 45.479364, 20.263502 45.502375, 20.38098 45.526587, 20.475 45.5372, 20.555469 45.538689, 20.591749 45.555627, 20.653943 45.571351, 20.736868 45.553208)</t>
  </si>
  <si>
    <t>P2774</t>
  </si>
  <si>
    <t>https://gem.wiki/Baneras–Pinasses_Gas_Pipeline</t>
  </si>
  <si>
    <t>Banyeres–Tamarite Gas Pipeline</t>
  </si>
  <si>
    <t>Baneras_Pinasses</t>
  </si>
  <si>
    <t>Banyeres</t>
  </si>
  <si>
    <t>Tamarite</t>
  </si>
  <si>
    <t>LINESTRING (1.5702663035520699 41.27850988970108, 1.476882515536234 41.387814873332076, 1.2708888655013018 41.40429780566118, 0.9330592794440128 41.41871694250357, 0.8204494174249166 41.511334963370345, 0.6172023493904504 41.5565667295916, 0.5348048893764772 41.665404259188435, 0.4029689533541206 41.86207624118976)</t>
  </si>
  <si>
    <t>P2776</t>
  </si>
  <si>
    <t>https://www.gem.wiki/Martorell%E2%80%93Figueres_Gas_Pipeline</t>
  </si>
  <si>
    <t>Martorell–Figueres Gas Pipeline</t>
  </si>
  <si>
    <t>Barcelona_Girona</t>
  </si>
  <si>
    <t>Girona</t>
  </si>
  <si>
    <t>LINESTRING (1.9106372315497773 41.477065894908584, 1.9106372315497773 41.477065894908584, 2.5476547713650053 41.71815925442592, 2.73021467606815 41.764531516943386, 2.784594222149937 41.97856749292988, 2.8195525017739436 42.03917685348699, 2.8817005544388437 42.053599141692736, 2.959385620269969 42.26954047070533)</t>
  </si>
  <si>
    <t>P2777</t>
  </si>
  <si>
    <t>https://gem.wiki/Batajnica–Sarajevo_Gas_Pipeline</t>
  </si>
  <si>
    <t>Batajnica–Sarajevo Gas Pipeline</t>
  </si>
  <si>
    <t>Batajnica_Sarajevo</t>
  </si>
  <si>
    <t>Batajnica</t>
  </si>
  <si>
    <t>Sarajevo</t>
  </si>
  <si>
    <t>LINESTRING (20.27 44.9, 20.222 44.8716, 20.096 44.8716, 19.966 44.8566, 19.884 44.8491, 19.856 44.8237, 19.797 44.8117, 19.802 44.7489, 19.743 44.7175, 19.66 44.7205, 19.615 44.7698, 19.431 44.7549, 19.347 44.6875, 19.221 44.5634, 19.179 44.5401, 19.166 44.5236, 19.157 44.5286, 19.143 44.5341, 19.129 44.5332, 19.122 44.5295, 19.117 44.5213, 19.11 44.5153, 19.111 44.5061, 19.114 44.5001, 19.114 44.4932, 19.122 44.478, 19.132 44.4638, 19.129 44.4145, 19.099 44.381, 19.06 44.369, 18.833 44.3317, 18.769 44.2557, 18.693 44.2039, 18.619 44.1205, 18.57 44.1062, 18.407 43.855)</t>
  </si>
  <si>
    <t>P2778</t>
  </si>
  <si>
    <t>https://gem.wiki/Baumgarten–Plavecky_Peter_Gas_Pipeline</t>
  </si>
  <si>
    <t>Baumgarten–Plavecky Peter Gas Pipeline</t>
  </si>
  <si>
    <t>Transgas_40</t>
  </si>
  <si>
    <t>EUStream [unknown %]</t>
  </si>
  <si>
    <t>Plavecky Peter</t>
  </si>
  <si>
    <t>LINESTRING (17.316051 48.546336, 17.179726 48.513215, 17.139912 48.408666, 17.041176 48.349431, 16.875 48.3163)</t>
  </si>
  <si>
    <t>P2779</t>
  </si>
  <si>
    <t>https://gem.wiki/Belfast–Dundalk_Gas_Pipeline</t>
  </si>
  <si>
    <t>Carrickfergus-Gormansten Gas Pipeline</t>
  </si>
  <si>
    <t>Belfast_Dundalk</t>
  </si>
  <si>
    <t>Carrickfergus</t>
  </si>
  <si>
    <t>Gormansten</t>
  </si>
  <si>
    <t>MULTILINESTRING ((-5.718 54.751, -5.891077 54.77851, -6.054336 54.694727, -5.999917 54.551197, -6.314342 54.396602, -6.513881 53.99689, -6.398995 53.647101, -6.22249 53.638742), (-6.314342 54.396602, -6.476035 54.401047))</t>
  </si>
  <si>
    <t>P2781</t>
  </si>
  <si>
    <t>https://gem.wiki/Benevento–Biccari_Gas_Pipeline</t>
  </si>
  <si>
    <t>Benevento–Biccari Gas Pipeline</t>
  </si>
  <si>
    <t>Benevento_Biccari</t>
  </si>
  <si>
    <t>Benevento</t>
  </si>
  <si>
    <t>LINESTRING (15.222586 41.340969, 15.194289 41.313265, 15.156058 41.292992, 15.140316 41.272712, 15.122325 41.245664, 15.070602 41.235518, 15.030122 41.223678, 14.985145 41.230444, 14.937919 41.22537, 14.913182 41.208454, 14.8772 41.191533, 14.85202 41.183518)</t>
  </si>
  <si>
    <t>P2782</t>
  </si>
  <si>
    <t>https://gem.wiki/Beregdaroc–Hajduszoboszlo_Gas_Pipeline</t>
  </si>
  <si>
    <t>Beregdaroc–Hajduszoboszlo Gas Pipeline</t>
  </si>
  <si>
    <t>Beregdaroc-Hajduszoboszlo</t>
  </si>
  <si>
    <t>Beregdaroc</t>
  </si>
  <si>
    <t>Hajduszoboszlo</t>
  </si>
  <si>
    <t>LINESTRING (21.3663 47.5073, 21.4694 47.576, 21.5279 47.6073, 21.5794 47.6305, 21.6157 47.6396, 21.6641 47.6376, 21.7035 47.6426, 21.7317 47.6608, 21.764 47.685, 21.8457 47.7344, 21.9607 47.8182, 22.0344 47.8817, 22.0687 47.9261, 22.1232 47.9836, 22.1878 48.0311, 22.2432 48.0603, 22.2947 48.0855, 22.3421 48.1108, 22.4259 48.141, 22.532 48.1985)</t>
  </si>
  <si>
    <t>P2783</t>
  </si>
  <si>
    <t>https://gem.wiki/Beregdaroc–Nemesbikk_Gas_Pipeline</t>
  </si>
  <si>
    <t>Beregdaroc–Nemesbikk Gas Pipeline</t>
  </si>
  <si>
    <t>Beregdaroc-Nemesbikk</t>
  </si>
  <si>
    <t>Nemesbikk</t>
  </si>
  <si>
    <t>LINESTRING (22.532 48.1985, 22.4352 48.1887, 22.324 48.1668, 22.2264 48.1365, 22.1876 48.1095, 22.0108 48.0506, 21.9081 48.0169, 21.7801 47.9933, 21.6723 47.9697, 21.5308 47.9529, 21.4028 47.9411, 21.2698 47.9142, 21.1553 47.8855, 21.1165 47.8771, 21.029 47.8704, 21.0113 47.8699, 20.9661 47.8877)</t>
  </si>
  <si>
    <t>P2784</t>
  </si>
  <si>
    <t>https://gem.wiki/Bernalda–Grumento_Gas_Pipeline</t>
  </si>
  <si>
    <t>Bernalda–Grumento Gas Pipeline</t>
  </si>
  <si>
    <t>Bernalda_Grumento</t>
  </si>
  <si>
    <t>Grumento</t>
  </si>
  <si>
    <t>Bernalda</t>
  </si>
  <si>
    <t>LINESTRING (16.754996 40.370773, 16.719015 40.34164, 16.671789 40.321068, 16.606572 40.321068, 16.575088 40.34164, 16.527862 40.357065, 16.487382 40.353637, 16.437907 40.322782, 16.386184 40.309065, 16.336709 40.317639, 16.320967 40.310779, 16.296229 40.288483, 16.253501 40.271326, 16.102828 40.254165, 16.017371 40.259314, 15.94091 40.255882, 15.889186 40.26103, 15.841353 40.270234)</t>
  </si>
  <si>
    <t>P2785</t>
  </si>
  <si>
    <t>https://gem.wiki/Berneau–Eynatten_Gas_Pipeline</t>
  </si>
  <si>
    <t>Berneau–Eynatten Gas Pipeline</t>
  </si>
  <si>
    <t>Berneau_Eynatten</t>
  </si>
  <si>
    <t>Berneau</t>
  </si>
  <si>
    <t>Eynatten</t>
  </si>
  <si>
    <t>LINESTRING (5.737552125586572 50.75863533100625, 5.771847800754846 50.75140308764756, 5.801244093756223 50.736935248184146, 5.799610966367257 50.72969965196474, 5.8877998453713865 50.711088700521245, 6.121337061993436 50.71522510626411)</t>
  </si>
  <si>
    <t>P2786</t>
  </si>
  <si>
    <t>https://gem.wiki/Berneauc–Gravenvoeren_Gas_Pipeline</t>
  </si>
  <si>
    <t>Berneau–Gravenvoeren Gas Pipeline</t>
  </si>
  <si>
    <t>Berneau_Gravenvoeren</t>
  </si>
  <si>
    <t>Gravenvoeren</t>
  </si>
  <si>
    <t>LINESTRING (5.739351 50.753777, 5.7611628 50.7587829)</t>
  </si>
  <si>
    <t>P2787</t>
  </si>
  <si>
    <t>https://gem.wiki/Beziers–Barbaira_Gas_Pipeline</t>
  </si>
  <si>
    <t>Beziers–Barbaira Gas Pipeline</t>
  </si>
  <si>
    <t>Beziers_Barbaira</t>
  </si>
  <si>
    <t>Beziers</t>
  </si>
  <si>
    <t>Barbaira</t>
  </si>
  <si>
    <t>LINESTRING (2.513 43.1756, 3.2315 43.3463)</t>
  </si>
  <si>
    <t>P2788</t>
  </si>
  <si>
    <t>https://gem.wiki/Beziers–St_Martin_De_Crau_Gas_Pipeline</t>
  </si>
  <si>
    <t>Beziers–St Martin De Crau Gas Pipeline</t>
  </si>
  <si>
    <t>Beziers_St Martin De Crau0, Beziers_St Martin De Crau1</t>
  </si>
  <si>
    <t>St Martin De Crau</t>
  </si>
  <si>
    <t>MULTILINESTRING ((3.2315 43.3463, 3.2908 43.3834, 3.3112 43.4039, 3.3495 43.4242, 3.3853 43.4372, 3.4491 43.4613, 3.5027 43.4595, 3.5435 43.4724, 3.6278 43.515, 3.6584 43.5372, 3.7171 43.5761, 3.7681 43.5853, 3.7707 43.6426, 3.7732 43.6518, 3.8498 43.65, 3.8881 43.6574, 3.9162 43.6574, 3.9315 43.6463), (3.9315 43.6463, 3.9874 43.6713, 4.0556 43.6808, 4.1036 43.6861, 4.1619 43.6872, 4.2027 43.6819, 4.2202 43.6682, 4.261 43.6598, 4.3426 43.6724, 4.4068 43.6861, 4.4301 43.6872, 4.4519 43.6724, 4.5 43.6872, 4.5467 43.6935, 4.605 43.6893, 4.6531 43.6714, 4.707 43.665, 4.7332 43.6577, 4.7507 43.6334, 4.8121 43.6386))</t>
  </si>
  <si>
    <t>P2789</t>
  </si>
  <si>
    <t>https://gem.wiki/Belfast_Gas_Transmission_Pipeline</t>
  </si>
  <si>
    <t>Belfast Gas Transmission Pipeline</t>
  </si>
  <si>
    <t>BGTP</t>
  </si>
  <si>
    <t>Belfast Gas Transmission Limited [unknown %]</t>
  </si>
  <si>
    <t>Mutual Energy [unknown %]</t>
  </si>
  <si>
    <t>Belfast</t>
  </si>
  <si>
    <t>Ballylumford</t>
  </si>
  <si>
    <t>LINESTRING (-5.911 54.589, -5.856 54.705, -5.78 54.726, -5.718 54.751, -5.707 54.795, -5.778 54.843)</t>
  </si>
  <si>
    <t>P2790</t>
  </si>
  <si>
    <t>https://gem.wiki/Biccari–Candela_Gas_Pipeline</t>
  </si>
  <si>
    <t>Biccari–Candela Gas Pipeline</t>
  </si>
  <si>
    <t>Biccari_Candela</t>
  </si>
  <si>
    <t>LINESTRING (15.524902 41.156967, 15.488889 41.194917, 15.423672 41.237209, 15.383193 41.279473, 15.324723 41.316643, 15.268501 41.33522, 15.222586 41.340969)</t>
  </si>
  <si>
    <t>P2791</t>
  </si>
  <si>
    <t>https://gem.wiki/Bilbao–Villapresente_Gas_Pipeline</t>
  </si>
  <si>
    <t>Bilbao–Villapresente Gas Pipeline</t>
  </si>
  <si>
    <t>Bilbao_Santander</t>
  </si>
  <si>
    <t>Villapresente</t>
  </si>
  <si>
    <t>LINESTRING (-4.1078546031192165 43.368400816104845, -4.19138824 43.32944344, -4.00959488 43.37468319, -3.99879989 43.34949489, -3.83687507 43.38907651, -3.79009679 43.40706815, -3.27467023 43.38294666, -3.18016629 43.35324542, -3.11941376 43.34244497, -3.0964628 43.35459548, -3.09469925 43.36122356)</t>
  </si>
  <si>
    <t>P2792</t>
  </si>
  <si>
    <t>https://gem.wiki/Biriatou–Bayonne_Gas_Pipeline</t>
  </si>
  <si>
    <t>Biriatou–Bayonne Gas Pipeline</t>
  </si>
  <si>
    <t>ArtereDeLAdour1</t>
  </si>
  <si>
    <t>Biriatou</t>
  </si>
  <si>
    <t>Bayonne</t>
  </si>
  <si>
    <t>LINESTRING (-1.743 43.3332, -1.462 43.493)</t>
  </si>
  <si>
    <t>P2793</t>
  </si>
  <si>
    <t>https://gem.wiki/Bocholtz–Puth_Schinnen_Gas_Pipeline</t>
  </si>
  <si>
    <t>Bocholtz–Puth Schinnen Gas Pipeline</t>
  </si>
  <si>
    <t>Bocholtz_PuthSchinnen</t>
  </si>
  <si>
    <t>Bocholtz</t>
  </si>
  <si>
    <t>Puth Schinnen</t>
  </si>
  <si>
    <t>LINESTRING (6.021767 50.817365, 5.8705487 50.9554323)</t>
  </si>
  <si>
    <t>P2795</t>
  </si>
  <si>
    <t>https://gem.wiki/Bosiljevo–Rjeka_Gas_Pipeline</t>
  </si>
  <si>
    <t>Bosiljevo–Rjeka Gas Pipeline</t>
  </si>
  <si>
    <t>Bosiljevo_Rjeka</t>
  </si>
  <si>
    <t>Bosiljevo</t>
  </si>
  <si>
    <t>Rijeka</t>
  </si>
  <si>
    <t>LINESTRING (15.28 45.41, 15.2715 45.4088, 15.263 45.4082, 15.2613 45.4078, 15.2585 45.408, 15.2547 45.4081, 15.2508 45.4065, 15.2497 45.4057, 15.2456 45.4048, 15.2399 45.4027, 15.238 45.4019, 15.2325 45.401, 15.2244 45.4008, 15.2179 45.4001, 15.2098 45.398, 15.207 45.3966, 15.2035 45.395, 15.1984 45.3911, 15.1963 45.389, 15.1931 45.3869, 15.1897 45.3858, 15.1871 45.3854, 15.1799 45.3857, 15.1754 45.3857, 15.1691 45.3849, 15.1641 45.383, 15.1614 45.3814, 15.1559 45.3797, 15.1502 45.3792, 15.1355 45.3788, 15.126 45.3772, 15.1174 45.3733, 15.1149 45.3726, 15.1053 45.374, 15.1 45.3742, 15.0959 45.3719, 15.0933 45.3687, 15.0786 45.3618, 15.0723 45.3591, 15.0648 45.3594, 15.0615 45.3617, 15.0602 45.365, 15.0597 45.3693, 15.0572 45.373, 15.0543 45.3767, 15.0511 45.377, 15.0452 45.3775, 15.0391 45.3766, 15.0329 45.3764, 15.0293 45.3764, 15.0253 45.3751, 15.0175 45.3746, 15.0092 45.3746, 15.0021 45.3742, 14.9893 45.3743, 14.9865 45.3742, 14.9782 45.3754, 14.9684 45.3757, 14.9621 45.3766, 14.9532 45.38, 14.9415 45.3835, 14.9308 45.384, 14.9022 45.3862, 14.889 45.3865, 14.8821 45.3837, 14.8728 45.3827, 14.8608 45.3829, 14.8497 45.3817, 14.8415 45.3837, 14.8347 45.3893, 14.8286 45.3928, 14.8205 45.3939, 14.8146 45.3921, 14.8093 45.3888, 14.802 45.3839, 14.7974 45.3781, 14.7891 45.3736, 14.7785 45.3705, 14.7708 45.3684, 14.7626 45.3592, 14.758 45.3519, 14.7543 45.3464, 14.7431 45.3406, 14.7376 45.3363, 14.7373 45.3324, 14.7379 45.3272, 14.7312 45.3229, 14.7241 45.3183, 14.715 45.3177, 14.7037 45.3171, 14.6936 45.3168, 14.6845 45.3189, 14.6713 45.3189, 14.6597 45.3253, 14.6497 45.3269, 14.6283 45.3226, 14.6198 45.3269, 14.61 45.3299, 14.5987 45.3321, 14.5944 45.3375, 14.5935 45.344, 14.5923 45.3494, 14.5825 45.354, 14.5758 45.3604, 14.5684 45.363, 14.5564 45.362, 14.5512 45.3649, 14.5415 45.3742, 14.5298 45.3779, 14.5108 45.3771, 14.4905 45.376, 14.4871 45.3718, 14.4898 45.3649, 14.4926 45.3584, 14.4921 45.3556, 14.4917 45.3543, 14.4912 45.3493, 14.4895 45.3466, 14.4799 45.3464, 14.4742 45.3483, 14.4676 45.3505, 14.464 45.3505, 14.44 45.35)</t>
  </si>
  <si>
    <t>P2796</t>
  </si>
  <si>
    <t>https://gem.wiki/Bosiljevo–Split_Gas_Pipeline</t>
  </si>
  <si>
    <t>Bosiljevo–Split Gas Pipeline</t>
  </si>
  <si>
    <t>Bosiljevo-Pijesevica</t>
  </si>
  <si>
    <t>Bosiljevo_Split0</t>
  </si>
  <si>
    <t>Pijisevica</t>
  </si>
  <si>
    <t>LINESTRING (15.28 45.41, 15.289308 45.38561, 15.290926 45.363452, 15.29497 45.339012, 15.295779 45.307166, 15.299822 45.271319, 15.294161 45.242283, 15.287691 45.229183, 15.286073 45.207534, 15.294161 45.188727, 15.311954 45.175615, 15.329748 45.166492, 15.363717 45.143678, 15.393642 45.104302, 15.404156 45.087745, 15.43489 45.061472, 15.453492 45.035187, 15.454301 45.009461, 15.438384 44.997459, 15.434082 44.986584, 15.439743 44.96656, 15.458345 44.937941, 15.460772 44.908735, 15.465624 44.894413, 15.483418 44.872063, 15.482609 44.849132, 15.474521 44.835942, 15.456728 44.808406, 15.451875 44.794633, 15.44864 44.775689, 15.441361 44.754442, 15.439743 44.740082, 15.445405 44.713075, 15.457536 44.702153, 15.489888 44.663624, 15.497976 44.642336, 15.497976 44.603768, 15.493932 44.572664, 15.510916 44.547308, 15.523857 44.540391, 15.56187 44.524247, 15.589369 44.51502, 15.634661 44.489639, 15.66863 44.47579, 15.697747 44.438844, 15.718775 44.403029, 15.759215 44.379912, 15.812595 44.351002, 15.838476 44.327863, 15.86921 44.28156, 15.86921 44.236378, 15.828771 44.214354, 15.802889 44.172602, 15.812595 44.145911, 15.835241 44.114563, 15.825536 44.087846, 15.789949 44.064605, 15.763259 44.051236, 15.745465 44.032051, 15.726054 44.004715)</t>
  </si>
  <si>
    <t>P2797</t>
  </si>
  <si>
    <t>https://gem.wiki/Bralos–Aliartos_Gas_Pipeline</t>
  </si>
  <si>
    <t>Bralos–Aliartos Gas Pipeline</t>
  </si>
  <si>
    <t>Bralos_Aliartos</t>
  </si>
  <si>
    <t>Aliartos</t>
  </si>
  <si>
    <t>LINESTRING (22.4634 38.73, 22.5902 38.6737, 22.6424 38.667, 22.7096 38.662, 22.7113 38.6418, 22.7348 38.6149, 22.7769 38.588, 22.7971 38.5728, 22.8004 38.5291, 22.8374 38.5039, 22.8963 38.4787, 22.9181 38.4501, 22.9501 38.4316, 22.9955 38.398, 23.0241 38.3946, 23.0526 38.3946, 23.0846 38.3862, 23.1233 38.3795, 23.1569 38.3761, 23.2023 38.3358, 23.2309 38.3156, 23.32 38.326)</t>
  </si>
  <si>
    <t>P2798</t>
  </si>
  <si>
    <t>https://gem.wiki/Breheville–Aouste_Gas_Pipeline</t>
  </si>
  <si>
    <t>Breheville–Aouste Gas Pipeline</t>
  </si>
  <si>
    <t>Breheville_unknown_FR_5</t>
  </si>
  <si>
    <t>Breheville</t>
  </si>
  <si>
    <t>Aouste</t>
  </si>
  <si>
    <t>LINESTRING (4.3 49.8, 5.3293 49.3827)</t>
  </si>
  <si>
    <t>P2799</t>
  </si>
  <si>
    <t>https://gem.wiki/Breheville–Laneuvelotte_Gas_Pipeline</t>
  </si>
  <si>
    <t>Breheville–Laneuvelotte Gas Pipeline</t>
  </si>
  <si>
    <t>Breheville_Laneuvelotte</t>
  </si>
  <si>
    <t>Laneuvelotte</t>
  </si>
  <si>
    <t>LINESTRING (5.3293 49.3827, 5.4343 49.2978, 5.6108 49.2059, 6.2177 48.7866, 6.2618 48.7314, 6.295 48.7289)</t>
  </si>
  <si>
    <t>P2800</t>
  </si>
  <si>
    <t>https://gem.wiki/Brest–Donges_Gas_Pipeline</t>
  </si>
  <si>
    <t>Brest–Donges Gas Pipeline</t>
  </si>
  <si>
    <t>Brest_Donges</t>
  </si>
  <si>
    <t>LINESTRING (-2.069 47.332, -2.1376 47.3729, -2.2066 47.3936, -2.291 47.4196, -2.3344 47.4507, -2.3421 47.4697, -2.383 47.4732, -2.4724 47.5043, -2.5108 47.5267, -2.6079 47.5647, -2.6973 47.6026, -2.7357 47.6284, -2.7715 47.6508, -2.8047 47.6594, -2.8507 47.668, -2.8609 47.6766, -2.912 47.6887, -2.9734 47.7093, -3.0168 47.7265, -3.0424 47.7386, -3.0858 47.7575, -3.1472 47.7746, -3.1906 47.7867, -3.2085 47.7987, -3.2494 47.8176, -3.2545 47.8279, -3.2647 47.8381, -3.2939 47.8648, -3.3106 47.8704, -3.3356 47.8788, -3.3522 47.8844, -3.3772 47.8928, -3.3856 47.8928, -3.3981 47.8984, -3.4147 47.9012, -3.4398 47.9095, -3.4648 47.9207, -3.4814 47.9235, -3.4856 47.9235, -3.4981 47.9291, -3.5148 47.9291, -3.5231 47.9319, -3.5356 47.9347, -3.5564 47.9403, -3.5648 47.9403, -3.5856 47.9458, -3.619 47.9542, -3.6273 47.957, -3.6356 47.9598, -3.6565 47.9654, -3.6856 47.971, -3.7106 47.9765, -3.7315 47.9793, -3.769 47.9877, -3.7815 47.9905, -3.7898 48.0016, -3.8065 48.0128, -3.8273 48.0184, -3.8607 48.0323, -3.8732 48.0518, -3.8815 48.0546, -3.8857 48.063, -3.8898 48.0852, -3.894 48.0908, -3.9107 48.1075, -3.919 48.127, -3.9357 48.1409, -3.9565 48.1548, -3.969 48.1603, -3.9774 48.1659, -3.994 48.1742, -4.0065 48.1826, -4.0107 48.1881, -4.019 48.1937, -4.0232 48.1965, -4.0232 48.2145, -4.0991 48.2542, -4.1695 48.2867, -4.2507 48.3083, -4.3645 48.3587, -4.48 48.402)</t>
  </si>
  <si>
    <t>P2801</t>
  </si>
  <si>
    <t>Slovakia, Austria</t>
  </si>
  <si>
    <t>https://gem.wiki/Brodské–Plavecky_Peter_Gas_Pipeline</t>
  </si>
  <si>
    <t>Lanzhot–Plavecky Peter Gas Pipeline</t>
  </si>
  <si>
    <t>Transgas_15</t>
  </si>
  <si>
    <t>Lanzhot</t>
  </si>
  <si>
    <t>LINESTRING (17.316051 48.546336, 17.235464 48.656487, 17.12558 48.662799, 16.987826 48.720092)</t>
  </si>
  <si>
    <t>P2802</t>
  </si>
  <si>
    <t>https://gem.wiki/BRUA_Gas_Extra_Pipeline</t>
  </si>
  <si>
    <t>BRUA Gas Extra Pipeline</t>
  </si>
  <si>
    <t>BRUA_Extra_1</t>
  </si>
  <si>
    <t>Recas</t>
  </si>
  <si>
    <t>LINESTRING (21.3106 46.1817, 21.5083 45.802)</t>
  </si>
  <si>
    <t>P2807</t>
  </si>
  <si>
    <t>https://gem.wiki/Burgos–Valladolid_Gas_Pipeline</t>
  </si>
  <si>
    <t>Burgos–Valladolid Gas Pipeline</t>
  </si>
  <si>
    <t>Burgos_Valladolid</t>
  </si>
  <si>
    <t>12, 8, 6, 4</t>
  </si>
  <si>
    <t>Burgos</t>
  </si>
  <si>
    <t>LINESTRING (-4.72369829 41.65519966, -4.66454501 41.74062639, -4.5589732 41.85293683, -4.36130683 41.92481551, -4.11647009 41.96524726, -3.88511059 42.01241764, -3.75621898 42.0258949)</t>
  </si>
  <si>
    <t>P2808</t>
  </si>
  <si>
    <t>https://gem.wiki/Calderari_Enna–Gela_Gas_Pipeline</t>
  </si>
  <si>
    <t>Calderari Enna–Gela Gas Pipeline</t>
  </si>
  <si>
    <t>CalderariEnna_Gela</t>
  </si>
  <si>
    <t>Calderari Enna</t>
  </si>
  <si>
    <t>LINESTRING (14.380801 37.547006, 14.395944 37.489753, 14.409437 37.456735, 14.419557 37.412092, 14.434175 37.397801, 14.437548 37.370998, 14.429677 37.339715, 14.428553 37.320045, 14.430802 37.299475, 14.403815 37.279794, 14.362211 37.272636, 14.348718 37.253844, 14.339723 37.226989, 14.337474 37.20908, 14.323981 37.19475, 14.302617 37.167875, 14.294746 37.142782, 14.302617 37.129336, 14.309363 37.110507, 14.309363 37.08988, 14.30599 37.063865, 14.29587 37.042327)</t>
  </si>
  <si>
    <t>P2809</t>
  </si>
  <si>
    <t>https://gem.wiki/Calderari_Enna–Menfi_Gas_Pipeline</t>
  </si>
  <si>
    <t>Canicatti–Enna Gas Pipeline</t>
  </si>
  <si>
    <t>CalderariEnna_Menfi_1</t>
  </si>
  <si>
    <t>Canicatti</t>
  </si>
  <si>
    <t>LINESTRING (14.380801 37.547006, 14.345345 37.54594, 14.298119 37.543266, 14.225031 37.516514, 14.144072 37.477262, 14.112588 37.454057, 14.085602 37.437988, 14.063113 37.42013, 14.027132 37.431739, 14.00127 37.437096, 13.966412 37.433524, 13.911315 37.411199, 13.863965 37.392267)</t>
  </si>
  <si>
    <t>P2811</t>
  </si>
  <si>
    <t>https://gem.wiki/Campagna_Lupia–Ravenna_Terra_Gas_Pipeline</t>
  </si>
  <si>
    <t>Campagna Lupia–Ravenna Gas Pipeline</t>
  </si>
  <si>
    <t>CampagnaLupia_RavennaTerra</t>
  </si>
  <si>
    <t>Campagna Lupia</t>
  </si>
  <si>
    <t>LINESTRING (12.125772 45.313088, 12.12516 45.219613, 12.127409 45.170486, 12.134155 45.118142, 12.12516 45.087983, 12.127409 45.046687, 12.140902 44.992639, 12.143151 44.933765, 12.120662 44.834975, 12.107169 44.680076, 12.107169 44.61768, 12.102671 44.576045, 12.156644 44.497499, 12.199372 44.44454)</t>
  </si>
  <si>
    <t>P2812</t>
  </si>
  <si>
    <t>https://gem.wiki/Campochiaro–Melizzano_Gas_Pipeline</t>
  </si>
  <si>
    <t>Melizzano-Vastogirardi Gas Pipeline</t>
  </si>
  <si>
    <t>Campochiaro–Melizzano Gas Pipeline</t>
  </si>
  <si>
    <t>Campochiaro_Melizzano</t>
  </si>
  <si>
    <t>Melizzano</t>
  </si>
  <si>
    <t>Vastogirardi</t>
  </si>
  <si>
    <t>LINESTRING (14.534818 41.467844, 14.561181 41.439959, 14.565499 41.401907, 14.607608 41.345191, 14.621644 41.315193, 14.619484 41.297349, 14.590333 41.271387, 14.556862 41.247037, 14.522312 41.207247, 14.496449 41.175045)</t>
  </si>
  <si>
    <t>P2813</t>
  </si>
  <si>
    <t>https://www.gem.wiki/Captieux%E2%80%93Castillon_Gas_Pipeline</t>
  </si>
  <si>
    <t>Captieux–Castillon Gas Pipeline</t>
  </si>
  <si>
    <t>Captiex_Auros</t>
  </si>
  <si>
    <t>Captieux</t>
  </si>
  <si>
    <t>Castillon</t>
  </si>
  <si>
    <t>LINESTRING (-0.2433513086286344 44.28065893816496, -0.2629488362514184 44.42546114579156, -0.1714937073450941 44.5233496779251, -0.0473760324007976 44.86235129199216)</t>
  </si>
  <si>
    <t>P2814</t>
  </si>
  <si>
    <t>https://gem.wiki/Carlow–Loughshinny_Gas_Pipeline</t>
  </si>
  <si>
    <t>Carlow–Loughshinny Gas Pipeline</t>
  </si>
  <si>
    <t>Carlow_Loughshinny</t>
  </si>
  <si>
    <t>Carlow</t>
  </si>
  <si>
    <t>Loughshinny</t>
  </si>
  <si>
    <t>LINESTRING (-6.93 52.83, -6.084 53.548)</t>
  </si>
  <si>
    <t>P2815</t>
  </si>
  <si>
    <t>https://gem.wiki/Castelnou–Tamarite_Gas_Pipeline</t>
  </si>
  <si>
    <t>Castelnou–Tamarite Gas Pipeline</t>
  </si>
  <si>
    <t>Castelnou_Alfarras</t>
  </si>
  <si>
    <t>Castelnou</t>
  </si>
  <si>
    <t>LINESTRING (-0.3635760058745104 41.22531953600569, -0.3404800962905901 41.32079013102279, -0.3404800962905901 41.32079013102279, 0.2553943709745555 41.521688345400015, 0.3131341449343565 41.720240937297255, 0.4147561471036059 41.799490756477034, 0.4239945109371741 41.86832407737611)</t>
  </si>
  <si>
    <t>P2817</t>
  </si>
  <si>
    <t>https://gem.wiki/Cervignano–Ripalta_Gas_Pipeline</t>
  </si>
  <si>
    <t>Cervignano–Ripalta Gas Pipeline</t>
  </si>
  <si>
    <t>Cervignano_Ripalta</t>
  </si>
  <si>
    <t>Ripalta</t>
  </si>
  <si>
    <t>Cervignano</t>
  </si>
  <si>
    <t>LINESTRING (9.426984 45.371546, 9.43882 45.32793, 9.538973 45.284523, 9.687398 45.244953, 9.826827 45.24812, 9.916781 45.287688)</t>
  </si>
  <si>
    <t>P2818</t>
  </si>
  <si>
    <t>https://gem.wiki/Cervignano–Sergnano_Gas_Pipeline</t>
  </si>
  <si>
    <t>Ripalta–Sergnano Gas Pipeline</t>
  </si>
  <si>
    <t>Cervignano_Sergnano</t>
  </si>
  <si>
    <t>Sergnano</t>
  </si>
  <si>
    <t>LINESTRING (9.916781 45.287688, 9.894293 45.333552, 9.894293 45.374641, 9.937881 45.405247)</t>
  </si>
  <si>
    <t>P2820</t>
  </si>
  <si>
    <t>https://gem.wiki/Chazelles–Brizambourg_Gas_Pipeline</t>
  </si>
  <si>
    <t>Chazelles–Brizambourg Gas Pipeline</t>
  </si>
  <si>
    <t>Chazelles_Brizambourg</t>
  </si>
  <si>
    <t>Chazelles</t>
  </si>
  <si>
    <t>Brizambourg</t>
  </si>
  <si>
    <t>LINESTRING (0.367 45.6471, 0.3224 45.644, 0.2837 45.644, 0.2721 45.6494, 0.245 45.6683, 0.214 45.6981, 0.1675 45.6792, -0.0183 45.7333, -0.179 45.7496, -0.4798 45.8222)</t>
  </si>
  <si>
    <t>P2821</t>
  </si>
  <si>
    <t>https://gem.wiki/Chazelles–Roussines_Gas_Pipeline</t>
  </si>
  <si>
    <t>Chazelles–Roussines Gas Pipeline</t>
  </si>
  <si>
    <t>Chazelles_Roussines</t>
  </si>
  <si>
    <t>Roussines</t>
  </si>
  <si>
    <t>LINESTRING (0.367 45.6471, 0.5057 45.7323, 0.6363 45.885, 0.7135 45.9866, 0.7627 46.0363, 0.8202 46.083, 0.8918 46.1268, 0.941 46.1833, 1.014 46.2386, 1.1164 46.3095, 1.1768 46.356, 1.3383 46.4577, 1.38 46.463)</t>
  </si>
  <si>
    <t>P2822</t>
  </si>
  <si>
    <t>https://gem.wiki/Chemery–Nozay_Gas_Pipeline</t>
  </si>
  <si>
    <t>Chemery–Nozay Gas Pipeline</t>
  </si>
  <si>
    <t>Chemery_Nozay</t>
  </si>
  <si>
    <t>Chemery</t>
  </si>
  <si>
    <t>Nozay</t>
  </si>
  <si>
    <t>LINESTRING (-1.6269 47.5647, -1.3303 47.5527, -1.2499 47.5459, -1.1669 47.5374, -1.1493 47.5306, -1.094 47.5357, -0.8929 47.5187, -0.8024 47.5187, -0.7546 47.5221, -0.7194 47.5204, -0.649 47.5272, -0.6088 47.5238, -0.5485 47.5068, -0.4806 47.4932, -0.4379 47.4932, -0.3599 47.4864, -0.2644 47.4847, -0.1487 47.4762, -0.0406 47.4626, 0.0574 47.4626, 0.1177 47.4609, 0.2284 47.4558, 0.2786 47.4575, 0.4496 47.4524, 0.52 47.4507, 0.5728 47.432, 0.613 47.4252, 0.6583 47.4218, 0.6809 47.4235, 0.7186 47.4201, 0.8512 47.4489, 0.9645 47.4522, 1.0432 47.4489, 1.1171 47.4422, 1.2008 47.4189, 1.2254 47.3989, 1.2747 47.3889, 1.3048 47.3867, 1.3625 47.3851, 1.412 47.3851, 1.4862 47.3878)</t>
  </si>
  <si>
    <t>P2823</t>
  </si>
  <si>
    <t>https://gem.wiki/Chieti–Cupello_Gas_Pipeline</t>
  </si>
  <si>
    <t>Chieti–San Salvo Gas Pipeline</t>
  </si>
  <si>
    <t>Chieti_Cupello</t>
  </si>
  <si>
    <t>LINESTRING (14.090662 42.335071, 14.097408 42.364987, 14.11315 42.389906, 14.167123 42.399871, 14.203105 42.388245, 14.259326 42.388245, 14.329041 42.363326, 14.380765 42.316782, 14.423493 42.263547, 14.48871 42.206936, 14.610148 42.195275)</t>
  </si>
  <si>
    <t>P2824</t>
  </si>
  <si>
    <t>https://gem.wiki/Chieti–Pineto_Gas_Pipeline</t>
  </si>
  <si>
    <t>Chieti–Pineto Gas Pipeline</t>
  </si>
  <si>
    <t>Recanati_Chieti0</t>
  </si>
  <si>
    <t>Pinto</t>
  </si>
  <si>
    <t>LINESTRING (14.0674 42.6063, 14.0801 42.5089, 14.1095 42.4744, 14.1094 42.4665, 14.1416 42.3595)</t>
  </si>
  <si>
    <t>P2825</t>
  </si>
  <si>
    <t>https://gem.wiki/Chivasso–Mortara_Gas_Pipeline</t>
  </si>
  <si>
    <t>Chivasso–Mortara Gas Pipeline</t>
  </si>
  <si>
    <t>Mortara</t>
  </si>
  <si>
    <t>Chivasso</t>
  </si>
  <si>
    <t>LINESTRING (8.72478 45.220883, 8.688905 45.219613, 8.632683 45.225949, 8.585457 45.238619, 8.542729 45.235452, 8.500001 45.230701, 8.392055 45.237036, 8.317843 45.237036, 8.223391 45.235452, 8.122192 45.225949, 8.038985 45.206939, 8.003003 45.200601, 7.951279 45.194263)</t>
  </si>
  <si>
    <t>P2826</t>
  </si>
  <si>
    <t>https://gem.wiki/Chivasso–Poirino_Gas_Pipeline</t>
  </si>
  <si>
    <t>Chivasso–Poirino Gas Pipeline</t>
  </si>
  <si>
    <t>Chivasso_Poirino</t>
  </si>
  <si>
    <t>Poirino</t>
  </si>
  <si>
    <t>LINESTRING (7.951279 45.194263, 7.951279 45.153043, 7.933288 45.130836, 7.946782 45.114968, 7.928791 45.095921, 7.933288 45.068927, 7.922044 45.037153, 7.899556 44.99582, 7.89056 44.962414, 7.883814 44.940132)</t>
  </si>
  <si>
    <t>P2827</t>
  </si>
  <si>
    <t>https://gem.wiki/Ciciliano–Melizzano_Gas_Pipeline</t>
  </si>
  <si>
    <t>Maenza–Melizzano Gas Pipeline</t>
  </si>
  <si>
    <t>Ciciliano_Melizzano0</t>
  </si>
  <si>
    <t>Maenza</t>
  </si>
  <si>
    <t>LINESTRING (13.178017 41.522192, 13.231598 41.491647, 13.274326 41.486593, 13.339543 41.484908, 13.407009 41.468059, 13.46323 41.44952, 13.544189 41.434348, 13.586918 41.419172, 13.670125 41.419172, 13.728596 41.412426, 13.805057 41.415799, 13.845536 41.41074, 13.913002 41.41074, 13.971472 41.398932, 14.020947 41.365185, 14.101906 41.346617, 14.164874 41.353369, 14.241335 41.326354, 14.297557 41.297638, 14.380765 41.250314, 14.432488 41.22833, 14.496449 41.175045)</t>
  </si>
  <si>
    <t>P2828</t>
  </si>
  <si>
    <t>https://gem.wiki/Clonmel–Carlow_Gas_Pipeline</t>
  </si>
  <si>
    <t>Clonmel–Gormansten Gas Pipeline</t>
  </si>
  <si>
    <t>Clonmel_Carlow</t>
  </si>
  <si>
    <t>Clonmel</t>
  </si>
  <si>
    <t>LINESTRING (-6.22249 53.638742, -6.213061 53.552911, -6.240271 53.519221, -6.320389 53.45581, -6.374808 53.416187, -6.402018 53.366606, -6.442833 53.299806, -6.525974 53.229282, -6.613651 53.178578, -6.739118 53.141417, -6.755747 53.074264, -6.799585 52.979711, -6.834353 52.868528, -6.860051 52.757974, -6.980984 52.640718, -7.171453 52.585646, -7.247036 52.567273, -7.334712 52.510268, -7.555415 52.449505, -7.727744 52.372048)</t>
  </si>
  <si>
    <t>P2829</t>
  </si>
  <si>
    <t>https://gem.wiki/Clonmel–Waterford_Gas_Pipeline</t>
  </si>
  <si>
    <t>Clonmel–Waterford Gas Pipeline</t>
  </si>
  <si>
    <t>Clonmel_Waterford</t>
  </si>
  <si>
    <t>Waterford</t>
  </si>
  <si>
    <t>LINESTRING (-7.727744 52.372048, -7.367969 52.33881, -7.189593 52.240799, -7.056567 52.246353)</t>
  </si>
  <si>
    <t>P2830</t>
  </si>
  <si>
    <t>https://www.gem.wiki/C%C3%B3rdoba-Alcazar_de_San_Juan_Gas_Pipeline</t>
  </si>
  <si>
    <t>Cordoba–Alcazar De San Juan Gas Pipeline</t>
  </si>
  <si>
    <t>Cordoba_AlcazarDeSanJuan0</t>
  </si>
  <si>
    <t>MULTILINESTRING ((-3.7803 38.1899989599442, -3.8595 38.1555831948288, -3.89949 38.1492934281142, -3.97748 38.1131167443255, -4.00347 38.1083967246142, -4.07346 38.0784961842424, -4.16034 38.0587837628099, -4.20343 38.0229620853535, -4.29201 38.0135324158871, -4.67982 37.9097259997352), (-3.7803 38.19, -3.386 38.28), (-3.386 38.2802829778344, -3.32188 38.3196980179584, -3.31868 38.3356256789374, -3.36783 38.3616054001067, -3.386 38.3716595641854, -3.38493 38.4570635537616, -3.40523 38.5131073045713, -3.39562 38.5749557107929, -3.38386 38.6066950300957, -3.38066 38.64509753581, -3.35501 38.7126693357292, -3.35394 38.8176541740068, -3.34967 38.8875582200577, -3.32723 38.9133387836678, -3.33257 38.9307977179219, -3.34539 38.9590554545132, -3.32865 39.2711365413173, -3.34837 39.3194469066414, -3.35012 39.3898635664431))</t>
  </si>
  <si>
    <t>P2833</t>
  </si>
  <si>
    <t>https://gem.wiki/Cordoba–Puertollano_Gas_Pipeline</t>
  </si>
  <si>
    <t>Cordoba–Puertollano Gas Pipeline</t>
  </si>
  <si>
    <t>Cordoba_Puertollano</t>
  </si>
  <si>
    <t>LINESTRING (-4.68003 37.9060000904536, -4.64847 37.9685520816314, -4.62586 37.9848260444503, -4.59932 38.0328519260155, -4.56589 38.0684636978663, -4.52165 38.1295826103512, -4.41056 38.2748244713969, -4.32195 38.3903668955799, -4.29409 38.58663335634, -4.10724 38.6860222751417)</t>
  </si>
  <si>
    <t>P2834</t>
  </si>
  <si>
    <t>https://gem.wiki/Cortemaggiore–Pontremoli_Gas_Pipeline</t>
  </si>
  <si>
    <t>Cortemaggiore–Ripalta Gas Pipeline</t>
  </si>
  <si>
    <t>Cortemaggiore_Pontremoli</t>
  </si>
  <si>
    <t>LINESTRING (9.916781 45.287688, 9.826827 45.24812, 9.78185 45.200601, 9.777352 45.1689, 9.78185 45.148285, 9.829076 45.095921, 9.849315 45.054631, 9.865058 45.029206, 9.905537 45.002181, 9.917407 44.985031)</t>
  </si>
  <si>
    <t>P2835</t>
  </si>
  <si>
    <t>https://gem.wiki/Craughwell–Loughshinny_Gas_Pipeline</t>
  </si>
  <si>
    <t>Craughwell–Loughshinny Gas Pipeline</t>
  </si>
  <si>
    <t>Craughwell_Loughshinny</t>
  </si>
  <si>
    <t>LINESTRING (-6.08249 53.53813, -6.240271 53.519221, -6.532021 53.506636, -6.81319 53.489551, -7.292386 53.458061, -7.830537 53.425646, -7.930306 53.422043, -8.181242 53.324643, -8.655903 53.25416, -8.722416 53.241949, -8.732998 53.20937, -8.844861 53.231092)</t>
  </si>
  <si>
    <t>P2836</t>
  </si>
  <si>
    <t>https://gem.wiki/Craughwell–Bellanaby_Gas_Pipeline</t>
  </si>
  <si>
    <t>Craughwell–Bellanaboy Gas Pipeline</t>
  </si>
  <si>
    <t>Craughwell_Portacloy</t>
  </si>
  <si>
    <t>Bellanaboy</t>
  </si>
  <si>
    <t>LINESTRING (-8.844861 53.231092, -8.701253 53.28806, -8.952188 53.51158, -9.136611 53.737504, -9.139634 53.891013, -9.466153 54.095408, -9.571969 54.100726, -9.828951 54.270562)</t>
  </si>
  <si>
    <t>P2837</t>
  </si>
  <si>
    <t>https://gem.wiki/Crotone–Maida_Santa_Eufemia_Gas_Pipeline</t>
  </si>
  <si>
    <t>Crotone–Maida Santa Eufemia Gas Pipeline</t>
  </si>
  <si>
    <t>Crotone_MaidaSEufemia</t>
  </si>
  <si>
    <t>650, 550</t>
  </si>
  <si>
    <t>Maida Santa Eufemia</t>
  </si>
  <si>
    <t>Crotone</t>
  </si>
  <si>
    <t>LINESTRING (17.093479 39.099573, 17.09092 39.052381, 17.087546 39.02618, 17.094293 39.00128, 17.094293 38.978994, 17.048754 38.937025, 17.011647 38.939649, 16.966108 38.952766, 16.905389 38.942272, 16.805877 38.923904, 16.743471 38.898968, 16.677692 38.862205, 16.618659 38.846444, 16.581553 38.858265, 16.546134 38.881902, 16.514087 38.901594, 16.498908 38.914718, 16.449724 38.922041)</t>
  </si>
  <si>
    <t>P2838</t>
  </si>
  <si>
    <t>https://gem.wiki/Cupello–Biccari_Gas_Pipeline</t>
  </si>
  <si>
    <t>San Salvo–Biccari Gas Pipeline</t>
  </si>
  <si>
    <t>Cupello_Biccari</t>
  </si>
  <si>
    <t>LINESTRING (14.610148 42.195275, 14.646973 42.144855, 14.636853 42.087303, 14.63348 42.017169, 14.687453 42.017169, 14.761665 41.964518, 14.856117 41.874158, 14.940449 41.823902, 15.004542 41.783669, 15.068634 41.72579, 15.132726 41.662819, 15.200192 41.566985, 15.244045 41.481118, 15.254165 41.445727, 15.216828 41.403627)</t>
  </si>
  <si>
    <t>P2839</t>
  </si>
  <si>
    <t>https://gem.wiki/Cupello–Vastogirardi_Gas_Pipeline</t>
  </si>
  <si>
    <t>San Salvo–Vastogirardi Gas Pipeline</t>
  </si>
  <si>
    <t>Cupello_Vastogirardi</t>
  </si>
  <si>
    <t>LINESTRING (14.63348 42.017169, 14.600793 41.989654, 14.581902 41.967587, 14.572457 41.944508, 14.515786 41.902342, 14.473957 41.89029, 14.442923 41.89029, 14.363313 41.874216, 14.326882 41.855124, 14.302594 41.834015, 14.297197 41.810888, 14.308441 41.759252)</t>
  </si>
  <si>
    <t>P2843</t>
  </si>
  <si>
    <t>https://gem.wiki/Dobré_Pole–Namest_nad_Oslavou_Gas_Pipeline</t>
  </si>
  <si>
    <t>Dobré Pole–Namest nad Oslavou Gas Pipeline</t>
  </si>
  <si>
    <t>Transgas_21</t>
  </si>
  <si>
    <t>Oslavou</t>
  </si>
  <si>
    <t>Kourim</t>
  </si>
  <si>
    <t>LINESTRING (14.931 50.0165, 15.0907 49.9242, 15.1168 49.8764, 15.198 49.8271, 15.3501 49.7735, 15.3689 49.7561, 15.4138 49.6793, 15.5964 49.6112, 15.6079 49.5808, 15.6847 49.5432, 15.6963 49.5243, 15.7166 49.4939, 15.8571 49.3954, 15.9426 49.3519, 15.9759 49.3316, 16.0577 49.3074, 16.0938 49.2972, 16.1528 49.2929, 16.1557 49.2055)</t>
  </si>
  <si>
    <t>P2844</t>
  </si>
  <si>
    <t>https://gem.wiki/Donges–Chazelles_Gas_Pipeline</t>
  </si>
  <si>
    <t>Donges–Chazelles Gas Pipeline</t>
  </si>
  <si>
    <t>Donges_Chazelles</t>
  </si>
  <si>
    <t>LINESTRING (0.3673 45.6472, 0.1682 45.8179, 0.0702 45.852, -0.1505 46.0565, -0.224 46.0565, -0.3547 46.1245, -0.4528 46.2546, -0.5753 46.3393, -0.7469 46.452, -0.8532 46.497, -0.9104 46.5027, -0.9676 46.542, -1.0329 46.5813, -1.0656 46.6655, -1.1882 46.7496, -1.3271 46.8223, -1.4496 46.8949, -1.4578 46.9396, -1.4987 46.9284, -1.5722 46.9786, -1.7928 47.1345, -1.9726 47.2954, -2.069 47.332)</t>
  </si>
  <si>
    <t>P2845</t>
  </si>
  <si>
    <t>https://gem.wiki/Donges–Paris_Gas_Pipeline</t>
  </si>
  <si>
    <t>Donges–Paris Gas Pipeline</t>
  </si>
  <si>
    <t>Donges_Paris0, Donges_Paris1, Donges_Paris2, Donges_Paris3, Donges_Paris4, Donges_Paris5</t>
  </si>
  <si>
    <t>MULTILINESTRING ((1.8739 48.844, 2.371 48.852), (1.2617 48.4925, 1.8739 48.844), (1.2617 48.4925, 0.6 48.1502), (-0.3531 47.9026, -0.2907 47.9119, -0.2747 47.9258, -0.2518 47.9334, -0.2197 47.935, -0.1808 47.9411, -0.1418 47.9534, -0.1166 47.9641, -0.0754 47.9764, -0.0594 47.9841, -0.0387 47.9871, -0.025 47.9902, 0.0506 48.0132, 0.1308 48.027, 0.156 48.0392, 0.1881 48.0499, 0.2568 48.0683, 0.3095 48.0699, 0.3324 48.0699, 0.3759 48.0775, 0.4607 48.0959, 0.5248 48.1127, 0.5775 48.1265, 0.6 48.1502), (-0.3531 47.9026, -0.4328 47.8817, -0.4973 47.8673, -0.5438 47.8673, -0.5724 47.8481, -0.5832 47.8385, -0.6333 47.8264, -0.8163 47.7739, -1.0437 47.7189, -1.0906 47.7143, -1.1668 47.7027, -1.2014 47.6864, -1.2401 47.6698, -1.3151 47.6658, -1.4159 47.6191, -1.5197 47.5867, -1.6269 47.5648), (-2.069 47.332, -2.0196 47.3488, -1.9791 47.3922, -1.9066 47.407, -1.8045 47.4751, -1.7469 47.514, -1.6662 47.542, -1.6269 47.5648))</t>
  </si>
  <si>
    <t>P2846</t>
  </si>
  <si>
    <t>https://gem.wiki/Dubnitza–Kyustendil_Gas_Pipeline</t>
  </si>
  <si>
    <t>Dubnitza–Kyustendil Gas Pipeline</t>
  </si>
  <si>
    <t>Dubnitza-Kyustendil</t>
  </si>
  <si>
    <t>Dubnitza</t>
  </si>
  <si>
    <t>Kyustendil</t>
  </si>
  <si>
    <t>LINESTRING (23.11 42.2658, 22.6939308 42.2868817)</t>
  </si>
  <si>
    <t>P2848</t>
  </si>
  <si>
    <t>Netherlands, Germany</t>
  </si>
  <si>
    <t>https://gem.wiki/Echt–Nederweert_Gas_Pipeline</t>
  </si>
  <si>
    <t>Ravenstein-Echt Gas Pipeline</t>
  </si>
  <si>
    <t>Echt_Nederweert, Emden_Scheemda</t>
  </si>
  <si>
    <t>Ravenstein</t>
  </si>
  <si>
    <t>Echt</t>
  </si>
  <si>
    <t>LINESTRING (5.648241 51.744258, 5.684044 51.712226, 5.70526 51.702366, 5.710564 51.684283, 5.715868 51.661258, 5.73178 51.648095, 5.737085 51.623405, 5.739737 51.598701, 5.747693 51.585521, 5.774213 51.569039, 5.806037 51.550903, 5.83521 51.534409, 5.851122 51.52286, 5.882946 51.493149, 5.893554 51.476634, 5.898858 51.460113, 5.906814 51.44028, 5.917423 51.422093, 5.946595 51.400589, 5.946595 51.379075, 5.965159 51.345957, 5.978419 51.327732, 5.999636 51.311157, 6.028808 51.286284, 6.042068 51.269695, 6.065936 51.241479, 6.089805 51.224873, 6.097761 51.211584, 6.087153 51.189981, 6.060632 51.168368, 6.063284 51.143418, 6.063284 51.125112, 6.065936 51.11013, 6.065936 51.098473, 6.047372 51.081816, 6.028808 51.071819, 5.943943 51.028472, 5.912119 51.016795)</t>
  </si>
  <si>
    <t>P2849</t>
  </si>
  <si>
    <t>https://gem.wiki/Echt–Puth_Schinnen_Gas_Pipeline</t>
  </si>
  <si>
    <t>Echt–Puth Schinnen Gas Pipeline</t>
  </si>
  <si>
    <t>Echt_PuthSchinnen_1, Echt_PuthSchinnen_2</t>
  </si>
  <si>
    <t>Puth</t>
  </si>
  <si>
    <t>LINESTRING (5.912119 51.016795, 5.88825 50.990928, 5.869686 50.979241, 5.859078 50.975902, 5.870549 50.955432, 5.859078 50.932466, 5.845818 50.922436, 5.819297 50.907388)</t>
  </si>
  <si>
    <t>P2851</t>
  </si>
  <si>
    <t>https://gem.wiki/Entre_Deux_Guiers–Tersanne_Gas_Pipeline</t>
  </si>
  <si>
    <t>Entre Deux Guiers–Tersanne Gas Pipeline</t>
  </si>
  <si>
    <t>Lyon_Annecy_11</t>
  </si>
  <si>
    <t>Tersanne</t>
  </si>
  <si>
    <t>LINESTRING (5.0154 45.2149, 5.0443 45.2444, 5.0927 45.2572, 5.1531 45.2771, 5.2176 45.2785, 5.266 45.2714, 5.3304 45.2785, 5.3848 45.2912, 5.4312 45.3196, 5.4795 45.3422, 5.5662 45.3833, 5.6165 45.4003, 5.7233 45.4201, 5.7521 45.4333)</t>
  </si>
  <si>
    <t>P2852</t>
  </si>
  <si>
    <t>https://gem.wiki/Lasow–Odolanow_Gas_Pipeline</t>
  </si>
  <si>
    <t>Lasow–Odolanow Gas Pipeline</t>
  </si>
  <si>
    <t>EntsoG_1, EntsoG_2</t>
  </si>
  <si>
    <t>Lasow</t>
  </si>
  <si>
    <t>Odolanow</t>
  </si>
  <si>
    <t>MULTILINESTRING ((17.03 51.12, 16.6412 51.142, 16.5706 51.1472, 16.5292 51.1627, 16.3793 51.1747, 16.2829 51.1713, 16.1933 51.1747, 16.1709 51.1747, 16.1433 51.1747, 16.0899 51.1093, 16.0468 51.0886, 16.0037 51.0886, 15.952 51.0955, 15.8883 51.0989, 15.8349 51.0972, 15.8004 51.0955, 15.7763 51.0903, 15.6419 51.018, 15.6126 51.0162, 15.5575 51.0231, 15.5161 51.03, 15.43 51.0696, 15.3886 51.0851, 15.3335 51.1075, 15.3145 51.1317, 15.2973 51.1575, 15.2921 51.1782, 15.2473 51.1903, 15.1956 51.2006, 15.1698 51.2144, 15.0308 51.2286), (17.6739 51.5743, 17.576 51.5023, 17.4987 51.4952, 17.4588 51.4577, 17.3862 51.4507, 17.3604 51.446, 17.3347 51.439, 17.3136 51.4249, 17.2925 51.4039, 17.2784 51.3898, 17.2667 51.3758, 17.2503 51.3547, 17.2339 51.3359, 17.2222 51.3242, 17.2199 51.3195, 17.2128 51.3102, 17.2058 51.2984, 17.2011 51.2914, 17.1964 51.2797, 17.1918 51.2727, 17.1894 51.2633, 17.1871 51.2586, 17.1847 51.2516, 17.1777 51.2399, 17.1824 51.2164, 17.1918 51.1696, 17.1941 51.1602, 17.1707 51.1532, 17.1332 51.1391, 17.0699 51.1204, 17.03 51.12))</t>
  </si>
  <si>
    <t>P2853</t>
  </si>
  <si>
    <t>https://gem.wiki/Odolanow–Husow_Gas_Pipeline</t>
  </si>
  <si>
    <t>Odolanow–Husow Gas Pipeline</t>
  </si>
  <si>
    <t>EntsoG_10, EntsoG_11, EntsoG_12, EntsoG_13</t>
  </si>
  <si>
    <t>Husow</t>
  </si>
  <si>
    <t>MULTILINESTRING ((17.6739 51.5743, 17.9285 51.3429, 17.9385 51.2979, 18.2433 51.0693, 18.2371 51.058, 18.2458 51.0356, 18.3957 50.9256, 18.5144 50.8457, 18.5793 50.7882, 18.6156 50.7432, 18.6468 50.692, 18.6793 50.6346, 18.8004 50.6196, 18.9366 50.5684, 19.0953 50.4522, 19.159 50.3947, 19.184 50.351, 19.2239 50.3273, 19.2327 50.3397, 19.2402 50.346, 19.2589 50.341, 19.2592 50.3403, 19.2588 50.3397, 19.2587 50.339, 19.2588 50.3384, 19.2591 50.3379), (19.2592 50.3379, 19.3777 50.3054, 19.5554 50.2943, 19.9395 50.1722, 20.1038 50.1767, 20.1194 50.1478, 20.4236 50.1167, 21.0053 50.0323, 21.1248 50.0138), (21.1248 50.0138, 22.0285 50.0658), (22.0285 50.0658, 22.2641 50.007))</t>
  </si>
  <si>
    <t>P2854</t>
  </si>
  <si>
    <t>https://gem.wiki/Tworzen–Cieszyn_Gas_Pipeline</t>
  </si>
  <si>
    <t>Tworzen–Cieszyn Gas Pipeline</t>
  </si>
  <si>
    <t>EntsoG_14, EntsoG_15, EntsoG_16</t>
  </si>
  <si>
    <t>Cieszyn</t>
  </si>
  <si>
    <t>MULTILINESTRING ((19.2591 50.3379, 19.2598 50.3211, 19.2589 50.3089, 19.2559 50.3025, 19.2451 50.2981, 19.228 50.2927, 19.2015 50.2854, 19.1839 50.281, 19.1726 50.2785, 19.177 50.2731, 19.1814 50.2697, 19.1839 50.2667, 19.1873 50.2638, 19.1907 50.2589, 19.1932 50.2555, 19.1961 50.2506, 19.1981 50.2471, 19.2015 50.2403, 19.2054 50.2305, 19.2064 50.2261, 19.2079 50.2202, 19.2094 50.2148, 19.2103 50.2109, 19.2108 50.204, 19.2123 50.1967, 19.2128 50.1927, 19.2133 50.1854, 19.2148 50.1736, 19.2172 50.1614, 19.2177 50.1521, 19.2192 50.1413, 19.2197 50.1329, 19.2206 50.1217, 19.2216 50.1109, 19.2221 50.104, 19.2236 50.0947, 19.2251 50.0888, 19.226 50.0834, 19.2265 50.079, 19.227 50.0751, 19.228 50.0682, 19.2285 50.0614, 19.2285 50.0545, 19.2285 50.0481, 19.229 50.0428, 19.229 50.0398, 19.2286 50.0387, 19.227 50.0366), (19.227 50.0366, 19.2141 50.0179, 19.1783 49.9919, 19.135 49.966, 19.0881 49.9302, 19.0102 49.9005, 18.9485 49.8696, 18.9003 49.8424, 18.8533 49.8264, 18.7897 49.801), (18.7897 49.801, 18.6355 49.7498))</t>
  </si>
  <si>
    <t>P2855</t>
  </si>
  <si>
    <t>https://gem.wiki/Oswiecim–Pogorska_Wola_Gas_Pipeline</t>
  </si>
  <si>
    <t>Oswiecim–Pogorska Wola Gas Pipeline</t>
  </si>
  <si>
    <t>EntsoG_17</t>
  </si>
  <si>
    <t>Oswiecim</t>
  </si>
  <si>
    <t>PogorskaWola</t>
  </si>
  <si>
    <t>LINESTRING (19.227 50.0366, 19.2554 50.0214, 19.2865 50.0024, 19.2969 50.0041, 19.3314 50.0214, 19.3694 50.0111, 19.4489 49.999, 19.549 49.9938, 19.6906 50.0024, 19.7338 50.0059, 19.7874 49.9869, 19.8271 49.9662, 19.8357 49.9558, 19.9134 49.9333, 20.0205 49.999, 20.15 50.0007, 20.1932 49.9903, 20.8288 49.9886, 20.8374 50.0162, 21.1248 50.0138)</t>
  </si>
  <si>
    <t>P2856</t>
  </si>
  <si>
    <t>https://gem.wiki/Bonikowo–Lwowek_Gas_Pipeline</t>
  </si>
  <si>
    <t>Bonikowo–Lwowek Gas Pipeline</t>
  </si>
  <si>
    <t>EntsoG_31</t>
  </si>
  <si>
    <t>Bonikowo</t>
  </si>
  <si>
    <t>Lwowek</t>
  </si>
  <si>
    <t>LINESTRING (16.07 52.5007, 16.6455 52.1201, 16.6923 52.0971, 16.708 52.0826, 16.72 52.0681, 16.7333 52.0428, 16.7454 52.0199, 16.7562 51.9945, 16.7635 51.9728, 16.7755 51.9535, 16.7828 51.9463, 16.7997 51.9306, 16.8226 51.9137, 16.8455 51.8932, 16.889 51.8618, 16.9131 51.8521, 16.9734 51.828, 17.0193 51.8172, 17.0494 51.8123, 17.0627 51.8099, 17.0977 51.8015, 17.1206 51.7918, 17.1532 51.781, 17.1858 51.7713, 17.1966 51.7665, 17.2099 51.7604, 17.2809 51.7324, 17.2945 51.7225, 17.3255 51.7076, 17.3541 51.6952, 17.3764 51.6853, 17.3938 51.6766, 17.4037 51.6716, 17.4149 51.6654, 17.4335 51.658, 17.4558 51.648, 17.472 51.6394, 17.4955 51.6257, 17.5129 51.6158, 17.5328 51.6059, 17.5464 51.6009, 17.5688 51.5947, 17.5973 51.5848, 17.6221 51.5785, 17.6739 51.5743)</t>
  </si>
  <si>
    <t>P2857</t>
  </si>
  <si>
    <t>https://gem.wiki/Wloclawek–Rembelszczyzna_Gas_Pipeline</t>
  </si>
  <si>
    <t>Wloclawek–Rembelszczyzna Gas Pipeline</t>
  </si>
  <si>
    <t>EntsoG_5</t>
  </si>
  <si>
    <t>Wloclawek</t>
  </si>
  <si>
    <t>LINESTRING (18.9587 52.7076, 19.3772 52.6408, 19.546 52.5798, 19.6088 52.5648, 19.9136 52.5538, 19.928 52.544, 19.9424 52.5492, 20.329 52.529, 20.8722 52.4344, 20.8837 52.3946, 21.03 52.3701, 21.03 52.37)</t>
  </si>
  <si>
    <t>P2858</t>
  </si>
  <si>
    <t>https://gem.wiki/Wronow–Husow_Gas_Pipeline</t>
  </si>
  <si>
    <t>Wronow–Husow Gas Pipeline</t>
  </si>
  <si>
    <t>EntsoG_8</t>
  </si>
  <si>
    <t>Wronow</t>
  </si>
  <si>
    <t>LINESTRING (22.05 51.4612, 22.0295 51.4209, 22.0824 51.3151, 22.1508 51.2156, 22.1539 51.1689, 22.1539 51.1036, 22.1477 51.0445, 22.1508 50.973, 22.1508 50.9201, 22.1663 50.8641, 22.2099 50.8144, 22.2223 50.7771, 22.1539 50.7055, 22.1072 50.6713, 22.101 50.6122, 22.0979 50.5562, 22.0948 50.4785, 22.2037 50.3945, 22.3281 50.2794, 22.3965 50.2234, 22.4587 50.1643, 22.5116 50.1426, 22.5924 50.099, 22.6298 50.0524, 22.6778 50.0161)</t>
  </si>
  <si>
    <t>P2859</t>
  </si>
  <si>
    <t>https://gem.wiki/Wronow–Jaroslaw_Gas_Pipeline</t>
  </si>
  <si>
    <t>Wronow–Jaroslaw Gas Pipeline</t>
  </si>
  <si>
    <t>EntsoG_9</t>
  </si>
  <si>
    <t>Jaroslaw</t>
  </si>
  <si>
    <t>LINESTRING (22.2642 50.007, 22.6778 50.0161)</t>
  </si>
  <si>
    <t>P2860</t>
  </si>
  <si>
    <t>https://gem.wiki/Epe–Legden_Gas_Pipeline</t>
  </si>
  <si>
    <t>Epe–St.Hubert Gas Pipeline</t>
  </si>
  <si>
    <t>Epe_Legden</t>
  </si>
  <si>
    <t>Thyssengas [unknown %]</t>
  </si>
  <si>
    <t>Macquarie Group Limited [unknown %]</t>
  </si>
  <si>
    <t>EpeH</t>
  </si>
  <si>
    <t>MULTILINESTRING ((6.791267 52.205763, 6.888484 52.210676, 6.974014 52.205301, 7.022262 52.195892, 7.072703 52.171688, 7.102217 52.119135), (7.102217 52.119135, 7.109 52.047, 7.020734 52.014865, 6.960474 51.922503, 6.881108 51.730838, 6.86641 51.65066, 6.860531 51.535613, 6.825257 51.489879, 6.5122 51.438144, 6.494563 51.329906, 6.411483 51.327512))</t>
  </si>
  <si>
    <t>P2861</t>
  </si>
  <si>
    <t>https://gem.wiki/ERM_Extra_Gas_Pipeline</t>
  </si>
  <si>
    <t>ERM Extra Gas Pipeline</t>
  </si>
  <si>
    <t>ERM_Extra</t>
  </si>
  <si>
    <t>Au am Rhein</t>
  </si>
  <si>
    <t>LINESTRING (8.24 48.953, 8.3028 49.0133)</t>
  </si>
  <si>
    <t>P2862</t>
  </si>
  <si>
    <t>https://gem.wiki/ERM-Pipeline_GASCADE</t>
  </si>
  <si>
    <t>ERM-Pipeline GASCADE</t>
  </si>
  <si>
    <t>ERM</t>
  </si>
  <si>
    <t>LINESTRING (8.3028 49.0133, 8.3645 49.0787, 8.3853 49.1499, 8.3916 49.2797, 8.4336 49.4531)</t>
  </si>
  <si>
    <t>P2863</t>
  </si>
  <si>
    <t>https://gem.wiki/Etrez–Annecy_Gas_Pipeline</t>
  </si>
  <si>
    <t>Etrez–Annecy Gas Pipeline</t>
  </si>
  <si>
    <t>Etrez_Annecy0, Etrez_Annecy1</t>
  </si>
  <si>
    <t>Etrez</t>
  </si>
  <si>
    <t>MULTILINESTRING ((5.6126 46.2361, 5.5745 46.2596, 5.5344 46.261, 5.5069 46.2537, 5.3379 46.2975, 5.3105 46.3325, 5.2115 46.336), (6.126 45.903, 6.0668 45.9303, 6.0139 45.9407, 5.9593 45.9925, 5.9063 46.0315, 5.6134 46.2368, 5.6126 46.2361))</t>
  </si>
  <si>
    <t>P2865</t>
  </si>
  <si>
    <t>https://gem.wiki/Ewijk–Ommen_Gas_Pipeline</t>
  </si>
  <si>
    <t>Ewijk–Ommen Gas Pipeline</t>
  </si>
  <si>
    <t>Ewijk_Ommen_10, Ewijk_Ommen_11, Ewijk_Ommen_12, Ewijk_Ommen_13, Ewijk_Ommen_14, Ewijk_Ommen_15, Ewijk_Ommen_20, Ewijk_Ommen_21, Ewijk_Ommen_22, Ewijk_Ommen_23, Ewijk_Ommen_24, Ewijk_Ommen_25, Ewijk_Ommen_30, Ewijk_Ommen_31, Ewijk_Ommen_32, Ewijk_Ommen_33, Ewijk_Ommen_34, Ewijk_Ommen_35</t>
  </si>
  <si>
    <t>Ewijk</t>
  </si>
  <si>
    <t>Ommen</t>
  </si>
  <si>
    <t>LINESTRING (5.689348 51.805793, 5.722498 51.828745, 5.743715 51.845132, 5.786147 51.864789, 5.833884 51.872158, 5.902836 51.877888, 5.934661 51.873795, 5.954551 51.877888, 5.965159 51.88771, 5.969137 51.895894, 5.979745 51.934336, 5.999636 51.945781, 6.055328 51.943329, 6.124281 51.952319, 6.154779 51.969478, 6.179974 51.98418, 6.18793 52.005409, 6.233014 52.054359, 6.244948 52.064142, 6.2476 52.108956, 6.284729 52.130125, 6.308597 52.149657, 6.337769 52.165927, 6.337769 52.165927, 6.335117 52.195198, 6.327161 52.248811, 6.319205 52.292628, 6.327161 52.352604, 6.345726 52.386608, 6.353682 52.409262, 6.353682 52.428671, 6.353682 52.444839, 6.356334 52.462617, 6.361638 52.488463, 6.380202 52.519134, 6.388158 52.543334)</t>
  </si>
  <si>
    <t>P2866</t>
  </si>
  <si>
    <t>https://gem.wiki/Finsing–Pfronten_Gas_Pipeline</t>
  </si>
  <si>
    <t>Finsing–Pfronten Gas Pipeline</t>
  </si>
  <si>
    <t>Finsing_Pfronten</t>
  </si>
  <si>
    <t>Bayernets [unknown %]</t>
  </si>
  <si>
    <t>Bayerngas GmbH [unknown %]; Stadtwerke Augsburg Holding GmbH [unknown %]; Stadtwerke München GmbH [unknown %]</t>
  </si>
  <si>
    <t>Pfronten</t>
  </si>
  <si>
    <t>LINESTRING (11.818937 48.215787, 11.839638 48.171417, 11.844024 48.105559, 11.8165 48.0426, 11.795776 48.00001, 11.714632 47.945686, 11.600592 47.892775, 11.276016 47.813307, 11.00846 47.76026, 10.718974 47.745516, 10.569844 47.677636, 10.718974 47.550494, 10.771608 47.405233)</t>
  </si>
  <si>
    <t>P2867</t>
  </si>
  <si>
    <t>https://gem.wiki/Zeebrugge–Mons_Gas_Pipeline</t>
  </si>
  <si>
    <t>Zeebrugge–Mons Gas Pipeline</t>
  </si>
  <si>
    <t>Fluxys_10, Fluxys_11</t>
  </si>
  <si>
    <t>Mons</t>
  </si>
  <si>
    <t>LINESTRING (3.1993345101697965 51.31845564340635, 3.2319970573222236 51.28680332975831, 3.4002091751572223 51.21831890461241, 3.4475698685282414 51.22138755296647, 3.613735120034969 50.96097752325059, 3.610468865319726 50.85181534949881, 3.662728940763609 50.729993979367414, 3.7345865444989483 50.63686588011403, 3.8129766576647737 50.553930135976735, 3.9338280821287537 50.45421429317619)</t>
  </si>
  <si>
    <t>P2869</t>
  </si>
  <si>
    <t>https://www.gem.wiki/Zeebrugge%E2%80%93Berneau_Gas_Pipeline</t>
  </si>
  <si>
    <t>Zeebrugge–Berneau Gas Pipeline</t>
  </si>
  <si>
    <t>Fluxys_20, Fluxys_21, Fluxys_22</t>
  </si>
  <si>
    <t>MULTILINESTRING ((3.1993345101697965 51.31845564340635, 3.2319970573222236 51.28680332975831, 3.4002091751572223 51.21831890461241, 3.4475698685282414 51.22138755296647), (3.441999468471382 51.2066648285886, 4.2592342207044185 50.87539580165825, 4.44214448475801 50.910420247264355, 4.474807031910437 50.87230414481255, 4.920650835034076 50.78049167708514, 5.276672598995529 50.726764851821684, 5.724149494983779 50.74433617609466))</t>
  </si>
  <si>
    <t>P2872</t>
  </si>
  <si>
    <t>https://gem.wiki/Foligno–Gallese_Civita_Cast_Gas_Pipeline</t>
  </si>
  <si>
    <t>Foligno-Terni-Civita Castellana Gas Pipeline</t>
  </si>
  <si>
    <t>Foligno_GalleseCivitaCast</t>
  </si>
  <si>
    <t>Civita Castellana</t>
  </si>
  <si>
    <t>Foligno</t>
  </si>
  <si>
    <t>LINESTRING (12.675397 42.968015, 12.632209 42.902669, 12.617813 42.845699, 12.545833 42.78445, 12.540075 42.742174, 12.554471 42.685055, 12.537196 42.638475, 12.542954 42.572781, 12.55735 42.521873, 12.505524 42.447558, 12.429266 42.363575)</t>
  </si>
  <si>
    <t>P2874</t>
  </si>
  <si>
    <t>https://gem.wiki/Forchheim–Finsing_Gas_Pipeline</t>
  </si>
  <si>
    <t>Forchheim–Finsing Gas Pipeline</t>
  </si>
  <si>
    <t>Forchheim_Finsing</t>
  </si>
  <si>
    <t>Forchheim</t>
  </si>
  <si>
    <t>LINESTRING (11.684 48.8268, 11.6732 48.8281, 11.6885 48.7495, 11.7232 48.7134, 11.7065 48.6286, 11.7482 48.5633, 11.7552 48.5327, 11.7552 48.523, 11.7482 48.4855, 11.744 48.4493, 11.7468 48.4313, 11.7621 48.409, 11.7885 48.3521, 11.798 48.223)</t>
  </si>
  <si>
    <t>P2875</t>
  </si>
  <si>
    <t>https://gem.wiki/Fos_Sur_Mer–Tersanne_Gas_Pipeline</t>
  </si>
  <si>
    <t>Fos Sur Mer–Tersanne Gas Pipeline</t>
  </si>
  <si>
    <t>FosSurMer_Tersanne0, FosSurMer_Tersanne1, FosSurMer_Tersanne2, FosSurMer_Tersanne3</t>
  </si>
  <si>
    <t>Fos Sur Mer</t>
  </si>
  <si>
    <t>MULTILINESTRING ((4.8121 43.6386, 4.8911 43.4498), (4.883 44.0856, 4.8688 44.0387, 4.8639 43.9853, 4.8747 43.9487, 4.8688 43.8769, 4.8385 43.8551, 4.8307 43.7881, 4.8571 43.7521, 4.8121 43.6386), (4.9356 44.5459, 4.9384 44.4862, 4.9204 44.427, 4.9294 44.4102, 4.9168 44.3883, 4.8807 44.1365, 4.883 44.0857), (4.9356 44.5459, 4.9312 44.635, 4.9358 44.8045, 4.9639 44.8543, 4.9967 44.8874, 5.0107 44.9437, 5.0107 44.9603, 4.9686 45, 4.9686 45.0529, 4.9826 45.1387, 5.0154 45.2149))</t>
  </si>
  <si>
    <t>P2876</t>
  </si>
  <si>
    <t>https://gem.wiki/Gagliano_Sparacollo–Calderari_Enna_Gas_Pipeline</t>
  </si>
  <si>
    <t>Enna-Bronte Gas Pipeline</t>
  </si>
  <si>
    <t>GaglianoSparacollo_CalderariEnna_1</t>
  </si>
  <si>
    <t>Bronte</t>
  </si>
  <si>
    <t>LINESTRING (14.380801 37.547006, 14.465861 37.594218, 14.534676 37.633766, 14.602142 37.648724, 14.649368 37.682903, 14.682157 37.726495, 14.718183 37.750148, 14.745169 37.785347, 14.797793 37.804539, 14.811286 37.842909, 14.845019 37.85889, 14.858512 37.85676, 14.863909 37.840778, 14.912485 37.84504, 14.938121 37.864217, 14.951615 37.891908, 14.947567 37.923846, 14.959711 37.946194, 15.021779 37.95577, 15.066306 37.966409, 15.0798 37.995125)</t>
  </si>
  <si>
    <t>P2877</t>
  </si>
  <si>
    <t>https://gem.wiki/Gallese_Civita_Cast–Oricola_Gas_Pipeline</t>
  </si>
  <si>
    <t>Gallese Civita Cast–Oricola Gas Pipeline</t>
  </si>
  <si>
    <t>GalleseCivitaCast_Oricola</t>
  </si>
  <si>
    <t>Oricola</t>
  </si>
  <si>
    <t>Gallese</t>
  </si>
  <si>
    <t>LINESTRING (12.429266 42.363575, 12.548712 42.305052, 12.59478 42.300793, 12.672518 42.23048, 12.707068 42.170758, 12.833753 42.160088, 12.902854 42.189961, 12.960437 42.136607, 12.963317 42.106709, 13.05833 42.049009)</t>
  </si>
  <si>
    <t>P2879</t>
  </si>
  <si>
    <t>https://gem.wiki/Goleniow–Gdynia_Gas_Pipeline</t>
  </si>
  <si>
    <t>Goleniow–Gdynia Gas Pipeline</t>
  </si>
  <si>
    <t>EntsoG_19</t>
  </si>
  <si>
    <t>Gdansk</t>
  </si>
  <si>
    <t>LINESTRING (18.615 54.359, 18.5708 54.4045, 18.5654 54.4409, 18.5553 54.4548, 18.5522 54.471, 18.5406 54.4904, 18.5329 54.5059, 18.5337 54.5198, 18.454 54.55, 18.4106 54.5569, 18.3588 54.5809, 18.3479 54.6011, 18.3193 54.6041, 18.1754 54.6096, 18.1614 54.6072, 18.1506 54.5879, 18.14 54.5794, 18.0989 54.5651, 18.015 54.5643, 17.9743 54.5672, 17.9315 54.5773, 17.8941 54.584, 17.8446 54.5781, 17.7964 54.553, 17.7666 54.5387, 17.7225 54.524, 17.6927 54.5246, 17.6581 54.5065, 17.6136 54.4949, 17.5724 54.485, 17.5344 54.4793, 17.4833 54.4768, 17.4578 54.462, 17.4033 54.457, 17.2698 54.4471, 17.2277 54.4545, 17.2055 54.4628, 17.1321 54.4694, 17.1205 54.4686, 17.0983 54.4595, 17.0801 54.4529, 16.9548 54.4364, 16.8905 54.4216, 16.8534 54.415, 16.8039 54.396, 16.7141 54.3663, 16.6791 54.3511, 16.6401 54.3352, 16.5921 54.3369, 16.5193 54.3121, 16.4892 54.289, 16.4803 54.2766, 16.4377 54.2712, 16.3809 54.2535, 16.3382 54.2393, 16.3098 54.2375, 16.2708 54.2304, 16.1962 54.2269, 16.1625 54.2233, 16.1252 54.1931, 16.0773 54.1896, 15.9796 54.1984, 15.8962 54.1967, 15.8553 54.1878, 15.8163 54.1771, 15.7701 54.1807, 15.7115 54.1576, 15.6849 54.1541, 15.6174 54.1594, 15.5783 54.1416, 15.5641 54.1168, 15.534 54.099, 15.518 54.0901, 15.5073 54.0653, 15.4913 54.0369, 15.4718 54.0085, 15.4505 53.9907, 15.431 53.9801, 15.4239 53.9712, 15.4186 53.9534, 15.3972 53.9375, 15.3901 53.9304, 15.383 53.9126, 15.383 53.9037, 15.3813 53.8966, 15.3759 53.8806, 15.3514 53.8572, 15.3189 53.8442, 15.2856 53.8287, 15.266 53.8039)</t>
  </si>
  <si>
    <t>P2880</t>
  </si>
  <si>
    <t>https://www.gem.wiki/Gormansten%E2%80%93Virginia_Gas_Pipeline</t>
  </si>
  <si>
    <t>Gormansten–Virginia Gas Pipeline</t>
  </si>
  <si>
    <t>Gormanstown_Dundalk</t>
  </si>
  <si>
    <t>LINESTRING (-6.22249 53.638742, -6.311319 53.720513, -6.377832 53.802725, -6.444345 53.820576, -6.728537 53.845554, -6.879703 53.813436, -7.036915 53.841987)</t>
  </si>
  <si>
    <t>P2881</t>
  </si>
  <si>
    <t>Belgium, Netherlands</t>
  </si>
  <si>
    <t>https://gem.wiki/Gravenvoeren–Bemelen_Gas_Pipeline</t>
  </si>
  <si>
    <t>Gravenvoeren–Bemelen Gas Pipeline</t>
  </si>
  <si>
    <t>Gravenvoeren_Bemelen</t>
  </si>
  <si>
    <t>Fluxys Belgium NV [unknown %]; Gasunie Transport Services  [unknown %]</t>
  </si>
  <si>
    <t>Fluxys [unknown %]; Gasunie [unknown %]</t>
  </si>
  <si>
    <t>Bemelen</t>
  </si>
  <si>
    <t>LINESTRING (5.7611628 50.7587829, 5.758 50.84)</t>
  </si>
  <si>
    <t>P2882</t>
  </si>
  <si>
    <t>https://www.gem.wiki/Wijngaarden%E2%80%93Schmeeda_Gas_Pipeline</t>
  </si>
  <si>
    <t>Wijngaarden–Schmeeda Gas Pipeline</t>
  </si>
  <si>
    <t>Wjingaarden-Beverwijk</t>
  </si>
  <si>
    <t>Wijngaarden_Beverwijk_14, Wijngaarden_Beverwijk_21, Wijngaarden_Beverwijk_22, Wijngaarden_Beverwijk_23, Wijngaarden_Beverwijk_24</t>
  </si>
  <si>
    <t>Wjingaarden</t>
  </si>
  <si>
    <t>LINESTRING (4.722683 51.818091, 4.720694 51.845542, 4.696826 51.864379, 4.703456 51.895485, 4.699478 51.929839, 4.606657 51.987855, 4.548312 52.021323, 4.553616 52.068626, 4.550964 52.123205, 4.590744 52.146809, 4.597374 52.189101, 4.615939 52.211045, 4.706108 52.261392, 4.72865 52.277621, 4.691521 52.304386, 4.72865 52.334376, 4.74854 52.352199, 4.714064 52.374061, 4.700804 52.39915, 4.680913 52.419372, 4.676935 52.450092, 4.692848 52.475542, 4.700005 52.487665)</t>
  </si>
  <si>
    <t>P2883</t>
  </si>
  <si>
    <t>https://gem.wiki/Grumento–Moliterno_Gas_Pipeline</t>
  </si>
  <si>
    <t>Ferrandina–Moliterno Gas Pipeline</t>
  </si>
  <si>
    <t>Grumento_Moliterno, Grumento_MonteAlpi_1</t>
  </si>
  <si>
    <t>20, 22</t>
  </si>
  <si>
    <t>Moliterno</t>
  </si>
  <si>
    <t>LINESTRING (16.372269 40.578194, 16.33888 40.571232, 16.324487 40.56121, 16.304097 40.539337, 16.305297 40.51837, 16.2993 40.500132, 16.268116 40.481889, 16.223738 40.459991, 16.204548 40.445388, 16.20095 40.438999, 16.185358 40.408868, 16.197351 40.351308, 16.173364 40.331196, 16.139781 40.322966, 16.104998 40.308334, 16.073814 40.292784, 16.048627 40.294613, 16.019842 40.308334, 15.979062 40.320223, 15.946679 40.310163, 15.937084 40.306505, 15.905899 40.304675, 15.883111 40.290039, 15.841353 40.270234)</t>
  </si>
  <si>
    <t>P2885</t>
  </si>
  <si>
    <t>https://gem.wiki/Hajduszoboszlo–Nemesbikk_Gas_Pipeline</t>
  </si>
  <si>
    <t>Hajduszoboszlo–Nemesbikk Gas Pipeline</t>
  </si>
  <si>
    <t>Hajduszoboszlo-Nemesbikk</t>
  </si>
  <si>
    <t>LINESTRING (20.9661 47.8877, 21.0244 47.8329, 21.0909 47.8237, 21.1373 47.7812, 21.179 47.7595, 21.2339 47.7464, 21.2648 47.7386, 21.2849 47.7301, 21.2934 47.7077, 21.288 47.6691, 21.2865 47.6474, 21.2911 47.6219, 21.3166 47.5902, 21.3344 47.5678, 21.3529 47.5531, 21.3661 47.5377, 21.3692 47.523, 21.3663 47.5073)</t>
  </si>
  <si>
    <t>P2886</t>
  </si>
  <si>
    <t>https://gem.wiki/Hajduszoboszlo–Varosfoeld_Gas_Pipeline</t>
  </si>
  <si>
    <t>Hajduszoboszlo–Varosfoeld Gas Pipeline</t>
  </si>
  <si>
    <t>Hajduszoboszlo-Varosfoeld</t>
  </si>
  <si>
    <t>Varosfoeld</t>
  </si>
  <si>
    <t>LINESTRING (19.7691 46.8238, 19.7692 46.8238, 19.9066 46.8114, 20.0478 46.8472, 20.2774 46.9235, 20.4429 46.9571, 20.6054 46.9617, 20.6999 46.9683, 20.8065 47.0063, 20.856 47.0615, 20.9454 47.1624, 21.0254 47.2347, 21.1986 47.3432, 21.288 47.3889, 21.347 47.4403, 21.3663 47.5073)</t>
  </si>
  <si>
    <t>P2887</t>
  </si>
  <si>
    <t>https://gem.wiki/Halmstad–Gilaved_Gas_Pipeline</t>
  </si>
  <si>
    <t>Halmstad–Gilaved Gas Pipeline</t>
  </si>
  <si>
    <t>Halmstad_Gilaved0</t>
  </si>
  <si>
    <t>Hylte</t>
  </si>
  <si>
    <t>LINESTRING (12.86 56.67, 13.26 56.97)</t>
  </si>
  <si>
    <t>P2888</t>
  </si>
  <si>
    <t>https://gem.wiki/Swinoujscie–Goleniow_Gas_Pipeline</t>
  </si>
  <si>
    <t>Swinoujscie–Goleniow Gas Pipeline</t>
  </si>
  <si>
    <t>hand_1</t>
  </si>
  <si>
    <t>Swinoujscie</t>
  </si>
  <si>
    <t>Goleniow</t>
  </si>
  <si>
    <t>LINESTRING (14.8284 53.5638, 14.6626 53.6451, 14.6508 53.7353, 14.6384 53.8384, 14.4374 53.9001, 14.2948 53.9092)</t>
  </si>
  <si>
    <t>P2889</t>
  </si>
  <si>
    <t>https://gem.wiki/Goleniow–Szczecin_Gas_Pipeline</t>
  </si>
  <si>
    <t>Goleniow–Szczecin Gas Pipeline</t>
  </si>
  <si>
    <t>hand_2</t>
  </si>
  <si>
    <t>Szczecin</t>
  </si>
  <si>
    <t>LINESTRING (14.8284 53.5638, 14.715776 53.603624, 14.6412 53.609603, 14.556547 53.58927, 14.556547 53.558153, 14.570656 53.525815, 14.554532 53.491054)</t>
  </si>
  <si>
    <t>P2891</t>
  </si>
  <si>
    <t>https://gem.wiki/Helsinki–Siuntio_Gas_Pipeline</t>
  </si>
  <si>
    <t>Helsinki–Siuntio Gas Pipeline</t>
  </si>
  <si>
    <t>Helsinki-Siuntio</t>
  </si>
  <si>
    <t>GasGrid Finland Oy [unknown %]</t>
  </si>
  <si>
    <t>LINESTRING (24.2278 60.138, 24.8244 60.1698, 24.8558 60.1639, 24.8742 60.1626, 24.8912 60.1659, 24.9298 60.1678, 24.954 60.175)</t>
  </si>
  <si>
    <t>P2892</t>
  </si>
  <si>
    <t>https://gem.wiki/Holowczyce–Pulawy_Gas_Pipeline</t>
  </si>
  <si>
    <t>Holowczyce–Pulawy Gas Pipeline</t>
  </si>
  <si>
    <t>EntsoG_7</t>
  </si>
  <si>
    <t>WysokojePL</t>
  </si>
  <si>
    <t>LINESTRING (22.05 51.4612, 22.2079 51.5344, 22.4033 51.6938, 22.4261 51.7374, 22.6879 51.9745, 22.8908 52.0789, 22.9553 52.1794, 23.2118 52.3956)</t>
  </si>
  <si>
    <t>P2893</t>
  </si>
  <si>
    <t>https://gem.wiki/Hospozin–Dobré_Pole_Gas_Pipeline</t>
  </si>
  <si>
    <t>Hospozin–Dobré Pole Gas Pipeline</t>
  </si>
  <si>
    <t>Transgas_22</t>
  </si>
  <si>
    <t>Hospozin</t>
  </si>
  <si>
    <t>LINESTRING (14.17 50.312, 14.3359 50.2093, 14.4341 50.1647, 14.5264 50.132, 14.6186 50.0814, 14.6692 50.0427, 14.931 50.0165)</t>
  </si>
  <si>
    <t>P2894</t>
  </si>
  <si>
    <t>https://gem.wiki/Hospozin–Rozvadov_Gas_Pipeline</t>
  </si>
  <si>
    <t>Hospozin–Rozvadov Gas Pipeline</t>
  </si>
  <si>
    <t>Transgas_23</t>
  </si>
  <si>
    <t>Rozvadov</t>
  </si>
  <si>
    <t>LINESTRING (12.5499 49.6634, 12.686 49.7379, 12.7495 49.7665, 12.8064 49.7741, 12.916 49.7448, 13.0215 49.7525, 13.4133 49.9568, 13.5624 50.0265, 13.675 50.1038, 14.0374 50.2669, 14.0823 50.2707, 14.17 50.312)</t>
  </si>
  <si>
    <t>P2895</t>
  </si>
  <si>
    <t>https://gem.wiki/Hostim–Malesovice_Gas_Pipeline</t>
  </si>
  <si>
    <t>Hostim–Malesovice Gas Pipeline</t>
  </si>
  <si>
    <t>Transgas_13</t>
  </si>
  <si>
    <t>Hostim</t>
  </si>
  <si>
    <t>Malesovice</t>
  </si>
  <si>
    <t>LINESTRING (15.8794 49.0055, 16.489 49.0215)</t>
  </si>
  <si>
    <t>P2898</t>
  </si>
  <si>
    <t>https://www.gem.wiki/Tamarite%E2%80%93Serrablo_Gas_Pipeline</t>
  </si>
  <si>
    <t>Tamarite–Serrablo Gas Pipeline</t>
  </si>
  <si>
    <t>Huesca_Alfarras</t>
  </si>
  <si>
    <t>Serrablo</t>
  </si>
  <si>
    <t>LINESTRING (0.426110327954606 41.870002316950924, 0.3106307800350038 41.89407585733821, 0.1951512321154026 41.91126569020324, 0.1905320501986183 41.95937260059342, -0.0727613190580741 42.08976555233954, -0.5577754203204017 42.21989101927202, -0.747161878908549 42.39411248271493)</t>
  </si>
  <si>
    <t>P2899</t>
  </si>
  <si>
    <t>https://gem.wiki/Ihtiman–Dubnitza_Gas_Pipeline</t>
  </si>
  <si>
    <t>Ihtiman–Dubnitza Gas Pipeline</t>
  </si>
  <si>
    <t>Ihtiman-Dubnitza</t>
  </si>
  <si>
    <t>Ihtiman</t>
  </si>
  <si>
    <t>LINESTRING (23.11 42.2658, 23.3798 42.3547, 23.5647 42.3414, 23.6846 42.4213, 23.8162 42.4382)</t>
  </si>
  <si>
    <t>P2900</t>
  </si>
  <si>
    <t>https://gem.wiki/Imatra–Mantsala_Gas_Pipeline</t>
  </si>
  <si>
    <t>Imatra–Mantsala Gas Pipeline</t>
  </si>
  <si>
    <t>Imatra-Mantsala1, Imatra-Mantsala2</t>
  </si>
  <si>
    <t>Mantsala</t>
  </si>
  <si>
    <t>MULTILINESTRING ((26.7042 60.8679, 26.9671 60.8748, 27.0654 60.8929, 27.4998 60.9162, 27.5903 60.9059, 27.7661 60.9421, 27.8075 60.9498, 27.9884 61.0067, 28.1366 61.0126, 28.2405 61.0379, 28.3534 61.0848, 28.5448 61.1254, 28.6842 61.1672, 28.7425 61.1698, 28.7645 61.1696), (25.2836 60.6639, 25.4078 60.6802, 25.4754 60.7568, 25.5451 60.761, 25.5939 60.7711, 25.6464 60.7814, 25.722 60.7838, 25.7419 60.7988, 25.8053 60.7984, 26.0472 60.7776, 26.1763 60.7702, 26.2217 60.7732, 26.2847 60.7893, 26.4252 60.7973, 26.6103 60.8346, 26.6476 60.8507, 26.7042 60.8679))</t>
  </si>
  <si>
    <t>P2901</t>
  </si>
  <si>
    <t>https://gem.wiki/Inkoo–Mantsala_Gas_Pipeline</t>
  </si>
  <si>
    <t>Inkoo–Mantsala Gas Pipeline</t>
  </si>
  <si>
    <t>Inkoo-Mantsala0, Inkoo-Mantsala1</t>
  </si>
  <si>
    <t>Energinet [unknown %]; GasGrid Finland Oy [unknown %]</t>
  </si>
  <si>
    <t>MULTILINESTRING ((24.005 60.044, 24.064 60.285), (24.064 60.285, 24.4467 60.4071, 24.5613 60.4749, 24.662 60.4926, 24.7678 60.5299, 24.8871 60.5383, 25.2836 60.6639))</t>
  </si>
  <si>
    <t>P2902</t>
  </si>
  <si>
    <t>https://gem.wiki/Istrana–Mira_Gas_Pipeline</t>
  </si>
  <si>
    <t>Istrana–Mira Gas Pipeline</t>
  </si>
  <si>
    <t>Istrana_Mira</t>
  </si>
  <si>
    <t>Mira</t>
  </si>
  <si>
    <t>Istrana</t>
  </si>
  <si>
    <t>LINESTRING (12.076004 45.678377, 12.083158 45.652606, 12.084818 45.631325, 12.088139 45.586802, 12.09312 45.570533, 12.119131 45.539919, 12.13352 45.514329, 12.13352 45.486789, 12.115257 45.467385, 12.090906 45.460787, 12.078177 45.451082)</t>
  </si>
  <si>
    <t>P2903</t>
  </si>
  <si>
    <t>https://gem.wiki/Jablonov_Velke–Kapusany_Gas_Pipeline</t>
  </si>
  <si>
    <t>Ozdany-Velke Kapusany Gas Pipeline</t>
  </si>
  <si>
    <t>Transgas_44</t>
  </si>
  <si>
    <t>Ozdany</t>
  </si>
  <si>
    <t>Velke Kapusany</t>
  </si>
  <si>
    <t>LINESTRING (22.121625 48.552002, 21.998723 48.536946, 21.988859 48.569357, 21.857784 48.624392, 21.810008 48.585429, 21.5345 48.629655, 21.335434 48.569624, 21.123627 48.564355, 20.926154 48.646493, 20.786011 48.623339, 20.680904 48.629655, 20.49617 48.572786, 20.305067 48.422935, 20.082113 48.420821, 19.951525 48.382759)</t>
  </si>
  <si>
    <t>P2904</t>
  </si>
  <si>
    <t>Slovakia, Hungary</t>
  </si>
  <si>
    <t>https://gem.wiki/Jablonov–Nemesbikk_Gas_Pipeline</t>
  </si>
  <si>
    <t>Ozdany–Nemesbikk Gas Pipeline</t>
  </si>
  <si>
    <t>Jablonov-Nemesbikk</t>
  </si>
  <si>
    <t>EUStream [unknown %]; FGSZ [unknown %]</t>
  </si>
  <si>
    <t>EUStream [unknown %]; MOL Group [unknown %]</t>
  </si>
  <si>
    <t>Jablonov</t>
  </si>
  <si>
    <t>LINESTRING (20.966116 47.887687, 20.883 48.027542, 20.822086 48.168733, 20.711007 48.230829, 20.571262 48.254692, 20.410019 48.257078, 20.327605 48.300002, 20.134113 48.347652, 19.951525 48.382759)</t>
  </si>
  <si>
    <t>P2906</t>
  </si>
  <si>
    <t>https://gem.wiki/Jirkov–Hospozin_Gas_Pipeline</t>
  </si>
  <si>
    <t>Jirkov–Hospozin Gas Pipeline</t>
  </si>
  <si>
    <t>Transgas_31</t>
  </si>
  <si>
    <t>Gebirgsneudorf</t>
  </si>
  <si>
    <t>LINESTRING (13.441 50.5859, 14.17 50.312)</t>
  </si>
  <si>
    <t>P2907</t>
  </si>
  <si>
    <t>https://gem.wiki/Kardam–Negru_Voda_Gas_Pipeline</t>
  </si>
  <si>
    <t>Kardam–Negru Voda Gas Pipeline</t>
  </si>
  <si>
    <t>Kardam-Negru Voda</t>
  </si>
  <si>
    <t>Kardam</t>
  </si>
  <si>
    <t>Negru Voda</t>
  </si>
  <si>
    <t>LINESTRING (28.1079 43.7538, 28.1217 43.7622, 28.1248 43.7666, 28.1251 43.768, 28.1255 43.7754, 28.1277 43.7766, 28.1432 43.7824, 28.1507 43.7856, 28.1692 43.7967, 28.1903 43.8049, 28.1952 43.806, 28.199 43.8053, 28.2176 43.8156)</t>
  </si>
  <si>
    <t>P2908</t>
  </si>
  <si>
    <t>https://gem.wiki/Karperi–Ampelia_Gas_Pipeline</t>
  </si>
  <si>
    <t>Karperi–Ampelia Gas Pipeline</t>
  </si>
  <si>
    <t>Karperi_Ampelia3, Karperi_Ampelia2</t>
  </si>
  <si>
    <t>MULTILINESTRING ((22.5579 40.598, 22.5622 40.4918, 22.5844 40.4384, 22.591 40.4153, 22.597 40.4023, 22.6062 40.3868, 22.6056 40.3678, 22.5945 40.3491, 22.5758 40.3226, 22.5591 40.3077, 22.5208 40.2786, 22.531 40.2599, 22.5414 40.2209, 22.5503 40.1913, 22.5498 40.1819, 22.5458 40.1641, 22.5399 40.1473, 22.5483 40.1266, 22.5552 40.1088, 22.5542 40.093, 22.5537 40.0663, 22.5552 40.0559, 22.5656 40.0416, 22.569 40.0347, 22.5745 40.0243, 22.5819 40.0114, 22.5848 40.004, 22.6036 39.9937, 22.612 39.9848, 22.6338 39.9779, 22.6426 39.968, 22.6476 39.9615, 22.6471 39.9561, 22.6501 39.9462, 22.6499 39.9408, 22.6312 39.917, 22.6225 39.9042, 22.6115 39.8937, 22.6088 39.8859, 22.5914 39.8781, 22.5795 39.874, 22.5736 39.8713, 22.5502 39.8695, 22.5393 39.8617, 22.5361 39.8548, 22.5155 39.8484, 22.4579 39.7557, 22.4366 39.6542, 22.4275 39.5437, 22.38 39.329), (22.7703 40.7525, 22.5579 40.598))</t>
  </si>
  <si>
    <t>P2910</t>
  </si>
  <si>
    <t>https://gem.wiki/Kiefersfelden–Finsing_Gas_Pipeline</t>
  </si>
  <si>
    <t>Kiefersfelden–Finsing Gas Pipeline</t>
  </si>
  <si>
    <t>Kiefersfelden_Finsing0, Kiefersfelden_Finsing1</t>
  </si>
  <si>
    <t>Kiefersfelden</t>
  </si>
  <si>
    <t>MULTILINESTRING ((11.8165 48.0426, 12.1869 47.6181), (11.798 48.223, 11.8163 48.0428, 11.8165 48.0426))</t>
  </si>
  <si>
    <t>P2911</t>
  </si>
  <si>
    <t>https://gem.wiki/Kiili–Tallinn_Gas_Pipeline</t>
  </si>
  <si>
    <t>Kiili–Tallinn Gas Pipeline</t>
  </si>
  <si>
    <t>Kiili-Tallinn</t>
  </si>
  <si>
    <t>Elering [unknown %]</t>
  </si>
  <si>
    <t>LINESTRING (25.0045 59.406, 25.0018 59.3684, 24.9265 59.3635, 24.83 59.31)</t>
  </si>
  <si>
    <t>P2912</t>
  </si>
  <si>
    <t>https://gem.wiki/Kulata–Petrich_Gas_Pipeline</t>
  </si>
  <si>
    <t>Kulata–Petrich Gas Pipeline</t>
  </si>
  <si>
    <t>Kulata-Petrich</t>
  </si>
  <si>
    <t>Kulata</t>
  </si>
  <si>
    <t>Petrich</t>
  </si>
  <si>
    <t>LINESTRING (23.3632 41.3876, 23.2067 41.5581)</t>
  </si>
  <si>
    <t>P2913</t>
  </si>
  <si>
    <t>https://gem.wiki/Kyustendil–Zhidilovo_Gas_Pipeline</t>
  </si>
  <si>
    <t>Kyustendil–Zhidilovo Gas Pipeline</t>
  </si>
  <si>
    <t>Kyustendil-Zhidilovo</t>
  </si>
  <si>
    <t>Zhidilovo</t>
  </si>
  <si>
    <t>LINESTRING (22.6939 42.2869, 22.3986 42.2243)</t>
  </si>
  <si>
    <t>P2914</t>
  </si>
  <si>
    <t>https://gem.wiki/Lacq–Navarra_Gas_Pipeline</t>
  </si>
  <si>
    <t>Lacq–Larrau Gas Pipeline</t>
  </si>
  <si>
    <t>Lacq_Navarra0, Lacq_Navarra1</t>
  </si>
  <si>
    <t>Enagás [unknown %]; GRTgaz [unknown %]</t>
  </si>
  <si>
    <t>Enagás [unknown %]; Engie [unknown %]; Other [unknown %]; Société d'Infrastructures Gazières [unknown %]</t>
  </si>
  <si>
    <t>Navarra</t>
  </si>
  <si>
    <t>Lacq</t>
  </si>
  <si>
    <t>MULTILINESTRING ((-1.47607177 42.69538895, -0.95571781 43.01875718), (-0.9557 43.0188, -0.614 43.421))</t>
  </si>
  <si>
    <t>P2915</t>
  </si>
  <si>
    <t>https://gem.wiki/Laneuvelotte–Morelmaison_Gas_Pipeline</t>
  </si>
  <si>
    <t>Laneuvelotte–Morelmaison Gas Pipeline</t>
  </si>
  <si>
    <t>Laneuvelotte_Morelmaison</t>
  </si>
  <si>
    <t>Morelmaison</t>
  </si>
  <si>
    <t>LINESTRING (5.819 48.43, 6.295 48.7289)</t>
  </si>
  <si>
    <t>P2916</t>
  </si>
  <si>
    <t>https://gem.wiki/Latiano–Brindisi_Gas_Pipeline</t>
  </si>
  <si>
    <t>Palagiano-Brindisi Gas Pipeline</t>
  </si>
  <si>
    <t>Latiano–Brindisi Gas Pipeline</t>
  </si>
  <si>
    <t>Latiano_Brindisi_1</t>
  </si>
  <si>
    <t>Palagiano</t>
  </si>
  <si>
    <t>LINESTRING (17.976633 40.626094, 17.976633 40.610971, 17.939 40.595844, 17.874802 40.58912, 17.828314 40.582395, 17.779612 40.577352, 17.714271 40.580433)</t>
  </si>
  <si>
    <t>P2917</t>
  </si>
  <si>
    <t>https://gem.wiki/Lauria–Morano_Gas_Pipeline</t>
  </si>
  <si>
    <t>Lauria–Montesano Gas Pipeline</t>
  </si>
  <si>
    <t>Lauria_Morano_1</t>
  </si>
  <si>
    <t>Lauria</t>
  </si>
  <si>
    <t>Montesano</t>
  </si>
  <si>
    <t>LINESTRING (15.930603 40.0524, 15.917321 40.076542, 15.922301 40.098136, 15.935584 40.125225, 15.949973 40.152302, 15.944992 40.186557, 15.930049 40.217836, 15.894077 40.24192, 15.861424 40.263039, 15.841353 40.270234)</t>
  </si>
  <si>
    <t>P2918</t>
  </si>
  <si>
    <t>https://gem.wiki/Le_Havre–Paris_Gas_Pipeline</t>
  </si>
  <si>
    <t>Le Havre–Paris Gas Pipeline</t>
  </si>
  <si>
    <t>LeHavre_Paris_1</t>
  </si>
  <si>
    <t>Le Havre</t>
  </si>
  <si>
    <t>LINESTRING (0.125 49.499, 0.1897 49.4974, 0.2858 49.4481, 0.3877 49.4425, 0.5159 49.4065, 0.6266 49.3458, 0.7751 49.3173, 0.9237 49.2831, 1.145 49.1994, 1.5208 49.0908, 2.0072 48.9763, 2.1383 48.9151, 2.371 48.852)</t>
  </si>
  <si>
    <t>P2920</t>
  </si>
  <si>
    <t>https://gem.wiki/Liepaja–Iecava_Gas_Pipeline</t>
  </si>
  <si>
    <t>Liepaja–Iecava Gas Pipeline</t>
  </si>
  <si>
    <t>Liepaja-Iecava</t>
  </si>
  <si>
    <t>JSC Conexus Baltic Grid [unknown %]</t>
  </si>
  <si>
    <t>Augstsprieguma Tikls [unknown %]; MM Capital Partners [unknown %]; Other [unknown %]</t>
  </si>
  <si>
    <t>500, 100</t>
  </si>
  <si>
    <t>Iecava</t>
  </si>
  <si>
    <t>LINESTRING (24.2 56.59, 24.1456 56.5888, 24.1363 56.5897, 24.1248 56.5953, 24.1084 56.5957, 24.1045 56.5967, 24.0903 56.6033, 24.077 56.604, 24.0713 56.6056, 24.065 56.6088, 24.0568 56.608, 24.0479 56.6062, 24.0403 56.6081, 24.0244 56.6141, 24.0127 56.615, 24.011 56.6165, 24.0117 56.6219, 24.0046 56.6241, 23.9946 56.6246, 23.9812 56.6227, 23.9708 56.6246, 23.9531 56.6248, 23.9429 56.626, 23.9326 56.6286, 23.9074 56.6234, 23.8003 56.6255, 23.7027 56.6351, 23.5815 56.6308, 23.4984 56.6303, 23.3768 56.6236, 23.1514 56.6271, 23.0858 56.6301, 22.9143 56.6342, 22.8427 56.6241, 22.6793 56.6201, 22.4846 56.6473, 22.3141 56.6493, 22.0902 56.6805, 22.0374 56.6772, 22.0089 56.6735, 21.9619 56.6651, 21.7411 56.5984, 21.7203 56.5921, 21.6822 56.5875, 21.6683 56.5875, 21.6331 56.5938, 21.6169 56.5898, 21.5748 56.5892, 21.5332 56.588, 21.5204 56.5886, 21.5043 56.5898, 21.4916 56.5886, 21.4846 56.5915, 21.4621 56.5915, 21.4546 56.5921, 21.4419 56.588, 21.3633 56.5909, 21.3523 56.5852, 21.3385 56.5817, 21.3246 56.5828, 21.2784 56.5684, 21.2615 56.5584, 21.2591 56.5551, 21.2442 56.5553, 21.226 56.5495, 21.1938 56.5367, 21.1865 56.5367, 21.1663 56.5407, 21.1592 56.5411, 21.145 56.5369, 21.1201 56.5333, 21.1059 56.5338, 21.0886 56.5356, 21.0755 56.5361, 21.0633 56.5364, 21.0489 56.5331, 21.0329 56.5253, 21.0234 56.5158, 21 56.5)</t>
  </si>
  <si>
    <t>P2921</t>
  </si>
  <si>
    <t>Beverwijk-Scheemda</t>
  </si>
  <si>
    <t>Liero_Mill</t>
  </si>
  <si>
    <t>Schmeeda</t>
  </si>
  <si>
    <t>LINESTRING (4.700005 52.487665, 4.685554 52.509854, 4.688869 52.534462, 4.694174 52.546156, 4.735943 52.565505, 4.763126 52.577997, 4.832742 52.61384, 4.846002 52.642815, 4.864566 52.67338, 4.888435 52.683027, 4.922911 52.69428, 4.922911 52.726414, 5.005124 52.745683, 5.103249 52.771362, 5.406907 52.966668, 5.441383 52.989822, 5.485142 53.003389, 5.543486 53.034498, 5.653546 53.070366, 5.69863 53.077535, 5.755649 53.070366, 5.802059 53.067975, 5.849796 53.060804, 5.878968 53.061601, 5.90814 53.079925, 5.90814 53.079925, 5.913445 53.10063, 5.922727 53.108591, 5.950573 53.111775, 5.958529 53.148373, 6.003614 53.167455, 6.07 53.19, 6.128259 53.237351, 6.168039 53.251634, 6.41733 53.291283, 6.518107 53.303963, 6.642753 53.278599, 6.75679 53.208771, 6.793919 53.18494, 6.853589 53.178185)</t>
  </si>
  <si>
    <t>P2925</t>
  </si>
  <si>
    <t>https://gem.wiki/LSF_Gas_Pipeline</t>
  </si>
  <si>
    <t>LSF Gas Pipeline</t>
  </si>
  <si>
    <t>LSF_10</t>
  </si>
  <si>
    <t>Schwandorf</t>
  </si>
  <si>
    <t>LINESTRING (12.1097 49.3204, 11.684 48.8268)</t>
  </si>
  <si>
    <t>P2926</t>
  </si>
  <si>
    <t>https://gem.wiki/LSF–Extra_Gas_Pipeline</t>
  </si>
  <si>
    <t>LSF–Extra Gas Pipeline</t>
  </si>
  <si>
    <t>LSF_Extra</t>
  </si>
  <si>
    <t>LINESTRING (11.798 48.223, 12.1759 48.1165, 12.2813 48.1936, 12.4591 48.2471, 12.522 48.2408, 12.5944 48.1842, 12.6557 48.1621, 12.7533 48.1574, 12.8225 48.1621, 12.8533 48.1834)</t>
  </si>
  <si>
    <t>P2927</t>
  </si>
  <si>
    <t>https://gem.wiki/Lucko–Bosiljevo_Gas_Pipeline</t>
  </si>
  <si>
    <t>Lucko–Bosiljevo Gas Pipeline</t>
  </si>
  <si>
    <t>Lucko_Bosiljevo</t>
  </si>
  <si>
    <t>Lucko</t>
  </si>
  <si>
    <t>LINESTRING (15.88 45.76, 15.8507 45.7078, 15.8214 45.6911, 15.7754 45.6815, 15.7285 45.6689, 15.6911 45.6538, 15.6598 45.6321, 15.6406 45.6108, 15.6234 45.5826, 15.6189 45.572, 15.5967 45.5477, 15.5593 45.5204, 15.5436 45.5129, 15.5123 45.5114, 15.4911 45.5164, 15.4734 45.5144, 15.4512 45.4982, 15.4467 45.4967, 15.4441 45.4896, 15.4285 45.4805, 15.4169 45.472, 15.4037 45.4664, 15.382 45.4614, 15.377 45.4583, 15.3707 45.4501, 15.3651 45.4467, 15.3525 45.4445, 15.3376 45.4404, 15.3223 45.433, 15.3063 45.4263, 15.28 45.41)</t>
  </si>
  <si>
    <t>P2928</t>
  </si>
  <si>
    <t>https://gem.wiki/Lussagnet–Bayonne_Gas_Pipeline</t>
  </si>
  <si>
    <t>Lussagnet–Bayonne Gas Pipeline</t>
  </si>
  <si>
    <t>Lussagnet_Bayonne</t>
  </si>
  <si>
    <t>Lussagnet</t>
  </si>
  <si>
    <t>LINESTRING (-1.462 43.493, -0.2201 43.7805)</t>
  </si>
  <si>
    <t>P2929</t>
  </si>
  <si>
    <t>https://gem.wiki/Lussagnet–Captiex_Gas_Pipeline</t>
  </si>
  <si>
    <t>Lussagnet–Captieux Gas Pipeline</t>
  </si>
  <si>
    <t>Lussagnet_Captiex</t>
  </si>
  <si>
    <t>LINESTRING (-0.2201 43.7805, -0.2617 44.2915)</t>
  </si>
  <si>
    <t>P2930</t>
  </si>
  <si>
    <t>https://gem.wiki/Lussagnet–Lacq_Gas_Pipeline</t>
  </si>
  <si>
    <t>Lussagnet–Lacq Gas Pipeline</t>
  </si>
  <si>
    <t>Lussagnet_Lacq</t>
  </si>
  <si>
    <t>LINESTRING (-0.614 43.421, -0.2201 43.7804)</t>
  </si>
  <si>
    <t>P2931</t>
  </si>
  <si>
    <t>https://gem.wiki/Lussagnet–Toulouse_Gas_Pipeline</t>
  </si>
  <si>
    <t>Lussagnet–Toulouse Gas Pipeline</t>
  </si>
  <si>
    <t>Lussagnet_Toulouse</t>
  </si>
  <si>
    <t>LINESTRING (-0.2201 43.7804, 1.4442 43.6046)</t>
  </si>
  <si>
    <t>P2932</t>
  </si>
  <si>
    <t>https://gem.wiki/Lyon–Tersanne_Gas_Pipeline</t>
  </si>
  <si>
    <t>Lyon–Tersanne Gas Pipeline</t>
  </si>
  <si>
    <t>Lyon_Tersanne_1</t>
  </si>
  <si>
    <t>Lyon</t>
  </si>
  <si>
    <t>LINESTRING (4.842 45.754, 4.8597 45.7014, 4.8526 45.6948, 4.8431 45.6849, 4.8478 45.6749, 4.8573 45.6617, 4.8763 45.6468, 4.8858 45.6418, 4.8929 45.6252, 4.8929 45.607, 4.9 45.5755, 4.9023 45.5473, 4.9047 45.5224, 4.9142 45.5041, 4.9189 45.4642, 4.9237 45.4443, 4.9331 45.4243, 4.945 45.3877, 4.9663 45.3478, 4.99 45.2961, 5.0066 45.2461, 5.0154 45.2149)</t>
  </si>
  <si>
    <t>P2934</t>
  </si>
  <si>
    <t>https://gem.wiki/Madrid–Algete_Gas_Pipeline</t>
  </si>
  <si>
    <t>Madrid–Algete Gas Pipeline</t>
  </si>
  <si>
    <t>Madrid_Algete</t>
  </si>
  <si>
    <t>LINESTRING (-3.68100089 40.22299872, -3.64509314 40.24112526, -3.62934857 40.25424574, -3.59785942 40.28048669, -3.57030642 40.33165655, -3.5532498 40.38938665, -3.54144137 40.48910228, -3.54580075 40.5859252)</t>
  </si>
  <si>
    <t>P2935</t>
  </si>
  <si>
    <t>France, Germany</t>
  </si>
  <si>
    <t>https://www.gem.wiki/MEGAL%E2%80%93France_Gas_Pipeline</t>
  </si>
  <si>
    <t>MEGAL–France Gas Pipeline</t>
  </si>
  <si>
    <t>MAGAL2France</t>
  </si>
  <si>
    <t>GRTgaz [300.00%]</t>
  </si>
  <si>
    <t>Engie [60.80%]; Société d'Infrastructures Gazières [38.60%]; Other [0.60%]</t>
  </si>
  <si>
    <t>LINESTRING (6.295 48.7289, 6.3643 48.7959, 6.4266 48.8312, 6.4723 48.8623, 6.5741 48.9039, 6.655 48.9309, 6.7257 48.9599, 6.8731 49.0077, 6.9707 49.0347, 7.0808 49.0721, 7.27 49.144)</t>
  </si>
  <si>
    <t>P2936</t>
  </si>
  <si>
    <t>https://gem.wiki/MaidaSEufemia–Reggio_Calabria_Gas_Pipeline</t>
  </si>
  <si>
    <t>MaidaSEufemia–Reggio Calabria Gas Pipeline</t>
  </si>
  <si>
    <t>MaidaSEufemia_Palmi_1, MaidaSEufemia_ReggioCalabria</t>
  </si>
  <si>
    <t>Palmi, Reggio Calabria</t>
  </si>
  <si>
    <t>Maida S Eufemia</t>
  </si>
  <si>
    <t>LINESTRING (16.418175 38.920136, 16.401572 38.901188, 16.37058 38.878788, 16.327412 38.838279, 16.301954 38.802059, 16.301954 38.776177, 16.270962 38.747695, 16.232222 38.717475, 16.224474 38.697609, 16.214512 38.675145, 16.200123 38.644894, 16.156956 38.599061, 16.107147 38.554065, 16.083903 38.521165, 16.057338 38.47612, 16.034094 38.440584, 15.996461 38.419774, 15.97211 38.413703, 15.938904 38.368591, 15.900164 38.339947, 15.869172 38.316503, 15.840394 38.291314, 15.802761 38.26264, 15.772875 38.255687, 15.734135 38.25221)</t>
  </si>
  <si>
    <t>P2937</t>
  </si>
  <si>
    <t>https://gem.wiki/Maldegem–Zeebrugge_Gas_Pipeline</t>
  </si>
  <si>
    <t>Maldegem–Zeebrugge Gas Pipeline</t>
  </si>
  <si>
    <t>Maldegem_Zeebrugge_Extra</t>
  </si>
  <si>
    <t>Maldegem</t>
  </si>
  <si>
    <t>LINESTRING (3.1993345101697965 51.31845564340635, 3.2319970573222236 51.28680332975831, 3.4002091751572223 51.21831890461241, 3.4475698685282414 51.22138755296647)</t>
  </si>
  <si>
    <t>P2938</t>
  </si>
  <si>
    <t>https://www.gem.wiki/Maldegem%E2%80%93Zelzate-Zandvliet_Gas_Pipeline</t>
  </si>
  <si>
    <t>Maldegem–Zelzate-Zandvliet Gas Pipeline</t>
  </si>
  <si>
    <t>Maldegem_Zelzate0, Maldegem_Zelzate1</t>
  </si>
  <si>
    <t>Zandvliet</t>
  </si>
  <si>
    <t>LINESTRING (3.4533735910944596 51.211013675200114, 3.578457722526563 51.177666640894195, 3.766598592098273 51.12081047327411, 3.814663777755279 51.197463697848036, 3.8737152915624593 51.184553538281314, 4.0728424892843424 51.22499328423209, 4.126400839016434 51.22671333693722, 4.248623739687109 51.24305063167131, 4.309048544513059 51.302332028505575, 4.35299385711375 51.317784163391465, 4.306301962475516 51.36325190302623)</t>
  </si>
  <si>
    <t>P2940</t>
  </si>
  <si>
    <t>https://gem.wiki/Malesovice–Brodské_Gas_Pipeline</t>
  </si>
  <si>
    <t>Malesovice–Brodské Gas Pipeline</t>
  </si>
  <si>
    <t>Transgas_14</t>
  </si>
  <si>
    <t>Brodske</t>
  </si>
  <si>
    <t>LINESTRING (16.489 49.0215, 16.5958 48.9339, 16.6388 48.8952, 16.8575 48.8151, 17.0261 48.6984)</t>
  </si>
  <si>
    <t>P2941</t>
  </si>
  <si>
    <t>https://gem.wiki/Malesovice–Oslavou_Gas_Pipeline</t>
  </si>
  <si>
    <t>Malesovice–Oslavou Gas Pipeline</t>
  </si>
  <si>
    <t>Transgas_20</t>
  </si>
  <si>
    <t>LINESTRING (16.1557 49.2055, 16.2244 49.176, 16.2437 49.1391, 16.3538 49.0894, 16.489 49.0215)</t>
  </si>
  <si>
    <t>P2942</t>
  </si>
  <si>
    <t>https://gem.wiki/Malmoe–Trelleborg_Gas_Pipeline</t>
  </si>
  <si>
    <t>Malmoe–Trelleborg Gas Pipeline</t>
  </si>
  <si>
    <t>Malmoe_Trelleborg</t>
  </si>
  <si>
    <t>LINESTRING (13.008 55.6, 13.15 55.37)</t>
  </si>
  <si>
    <t>P2943</t>
  </si>
  <si>
    <t>https://gem.wiki/Mantsala–Hameenlinna_Gas_Pipeline</t>
  </si>
  <si>
    <t>Mantsala–Hameenlinna Gas Pipeline</t>
  </si>
  <si>
    <t>Mantsala-Hameenlinna</t>
  </si>
  <si>
    <t>Hameenlinna</t>
  </si>
  <si>
    <t>LINESTRING (25.2836 60.6639, 24.474 60.994)</t>
  </si>
  <si>
    <t>P2944</t>
  </si>
  <si>
    <t>https://gem.wiki/Mantsala–Helsinki_Gas_Pipeline</t>
  </si>
  <si>
    <t>Mantsala–Helsinki Gas Pipeline</t>
  </si>
  <si>
    <t>Mantsala-Helsinki</t>
  </si>
  <si>
    <t>LINESTRING (24.954 60.175, 24.9867 60.2224, 25.0032 60.2281, 25.0096 60.2282, 25.022 60.2308, 25.0604 60.2464, 25.0655 60.2515, 25.0767 60.266, 25.0869 60.2733, 25.0931 60.284, 25.096 60.3014, 25.1047 60.3123, 25.1157 60.3231, 25.1165 60.3294, 25.1145 60.3353, 25.1096 60.3424, 25.1089 60.349, 25.1108 60.3561, 25.115 60.3632, 25.1161 60.3667, 25.1165 60.3726, 25.1161 60.3813, 25.1177 60.39, 25.1248 60.3975, 25.1264 60.4022, 25.1244 60.416, 25.1228 60.4279, 25.1248 60.4342, 25.1252 60.45, 25.1268 60.461, 25.1374 60.4724, 25.139 60.4807, 25.1351 60.5028, 25.1437 60.5166, 25.1607 60.5273, 25.1733 60.5359, 25.1836 60.5497, 25.1915 60.5628, 25.2013 60.5726, 25.2368 60.5935, 25.2836 60.6639)</t>
  </si>
  <si>
    <t>P2945</t>
  </si>
  <si>
    <t>https://gem.wiki/Mantsala–Kyroskoski_Gas_Pipeline</t>
  </si>
  <si>
    <t>Mantsala–Kyroskoski Gas Pipeline</t>
  </si>
  <si>
    <t>Mantsala_Kyroskoski0, Mantsala_Kyroskoski1</t>
  </si>
  <si>
    <t>Kyroskoski</t>
  </si>
  <si>
    <t>MULTILINESTRING ((25.2836 60.6639, 25.1468 60.7441, 24.8365 60.8064, 24.6595 60.9455, 24.6074 60.9797, 24.5505 60.9976, 24.2319 61.1421, 24.0989 61.2014, 24.0815 61.252, 23.7836 61.4183, 23.74 61.49, 23.6415 61.5193, 23.563 61.5138, 23.5191 61.5594, 23.181 61.66), (23.74 61.49, 23.181 61.66))</t>
  </si>
  <si>
    <t>P2947</t>
  </si>
  <si>
    <t>https://gem.wiki/Martigny-le-Comte–Mery_Sur_Cher_Gas_Pipeline</t>
  </si>
  <si>
    <t>Martigny-le-Comte–Mery Sur Cher Gas Pipeline</t>
  </si>
  <si>
    <t>unknown_FR_1_Mery Sur Cher</t>
  </si>
  <si>
    <t>unknown_FR_1</t>
  </si>
  <si>
    <t>Mery Sur Cher</t>
  </si>
  <si>
    <t>LINESTRING (4.35 46.55, 3.8789 46.7193, 3.7275 46.7509, 3.6716 46.7486, 3.586 46.7576, 3.5432 46.7644, 3.4938 46.7667, 3.4214 46.7734, 3.3523 46.7937, 3.2305 46.8207, 3.1318 46.8388, 3.089 46.8478, 3.0429 46.8613, 3.0034 46.8725, 2.9573 46.8883, 2.875 46.9152, 2.6117 46.9871, 2.5953 46.9916, 2.5163 47.0186, 2.4801 47.0298, 2.4537 47.0455, 2.4307 47.0724, 2.4011 47.1038, 2.4011 47.1172, 2.3945 47.1351, 2.3846 47.153, 2.3517 47.1821, 2.3188 47.2045, 2.1937 47.2201, 2.1562 47.2362, 2.0502 47.2512, 1.9922 47.2482)</t>
  </si>
  <si>
    <t>P2948</t>
  </si>
  <si>
    <t>https://gem.wiki/Mediesu_Aurit–Khust_Gas_Pipeline</t>
  </si>
  <si>
    <t>Mediesu Aurit–Khust Gas Pipeline</t>
  </si>
  <si>
    <t>Mediesu Aurit-Hust</t>
  </si>
  <si>
    <t>Khust</t>
  </si>
  <si>
    <t>LINESTRING (23.1377 47.7867, 23.2972 48.1735)</t>
  </si>
  <si>
    <t>P2949</t>
  </si>
  <si>
    <t>https://gem.wiki/Echt–Ravenstein_Gas_Pipeline</t>
  </si>
  <si>
    <t>Echt–Ravenstein Gas Pipeline</t>
  </si>
  <si>
    <t>Melick_Ravenstein_10, Melick_Ravenstein_11, Melick_Ravenstein_12, Melick_Ravenstein_13, Melick_Ravenstein_14, Melick_Ravenstein_20, Melick_Ravenstein_21, Melick_Ravenstein_22, Melick_Ravenstein_23, Melick_Ravenstein_24</t>
  </si>
  <si>
    <t>P2950</t>
  </si>
  <si>
    <t>https://gem.wiki/Melizzano–Benevento_Gas_Pipeline</t>
  </si>
  <si>
    <t>Melizzano–Benevento Gas Pipeline</t>
  </si>
  <si>
    <t>Melizzano_Benevento</t>
  </si>
  <si>
    <t>LINESTRING (14.85202 41.183518, 14.818189 41.187423, 14.809485 41.189606, 14.779021 41.189606, 14.731149 41.192881, 14.699235 41.200522, 14.652814 41.204888, 14.583182 41.202705, 14.541113 41.192881, 14.496449 41.175045)</t>
  </si>
  <si>
    <t>P2951</t>
  </si>
  <si>
    <t>https://gem.wiki/Menfi–Mazara_Del_Vallo_Gas_Pipeline</t>
  </si>
  <si>
    <t>Mazara Del Vallo-Sciacca Gas Pipeline</t>
  </si>
  <si>
    <t>Menfi_MazaraDelVallo_1</t>
  </si>
  <si>
    <t>Mazara Del Vallo</t>
  </si>
  <si>
    <t>Sciacca</t>
  </si>
  <si>
    <t>LINESTRING (12.507404 37.666629, 12.553716 37.658851, 12.588531 37.65196, 12.658163 37.633581, 12.71909 37.619794, 12.814834 37.59681, 12.89607 37.585315, 12.981012 37.601662)</t>
  </si>
  <si>
    <t>P2952</t>
  </si>
  <si>
    <t>https://gem.wiki/Mery_Sur_Cher–Cherre_Gas_Pipeline_1</t>
  </si>
  <si>
    <t>Mery Sur Cher–Cherre Gas Pipeline 1</t>
  </si>
  <si>
    <t>Mery Sur Cher_Cherre1</t>
  </si>
  <si>
    <t>Cherre</t>
  </si>
  <si>
    <t>LINESTRING (0.6 48.1502, 0.6692 48.1244, 0.7115 48.1102, 0.7538 48.0785, 0.8067 48.0431, 0.886 47.9759, 0.9494 47.9334, 0.9706 47.8909, 0.9917 47.8448, 1.034 47.8022, 1.0922 47.7596, 1.1239 47.7382, 1.1715 47.5851, 1.2191 47.4959, 1.2825 47.4637, 1.3354 47.4459, 1.4862 47.3879)</t>
  </si>
  <si>
    <t>P2953</t>
  </si>
  <si>
    <t>https://gem.wiki/Messina–Montalbano_Gas_Pipeline</t>
  </si>
  <si>
    <t>Messina–Montalbano Gas Pipeline</t>
  </si>
  <si>
    <t>Messina_Montalbano_1</t>
  </si>
  <si>
    <t>Montalbano</t>
  </si>
  <si>
    <t>LINESTRING (15.040457 37.997246, 15.077856 38.010581, 15.085109 38.023153, 15.10977 38.041435, 15.13153 38.03915, 15.177951 38.026581, 15.224372 38.042577, 15.238879 38.064281, 15.24178 38.09397, 15.28675 38.123647, 15.337523 38.146468, 15.386845 38.163579, 15.398451 38.180685, 15.433266 38.184106, 15.459378 38.187527, 15.475335 38.204628, 15.510151 38.220585, 15.576881 38.254768)</t>
  </si>
  <si>
    <t>P2954</t>
  </si>
  <si>
    <t>https://www.gem.wiki/Puth_Schinnen%E2%80%93Ravenstein_Gas_Pipeline</t>
  </si>
  <si>
    <t>Puth Schinnen–Ravenstein Gas Pipeline</t>
  </si>
  <si>
    <t>Echt-Ravenstein</t>
  </si>
  <si>
    <t>Mill_Ravenstein0, Mill_Ravenstein1</t>
  </si>
  <si>
    <t>LINESTRING (5.648241 51.744258, 5.684044 51.712226, 5.70526 51.702366, 5.715868 51.661258, 5.73178 51.648095, 5.737085 51.623405, 5.739737 51.598701, 5.747693 51.585521, 5.729128 51.556675, 5.729128 51.540183, 5.729128 51.525335, 5.723824 51.497276, 5.713216 51.487369, 5.710564 51.462592, 5.710564 51.44276, 5.710564 51.434494, 5.721172 51.419612, 5.715868 51.394798, 5.699956 51.383213, 5.676088 51.368314, 5.662828 51.356723, 5.668132 51.338502, 5.668132 51.311986, 5.673436 51.295406, 5.686696 51.275502, 5.694652 51.250609, 5.707912 51.227364, 5.723824 51.20743, 5.747693 51.187488, 5.766257 51.174188, 5.790125 51.155895, 5.806037 51.130938, 5.829906 51.100971, 5.853774 51.085981, 5.898 51.086, 5.912119 51.016795)</t>
  </si>
  <si>
    <t>P2956</t>
  </si>
  <si>
    <t>https://gem.wiki/Minerbio–Parma_Gas_Pipeline</t>
  </si>
  <si>
    <t>Minerbio–Parma Gas Pipeline</t>
  </si>
  <si>
    <t>Minerbio-Castelfranco</t>
  </si>
  <si>
    <t>Minerbio_Parma</t>
  </si>
  <si>
    <t>Parma</t>
  </si>
  <si>
    <t>LINESTRING (11.508643 44.589285, 11.475372 44.629369, 11.419388 44.658959, 11.34005 44.653497, 11.26839 44.637109, 11.178815 44.593386, 11.117392 44.567866, 10.963835 44.569689)</t>
  </si>
  <si>
    <t>P2957</t>
  </si>
  <si>
    <t>https://gem.wiki/Minerbio–Ravenna_Terra_Gas_Pipeline</t>
  </si>
  <si>
    <t>Minerbio–Ravenna Terra Gas Pipeline</t>
  </si>
  <si>
    <t>Minerbio_RavennaTerra</t>
  </si>
  <si>
    <t>Ravenna Terra</t>
  </si>
  <si>
    <t>LINESTRING (11.508643 44.589285, 11.571622 44.588328, 11.649958 44.580062, 11.728293 44.557326, 11.841444 44.530445, 11.972003 44.497343, 12.082253 44.484925, 12.131575 44.466293, 12.199372 44.44454)</t>
  </si>
  <si>
    <t>P2958</t>
  </si>
  <si>
    <t>https://gem.wiki/Mira–Campagna_Lupia_Gas_Pipeline</t>
  </si>
  <si>
    <t>Mira–Campagna Lupia Gas Pipeline</t>
  </si>
  <si>
    <t>Mira_CampagnaLupia</t>
  </si>
  <si>
    <t>LINESTRING (12.078177 45.451082, 12.078177 45.44021, 12.095334 45.425452, 12.115811 45.400976, 12.120238 45.390484, 12.125219 45.372602, 12.124665 45.350049, 12.126879 45.329042, 12.125772 45.313088)</t>
  </si>
  <si>
    <t>P2959</t>
  </si>
  <si>
    <t>https://gem.wiki/Mitchelstown–Clonmel_Gas_Pipeline</t>
  </si>
  <si>
    <t>Mitchelstown–Clonmel Gas Pipeline</t>
  </si>
  <si>
    <t>Mitchelstown_Clonmel</t>
  </si>
  <si>
    <t>LINESTRING (-8.154032 52.22969, -7.972633 52.273185, -7.946935 52.284284, -7.809374 52.333268, -7.727744 52.372048)</t>
  </si>
  <si>
    <t>P2960</t>
  </si>
  <si>
    <t>https://gem.wiki/Mitchelstown–Whitegate_Gas_Pipeline</t>
  </si>
  <si>
    <t>Mitchelstown–Whitegate Gas Pipeline</t>
  </si>
  <si>
    <t>Mitchelstown_Whitegate</t>
  </si>
  <si>
    <t>LINESTRING (-8.154032 52.22969, -8.145653 52.114505, -8.13644 52.029565, -8.120318 51.950141, -8.076558 51.842126)</t>
  </si>
  <si>
    <t>P2961</t>
  </si>
  <si>
    <t>https://gem.wiki/Mittelbrunn_MEGAL–Remich_Gas_Pipeline</t>
  </si>
  <si>
    <t>Mittelbrunn MEGAL–Remich Gas Pipeline</t>
  </si>
  <si>
    <t>Mittelbrunn MEGAL_Remich</t>
  </si>
  <si>
    <t>Mittelbrunn MEGAL</t>
  </si>
  <si>
    <t>Remich</t>
  </si>
  <si>
    <t>LINESTRING (6.3674 49.545, 6.633539 49.548006, 6.721262 49.54516, 6.801675 49.529979, 7.022445 49.504351, 7.079465 49.50625, 7.263684 49.512895)</t>
  </si>
  <si>
    <t>P2962</t>
  </si>
  <si>
    <t>https://gem.wiki/Moliterno–Montesano_Sulla_Marcellana_Gas_Pipeline</t>
  </si>
  <si>
    <t>Moliterno–Montesano Sulla Marcellana Gas Pipeline</t>
  </si>
  <si>
    <t>Moliterno_MontesanoSullaMarcellana_1</t>
  </si>
  <si>
    <t>LINESTRING (15.78265 40.277739, 15.841353 40.270234)</t>
  </si>
  <si>
    <t>P2964</t>
  </si>
  <si>
    <t>https://gem.wiki/Mons–Poppel_Gas_Pipeline</t>
  </si>
  <si>
    <t>Mons–Poppel Gas Pipeline</t>
  </si>
  <si>
    <t>Mons_Poppel0, Mons_Poppel1</t>
  </si>
  <si>
    <t>Poppel</t>
  </si>
  <si>
    <t>LINESTRING (5.035102526062693 51.447363800807985, 4.942985545852826 51.29963129108854, 4.83185662545937 51.213859340106545, 4.774178402670962 51.04666817629434, 4.643065803205036 50.89631576533428, 4.617623226820484 50.81297123915333, 4.422615902154916 50.71046811825014, 4.1616906085883105 50.65303792150011, 4.1369713702504205 50.609483396726716, 4.054573909124125 50.57984326794781, 3.9309777174346796 50.46109605979932)</t>
  </si>
  <si>
    <t>P2965</t>
  </si>
  <si>
    <t>https://gem.wiki/Montalbano–Gagliano_Gas_Pipeline</t>
  </si>
  <si>
    <t>Montalbano–Bronte Gas Pipeline</t>
  </si>
  <si>
    <t>Montalbano_GaglianoSparacollo_1</t>
  </si>
  <si>
    <t>LINESTRING (14.380801 37.547006, 14.402825 37.587938, 14.458313 37.624139, 14.504008 37.659031, 14.549704 37.673241, 14.608456 37.686157, 14.645991 37.72102, 14.655783 37.751995, 14.662311 37.781667, 14.690055 37.825509, 14.721063 37.857729, 14.770022 37.895086, 14.823878 37.900238, 14.864678 37.907964)</t>
  </si>
  <si>
    <t>P2967</t>
  </si>
  <si>
    <t>https://gem.wiki/Montoir–Donges_Gas_Pipeline</t>
  </si>
  <si>
    <t>Montoir–Donges Gas Pipeline</t>
  </si>
  <si>
    <t>Montoir_Donges_Extra</t>
  </si>
  <si>
    <t>Montoir De Bretagne</t>
  </si>
  <si>
    <t>LINESTRING (-2.069 47.332, -2.0771 47.3213, -2.1017 47.3136, -2.1206 47.3097, -2.14 47.32)</t>
  </si>
  <si>
    <t>P2969</t>
  </si>
  <si>
    <t>https://gem.wiki/Morano–Tarsia_Gas_Pipeline</t>
  </si>
  <si>
    <t>Morano–Tarsia Gas Pipeline</t>
  </si>
  <si>
    <t>Morano_Tarsia_1</t>
  </si>
  <si>
    <t>Tarsia</t>
  </si>
  <si>
    <t>Morano</t>
  </si>
  <si>
    <t>LINESTRING (16.110722 39.907713, 16.136834 39.902149, 16.181805 39.874322, 16.210818 39.847597, 16.220972 39.823091, 16.235479 39.794117, 16.254337 39.766246, 16.277548 39.730555, 16.28335 39.685915, 16.271745 39.649065, 16.24844 39.602738)</t>
  </si>
  <si>
    <t>P2970</t>
  </si>
  <si>
    <t>https://www.gem.wiki/Morelmaison%E2%80%93Voisines_Gas_Pipeline</t>
  </si>
  <si>
    <t>Morelmaison–Voisines Gas Pipeline</t>
  </si>
  <si>
    <t>Morelmaison_Paris0, Morelmaison_Paris3</t>
  </si>
  <si>
    <t>LINESTRING (5.14 47.9524, 5.1674 47.9551, 5.1983 47.9802, 5.3605 48.0903, 5.3914 48.1328, 5.4899 48.1888, 5.6058 48.2622, 5.712 48.3472, 5.7314 48.3819, 5.819 48.43)</t>
  </si>
  <si>
    <t>P2971</t>
  </si>
  <si>
    <t>https://gem.wiki/Mortara–Alessandria_Gas_Pipeline</t>
  </si>
  <si>
    <t>Mortara–Alessandria Gas Pipeline</t>
  </si>
  <si>
    <t>Mortara_Alessandria_1</t>
  </si>
  <si>
    <t>LINESTRING (8.604493 44.848314, 8.609612 44.915411, 8.637764 44.940778, 8.640323 45.024049, 8.673594 45.099974, 8.704305 45.173993, 8.72478 45.220883)</t>
  </si>
  <si>
    <t>P2973</t>
  </si>
  <si>
    <t>https://gem.wiki/Nemesbikk–Budapest_Gas_Pipeline</t>
  </si>
  <si>
    <t>Nemesbikk–Budapest Gas Pipeline</t>
  </si>
  <si>
    <t>Nemesbikk-Budapest</t>
  </si>
  <si>
    <t>Budapest</t>
  </si>
  <si>
    <t>LINESTRING (20.9661 47.8877, 20.9535 47.8739, 20.9138 47.8612, 20.798 47.8453, 20.7348 47.8332, 20.6118 47.8098, 20.5169 47.7938, 20.4746 47.7741, 20.437 47.7694, 20.4098 47.7572, 20.3825 47.7459, 20.3572 47.744, 20.3412 47.7421, 20.3158 47.7402, 20.2764 47.7271, 20.2125 47.7168, 20.158 47.7121, 20.1082 47.7017, 20.0603 47.6952, 20.0321 47.6914, 19.9964 47.6905, 19.9457 47.6858, 19.9157 47.6801, 19.8555 47.667, 19.7907 47.6369, 19.7513 47.6133, 19.7298 47.5962, 19.664 47.5747, 19.6169 47.5575, 19.5819 47.5538, 19.5469 47.5542, 19.5144 47.5525, 19.245 47.4906)</t>
  </si>
  <si>
    <t>P2974</t>
  </si>
  <si>
    <t>https://www.gem.wiki/Schwerin-Magdeburg_Gas_Pipeline</t>
  </si>
  <si>
    <t>Schwerin-Magdeburg Gas Pipeline</t>
  </si>
  <si>
    <t>ONTRAS [unknown %]</t>
  </si>
  <si>
    <t>VNG [unknown %]</t>
  </si>
  <si>
    <t>Schwerin</t>
  </si>
  <si>
    <t>Magdeburg</t>
  </si>
  <si>
    <t>LINESTRING (11.217131 53.706973, 11.195471 53.622783, 11.257938 53.55938, 11.280379 53.504945, 11.252654 53.443064, 11.474453 53.323172, 11.707315 53.204328, 11.848739 53.136464, 11.85567 53.082375, 11.793289 53.003199, 11.716275 52.947926, 11.647733 52.831849, 11.62694 52.756408, 11.522971 52.487112, 11.502178 52.398388, 11.405141 52.347608)</t>
  </si>
  <si>
    <t>P2975</t>
  </si>
  <si>
    <t>https://www.gem.wiki/Nitra-Velke_Zlievke_Gas_Pipeline</t>
  </si>
  <si>
    <t>Nitra-Velke Zlievke Gas Pipeline</t>
  </si>
  <si>
    <t>Transgas_42</t>
  </si>
  <si>
    <t>Nitra</t>
  </si>
  <si>
    <t>Velke Zlievce</t>
  </si>
  <si>
    <t>LINESTRING (19.461 48.2023, 19.478543 48.291717, 19.321679 48.25992, 19.178351 48.279001, 18.999988 48.238711, 18.859845 48.225981, 18.662372 48.291717, 18.378901 48.300193, 18.286534 48.32773, 18.06995 48.32773)</t>
  </si>
  <si>
    <t>P2979</t>
  </si>
  <si>
    <t>https://gem.wiki/Rixfeld–Scheidt_Gas_Pipeline</t>
  </si>
  <si>
    <t>Rixfeld–Scheidt Gas Pipeline</t>
  </si>
  <si>
    <t>No83_11</t>
  </si>
  <si>
    <t>NetConnect Germany [unknown %]</t>
  </si>
  <si>
    <t>Bayerngas GmbH [unknown %]; Energie Baden-Württemberg AG [unknown %]; Engie [unknown %]; Fluxys [unknown %]; Macquarie Group Limited [unknown %]; Open Grid Europe [unknown %]; Société d'Infrastructures Gazières [unknown %]</t>
  </si>
  <si>
    <t>Rixfeld</t>
  </si>
  <si>
    <t>Scheidt</t>
  </si>
  <si>
    <t>LINESTRING (9.3678 50.5837, 9.1879 50.5417, 8.8613 50.4842, 7.9784 50.3693, 7.9066 50.3468)</t>
  </si>
  <si>
    <t>P2981</t>
  </si>
  <si>
    <t>https://gem.wiki/Nordschwarzwaldleitung_(NOS)_Gas_Pipeline</t>
  </si>
  <si>
    <t>Nordschwarzwaldleitung (NOS) Gas Pipeline</t>
  </si>
  <si>
    <t>Nordschwarzwaldleitung</t>
  </si>
  <si>
    <t>Leonberg</t>
  </si>
  <si>
    <t>LINESTRING (8.24 48.953, 9.01 48.799)</t>
  </si>
  <si>
    <t>P2982</t>
  </si>
  <si>
    <t>https://www.gem.wiki/Nozay%E2%80%93Breal%E2%80%93Lannion_Gas_Pipeline</t>
  </si>
  <si>
    <t>Nozay–Breal–Lannion Gas Pipeline</t>
  </si>
  <si>
    <t>Nozay_Breal</t>
  </si>
  <si>
    <t>Breal</t>
  </si>
  <si>
    <t>LINESTRING (-1.6182601046005987 47.56259642618959, -1.6818005090344093 47.92668157164926, -1.7233731444602927 47.92668157164926, -1.8180663695970265 47.96071785305279, -1.8665677775938898 48.044166448131016, -1.9474034566976686 48.13518746951637, -1.9474034566976686 48.18602728820146, -2.0420966913807685 48.198344509424174, -2.1552666433734498 48.269111057578215, -3.3724210765594074 48.64284591303196, -3.464804710839147 48.73889632198926)</t>
  </si>
  <si>
    <t>P2983</t>
  </si>
  <si>
    <t>https://gem.wiki/North_West_Pipeline_(NWP)</t>
  </si>
  <si>
    <t>North West Pipeline (NWP)</t>
  </si>
  <si>
    <t>BGE Northern Ireland [unknown %]</t>
  </si>
  <si>
    <t>Centrica [unknown %]</t>
  </si>
  <si>
    <t>Coolkeeragh</t>
  </si>
  <si>
    <t>LINESTRING (-5.718 54.751, -5.891077 54.77851, -6.033173 54.811626, -6.184339 54.916025, -6.408065 54.916025, -6.746677 55.030552, -7.321107 54.975064)</t>
  </si>
  <si>
    <t>P2984</t>
  </si>
  <si>
    <t>https://gem.wiki/Ommen–Scheemda_Gas_Pipeline</t>
  </si>
  <si>
    <t>Ommen–Scheemda Gas Pipeline</t>
  </si>
  <si>
    <t>Ommen_Scheemda_10, Ommen_Scheemda_11, Ommen_Scheemda_12, Ommen_Scheemda_20, Ommen_Scheemda_21, Ommen_Scheemda_22, Ommen_Scheemda_30, Ommen_Scheemda_31, Ommen_Scheemda_32</t>
  </si>
  <si>
    <t>Scheemda</t>
  </si>
  <si>
    <t>LINESTRING (6.388158 52.543334, 6.412026 52.569132, 6.412026 52.588471, 6.414678 52.60458, 6.427938 52.619073, 6.446503 52.635171, 6.459763 52.662524, 6.462415 52.673782, 6.499543 52.688252, 6.526064 52.707538, 6.563192 52.742874, 6.597668 52.791013, 6.645405 52.83269, 6.671925 52.858318, 6.695794 52.879129, 6.754138 52.899931, 6.785963 52.928716, 6.793919 52.943102, 6.791267 52.987827, 6.796571 53.013363, 6.833699 53.04845, 6.862871 53.080323, 6.907956 53.138431, 6.909282 53.158313, 6.894696 53.172622, 6.881436 53.17739, 6.853589 53.178185)</t>
  </si>
  <si>
    <t>P2985</t>
  </si>
  <si>
    <t>https://gem.wiki/Oricola–Ciciliano_Gas_Pipeline</t>
  </si>
  <si>
    <t>Oricola–Ciciliano Gas Pipeline</t>
  </si>
  <si>
    <t>Oricola_Ciciliano</t>
  </si>
  <si>
    <t>Ciciliano</t>
  </si>
  <si>
    <t>LINESTRING (13.05833 42.049009, 13.027604 42.036246, 13.015727 42.014591, 12.996292 41.99373, 12.958503 41.984903, 12.927047 41.974721)</t>
  </si>
  <si>
    <t>P2986</t>
  </si>
  <si>
    <t>https://gem.wiki/Oricola–Sulmona_Gas_Pipeline</t>
  </si>
  <si>
    <t>Vastogirardi-Oricola Gas Pipeline</t>
  </si>
  <si>
    <t>Oricola–Sulmona Gas Pipeline</t>
  </si>
  <si>
    <t>Oricola_Sulmona</t>
  </si>
  <si>
    <t>LINESTRING (13.987411 42.019671, 13.763733 42.072522, 13.616894 42.046871, 13.444142 42.104573, 13.337612 42.040456, 13.27427 42.042594, 13.213807 42.034041, 13.136068 42.063973, 13.05833 42.049009)</t>
  </si>
  <si>
    <t>P2987</t>
  </si>
  <si>
    <t>https://gem.wiki/Oviedo–Tuy_Gas_Pipeline</t>
  </si>
  <si>
    <t>Oviedo–Tuy Gas Pipeline</t>
  </si>
  <si>
    <t>Oviedo_Tuy0, Oviedo_Tuy1</t>
  </si>
  <si>
    <t>20, 14, 10, 8</t>
  </si>
  <si>
    <t>Tuy</t>
  </si>
  <si>
    <t>LINESTRING (-8.631628072611047 42.05104147771133, -8.59666979216771 42.22673679385529, -8.651049339524011 42.43062052085785, -8.647165086141417 42.790814597592025, -8.530637484663627 42.8677279735244, -8.25873974400635 43.26783121301758, -7.749902550886662 43.182921604617015, -7.69552300353036 43.32154612276265, -7.345940199096986 43.38368305576887, -5.846618347787794 43.53029924222731, -5.850502601170388 43.36674293045025)</t>
  </si>
  <si>
    <t>P2988</t>
  </si>
  <si>
    <t>https://gem.wiki/Palagiano–Bernalda_Gas_Pipeline</t>
  </si>
  <si>
    <t>Palagiano–Bernalda Gas Pipeline</t>
  </si>
  <si>
    <t>Palagiano_Bernalda_1</t>
  </si>
  <si>
    <t>LINESTRING (17.02252 40.545398, 16.991996 40.528852, 16.973862 40.520582, 16.931068 40.500729, 16.88102 40.477561, 16.820818 40.445001, 16.772947 40.395855, 16.754996 40.370773)</t>
  </si>
  <si>
    <t>P2989</t>
  </si>
  <si>
    <t>https://gem.wiki/Palagiano–Latiano_Gas_Pipeline</t>
  </si>
  <si>
    <t>Palagiano-Latiano</t>
  </si>
  <si>
    <t>Palagiano_Latiano_1</t>
  </si>
  <si>
    <t>LINESTRING (17.714271 40.580433, 17.649003 40.568944, 17.551599 40.568944, 17.401066 40.567262, 17.323586 40.582395, 17.266029 40.599206, 17.188549 40.599206, 17.108855 40.585758, 17.065272 40.575619, 17.02252 40.545398)</t>
  </si>
  <si>
    <t>P2990</t>
  </si>
  <si>
    <t>https://gem.wiki/Palmi–Messina_Gas_Pipeline</t>
  </si>
  <si>
    <t>Palmi–Messina Gas Pipeline</t>
  </si>
  <si>
    <t>Palmi_Messina_1</t>
  </si>
  <si>
    <t>Palmi</t>
  </si>
  <si>
    <t>LINESTRING (15.872225 38.421559, 15.836911 38.402706, 15.759664 38.363475, 15.672625 38.317394, 15.654129 38.285803, 15.612785 38.262741, 15.576881 38.254768)</t>
  </si>
  <si>
    <t>P2991</t>
  </si>
  <si>
    <t>https://gem.wiki/Parma–Pontremoli_Gas_Pipeline</t>
  </si>
  <si>
    <t>Parma–Pontremoli Gas Pipeline</t>
  </si>
  <si>
    <t>Parma_Pontremoli</t>
  </si>
  <si>
    <t>Pontremoli</t>
  </si>
  <si>
    <t>LINESTRING (9.890534 44.349804, 9.910622 44.372266, 9.922952 44.406216, 9.953416 44.456975, 9.995848 44.480267, 10.051335 44.505232, 10.093767 44.544792, 10.100295 44.582, 10.126407 44.611052, 10.168838 44.637767, 10.21943 44.671434, 10.270022 44.703921, 10.307538 44.738377)</t>
  </si>
  <si>
    <t>P2992</t>
  </si>
  <si>
    <t>https://gem.wiki/Penta-West_Gas_Pipeline</t>
  </si>
  <si>
    <t>Penta-West Gas Pipeline</t>
  </si>
  <si>
    <t>PENTA_West1, PENTA_West2</t>
  </si>
  <si>
    <t>Uberackern</t>
  </si>
  <si>
    <t>MULTILINESTRING ((12.872298404345482 48.193302272781, 13.086254088202905 48.165665497687634, 13.103834194351503 48.178055107167516, 13.48 48.21, 13.518 48.3036, 13.541 48.3301, 13.575 48.3597), (13.575 48.3597, 13.624 48.3985, 13.659 48.3993, 13.689 48.4265, 13.722 48.4528, 13.739 48.4687, 13.754 48.4841, 13.752 48.5544))</t>
  </si>
  <si>
    <t>P2993</t>
  </si>
  <si>
    <t>https://gem.wiki/Petrich–Dubnitza_Gas_Pipeline</t>
  </si>
  <si>
    <t>Petrich–Dubnitza Gas Pipeline</t>
  </si>
  <si>
    <t>Petrich-Dubnitza</t>
  </si>
  <si>
    <t>LINESTRING (23.06850948460245 42.262824208265606, 23.052029993126904 42.19978037509059, 23.021817592088404 42.132600012160715, 23.03107193057239 42.0078799068515, 23.04466681744074 41.90967324615434, 23.147599532301044 41.86195959287567, 23.172847179342252 41.78959829034119, 23.130120392041746 41.72295366961174, 23.15956799974628 41.64392358477515, 23.21730777185874 41.61975601097931, 23.275047543971205 41.52126593166426, 23.25195163512622 41.47109931990972)</t>
  </si>
  <si>
    <t>P2995</t>
  </si>
  <si>
    <t>Belgium, France</t>
  </si>
  <si>
    <t>https://gem.wiki/Pitgam–Maldegem_Gas_Pipeline</t>
  </si>
  <si>
    <t>Pitgam–Maldegem Gas Pipeline</t>
  </si>
  <si>
    <t>Hondschoote-Alveringen-Maldegem</t>
  </si>
  <si>
    <t>Pitgam_Maldegem</t>
  </si>
  <si>
    <t xml:space="preserve">Hondschoote </t>
  </si>
  <si>
    <t>LINESTRING (2.5840520820149315 50.98017659747543, 2.6242208420297213 50.98601234292938, 2.7093648803516683 51.01215611868345, 2.9301106386638955 51.01252293209547, 2.974205077319672 51.01355040367259, 2.9693056952468075 51.02382386745345, 3.093599635983598 51.077458695606246, 3.224127898204455 51.10658511829395, 3.3072731691007586 51.23402055915333, 3.4458486205945973 51.206535894537325)</t>
  </si>
  <si>
    <t>P2996</t>
  </si>
  <si>
    <t>https://gem.wiki/Plavecky–Nitra_Gas_Pipeline</t>
  </si>
  <si>
    <t>Plavecky–Nitra Gas Pipeline</t>
  </si>
  <si>
    <t>Transgas_41</t>
  </si>
  <si>
    <t>LINESTRING (18.06995 48.32773, 17.857546 48.447237, 17.691923 48.459911, 17.50719 48.563301, 17.360677 48.563301, 17.316051 48.546336)</t>
  </si>
  <si>
    <t>P2998</t>
  </si>
  <si>
    <t>https://gem.wiki/Podisor–Giurgiu_Gas_Pipeline</t>
  </si>
  <si>
    <t>Podisor–Giurgiu Gas Pipeline</t>
  </si>
  <si>
    <t>Podisor-Giurgiu</t>
  </si>
  <si>
    <t>LINESTRING (25.716 44.3876, 25.7514 44.2571, 25.8439 44.1638, 25.9607 43.9225, 25.9625 43.9046)</t>
  </si>
  <si>
    <t>P3000</t>
  </si>
  <si>
    <t>https://gem.wiki/Poggio_Renatico–Minerbio_Gas_Pipeline</t>
  </si>
  <si>
    <t>Poggio Renatico–Minerbio Gas Pipeline</t>
  </si>
  <si>
    <t>PoggioRenatico_Minerbio_1</t>
  </si>
  <si>
    <t>Poggio Renatico</t>
  </si>
  <si>
    <t>LINESTRING (11.508643 44.589285, 11.475372 44.629369, 11.467694 44.669425, 11.465135 44.71491, 11.454898 44.760359, 11.44722 44.785794)</t>
  </si>
  <si>
    <t>P3001</t>
  </si>
  <si>
    <t>https://gem.wiki/Poirino–Alessandria_Gas_Pipeline</t>
  </si>
  <si>
    <t>Poirino–Alessandria Gas Pipeline</t>
  </si>
  <si>
    <t>Poirino_Alessandria</t>
  </si>
  <si>
    <t>LINESTRING (7.883814 44.940132, 7.913432 44.916956, 7.978712 44.92389, 8.024407 44.919267, 8.089687 44.891526, 8.145174 44.879963, 8.236566 44.870711, 8.318165 44.868398, 8.393236 44.882276, 8.491156 44.870711, 8.536851 44.840632, 8.604493 44.848314)</t>
  </si>
  <si>
    <t>P3003</t>
  </si>
  <si>
    <t>https://gem.wiki/Pontremoli–La_Spezia_Gas_Pipeline</t>
  </si>
  <si>
    <t>Saint Stefano Di Magra–La Spezia Gas Pipeline</t>
  </si>
  <si>
    <t>Pontremoli_LaSpezia</t>
  </si>
  <si>
    <t>La Spezia</t>
  </si>
  <si>
    <t>LINESTRING (9.899492 44.156409, 9.899492 44.156409, 9.828365 44.143596, 9.795725 44.134226, 9.782669 44.113139, 9.782669 44.075633)</t>
  </si>
  <si>
    <t>P3006</t>
  </si>
  <si>
    <t>https://gem.wiki/Puertollano–Madrid_Gas_Pipeline</t>
  </si>
  <si>
    <t>Puertollano–Madrid Gas Pipeline</t>
  </si>
  <si>
    <t>Puertollano_Madrid</t>
  </si>
  <si>
    <t>LINESTRING (-4.115072935760673 38.695896601725565, -3.725058269240817 39.404037808286574, -3.8843600344390627 39.932580610970035, -3.7058321941306778 40.22889328797093, -3.7195651060696964 40.314813016611765)</t>
  </si>
  <si>
    <t>P3007</t>
  </si>
  <si>
    <t>https://gem.wiki/Puth_Schinnen–Bemelen_Gas_Pipeline</t>
  </si>
  <si>
    <t>Puth Schinnen–Bemelen Gas Pipeline</t>
  </si>
  <si>
    <t>PuthSchinnen_Bemelen</t>
  </si>
  <si>
    <t>LINESTRING (5.8705487 50.9554323, 5.758 50.84)</t>
  </si>
  <si>
    <t>P3008</t>
  </si>
  <si>
    <t>https://gem.wiki/Rauna–Karksi_Gas_Pipeline</t>
  </si>
  <si>
    <t>Rauna–Karksi Gas Pipeline</t>
  </si>
  <si>
    <t>Rauna-Karksi0</t>
  </si>
  <si>
    <t>Rauna</t>
  </si>
  <si>
    <t>Valmiera</t>
  </si>
  <si>
    <t>LINESTRING (25.6 57.33, 25.58 57.53)</t>
  </si>
  <si>
    <t>P3009</t>
  </si>
  <si>
    <t>https://gem.wiki/Ravenna_Mare–Rubicone_Gas_Pipeline</t>
  </si>
  <si>
    <t>Terranuova-Castelbolognese Gas Pipeline</t>
  </si>
  <si>
    <t>Terranuova</t>
  </si>
  <si>
    <t>Castelbolognese</t>
  </si>
  <si>
    <t>LINESTRING (11.825994 44.308383, 11.803364 44.285876, 11.801914 44.265103, 11.801914 44.253675, 11.783055 44.241205, 11.764197 44.238087, 11.730832 44.222495, 11.717776 44.208979, 11.713424 44.1965, 11.707621 44.179857, 11.684411 44.162168, 11.665552 44.149679, 11.653947 44.138228, 11.655397 44.120527, 11.659749 44.109071, 11.651045 44.094487, 11.633638 44.080941, 11.630736 44.068435, 11.630736 44.059053, 11.611878 44.045499, 11.581414 44.021512, 11.57271 44.01108, 11.562556 43.994384, 11.553852 43.982903, 11.548049 43.963068, 11.561105 43.903521, 11.585766 43.87111, 11.569809 43.832404, 11.562556 43.796814, 11.582865 43.75282, 11.584315 43.730811, 11.568358 43.703551, 11.559654 43.678376, 11.559654 43.644794, 11.568358 43.606992, 11.587661 43.57809)</t>
  </si>
  <si>
    <t>P3010</t>
  </si>
  <si>
    <t>https://gem.wiki/Ravenna_Terra–Ravenna_Mare_Gas_Pipeline</t>
  </si>
  <si>
    <t>Ravenna-Recanati Gas Pipeline</t>
  </si>
  <si>
    <t>RavennaTerra_RavennaMare_1</t>
  </si>
  <si>
    <t>Recanati</t>
  </si>
  <si>
    <t>LINESTRING (13.529712 43.384586, 13.493876 43.432751, 13.467765 43.461187, 13.389429 43.506184, 13.317622 43.584256, 13.232758 43.645696, 13.174007 43.704714, 13.082616 43.721229, 12.952057 43.775459, 12.906361 43.817866, 12.828026 43.872009, 12.795386 43.911996, 12.736634 43.926103, 12.694203 43.928453, 12.632187 43.961355, 12.593019 43.994238, 12.54406 44.01302, 12.498766 44.043494, 12.472252 44.085744, 12.433085 44.139643, 12.364541 44.202854, 12.295998 44.277682, 12.282942 44.303382, 12.299262 44.33374, 12.302526 44.366416, 12.279678 44.40607, 12.199372 44.44454)</t>
  </si>
  <si>
    <t>P3011</t>
  </si>
  <si>
    <t>https://gem.wiki/Ravenstein–Ewijk_Gas_Pipeline</t>
  </si>
  <si>
    <t>Ravenstein–Ewijk Gas Pipeline</t>
  </si>
  <si>
    <t>Ravenstein_Ewijk_1</t>
  </si>
  <si>
    <t>LINESTRING (5.666806 51.757393, 5.680066 51.784471, 5.680066 51.792673, 5.689348 51.805793)</t>
  </si>
  <si>
    <t>P3012</t>
  </si>
  <si>
    <t>https://gem.wiki/Ravenstein–Westerschelde_Oost_Gas_Pipeline</t>
  </si>
  <si>
    <t>Ravenstein–Westerschelde Oost Gas Pipeline</t>
  </si>
  <si>
    <t>Ravenstein_Westerschelde Oost0, Ravenstein_Westerschelde Oost1, Ravenstein_Westerschelde Oost2, Ravenstein_Westerschelde Oost3, Ravenstein_Westerschelde Oost4, Ravenstein_Westerschelde Oost5, Ravenstein_Westerschelde Oost6, Ravenstein_Westerschelde Oost7</t>
  </si>
  <si>
    <t>Westerschelde Oost</t>
  </si>
  <si>
    <t>LINESTRING (4.34 51.387, 4.359355 51.41465, 4.38256 51.423333, 4.417036 51.436147, 4.45748 51.439867, 4.489967 51.446479, 4.517813 51.447305, 4.540356 51.44276, 4.581462 51.443173, 4.625221 51.444, 4.655719 51.449785, 4.720031 51.458048, 4.740584 51.467548, 4.794951 51.461766, 4.8102 51.452264, 4.822134 51.44028, 4.84998 51.431187, 4.867219 51.431187, 4.889761 51.432841, 4.904347 51.445239, 4.946779 51.459287, 4.975952 51.46507, 5.025014 51.461766, 5.072751 51.460939, 5.104575 51.455156, 5.131096 51.456808, 5.141704 51.461766, 5.147008 51.466722, 5.197396 51.47333, 5.221265 51.47333, 5.249111 51.475808, 5.269001 51.484892, 5.283587 51.498102, 5.30613 51.509657, 5.33265 51.518735, 5.34591 51.536059, 5.349888 51.550903, 5.361822 51.569039, 5.377734 51.582225, 5.384364 51.592935, 5.420167 51.619289, 5.457295 51.640689, 5.507684 51.648918, 5.534204 51.675239, 5.55542 51.699901, 5.592549 51.727834, 5.648241 51.744258, 5.666806 51.757393)</t>
  </si>
  <si>
    <t>P3013</t>
  </si>
  <si>
    <t>https://gem.wiki/Recanati–Chieti_Gas_Pipeline</t>
  </si>
  <si>
    <t>Recanati–Chieti Gas Pipeline</t>
  </si>
  <si>
    <t>Recanati_Chieti1</t>
  </si>
  <si>
    <t>LINESTRING (14.090662 42.335071, 14.130283 42.336699, 14.097408 42.364987, 14.087852 42.447587, 14.081324 42.527016, 14.051948 42.594331, 14.016044 42.632764, 13.976877 42.685571, 13.957293 42.726346, 13.934445 42.791051, 13.901805 42.838937, 13.865901 42.905915, 13.849582 42.970432, 13.843054 43.020565, 13.803886 43.115944, 13.754926 43.165958, 13.725551 43.208795, 13.689647 43.263487, 13.643951 43.292003, 13.562352 43.356114, 13.529712 43.384586)</t>
  </si>
  <si>
    <t>P3014</t>
  </si>
  <si>
    <t>https://gem.wiki/Recanati–Foligno_Gas_Pipeline</t>
  </si>
  <si>
    <t>Recanati–Foligno Gas Pipeline</t>
  </si>
  <si>
    <t>Recanati_Foligno</t>
  </si>
  <si>
    <t>LINESTRING (13.529712 43.384586, 13.480752 43.36086, 13.422001 43.320505, 13.366513 43.299129, 13.317554 43.280123, 13.252274 43.265864, 13.235954 43.251602, 13.203315 43.223067, 13.160883 43.196899, 13.111923 43.17786, 13.095603 43.14691, 13.089076 43.125473, 13.079284 43.113561, 13.01074 43.049194, 12.948725 43.027723, 12.889973 43.032495, 12.841013 43.008632, 12.778998 42.991922, 12.743094 42.989535, 12.675397 42.968015)</t>
  </si>
  <si>
    <t>P3015</t>
  </si>
  <si>
    <t>https://gem.wiki/Reggio_Calabria–Messina_Gas_Pipeline</t>
  </si>
  <si>
    <t>Reggio Calabria–Messina Gas Pipeline</t>
  </si>
  <si>
    <t>ReggioCalabria_Messina_1</t>
  </si>
  <si>
    <t>Reggio Calabria</t>
  </si>
  <si>
    <t>LINESTRING (15.612785 38.262741, 15.654129 38.285803, 15.705706 38.30858, 15.749949 38.297188, 15.751332 38.277111, 15.734135 38.25221)</t>
  </si>
  <si>
    <t>P3017</t>
  </si>
  <si>
    <t>https://gem.wiki/Rende–Maida_Gas_Pipeline</t>
  </si>
  <si>
    <t>Maida-Martirano Gas Pipeline</t>
  </si>
  <si>
    <t>Rende_MaidaSEufemia_1</t>
  </si>
  <si>
    <t>Martirano</t>
  </si>
  <si>
    <t>LINESTRING (16.449724 38.922041, 16.455865 38.965744, 16.447705 39.020286, 16.419961 39.063382, 16.37345 39.091254, 16.319594 39.096954, 16.235643 39.096097)</t>
  </si>
  <si>
    <t>P3019</t>
  </si>
  <si>
    <t>https://gem.wiki/Riga–Daugavpils_Gas_Pipeline</t>
  </si>
  <si>
    <t>Riga–Daugavpils Gas Pipeline</t>
  </si>
  <si>
    <t>Riga-Dougvapils0, Riga-Dougvapils1</t>
  </si>
  <si>
    <t>Jekabpils</t>
  </si>
  <si>
    <t>MULTILINESTRING ((24.1788 56.9904, 24.6416 56.8773, 24.7848 56.7981, 24.9356 56.7649, 24.9484 56.7495, 24.9611 56.7214, 24.9842 56.6984, 25.0174 56.6907, 25.0557 56.6907, 25.0711 56.6984, 25.1247 56.7061, 25.158 56.7086, 25.1912 56.6907, 25.2066 56.6856, 25.2372 56.6831, 25.2986 56.6754, 25.3293 56.6779, 25.452 56.6473, 25.5261 56.614, 25.5644 56.5987, 25.7153 56.5987, 25.8073 56.5501, 25.8814 56.5271, 25.92 56.52), (25.92 56.52, 26.0366 56.4681, 26.059 56.4601, 26.0782 56.4393, 26.0854 56.4225, 26.1054 56.4129, 26.1398 56.3977, 26.1574 56.3905, 26.1758 56.3657, 26.1822 56.3521, 26.2559 56.3481, 26.3287 56.3369, 26.4671 56.2977, 26.4807 56.2649, 26.4943 56.2249, 26.5111 56.1736, 26.5272 56.1392, 26.5368 56.1272, 26.5352 56.1064, 26.5184 56.0968, 26.5103 56.088, 26.5399 55.874))</t>
  </si>
  <si>
    <t>P3020</t>
  </si>
  <si>
    <t>https://gem.wiki/Rijeka–Pula_Gas_Pipeline</t>
  </si>
  <si>
    <t>Rijeka–Pula Gas Pipeline</t>
  </si>
  <si>
    <t>Rijeka_Pula</t>
  </si>
  <si>
    <t>Pula</t>
  </si>
  <si>
    <t>LINESTRING (14.44 45.35, 14.4304 45.3422, 14.426 45.3443, 14.4214 45.3447, 14.4151 45.3437, 14.4047 45.3437, 14.3919 45.3475, 14.3789 45.3485, 14.3667 45.3492, 14.3585 45.3531, 14.3532 45.3557, 14.3481 45.3563, 14.3373 45.3616, 14.3327 45.3622, 14.3254 45.3602, 14.3161 45.3582, 14.3081 45.3575, 14.3069 45.3556, 14.3074 45.3541, 14.3071 45.3525, 14.3067 45.3503, 14.3069 45.348, 14.3034 45.3463, 14.3002 45.3458, 14.2995 45.3427, 14.2987 45.3408, 14.2973 45.3399, 14.2922 45.3399, 14.2887 45.3396, 14.2876 45.3377, 14.2886 45.3346, 14.2882 45.3303, 14.2867 45.3272, 14.2822 45.3253, 14.2784 45.3259, 14.2738 45.3259, 14.27 45.3261, 14.2676 45.3272, 14.2649 45.3297, 14.2616 45.3294, 14.2597 45.3256, 14.26 45.321, 14.2555 45.3144, 14.2528 45.3135, 14.2547 45.3094, 14.2529 45.2959, 14.2532 45.2824, 14.2514 45.2779, 14.2377 45.2585, 14.2332 45.1862, 14.2301 45.1848, 14.2303 45.1812, 14.2321 45.1795, 14.2337 45.1786, 14.2314 45.1761, 14.2299 45.1734, 14.2301 45.1708, 14.2288 45.1685, 14.2261 45.1679, 14.2236 45.1658, 14.2236 45.1638, 14.2232 45.1625, 14.2221 45.1623, 14.2207 45.1623, 14.2201 45.1618, 14.2194 45.1591, 14.2172 45.1576, 14.2167 45.1574, 14.2149 45.1569, 14.2147 45.1562, 14.2138 45.1545, 14.2134 45.1536, 14.2143 45.1513, 14.2145 45.1498, 14.2136 45.1484, 14.2138 45.1466, 14.2134 45.1446, 14.212 45.1395, 14.2107 45.1383, 14.2072 45.1374, 14.2058 45.1367, 14.2062 45.1354, 14.2053 45.1337, 14.2053 45.133, 14.2054 45.1323, 14.2048 45.1313, 14.2043 45.13, 14.2046 45.1243, 14.2044 45.1225, 14.204 45.1224, 14.1958 45.1269, 14.1952 45.128, 14.1942 45.1289, 14.1934 45.1294, 14.192 45.1312, 14.1888 45.1323, 14.1878 45.1326, 14.1862 45.1345, 14.1843 45.1356, 14.1838 45.1363, 14.1828 45.1371, 14.1805 45.1372, 14.18 45.1391, 14.1792 45.1404, 14.1747 45.144, 14.1729 45.1454, 14.1721 45.146, 14.172 45.1472, 14.1705 45.1496, 14.169 45.1518, 14.1687 45.1539, 14.1682 45.1562, 14.1641 45.1573, 14.1624 45.1568, 14.16 45.1562, 14.1583 45.1552, 14.1559 45.1531, 14.1552 45.1503, 14.1498 45.1455, 14.1441 45.137, 14.1367 45.1324, 14.1255 45.1298, 14.1191 45.1256, 14.1206 45.1187, 14.1194 45.1142, 14.1177 45.1087, 14.1144 45.1028, 14.1146 45.0971, 14.1134 45.0933, 14.1125 45.0918, 14.1089 45.093, 14.1073 45.093, 14.1018 45.0907, 14.0994 45.0897, 14.0973 45.0885, 14.0937 45.0876, 14.0904 45.0871, 14.0878 45.0864, 14.0866 45.0859, 14.0859 45.085, 14.0854 45.0842, 14.0849 45.0823, 14.0845 45.0812, 14.0745 45.0736, 14.0702 45.0719, 14.0676 45.0707, 14.0676 45.066, 14.0629 45.0596, 14.0576 45.0562, 14.0524 45.0567, 14.0496 45.052, 14.0436 45.0581, 14.036 45.0607, 14.0329 45.065, 14.0249 45.0657, 14.0173 45.0624, 14.0151 45.0572, 14.0113 45.0489, 14.004 45.0417, 13.9745 44.9974, 13.9727 44.9943, 13.971 44.9923, 13.9694 44.9883, 13.9665 44.9876, 13.9636 44.9858, 13.9614 44.9821, 13.9608 44.9772, 13.9617 44.9701, 13.9621 44.9665, 13.957 44.9592, 13.9526 44.9557, 13.9488 44.9492, 13.9446 44.9455, 13.9368 44.941, 13.9339 44.9393, 13.9282 44.9366, 13.9206 44.9295, 13.916 44.9257, 13.9117 44.9233, 13.9097 44.9209, 13.9082 44.9193, 13.9071 44.9177, 13.9051 44.9158, 13.9046 44.9135, 13.9055 44.9111, 13.9062 44.908, 13.9062 44.9069, 13.85 44.86)</t>
  </si>
  <si>
    <t>P3022</t>
  </si>
  <si>
    <t>https://gem.wiki/Rimini–Sansepolcro_Gas_Pipeline</t>
  </si>
  <si>
    <t>Rimini–Sansepolcro Gas Pipeline</t>
  </si>
  <si>
    <t>Rimini_Sansepolcro</t>
  </si>
  <si>
    <t>Sansepolcro</t>
  </si>
  <si>
    <t>Rimini</t>
  </si>
  <si>
    <t>LINESTRING (12.102077 43.583652, 12.109755 43.654057, 12.117433 43.687379, 12.148144 43.707732, 12.214686 43.724381, 12.242838 43.766905, 12.242838 43.813092, 12.278668 43.846325, 12.288905 43.894295, 12.352887 43.942227, 12.404073 43.962494, 12.416869 43.995644, 12.455258 44.026935, 12.498766 44.043494)</t>
  </si>
  <si>
    <t>P3023</t>
  </si>
  <si>
    <t>https://gem.wiki/Ripalta–Cortemaggiore_Gas_Pipeline</t>
  </si>
  <si>
    <t>Capacity Expansion</t>
  </si>
  <si>
    <t>Ripalta_Cortemaggiore_1</t>
  </si>
  <si>
    <t>P3024</t>
  </si>
  <si>
    <t>Slovenia, Italy</t>
  </si>
  <si>
    <t>https://gem.wiki/Rogatec–Gorizia_Gas_Pipeline</t>
  </si>
  <si>
    <t>Rogatec–Gorizia Gas Pipeline</t>
  </si>
  <si>
    <t>Rogatec-Vodice</t>
  </si>
  <si>
    <t>Rogatec_Gorizia0, Rogatec_Gorizia1, Rogatec_Gorizia2</t>
  </si>
  <si>
    <t>Plinovodi d.o.o. [unknown %]; Snam [unknown %]</t>
  </si>
  <si>
    <t>Other [unknown %]; SDH [unknown %]; Snam [unknown %]</t>
  </si>
  <si>
    <t>Rogatec</t>
  </si>
  <si>
    <t>Gorizia</t>
  </si>
  <si>
    <t>LINESTRING (15.712507 46.240269, 15.666324 46.220439, 15.638057 46.215205, 15.608595 46.223745, 15.58192 46.22705, 15.544894 46.229804, 15.519413 46.235037, 15.497914 46.231457, 15.466063 46.236138, 15.419084 46.236689, 15.384048 46.233385, 15.356975 46.242197, 15.323532 46.245501, 15.285311 46.246602, 15.223202 46.259816, 15.186574 46.262018, 15.162686 46.262018, 15.12128 46.268624, 15.08943 46.262018, 15.070319 46.251007, 15.044839 46.248805, 15.030506 46.241095, 15.009803 46.239994, 14.981138 46.239994, 14.966805 46.233385, 14.96362 46.224571, 14.946102 46.213552, 14.926992 46.203634, 14.906289 46.190406, 14.887178 46.180483, 14.868068 46.177175, 14.845773 46.171661, 14.82507 46.169455, 14.801182 46.169455, 14.774109 46.162838, 14.748628 46.159528, 14.73111 46.161735, 14.700852 46.162838, 14.689705 46.159528, 14.680149 46.167249, 14.667409 46.171661, 14.643521 46.173866, 14.614856 46.180483, 14.59893 46.181585, 14.524081 46.17938, 14.493846 46.189632)</t>
  </si>
  <si>
    <t>P3025</t>
  </si>
  <si>
    <t>https://gem.wiki/Roussines–Chemery_Gas_Pipeline</t>
  </si>
  <si>
    <t>Roussines–Chemery Gas Pipeline</t>
  </si>
  <si>
    <t>Roussines_Chemery</t>
  </si>
  <si>
    <t>LINESTRING (1.4862 47.3879, 1.507 47.3059, 1.4926 47.2929, 1.4586 47.2663, 1.419 47.2194, 1.4389 47.0878, 1.4294 46.9763, 1.4294 46.9096, 1.4088 46.7985, 1.4292 46.7761, 1.4496 46.7537, 1.4537 46.7117, 1.4578 46.6781, 1.466 46.65, 1.466 46.6304, 1.466 46.6107, 1.466 46.5995, 1.4619 46.5826, 1.38 46.463)</t>
  </si>
  <si>
    <t>P3026</t>
  </si>
  <si>
    <t>https://gem.wiki/Roussines–Etrez_Gas_Pipeline</t>
  </si>
  <si>
    <t>Roussines–Etrez Gas Pipeline</t>
  </si>
  <si>
    <t>Roussines_Etrez0, Roussines_Etrez2, Roussines_Etrez3</t>
  </si>
  <si>
    <t>MULTILINESTRING ((1.38 46.463, 1.6055 46.4301, 1.7508 46.467, 1.9572 46.4617, 2.0108 46.4248, 2.1637 46.409, 2.4619 46.3932, 2.5383 46.3985, 2.6148 46.3721, 2.676 46.3774, 2.7371 46.4038, 2.7754 46.4143, 2.8365 46.3879, 3.1806 46.3616, 3.3794 46.3985, 3.4482 46.3932, 3.4712 46.3616, 3.6164 46.3563, 3.7847 46.3457, 4.0108 46.3526), (4.0108 46.3526, 4.0902 46.3891, 4.1136 46.4117, 4.1558 46.4472, 4.2471 46.5134, 4.35 46.55), (5.2116 46.336, 5.2123 46.3418, 4.35 46.55))</t>
  </si>
  <si>
    <t>P3027</t>
  </si>
  <si>
    <t>https://gem.wiki/Roussines–Gregy_Gas_Pipeline</t>
  </si>
  <si>
    <t>Roussines–Gregy Gas Pipeline</t>
  </si>
  <si>
    <t>Roussines_Gregy0, Roussines_Gregy1</t>
  </si>
  <si>
    <t>Chateau Landon</t>
  </si>
  <si>
    <t>MULTILINESTRING ((1.9922 47.2482, 1.8758 47.0798, 1.6902 46.8974, 1.38 46.463), (1.9922 47.2482, 2.0937 47.3428, 2.1151 47.3791, 2.1312 47.4262, 2.1633 47.4804, 2.174 47.5093, 2.2382 47.5852, 2.2596 47.6176, 2.297 47.6465, 2.3398 47.7185, 2.4147 47.7653, 2.4522 47.794, 2.495 47.8623, 2.511 47.9017, 2.5164 47.9376, 2.5485 47.9448, 2.5913 47.9555, 2.6715 48.0665, 2.6876 48.1236, 2.7036 48.1415, 2.7044 48.1502, 2.7041 48.2275, 2.7077 48.2492, 2.7258 48.2757, 2.733 48.3647, 2.6932 48.3935, 2.7077 48.4319, 2.7077 48.4655, 2.7041 48.5135, 2.6969 48.5518, 2.6896 48.5949, 2.6788 48.6188, 2.6357 48.6539))</t>
  </si>
  <si>
    <t>P3028</t>
  </si>
  <si>
    <t>https://gem.wiki/Rozvadov–Veseli_Nad_Luznici_Gas_Pipeline</t>
  </si>
  <si>
    <t>Rozvadov–Veseli Nad Luznici Gas Pipeline</t>
  </si>
  <si>
    <t>Transgas_11</t>
  </si>
  <si>
    <t>Veseli Nad Luznici</t>
  </si>
  <si>
    <t>LINESTRING (12.5499 49.6634, 12.6718 49.6235, 12.7543 49.6192, 12.8823 49.5996, 13.0471 49.5714, 13.1014 49.5476, 13.1296 49.5194, 13.2337 49.4999, 13.2988 49.4933, 13.3639 49.4933, 13.4246 49.4782, 13.5071 49.4478, 13.5657 49.4369, 13.8464 49.3696, 13.9562 49.3338, 14.0788 49.2955, 14.1273 49.247, 14.1912 49.1959, 14.2422 49.155, 14.2933 49.1576, 14.375 49.1678, 14.4746 49.1729, 14.5615 49.1755, 14.6851 49.209)</t>
  </si>
  <si>
    <t>P3032</t>
  </si>
  <si>
    <t>P3033</t>
  </si>
  <si>
    <t>https://www.gem.wiki/Villapresente%E2%80%93Oviedo_Gas_Pipeline</t>
  </si>
  <si>
    <t>Villapresente–Oviedo Gas Pipeline</t>
  </si>
  <si>
    <t>Santander_Oviedo</t>
  </si>
  <si>
    <t>LINESTRING (-5.846618347787794 43.53029924222731, -5.784470224254959 43.499313930185124, -5.438771673204178 43.482406143875586, -5.061999095092652 43.42883359526776, -4.269611405043671 43.31024166770215, -4.110357016357355 43.36674293297558)</t>
  </si>
  <si>
    <t>P3034</t>
  </si>
  <si>
    <t>https://www.gem.wiki/Ulm%E2%80%93Lindau_Gas_Pipeline</t>
  </si>
  <si>
    <t>Ulm–Lindau Gas Pipeline</t>
  </si>
  <si>
    <t>Scharenstetten_Lindau</t>
  </si>
  <si>
    <t>Ulm</t>
  </si>
  <si>
    <t>Lindau</t>
  </si>
  <si>
    <t>LINESTRING (9.85819 48.407443, 9.998547 48.241208, 9.963457 48.00698, 9.840645 47.812939, 9.700288 47.795262, 9.621337 47.446406)</t>
  </si>
  <si>
    <t>P3035</t>
  </si>
  <si>
    <t>https://www.gem.wiki/Scheemda%E2%80%93Bunde_Gas_Pipeline</t>
  </si>
  <si>
    <t>Scheemda–Bunde Gas Pipeline</t>
  </si>
  <si>
    <t>Scheemda_Oude Statenzijl_1</t>
  </si>
  <si>
    <t>LINESTRING (6.9723944 53.1763506, 7.205 53.2019)</t>
  </si>
  <si>
    <t>P3036</t>
  </si>
  <si>
    <t>https://gem.wiki/Scheemda–Schuilenburg_Gas_Pipeline</t>
  </si>
  <si>
    <t>Scheemda–Schuilenburg Gas Pipeline</t>
  </si>
  <si>
    <t>Scheemda_Schuilenburg0, Scheemda_Schuilenburg1, Scheemda_Schuilenburg2</t>
  </si>
  <si>
    <t>Schuilenburg</t>
  </si>
  <si>
    <t>LINESTRING (6.894696 53.172622, 6.901989 53.194871, 6.931161 53.214727, 6.996136 53.229017, 7.038568 53.222666, 7.096913 53.230604, 7.139346 53.229017, 7.18443 53.225842, 7.213602 53.227429, 7.240123 53.229017)</t>
  </si>
  <si>
    <t>P3037</t>
  </si>
  <si>
    <t>https://gem.wiki/Scheemda–Spijk_Gas_Pipeline</t>
  </si>
  <si>
    <t>Scheemda–Eemshaven Gas Pipeline</t>
  </si>
  <si>
    <t>Scheemda_Spijk</t>
  </si>
  <si>
    <t>LINESTRING (6.894696 53.172622, 6.853589 53.178185, 6.852263 53.217506, 6.842981 53.234176, 6.837677 53.256393, 6.837677 53.283356, 6.836351 53.292868, 6.819113 53.307925, 6.795245 53.313471, 6.775354 53.327728, 6.772702 53.365725, 6.774028 53.388664, 6.783311 53.419495, 6.792593 53.427397, 6.815135 53.439246, 6.824417 53.451882, 6.825743 53.461357, 6.811157 53.469251, 6.793919 53.47004)</t>
  </si>
  <si>
    <t>P3038</t>
  </si>
  <si>
    <t>https://gem.wiki/Sergnano–Vigasio_Gas_Pipeline</t>
  </si>
  <si>
    <t>Sergnano–Vigasio Gas Pipeline</t>
  </si>
  <si>
    <t>Sergnano_Vigasio</t>
  </si>
  <si>
    <t>Vigasio</t>
  </si>
  <si>
    <t>LINESTRING (10.954312 45.322314, 10.894929 45.327691, 10.752409 45.332245, 10.698424 45.348941, 10.521353 45.355011, 10.463049 45.367149, 10.331326 45.367149, 10.143459 45.400516, 10.078677 45.40658, 10.007417 45.412644, 9.937881 45.405247)</t>
  </si>
  <si>
    <t>P3039</t>
  </si>
  <si>
    <t>https://gem.wiki/Slobodnica–Lucko_Gas_Pipeline</t>
  </si>
  <si>
    <t>Slobodnica–Lucko Gas Pipeline</t>
  </si>
  <si>
    <t>Slobodnica_Lucko0, Slobodnica_Lucko1</t>
  </si>
  <si>
    <t>MULTILINESTRING ((17.9314 45.1566, 17.8921 45.1683, 17.8809 45.1679, 17.8545 45.1641, 17.8249 45.1572, 17.7966 45.1537, 17.7723 45.1506, 17.7494 45.1522, 17.728 45.1575, 17.7128 45.1622, 17.694 45.1654, 17.6804 45.1666, 17.6596 45.1729, 17.6411 45.1849, 17.6301 45.1902, 17.603 45.1924, 17.5871 45.196, 17.5505 45.211, 17.5214 45.2166, 17.4989 45.2195, 17.4773 45.2279, 17.4473 45.2298, 17.377 45.227, 17.3188 45.2298, 17.2851 45.2345, 17.2626 45.2345, 17.2372 45.2288, 17.2185 45.2288, 17.1988 45.2373, 17.1678 45.2607, 17.1416 45.272, 17.1153 45.2823, 17.0853 45.2935, 17.0516 45.3001, 16.9897 45.3114, 16.9765 45.3207, 16.955 45.3273, 16.9381 45.3339, 16.9231 45.3386, 16.9128 45.3526, 16.8949 45.3686, 16.8696 45.3817, 16.8471 45.422, 16.8218 45.4445, 16.7965 45.452, 16.774 45.452, 16.7552 45.4661, 16.7299 45.4774, 16.6783 45.4952, 16.6605 45.5064, 16.6558 45.5158, 16.5894 45.6062), (16.5895 45.6062, 16.577 45.6232, 16.5389 45.6356, 16.4961 45.6535, 16.4778 45.6738, 16.4626 45.6802, 16.4038 45.6852, 16.3767 45.6885, 16.3611 45.6995, 16.3362 45.7349, 16.311 45.7482, 16.2793 45.7551, 16.2471 45.7583, 16.2103 45.7707, 16.1745 45.7891, 16.1571 45.7937, 16.1341 45.7987, 16.1295 45.7951, 16.124 45.7886, 16.1129 45.7794, 16.0941 45.768, 16.0743 45.7542, 16.0634 45.7489, 16.031 45.7486, 16.0077 45.7523, 15.9847 45.7541, 15.9525 45.7513, 15.9299 45.748, 15.9149 45.7498, 15.9053 45.7537, 15.8947 45.757, 15.88 45.76))</t>
  </si>
  <si>
    <t>P3040</t>
  </si>
  <si>
    <t>https://www.gem.wiki/Apatin-Paracin_Gas_Pipeline</t>
  </si>
  <si>
    <t>Apatin-Paracin Gas Pipeline</t>
  </si>
  <si>
    <t>Apatin-Gospodinci</t>
  </si>
  <si>
    <t>Sombor_Nils0, Sombor_Nils1, Sombor_Nils2, Sombor_Nils3</t>
  </si>
  <si>
    <t>Apatin</t>
  </si>
  <si>
    <t>Gospodinci</t>
  </si>
  <si>
    <t>LINESTRING (19.989483 45.40563, 19.93828 45.443315, 19.858809 45.537781, 19.774157 45.545041, 19.6705 45.574072, 19.549567 45.62484, 19.435545 45.68039, 19.338799 45.704525, 19.138396 45.735885, 19.076202 45.702112, 19.020918 45.644168)</t>
  </si>
  <si>
    <t>P3042</t>
  </si>
  <si>
    <t>https://gem.wiki/Spijk–Emden_Gas_Pipeline</t>
  </si>
  <si>
    <t>Spijk–Emden Gas Pipeline</t>
  </si>
  <si>
    <t>Spijk_Emden</t>
  </si>
  <si>
    <t>Spijk</t>
  </si>
  <si>
    <t>LINESTRING (6.831 53.39, 7.2062 53.3422)</t>
  </si>
  <si>
    <t>P3044</t>
  </si>
  <si>
    <t>https://gem.wiki/St._Hubert–Weissweiler_Gas_Pipeline</t>
  </si>
  <si>
    <t>Puth Schinnen-Paffrath Gas Pipeline</t>
  </si>
  <si>
    <t>StHubert_Weissweiler</t>
  </si>
  <si>
    <t>Weisweiler</t>
  </si>
  <si>
    <t>St Hubert</t>
  </si>
  <si>
    <t>LINESTRING (6.3114 50.8361, 6.457 51.384)</t>
  </si>
  <si>
    <t>P3046</t>
  </si>
  <si>
    <t>https://gem.wiki/Stolberg–Eynatten_Gas_Pipeline</t>
  </si>
  <si>
    <t>Stolberg–Eynatten Gas Pipeline</t>
  </si>
  <si>
    <t>Stolberg_Eynatten</t>
  </si>
  <si>
    <t>LINESTRING (6.177 50.786, 6.09 50.7)</t>
  </si>
  <si>
    <t>P3047</t>
  </si>
  <si>
    <t>https://gem.wiki/Strandja–Lozenets_Gas_Pipeline</t>
  </si>
  <si>
    <t>Strandja–Lozenets Gas Pipeline</t>
  </si>
  <si>
    <t>Strandja-Lozenets</t>
  </si>
  <si>
    <t>Strandja</t>
  </si>
  <si>
    <t>LINESTRING (26.8067 42.6583, 26.9171 42.3371, 27.0086 42.1825)</t>
  </si>
  <si>
    <t>P3048</t>
  </si>
  <si>
    <t>Bulgaria, Türkiye</t>
  </si>
  <si>
    <t>https://gem.wiki/Strandja–Malkoclar_Gas_Pipeline</t>
  </si>
  <si>
    <t>Strandja–Malkoclar Gas Pipeline</t>
  </si>
  <si>
    <t>Strandja-Malkoclar</t>
  </si>
  <si>
    <t>LINESTRING (27.0086 42.1825, 27.018 42.041)</t>
  </si>
  <si>
    <t>P3051</t>
  </si>
  <si>
    <t>https://gem.wiki/Taisnieres_sur_Hon–Morelmaison_Gas_Pipeline</t>
  </si>
  <si>
    <t>Taisnieres sur Hon–Morelmaison Gas Pipeline</t>
  </si>
  <si>
    <t>Taisnieres sur Hon_Morelmaison0, Taisnieres sur Hon_Morelmaison1</t>
  </si>
  <si>
    <t>MULTILINESTRING ((3.8158 50.315, 3.8186 50.1315, 3.8408 50.0684, 3.8806 50.0041, 3.9121 49.9597, 3.9507 49.9317, 4.0885 49.899, 4.2322 49.8347, 4.3 49.8), (4.3 49.8, 4.341 49.746, 4.4044 49.7211, 4.4406 49.6962, 4.4542 49.6736, 4.461 49.6464, 4.5017 49.6102, 4.59 49.5536, 4.676 49.5038, 4.7032 49.488, 4.7507 49.4087, 4.7892 49.3612, 4.8277 49.3272, 4.8662 49.2888, 4.9069 49.2344, 4.9296 49.2141, 4.9431 49.1529, 4.9703 49.1258, 5.0382 49.0488, 5.0835 48.9447, 5.0812 48.8994, 5.1356 48.8292, 5.2035 48.793, 5.2433 48.7788, 5.3378 48.7482, 5.4379 48.7065, 5.5269 48.6481, 5.6521 48.5369, 5.741 48.4701, 5.7911 48.4423, 5.819 48.43))</t>
  </si>
  <si>
    <t>P3052</t>
  </si>
  <si>
    <t>https://www.gem.wiki/Taisnieres_sur_Hon%E2%80%93Arieux_en_Gohelle_Gas_Pipeline</t>
  </si>
  <si>
    <t>Taisnieres sur Hon–Arieux en Gohelle Gas Pipeline</t>
  </si>
  <si>
    <t>Taisnieres sur Hon_Pitgam0</t>
  </si>
  <si>
    <t>LINESTRING (2.8696 50.3633, 2.9674 50.3411, 3.081 50.3222, 3.1725 50.3253, 3.2356 50.3096, 3.2956 50.3064, 3.3713 50.3159, 3.5007 50.338, 3.6238 50.3411, 3.8158 50.315)</t>
  </si>
  <si>
    <t>P3053</t>
  </si>
  <si>
    <t>https://gem.wiki/Tallinn–Narva_Gas_Pipeline</t>
  </si>
  <si>
    <t>Tallinn–Narva Gas Pipeline</t>
  </si>
  <si>
    <t>Tallinn-Narva0, Tallinn-Narva1</t>
  </si>
  <si>
    <t>Narva</t>
  </si>
  <si>
    <t>LINESTRING (25.0045 59.406, 25.1716 59.3927, 25.2346 59.401, 25.2836 59.4062, 25.3653 59.4051, 25.3851 59.4067, 25.3976 59.3973, 25.4215 59.4067, 25.7338 59.4051, 25.7708 59.39, 25.8263 59.3934, 25.8448 59.4068, 25.9272 59.4051, 25.9608 59.3934, 26.1087 59.3917, 26.223 59.4001, 26.2483 59.4018, 26.3155 59.4001, 26.36 59.407)</t>
  </si>
  <si>
    <t>P3055</t>
  </si>
  <si>
    <t>https://gem.wiki/Tarsia–Crotone_Gas_Pipeline</t>
  </si>
  <si>
    <t>Tarsia–Crotone Gas Pipeline</t>
  </si>
  <si>
    <t>Tarsia_Crotone</t>
  </si>
  <si>
    <t>LINESTRING (16.24844 39.602738, 16.292882 39.631709, 16.386816 39.64335, 16.473192 39.650001, 16.55309 39.624225, 16.707487 39.610086, 16.776587 39.595112, 16.868362 39.529354, 17.010882 39.461033, 17.075664 39.387639, 17.075664 39.355922, 17.049751 39.294116, 17.092939 39.238946, 17.095099 39.166992, 17.09024 39.122612, 17.093479 39.099573)</t>
  </si>
  <si>
    <t>P3056</t>
  </si>
  <si>
    <t>https://gem.wiki/Tarsia–Rende_Gas_Pipeline</t>
  </si>
  <si>
    <t>Tarsia–Rende Gas Pipeline</t>
  </si>
  <si>
    <t>Tarsia_Rende_1</t>
  </si>
  <si>
    <t>Rende</t>
  </si>
  <si>
    <t>LINESTRING (16.24844 39.602738, 16.2667 39.51353, 16.262921 39.478953, 16.281815 39.457699, 16.282355 39.431018, 16.241327 39.400572, 16.234309 39.369278, 16.221892 39.345485, 16.194535 39.342269, 16.15873 39.34131)</t>
  </si>
  <si>
    <t>P3057</t>
  </si>
  <si>
    <t>https://gem.wiki/Terranuova_Bracciolini–Gallese_Civita_Cast_Gas_Pipeline</t>
  </si>
  <si>
    <t>Terranuova Bracciolini–Gallese Civita Cast Gas Pipeline</t>
  </si>
  <si>
    <t>TerranuovaBracc_GalleseCivitaCast_1</t>
  </si>
  <si>
    <t>Terranuova Bracciolini</t>
  </si>
  <si>
    <t>LINESTRING (11.587661 43.57809, 11.741008 43.48355, 11.797152 43.427119, 11.818746 43.339233, 11.836021 43.27009, 11.896484 43.200868, 11.933194 43.141023, 11.952629 43.095312, 11.972063 43.059034, 11.980701 42.972196, 12.023889 42.921615, 12.077874 42.883652, 12.077874 42.839333, 12.05628 42.813993, 12.064917 42.772794, 12.051961 42.744255, 12.02082 42.721899, 12.028208 42.669676, 12.071396 42.602955, 12.116743 42.52184, 12.175047 42.497963, 12.194481 42.466112, 12.30677 42.415117, 12.367233 42.400767, 12.429266 42.363575)</t>
  </si>
  <si>
    <t>P3058</t>
  </si>
  <si>
    <t>https://gem.wiki/Terranuova_Bracciolini–Livorno_Gas_Pipeline</t>
  </si>
  <si>
    <t>Terranuova Bracciolini–Livorno Gas Pipeline</t>
  </si>
  <si>
    <t>TerranuovaBracc_Livorno</t>
  </si>
  <si>
    <t>LINESTRING (11.587661 43.57809, 11.540433 43.584404, 11.476604 43.592809, 11.392466 43.582302, 11.311229 43.586505, 11.250302 43.603315, 11.189374 43.636921, 11.151657 43.647418, 11.125546 43.670507, 11.093631 43.691489, 11.024 43.712464, 11.003691 43.70827, 10.948566 43.672606, 10.907947 43.662112, 10.835415 43.660013, 10.800599 43.651617, 10.704856 43.62012, 10.643928 43.601214, 10.580099 43.586505, 10.533678 43.594911, 10.484356 43.613819, 10.435034 43.613819, 10.350896 43.599113, 10.321883 43.588607, 10.287067 43.584404)</t>
  </si>
  <si>
    <t>P3059</t>
  </si>
  <si>
    <t>https://www.gem.wiki/Tivissa%E2%80%93Castelnou_Gas_Pipeline</t>
  </si>
  <si>
    <t>Tivissa–Castelnou Gas Pipeline</t>
  </si>
  <si>
    <t>Tivisa_VillarDeArnedo0, Tivisa_VillarDeArnedo1, Tivisa_VillarDeArnedo2</t>
  </si>
  <si>
    <t>30, 26</t>
  </si>
  <si>
    <t>LINESTRING (0.7338778927631439 41.036626306733616, 0.3933017463032979 41.053197975655436, -0.375741165057647 41.210420641135435)</t>
  </si>
  <si>
    <t>P3060</t>
  </si>
  <si>
    <t>https://gem.wiki/Toulouse–Barbaira_Gas_Pipeline</t>
  </si>
  <si>
    <t>Toulouse–Barbaira Gas Pipeline</t>
  </si>
  <si>
    <t>Toulouse_Barbaira</t>
  </si>
  <si>
    <t>LINESTRING (1.4443 43.6046, 1.8192 43.4286, 2.0413 43.4127, 2.0544 43.3811, 2.0587 43.3526, 2.0675 43.3431, 2.1023 43.3336, 2.1676 43.3051, 2.513 43.1756)</t>
  </si>
  <si>
    <t>P3062</t>
  </si>
  <si>
    <t>France, Switzerland</t>
  </si>
  <si>
    <t>https://gem.wiki/Transitgas–Frankreich_Gas_Pipeline</t>
  </si>
  <si>
    <t>Transitgas–Laneuvelotte–Obergailbach Gas Pipeline</t>
  </si>
  <si>
    <t>Transitgas_Frankreich_11</t>
  </si>
  <si>
    <t>Rodersdorf</t>
  </si>
  <si>
    <t>Obergailbach</t>
  </si>
  <si>
    <t>MULTILINESTRING ((7.4570207210998465 47.48000030759984, 7.542474294683183 47.58621184883218, 7.5000807241487975 47.670904734685635, 7.500735777207955 47.783220531009775, 7.523547157297565 48.03648841446375, 7.753175928924562 48.57283125033431, 7.769608508511915 48.8205461791376, 7.221033237398254 49.11984037360521), (7.6204582990157315 48.25079280181222, 7.4309441493038815 48.26724998491472, 6.939773141197547 48.26434140471866, 6.859339829574544 48.38334287825606, 6.3000073479381475 48.72272504029572))</t>
  </si>
  <si>
    <t>P3063</t>
  </si>
  <si>
    <t>Ukraine, Slovakia</t>
  </si>
  <si>
    <t>https://gem.wiki/Uzhgorod–Velke_Kapusany_Gas_Pipeline</t>
  </si>
  <si>
    <t>Uzhgorod–Velke Kapusany Gas Pipeline</t>
  </si>
  <si>
    <t>Uzhgorod_VelkeKapusany</t>
  </si>
  <si>
    <t>Gas Transmission System Operator of Ukraine [unknown %]; eustream [unknown %]</t>
  </si>
  <si>
    <t>JSC Mahistralni Gazoprovody Ukrainy (MGU) [unknown %]; eustream [unknown %]</t>
  </si>
  <si>
    <t>LINESTRING (22.287883 48.6208, 22.121625 48.552002)</t>
  </si>
  <si>
    <t>P3066</t>
  </si>
  <si>
    <t>https://gem.wiki/Valenca_Do_Minho–Braga_Gas_Pipeline</t>
  </si>
  <si>
    <t>Valenca Do Minho–Braga Gas Pipeline</t>
  </si>
  <si>
    <t>Valenca Do Minho_Braga</t>
  </si>
  <si>
    <t>Valenca Do Minho</t>
  </si>
  <si>
    <t>P3067</t>
  </si>
  <si>
    <t>https://gem.wiki/Valladolid–Aranda_Gas_Pipeline</t>
  </si>
  <si>
    <t>Valladolid–Aranda Gas Pipeline</t>
  </si>
  <si>
    <t>Valladolid_Aranda</t>
  </si>
  <si>
    <t>LINESTRING (-4.72369806 41.65520015, -4.62716693 41.63995326, -4.53329164 41.64249043, -4.39374729 41.64756477, -4.31255785 41.63234175, -4.18823652 41.63995326, -4.01063462 41.64756477, -3.89899914 41.65771345, -3.68919766 41.67040266)</t>
  </si>
  <si>
    <t>P3069</t>
  </si>
  <si>
    <t>https://gem.wiki/Varosfoeld–Bata_Gas_Pipeline</t>
  </si>
  <si>
    <t>Varosfoeld–Bata Gas Pipeline</t>
  </si>
  <si>
    <t>Varosfoeld_Slobodnica_10</t>
  </si>
  <si>
    <t>Bata</t>
  </si>
  <si>
    <t>LINESTRING (19.7691 46.8238, 19.7495 46.81, 19.6914 46.7677, 19.6808 46.7403, 19.6596 46.7086, 19.6406 46.6716, 19.6417 46.6473, 19.6258 46.6335, 19.6237 46.5976, 19.6353 46.5638, 19.5783 46.5828, 19.5032 46.5934, 19.3733 46.5997, 19.219 46.586, 19.108 46.5522, 19.0393 46.5226, 19.0055 46.474, 18.9685 46.4634, 18.8343 46.457, 18.7804 46.4433, 18.7572 46.4169, 18.7138 46.3746, 18.7075 46.3535, 18.7276 46.3228, 18.7286 46.2985, 18.7043 46.2975, 18.6927 46.307, 18.6758 46.2848, 18.6694 46.2214, 18.6842 46.1675, 18.7138 46.139, 18.7741 46.1267)</t>
  </si>
  <si>
    <t>P3070</t>
  </si>
  <si>
    <t>https://gem.wiki/Varska–Rakvere_Gas_Pipeline</t>
  </si>
  <si>
    <t>Varska–Rakvere Gas Pipeline</t>
  </si>
  <si>
    <t>Varska-Rakvere0, Varska-Rakvere1, Varska-Rakvere2</t>
  </si>
  <si>
    <t>Varska</t>
  </si>
  <si>
    <t>Rakvere</t>
  </si>
  <si>
    <t>MULTILINESTRING ((26.729 58.377, 26.9625 58.2715, 27.0757 58.219, 27.131 58.165, 27.2105 58.0855, 27.4033 58.0033, 27.4747 57.9831, 27.6375 57.9571), (26.241 58.9899, 26.2439 58.9817, 26.2476 58.9529, 26.2515 58.9444, 26.2559 58.9347, 26.2575 58.9299, 26.2592 58.9277, 26.2659 58.9219, 26.2763 58.9113, 26.2878 58.8975, 26.2924 58.8921, 26.2953 58.8786, 26.3027 58.8677, 26.3156 58.8588, 26.3199 58.8528, 26.3244 58.8447, 26.3365 58.8354, 26.3755 58.7953, 26.3893 58.7741, 26.3934 58.7678, 26.3942 58.7549, 26.406 58.74, 26.4249 58.7133, 26.4391 58.7047, 26.4479 58.6951, 26.4629 58.6903, 26.4799 58.6823, 26.496 58.6746, 26.5024 58.673, 26.5219 58.6607, 26.5384 58.6479, 26.5494 58.6393, 26.563 58.6321, 26.5664 58.6287, 26.5683 58.6255, 26.5683 58.6215, 26.5622 58.6145, 26.5622 58.6113, 26.5656 58.6065, 26.5738 58.5906, 26.5725 58.5865, 26.5717 58.582, 26.5844 58.5689, 26.5909 58.553, 26.6012 58.5313, 26.6114 58.5243, 26.6527 58.5014, 26.656 58.4978, 26.656 58.4924, 26.6543 58.4843, 26.6572 58.4679, 26.729 58.377), (26.36 59.407, 26.2985 59.342, 26.2881 59.3162, 26.2866 59.2657, 26.2766 59.2623, 26.2737 59.2409, 26.2642 59.2352, 26.2637 59.1908, 26.2532 59.1875, 26.241 58.99))</t>
  </si>
  <si>
    <t>P3071</t>
  </si>
  <si>
    <t>https://gem.wiki/Vastogirardi–Campochiaro_Gas_Pipeline</t>
  </si>
  <si>
    <t>Vastogirardi–Campochiaro Gas Pipeline</t>
  </si>
  <si>
    <t>Vastogirardi_Campochiaro_1</t>
  </si>
  <si>
    <t>LINESTRING (14.308441 41.759252, 14.337683 41.741967, 14.345241 41.704898, 14.371154 41.679098, 14.367915 41.651674, 14.38411 41.617782, 14.4219 41.583872, 14.434856 41.559639, 14.519072 41.519232, 14.554703 41.500636, 14.554703 41.48527, 14.544985 41.47799, 14.534818 41.467844)</t>
  </si>
  <si>
    <t>P3072</t>
  </si>
  <si>
    <t>https://gem.wiki/Vastogirardi–Sulmona_Gas_Pipeline</t>
  </si>
  <si>
    <t>Vastogirardi–Sulmona Gas Pipeline</t>
  </si>
  <si>
    <t>Vastogirardi_Sulmona_1</t>
  </si>
  <si>
    <t>LINESTRING (14.308441 41.759252, 14.250227 41.798335, 14.209199 41.830524, 14.157373 41.89003, 14.109867 41.926992, 14.047244 41.97196, 14.02781 42.015293, 13.987411 42.019671)</t>
  </si>
  <si>
    <t>P3073</t>
  </si>
  <si>
    <t>https://www.gem.wiki/Velke_Zlievce%E2%80%93Ozdany_Gas_Pipeline</t>
  </si>
  <si>
    <t>Velke Zlievce–Ozdany Gas Pipeline</t>
  </si>
  <si>
    <t>Transgas_43</t>
  </si>
  <si>
    <t>LINESTRING (19.951525 48.382759, 19.789087 48.392277, 19.478543 48.291717, 19.461 48.2023)</t>
  </si>
  <si>
    <t>P3074</t>
  </si>
  <si>
    <t>https://www.gem.wiki/Masera%E2%80%93Mortara_Gas_Pipeline</t>
  </si>
  <si>
    <t>Masera–Mortara Gas Pipeline</t>
  </si>
  <si>
    <t>Veruno_Mortara_1</t>
  </si>
  <si>
    <t>Masera</t>
  </si>
  <si>
    <t>LINESTRING (8.72478 45.220883, 8.630726 45.296658, 8.566744 45.375816, 8.561625 45.400979, 8.546269 45.43152, 8.525795 45.494345, 8.530914 45.548139, 8.546269 45.614415, 8.548829 45.677036, 8.525795 45.712788, 8.492524 45.728869, 8.489965 45.757446, 8.528354 45.789578, 8.541151 45.7985, 8.559066 45.832392, 8.54371 45.853786, 8.50788 45.891206, 8.489965 45.91792, 8.459254 45.926821, 8.441339 45.939281, 8.428542 45.960634, 8.372238 45.980201, 8.323612 45.983758, 8.272426 46.017536, 8.264748 46.067277, 8.32873 46.115199)</t>
  </si>
  <si>
    <t>P3075</t>
  </si>
  <si>
    <t>https://gem.wiki/Veseli_Nad_Luznici–Hostim_Gas_Pipeline</t>
  </si>
  <si>
    <t>Veseli Nad Luznici–Hostim Gas Pipeline</t>
  </si>
  <si>
    <t>Transgas_12</t>
  </si>
  <si>
    <t>LINESTRING (14.6851 49.209, 14.8836 49.1745, 14.9928 49.1886, 15.2038 49.166, 15.3977 49.0878, 15.5821 49.0336, 15.6566 49.0409, 15.7457 49.0284, 15.8794 49.0055)</t>
  </si>
  <si>
    <t>P3076</t>
  </si>
  <si>
    <t>https://gem.wiki/Vigasio–Trento_Gas_Pipeline</t>
  </si>
  <si>
    <t>Vigasio–Trento Gas Pipeline</t>
  </si>
  <si>
    <t>Vigasio_Trento</t>
  </si>
  <si>
    <t>Trento</t>
  </si>
  <si>
    <t>LINESTRING (10.954312 45.322314, 10.942796 45.350648, 10.912564 45.391102, 10.905366 45.425465, 10.872255 45.442638, 10.844903 45.447688, 10.807473 45.490091, 10.800275 45.525402, 10.801715 45.563715, 10.834826 45.591928, 10.901047 45.662401, 10.92552 45.709668, 11.003259 45.758904, 11.016215 45.815121, 10.9975 45.844211, 11.010457 45.902345, 11.092514 45.937397, 11.111314 45.986314, 11.133387 46.013426)</t>
  </si>
  <si>
    <t>P3078</t>
  </si>
  <si>
    <t>https://gem.wiki/Villar_de_Arnedo–Haro_Gas_Pipeline</t>
  </si>
  <si>
    <t>Villar de Arnedo–Haro Gas Pipeline</t>
  </si>
  <si>
    <t>VillarDeArnedo_Haro</t>
  </si>
  <si>
    <t>Villar de Arnedo</t>
  </si>
  <si>
    <t>LINESTRING (-2.0659792858842554 42.304921695838225, -2.2445071347223 42.33944430446954, -2.560364044745545 42.43276343040023, -2.8515017183321887 42.57652712544424)</t>
  </si>
  <si>
    <t>P3080</t>
  </si>
  <si>
    <t>https://gem.wiki/Vindecy–Lyon_Gas_Pipeline</t>
  </si>
  <si>
    <t>Vindecy–Lyon Gas Pipeline</t>
  </si>
  <si>
    <t>Vindecy_Lyon</t>
  </si>
  <si>
    <t>Vindecy</t>
  </si>
  <si>
    <t>LINESTRING (4.0108 46.3525, 4.0507 46.3082, 4.2106 46.2087, 4.2985 46.1829, 4.3411 46.1608, 4.3624 46.1404, 4.3944 46.0961, 4.4211 46.0536, 4.5543 45.9462, 4.7062 45.8851, 4.842 45.754)</t>
  </si>
  <si>
    <t>P3081</t>
  </si>
  <si>
    <t>https://gem.wiki/Voisines–Lyon_Gas_Pipeline</t>
  </si>
  <si>
    <t>Voisines–Lyon Gas Pipeline</t>
  </si>
  <si>
    <t>Voisines_Lyon0, Voisines_Lyon1, Voisines_Lyon2</t>
  </si>
  <si>
    <t>LINESTRING (5.138 47.9919, 5.157 47.8943, 5.13 47.8634, 5.12 47.8285, 5.131 47.8069, 5.127 47.6138, 5.088 47.5552, 5.084 47.4987, 5.096 47.4741, 5.097 47.4484, 5.108 47.4361, 5.085 47.3713, 5.068 47.1905, 5.046 47.1546, 5.056 47.1022, 5.057 47.0734, 5.046 46.9779, 5.028 46.9542, 5.084 46.8762, 5.071 46.7995, 5.094 46.6955, 5.153 46.5933, 5.157 46.4894, 5.202 46.4195, 5.214 46.3424, 5.161 46.2653, 5.143 46.1381, 5.071 46.052, 4.989 46.0234, 4.933 45.9463, 4.938 45.8567, 4.847 45.7647)</t>
  </si>
  <si>
    <t>P3082</t>
  </si>
  <si>
    <t>https://gem.wiki/Westerschelde_Oost–Wijngaarden_Gas_Pipeline</t>
  </si>
  <si>
    <t>Westerschelde Oost–Wijngaarden Gas Pipeline</t>
  </si>
  <si>
    <t>Westerschelde Oost_Wijngaarden0, Westerschelde Oost_Wijngaarden1, Westerschelde Oost_Wijngaarden2</t>
  </si>
  <si>
    <t>Wijngaarden</t>
  </si>
  <si>
    <t>LINESTRING (4.34 51.387, 4.354051 51.427054, 4.367311 51.448545, 4.391179 51.490672, 4.405765 51.520385, 4.421677 51.52946, 4.43759 51.541008, 4.47074 51.549254, 4.494608 51.554201, 4.51052 51.556675, 4.523781 51.624228, 4.505216 51.652209, 4.505216 51.670305, 4.531737 51.680172, 4.560909 51.688393, 4.582125 51.688393, 4.577 51.71, 4.632514 51.724549, 4.693511 51.736047, 4.714727 51.742616, 4.720031 51.780369, 4.722683 51.818091)</t>
  </si>
  <si>
    <t>P3083</t>
  </si>
  <si>
    <t>Netherlands, Belgium</t>
  </si>
  <si>
    <t>https://gem.wiki/Westerschelde_Oost–Zelzate_Gas_Pipeline</t>
  </si>
  <si>
    <t>Westerschelde Oost–Zelzate Gas Pipeline</t>
  </si>
  <si>
    <t>Westerschelde Oost_Zelzate0, Westerschelde Oost_Zelzate1</t>
  </si>
  <si>
    <t>Zelzate</t>
  </si>
  <si>
    <t>LINESTRING (4.34 51.387, 4.283109 51.358793, 4.249958 51.348856, 4.2062 51.318202, 4.178354 51.302453, 4.141225 51.284211, 4.112053 51.262642, 4.098793 51.261812, 4.064316 51.253514, 4.019232 51.250194, 3.963539 51.246874, 3.925085 51.242724, 3.909172 51.236913, 3.834916 51.22861, 3.814664 51.197464)</t>
  </si>
  <si>
    <t>P3084</t>
  </si>
  <si>
    <t>https://gem.wiki/Whitegate–Ballineen_Gas_Pipeline</t>
  </si>
  <si>
    <t>Whitegate–Ballineen Gas Pipeline</t>
  </si>
  <si>
    <t>Whitegate_Ballineen0, Whitegate_Ballineen1</t>
  </si>
  <si>
    <t>Ballineen</t>
  </si>
  <si>
    <t>LINESTRING (-8.076558 51.842126, -8.181352 51.874131, -8.232021 51.913928, -8.259659 51.888348, -8.384029 51.876975, -8.471549 51.845683, -8.480762 51.805826, -8.609738 51.768784, -8.678833 51.748825, -9.0197 51.660333)</t>
  </si>
  <si>
    <t>P3085</t>
  </si>
  <si>
    <t>https://gem.wiki/Wieringermeer–Anna_Paulowna_Gas_Pipeline</t>
  </si>
  <si>
    <t>Wieringermeer–Den Helder Gas Pipeline</t>
  </si>
  <si>
    <t>Wieringermeer_Anna Paulowna_1</t>
  </si>
  <si>
    <t>Wieringermeer</t>
  </si>
  <si>
    <t>LINESTRING (5.050348 52.756746, 5.050348 52.756746, 4.945453 52.762537, 4.929541 52.790612, 4.913629 52.799432, 4.876501 52.806646, 4.808874 52.815463, 4.786332 52.842703, 4.755833 52.863522, 4.759811 52.888331, 4.777049 52.910728, 4.812852 52.932313)</t>
  </si>
  <si>
    <t>P3086</t>
  </si>
  <si>
    <t>https://gem.wiki/Wijngaarden–Ewijk_Gas_Pipeline</t>
  </si>
  <si>
    <t>Wijngaarden–Ewijk Gas Pipeline</t>
  </si>
  <si>
    <t>Wijngaarden_Ewijk0, Wijngaarden_Ewijk1</t>
  </si>
  <si>
    <t>LINESTRING (4.722683 51.818091, 4.752518 51.809073, 4.769756 51.807843, 4.794288 51.813992, 4.814178 51.825877, 4.928215 51.857418, 4.963355 51.850457, 4.989212 51.841036, 5.038274 51.829565, 5.066121 51.823008, 5.088663 51.822189, 5.172202 51.809893, 5.230547 51.813172, 5.311434 51.811533, 5.357844 51.816451, 5.383038 51.82055, 5.420167 51.809073, 5.454643 51.813172, 5.493098 51.81973, 5.534204 51.81973, 5.621721 51.806613, 5.641611 51.800874, 5.689348 51.805793)</t>
  </si>
  <si>
    <t>P3087</t>
  </si>
  <si>
    <t>https://gem.wiki/Wijngaarden–Gate_Rotterdam_Gas_Pipeline</t>
  </si>
  <si>
    <t>Wijngaarden–Gate Rotterdam Gas Pipeline</t>
  </si>
  <si>
    <t>Wijngaarden_Gate Rotterdam</t>
  </si>
  <si>
    <t>Gate Rotterdam</t>
  </si>
  <si>
    <t>LINESTRING (4.722683 51.818091, 4.669642 51.81973, 4.66699 51.814812, 4.61395 51.801694, 4.584777 51.806613, 4.537041 51.829565, 4.521129 51.837759, 4.51052 51.839397, 4.486652 51.834481, 4.45748 51.827926, 4.380571 51.844313, 4.369963 51.850866, 4.344769 51.850866, 4.306314 51.851685, 4.304988 51.843494, 4.241339 51.839397, 4.192277 51.839397, 4.173713 51.850866, 4.153822 51.859056, 4.127302 51.875432, 4.103434 51.88771, 4.075587 51.899985, 4.038459 51.904894, 4.022547 51.91471, 4.014591 51.92943, 4.013265 51.950685, 4.014591 51.963759, 4.035807 51.967027)</t>
  </si>
  <si>
    <t>P3088</t>
  </si>
  <si>
    <t>https://gem.wiki/Wloclawek–Gdynia_Gas_Pipeline</t>
  </si>
  <si>
    <t>Wloclawek–Gdynia Gas Pipeline</t>
  </si>
  <si>
    <t>EntsoG_18</t>
  </si>
  <si>
    <t>LINESTRING (18.615 54.359, 18.659 54.1665, 18.7594 54.1133, 18.8067 54.0267, 18.8106 53.9873, 18.8235 53.9545, 18.9007 53.8563, 19.0288 53.7457, 19.0288 53.637, 18.9884 53.565, 18.9393 53.4948, 18.9113 53.458, 18.8691 53.4071, 18.8288 53.3633, 18.7902 53.3212, 18.7534 53.2457, 18.727 53.158, 18.7463 53.0913, 18.7639 53.0404, 18.7446 52.972, 18.7687 52.9068, 18.8115 52.8719, 18.8465 52.8408, 18.8931 52.8174, 18.9048 52.7863, 18.9242 52.7514, 18.9588 52.7076)</t>
  </si>
  <si>
    <t>P3089</t>
  </si>
  <si>
    <t>https://gem.wiki/Wloclawek–Odolanow_Gas_Pipeline</t>
  </si>
  <si>
    <t>Wloclawek–Odolanow Gas Pipeline</t>
  </si>
  <si>
    <t>EntsoG_4</t>
  </si>
  <si>
    <t>LINESTRING (17.6739 51.5743, 17.752 51.6111, 17.7889 51.6592, 17.9142 51.7009, 17.95 51.7397, 18.2363 51.8142, 18.2811 51.9007, 18.5077 51.9514, 18.5375 52.0678, 18.5644 52.1453, 18.6151 52.205, 18.6807 52.2616, 18.6897 52.2825, 18.7135 52.3541, 18.7732 52.4495, 18.9587 52.7076)</t>
  </si>
  <si>
    <t>P3093</t>
  </si>
  <si>
    <t>https://gem.wiki/Zamora–Valladolid_Gas_Pipeline</t>
  </si>
  <si>
    <t>Zamora–Valladolid Gas Pipeline</t>
  </si>
  <si>
    <t>Zamora_Valladolid</t>
  </si>
  <si>
    <t>LINESTRING (-5.64400011 41.50600018, -4.72369789 41.65519995)</t>
  </si>
  <si>
    <t>P3094</t>
  </si>
  <si>
    <t>https://gem.wiki/Zaragoza–Huesca_Gas_Pipeline</t>
  </si>
  <si>
    <t>Zaragoza–Serrablo Gas Pipeline</t>
  </si>
  <si>
    <t>Zaragoza_Huesca</t>
  </si>
  <si>
    <t>Huesca</t>
  </si>
  <si>
    <t>LINESTRING (-0.8861021595636529 41.66013768627768, -0.7954649535482822 41.81794578405809, -0.8037046995496792 41.8731892458777, -0.7652525515431584 41.885459092564695, -0.7295469855371038 41.95494371957687, -0.7350401494764663 42.39663564475374, -0.5537657374457259 42.56678460671626)</t>
  </si>
  <si>
    <t>P3095</t>
  </si>
  <si>
    <t>Belgium, United Kingdom</t>
  </si>
  <si>
    <t>Interconnector,Interconnector (North Sea), Bacton–Zeebrugge Gas Pipeline</t>
  </si>
  <si>
    <t>P3096</t>
  </si>
  <si>
    <t>https://gem.wiki/Zimella–Istrana_Gas_Pipeline</t>
  </si>
  <si>
    <t>Zimella–Istrana Gas Pipeline</t>
  </si>
  <si>
    <t>Zimella_Istrana_1</t>
  </si>
  <si>
    <t>Zimella</t>
  </si>
  <si>
    <t>LINESTRING (11.362763 45.315558, 11.404436 45.337786, 11.45974 45.338757, 11.544079 45.359163, 11.602148 45.396067, 11.650539 45.44459, 11.700313 45.490163, 11.76806 45.557969, 11.795712 45.586037, 11.857929 45.625694, 11.913233 45.643096, 11.976833 45.661458, 12.036815 45.692122)</t>
  </si>
  <si>
    <t>P3097</t>
  </si>
  <si>
    <t>https://gem.wiki/Zimella–Poggio_Renatico_Gas_Pipeline</t>
  </si>
  <si>
    <t>Zimella–Poggio Renatico Gas Pipeline</t>
  </si>
  <si>
    <t>Zimella_PoggioRenatico_1</t>
  </si>
  <si>
    <t>LINESTRING (11.362763 45.315558, 11.373001 45.279553, 11.380678 45.221897, 11.380678 45.144329, 11.41139 45.084729, 11.439542 45.003356, 11.44722 44.921867, 11.485609 44.84752, 11.44722 44.785794)</t>
  </si>
  <si>
    <t>P3098</t>
  </si>
  <si>
    <t>https://gem.wiki/Zuideropgaande–Vlieghuis_Gas_Pipeline</t>
  </si>
  <si>
    <t>Zuideropgaande–Vlieghuis Gas Pipeline</t>
  </si>
  <si>
    <t>Zuideropgaande_Vlieghuis_1, Zuideropgaande_Vlieghuis_2, Zuideropgaande_Vlieghuis_3</t>
  </si>
  <si>
    <t>Zuideropgaande</t>
  </si>
  <si>
    <t>Vlieghuis</t>
  </si>
  <si>
    <t>LINESTRING (6.39081 52.699503, 6.421308 52.689056, 6.476338 52.688252, 6.684522 52.680615, 6.770713 52.672173, 6.832373 52.681821, 6.861545 52.685438, 6.881436 52.6774, 6.910608 52.698298, 7.014037 52.692672, 7.033927 52.730429, 7.019341 52.746486, 6.994147 52.748091)</t>
  </si>
  <si>
    <t>P3099</t>
  </si>
  <si>
    <t>https://gem.wiki/Zweekhorst–Emmerich_Gas_Pipeline</t>
  </si>
  <si>
    <t>Zweekhorst–Paffrath Gas Pipeline</t>
  </si>
  <si>
    <t>Zweekhorst_Emmerich</t>
  </si>
  <si>
    <t>Zweekhorst</t>
  </si>
  <si>
    <t>Emmerich</t>
  </si>
  <si>
    <t>LINESTRING (6.055328 51.943329, 6.067925 51.92616, 6.08649 51.912256, 6.102402 51.904076, 6.109032 51.899167, 6.111684 51.889347, 6.135552 51.856599, 6.172681 51.828745, 6.22199 51.807455)</t>
  </si>
  <si>
    <t>P3100</t>
  </si>
  <si>
    <t>https://gem.wiki/Stunensee–Dornstadt_Gas_Pipeline</t>
  </si>
  <si>
    <t>Bernau-Neu Brandenberg Gas Pipeline</t>
  </si>
  <si>
    <t>SuedDeutschland_1</t>
  </si>
  <si>
    <t>Bernau</t>
  </si>
  <si>
    <t>Neu Brandenberg</t>
  </si>
  <si>
    <t>LINESTRING (13.421046 52.777907, 13.062427 52.840097, 12.909572 53.075608, 12.833145 53.156764, 12.844903 53.411582, 13.115338 53.595158)</t>
  </si>
  <si>
    <t>P3101</t>
  </si>
  <si>
    <t>https://www.gem.wiki/Pakistan_Stream_Gas_Pipeline</t>
  </si>
  <si>
    <t>Pakistan Stream Gas Pipeline</t>
  </si>
  <si>
    <t>Government of Pakistan [unknown %]; Government of Russia [unknown %]</t>
  </si>
  <si>
    <t>Lahore</t>
  </si>
  <si>
    <t>LINESTRING (66.997317 24.843097, 67.534252 24.946354, 67.947278 25.593429, 68.071186 25.648499, 68.339654 25.676034, 68.449794 26.577809, 68.656307 26.79809, 68.773332 27.438281, 69.145056 28.002751, 69.93669 28.519034, 70.571249 28.966317, 71.019605 29.516572, 72.008026 30.066827, 73.322523 30.688411, 74.015436 31.340565, 74.372083 31.625882)</t>
  </si>
  <si>
    <t>P3104</t>
  </si>
  <si>
    <t>https://www.gem.wiki/Adriatica_Pipeline</t>
  </si>
  <si>
    <t>Adriatica Pipeline</t>
  </si>
  <si>
    <t>Phase 5</t>
  </si>
  <si>
    <t>Sestino</t>
  </si>
  <si>
    <t>Emilia Romagna</t>
  </si>
  <si>
    <t>LINESTRING (12.214686 43.724381, 11.508643 44.589285)</t>
  </si>
  <si>
    <t>P3105</t>
  </si>
  <si>
    <t>LINESTRING (17.065272 40.575619, 17.042238 40.59967, 16.950104 40.614971, 16.878124 40.67614, 16.618996 40.739434, 16.537319 40.773678, 16.411694 40.798309, 16.305164 40.844065, 15.749479 41.048489, 15.71205 41.07237, 15.651586 41.095157, 15.524902 41.156967, 15.42269 41.250115, 15.339194 41.309617, 15.283049 41.33016, 15.222586 41.340969, 15.216828 41.403627)</t>
  </si>
  <si>
    <t>P3106</t>
  </si>
  <si>
    <t>Molise</t>
  </si>
  <si>
    <t>LINESTRING (15.216828 41.403627, 15.188396 41.412805, 15.179758 41.422521, 15.122174 41.419283, 15.076107 41.402008, 15.024281 41.428998, 14.983973 41.422521, 14.946543 41.446266, 14.847211 41.445186, 14.766593 41.441949, 14.719087 41.431156, 14.651426 41.430077, 14.580885 41.45274, 14.534818 41.467844)</t>
  </si>
  <si>
    <t>P3107</t>
  </si>
  <si>
    <t>Sulmona</t>
  </si>
  <si>
    <t>Abruzzo</t>
  </si>
  <si>
    <t>Umbria</t>
  </si>
  <si>
    <t>LINESTRING (12.675397 42.968015, 12.632209 42.902669, 12.617813 42.845699, 12.545833 42.78445, 12.540075 42.742174, 12.554471 42.685055, 12.537196 42.638475, 12.542954 42.572781, 12.55735 42.521873, 12.505524 42.447558, 12.429266 42.363575, 12.548712 42.305052, 12.59478 42.300793, 12.672518 42.23048, 12.707068 42.170758, 12.833753 42.160088, 12.902854 42.189961, 12.960437 42.136607, 12.963317 42.106709, 13.05833 42.049009, 13.136068 42.063973, 13.213807 42.034041, 13.27427 42.042594, 13.337612 42.040456, 13.444142 42.104573, 13.616894 42.046871, 13.70327 42.061835, 13.763733 42.072522, 13.852988 42.051147, 13.987411 42.019671)</t>
  </si>
  <si>
    <t>P3108</t>
  </si>
  <si>
    <t>Phase 4</t>
  </si>
  <si>
    <t>LINESTRING (12.675397 42.968015, 12.563108 43.035922, 12.488249 43.084306, 12.470974 43.145257, 12.37884 43.27746, 12.30686 43.306799, 12.27231 43.352875, 12.243518 43.377993, 12.246397 43.421924, 12.275189 43.457464, 12.194571 43.503426, 12.145625 43.545179, 12.102077 43.583652, 12.109755 43.654057, 12.117433 43.687379, 12.148144 43.707732, 12.214686 43.724381)</t>
  </si>
  <si>
    <t>P3109</t>
  </si>
  <si>
    <t>P3110</t>
  </si>
  <si>
    <t>LINESTRING (23.52728 42.719487, 23.369362 42.820302)</t>
  </si>
  <si>
    <t>P3111</t>
  </si>
  <si>
    <t>https://www.gem.wiki/Dhanua-Elenga_and_Bangabandhu_Bridge-Nalka_Gas_Transmission_Pipeline</t>
  </si>
  <si>
    <t>Dhanua-Elenga and Bangabandhu Bridge-Nalka Gas Transmission Pipeline</t>
  </si>
  <si>
    <t>LINESTRING (90.380071 24.279974, 89.92182399983304 24.338569563569624, 89.81960558176519 24.389206591852435, 89.59872508382615 24.425749372491023)</t>
  </si>
  <si>
    <t>P3112</t>
  </si>
  <si>
    <t>https://www.gem.wiki/Moheshkhali-Anwara_Parallel_Gas_Pipeline</t>
  </si>
  <si>
    <t>Moheshkhali-Anwara Parallel Gas Pipeline</t>
  </si>
  <si>
    <t>Anwara</t>
  </si>
  <si>
    <t>P3121</t>
  </si>
  <si>
    <t>https://www.gem.wiki/Carrasco-Cochabamba_Gas_Pipeline</t>
  </si>
  <si>
    <t>Carrasco-Cochabamba Gas Pipeline</t>
  </si>
  <si>
    <t>GCC</t>
  </si>
  <si>
    <t>YPFB Transporte [100.00%]</t>
  </si>
  <si>
    <t>YPFB [100.00%]</t>
  </si>
  <si>
    <t>Carrasco</t>
  </si>
  <si>
    <t>Gasoducto Carrasco-Cochabamba</t>
  </si>
  <si>
    <t>https://www.gem.wiki/Gasoducto_Carrasco-Cochabamba</t>
  </si>
  <si>
    <t>LINESTRING (-64.4858 -17.526, -64.4716 -17.4506, -64.4621 -17.413, -64.5111 -17.3662, -64.5837 -17.3044, -64.6517 -17.2531, -64.7022 -17.2275, -64.8144 -17.2214, -64.8523 -17.1958, -64.9107 -17.1218, -64.9534 -17.0327, -65.0166 -16.9723, -65.1224 -16.9587, -65.2851 -16.9723, -65.4004 -16.9874, -65.4478 -16.9753, -65.4684 -16.9693, -65.5063 -17.0131, -65.5489 -17.0569, -65.6153 -17.0675, -65.7338 -17.0675, -65.8191 -17.0871, -65.8522 -17.1339, -65.8965 -17.1762, -65.9644 -17.2018, -66.0134 -17.226, -66.0355 -17.3044, -66.0292 -17.3979, -66.0292 -17.4702, -66.056 -17.5305)</t>
  </si>
  <si>
    <t>P3122</t>
  </si>
  <si>
    <t>https://www.gem.wiki/Colpa-Rio_Grande_Gas_Pipeline</t>
  </si>
  <si>
    <t>Colpa-Rio Grande Gas Pipeline</t>
  </si>
  <si>
    <t>GCRG</t>
  </si>
  <si>
    <t>Colpa</t>
  </si>
  <si>
    <t>Gasoducto Colpa-Rio Grande</t>
  </si>
  <si>
    <t>https://www.gem.wiki/Gasoducto_Colpa-Rio_Grande</t>
  </si>
  <si>
    <t>LINESTRING (-63.22802819650834 -17.564866965519006, -63.19669088732266 -17.879656433084268, -62.9084969791791 -18.191681570732314)</t>
  </si>
  <si>
    <t>P3123</t>
  </si>
  <si>
    <t>https://www.gem.wiki/Carrasco-Yapacan%C3%AD_Gas_Pipeline</t>
  </si>
  <si>
    <t>Carrasco-Yapacaní Gas Pipeline</t>
  </si>
  <si>
    <t>GCY</t>
  </si>
  <si>
    <t>Yapacaní</t>
  </si>
  <si>
    <t>Gasoducto Carrasco-Yapacaní</t>
  </si>
  <si>
    <t>https://www.gem.wiki/Gasoducto_Carrasco-Yapacan%C3%AD</t>
  </si>
  <si>
    <t>LINESTRING (-64.54207682976865 -17.240824459892632, -63.88223267112482 -17.403403918663763)</t>
  </si>
  <si>
    <t>P3124</t>
  </si>
  <si>
    <t>https://www.gem.wiki/Colpa-Warnes_Gas_Pipeline</t>
  </si>
  <si>
    <t>Colpa-Warnes Gas Pipeline</t>
  </si>
  <si>
    <t>GCW</t>
  </si>
  <si>
    <t>Warnes</t>
  </si>
  <si>
    <t>Gasoducto Colpa-Warnes</t>
  </si>
  <si>
    <t>https://www.gem.wiki/Gasoducto_Colpa-Warnes</t>
  </si>
  <si>
    <t>LINESTRING (-63.23711422091351 -17.54515845066469, -63.1583474694951 -17.53721002861348)</t>
  </si>
  <si>
    <t>P3125</t>
  </si>
  <si>
    <t>https://www.gem.wiki/Yapacani-Colpa_Gas_Pipeline</t>
  </si>
  <si>
    <t>Yapacani-Colpa Gas Pipeline</t>
  </si>
  <si>
    <t>GYC</t>
  </si>
  <si>
    <t>Yapacani</t>
  </si>
  <si>
    <t>Gasoducto Yapacani-Colpa</t>
  </si>
  <si>
    <t>https://www.gem.wiki/Gasoducto_Yapacani-Colpa</t>
  </si>
  <si>
    <t>LINESTRING (-64.07139698479828 -17.014138839890563, -63.769795 -16.986756, -63.608372 -17.106052, -63.378324 -17.347485, -63.270939 -17.523349)</t>
  </si>
  <si>
    <t>P3126</t>
  </si>
  <si>
    <t>https://www.gem.wiki/Catu-Itaporanga_Gas_Pipeline</t>
  </si>
  <si>
    <t>Catu-Itaporanga Gas Pipeline</t>
  </si>
  <si>
    <t>Pojuca</t>
  </si>
  <si>
    <t>Itaporanga</t>
  </si>
  <si>
    <t>Gasoduto Catu-Itaporanga</t>
  </si>
  <si>
    <t>https://www.gem.wiki/Gasoduto_Catu-Itaporanga</t>
  </si>
  <si>
    <t>LINESTRING (-38.352183 -12.389247, -37.31748330707008 -10.99055204590774)</t>
  </si>
  <si>
    <t>P3127</t>
  </si>
  <si>
    <t>https://www.gem.wiki/Carm%C3%B3polis-Pilar_Gas_Pipeline</t>
  </si>
  <si>
    <t>Carmópolis-Pilar Gas Pipeline</t>
  </si>
  <si>
    <t>Carmópolis</t>
  </si>
  <si>
    <t>Pilar</t>
  </si>
  <si>
    <t>Gasoduto Carmópolis-Pilar</t>
  </si>
  <si>
    <t>https://www.gem.wiki/Gasoduto_Carm%C3%B3polis-Pilar</t>
  </si>
  <si>
    <t>LINESTRING (-36.97499061073564 -10.643681578279114, -35.906715 -9.6062)</t>
  </si>
  <si>
    <t>P3132</t>
  </si>
  <si>
    <t>https://www.gem.wiki/GASFOR_Pipeline</t>
  </si>
  <si>
    <t>GASFOR Pipeline</t>
  </si>
  <si>
    <t>Guamaré-Pecém Gas Pipeline, Gasoduto Guamaré-Pecém, GASFOR I</t>
  </si>
  <si>
    <t>Guamaré</t>
  </si>
  <si>
    <t>São Gonçalo</t>
  </si>
  <si>
    <t>Gasoduto GASFOR</t>
  </si>
  <si>
    <t>https://www.gem.wiki/Gasoduto_GASFOR</t>
  </si>
  <si>
    <t>LINESTRING (-36.3931 -5.14465, -36.4702 -5.20787, -36.5881 -5.22894, -36.7075 -5.23647, -36.8284 -5.22593, -36.8737 -5.20938, -36.9448 -5.20637, -37.0445 -5.20035, -37.1307 -5.19282, -37.235 -5.13261, -37.2969 -5.0754, -37.3226 -4.98206, -37.4058 -4.86008, -37.4677 -4.75164, -37.501 -4.71549, -37.5886 -4.67482, -37.7126 -4.64017, -37.773 -4.58443, -37.8592 -4.52417, -37.9665 -4.44581, -38.3965 -4.17377, -38.4373 -4.12855, -38.4524 -4.03809, -38.5174 -3.90089, -38.6081 -3.81644, -38.6973 -3.74103, -38.8046 -3.63998, -38.831389 -3.546667)</t>
  </si>
  <si>
    <t>P3133</t>
  </si>
  <si>
    <t>https://www.gem.wiki/GASALP_Pipeline</t>
  </si>
  <si>
    <t>GASALP Pipeline</t>
  </si>
  <si>
    <t>Gasoduto Alagoas-Pernambuco</t>
  </si>
  <si>
    <t>Alagoas</t>
  </si>
  <si>
    <t>Cabo de Santo Agostinho</t>
  </si>
  <si>
    <t>Gasoduto GASALP</t>
  </si>
  <si>
    <t>https://www.gem.wiki/Gasoduto_GASALP</t>
  </si>
  <si>
    <t>LINESTRING (-35.906715 -9.6062, -35.876 -9.44213, -35.7486 -9.32749, -35.6399 -9.19063, -35.5537 -9.0463, -35.5087 -8.95005, -35.3363 -8.73155, -35.2389 -8.67968, -35.1377 -8.54628, -35.059 -8.42024, -35.02066 -8.390624)</t>
  </si>
  <si>
    <t>P3134</t>
  </si>
  <si>
    <t>https://www.gem.wiki/Itaporanga-Carm%C3%B3polis_Pipeline</t>
  </si>
  <si>
    <t>Itaporanga-Carmópolis Pipeline</t>
  </si>
  <si>
    <t>Gasoduto Itaporanga-Carmópolis</t>
  </si>
  <si>
    <t>https://www.gem.wiki/Gasoduto_Itaporanga-Carm%C3%B3polis</t>
  </si>
  <si>
    <t>LINESTRING (-37.31748330707008 -10.99055204590774, -36.97499061073564 -10.643681578279114)</t>
  </si>
  <si>
    <t>P3135</t>
  </si>
  <si>
    <t>https://www.gem.wiki/Nordest%C3%A3o_Gas_Pipeline</t>
  </si>
  <si>
    <t>Nordestão Gas Pipeline</t>
  </si>
  <si>
    <t>Guamaré-Cabo</t>
  </si>
  <si>
    <t>Rio Grande do Norte</t>
  </si>
  <si>
    <t>Gasoduto Nordestão</t>
  </si>
  <si>
    <t>https://www.gem.wiki/Gasoduto_Nordest%C3%A3o</t>
  </si>
  <si>
    <t>LINESTRING (-36.3834 -5.13442, -36.3385 -5.16722, -36.1767 -5.29052, -36.0762 -5.35838, -35.8541 -5.53986, -35.5139 -5.7987, -35.4185 -5.88458, -35.3662 -5.93655, -35.3072 -6.07889, -35.2549 -6.26409, -35.1845 -6.5192, -35.1845 -6.60722, -35.1504 -6.6704, -35.1232 -6.73809, -35.1345 -6.81027, -35.1391 -6.84524, -35.0641 -7.00535, -35.0187 -7.08652, -35.0118 -7.19246, -35.0232 -7.28937, -35.0141 -7.44482, -35.0209 -7.55519, -35.005 -7.64301, -34.9937 -7.70154, -34.9482 -7.75782, -34.9346 -7.8501, -34.9596 -7.95136, -34.9914 -8.05484, -35.0255 -8.13356, -35.0277 -8.21114, -35.0357 -8.26903, -34.9516 -7.92717, -35.0141 -7.93673, -35.0442 -7.96598, -35.0641 -8.01379, -35.0596 -8.06327, -35.0454 -8.10039, -35.0448 -8.10039, -35.0243 -8.13581, -35.02066 -8.390624)</t>
  </si>
  <si>
    <t>P3136</t>
  </si>
  <si>
    <t>https://www.gem.wiki/GASEB_Pipeline</t>
  </si>
  <si>
    <t>GASEB Pipeline</t>
  </si>
  <si>
    <t>Gasoduto Atalaia - Catu</t>
  </si>
  <si>
    <t>Catu</t>
  </si>
  <si>
    <t>Atalaia</t>
  </si>
  <si>
    <t>Aracaju</t>
  </si>
  <si>
    <t>Gasoduto GASEB</t>
  </si>
  <si>
    <t>https://www.gem.wiki/Gasoduto_GASEB</t>
  </si>
  <si>
    <t>LINESTRING (-38.352183 -12.389247, -38.2502 -12.2581, -38.1781 -12.1602, -38.0097 -12.0975, -37.8775 -11.9054, -37.6731 -11.6425, -37.4847 -11.3872, -37.3685 -11.1868, -37.067113 -11.006648)</t>
  </si>
  <si>
    <t>P3137</t>
  </si>
  <si>
    <t>https://www.gem.wiki/Alexandroupolis_INGS_Terminal_Pipeline</t>
  </si>
  <si>
    <t>Alexandroupolis INGS Terminal Pipeline</t>
  </si>
  <si>
    <t>Gastrade S.A [unknown %]</t>
  </si>
  <si>
    <t>Bulgarian Energy Holding [unknown %]; Copelouzos Group [unknown %]; Enagás [unknown %]; Fluxys [unknown %]; Government of Greece [unknown %]; Other [unknown %]; Snam [unknown %]</t>
  </si>
  <si>
    <t>Alexandroupolis LNG Terminal</t>
  </si>
  <si>
    <t>Alexandroupolis</t>
  </si>
  <si>
    <t>Amfitriti</t>
  </si>
  <si>
    <t>LINESTRING (25.7187147 40.748282, 25.7618527 40.75628, 25.845361 40.771398, 25.888915 40.779677, 25.9040329 40.783996, 25.9137515 40.790116, 25.9191507 40.805953, 25.92419 40.849867, 25.9295893 40.884062)</t>
  </si>
  <si>
    <t>P3138</t>
  </si>
  <si>
    <t>https://www.gem.wiki/Skulte_LNG_Terminal_Pipeline</t>
  </si>
  <si>
    <t>Skulte LNG Terminal Pipeline</t>
  </si>
  <si>
    <t>Inčukalns UGS</t>
  </si>
  <si>
    <t>LINESTRING (24.367 57.315, 24.401 57.353, 24.447 57.359, 24.461 57.358, 24.478 57.355, 24.485 57.353, 24.502 57.352, 24.524 57.349, 24.528 57.348, 24.533 57.34, 24.541 57.336, 24.547 57.334, 24.547 57.332, 24.554 57.33, 24.553 57.328, 24.56 57.328, 24.593 57.314, 24.595 57.31, 24.613 57.302, 24.615 57.3, 24.618 57.293, 24.627 57.283, 24.628 57.276, 24.638 57.264, 24.645 57.253, 24.647 57.244, 24.65 57.219, 24.651 57.215, 24.656 57.21, 24.659 57.209, 24.662 57.207, 24.668 57.203, 24.673 57.201, 24.683 57.2, 24.687 57.197, 24.691 57.193, 24.692 57.19, 24.695 57.188, 24.694 57.187, 24.69 57.187, 24.686 57.186, 24.685 57.185, 24.682 57.181, 24.681 57.178, 24.68 57.176, 24.681 57.174, 24.683 57.171, 24.685 57.168, 24.689 57.165)</t>
  </si>
  <si>
    <t>P3139</t>
  </si>
  <si>
    <t>https://www.gem.wiki/Prosperidad_Gas_Pipeline</t>
  </si>
  <si>
    <t>Prosperidad Gas Pipeline</t>
  </si>
  <si>
    <t>Ixtepec</t>
  </si>
  <si>
    <t>Gasoducto Prosperidad</t>
  </si>
  <si>
    <t>https://www.gem.wiki/Gasoducto_Prosperidad</t>
  </si>
  <si>
    <t>LINESTRING (-95.096309 16.561105, -94.192973 16.368654, -93.897858 16.231378, -92.267932 14.902657)</t>
  </si>
  <si>
    <t>P3140</t>
  </si>
  <si>
    <t>https://www.gem.wiki/Taichung-Tunghsiao-Tatan_Offshore_Gas_Pipeline</t>
  </si>
  <si>
    <t>Taichung-Tunghsiao-Tatan Offshore Gas Pipeline</t>
  </si>
  <si>
    <t>Tatan</t>
  </si>
  <si>
    <t>LINESTRING (120.50808045072282 24.28140871190387, 120.46031647539486 24.409774836917613, 120.49733307256885 24.495997661588618, 120.57204889119178 24.53916481488904, 120.67431634077668 24.491079394865643, 120.60448498392982 24.640429145195387, 120.63066800974072 24.758453092642995, 120.70631440950964 24.880845567602616, 120.83787336562958 24.98224990765887, 120.95134296528299 25.044840276303866, 121.05217438050045 25.03247026568895)</t>
  </si>
  <si>
    <t>P3141</t>
  </si>
  <si>
    <t>https://www.gem.wiki/Yongan-Tongxiao_Gas_Pipeline_2</t>
  </si>
  <si>
    <t>Yongan-Tongxiao Gas Pipeline 2</t>
  </si>
  <si>
    <t>Tongxiao</t>
  </si>
  <si>
    <t>LINESTRING (120.20523498712477 22.809872595976543, 120.04990902790931 22.83418566233448, 119.93049861621174 22.963151386050257, 119.90373421358984 23.20557661600462, 119.93049861621174 23.541968803694715, 120.04373262730424 23.864323884160715, 120.22490704505229 24.172731379075397, 120.45961026804409 24.482269261164994, 120.57696187954 24.51224476960712, 120.67427562137215 24.49370183631975)</t>
  </si>
  <si>
    <t>P3142</t>
  </si>
  <si>
    <t>https://www.gem.wiki/Anaco-Barquisimeto_Gas_Pipeline</t>
  </si>
  <si>
    <t>Anaco-Barquisimeto Gas Pipeline</t>
  </si>
  <si>
    <t>8, 10, 12, 16, 20, 26, 30, 36</t>
  </si>
  <si>
    <t>Anaco</t>
  </si>
  <si>
    <t>Barquisimeto</t>
  </si>
  <si>
    <t>Gasoducto Anaco-Barquisimeto</t>
  </si>
  <si>
    <t>https://www.gem.wiki/Gasoducto_Anaco-Barquisimeto</t>
  </si>
  <si>
    <t>LINESTRING (-64.7002 9.309778, -65.0226 9.450335, -65.2326 9.550169, -65.4463 9.594531, -65.66 9.624102, -65.8774 9.701714, -66.0199 9.764529, -66.1024 9.805168, -66.3685 9.816251, -66.496 9.91967, -66.6422 10.0895, -66.7997 10.11903, -66.9796 10.14855, -67.2121 10.21497, -67.407 10.25187, -67.5382 10.24449, -67.6919 10.21128, -67.9281 10.23711, -68.1231 10.2408, -68.2093 10.38096, -68.2093 10.51, -68.303 10.4842, -68.5504 10.36621, -68.7904 10.274, -69.0416 10.17807, -69.274 10.09319, -69.379 10.06735)</t>
  </si>
  <si>
    <t>P3143</t>
  </si>
  <si>
    <t>https://www.gem.wiki/Anaco-Puerto_La_Cruz_Gas_Pipeline</t>
  </si>
  <si>
    <t>Anaco-Puerto La Cruz Gas Pipeline</t>
  </si>
  <si>
    <t>12, 16, 20, 26, 36</t>
  </si>
  <si>
    <t>Puerto La Cruz</t>
  </si>
  <si>
    <t>Gasoducto Anaco-Puerto La Cruz</t>
  </si>
  <si>
    <t>https://www.gem.wiki/Gasoducto_Anaco-Puerto_La_Cruz</t>
  </si>
  <si>
    <t>LINESTRING (-64.47240834464472 9.438540541959688, -64.62770843151294 10.237454813676568)</t>
  </si>
  <si>
    <t>P3144</t>
  </si>
  <si>
    <t>https://www.gem.wiki/Anaco-Puerto_Ordaz_Gas_Pipeline</t>
  </si>
  <si>
    <t>Anaco-Puerto Ordaz Gas Pipeline</t>
  </si>
  <si>
    <t>16, 20, 26, 36</t>
  </si>
  <si>
    <t>Puerto Ordaz</t>
  </si>
  <si>
    <t>Gasoducto Anaco-Puerto Ordaz</t>
  </si>
  <si>
    <t>https://www.gem.wiki/Gasoducto_Anaco-Puerto_Ordaz</t>
  </si>
  <si>
    <t>LINESTRING (-62.9879 8.214898, -63.1003 8.348454, -63.2109 8.487527, -63.3759 8.583921, -63.569 8.68029, -63.7283 8.797013, -63.8726 8.891475, -64.0601 9.035901, -64.2325 9.148808, -64.3581 9.237628, -64.51 9.298679, -64.7321 9.35787)</t>
  </si>
  <si>
    <t>P3145</t>
  </si>
  <si>
    <t>https://www.gem.wiki/Ule-Amuay_Gas_Pipeline</t>
  </si>
  <si>
    <t>Ule-Amuay Gas Pipeline</t>
  </si>
  <si>
    <t>Ulé</t>
  </si>
  <si>
    <t>Amuay</t>
  </si>
  <si>
    <t>Gasoducto Ulé-Amuay</t>
  </si>
  <si>
    <t>https://www.gem.wiki/Gasoducto_Ul%C3%A9-Amuay</t>
  </si>
  <si>
    <t>LINESTRING (-71.3809962472027 10.282991477991013, -71.2209 10.47837, -71.1445 10.62135, -71.0827 10.71604, -71.0263 10.75891, -70.9154 10.8232, -70.7591 10.91782, -70.6373 10.99278, -70.5373 11.06594, -70.4319 11.10698, -70.2791 11.16584, -70.1592 11.2657, -70.1428 11.38157, -70.1519 11.49561, -70.1828 11.58645, -70.2064 11.66124, -70.2101 11.68617, -70.19583889684891 11.738469237647672)</t>
  </si>
  <si>
    <t>P3146</t>
  </si>
  <si>
    <t>https://www.gem.wiki/Thi_Vai_Import_Terminal_Gas_Pipeline</t>
  </si>
  <si>
    <t>Thi Vai Import Terminal Gas Pipeline</t>
  </si>
  <si>
    <t>Thi Vai Import Terminal</t>
  </si>
  <si>
    <t>LINESTRING (107.01330104380594 10.508225388449997, 106.938459904421 10.703896878685448)</t>
  </si>
  <si>
    <t>P3147</t>
  </si>
  <si>
    <t>https://www.gem.wiki/South_West_LNG_Terminal_to_Ca_Mau_Gas_Pipeline</t>
  </si>
  <si>
    <t>South West LNG Terminal to Ca Mau Gas Pipeline</t>
  </si>
  <si>
    <t>12, 28</t>
  </si>
  <si>
    <t>South West LNG Terminal</t>
  </si>
  <si>
    <t>LINESTRING (104.81710612002485 9.034755722655886, 105.0627469 9.236883)</t>
  </si>
  <si>
    <t>P3149</t>
  </si>
  <si>
    <t>https://www.gem.wiki/Son_My%E2%80%93Phu_My_Gas_Pipeline</t>
  </si>
  <si>
    <t>Son My–Phu My Gas Pipeline</t>
  </si>
  <si>
    <t>Son My</t>
  </si>
  <si>
    <t>LINESTRING (107.68464 10.65008, 107.04759059998085 10.591111981602435)</t>
  </si>
  <si>
    <t>P3150</t>
  </si>
  <si>
    <t>https://www.gem.wiki/Son_My%E2%80%93Su_Tu_Trang_Gas_Pipeline</t>
  </si>
  <si>
    <t>Son My–Su Tu Trang Gas Pipeline</t>
  </si>
  <si>
    <t>20, 28</t>
  </si>
  <si>
    <t>Su Tu Trang</t>
  </si>
  <si>
    <t>LINESTRING (107.68464 10.65008, 108.32150044850869 10.13979772279954)</t>
  </si>
  <si>
    <t>P3151</t>
  </si>
  <si>
    <t>https://www.gem.wiki/FSRU_to_Thai_Binh_Gas_Pipeline</t>
  </si>
  <si>
    <t>FSRU to Thai Binh Gas Pipeline</t>
  </si>
  <si>
    <t>8, 10</t>
  </si>
  <si>
    <t>offshore FSRU</t>
  </si>
  <si>
    <t>Thai Binh</t>
  </si>
  <si>
    <t>P3152</t>
  </si>
  <si>
    <t>https://www.gem.wiki/East_to_Southeast_Gas_Pipeline</t>
  </si>
  <si>
    <t>East to Southwest Gas Pipeline</t>
  </si>
  <si>
    <t>P3153</t>
  </si>
  <si>
    <t>https://www.gem.wiki/Trans-ASEAN_Gas_Pipeline</t>
  </si>
  <si>
    <t>Trans-ASEAN Gas Pipeline</t>
  </si>
  <si>
    <t>P3158</t>
  </si>
  <si>
    <t>https://www.gem.wiki/Dakota_Natural_Gas_Pipeline</t>
  </si>
  <si>
    <t>Dakota Natural Gas Pipeline</t>
  </si>
  <si>
    <t>Dakota Natural Gas [unknown %]</t>
  </si>
  <si>
    <t>Bakken Shale</t>
  </si>
  <si>
    <t>LINESTRING (-97.06317585186174 47.481994073438926, -96.59868120181578 47.52785544131258)</t>
  </si>
  <si>
    <t>P3160</t>
  </si>
  <si>
    <t>https://www.gem.wiki/Concho-Progreso_Gas_Pipeline</t>
  </si>
  <si>
    <t>Concho-Progreso Gas Pipeline</t>
  </si>
  <si>
    <t>Mirage Energy [unknown %]</t>
  </si>
  <si>
    <t>Banquete</t>
  </si>
  <si>
    <t>Gasoducto Nuevo Burgos</t>
  </si>
  <si>
    <t>https://www.gem.wiki/Gasoducto_Nuevo_Burgos</t>
  </si>
  <si>
    <t>LINESTRING (-97.791599 27.809642, -97.907645 27.780562, -98.140514 27.219965, -98.121304 26.558519, -98.047112 26.498756, -97.954522 26.062188, -98.474429 26.011869, -99.459615 25.682706)</t>
  </si>
  <si>
    <t>P3163</t>
  </si>
  <si>
    <t>https://www.gem.wiki/NTS_Gas_Pipeline_Network</t>
  </si>
  <si>
    <t>NTS Gas Pipeline Network</t>
  </si>
  <si>
    <t>FIP (Fundo de Investimentos em Participações Multiestratégia) [unknown %]; Itaúsa SA [unknown %]</t>
  </si>
  <si>
    <t>Brookfield Infrastructure Partners [unknown %]</t>
  </si>
  <si>
    <t>São Bernardo do Campo</t>
  </si>
  <si>
    <t>Cabiúnas</t>
  </si>
  <si>
    <t>Sistema de Gasodutos NTS</t>
  </si>
  <si>
    <t>https://www.gem.wiki/Sistema_de_Gasodutos_NTS</t>
  </si>
  <si>
    <t>MULTILINESTRING ((-46.4318 -23.8755, -46.50113441981003 -23.85076181909252, -46.48169010142955 -23.656526957319066, -45.981336 -23.459995, -45.83783441778376 -23.18790668887322, -45.57350587394169 -23.095124488731166, -45.463984475406086 -22.92612831433509, -44.96269397692771 -22.57154433286348, -44.0418996203614 -22.52305049482805, -43.6423 -22.7234, -43.25435040909356 -22.715105218203295, -42.97594600969553 -22.52407972171583, -41.8814 -22.3055, -41.716872 -22.286138), (-45.83783441778376 -23.18790668887322, -45.499426887065106 -23.653035374616742), (-45.57350587394169 -23.095124488731166, -46.541147 -22.946746, -47.147858417736174 -22.729299946424465, -46.61052803838076 -22.291071061555765), (-44.0418996203614 -22.52305049482805, -43.462132086100844 -22.177076744854947, -43.25435040909356 -22.715105218203295), (-43.462132086100844 -22.177076744854947, -43.45688274733125 -21.690429633313148, -43.574236054827175 -21.363834136146025, -43.931639090557 -20.617716438344573, -44.204378458214514 -20.14788488341845, -44.10338781315386 -19.981706078225468))</t>
  </si>
  <si>
    <t>P3169</t>
  </si>
  <si>
    <t>https://www.gem.wiki/Eastern_Gas_Transmission_and_Storage_System_(EGTS)</t>
  </si>
  <si>
    <t>Eastern Gas Transmission and Storage System (EGTS)</t>
  </si>
  <si>
    <t>Mid-Atlantic Chiller Project</t>
  </si>
  <si>
    <t>Eastern Gas Transmission and Storage Expansion</t>
  </si>
  <si>
    <t>Eastern Gas Transmission and Storage Inc [300.00%]</t>
  </si>
  <si>
    <t>Berkshire Hathaway [91.00%]; Walter Scott [8.00%]; Greg Abel [1.00%]</t>
  </si>
  <si>
    <t>Leidy</t>
  </si>
  <si>
    <t>P3170</t>
  </si>
  <si>
    <t>https://www.gem.wiki/Santa_Fe_Mainline_Gas_Pipeline</t>
  </si>
  <si>
    <t>Santa Fe Mainline Gas Pipeline</t>
  </si>
  <si>
    <t>Santa Fe Gas Company [100.00%]</t>
  </si>
  <si>
    <t>LINESTRING (-106.55018013935504 35.31545389231411, -105.9389 35.74118)</t>
  </si>
  <si>
    <t>P3171</t>
  </si>
  <si>
    <t>GTN Xpress Expansion Project</t>
  </si>
  <si>
    <t>GTN Express</t>
  </si>
  <si>
    <t>P3173</t>
  </si>
  <si>
    <t>https://www.gem.wiki/Somiani%E2%80%93Nawabshah_Gas_Pipeline</t>
  </si>
  <si>
    <t>Somiani–Nawabshah Gas Pipeline</t>
  </si>
  <si>
    <t>ISGS [100.00%]</t>
  </si>
  <si>
    <t xml:space="preserve">Sonmiani </t>
  </si>
  <si>
    <t>Balochistan</t>
  </si>
  <si>
    <t>LINESTRING (66.596115 25.422749, 66.671387 25.409771, 67.062019 25.377326, 67.112633 25.438322, 67.168437 25.460384, 67.195691 25.48634, 67.220349 25.527869, 67.268367 25.54474, 67.277451 25.59146, 67.311194 25.623905, 67.329362 25.652456, 67.341043 25.690092, 67.319878 25.80293, 67.303007 25.858735, 67.290029 25.971642, 67.293923 26.062487, 68.389251 26.246772)</t>
  </si>
  <si>
    <t>P3174</t>
  </si>
  <si>
    <t>Pakistan, Iran</t>
  </si>
  <si>
    <t>https://www.gem.wiki/Off-Shore_Gas_Pipeline</t>
  </si>
  <si>
    <t>Off-Shore Gas Pipeline</t>
  </si>
  <si>
    <t>LINESTRING (62.327959 25.108946, 62.331185 24.986796, 62.24299 24.878141, 61.960725 24.790773, 61.705343 24.770612, 60.670371 24.87142, 59.574914 25.039435, 58.560104 25.173847, 57.578898 25.362024, 57.343677 25.476274, 57.135338 25.711495, 57.061412 26.00048, 56.967324 26.383554, 56.872563 26.679092, 56.81947 26.764853, 56.742744 26.822577, 56.644735 26.853996, 56.558263 26.849907, 56.462607 26.82941, 56.353285 26.767916, 56.174293 26.67926, 56.045818 26.597101, 55.878587 26.544848, 55.724686 26.508277, 55.502234 26.477642, 55.051954 26.45076, 54.561351 26.383554, 54.190766 26.378458, 53.966998 26.407496, 53.767144 26.453616, 53.49384 26.569771, 53.17954 26.733753, 52.919902 26.877238, 52.714923 26.993392, 52.586812 27.101006, 52.511653 27.210327, 52.484323 27.302567, 52.501405 27.37431, 52.593805 27.47313)</t>
  </si>
  <si>
    <t>P3175</t>
  </si>
  <si>
    <t>Aykhal-Udachny Gas Pipeline</t>
  </si>
  <si>
    <t>Udachny</t>
  </si>
  <si>
    <t>Айхал - Удачный</t>
  </si>
  <si>
    <t>LINESTRING (111.725464 65.943673, 111.756363 66.050372, 112.163544 66.244738, 112.278214 66.410154)</t>
  </si>
  <si>
    <t>P3176</t>
  </si>
  <si>
    <t>https://www.gem.wiki/Gryazovets-Volkhov-Slavyanskaya_Gas_Pipeline</t>
  </si>
  <si>
    <t>Gryazovets-Volkhov-Slavyanskaya Gas Pipeline</t>
  </si>
  <si>
    <t>Gryazovets-Ust Luga Gas Pipeline; Gryazovets-Slavyanskaya Gas Pipeline</t>
  </si>
  <si>
    <t xml:space="preserve">Gryazovetsky District </t>
  </si>
  <si>
    <t>Slavyanskaya</t>
  </si>
  <si>
    <t>Магистральный Газопровод (МГП) Грязовец - Волхов - Компрессорная Станция "Славянская"</t>
  </si>
  <si>
    <t>MULTILINESTRING ((40.250152 58.787926, 40.225886 58.785229, 40.190835 58.804777, 40.182072 58.804777, 40.122081 58.862746, 40.069505 58.905212, 40.047261 58.901167, 39.973114 58.901167, 39.965026 58.905212, 39.912449 58.969247, 39.905709 58.973966, 39.886835 58.978684, 39.863917 58.992839, 39.611292 59.066809, 39.416722 59.153617, 39.162464 59.119353, 39.028441 59.113526, 39.018243 59.12518, 38.907528 59.144118, 38.855084 59.149945, 38.801297 59.123052, 38.756986 59.131914, 38.74517 59.142253, 38.712676 59.146684, 38.643257 59.14373, 38.61667 59.154069, 38.526573 59.145207, 38.494079 59.159977, 38.442383 59.173271, 38.420228 59.176225, 38.398073 59.171794, 38.386257 59.179179, 38.392165 59.185087, 38.253326 59.266322, 38.136642 59.30177, 38.05836 59.288477, 38.04359 59.294385, 37.932815 59.297339, 37.891458 59.291431, 37.845671 59.284046, 37.6832 59.316541, 37.5547 59.303247, 37.492184 59.320547, 37.298659 59.327934, 37.220362 59.311683, 37.125815 59.313161, 37.050473 59.310206, 36.986949 59.305774, 36.87172 59.327934, 36.78456 59.326456, 36.740241 59.314638, 36.642739 59.323502, 36.497692 59.281514, 36.459768 59.28351, 36.408871 59.300475, 36.373942 59.296483, 36.276139 59.333409, 36.257177 59.338399, 36.227238 59.36734, 36.1963 59.376322, 36.038464 59.36753, 35.98634 59.365733, 35.608891 59.390896, 35.544185 59.380112, 35.283565 59.419654, 35.222455 59.410667, 34.916901 59.425046, 34.832424 59.452007, 34.755137 59.444818, 34.685039 59.457399, 34.663471 59.453804, 34.634713 59.462791, 34.607752 59.462791, 34.338727 59.489428, 34.200958 59.451159, 33.934167 59.590021, 33.839041 59.597675, 33.828107 59.604236, 33.754849 59.619543, 33.585371 59.690615, 33.471657 59.697175, 33.319674 59.705922, 33.132655 59.700594, 33.072518 59.711528, 32.970831 59.783692, 32.940216 59.780412, 32.80682 59.826335, 32.556431 59.824148, 32.388653 59.782336, 32.214382 59.687884, 32.115939 59.612057, 32.07603 59.597424, 31.908411 59.586781, 31.874115 59.556048, 31.849477 59.520038, 31.83621 59.484029, 31.769877 59.476448, 31.75282 59.461286, 31.661848 59.459391, 31.604991 59.40822, 31.483697 59.41201, 31.421154 59.366525, 31.419259 59.319144, 31.413573 59.28882, 31.381354 59.260391, 31.326392 59.230068, 31.22784 59.131516, 31.072431 59.118249, 30.970088 59.158049, 30.881012 59.177001, 30.78246 59.241439, 30.453397 59.237224, 30.407902 59.225851, 30.337765 59.252389, 30.167161 59.242911, 30.028782 59.140549, 29.996557 59.129175, 29.94348 59.12728, 29.897986 59.165192, 29.793728 59.168983, 29.68947 59.187939, 29.585212 59.193626, 29.316037 59.204999, 29.175763 59.204999, 28.952207 59.258433, 28.7399 59.256538, 28.66218 59.320988, 28.618582 59.343735, 28.557922 59.368378, 28.465038 59.374065, 28.415752 59.410081, 28.356989 59.423351, 28.311494 59.419559, 28.275478 59.434724, 28.28306 59.510548, 28.324764 59.550356, 28.430917 59.554147, 28.474516 59.605328, 28.444186 59.647031, 28.398692 59.669778), (28.27549 59.434764, 28.141928 59.458133, 28.10993023 59.45141718))</t>
  </si>
  <si>
    <t>P3177</t>
  </si>
  <si>
    <t>https://www.gem.wiki/Karachi%E2%80%93Sawan_Gas_Pipeline</t>
  </si>
  <si>
    <t>Karachi–Sawan Gas Pipeline</t>
  </si>
  <si>
    <t>Sui Southern Gas Company (SSGC) [100.00%]</t>
  </si>
  <si>
    <t>Government of Pakistan [100.00%]</t>
  </si>
  <si>
    <t>Sawan</t>
  </si>
  <si>
    <t>LINESTRING (67.34609016366032 24.782503562372074, 68.905031 26.98373)</t>
  </si>
  <si>
    <t>P3178</t>
  </si>
  <si>
    <t>https://www.gem.wiki/Sawan%E2%80%93Lahore_Gas_Pipeline</t>
  </si>
  <si>
    <t>Sawan–Lahore Gas Pipeline</t>
  </si>
  <si>
    <t>Sui Northern Gas Pipelines Limited (SNGPL) [100.00%]</t>
  </si>
  <si>
    <t>LINESTRING (69.152198 27.2598948, 69.366772 27.9674025, 69.958138 28.4307406, 70.267305 28.5800265, 70.85804 29.0296067, 71.120619 29.2877348, 71.31644 30.1600297, 71.585785 30.3165519, 72.133195 30.289849, 72.302313 30.3210024, 72.493684 30.4500665, 72.747362 30.445616, 73.357078 30.7883033, 74.319952 31.1866288, 74.396661 31.3219977, 74.405686 31.4799281)</t>
  </si>
  <si>
    <t>P3184</t>
  </si>
  <si>
    <t>Alliance Pipeline LP [200.00%]</t>
  </si>
  <si>
    <t>Enbridge [50.00%]; Pembina Pipeline Corporation [50.00%]</t>
  </si>
  <si>
    <t>P3185</t>
  </si>
  <si>
    <t>Three Rivers Interconnection Project</t>
  </si>
  <si>
    <t>P3186</t>
  </si>
  <si>
    <t>Grand Chenier XPress Project</t>
  </si>
  <si>
    <t>P3187</t>
  </si>
  <si>
    <t>Wisconsin Access Project</t>
  </si>
  <si>
    <t>P3188</t>
  </si>
  <si>
    <t>East Lateral Xpress Project</t>
  </si>
  <si>
    <t>P3189</t>
  </si>
  <si>
    <t>Marysville Connector Pipeline</t>
  </si>
  <si>
    <t>Maryville</t>
  </si>
  <si>
    <t>P3190</t>
  </si>
  <si>
    <t>Carlsbad South Project</t>
  </si>
  <si>
    <t>Carslbad</t>
  </si>
  <si>
    <t>P3192</t>
  </si>
  <si>
    <t>Big Bend Project</t>
  </si>
  <si>
    <t>P3193</t>
  </si>
  <si>
    <t>P3194</t>
  </si>
  <si>
    <t>Lamar County Expansion Project</t>
  </si>
  <si>
    <t>P3195</t>
  </si>
  <si>
    <t>2017 NGTL System</t>
  </si>
  <si>
    <t>P3196</t>
  </si>
  <si>
    <t>Pennington</t>
  </si>
  <si>
    <t>LINESTRING (-75.291121 40.674434, -74.78878 40.324923)</t>
  </si>
  <si>
    <t>P3197</t>
  </si>
  <si>
    <t>Louisiana Connector Amendment Project</t>
  </si>
  <si>
    <t>P3198</t>
  </si>
  <si>
    <t>Texas Connector</t>
  </si>
  <si>
    <t>LINESTRING (-93.957338 30.075951, -93.979458 30.073399, -93.991256 30.060636, -94.007477 30.050425, -94.020749 30.044043, -94.034571 30.041382, -94.052325 30.037152, -94.063887 30.024276, -94.072275 30.011159, -94.073986 29.996437, -94.070564 29.96531, -94.06543 29.950484, -94.062719 29.941622, -94.063281 29.934316, -94.066654 29.930418, -94.072275 29.923598, -94.076772 29.917264, -94.077897 29.91093, -94.077897 29.902647, -94.076772 29.891438, -94.072275 29.886565, -94.067778 29.882666, -94.059346 29.875354, -94.035175 29.862193, -94.005382 29.845129, -93.988518 29.836353, -93.9784 29.829526, -93.97053 29.819772, -93.959287 29.805628, -93.953104 29.796848)</t>
  </si>
  <si>
    <t>P3199</t>
  </si>
  <si>
    <t>Rivervale South to Market Expansion Project</t>
  </si>
  <si>
    <t>P3200</t>
  </si>
  <si>
    <t>Virgina Interconnect Project</t>
  </si>
  <si>
    <t>Header Improvement Project</t>
  </si>
  <si>
    <t>P3201</t>
  </si>
  <si>
    <t>Southeastern Trail Expansion Project</t>
  </si>
  <si>
    <t>P3202</t>
  </si>
  <si>
    <t>Blue Water Compressor Project</t>
  </si>
  <si>
    <t>P3203</t>
  </si>
  <si>
    <t>Greece, Albania, Italy</t>
  </si>
  <si>
    <t>TAP Expansion</t>
  </si>
  <si>
    <t>P3204</t>
  </si>
  <si>
    <t>Georgia, Greece, Türkiye</t>
  </si>
  <si>
    <t>Expansion (Phase Two)</t>
  </si>
  <si>
    <t>P3205</t>
  </si>
  <si>
    <t>Expansion (Phase Three)</t>
  </si>
  <si>
    <t>Georgia/Turkey border (South Caucasus Gas Pipeline)</t>
  </si>
  <si>
    <t>P3206</t>
  </si>
  <si>
    <t>Cyprus, Israel, Greece</t>
  </si>
  <si>
    <t>P3207</t>
  </si>
  <si>
    <t>https://www.gem.wiki/Tamazunchale_Gas_Pipeline</t>
  </si>
  <si>
    <t>Tamazunchale Gas Pipeline</t>
  </si>
  <si>
    <t>Tamazunchale - El Sauz pipeline, Gasoducto Tamazunchale - El Sauz</t>
  </si>
  <si>
    <t>Tamazunchale</t>
  </si>
  <si>
    <t>El Sauz</t>
  </si>
  <si>
    <t>Gasoducto Tamazunchale</t>
  </si>
  <si>
    <t>LINESTRING (-98.75612 21.31021, -98.713658 21.305, -98.7513 21.2638, -98.7615 21.24631, -98.7599 21.23282, -98.7556 21.22082, -98.768 21.18883, -98.7916 21.15134, -98.8048 21.14409, -98.8 21.13509, -98.7925 21.12859, -98.7941 21.10808, -98.8113 21.10158, -98.8102 21.09107, -98.807 21.08007, -98.8252 21.05305, -98.845 21.02253, -98.8617 21.00952, -98.8751 20.96897, -98.8788 20.95595, -98.8729 20.93643, -98.8772 20.9174, -98.896 20.90237, -98.9217 20.89185, -98.9523 20.86831, -98.9521 20.84401, -98.9602 20.83148, -98.9709 20.81795, -98.9666 20.80593, -98.98 20.78889, -99.0025 20.77686, -99.0084 20.76282, -99.0106 20.74226, -99.0304 20.72421, -99.0342 20.70516, -99.0401 20.69262, -99.0728 20.67306, -99.0964 20.64496, -99.1741 20.63844, -99.1902 20.62088, -99.2132 20.59278, -99.2433 20.57571, -99.2717 20.57722, -99.3049 20.58826, -99.3323 20.58274, -99.3591 20.58274, -99.3725 20.58575, -99.3848 20.58073, -99.3918 20.55513, -99.3965 20.54308, -99.4168 20.53405, -99.4426 20.51698, -99.4774 20.50643, -99.5192 20.50292, -99.5573 20.49538, -99.6195 20.48835, -99.6618 20.49488, -99.7042 20.48885, -99.7468 20.48082, -99.7817 20.46022, -99.8364 20.44465, -99.8658 20.44063, -99.8975 20.44365, -99.9355 20.46424, -99.9522 20.46876, -100.001 20.46223, -100.026 20.4768, -100.054 20.47278, -100.120438 20.457354)</t>
  </si>
  <si>
    <t>P3208</t>
  </si>
  <si>
    <t>Phase I Expansion</t>
  </si>
  <si>
    <t>Благовещенск-Хабаровск, Белогорск-Хабаровск</t>
  </si>
  <si>
    <t>LINESTRING (134.700237 48.675655, 134.224439 48.675655, 133.463163 48.644228, 132.678096 48.659944, 132.202299 48.707064, 131.155543 49.144722, 130.489427 49.377605, 129.70436 49.609389, 129.133403 49.840077, 128.134227 50.130709)</t>
  </si>
  <si>
    <t>P3209</t>
  </si>
  <si>
    <t>Sherburne County Expansion</t>
  </si>
  <si>
    <t>Sherburne County</t>
  </si>
  <si>
    <t>Isanti County</t>
  </si>
  <si>
    <t>P3213</t>
  </si>
  <si>
    <t>YPFB Transporte [unknown %]</t>
  </si>
  <si>
    <t>Ichilo</t>
  </si>
  <si>
    <t>P3214</t>
  </si>
  <si>
    <t>https://www.gem.wiki/Moranbah_to_Denison_Trough_North_Gas_Pipeline</t>
  </si>
  <si>
    <t>Moranbah to Denison Trough North Gas Pipeline</t>
  </si>
  <si>
    <t>Blue Energy [100.00%]</t>
  </si>
  <si>
    <t>Moranbah gas field</t>
  </si>
  <si>
    <t>Denison Trough North</t>
  </si>
  <si>
    <t>LINESTRING (148.003325 -21.979008, 148.159614 -23.510658, 148.379345 -23.92569)</t>
  </si>
  <si>
    <t>P3215</t>
  </si>
  <si>
    <t>https://www.gem.wiki/Northern_Goldfields_Interconnect_Gas_Pipeline</t>
  </si>
  <si>
    <t>Northern Goldfields Interconnect Gas Pipeline</t>
  </si>
  <si>
    <t>LINESTRING (115.133373 -28.623594, 115.134404 -28.623559, 115.136296 -28.623471, 115.142561 -28.611056, 115.146855 -28.604396, 115.147141 -28.604066, 115.176847 -28.603899, 115.178308 -28.604069, 115.220796 -28.603937, 115.244604 -28.594782, 115.265019 -28.58802, 115.277247 -28.58212, 115.277427 -28.581898, 115.291767 -28.573563, 115.296923 -28.569469, 115.297472 -28.569315, 115.298398 -28.568743, 115.3159 -28.566174, 115.320299 -28.564394, 115.331731 -28.562833, 115.341077 -28.562754, 115.355431 -28.560456, 115.37326 -28.555959, 115.381613 -28.555516, 115.409154 -28.555462, 115.417921 -28.550042, 115.426178 -28.543138, 115.434237 -28.536986, 115.46363 -28.524758, 115.471924 -28.520799, 115.479172 -28.518431, 115.479176 -28.517588, 115.479294 -28.517241, 115.479894 -28.516542, 115.480509 -28.516037, 115.512493 -28.516271, 115.599768 -28.51141, 115.613784 -28.511923, 115.62933 -28.508612, 115.642116 -28.501709, 115.652991 -28.501684, 115.653078 -28.500875, 115.671326 -28.499661, 115.688812 -28.49593, 115.710695 -28.494571, 115.741343 -28.485617, 115.742307 -28.486068, 115.741997 -28.487243, 115.743341 -28.488424, 115.751534 -28.492039, 115.757757 -28.492005, 115.768663 -28.489044, 115.785524 -28.483691, 115.810138 -28.483709, 115.823794 -28.471814, 115.91325 -28.465266, 115.913498 -28.467694, 115.936237 -28.465916, 116.03659 -28.437794, 116.243606 -28.412464, 116.287983 -28.433776, 116.313697 -28.430045, 116.380481 -28.398579, 116.406959 -28.39695, 116.434492 -28.379349, 116.486278 -28.363817, 116.488657 -28.363547, 116.489172 -28.363295, 116.581216 -28.354125, 116.630116 -28.349729, 116.671045 -28.364647, 116.680061 -28.36395, 116.704739 -28.35052, 116.715252 -28.351453, 116.731722 -28.351365, 116.781344 -28.351036, 116.798427 -28.35098, 116.822255 -28.350941, 116.845476 -28.358226, 117.013378 -28.35793, 117.023019 -28.355864, 117.081904 -28.329219, 117.144272 -28.32922, 117.285493 -28.292928, 117.296466 -28.29186, 117.305867 -28.286693, 117.314732 -28.286236, 117.340701 -28.27406, 117.3759 -28.269833, 117.377323 -28.269426, 117.423365 -28.263171, 117.424594 -28.263196, 117.524067 -28.248752, 117.645662 -28.230762, 117.649933 -28.230117, 117.650429 -28.229854, 117.654469 -28.229251, 117.655671 -28.228999, 117.656635 -28.228654, 117.658824 -28.227581, 117.665426 -28.222031, 117.719283 -28.214212, 117.766666 -28.217311, 117.834802 -28.190907, 117.852843 -28.182741, 117.875393 -28.177331, 117.889246 -28.175851, 117.917831 -28.169648, 117.952749 -28.162085, 117.978208 -28.152507, 118.035646 -28.149646, 118.046269 -28.150614, 118.052548 -28.148559, 118.056576 -28.148658, 118.062048 -28.152554, 118.072039 -28.154555, 118.097433 -28.15272, 118.150171 -28.159541, 118.200453 -28.182628, 118.237902 -28.187198, 118.269062 -28.191898, 118.314041 -28.199491, 118.334618 -28.204066, 118.426649 -28.229626, 118.475882 -28.224447, 118.525251 -28.235091, 118.584036 -28.233069, 118.623824 -28.229325, 118.842784 -28.2389, 118.932484 -28.254209, 118.962668 -28.263426, 119.108785 -28.26402, 119.139894 -28.262329, 119.463924 -28.287964, 119.718224 -28.352044, 119.752699 -28.366308, 119.766947 -28.362215, 119.995773 -28.264359, 120.026194 -28.242518, 120.071204 -28.227676, 120.449793 -28.235732, 120.606934 -28.268848, 120.63233 -28.268882, 120.657897 -28.26386, 120.661581 -28.264701, 120.71322 -28.256074, 120.742526 -28.241495, 120.755989 -28.241027, 120.774996 -28.233712, 120.811182 -28.234335)</t>
  </si>
  <si>
    <t>P3216</t>
  </si>
  <si>
    <t>https://www.gem.wiki/Crux_Gas_Pipeline</t>
  </si>
  <si>
    <t>Crux Gas Pipeline</t>
  </si>
  <si>
    <t>Shell [82.00%]; Seven Group Holdings [15.00%]; Osaka Gas Holdings [3.00%]</t>
  </si>
  <si>
    <t>Crux gas field</t>
  </si>
  <si>
    <t>LINESTRING (123.70268859839985 -13.66435802014764, 122.9344035410818 -16.381257336347787)</t>
  </si>
  <si>
    <t>P3217</t>
  </si>
  <si>
    <t>https://www.gem.wiki/West_Erregulla_Gas_Pipeline</t>
  </si>
  <si>
    <t>West Erregulla Gas Pipeline</t>
  </si>
  <si>
    <t>Strike Energy Ltd [unknown %]</t>
  </si>
  <si>
    <t>Erregulla gas field</t>
  </si>
  <si>
    <t>LINESTRING (114.60768020870098 -28.75789879530042, 115.22126921396553 -29.390542515557986)</t>
  </si>
  <si>
    <t>P3218</t>
  </si>
  <si>
    <t>https://www.gem.wiki/Wodgina_Lateral_Gas_Pipeline</t>
  </si>
  <si>
    <t>Wodgina Lateral Gas Pipeline</t>
  </si>
  <si>
    <t>LINESTRING (118.279898 -20.562235, 118.28825 -20.577026, 118.321211 -20.629634, 118.32442 -20.635831, 118.327253 -20.639398, 118.434491 -20.812362, 118.439866 -20.819759, 118.442241 -20.823942, 118.445265 -20.827161, 118.506538 -20.9111, 118.538708 -20.968715, 118.570561 -21.018313, 118.60683 -21.075515, 118.632787 -21.112517, 118.634157 -21.113763, 118.635305 -21.116068, 118.645886 -21.131132, 118.659322 -21.145759, 118.664607 -21.144991, 118.66639 -21.149512, 118.678203 -21.161994, 118.678512 -21.162925, 118.677968 -21.164647, 118.675872 -21.166226, 118.674874 -21.167976, 118.675063 -21.168753, 118.675344 -21.170214, 118.675389 -21.171075, 118.675437 -21.172246, 118.675992 -21.173507)</t>
  </si>
  <si>
    <t>P1124</t>
  </si>
  <si>
    <t>Line C</t>
  </si>
  <si>
    <t>中亚管线C</t>
  </si>
  <si>
    <t>China National Petroleum Corporation [unknown %]; Qazaqgaz [unknown %]; Turkmengaz [unknown %]; Uztransgaz [unknown %]</t>
  </si>
  <si>
    <t>China National Petroleum Corporation [unknown %]; Government of Uzbekistan [unknown %]; Qazaqgaz [unknown %]; Turkmengaz [unknown %]</t>
  </si>
  <si>
    <t>Газопровод Средняя Азия-Китай</t>
  </si>
  <si>
    <t>P3220</t>
  </si>
  <si>
    <t>MULTILINESTRING ((-77.782912 40.121984, -77.78048 40.008832), (-77.78048 40.008832, -77.733248 39.951104), (-77.733248 39.951104, -77.704858 39.833009), (-77.6767 39.72126, -77.65056 39.59296), (-77.704858 39.833009, -77.693184 39.784448), (-77.693184 39.784448, -77.6767 39.72126), (-77.65056 39.59296, -77.65056 39.35616), (-78.542096 42.846816, -78.597422 42.845094), (-78.532944 42.785931, -78.542096 42.846816), (-75.732969 42.836143, -75.738448 42.842512), (-74.098384 42.684136, -74.095808 42.652256), (-77.5936 41.805696, -77.471945 41.843763), (-77.705344 41.97248, -77.698616 41.975272), (-77.831944 41.915696, -77.818376 41.91592), (-77.846856 41.965208, -77.831944 41.915696), (-77.86112 41.974912, -77.846856 41.965208), (-77.016064 42.960512, -77.180795 42.959055), (-77.180795 42.959055, -77.237473 42.958553), (-77.237473 42.958553, -77.32 42.957824), (-77.841147 41.419712, -77.859829 41.411625), (-77.893877 41.396879, -77.841147 41.419712), (-76.867587 42.210427, -76.8224 42.233856), (-77.886816 42.102528, -77.901696 42.164096), (-77.90604 42.188052, -77.920448 42.267488), (-78.406786 42.733651, -78.468352 42.769024), (-78.078164 42.546048, -78.063616 42.60864), (-78.365463 42.710463, -78.406786 42.733651), (-77.934342 42.816387, -77.842944 42.902912), (-77.980592 42.75727, -77.958144 42.793856), (-78.532944 42.785931, -78.58397 42.799288), (-78.58397 42.799288, -78.627064 42.810636, -78.634269 42.812533), (-75.732969 42.836143, -75.596416 42.933632), (-74.098384 42.684136, -74.117248 42.676352), (-73.729152 42.547776, -73.710592 42.633088), (-77.249152 41.884032, -77.081788 41.926295), (-77.52832 41.599872, -77.484183 41.790819, -77.471945 41.843763), (-77.600896 41.579264, -77.52832 41.599872), (-77.6 41.92512, -77.471945 41.843763), (-77.249152 41.884032, -77.271296 41.995136), (-77.52832 41.599872, -77.5936 41.805696), (-77.471945 41.843763, -77.249152 41.884032), (-78.190336 41.998656, -78.22238 42.030204), (-77.72354 41.507776, -77.600896 41.579264), (-77.705344 41.97248, -77.6 41.92512), (-77.86112 41.974912, -77.705344 41.97248), (-77.841147 41.419712, -77.72354 41.507776), (-79.369936 40.636272, -79.38496 40.621696), (-77.86112 41.974912, -77.86112 41.999616), (-77.851392 41.869824, -77.86112 41.974912), (-78.810112 40.89792, -78.822144 40.809344), (-78.950272 40.899968, -78.812416 40.94528), (-78.434176 41.686656, -78.30084 41.755107), (-78.065152 41.762816, -78.009216 41.859584), (-78.009216 41.859584, -77.851392 41.869824), (-78.30084 41.755107, -78.269572 41.772818, -78.204966 41.762557), (-78.557824 41.627136, -78.455171 41.67655, -78.434176 41.686656), (-78.204966 41.762557, -78.065152 41.762816), (-77.707616 40.315648, -77.71904 40.299008), (-78.926848 41.295744, -78.893184 41.33888), (-78.812416 40.94528, -78.810112 40.89792), (-77.74272 40.208384, -77.782912 40.121984), (-77.71904 40.299008, -77.74272 40.208384), (-78.813568 41.429504, -78.738816 41.48928), (-78.331136 41.258112, -78.30446 41.259249), (-78.738816 41.48928, -78.557824 41.627136), (-78.377088 41.225216, -78.331136 41.258112), (-78.893184 41.33888, -78.813568 41.429504), (-77.859829 41.411625, -77.841147 41.419712), (-78.028928 41.295232, -77.990272 41.356928), (-77.990272 41.356928, -77.893877 41.396879), (-78.752 41.083136, -78.594816 41.111936), (-78.594816 41.111936, -78.377088 41.225216), (-78.805248 40.959744, -78.752 41.083136), (-78.232064 41.262336, -78.147456 41.264256), (-78.147456 41.264256, -78.028928 41.295232), (-78.17152 42.653824, -78.328448 42.688768), (-78.328448 42.688768, -78.354445 42.704005, -78.365463 42.710463), (-78.063616 42.60864, -78.021888 42.688896), (-78.085632 42.51392, -78.078164 42.546048), (-78.063616 42.60864, -78.17152 42.653824), (-78.021888 42.688896, -78.000682 42.724007, -77.980592 42.75727), (-76.591872 42.349184, -76.510976 42.367616), (-76.510976 42.367616, -76.341632 42.445952), (-76.682624 42.281216, -76.591872 42.349184), (-76.341632 42.445952, -76.292608 42.6208), (-76.341632 42.445952, -76.265728 42.464512), (-77.021056 41.941632, -77.036021 41.999996), (-77.271296 41.995136, -77.256576 42.069248), (-77.036021 41.999996, -77.030912 42.07744), (-77.030912 42.07744, -76.964608 42.135168), (-77.256576 42.069248, -77.030912 42.07744), (-74.08 42.845056, -73.948544 42.789504), (-73.948544 42.789504, -73.931264 42.760704), (-73.948544 42.789504, -73.985792 42.744192), (-76.931584 42.966656, -76.961408 42.96256), (-76.725504 42.9728, -76.931584 42.966656), (-76.739072 42.24832, -76.682624 42.281216), (-74.181632 42.8512, -74.08 42.845056), (-73.735424 42.519936, -73.729152 42.547776), (-76.961408 42.96256, -77.016064 42.960512), (-76.223872 42.8576, -76.223872 42.919296), (-76.216576 42.775168, -76.223872 42.8576), (-76.223872 42.919296, -76.345138 42.949246, -76.457088 42.976896), (-75.456256 42.960384, -75.344512 43.01184), (-75.344512 43.01184, -75.26016 43.007616), (-75.26016 43.007616, -75.210624 42.982912), (-75.549568 42.94592, -75.456256 42.960384), (-74.754432 42.89856, -74.64768 42.865664), (-74.64768 42.865664, -74.632618 42.863688, -74.459392 42.84096), (-74.337792 42.834816, -74.181632 42.8512), (-75.746304 42.826624, -75.732969 42.836143), (-75.596416 42.933632, -75.549568 42.94592), (-75.891456 42.746368, -75.746304 42.826624), (-75.596416 42.933632, -75.636992 43.06944), (-77.958144 42.793856, -77.934342 42.816387), (-77.842944 42.902912, -77.8208 42.95232), (-77.842944 42.902912, -77.94214 42.935263), (-78.812416 40.94528, -78.805248 40.959744), (-74.459392 42.84096, -74.337792 42.834816), (-75.037056 42.921216, -74.754432 42.89856), (-75.210624 42.982912, -75.037056 42.921216), (-78.468352 42.769024, -78.532944 42.785931), (-76.263168 42.672256, -76.216576 42.775168), (-76.105344 42.507648, -75.891456 42.746368), (-76.265728 42.464512, -76.105344 42.507648), (-76.918144 42.184576, -76.867587 42.210427), (-76.8224 42.233856, -76.739072 42.24832), (-76.964608 42.135168, -76.918144 42.184576), (-76.67328 42.974976, -76.725504 42.9728), (-76.457088 42.976896, -76.67328 42.974976), (-76.292608 42.6208, -76.263168 42.672256), (-78.147584 41.974912, -78.190336 41.998656), (-77.86112 41.999616, -77.886816 42.102528), (-77.901696 42.164096, -77.90604 42.188052), (-77.969152 42.330048, -77.993536 42.45696), (-77.920448 42.267488, -77.969152 42.330048), (-77.993536 42.45696, -78.085632 42.51392), (-73.931264 42.760704, -73.82464 42.653568), (-73.985792 42.744192, -74.052736 42.702976), (-74.052736 42.702976, -74.098384 42.684136), (-74.052736 42.702976, -73.849472 42.60224), (-77.037222 41.937549, -77.021056 41.941632), (-77.081788 41.926295, -77.037222 41.937549), (-78.30446 41.259249, -78.232064 41.262336), (-77.647098 41.517402, -77.644416 41.519488), (-81.141616 38.581296, -81.118832 38.58808), (-81.180384 38.46208, -81.141616 38.581296), (-81.204096 38.470912, -81.180384 38.46208), (-81.521697 37.555877, -81.537536 37.478912), (-81.558272 37.7856, -81.521697 37.555877), (-81.551872 37.752448, -81.450624 37.762816), (-81.117696 38.637696, -81.192448 38.516224), (-81.450624 37.762816, -81.411584 37.783424), (-81.27168 38.419456, -81.332834 38.393016), (-81.369728 38.254848, -81.472896 38.139648), (-81.332834 38.393016, -81.369728 38.254848), (-81.58144 38.563456, -81.272064 38.450304), (-81.472896 38.139648, -81.476706 38.118772, -81.482395 38.087603, -81.491328 38.038656), (-81.472896 38.139648, -81.650816 38.174464), (-81.472896 38.139648, -81.524224 38.100352), (-81.192448 38.516224, -81.204096 38.470912), (-81.272064 38.450304, -81.204096 38.470912), (-81.204096 38.470912, -81.27168 38.419456), (-81.066496 38.691072, -81.117696 38.637696), (-81.583616 37.884288, -81.565946 37.815481, -81.558272 37.7856), (-81.491328 38.038656, -81.583616 37.884288), (-81.537536 37.478912, -81.68192 37.42528), (-80.546912 39.24048, -80.459072 39.15856), (-80.549792 39.368128, -80.548354 39.304382, -80.546912 39.24048), (-80.459072 39.15856, -80.381824 39.089984), (-80.601856 39.543296, -80.570437 39.437588), (-80.574496 39.16952, -80.620752 39.115216), (-80.570437 39.437588, -80.549792 39.368128), (-80.620752 39.115216, -80.776816 39.123616), (-81.540736 39.092416, -81.506944 39.07392), (-80.098708 39.901314, -80.110832 39.890464), (-80.110832 39.890464, -80.410184 39.722472), (-80.110832 39.890464, -80.107694 39.886266), (-80.459072 39.15856, -80.382816 39.157728), (-81.297664 39.298304, -81.332608 39.2448), (-81.332608 39.2448, -81.400064 39.213824), (-81.483444 39.315933, -81.558691 39.334351), (-81.400064 39.213824, -81.540736 39.092416), (-81.297664 39.298304, -81.410416 39.312211, -81.483127 39.315933), (-81.506944 39.07392, -81.551232 38.999808), (-80.093115 39.912409, -80.098708 39.901314), (-80.586384 39.546912, -80.736306 39.731957), (-80.623104 39.475456, -80.646528 39.450752), (-80.599557 39.445413, -80.59904 39.423392), (-80.52416 39.664768, -80.601856 39.543296), (-80.42688 39.618944, -80.476288 39.70752), (-80.601856 39.543296, -80.584828 39.441445), (-80.601856 39.543296, -80.79232 39.547136), (-80.601856 39.543296, -80.848342 39.740385), (-80.586384 39.546912, -80.599557 39.445413), (-80.52416 39.664768, -80.548992 39.680768), (-80.52416 39.664768, -80.436224 39.579904), (-80.584828 39.441445, -80.577824 39.399552), (-80.58144 39.175808, -80.574496 39.16952), (-80.59904 39.423392, -80.58144 39.175808), (-80.601856 39.543296, -80.623104 39.475456), (-80.577824 39.399552, -80.54304 39.377664), (-80.54304 39.377664, -80.492832 39.353824), (-80.79232 39.547136, -80.978944 39.565696), (-80.646528 39.450752, -80.681856 39.411584), (-80.794752 39.444224, -80.993024 39.580032), (-80.794752 39.444224, -80.820352 39.376256), (-80.820352 39.376256, -80.892672 39.347456), (-80.646528 39.450752, -80.794752 39.444224), (-80.145024 39.390592, -80.20608 39.353472), (-80.892672 39.347456, -81.151744 39.260928), (-81.158784 39.2096, -81.226368 39.244544), (-80.84672 39.170816, -80.967299 39.206808, -81.211648 39.279744), (-81.151744 39.260928, -81.158784 39.2096), (-80.84672 39.170816, -80.875008 39.06176), (-79.966592 39.4688, -79.891456 39.464704), (-81.211648 39.279744, -81.242749 39.286455, -81.297664 39.298304), (-81.242749 39.286455, -81.242752 39.271296), (-80.222592 39.47904, -80.065152 39.448192), (-80.250752 39.699328, -80.347008 39.670528), (-80.140416 39.643776, -80.173184 39.623168), (-80.271872 39.608704, -80.316544 39.672576), (-80.015872 39.493504, -79.964288 39.614976), (-79.964288 39.614976, -79.946336 39.6432), (-79.946336 39.6432, -79.954816 39.709568), (-80.140416 39.643776, -80.250752 39.699328), (-79.940446 39.465807, -79.868032 39.59232), (-80.848342 39.740385, -80.925982 39.753721, -80.958067 39.767505), (-80.82253 39.811484, -80.837038 39.825095, -80.886348 39.990796), (-80.736892 39.834462, -80.751367 39.841738, -80.794377 39.86417, -80.822656 39.878784), (-79.946336 39.6432, -80.140416 39.643776), (-80.436224 39.579904, -80.271872 39.532544), (-80.173184 39.623168, -80.283648 39.540864), (-80.271872 39.532544, -80.222592 39.47904), (-80.027648 39.470848, -79.966592 39.4688), (-80.027648 39.470848, -80.015872 39.493504), (-80.229504 39.571712, -80.271872 39.608704), (-80.271872 39.532544, -80.42688 39.618944), (-80.271872 39.532544, -80.351744 39.448192), (-80.271872 39.532544, -80.027648 39.470848), (-81.551232 38.999808, -81.590784 38.983296), (-80.20608 39.353472, -80.262528 39.341184), (-80.351744 39.448192, -80.356202 39.436815, -80.360588 39.42562, -80.40576 39.310336), (-80.262528 39.341184, -80.189696 39.199104), (-80.492832 39.353824, -80.40576 39.310336), (-80.382816 39.157728, -80.368416 39.142784), (-81.042865 39.030588, -80.893441 38.996862), (-80.875008 39.06176, -80.893441 38.996862, -80.942848 38.822912), (-80.967299 39.206808, -80.97937 39.178659, -80.994165 39.144156, -81.01305 39.100116, -81.03195 39.056042, -81.042865 39.030588), (-80.942848 38.822912, -81.012864 38.765184), (-81.042865 39.030588, -81.058688 39.002423, -81.082554 38.959941), (-80.40576 39.310336, -80.459072 39.15856), (-80.681856 39.411584, -80.84672 39.170816), (-81.012864 38.765184, -81.066496 38.691072), (-80.19904 39.032448, -80.12864 39.034496), (-80.109824 39.104512, -79.963652 39.072845), (-80.189696 39.199104, -80.109824 39.104512), (-79.933696 39.079808, -80.189696 39.199104), (-80.12864 39.034496, -79.963652 39.072845, -79.933696 39.079808), (-79.960192 40.13696, -80.050048 39.996928), (-79.881472 40.171904, -79.960192 40.13696), (-80.410184 39.722472, -80.52416 39.664768), (-80.050048 39.996928, -80.06194 39.973588), (-81.346211 39.937269, -81.345801 39.92047), (-81.339648 40.04672, -81.346211 39.937269), (-81.413504 40.215552, -81.339648 40.04672), (-81.693056 38.861952, -81.58144 38.563456), (-80.553984 39.158944, -80.420416 39.039488), (-80.574496 39.16952, -80.553984 39.158944), (-80.736306 39.731957, -80.73245 39.8258, -80.736892 39.834462), (-80.958067 39.767505, -80.987054 39.798161), (-80.06194 39.973588, -80.093115 39.912409), (-81.813269 38.180962, -81.855616 38.182656), (-81.521697 37.555877, -81.80288 37.62496), (-81.784684 37.278198, -81.878144 37.242112), (-81.68192 37.42528, -81.702528 37.355392), (-81.80288 37.62496, -81.903232 37.657984), (-81.89248 37.805952, -81.984384 37.68256), (-81.903232 37.657984, -82.00832 37.688832), (-81.88096 37.945984, -81.89248 37.805952), (-81.855616 38.182656, -81.993728 38.192896), (-81.756672 38.050944, -81.862528 37.995392), (-81.862528 37.995392, -81.88096 37.945984), (-81.524224 38.100352, -81.756672 38.050944), (-81.650816 38.174464, -81.813269 38.180962), (-81.756672 38.050944, -81.786624 38.123008), (-81.702528 37.355392, -81.784684 37.278198), (-81.590784 38.983296, -81.693056 38.861952), (-84.150314 39.526812, -83.981312 39.52), (-82.903424 39.754624, -82.853888 39.797888), (-83.250944 39.682688, -83.090176 39.728), (-83.090176 39.728, -82.903424 39.754624), (-81.960192 40.094336, -81.844352 40.127232), (-81.844352 40.127232, -81.815936 40.153984), (-82.196608 40.075776, -81.960192 40.094336), (-82.544128 39.925504, -82.196608 40.075776), (-83.773312 39.561216, -83.659904 39.58592), (-82.853888 39.797888, -82.825344 39.818496), (-83.659904 39.58592, -83.446321 39.636458, -83.250944 39.682688), (-82.825344 39.818496, -82.544128 39.925504), (-83.981312 39.52, -83.773312 39.561216), (-84.279808 39.532032, -84.150314 39.526812), (-79.607488 40.370784, -79.606912 40.37184), (-80.543202 40.951784, -80.571136 40.964608), (-81.420392 40.248194, -81.413504 40.215552), (-79.607488 40.370784, -79.602246 40.360251), (-79.448215 40.636626, -79.369936 40.636272), (-79.654656 40.431488, -79.546624 40.519808), (-79.546624 40.519808, -79.513216 40.544384), (-79.654656 40.431488, -79.723648 40.448), (-79.654656 40.431488, -79.828864 40.221312), (-79.513216 40.544384, -79.448215 40.636626), (-79.107456 40.844416, -78.950272 40.899968), (-79.213824 40.815616, -79.107456 40.844416), (-80.519728 40.941008, -80.543202 40.951784), (-80.352256 40.853376, -80.402176 40.894592), (-79.21408 41.198976, -79.092533 41.239925, -78.926848 41.295744), (-80.523072 41.898784, -80.491808 41.896352), (-80.519264 41.860352, -80.49088 41.860352), (-80.49088 41.860352, -80.492768 41.852352), (-80.505088 41.905952, -80.507936 41.85312), (-80.491808 41.896352, -80.48992 41.868352), (-80.215456 41.612128, -80.264672 41.654592), (-80.264672 41.654592, -80.300672 41.661792), (-80.003669 41.506739, -80.215456 41.612128), (-79.320064 40.997248, -79.306132 41.030506, -79.2568 41.148272), (-79.2568 41.148272, -79.249465 41.156977), (-80.51264 40.656, -80.315008 40.542848), (-80.519808 40.711552, -80.362967 40.810213), (-79.448215 40.636626, -79.378017 40.736246), (-79.339136 40.791424, -79.213824 40.815616), (-79.339136 40.791424, -79.320064 40.997248), (-79.842688 40.618752, -80.049792 40.674432), (-79.828864 40.221312, -79.881472 40.171904), (-79.723648 40.448, -79.766528 40.489088), (-80.336576 40.826816, -80.352256 40.853376), (-79.766528 40.489088, -79.842688 40.618752), (-80.049792 40.674432, -80.157056 40.742272), (-80.157056 40.742272, -80.317876 40.818009), (-81.622144 40.258944, -81.433088 40.308352), (-81.433088 40.308352, -81.420392 40.248194), (-80.402176 40.894592, -80.519728 40.941008), (-80.715392 40.900992, -80.77248 40.97088), (-80.92736 40.515968, -80.786816 40.594176), (-81.265792 40.376064, -81.129984 40.429568), (-81.344384 40.334848, -81.265792 40.376064), (-81.433088 40.308352, -81.344384 40.334848), (-81.77344 40.232192, -81.622144 40.258944), (-81.815936 40.153984, -81.77344 40.232192), (-80.786816 40.594176, -80.560384 40.690944), (-80.560384 40.690944, -80.519808 40.711552), (-80.560384 40.6848, -80.51264 40.656), (-80.560384 40.690944, -80.685253 40.860151, -80.715392 40.900992), (-81.129984 40.429568, -80.92736 40.515968), (-80.300672 41.661792, -80.520011 41.760545), (-80.540096 41.899552, -80.523072 41.898784), (-80.539136 41.860352, -80.519264 41.860352), (-79.378017 40.736246, -79.339136 40.791424), (-79.654656 40.431488, -79.606912 40.37184), (-79.249465 41.156977, -79.21408 41.198976), (-80.317876 40.818009, -80.336576 40.826816), (-80.362967 40.810213, -80.336576 40.826816), (-79.59059 40.336832, -79.586768 40.329152), (-80.262528 39.341184, -80.241152 39.371392), (-77.256576 42.069248, -77.292752 42.069376), (-77.855581 41.410164, -77.859829 41.411625), (-77.698616 41.975272, -77.688952 41.980688), (-77.818376 41.91592, -77.8111 41.920849), (-78.1184 41.974912, -78.147584 41.974912), (-77.86112 41.974912, -78.1184 41.974912), (-77.471945 41.843763, -77.440512 41.841184), (-77.081788 41.926295, -77.082464 41.938688), (-79.602246 40.360251, -79.59059 40.336832), (-79.602246 40.360251, -79.609488 40.356976), (-77.704858 39.833009, -77.648768 39.831424), (-77.648768 39.831424, -77.653952 39.848192), (-79.661024 39.837472, -79.562754 39.874828), (-77.841147 41.419712, -77.826116 41.393123), (-81.441852 39.313968, -81.459632 39.387642), (-76.345138 42.949246, -76.3543 43.185351, -76.358775 43.300678), (-77.65056 39.35616, -77.432076 39.208483, -77.415499 39.169914, -77.411354 39.147415, -77.461087 39.115273, -77.56712 39.097917, -77.543974 39.073489), (-77.543974 39.073489, -77.514964 39.041348), (-80.145024 39.390592, -80.065152 39.448192), (-80.065152 39.448192, -80.027648 39.470848), (-80.356202 39.436815, -80.288627 39.398389, -80.241152 39.371392), (-77.559831 38.673561, -77.571707 38.613953), (-77.841147 41.419712, -77.802649 41.395634), (-77.559831 38.673561, -77.548898 38.763703, -77.521025 38.991761, -77.514964 39.041348), (-81.191206 39.036035, -81.058688 39.002423), (-80.736306 39.731957, -80.822413 39.811484), (-77.280871 38.53663, -77.27891 38.54413, -77.28601 38.55263, -77.292037 38.565685, -77.29678 38.57917, -77.32609 38.60143, -77.31387 38.61577, -77.29244 38.66137, -77.29715 38.67808, -77.291687 38.711301))</t>
  </si>
  <si>
    <t>P3221</t>
  </si>
  <si>
    <t>https://www.gem.wiki/Carolina_Gas_Transmission</t>
  </si>
  <si>
    <t>Carolina Gas Transmission</t>
  </si>
  <si>
    <t>Carolina Gas Transmission LLC [100.00%]</t>
  </si>
  <si>
    <t>MULTILINESTRING ((-81.543745 33.606984, -81.543745 33.606984, -81.56653 33.596147, -81.58118 33.592819, -81.595829 33.588382, -81.605152 33.586163, -81.615806 33.585053, -81.627792 33.585053, -81.639778 33.585053, -81.651764 33.59171, -81.666414 33.599475, -81.674405 33.60724, -81.679732 33.61944, -81.679732 33.629421, -81.674405 33.637183, -81.670409 33.642726, -81.661087 33.64827, -81.649101 33.653813, -81.638446 33.661573, -81.631788 33.67044, -81.625129 33.682631, -81.617138 33.691496, -81.607815 33.700361, -81.602263 33.705071, -81.597979 33.706853, -81.594765 33.70908, -81.592623 33.712199, -81.591016 33.718436, -81.591016 33.726454, -81.591275 33.731873, -81.591699 33.737691), (-80.248532 34.445265, -80.261238 34.449095, -80.272279 34.454558, -80.284975 34.463661, -80.297671 34.471853, -80.3054 34.477768, -80.314784 34.483684, -80.325824 34.487324, -80.342385 34.494604, -80.357289 34.501428, -80.371623 34.510374, -80.382286 34.520548, -80.394633 34.526096, -80.406419 34.531644, -80.417082 34.537192, -80.428867 34.543664, -80.442336 34.551985, -80.454683 34.558456, -80.467591 34.566313, -80.478816 34.571858, -80.491162 34.576941, -80.502387 34.582948, -80.51305 34.586182, -80.521468 34.588493, -80.532131 34.592189, -80.541111 34.596347, -80.548406 34.598194, -80.55907 34.600042, -80.569171 34.603738, -80.579273 34.607433, -80.589375 34.609281, -80.597794 34.612976, -80.606773 34.617595, -80.615752 34.620828, -80.625854 34.624984, -80.634273 34.632373, -80.646619 34.637914, -80.659527 34.64484, -80.670752 34.652227, -80.684221 34.662383, -80.695445 34.671615, -80.71621 34.685922, -80.729679 34.696074, -80.740904 34.702534, -80.747638 34.705302, -80.756618 34.707147, -80.770087 34.709454, -80.777944 34.710838, -80.784679 34.713145, -80.791975 34.717758, -80.814423 34.737592, -80.829015 34.749582, -80.841923 34.763875, -80.859321 34.776784, -80.876157 34.791072, -80.899728 34.811349, -80.91432 34.822407, -80.926667 34.834846, -80.945187 34.848664, -80.96034 34.859717, -80.983911 34.881818, -80.992329 34.891946, -80.999064 34.901152, -81.009166 34.913579, -81.019829 34.929224, -81.026563 34.939346, -81.031053 34.944407, -81.037788 34.948087, -81.047328 34.950847, -81.060797 34.956367, -81.073705 34.960046, -81.081562 34.964646, -81.092226 34.970165, -81.101766 34.976603, -81.110746 34.9835, -81.116919 34.987639, -81.121409 34.989018, -81.128143 34.989938, -81.138245 34.992236, -81.147786 34.996374, -81.161255 35.001891, -81.170796 35.006028, -81.179214 35.011085, -81.184826 35.014302, -81.189877 35.01752, -81.197173 35.022116, -81.205591 35.024414, -81.216255 35.026712, -81.222428 35.029469, -81.230285 35.032226, -81.236458 35.034064, -81.243754 35.034983, -81.254417 35.035902, -81.263397 35.037281, -81.26957 35.039579, -81.276866 35.044173, -81.283039 35.04739, -81.29258 35.049227, -81.297631 35.051065, -81.302121 35.053362, -81.3111 35.056578, -81.320641 35.061172, -81.328498 35.065306, -81.337477 35.073115, -81.340845 35.078627, -81.344212 35.084138, -81.346457 35.091026, -81.346457 35.097455, -81.344773 35.105261, -81.341967 35.111688), (-81.3327 34.613659, -81.349421 34.611594, -81.357782 34.612971, -81.369487 34.616411, -81.382028 34.619851, -81.397078 34.623979, -81.412963 34.628107, -81.424668 34.630859, -81.433865 34.634987, -81.443062 34.639114, -81.458111 34.642553, -81.475669 34.645305, -81.485702 34.648744, -81.493227 34.652183, -81.509112 34.653558, -81.522489 34.654934, -81.532522 34.656997, -81.538375 34.660436, -81.547572 34.663874, -81.560113 34.668, -81.574326 34.673501, -81.587703 34.680377, -81.603589 34.686564, -81.621983 34.692752, -81.636196 34.698938, -81.652917 34.705124, -81.66295 34.709936, -81.672983 34.714747, -81.681344 34.717496, -81.693885 34.71887, -81.708099 34.720244, -81.717295 34.72368, -81.725656 34.727116, -81.737361 34.730552, -81.745722 34.736049, -81.752411 34.740171, -81.765788 34.743606, -81.780001 34.747728, -81.79087 34.750476, -81.804247 34.753911, -81.817625 34.758719, -81.830166 34.76284, -81.841035 34.766274, -81.847723 34.770395, -81.85692 34.774516, -81.866953 34.77795, -81.87615 34.780697, -81.887019 34.784817, -81.897888 34.789623, -81.905413 34.794429, -81.917954 34.797176, -81.932167 34.797176, -81.950561 34.795803, -81.959758 34.79237, -81.971463 34.786877, -81.982332 34.781383, -81.988184 34.775889, -81.999053 34.773142, -82.007414 34.769709, -82.015775 34.764214, -82.015775 34.764214), (-81.48781 33.60771, -81.509176 33.608105, -81.528032 33.607358, -81.536113 33.606984, -81.543745 33.606984, -81.531175 33.6182, -81.521747 33.626799, -81.514115 33.636144, -81.506034 33.642124, -81.495259 33.648851, -81.482688 33.654831, -81.471465 33.661557, -81.459343 33.670151, -81.447671 33.680986, -81.433304 33.691072, -81.421183 33.700036, -81.406367 33.713108, -81.394246 33.720577, -81.378084 33.732525, -81.369554 33.738499, -81.363717 33.744845, -81.354738 33.750818, -81.343964 33.758283, -81.333638 33.766494, -81.320618 33.772092, -81.314333 33.775824, -81.310742 33.782541, -81.308048 33.790004, -81.308497 33.801569, -81.308946 33.838494, -81.309844 33.844088, -81.308048 33.847816, -81.304007 33.852291, -81.296375 33.859747, -81.286947 33.871303, -81.277071 33.882485, -81.264949 33.894038, -81.248338 33.907453, -81.23038 33.927198, -81.215116 33.943215, -81.19626 33.958856, -81.191771 33.966676, -81.18773 33.974122, -81.18369 33.977101, -81.175608 33.977845, -81.167976 33.980451, -81.166181 33.983429, -81.160793 33.989758, -81.155855 33.99683, -81.154059 34.000924, -81.151365 34.002785, -81.145978 34.00539, -81.134305 34.010228, -81.12802 34.012833, -81.125326 34.015066, -81.123082 34.020276, -81.122184 34.027345, -81.122633 34.040739, -81.123082 34.055618, -81.121735 34.067148, -81.111409 34.077189, -81.10243 34.081279, -81.088513 34.087972, -81.079534 34.095408, -81.06831 34.10433, -81.053046 34.110649, -81.045863 34.112879, -81.032843 34.11957, -81.017579 34.128861, -81.009049 34.131462, -80.999172 34.13555, -80.990193 34.141495, -80.98301 34.149298, -80.973582 34.158586, -80.968644 34.162672, -80.96191 34.16453, -80.954277 34.165644, -80.943503 34.170102, -80.935422 34.173073, -80.919709 34.17493, -80.909383 34.176045, -80.900404 34.178273, -80.893221 34.180873, -80.883793 34.184587, -80.865386 34.186444, -80.840694 34.186444, -80.815553 34.186815, -80.780086 34.187186, -80.739681 34.187186, -80.725314 34.187186, -80.715438 34.187186, -80.706459 34.187558, -80.701969 34.189043, -80.693888 34.193128, -80.687603 34.197956, -80.6674 34.209466, -80.652585 34.216891, -80.645851 34.220232, -80.631035 34.227656, -80.620261 34.232853, -80.608588 34.242503, -80.597813 34.249554, -80.59063 34.25178, -80.585243 34.252523, -80.576713 34.253636, -80.571774 34.255491, -80.566836 34.258831, -80.564142 34.260686, -80.560102 34.261799, -80.553368 34.26217, -80.531369 34.262541, -80.516105 34.261799, -80.487821 34.262912, -80.479291 34.264396, -80.464925 34.268849, -80.452354 34.274043, -80.447865 34.274785, -80.438886 34.27664, -80.429458 34.279236, -80.419581 34.281091, -80.4115 34.284801, -80.404766 34.287768, -80.399828 34.291106, -80.393542 34.293703, -80.38187 34.294445, -80.372442 34.295186, -80.363912 34.298895, -80.357178 34.3052, -80.349546 34.310763, -80.343709 34.317437, -80.332037 34.329673, -80.32216 34.338941, -80.313181 34.350061, -80.304651 34.358586, -80.297019 34.368962, -80.293876 34.377855, -80.287142 34.385266, -80.280408 34.390823, -80.266041 34.40527, -80.261103 34.412308, -80.254818 34.417863, -80.250328 34.4249, -80.248532 34.431195, -80.248532 34.445265, -80.225636 34.445635, -80.211073 34.445643, -79.968389 34.445635, -79.949534 34.451188, -79.936514 34.459703, -79.919454 34.468216, -79.907781 34.472287, -79.893415 34.480059, -79.879947 34.48635, -79.865131 34.490051, -79.856153 34.497451, -79.844031 34.504851, -79.83146 34.51151, -79.81889 34.515209, -79.809013 34.520388, -79.79734 34.524827, -79.786117 34.532224, -79.770853 34.538511, -79.744814 34.548126, -79.738079 34.552193, -79.731345 34.555891, -79.719673 34.562916, -79.715632 34.565873, -79.708 34.568091, -79.699021 34.568831, -79.701266 34.579921, -79.701715 34.583986, -79.699919 34.587313, -79.698572 34.593596, -79.696327 34.602465, -79.696327 34.610964, -79.699021 34.619462, -79.705306 34.624265, -79.708 34.631284, -79.709796 34.637563, -79.712489 34.643104, -79.716979 34.647905, -79.723713 34.654553, -79.728652 34.6612, -79.731345 34.670062, -79.734488 34.676708, -79.739426 34.683723, -79.747956 34.689998, -79.757833 34.696643, -79.766363 34.700334, -79.772199 34.706608), (-79.812407 34.166181, -79.81693 34.16203, -79.821969 34.158788, -79.830367 34.154155, -79.836525 34.152301), (-81.134646 33.639966, -81.133407 33.65782, -81.132959 33.66492, -81.128918 33.670898, -81.123531 33.676502, -81.111858 33.685842, -81.101083 33.693313, -81.091206 33.704145, -81.08133 33.714228, -81.070106 33.725804, -81.063372 33.737005, -81.058433 33.746712, -81.049454 33.756417, -81.044067 33.768734, -81.036884 33.778436, -81.031047 33.790004, -81.022517 33.806046, -81.014885 33.816863, -81.007702 33.827307, -81.004111 33.837003, -80.997825 33.848189, -80.991091 33.864221, -80.985255 33.872794, -80.981663 33.882113, -80.977623 33.891057, -80.972235 33.901491, -80.96595 33.912669, -80.956971 33.92012, -80.945747 33.926081, -80.937666 33.932786), (-79.800961 33.078279, -79.790703 33.067068, -79.780837 33.056043, -79.774259 33.048233, -79.764942 33.039503, -79.760557 33.033071), (-79.729561 34.270459, -79.736108 34.270043, -79.742152 34.266713, -79.747188 34.262967, -79.752728 34.258805, -79.75726 34.253393, -79.761793 34.248398, -79.767333 34.242569, -79.770858 34.237573, -79.77388 34.230495, -79.780931 34.226331), (-79.396169 33.35441, -79.401547 33.365583, -79.408672 33.376111, -79.419634 33.390299, -79.425664 33.404027, -79.436626 33.419126, -79.444847 33.435136, -79.453617 33.442454, -79.45855 33.445198, -79.460742 33.451601, -79.46129 33.462119, -79.462935 33.474464, -79.46732 33.508746), (-80.750666 32.799533, -80.770851 32.818983, -80.787643 32.829063, -80.804436 32.841156, -80.817704 32.847281, -80.831287 32.85827, -80.84487 32.869679, -80.854932 32.879397, -80.878577 32.892493, -80.901215 32.907277, -80.918823 32.921214, -80.93794 32.931349, -80.958064 32.94106, -80.971647 32.951192, -80.994286 32.964278, -81.009881 32.972297, -81.021955 32.97905, -81.038054 32.996351, -81.06522 33.015758, -81.093896 33.038535, -81.12056 33.059619, -81.14018 33.075218, -81.151751 33.087864, -81.164831 33.101773, -81.177408 33.111044, -81.186966 33.119471, -81.196022 33.12537, -81.208599 33.137166, -81.22017 33.152751, -81.223692 33.166228, -81.229225 33.173387, -81.238281 33.178861, -81.252367 33.190229, -81.261423 33.198649, -81.265447 33.205805, -81.266957 33.215486, -81.266957 33.272287, -81.266957 33.286166, -81.267963 33.292895, -81.269472 33.299623, -81.272491 33.307612, -81.280037 33.313918, -81.286577 33.319383, -81.293117 33.323167, -81.298148 33.32737, -81.299154 33.332414, -81.30016 33.366874, -81.302676 33.374437, -81.307203 33.383679, -81.309719 33.39418, -81.312234 33.4072, -81.318774 33.415179, -81.323302 33.426096, -81.329842 33.435753, -81.33437 33.449606, -81.341413 33.458001, -81.350972 33.469752, -81.36053 33.478564, -81.372101 33.490732, -81.389206 33.508771, -81.403795 33.522193, -81.416372 33.536033, -81.429452 33.548612, -81.441526 33.560351, -81.456619 33.572508, -81.467184 33.58592, -81.476742 33.594301, -81.484288 33.601425, -81.487307 33.605196, -81.48781 33.60771, -81.486301 33.6119, -81.478755 33.617346, -81.462656 33.617765, -81.443539 33.619022, -81.431968 33.622373, -81.423415 33.625725, -81.417378 33.628238, -81.406311 33.629076, -81.391218 33.629914, -81.384678 33.632846, -81.38015 33.636616, -81.372604 33.639547, -81.36053 33.639966, -81.333364 33.639966, -81.24784 33.639547, -81.204071 33.639129, -81.161812 33.639547, -81.134646 33.639966, -81.117038 33.621117, -81.103958 33.612319, -81.092387 33.598911, -81.074779 33.589272, -81.061699 33.582986, -81.0456 33.573765, -81.03252 33.562866, -81.020949 33.556997, -81.00485 33.553224, -80.988752 33.547773, -80.973156 33.541903, -80.958567 33.53771, -80.943977 33.530581, -80.93291 33.525549, -80.925866 33.520096, -80.908762 33.518419, -80.886626 33.518838, -80.87254 33.519258, -80.868012 33.519258, -80.862478 33.51716, -80.85141 33.512127, -80.837324 33.508771, -80.828771 33.505835, -80.819213 33.502479, -80.808648 33.499962, -80.796574 33.497865, -80.7845 33.496186, -80.772929 33.49325, -80.759849 33.491152, -80.752303 33.489474, -80.742744 33.486537, -80.738217 33.484019, -80.730167 33.479403, -80.719602 33.474788, -80.707025 33.467654, -80.687405 33.457161, -80.668791 33.446667, -80.660239 33.44079, -80.648165 33.435333, -80.632066 33.426516, -80.604396 33.415179, -80.591316 33.40888, -80.577733 33.40132, -80.560628 33.39124, -80.54302 33.380738, -80.517866 33.364353, -80.512332 33.360992, -80.503277 33.355529, -80.493215 33.347965, -80.481644 33.34082, -80.468061 33.334516, -80.453975 33.327791, -80.440391 33.321906, -80.432022 33.312786), (-79.510064 34.229037, -79.509916 34.217488, -79.509916 34.209759, -79.507367 34.204137, -79.503968 34.19711, -79.49972 34.187973, -79.497171 34.180944, -79.493772 34.172508, -79.489523 34.164775, -79.488674 34.157744, -79.487824 34.151416, -79.487824 34.145087, -79.491223 34.141571, -79.495471 34.140165, -79.509066 34.139461, -79.533707 34.138055, -79.547302 34.139461, -79.55495 34.141571, -79.562597 34.14579, -79.571944 34.15001, -79.58214 34.151416, -79.599134 34.152822, -79.63822 34.152119, -79.6926 34.152119, -79.741882 34.152822, -79.77587 34.151416, -79.786066 34.152119, -79.794563 34.155635, -79.80391 34.159854, -79.812407 34.166181, -79.817505 34.17532, -79.821753 34.183053, -79.83195 34.185864, -79.842996 34.18727, -79.854042 34.189379, -79.864238 34.192893, -79.873585 34.194298, -79.888029 34.196407, -79.895677 34.19711, -79.899925 34.199218, -79.905023 34.203435, -79.910971 34.207651, -79.920318 34.218191, -79.927115 34.226622, -79.933913 34.235052, -79.939011 34.242779, -79.945808 34.249802, -79.956005 34.258932, -79.967051 34.268764, -79.976397 34.277892, -79.989992 34.289125, -80.001888 34.30176, -80.012934 34.311586, -80.022281 34.32071, -80.030778 34.326324, -80.038425 34.329832, -80.046072 34.33334, -80.062216 34.343864, -80.078361 34.352984, -80.086008 34.3607, -80.096204 34.368416, -80.105551 34.374026, -80.113198 34.377533, -80.120845 34.383844, -80.126793 34.388752, -80.137839 34.395764, -80.148885 34.402775, -80.16248 34.406981, -80.174376 34.413991, -80.18967 34.422403, -80.195999 34.425207, -80.200677 34.427637, -80.205182 34.430067, -80.207608 34.432639, -80.209514 34.436783, -80.21038 34.440927, -80.211073 34.445643), (-80.567991 33.054793, -80.566889 33.040584, -80.576691 33.01867), (-79.724888 34.28581, -79.729561 34.280863, -79.730065 34.275453, -79.729561 34.270459, -79.727043 34.267129, -79.724021 34.264216, -79.717978 34.259637, -79.708409 34.255891, -79.696322 34.255058, -79.688264 34.258388, -79.678421 34.264664, -79.678421 34.264664), (-81.932167 34.797176, -81.929659 34.806101, -81.928823 34.81777), (-79.307945 33.395148, -79.312205 33.40723, -79.312754 33.420956, -79.312205 33.432392), (-81.123082 34.055618, -81.140361 34.054937, -81.151052 34.052893, -81.169966 34.044716, -81.187236 34.035176, -81.202039 34.025635, -81.220131 34.014729, -81.230822 34.003821, -81.249736 33.992231, -81.267828 33.977911, -81.282631 33.964271, -81.302368 33.946536, -81.322927 33.928114, -81.339375 33.912418, -81.357467 33.898085, -81.378849 33.879653, -81.401875 33.859168, -81.416678 33.848924, -81.440526 33.833214, -81.45204 33.824333, -81.466842 33.813402, -81.484112 33.803835, -81.498092 33.795635, -81.512073 33.784016, -81.523586 33.774446, -81.535099 33.764876, -81.544145 33.75462, -81.554014 33.748466, -81.566349 33.742312, -81.582797 33.738209, -81.591699 33.737691, -81.595955 33.737525, -81.603356 33.741628, -81.605823 33.751201, -81.609935 33.760774, -81.613224 33.773763, -81.615691 33.780598, -81.618981 33.787433, -81.628027 33.799735, -81.637073 33.815451, -81.642007 33.826383, -81.646942 33.840728, -81.651053 33.850973, -81.655988 33.859851, -81.659277 33.870094, -81.660099 33.882384, -81.663389 33.891259, -81.671613 33.903546, -81.678192 33.913101, -81.690527 33.931526, -81.703685 33.951993, -81.715198 33.966999, -81.718488 33.976547, -81.720955 33.994276, -81.725889 34.004503, -81.735758 34.020863, -81.743981 34.034494, -81.747271 34.045398, -81.749738 34.058344, -81.75385 34.067881, -81.761251 34.080143, -81.772764 34.094445, -81.780166 34.108064, -81.785922 34.121001, -81.791679 34.132574, -81.801547 34.148909, -81.810593 34.164561, -81.817172 34.177489, -81.817995 34.184292, -81.81635 34.191094, -81.808949 34.197897, -81.798258 34.206739, -81.770804 34.231582, -81.744886 34.259227, -81.736525 34.26821, -81.730673 34.277191, -81.723148 34.285481, -81.710607 34.297224, -81.695557 34.312418, -81.691377 34.319324, -81.685524 34.325538, -81.677164 34.329681, -81.65877 34.344179, -81.641212 34.362125, -81.628671 34.377998, -81.616966 34.391108, -81.593556 34.408354, -81.572654 34.428356, -81.556769 34.444905, -81.540047 34.458004, -81.527506 34.468344, -81.520817 34.473169, -81.51162 34.479372, -81.496571 34.493155, -81.481522 34.502802, -81.467308 34.511758, -81.449751 34.525536, -81.428013 34.535179, -81.412963 34.544132, -81.404602 34.552396, -81.392061 34.562724, -81.373668 34.570297, -81.361963 34.579247, -81.344405 34.590948, -81.334372 34.601272, -81.3327 34.613659, -81.311798 34.615035, -81.304273 34.616411, -81.296749 34.617787, -81.286716 34.620539, -81.271666 34.623291, -81.249928 34.626043, -81.22819 34.628107, -81.217321 34.630171, -81.206452 34.633611, -81.190567 34.639802, -81.172173 34.643929, -81.157124 34.649432, -81.139566 34.657685, -81.126189 34.664562, -81.106959 34.674189, -81.071008 34.690689, -81.050942 34.698938, -81.032548 34.708561, -81.020007 34.715434, -80.999941 34.724368, -80.984892 34.731926, -80.969006 34.741545, -80.955629 34.749102, -80.943088 34.753911, -80.92553 34.759406, -80.909645 34.765588, -80.89794 34.774516, -80.883726 34.783443, -80.876157 34.791072), (-79.699021 34.568831, -79.68987 34.559674, -79.683809 34.552464, -79.677074 34.548581, -79.667646 34.543035, -79.653504 34.536378, -79.641383 34.53083, -79.631954 34.522508, -79.623873 34.516404, -79.615119 34.511965, -79.604344 34.509191, -79.594916 34.506971, -79.586835 34.502531, -79.583467 34.499201, -79.575386 34.492541, -79.564611 34.48588, -79.547776 34.477554, -79.534307 34.470892, -79.522185 34.464229, -79.504003 34.452013, -79.494575 34.447015, -79.484473 34.438685, -79.475719 34.435352, -79.466291 34.429242, -79.448781 34.42091, -79.435313 34.414799, -79.425211 34.409243, -79.413763 34.403132, -79.406355 34.400909, -79.400968 34.399798, -79.39356 34.397575, -79.38952 34.393685, -79.388173 34.387572, -79.387499 34.380347, -79.388846 34.374234, -79.38952 34.366452, -79.39356 34.358669, -79.398948 34.353665, -79.402988 34.348106, -79.404335 34.340877, -79.406355 34.33476, -79.409049 34.328087, -79.412416 34.323082, -79.415783 34.315295, -79.422518 34.306395, -79.426558 34.301388, -79.433966 34.294712, -79.437333 34.289705, -79.442721 34.283028, -79.445414 34.277464, -79.452149 34.271342, -79.456189 34.264664, -79.456863 34.257428, -79.457536 34.248522, -79.458883 34.242956, -79.461577 34.237945, -79.466291 34.234605, -79.473698 34.232378, -79.482453 34.230151, -79.495922 34.229594, -79.510064 34.229037, -79.526899 34.229594, -79.531613 34.231264, -79.538348 34.237388, -79.541715 34.241842, -79.545082 34.246852, -79.549796 34.249636, -79.555857 34.251306, -79.562591 34.251862, -79.570672 34.253532, -79.577407 34.255759, -79.582121 34.258542, -79.590202 34.261325, -79.600303 34.262438, -79.621853 34.262438, -79.662932 34.262994, -79.67236 34.262994, -79.678421 34.264664, -79.682462 34.267447, -79.684482 34.271899, -79.687176 34.277464, -79.691216 34.281359, -79.696604 34.283028, -79.705358 34.284697, -79.71546 34.285254, -79.724888 34.28581, -79.730949 34.288036, -79.734989 34.291931, -79.73903 34.296938, -79.745764 34.307508, -79.749131 34.312514, -79.754519 34.31752, -79.763273 34.324194, -79.767247 34.327082, -79.769417 34.328874, -79.771153 34.331383, -79.772889 34.334787, -79.775059 34.338909, -79.778531 34.34303, -79.782654 34.346076, -79.788296 34.348584, -79.800015 34.354138, -79.808261 34.358259, -79.813252 34.362379, -79.821498 34.368469, -79.826706 34.369723, -79.833868 34.370439, -79.843199 34.371156, -79.853181 34.371335, -79.860403 34.371924, -79.86772 34.372428, -79.875038 34.373938, -79.881136 34.376958, -79.886625 34.378971, -79.893466 34.380498, -79.898985 34.381496, -79.904177 34.383656, -79.910856 34.386417, -79.918467 34.389853, -79.925382 34.392132, -79.93102 34.393874, -79.938745 34.3962, -79.947237 34.39912, -79.953629 34.40383, -79.962707 34.410714, -79.966339 34.41421, -79.968356 34.418371, -79.96876 34.423531, -79.969365 34.436013, -79.968389 34.445635), (-80.925866 33.520096, -80.929585 33.51121, -80.930483 33.5026, -80.930034 33.490246, -80.929585 33.479387, -80.928239 33.470774, -80.928688 33.460662, -80.93183 33.452422, -80.935871 33.445305), (-81.0751 32.248039, -81.080099 32.269177, -81.088431 32.294537, -81.090098 32.321298, -81.081765 32.342419, -81.080099 32.390276, -81.071767 32.40716, -81.068434 32.419822, -81.053436 32.44092, -81.038438 32.449358, -81.021773 32.453577, -80.998443 32.453577, -80.973446 32.450764, -80.951783 32.439514, -80.938451 32.429668, -80.931785 32.425448, -80.923453 32.425448, -80.915121 32.435294, -80.903456 32.463419, -80.886791 32.495752, -80.871793 32.533694, -80.856795 32.558979, -80.851306 32.56637, -80.847484 32.574191, -80.846393 32.580631, -80.84803 32.58661, -80.851852 32.59167, -80.859494 32.599948, -80.873688 32.614664, -80.881445 32.623123, -80.883521 32.631864, -80.884559 32.686042, -80.881445 32.696524, -80.875218 32.708751, -80.865876 32.721851, -80.839928 32.745424, -80.824359 32.760264, -80.810866 32.767246, -80.8036 32.768119, -80.789069 32.768992, -80.779728 32.775973, -80.767273 32.787318, -80.756894 32.79168, -80.750666 32.799533, -80.738211 32.810874, -80.731983 32.821341, -80.72368 32.837912, -80.706035 32.85884, -80.691504 32.872789, -80.686314 32.888478, -80.680087 32.903294, -80.667632 32.927691, -80.644797 32.963402, -80.62819 32.986041, -80.615735 33.006063, -80.60328 33.031302, -80.590825 33.046094, -80.582522 33.054793, -80.567991 33.054793, -80.560725 33.071321, -80.549308 33.107844, -80.535815 33.135661, -80.524398 33.157386, -80.514018 33.199085, -80.504677 33.233818, -80.502601 33.243368, -80.498449 33.247708, -80.468349 33.271142, -80.45797 33.280687, -80.448629 33.292834, -80.432022 33.312786, -80.395694 33.300642, -80.375974 33.295436, -80.353139 33.280687, -80.327191 33.258992, -80.311622 33.245104, -80.300205 33.234687, -80.275295 33.225136, -80.25246 33.210375, -80.238967 33.194742, -80.233778 33.192136, -80.213019 33.188662, -80.19226 33.179976, -80.159047 33.166075, -80.123757 33.14609, -80.092619 33.133922, -80.064595 33.119145, -80.031381 33.100888, -80.015813 33.088715, -80.005433 33.086106, -79.992978 33.086106, -79.978447 33.091323, -79.966097 33.095542, -79.952499 33.100019, -79.93174 33.107844, -79.91202 33.116537, -79.879844 33.120015, -79.857009 33.118276, -79.833137 33.115668, -79.823796 33.106105, -79.813416 33.094802, -79.800961 33.078279, -79.785392 33.086975, -79.764634 33.100019, -79.738686 33.113929, -79.713775 33.134791, -79.681599 33.14609, -79.659803 33.158255, -79.64112 33.171288, -79.617248 33.184319, -79.599603 33.193874, -79.58092 33.206901, -79.569503 33.224268, -79.546669 33.245972, -79.523834 33.272009, -79.505152 33.289363, -79.485431 33.304112, -79.460521 33.320592, -79.427307 33.338803, -79.396169 33.35441, -79.369183 33.366547, -79.351538 33.377815, -79.33078 33.386482, -79.307945 33.395148, -79.281997 33.409012, -79.26539 33.418542, -79.244632 33.422007, -79.238404 33.422874, -79.234252 33.429804, -79.236328 33.447992), (-81.674405 33.637183, -81.685636 33.637345, -81.694833 33.637693, -81.705033 33.637693, -81.716933 33.638401, -81.721679 33.63948, -81.724732 33.641296, -81.726929 33.644582, -81.729521 33.649618, -81.731682 33.655372, -81.73341 33.661127, -81.734246 33.665998, -81.735918 33.670521, -81.738433 33.676087, -81.742683 33.6821), (-80.375974 33.295436, -80.36183 33.31155, -80.359089 33.321169, -80.355801 33.329412, -80.351416 33.33445, -80.348127 33.342234, -80.348675 33.34956, -80.348675 33.35597), (-80.566889 33.040584, -80.556271 33.038987, -80.548102 33.036248, -80.545652 33.029856), (-80.96034 34.859717, -80.977613 34.837528, -80.992001 34.824142, -81.009268 34.809179, -81.025575 34.796577, -81.035168 34.787123, -81.049557 34.776881, -81.061068 34.768214, -81.078335 34.756393, -81.091764 34.740629, -81.106153 34.728016, -81.112868 34.721709), (-79.966097 33.095542, -79.966645 33.111611, -79.968289 33.127678, -79.968837 33.148791), (-79.696327 34.610964, -79.641556 34.610964), (-81.021955 32.97905, -81.035846 32.964339, -81.046162 32.94969, -81.053701 32.941032, -81.066399 32.931375, -81.077509 32.923382, -81.089413 32.912057, -81.104094 32.899064, -81.110443 32.892401, -81.114014 32.883404, -81.117982 32.871408, -81.124331 32.861076, -81.13306 32.85341))</t>
  </si>
  <si>
    <t>P3222</t>
  </si>
  <si>
    <t>https://www.gem.wiki/Tekerhat-Faridpur_and_Tekerhat-Barishal_Gas_Transmission_Pipeline_Project</t>
  </si>
  <si>
    <t>Tekerhat-Faridpur and Tekerhat-Barishal Gas Transmission Pipeline Project</t>
  </si>
  <si>
    <t>Faridpur</t>
  </si>
  <si>
    <t xml:space="preserve">Barishal </t>
  </si>
  <si>
    <t>Barishal</t>
  </si>
  <si>
    <t>LINESTRING (89.83304940263925 23.601769110871484, 90.0195825406522 23.229502312056567, 90.35300812936536 22.700470190458432)</t>
  </si>
  <si>
    <t>P1059</t>
  </si>
  <si>
    <t>https://www.gem.wiki/Trans-Bay_Gas_Pipeline</t>
  </si>
  <si>
    <t>Trans-Bay Gas Pipeline</t>
  </si>
  <si>
    <t>Higashi-Ohgishima Gas Pipeline</t>
  </si>
  <si>
    <t>Nuclear Damage Compensation and Decommissioning Facilitation Corporation [100.00%]</t>
  </si>
  <si>
    <t>LINESTRING (139.833889 35.343056, 139.745559 35.495188)</t>
  </si>
  <si>
    <t>P0884</t>
  </si>
  <si>
    <t>https://www.gem.wiki/Titas-Narshingdi_Gas_Pipeline</t>
  </si>
  <si>
    <t>Titas-Narshingdi Gas Pipeline</t>
  </si>
  <si>
    <t>T-J Line</t>
  </si>
  <si>
    <t>LINESTRING (91.116667 23.983333, 90.717159 23.922696)</t>
  </si>
  <si>
    <t>P1190</t>
  </si>
  <si>
    <t>https://www.gem.wiki/Tasmanian_Gas_Pipeline</t>
  </si>
  <si>
    <t>Tasmanian Gas Pipeline</t>
  </si>
  <si>
    <t>Longford to Hobart</t>
  </si>
  <si>
    <t>Gippsland Basin</t>
  </si>
  <si>
    <t>Longford</t>
  </si>
  <si>
    <t>Bridgewater</t>
  </si>
  <si>
    <t>Tasmania</t>
  </si>
  <si>
    <t>MULTILINESTRING ((146.969 -41.476, 146.583 -41.496, 146.41 -41.295, 146.153 -41.19), (146.893 -41.032, 146.831 -41.086, 146.904 -41.141), (146.153 -41.19, 145.38 -40.853), (146.904 -41.141, 146.993 -41.493), (146.993 -41.493, 147.194 -41.652, 147.394 -42.221, 147.204 -42.468, 147.23 -42.718), (147.108 -39.198, 146.893 -41.033), (147.239 -38.412, 147.301 -38.498, 147.108 -39.198), (147.205 -38.367, 147.239 -38.412))</t>
  </si>
  <si>
    <t>P1191</t>
  </si>
  <si>
    <t>https://www.gem.wiki/Telfer_Pipeline</t>
  </si>
  <si>
    <t>Telfer Pipeline</t>
  </si>
  <si>
    <t>Telfer Gold Mine</t>
  </si>
  <si>
    <t>LINESTRING (118.551151 -20.427016, 118.553845 -20.426695, 118.554152 -20.426652, 118.555485 -20.427221, 118.561063 -20.428149, 118.562932 -20.428691, 118.565677 -20.429202, 118.566996 -20.428873, 118.569525 -20.429777, 118.582787 -20.432808, 118.58322 -20.432591, 118.584413 -20.433179, 118.619818 -20.441269, 118.62189 -20.442003, 118.622351 -20.441589, 118.625841 -20.442636, 118.687089 -20.435459, 118.687657 -20.435549, 118.688998 -20.435226, 118.69133 -20.435018, 118.69283 -20.434692, 118.739404 -20.425702, 118.829559 -20.411689, 118.911707 -20.404057, 118.917556 -20.403214, 118.918399 -20.403749, 118.92551 -20.402772, 118.957168 -20.394722, 118.959311 -20.394679, 118.962327 -20.394978, 118.964244 -20.393114, 118.965489 -20.39097, 118.967968 -20.388508, 118.968876 -20.387315, 118.972353 -20.384386, 118.986447 -20.379046, 119.002778 -20.372013, 119.023785 -20.359435, 119.023718 -20.358612, 119.029811 -20.355688, 119.049307 -20.349032, 119.05179 -20.34778, 119.056162 -20.34643, 119.090046 -20.34908, 119.092351 -20.348823, 119.095077 -20.349035, 119.095999 -20.349276, 119.099657 -20.349011, 119.101281 -20.348594, 119.104172 -20.348386, 119.1231 -20.344239, 119.136296 -20.344194, 119.181434 -20.336464, 119.181655 -20.336094, 119.185519 -20.335749, 119.195433 -20.327064, 119.197404 -20.326405, 119.197461 -20.32484, 119.198935 -20.322726, 119.20169 -20.320011, 119.202613 -20.319534, 119.203351 -20.319592, 119.204832 -20.319519, 119.205823 -20.31933, 119.210546 -20.319078, 119.210923 -20.31881, 119.227809 -20.317196, 119.235169 -20.317947, 119.237862 -20.318456, 119.241527 -20.318031, 119.243535 -20.317217, 119.246682 -20.315032, 119.253204 -20.307327, 119.261872 -20.303621, 119.28096 -20.302587, 119.284888 -20.302737, 119.302266 -20.30583, 119.314778 -20.307033, 119.328894 -20.307778, 119.330454 -20.308374, 119.358383 -20.309451, 119.40104 -20.315133, 119.402427 -20.315108, 119.445193 -20.321009, 119.450865 -20.323072, 119.454338 -20.324982, 119.454998 -20.325508, 119.456104 -20.325752, 119.456054 -20.326575, 119.458025 -20.328642, 119.458921 -20.329628, 119.462236 -20.331346, 119.463418 -20.331609, 119.469947 -20.332041, 119.492521 -20.334387, 119.496146 -20.334934, 119.497438 -20.334918, 119.502625 -20.33549, 119.516233 -20.338336, 119.53605 -20.334154, 119.542378 -20.334025, 119.544414 -20.335078, 119.545761 -20.334807, 119.546809 -20.334203, 119.561633 -20.331162, 119.568351 -20.330554, 119.67734 -20.338431, 119.68077 -20.338815, 119.831066 -20.361696, 119.834595 -20.362396, 119.859072 -20.368422, 119.860618 -20.368969, 119.914178 -20.381974, 119.941593 -20.382624, 119.942162 -20.382295, 119.999284 -20.383974, 120.031911 -20.379661, 120.062087 -20.392167, 120.06535 -20.395267, 120.089772 -20.404233, 120.10082 -20.404799, 120.178841 -20.426934, 120.224808 -20.440644, 120.31564 -20.450322, 120.334338 -20.458824, 120.415366 -20.485527, 120.433929 -20.489839, 120.439372 -20.489762, 120.450399 -20.489469, 120.628001 -20.564278, 120.713258 -20.598188, 120.786112 -20.651941, 120.830612 -20.663943, 120.944119 -20.734962, 120.96531 -20.739625, 120.991032 -20.749093, 121.063463 -20.77885, 121.077621 -20.833609, 121.112357 -20.878169, 121.251842 -21.001156, 121.255619 -21.009249, 121.348306 -21.115423, 121.371651 -21.174676, 121.430366 -21.225045, 121.462413 -21.265689, 121.510413 -21.281849, 121.510828 -21.292661, 121.556731 -21.339796, 121.557582 -21.35373, 121.60055 -21.369694, 121.643069 -21.409506, 121.651976 -21.420618, 121.708389 -21.445935, 121.760992 -21.468082, 121.78098 -21.478803, 121.828577 -21.489819, 121.853422 -21.50219, 121.943652 -21.543655, 122.000931 -21.565403, 122.007078 -21.571437, 122.01861 -21.601871, 122.044369 -21.621716, 122.073369 -21.650301, 122.118459 -21.672149, 122.18145 -21.738732)</t>
  </si>
  <si>
    <t>P1192</t>
  </si>
  <si>
    <t>https://www.gem.wiki/Trans-Territory_Pipeline</t>
  </si>
  <si>
    <t>Trans-Territory Pipeline</t>
  </si>
  <si>
    <t>TTP</t>
  </si>
  <si>
    <t>Eni S.p.A. [unknown %]; Rio Tinto Group [unknown %]; Woodside Energy [unknown %]</t>
  </si>
  <si>
    <t>Blacktip Gas Field</t>
  </si>
  <si>
    <t>Timor Sea</t>
  </si>
  <si>
    <t>Wadeye</t>
  </si>
  <si>
    <t>LINESTRING (129.441386 -14.240785, 129.510386 -14.282358, 129.713057 -14.340834, 129.925142 -14.381841, 130.298507 -14.422651, 130.924597 -14.494547, 131.601613 -14.587412, 132.251668 -14.674286, 132.558515 -14.683903, 132.742519 -14.671066, 132.905127 -14.636832, 133.020664 -14.602599, 133.115364 -14.55529, 134.332298 -13.659489, 135.652382 -12.70414, 135.670137 -12.696193, 135.692139 -12.692213, 136.09269 -12.691219, 136.113689 -12.689016, 136.132446 -12.683268, 136.545918 -12.389066, 136.558675 -12.383267, 136.575736 -12.380121, 136.645311 -12.39006, 136.661669 -12.389525, 136.674134 -12.384097, 136.712897 -12.348316, 136.722781 -12.344185, 136.734764 -12.340364, 136.782472 -12.337382, 136.799199 -12.332745, 136.830446 -12.308747, 136.837544 -12.302066, 136.841315 -12.29462, 136.847564 -12.257392, 136.846484 -12.250162, 136.841719 -12.244449, 136.80306 -12.212942, 136.762738 -12.182959)</t>
  </si>
  <si>
    <t>P1193</t>
  </si>
  <si>
    <t>https://www.gem.wiki/Tubridgi_Pipeline_System</t>
  </si>
  <si>
    <t>Tubridgi Pipeline System</t>
  </si>
  <si>
    <t>TPS</t>
  </si>
  <si>
    <t>Tubridgi Gas Field</t>
  </si>
  <si>
    <t>LINESTRING (114.8101774 -21.7623267, 115.4748074 -22.5153676)</t>
  </si>
  <si>
    <t>P1194</t>
  </si>
  <si>
    <t>https://www.gem.wiki/Victorian_Transmission_System</t>
  </si>
  <si>
    <t>Victorian Transmission System</t>
  </si>
  <si>
    <t>MULTILINESTRING ((147.01716 -35.66077, 147.01058 -35.69078, 146.95735 -35.72077, 146.91865 -35.77176, 146.87662 -35.77531, 146.81552 -35.82147, 146.76906 -35.83259, 146.76608 -35.86419, 146.69367 -35.93801, 146.678336 -36.088736), (144.235821 -36.836227, 144.194714 -36.918315, 144.167313 -37.076938, 144.148008 -37.136941, 144.149727 -37.140757, 144.14575 -37.161917, 144.15075 -37.182111, 144.148614 -37.200437, 144.144867 -37.207378, 144.144892 -37.2201, 144.140775 -37.229993, 144.140776 -37.245019, 144.158234 -37.254516, 144.164812 -37.260487, 144.164882 -37.263151), (145.047352 -37.951556, 145.047509 -37.951486, 145.047978 -37.951243), (145.061271 -37.909871, 145.061152 -37.910124), (145.070455 -37.884744, 145.047944 -37.951258), (145.562065 -35.849395, 145.560685 -35.882061, 145.597956 -35.898697, 145.598831 -35.926395, 145.622306 -35.951566, 145.686855 -35.955104, 145.995342 -36.055538, 146.423386 -36.086659, 146.555702 -36.155123), (145.032708 -36.343803, 145.159181 -36.403747, 145.408206 -36.451861), (146.511123 -38.15536, 146.511113 -38.15541, 146.509209 -38.165201, 146.47935 -38.200606, 146.463735 -38.203705, 146.45702 -38.236548, 146.425443 -38.263037), (144.421606 -37.2536, 144.450668 -37.276102, 144.793805 -37.303566, 145.056277 -37.347516), (144.697755 -37.790492, 144.697636 -37.791295), (144.697755 -37.790492, 144.712103 -37.718473), (144.995733 -37.574018, 145.007487 -37.442484, 145.063011 -37.335522, 145.060347 -37.237071, 145.079229 -37.159679, 145.121697 -37.072704, 145.169878 -37.062508, 145.191951 -37.04185, 145.166392 -36.933787, 145.20984 -36.887314, 145.363031 -36.800654, 145.451053 -36.772154, 145.555439 -36.721631, 145.71913 -36.620174, 145.937829 -36.527492, 146.037282 -36.516661, 146.232215 -36.457094, 146.3562 -36.370653, 146.476955 -36.205192, 146.586205 -36.137584, 146.621095 -36.13816, 146.669064 -36.091533, 146.748008 -36.075088, 146.791814 -36.080357), (144.995546 -37.575007, 144.995377 -37.577994, 144.993372 -37.59046, 145.000338 -37.597989, 144.978227 -37.692528), (142.634131 -38.400033, 142.784684 -38.479938, 142.956149 -38.555541), (145.49192 -38.084652, 145.489874 -38.094906, 145.599367 -38.126856, 145.839088 -38.158417, 145.952957 -38.214586, 146.169962 -38.216685, 146.263295 -38.200595, 146.295972 -38.219155, 146.288092 -38.23969, 146.329547 -38.291611, 146.389036 -38.308206, 146.425376 -38.263164), (145.491053 -38.088682, 145.491917 -38.084648), (144.994875 -37.577939, 144.995377 -37.577994, 145.033411 -37.579276, 145.068866 -37.574925, 145.100045 -37.579174, 145.136596 -37.575673, 145.276231 -37.589423, 145.340831 -37.631714, 145.334947 -37.664702, 145.499319 -37.723814, 145.53472 -37.892648, 145.526163 -38.063376), (141.583504 -38.279972, 141.570393 -38.321289, 141.587376 -38.330278, 141.586555 -38.362147, 141.632055 -38.381222), (145.209393 -37.98111, 145.210971 -37.982205), (145.224373 -37.806444, 145.224388 -37.80644), (145.308339 -37.78978, 145.308533 -37.789763, 145.309997 -37.789288, 145.311004 -37.785063, 145.325846 -37.78133, 145.334049 -37.760748), (145.275864 -37.784613, 145.276086 -37.78437), (145.21944 -37.808645, 145.219428 -37.808663), (145.333567 -37.760816, 145.334027 -37.760754), (146.435455 -38.140358, 146.443714 -38.140158, 146.449505 -38.144226, 146.477502 -38.151476, 146.511113 -38.15541, 146.563429 -38.167591, 147.107306 -38.218138, 147.16234 -38.219634), (146.426244 -38.274482, 146.424699 -38.274133), (146.425261 -38.273984, 146.423227 -38.273263), (145.284562 -38.07566, 145.284785 -38.075119), (145.210335 -38.015967, 145.284785 -38.075119, 145.489874 -38.094906), (141.991471 -37.76654, 141.967851 -37.905801, 141.986422 -37.99188, 142.020947 -38.03185, 142.023864 -38.12492, 141.993722 -38.239245), (143.053621 -38.329254, 142.995629 -38.386324, 142.857805 -38.469832, 142.837956 -38.502902), (145.208442 -37.987389, 145.212374 -37.984714, 145.212925 -37.990014, 145.210232 -37.991381, 145.206719 -38.009004, 145.205892 -38.013471, 145.205878 -38.013544, 145.210563 -38.014171), (145.208431 -37.987383, 145.208443 -37.987384), (145.219421 -37.808656, 145.227284 -37.847503, 145.243718 -37.852666, 145.211598 -37.981752), (145.104388 -37.72583, 145.1047 -37.726093), (145.083307 -37.710485, 145.169178 -37.749157, 145.19022 -37.805545, 145.230285 -37.804628, 145.24926 -37.780537, 145.308533 -37.789763), (145.083176 -37.710259, 145.08317 -37.710372), (145.059782 -37.700073, 145.083352 -37.710482), (145.010942 -37.694769, 145.010889 -37.695109), (144.990853 -37.692783, 144.99104 -37.693512), (144.9786 -37.692565, 145.059715 -37.700259), (144.990349 -37.692447, 144.990304 -37.692727), (144.723057 -37.587093, 144.718443 -37.619175, 144.735026 -37.642844, 144.727783 -37.646354, 144.703137 -37.75521, 144.697559 -37.791298, 144.697549 -37.791363), (144.81697 -37.816743, 144.81698 -37.816742, 144.817016 -37.816721, 144.822397 -37.822458, 144.823688 -37.823833, 144.827478 -37.823641, 144.906863 -37.805738, 144.948051 -37.820676), (144.816977 -37.816738, 144.81698 -37.816742), (144.869382 -37.812084, 144.869277 -37.812269), (144.881526 -37.810514, 144.881676 -37.810568), (144.818099 -37.808491, 144.817816 -37.81025, 144.817808 -37.810296, 144.81702 -37.816718), (144.818133 -37.808329, 144.818104 -37.808492), (145.408541 -36.451855, 145.459463 -36.547576, 145.469452 -36.6318, 145.545757 -36.726314), (143.828842 -37.045122, 144.145652 -37.161786), (142.95642 -38.55583, 143.037117 -38.571066), (146.786407 -36.079962, 146.84538 -36.106064), (144.766905 -36.183203, 144.915061 -36.302775, 145.032284 -36.343803), (143.037122 -38.571059, 143.151865 -38.537339, 143.283629 -38.450467, 143.542034 -38.385255, 143.606025 -38.39389, 143.803796 -38.292179, 144.081579 -38.189035, 144.35506 -38.016386, 144.408389 -38.043592), (145.214314 -38.018175, 145.269277 -38.024765, 145.344859 -38.040793, 145.465156 -38.057258, 145.572253 -38.06887, 145.624501 -38.080959, 145.752726 -38.087429, 146.161579 -38.12359, 146.372347 -38.132496, 146.443746 -38.140054, 146.449559 -38.144137, 146.461584 -38.145785, 146.477534 -38.151384, 146.505763 -38.154201, 146.563453 -38.167498, 146.71762 -38.179688, 147.107313 -38.218044, 147.15632 -38.218805, 147.162303 -38.219533), (145.052393 -37.957393, 145.0524 -37.957394), (145.047283 -37.951459, 145.047509 -37.951486, 145.052071 -37.957374, 145.058055 -37.965735, 145.163117 -37.99307), (145.163257 -37.992817, 145.161661 -38.000347, 145.181649 -38.003048, 145.190118 -38.011958, 145.205878 -38.013544, 145.205436 -38.015814, 145.21028 -38.016948, 145.211571 -38.017144), (145.144019 -37.990665, 145.144205 -37.990556), (145.127743 -37.980596, 145.127768 -37.980615), (145.12545 -37.978542, 145.125493 -37.978583), (145.122508 -37.975768, 145.122429 -37.976049), (145.052071 -37.957374, 145.052392 -37.9574), (145.209159 -37.981183, 145.209237 -37.981143), (145.209385 -37.981115, 145.209587 -37.980922), (145.209393 -37.98111, 145.205726 -37.988962, 145.205892 -38.013471, 145.210504 -38.014042, 145.210811 -38.014201), (144.975372 -37.853886, 145.015159 -37.860945, 145.09376 -37.893804, 145.157298 -37.933936, 145.211769 -37.982829, 145.211556 -37.984625), (144.97572 -37.853882, 144.975717 -37.853904), (145.163879 -37.939896, 145.163592 -37.940415), (145.158006 -37.934591, 145.157718 -37.935214), (145.140865 -37.923201, 145.14094 -37.923332), (145.119244 -37.909616, 145.119403 -37.909683), (145.096333 -37.895341, 145.096375 -37.895295), (145.093147 -37.894102, 145.093752 -37.893801), (145.045582 -37.877873, 145.047398 -37.877933), (145.031327 -37.866767, 145.031135 -37.867577), (145.019239 -37.862734, 145.01919 -37.863583), (144.996571 -37.856228, 144.997732 -37.856384), (144.96717 -37.846688, 144.967302 -37.846595), (144.959112 -37.836081, 144.976038 -37.853761), (144.959429 -37.837883, 144.959876 -37.837752), (144.955526 -37.822447, 144.955535 -37.822445), (144.956048 -37.822266, 144.956059 -37.822291), (144.996575 -37.856229, 144.996569 -37.856242), (144.956069 -37.822289, 144.955526 -37.822447, 144.957508 -37.826642, 144.955533 -37.828321, 144.959056 -37.836029), (144.56366 -37.767737, 144.563664 -37.767347), (144.426281 -37.712788, 144.424277 -37.713998), (144.235922 -36.836058, 144.223471 -36.842813, 144.206776 -36.879832, 144.194461 -36.91872, 144.170763 -37.022735, 144.167038 -37.044702, 144.169689 -37.061992, 144.165566 -37.075704, 144.167183 -37.07697, 144.147879 -37.136938, 144.149601 -37.140766, 144.145622 -37.161954, 144.150626 -37.182092, 144.148604 -37.184965, 144.1485 -37.200399, 144.144747 -37.207361, 144.144772 -37.220037, 144.142433 -37.220885, 144.140655 -37.229985, 144.140655 -37.245063, 144.158134 -37.254574, 144.160232 -37.2585, 144.164694 -37.260544, 144.164762 -37.263177, 144.170426 -37.26749, 144.178711 -37.270064, 144.421631 -37.253398), (144.164762 -37.263177, 144.166612 -37.338134, 144.125758 -37.430691, 144.154269 -37.469983, 144.183257 -37.594066, 144.240585 -37.610041, 144.391855 -37.709232, 144.585396 -37.779024, 144.634324 -37.784089, 144.75149 -37.796169, 144.757756 -37.798017, 144.787913 -37.799155, 144.787769 -37.80028, 144.801773 -37.802271, 144.801472 -37.804902, 144.806502 -37.805369, 144.806714 -37.809342, 144.817808 -37.810296, 144.817138 -37.8163, 144.822758 -37.82228, 144.830136 -37.8191), (144.416113 -38.040544, 144.431589 -38.034506, 144.514178 -37.994046, 144.514425 -37.99269, 144.558839 -37.969075, 144.563145 -37.968777, 144.628359 -37.930885, 144.692994 -37.907178, 144.71043 -37.874161, 144.767677 -37.836228, 144.788596 -37.835215, 144.794328 -37.831133, 144.822392 -37.82246, 144.822397 -37.822458, 144.830963 -37.818948), (144.382754 -38.066426, 144.415712 -38.039797), (144.408869 -38.043277, 144.421403 -38.035243, 144.514116 -37.994, 144.514356 -37.992657, 144.555627 -37.970916, 144.554782 -37.969919, 144.573385 -37.869236, 144.57151 -37.859534, 144.618266 -37.824873, 144.634324 -37.784089, 144.697559 -37.791298, 144.751442 -37.796082, 144.757756 -37.798017, 144.787769 -37.80028, 144.801826 -37.802234, 144.817816 -37.81025, 144.825025 -37.820897, 144.829484 -37.819222), (145.526599 -38.063736, 145.736035 -38.086503), (141.584024 -38.28006, 141.769157 -38.223947, 141.915708 -38.23593, 142.314763 -38.25516, 142.441995 -38.267344, 142.525395 -38.298303, 142.634219 -38.39975), (143.932874 -37.567953, 144.183257 -37.594066))</t>
  </si>
  <si>
    <t>P1196</t>
  </si>
  <si>
    <t>https://www.gem.wiki/Queensland_Gas_Pipeline</t>
  </si>
  <si>
    <t>Queensland Gas Pipeline</t>
  </si>
  <si>
    <t>Wallumbilla to Gladstone via Rockhampton Pipeline</t>
  </si>
  <si>
    <t>Wallumbilla, Gooimbah, Fairview, Westgrove, Moura</t>
  </si>
  <si>
    <t>Gladstone, Rockhampton and Mour</t>
  </si>
  <si>
    <t>MULTILINESTRING ((151.287354 -23.863356, 151.285248 -23.865797, 151.282791 -23.868109, 151.281921 -23.868696, 151.280792 -23.868885, 151.278397 -23.868567, 151.277267 -23.868097, 151.274887 -23.868097, 151.274506 -23.867788, 151.273132 -23.865765, 151.272003 -23.863165, 151.268799 -23.862677, 151.268509 -23.862469, 151.267639 -23.862305, 151.266922 -23.86194, 151.263596 -23.85885, 151.261749 -23.858334, 151.259628 -23.857487, 151.25914 -23.857067, 151.257278 -23.857237, 151.252518 -23.858433, 151.252151 -23.858192, 151.248215 -23.857666, 151.247162 -23.857944, 151.246414 -23.857685, 151.245331 -23.857786, 151.24437 -23.857336, 151.242737 -23.857018, 151.241272 -23.857216, 151.240707 -23.857605, 151.240021 -23.857277, 151.239059 -23.857088, 151.235321 -23.857048, 151.233932 -23.856548, 151.232956 -23.855673, 151.232529 -23.854855, 151.231644 -23.851517, 151.230988 -23.850151, 151.229569 -23.849901, 151.226929 -23.85078, 151.224838 -23.85059, 151.224579 -23.849703, 151.223526 -23.849266, 151.223557 -23.848976, 151.223358 -23.848608, 151.221146 -23.846983, 151.218811 -23.846046, 151.217667 -23.846006, 151.217422 -23.846275, 151.215805 -23.846983, 151.212692 -23.845907, 151.212112 -23.846077, 151.207291 -23.845051, 151.195511 -23.839321, 151.170288 -23.833422, 151.162445 -23.831589, 151.16069 -23.830582, 151.159195 -23.829086, 151.15834 -23.827621, 151.157654 -23.825291, 151.156967 -23.824104, 151.153275 -23.821598, 151.152024 -23.821672, 151.150024 -23.821426, 151.147842 -23.821684, 151.144348 -23.82279, 151.141724 -23.822719, 151.138809 -23.825949, 151.13237 -23.827263, 151.131653 -23.82836, 151.131058 -23.828371, 151.128036 -23.830881, 151.122498 -23.83679, 151.122314 -23.837423, 151.120712 -23.838055, 151.119171 -23.83917, 151.116989 -23.839619, 151.11673 -23.840616, 151.116348 -23.840885, 151.114975 -23.842638, 151.112183 -23.844851, 151.10759 -23.847202, 151.106217 -23.847481, 151.103027 -23.847322, 151.102814 -23.847702, 151.101212 -23.848457, 151.096008 -23.849436, 151.094711 -23.849075, 151.087921 -23.852142, 151.072754 -23.856777, 151.063675 -23.857893, 151.048569 -23.862711, 151.045059 -23.864239, 151.037613 -23.866211, 151.015183 -23.882233, 151.014542 -23.882769, 151.012085 -23.88843, 151.011444 -23.889423, 151.010895 -23.889851, 150.995468 -23.912975, 150.96347 -23.970102, 150.966644 -23.982143, 150.968491 -23.985374, 150.968552 -23.987913, 150.966949 -24.001522, 150.966019 -24.002026, 150.964539 -24.010586, 150.964355 -24.012938, 150.96373 -24.016356, 150.961578 -24.023977, 150.959061 -24.03027, 150.958054 -24.031355, 150.955338 -24.038521, 150.946274 -24.045862, 150.937683 -24.048441, 150.933594 -24.04995, 150.928146 -24.05246, 150.923141 -24.05555, 150.908707 -24.06138, 150.908554 -24.061581, 150.908646 -24.063204, 150.896988 -24.069836, 150.88385 -24.077946, 150.878433 -24.079809, 150.874878 -24.082439, 150.873444 -24.083698, 150.87146 -24.084871, 150.868958 -24.085899, 150.845474 -24.089783, 150.845245 -24.089981, 150.845352 -24.090971, 150.838501 -24.095234, 150.833267 -24.095471, 150.832077 -24.094996, 150.826675 -24.095295, 150.802887 -24.10206, 150.793259 -24.106239, 150.789063 -24.109058, 150.785034 -24.112072, 150.783752 -24.111294, 150.773361 -24.112467, 150.763229 -24.116282, 150.758224 -24.117529, 150.75531 -24.117405, 150.752502 -24.119471, 150.748291 -24.123167, 150.74794 -24.123394, 150.745407 -24.12385, 150.743988 -24.125896, 150.741241 -24.128908, 150.740616 -24.13043, 150.73851 -24.132303, 150.737747 -24.132654, 150.736755 -24.133867, 150.736115 -24.134312, 150.733917 -24.135147, 150.732559 -24.136135, 150.731812 -24.136951, 150.72641 -24.141022, 150.716827 -24.144739, 150.714127 -24.146639, 150.709229 -24.150023, 150.70668 -24.151464, 150.69519 -24.160769, 150.693253 -24.162901, 150.68692 -24.164825, 150.681915 -24.167835, 150.680954 -24.168129, 150.674026 -24.172277, 150.657364 -24.174997, 150.653168 -24.178503, 150.651047 -24.178776, 150.649857 -24.17975, 150.648697 -24.180058, 150.648392 -24.180496, 150.648071 -24.18067, 150.647507 -24.18058, 150.64592 -24.180899, 150.64534 -24.181879, 150.644058 -24.182156, 150.64183 -24.183489, 150.639832 -24.183613, 150.637421 -24.184624, 150.636383 -24.184517, 150.635147 -24.187124, 150.630905 -24.18815, 150.628006 -24.190329, 150.627365 -24.191092, 150.627274 -24.191877, 150.62706 -24.192171, 150.624756 -24.192265, 150.623901 -24.192064, 150.621765 -24.192186, 150.620789 -24.192591, 150.620316 -24.193117, 150.618088 -24.194193, 150.617218 -24.195147, 150.617386 -24.196251, 150.616348 -24.199259, 150.614761 -24.201153, 150.6147 -24.202175, 150.613129 -24.203201, 150.611801 -24.203011, 150.611008 -24.202528, 150.609482 -24.202396, 150.60733 -24.203369, 150.606247 -24.204229, 150.605804 -24.205362, 150.604645 -24.206017, 150.602768 -24.205715, 150.601883 -24.205862, 150.59288 -24.211266, 150.591659 -24.211254, 150.586975 -24.212564, 150.585464 -24.213419, 150.584366 -24.213804, 150.582443 -24.21595, 150.581665 -24.216368, 150.579849 -24.216644, 150.579361 -24.217157, 150.578186 -24.217611, 150.577576 -24.218035, 150.574112 -24.225559, 150.569107 -24.229607, 150.564804 -24.230762, 150.560318 -24.235703, 150.557755 -24.236729, 150.546951 -24.243967, 150.520782 -24.26103, 150.517807 -24.264236, 150.50528 -24.26882, 150.483795 -24.275047, 150.469971 -24.278389, 150.452667 -24.280113, 150.45163 -24.280384, 150.44519 -24.284184, 150.437607 -24.285732, 150.43103 -24.285145, 150.430374 -24.286318, 150.416718 -24.288042, 150.4133 -24.288076, 150.398849 -24.289318, 150.374069 -24.291145, 150.350388 -24.301125, 150.32991 -24.308455, 150.329132 -24.308077, 150.308044 -24.314503, 150.291214 -24.320448, 150.289337 -24.321743, 150.280945 -24.323133, 150.264313 -24.326202, 150.259842 -24.327976, 150.252853 -24.328648, 150.247665 -24.330183, 150.239319 -24.331448, 150.212723 -24.33954, 150.202927 -24.341833, 150.200348 -24.341158, 150.195892 -24.342373, 150.192123 -24.344099, 150.184021 -24.348818, 150.164307 -24.357403, 150.161575 -24.358639, 150.139908 -24.368048, 150.105316 -24.364021, 150.077896 -24.358404, 150.066086 -24.361715, 150.057739 -24.362907, 150.049088 -24.364796, 150.037476 -24.367603, 150.012421 -24.374689, 149.999908 -24.379456, 149.993271 -24.381651, 149.988388 -24.386454, 149.983047 -24.391111, 149.976379 -24.397533, 149.968628 -24.405645, 149.948334 -24.408775, 149.927216 -24.414583, 149.912659 -24.418936, 149.896286 -24.420233, 149.873535 -24.419436, 149.87233 -24.419601, 149.851654 -24.418919, 149.836731 -24.420713, 149.835144 -24.421473, 149.83371 -24.421497, 149.809662 -24.431332, 149.783752 -24.442156, 149.765701 -24.450695, 149.763962 -24.450828, 149.761841 -24.450232, 149.76091 -24.449579, 149.760193 -24.448496, 149.75943 -24.448051, 149.757828 -24.447773, 149.757355 -24.448313, 149.757187 -24.449074, 149.755478 -24.450472, 149.754776 -24.450687, 149.752625 -24.452452, 149.751434 -24.45227, 149.745087 -24.455757, 149.72258 -24.453581, 149.708115 -24.462309, 149.685974 -24.470058, 149.659576 -24.477186, 149.640549 -24.480938, 149.612061 -24.484713, 149.533997 -24.513592, 149.511383 -24.520845, 149.483566 -24.532671, 149.433777 -24.547649, 149.430313 -24.548914, 149.403 -24.553961, 149.375 -24.565336, 149.3461 -24.572998, 149.341446 -24.575914, 149.336975 -24.578032, 149.33374 -24.578253, 149.328018 -24.581423, 149.321426 -24.582321, 149.320435 -24.583338, 149.317093 -24.584457, 149.301849 -24.590237, 149.295822 -24.592577, 149.286118 -24.596645, 149.275253 -24.60051, 149.258545 -24.605036, 149.240982 -24.606562, 149.238785 -24.606409, 149.236374 -24.606934, 149.212402 -24.619495, 149.186462 -24.62236, 149.153885 -24.631784, 149.14537 -24.636311, 149.124664 -24.645176, 149.118088 -24.648193, 149.072937 -24.654766, 149.066452 -24.654673, 149.062012 -24.65346, 149.04924 -24.653831, 149.038834 -24.652201, 149.037582 -24.65094, 149.03566 -24.650148, 149.032532 -24.65032, 149.031708 -24.650232, 149.030167 -24.652002, 149.027969 -24.653685, 149.023727 -24.656208, 149.023163 -24.658155, 149.021439 -24.657993, 149.020142 -24.660059, 149.019211 -24.660208, 149.01648 -24.659632, 149.014771 -24.660355, 149.012573 -24.662199, 149.004562 -24.664295, 149.002426 -24.666243, 148.997757 -24.667364, 148.996277 -24.667364, 148.989487 -24.666685, 148.979858 -24.669006, 148.975861 -24.669586, 148.972107 -24.67235, 148.960953 -24.679106, 148.952591 -24.682211, 148.945938 -24.686817, 148.925568 -24.69289, 148.872787 -24.705858, 148.846298 -24.707973, 148.842239 -24.709543, 148.833176 -24.734247, 148.833817 -24.739569, 148.831604 -24.745029, 148.8116 -24.803343, 148.794266 -24.849987, 148.77858 -24.910416, 148.757278 -24.990841, 148.749222 -25.01442, 148.748276 -25.015614, 148.732407 -25.073109, 148.720261 -25.082287, 148.719986 -25.142359, 148.708298 -25.179287, 148.706314 -25.19795, 148.698639 -25.204851, 148.697617 -25.220158, 148.697861 -25.23077, 148.696609 -25.235525, 148.695908 -25.236422, 148.693512 -25.238401, 148.692993 -25.240175, 148.693344 -25.242418, 148.693253 -25.244261, 148.691711 -25.246805, 148.690002 -25.248745, 148.684631 -25.253832, 148.681137 -25.253832, 148.680267 -25.254665, 148.677582 -25.255604, 148.675705 -25.257898, 148.671951 -25.261318, 148.667511 -25.263821, 148.666229 -25.265446, 148.660263 -25.275122, 148.665588 -25.289196, 148.665604 -25.29122, 148.667755 -25.294348, 148.667831 -25.296911, 148.666412 -25.299171, 148.666336 -25.300289, 148.66362 -25.302855, 148.660995 -25.306461, 148.663818 -25.312363, 148.661087 -25.331921, 148.659805 -25.332151, 148.659348 -25.334736, 148.658615 -25.337364, 148.656082 -25.341076, 148.652176 -25.343098, 148.648361 -25.347269, 148.645493 -25.349146, 148.644135 -25.351543, 148.642731 -25.353502, 148.641205 -25.359488, 148.638519 -25.374125, 148.634933 -25.376022, 148.631622 -25.377295, 148.629486 -25.378401, 148.626038 -25.381298, 148.625839 -25.382549, 148.625885 -25.384405, 148.625336 -25.387053, 148.625366 -25.389681, 148.626175 -25.393684, 148.624023 -25.39715, 148.618591 -25.410282, 148.618607 -25.414139, 148.620468 -25.419291, 148.622253 -25.429903, 148.622055 -25.433678, 148.639725 -25.467583, 148.647049 -25.502384, 148.650192 -25.519794, 148.655807 -25.534266, 148.655243 -25.544107, 148.660034 -25.554262, 148.661285 -25.577242, 148.659439 -25.580076, 148.670532 -25.609457, 148.675263 -25.634798, 148.668121 -25.68792, 148.662613 -25.726849, 148.654984 -25.75379, 148.662582 -25.76152, 148.663483 -25.764616, 148.661743 -25.773823, 148.669235 -25.796015, 148.682556 -25.801315, 148.688599 -25.814886, 148.691177 -25.816235, 148.692886 -25.818945, 148.69548 -25.823589, 148.702988 -25.835129, 148.717789 -25.856461, 148.717407 -25.858021, 148.735916 -25.882441, 148.743149 -25.888851, 148.744675 -25.890703, 148.746689 -25.892145, 148.764862 -25.908741, 148.795639 -25.931355, 148.815094 -25.981131, 148.839767 -26.021807, 148.84642 -26.037102, 148.849991 -26.039299, 148.851196 -26.048559, 148.877716 -26.088011, 148.88797 -26.11133, 148.899017 -26.135111, 148.909378 -26.161089, 148.925385 -26.188351, 148.929642 -26.200809, 148.929504 -26.201376, 148.930878 -26.206619, 148.946945 -26.250059, 148.946899 -26.25218, 148.948853 -26.255318, 148.959396 -26.283924, 148.971817 -26.29471, 148.989655 -26.314219, 148.998215 -26.324034, 149.002228 -26.331621, 149.007263 -26.337671, 149.010574 -26.357569, 149.011017 -26.359421, 149.012344 -26.360422, 149.012238 -26.361288, 149.031418 -26.402966, 149.058655 -26.452053, 149.059753 -26.452948, 149.060532 -26.455563, 149.068909 -26.471176, 149.086288 -26.491413, 149.092896 -26.501886, 149.094406 -26.504768, 149.11319 -26.521172, 149.113449 -26.521589, 149.119095 -26.534391, 149.131577 -26.581297, 149.132172 -26.58395, 149.132172 -26.584991, 149.131531 -26.585762, 149.132462 -26.586794, 149.147507 -26.598803, 149.152771 -26.609497, 149.165009 -26.629417, 149.17276 -26.653555, 149.173035 -26.660782, 149.177322 -26.671833, 149.184174 -26.690393, 149.184387 -26.691689), (148.675263 -25.634798, 148.67826 -25.634768, 148.681595 -25.634735, 148.693649 -25.623562, 148.716766 -25.623363, 148.722397 -25.621513, 148.763702 -25.610802, 148.776794 -25.609609, 148.808517 -25.610125, 148.818115 -25.610846, 148.857575 -25.609228, 148.903946 -25.614092, 148.926376 -25.612316), (150.502182 -23.31712, 150.50647 -23.324768, 150.50679 -23.329548, 150.501801 -23.331911, 150.50145 -23.332153, 150.501236 -23.332575, 150.500351 -23.332962, 150.493271 -23.333614, 150.48999 -23.335213, 150.48819 -23.334932, 150.486649 -23.343872, 150.487137 -23.349831, 150.48645 -23.351166, 150.484299 -23.357077, 150.480682 -23.362228, 150.477203 -23.36454, 150.476532 -23.364729, 150.475906 -23.365582, 150.474014 -23.366276, 150.472397 -23.36735, 150.468811 -23.368685, 150.464111 -23.375187, 150.464249 -23.375845, 150.463242 -23.380503, 150.464127 -23.384972, 150.463745 -23.386551, 150.472595 -23.398552, 150.480682 -23.410206, 150.480652 -23.411121, 150.481934 -23.412827, 150.481995 -23.414469, 150.481339 -23.41848, 150.4953 -23.445734, 150.497101 -23.451513, 150.49826 -23.457008, 150.498871 -23.457386, 150.499725 -23.463039, 150.50061 -23.463039, 150.501205 -23.467209, 150.501175 -23.467871, 150.503296 -23.470337, 150.503387 -23.475576, 150.503952 -23.48262, 150.51001 -23.487135, 150.511429 -23.490894, 150.51683 -23.501442, 150.51889 -23.507568, 150.517746 -23.515244, 150.518982 -23.516033, 150.520905 -23.519159, 150.522202 -23.524117, 150.523346 -23.525002, 150.526001 -23.529076, 150.528046 -23.531317, 150.534744 -23.532043, 150.541306 -23.540918, 150.541367 -23.54155, 150.54567 -23.552792, 150.549881 -23.558157, 150.55127 -23.559246, 150.5513 -23.559507, 150.552689 -23.561686, 150.55748 -23.563723, 150.55661 -23.571941, 150.555984 -23.575354, 150.556351 -23.57585, 150.558243 -23.590038, 150.559525 -23.59115, 150.559616 -23.591482, 150.570084 -23.598707, 150.574295 -23.604628, 150.574814 -23.605907, 150.578064 -23.610739, 150.578934 -23.611639, 150.579361 -23.611876, 150.596329 -23.627485, 150.602203 -23.633524, 150.604736 -23.635159, 150.609161 -23.639044, 150.617126 -23.649395, 150.620132 -23.652828, 150.61998 -23.654249, 150.620361 -23.654533, 150.623566 -23.658751, 150.624939 -23.659863, 150.631638 -23.672985, 150.632706 -23.673199, 150.643036 -23.679546, 150.644455 -23.680233, 150.645218 -23.680115, 150.660721 -23.689541, 150.661987 -23.689257, 150.690231 -23.698992, 150.690613 -23.699465, 150.706345 -23.70418, 150.721573 -23.703516, 150.721954 -23.703657, 150.730835 -23.703539, 150.739929 -23.705173, 150.745758 -23.704535, 150.755112 -23.708775, 150.755249 -23.709177, 150.770599 -23.713867, 150.777115 -23.714766, 150.788147 -23.718958, 150.790482 -23.720215, 150.792465 -23.720308, 150.800232 -23.725306, 150.805237 -23.731607, 150.805969 -23.731678, 150.805878 -23.732317, 150.806396 -23.733479, 150.807571 -23.73497, 150.815872 -23.73793, 150.816528 -23.738333, 150.817902 -23.739779, 150.821503 -23.739185, 150.822967 -23.738617, 150.829681 -23.740986, 150.839813 -23.746576, 150.84462 -23.747215, 150.858475 -23.754488, 150.861847 -23.755363, 150.867004 -23.756168, 150.886353 -23.767065, 150.902985 -23.780281, 150.90416 -23.780998, 150.909348 -23.78355, 150.909637 -23.784071, 150.911346 -23.785633, 150.912338 -23.786013, 150.914612 -23.788879, 150.926178 -23.795914, 150.943222 -23.808823, 150.947342 -23.810196, 150.9478 -23.810228, 150.949661 -23.811785, 150.951828 -23.817835, 150.951462 -23.82163, 150.95192 -23.82346, 150.952972 -23.825146, 150.964569 -23.833977, 150.968231 -23.834663, 150.976456 -23.836794, 150.977753 -23.83779, 150.977875 -23.83831, 150.978668 -23.838974, 150.980286 -23.841059, 150.981949 -23.843971, 150.98259 -23.844114, 150.98674 -23.84742, 150.990311 -23.852009, 150.998291 -23.863298, 151.005615 -23.873365, 151.006958 -23.874952, 151.010986 -23.881086, 151.014328 -23.881536, 151.015183 -23.882233), (151.147903 -23.821651, 151.147186 -23.820059, 151.148026 -23.818571, 151.148621 -23.814535, 151.148376 -23.81423, 151.148499 -23.813372, 151.147217 -23.813065, 151.148117 -23.800566, 151.147705 -23.799295, 151.147644 -23.798462, 151.149124 -23.788509, 151.148941 -23.788107))</t>
  </si>
  <si>
    <t>P1197</t>
  </si>
  <si>
    <t>https://www.gem.wiki/West-East_Gas_Pipeline</t>
  </si>
  <si>
    <t>West-East Gas Pipeline</t>
  </si>
  <si>
    <t>Trans-Australia Gas Pipeline</t>
  </si>
  <si>
    <t>LINESTRING (116.858 -20.761, 116.886 -21.792, 117.692 -22.669, 118.038 -23.355, 119.07 -23.545, 119.579 -24.224, 119.899 -24.285, 119.892 -24.774, 120.754 -26.023, 121.834 -26.451, 122.372 -27.184, 122.689 -27.209, 123.288 -28.198, 125.12 -30.005, 126.683 -30.066, 127.355 -30.579, 130.176 -30.506, 132.058 -30.389, 134.285 -30.656, 136.711 -31.28, 137.147 -30.359, 138.275 -29.696, 139.141 -29.073, 140.206 -28.115)</t>
  </si>
  <si>
    <t>P1198</t>
  </si>
  <si>
    <t>https://www.gem.wiki/Western_Slopes_Pipeline</t>
  </si>
  <si>
    <t>Western Slopes Pipeline</t>
  </si>
  <si>
    <t>WSP</t>
  </si>
  <si>
    <t>Narrabi</t>
  </si>
  <si>
    <t>LINESTRING (146.151187 -32.688097, 146.251803 -32.659914, 146.30774 -32.641505, 146.356597 -32.612474, 146.387044 -32.567157, 146.452558 -32.517902, 146.510161 -32.47758, 146.577364 -32.444939, 146.646487 -32.414217, 146.69833 -32.375815, 146.732892 -32.356614, 146.782814 -32.312452, 146.802015 -32.283651, 146.863458 -32.235648, 147.132272 -32.07052, 147.187955 -32.039798, 147.205236 -32.018677, 147.230197 -31.989876, 147.2878 -31.970675, 147.351163 -31.943794, 147.443328 -31.886191, 147.508611 -31.849709, 147.560453 -31.817067, 147.618056 -31.755624, 147.68334 -31.66538, 147.712141 -31.611617, 147.742863 -31.578975, 147.763984 -31.559774, 147.763984 -31.546334, 147.792785 -31.506012, 147.817746 -31.48297, 147.823507 -31.46761, 147.825427 -31.448409, 147.835027 -31.396566, 147.861909 -31.333203, 147.877269 -31.298641, 147.89263 -31.27944, 147.919511 -31.258319, 147.961754 -31.219917, 147.994395 -31.179595, 148.028957 -31.143113, 148.069279 -31.100871, 148.100001 -31.043268, 148.101921 -31.006786, 148.113441 -30.962624, 148.130722 -30.916542, 148.159524 -30.858939, 148.203686 -30.810937, 148.226727 -30.768695, 148.263209 -30.739893, 148.29777 -30.722612, 148.336172 -30.699571, 148.351533 -30.67269, 148.374574 -30.641968, 148.451378 -30.572845, 148.505141 -30.532523, 148.532022 -30.509481, 148.564664 -30.47876, 148.614586 -30.444198, 148.651068 -30.419237, 148.676029 -30.400036, 148.697151 -30.390435, 148.725952 -30.384675, 148.777795 -30.382755, 148.837318 -30.388515, 148.898761 -30.394276, 148.941003 -30.398116, 148.969804 -30.396196, 149.019727 -30.392356, 149.056209 -30.386595, 149.094611 -30.388515, 149.152213 -30.392356, 149.227097 -30.401956, 149.27702 -30.409636, 149.332703 -30.417317, 149.401826 -30.419237, 149.447908 -30.419237, 149.53393 -30.408639, 149.592009 -30.397853, 149.645939 -30.382918, 149.729864 -30.336045)</t>
  </si>
  <si>
    <t>P1199</t>
  </si>
  <si>
    <t>https://www.gem.wiki/Wheatstone_Ashburton_West_Pipeline</t>
  </si>
  <si>
    <t>Wheatstone Ashburton West Pipeline</t>
  </si>
  <si>
    <t>Chevron [100.00%]</t>
  </si>
  <si>
    <t>LINESTRING (114.999053 -21.692664, 114.9983 -21.692373, 114.992703 -21.690897, 114.992284 -21.690756, 114.992826 -21.68909, 114.993853 -21.686763, 114.992717 -21.677579, 114.992529 -21.677467, 114.992488 -21.677302, 114.992342 -21.676217, 114.989262 -21.653396, 114.988887 -21.651495, 114.988801 -21.649972, 114.988024 -21.644013, 114.987722 -21.641885, 114.987342 -21.640193, 114.986803 -21.638502, 114.986115 -21.636828, 114.985236 -21.63514, 114.984177 -21.633339, 114.956594 -21.586684, 114.955584 -21.585004, 114.954164 -21.583091, 114.952415 -21.581099, 114.950544 -21.579006, 114.829609 -21.443734, 114.826733 -21.440122, 114.824101 -21.436024, 114.82201 -21.431856, 114.820071 -21.426372, 114.818893 -21.42083, 114.815948 -21.396378, 114.815966 -21.395537, 114.815486 -21.395409, 114.815062 -21.394912, 114.814899 -21.393714, 114.791446 -21.197469, 114.791543 -21.186476, 114.794878 -21.17473, 114.804424 -21.153836, 114.840942 -21.073865, 114.843496 -21.065018, 114.844318 -21.056922, 114.86226 -20.833219, 114.862784 -20.826681, 114.86298 -20.815782, 114.86491 -20.616518, 114.866526 -20.609133, 114.869665 -20.601583, 114.873805 -20.595127, 114.922114 -20.533726, 114.925873 -20.52811, 114.929072 -20.520979, 114.970245 -20.400738, 114.972964 -20.394429, 114.975002 -20.390939, 115.076863 -20.232834, 115.079851 -20.228362, 115.151966 -20.130364, 115.154571 -20.127135, 115.164247 -20.116169, 115.224927 -20.047396, 115.229738 -20.042227, 115.237634 -20.034734, 115.249865 -20.023129, 115.267264 -20.006564, 115.296096 -19.976765, 115.298292 -19.974691, 115.301919 -19.971961, 115.307381 -19.96839, 115.313187 -19.964792, 115.316266 -19.963367, 115.3286 -19.958908, 115.332533 -19.957745, 115.336086 -19.957098, 115.34318 -19.956167, 115.346064 -19.955663, 115.349808 -19.954613, 115.355554 -19.952258, 115.362059 -19.949241, 115.367409 -19.945451, 115.37112 -19.942397, 115.374109 -19.939354, 115.377087 -19.935327, 115.379563 -19.931718, 115.381317 -19.929161)</t>
  </si>
  <si>
    <t>P0886</t>
  </si>
  <si>
    <t>Brunei</t>
  </si>
  <si>
    <t>https://www.gem.wiki/South_West_Ampa-Lumut_Gas_Pipeline</t>
  </si>
  <si>
    <t>South West Ampa-Lumut Gas Pipeline</t>
  </si>
  <si>
    <t>South West Ampa Field</t>
  </si>
  <si>
    <t>Offshore Brunei</t>
  </si>
  <si>
    <t>LINESTRING (114.085773 4.768387, 114.459305 4.659365)</t>
  </si>
  <si>
    <t>P1200</t>
  </si>
  <si>
    <t>https://www.gem.wiki/Wide_Bay_Pipeline</t>
  </si>
  <si>
    <t>Wide Bay Pipeline</t>
  </si>
  <si>
    <t>Australian Gas Infrastructure Group [unknown %]</t>
  </si>
  <si>
    <t>Mayborough</t>
  </si>
  <si>
    <t>Rockhampton</t>
  </si>
  <si>
    <t>LINESTRING (152.662 -25.476, 152.651 -25.454, 152.599 -25.383, 152.595 -25.348, 152.565 -25.321, 152.534 -25.316, 152.492 -25.307, 152.473 -25.305, 152.458 -25.302, 152.418 -25.284, 152.393 -25.275, 152.373 -25.254, 152.355 -25.23, 152.345 -25.197, 152.339 -25.169, 152.337 -25.156, 152.311 -25.131, 152.318 -25.111, 152.319 -25.092, 152.316 -24.978, 152.298 -24.951, 152.3 -24.921, 152.282 -24.918, 152.278 -24.918, 152.274 -24.919, 152.263 -24.913, 152.251 -24.897, 152.243 -24.899, 152.236 -24.895, 152.231 -24.895, 152.228 -24.892, 152.224 -24.891, 152.221 -24.889, 152.219 -24.879, 152.209 -24.876, 152.197 -24.863, 152.18 -24.857, 152.181 -24.848, 152.162 -24.845, 152.148 -24.844, 152.135 -24.826, 152.127 -24.817, 152.116 -24.815, 152.108 -24.813, 152.105 -24.805, 152.095 -24.803, 152.089 -24.785, 152.071 -24.758, 152.06 -24.75, 152.05 -24.734, 152.034 -24.72, 152.015 -24.691, 151.989 -24.674, 151.98 -24.673, 151.966 -24.666, 151.941 -24.665, 151.913 -24.649, 151.896 -24.642, 151.886 -24.643, 151.862 -24.622, 151.845 -24.614, 151.831 -24.607, 151.821 -24.606, 151.813 -24.599, 151.81 -24.591, 151.807 -24.582, 151.805 -24.579, 151.799 -24.577, 151.795 -24.567, 151.793 -24.553, 151.779 -24.538, 151.777 -24.531, 151.772 -24.526, 151.766 -24.521, 151.754 -24.515, 151.741 -24.481, 151.732 -24.47, 151.715 -24.448, 151.694 -24.438, 151.675 -24.419, 151.656 -24.405, 151.649 -24.388, 151.575 -24.311, 151.563 -24.289, 151.556 -24.281, 151.542 -24.271, 151.532 -24.251, 151.527 -24.23, 151.511 -24.213, 151.505 -24.198, 151.499 -24.191, 151.499 -24.177, 151.48 -24.164, 151.476 -24.148, 151.459 -24.12, 151.446 -24.113, 151.436 -24.104, 151.419 -24.094, 151.396 -24.05, 151.347 -24.023, 151.329 -24.022, 151.32 -24.013, 151.291 -24.005, 151.27 -23.999, 151.261 -24.003, 151.256 -24.003, 151.243 -23.993, 151.228 -23.985, 151.211 -23.983, 151.205 -23.971, 151.19 -23.966, 151.185 -23.949, 151.18 -23.939, 151.165 -23.929, 151.146 -23.929, 151.148 -23.908, 151.147 -23.893, 151.146 -23.882, 151.143 -23.869, 151.128 -23.847, 151.129 -23.84, 151.132 -23.837, 151.139 -23.834, 151.15 -23.827, 151.154 -23.82)</t>
  </si>
  <si>
    <t>P1202</t>
  </si>
  <si>
    <t>https://www.gem.wiki/Casino_to_Iona_Pipeline</t>
  </si>
  <si>
    <t>Casino to Iona Pipeline</t>
  </si>
  <si>
    <t>Mitsui Group [50.00%]; Santos Limited [50.00%]</t>
  </si>
  <si>
    <t>Casino Gas Field</t>
  </si>
  <si>
    <t>Iona</t>
  </si>
  <si>
    <t>LINESTRING (142.95694 -38.674885, 142.955994 -38.676064, 142.954132 -38.677834, 142.951996 -38.679401, 142.774948 -38.793751, 142.773834 -38.794422, 142.771469 -38.795601, 142.768936 -38.796543, 142.766281 -38.797241, 142.764908 -38.797493, 142.762131 -38.797798, 142.759338 -38.79784, 142.757935 -38.797756, 142.755173 -38.797398, 142.698349 -38.787174)</t>
  </si>
  <si>
    <t>P1203</t>
  </si>
  <si>
    <t>https://www.gem.wiki/Katherine_to_Gove_Gas_Pipeline</t>
  </si>
  <si>
    <t>Katherine to Gove Gas Pipeline</t>
  </si>
  <si>
    <t>KGGP</t>
  </si>
  <si>
    <t>Rio Tinto Group [100.00%]</t>
  </si>
  <si>
    <t>Katherine</t>
  </si>
  <si>
    <t>Gove</t>
  </si>
  <si>
    <t>LINESTRING (132.201194 -14.475074, 136.799199 -12.332745, 136.830446 -12.308747, 136.837544 -12.302066, 136.841315 -12.29462, 136.847564 -12.257392, 136.846484 -12.250162, 136.841719 -12.244449, 136.80306 -12.212942, 136.762738 -12.182959)</t>
  </si>
  <si>
    <t>P1204</t>
  </si>
  <si>
    <t>https://www.gem.wiki/North_Rankin_A_to_Withnell_Bay_Pipeline</t>
  </si>
  <si>
    <t>North Rankin A to Withnell Bay Pipeline</t>
  </si>
  <si>
    <t>BHP Billiton Group [unknown %]; BP [unknown %]; Chevron [unknown %]; Mitsubishi [unknown %]; Mitsui Group [unknown %]; Shell [unknown %]; Woodside Energy [unknown %]</t>
  </si>
  <si>
    <t>Carnavon Basin</t>
  </si>
  <si>
    <t>Withnell Bay</t>
  </si>
  <si>
    <t>LINESTRING (116.7709104 -20.5796718, 115.9825984 -19.4545248)</t>
  </si>
  <si>
    <t>P3240</t>
  </si>
  <si>
    <t>https://www.gem.wiki/Khulna-Bagerhat-Pirojpur-Jhalokathi-Barishal_Gas_Transmission_Pipeline_Project</t>
  </si>
  <si>
    <t>Khulna-Bagerhat-Pirojpur-Jhalokathi-Barishal Gas Transmission Pipeline Project</t>
  </si>
  <si>
    <t xml:space="preserve">Khulna </t>
  </si>
  <si>
    <t>LINESTRING (89.5402539304749 22.846168635551013, 89.76581582488693 22.655444777637662, 89.76581582488693 22.655444777637662, 90.19897835628883 22.640523123944305, 90.35321781769107 22.700603783952754)</t>
  </si>
  <si>
    <t>P3241</t>
  </si>
  <si>
    <t>https://www.gem.wiki/Bhola%E2%80%93Khulna_Gas_Pipeline</t>
  </si>
  <si>
    <t>Bhola–Khulna Gas Pipeline</t>
  </si>
  <si>
    <t>Bhola</t>
  </si>
  <si>
    <t>LINESTRING (90.64081140900518 22.684893166788743, 90.35216827801379 22.70119711333427, 89.54242057706195 22.84150666540497)</t>
  </si>
  <si>
    <t>P3242</t>
  </si>
  <si>
    <t>Galveston County Project</t>
  </si>
  <si>
    <t>12, 20</t>
  </si>
  <si>
    <t>P3243</t>
  </si>
  <si>
    <t>https://www.gem.wiki/Goleni%C3%B3w%E2%80%93P%C5%82oty_Gas_Pipeline</t>
  </si>
  <si>
    <t>Goleniów–Płoty Gas Pipeline</t>
  </si>
  <si>
    <t>Tłocznia Goleniów</t>
  </si>
  <si>
    <t>Płoty</t>
  </si>
  <si>
    <t>LINESTRING (14.834143 53.562281, 14.919346 53.560547, 15.014077 53.56773, 15.108122 53.626392, 15.143071 53.669947, 15.161211 53.720665, 15.201522 53.776087, 15.246872 53.794544, 15.2664 53.805)</t>
  </si>
  <si>
    <t>P3244</t>
  </si>
  <si>
    <t>https://www.gem.wiki/Racib%C3%B3rz-O%C5%9Bwi%C4%99cim_Gas_Pipeline</t>
  </si>
  <si>
    <t>Racibórz–Oświęcim Gas Pipeline</t>
  </si>
  <si>
    <t>Racibórz</t>
  </si>
  <si>
    <t>MULTILINESTRING ((18.153 50.073326, 18.150591 50.082124, 18.151111 50.084127, 18.155272 50.086797, 18.167235 50.093137, 18.171396 50.094138, 18.180238 50.095139, 18.18856 50.09614, 18.193761 50.099476, 18.200522 50.10348, 18.205723 50.105815, 18.219767 50.111819, 18.227568 50.113487, 18.23589 50.114154, 18.243172 50.112486, 18.249933 50.111486, 18.257735 50.111152, 18.266577 50.113153, 18.270218 50.115488, 18.275419 50.119157, 18.281661 50.122491, 18.288422 50.122491, 18.296224 50.121824, 18.304546 50.119824, 18.310787 50.117489, 18.313908 50.114154, 18.314428 50.111152, 18.317029 50.109818, 18.32431 50.110485, 18.337313 50.114487, 18.349276 50.115488, 18.360198 50.116489, 18.365399 50.11949, 18.368 50.121491, 18.371121 50.122491, 18.376842 50.122491, 18.381003 50.121824, 18.388285 50.121491, 18.397647 50.121491, 18.401808 50.123492, 18.401288 50.126159, 18.399207 50.129827, 18.401288 50.132828, 18.403368 50.133828, 18.406489 50.136162, 18.406489 50.140496, 18.405448 50.147495, 18.406489 50.150162, 18.409089 50.152161, 18.414811 50.152828, 18.4585 50.153494, 18.465262 50.154161, 18.475664 50.15616, 18.479825 50.156494, 18.487107 50.155827, 18.496989 50.154161, 18.49959 50.152161, 18.50167 50.149162, 18.506351 50.146162, 18.510512 50.145162, 18.515193 50.144829, 18.527156 50.146162, 18.539119 50.149162, 18.542239 50.149828, 18.5464 50.148495, 18.54744 50.144162, 18.553682 50.131494, 18.557843 50.126159, 18.560964 50.123825, 18.572406 50.11849, 18.576567 50.116155, 18.579688 50.112153, 18.586449 50.106816, 18.59061 50.099476, 18.593211 50.095806, 18.596332 50.094805, 18.599452 50.094805, 18.622337 50.097474, 18.63586 50.100477, 18.646263 50.103146, 18.650944 50.105148, 18.657705 50.106816, 18.664467 50.107816, 18.672269 50.107483, 18.686312 50.105815, 18.694634 50.10348, 18.700875 50.102479, 18.706596 50.10348, 18.712838 50.103813, 18.716479 50.10348, 18.72064 50.101812, 18.72428 50.098142, 18.731042 50.095139, 18.734163 50.092803, 18.739364 50.089466, 18.748206 50.088799, 18.752887 50.087798, 18.756528 50.086463, 18.76797 50.085128, 18.776812 50.085462, 18.786694 50.086463, 18.800218 50.089133, 18.8127 50.091135, 18.818422 50.093137, 18.827264 50.094138, 18.835065 50.093804, 18.842867 50.092136, 18.846508 50.088799, 18.849629 50.083793, 18.858991 50.078453, 18.868353 50.07645, 18.879795 50.077118, 18.887597 50.078453, 18.895399 50.078787, 18.90008 50.077451, 18.909962 50.074781, 18.915684 50.07378, 18.922445 50.073446, 18.932847 50.073112, 18.935448 50.071443, 18.938569 50.068772, 18.941689 50.066769, 18.947931 50.065768, 18.962494 50.066101, 18.979138 50.067103, 19.002543 50.066769, 19.029589 50.068105, 19.03479 50.06944, 19.040512 50.071777, 19.044673 50.076116, 19.049874 50.077451, 19.053515 50.077785, 19.056635 50.076116, 19.061837 50.070108, 19.072239 50.064432, 19.085242 50.061761, 19.096684 50.058756, 19.105006 50.05575, 19.109167 50.054415, 19.114368 50.054081, 19.12217 50.053747, 19.132052 50.055083, 19.137774 50.055083, 19.142455 50.054749, 19.149736 50.052411, 19.155458 50.049405, 19.159098 50.048737, 19.163259 50.048737, 19.1669 50.051409, 19.172622 50.054749, 19.181464 50.056084, 19.191346 50.058088, 19.197587 50.059758, 19.202788 50.060091, 19.206949 50.058756, 19.217872 50.058422, 19.226714 50.060425, 19.231915 50.062429, 19.237116 50.066769, 19.238676 50.067437), (18.842867 50.092136, 18.842347 50.078787, 18.843907 50.072444, 18.846508 50.065434, 18.850149 50.059424, 18.85691 50.047735, 18.861071 50.042057, 18.860031 50.039385, 18.857951 50.03738, 18.853269 50.033706, 18.845988 50.031033, 18.838706 50.026355, 18.836106 50.020674, 18.834545 50.014993, 18.835585 50.008977))</t>
  </si>
  <si>
    <t>P1205</t>
  </si>
  <si>
    <t>https://www.gem.wiki/First_Gas_Transmission_Pipeline</t>
  </si>
  <si>
    <t>First Gas Transmission Pipeline</t>
  </si>
  <si>
    <t>Commonwealth Bank [100.00%]</t>
  </si>
  <si>
    <t>Whangerai</t>
  </si>
  <si>
    <t>North Island</t>
  </si>
  <si>
    <t>Wellington</t>
  </si>
  <si>
    <t>MULTILINESTRING ((174.0701585 -39.0695521, 174.5123155 -38.9457631, 175.0808145 -38.0861711, 174.9187235 -37.0280132, 174.6247965 -36.8699722, 174.5447595 -36.7699292, 174.4156275 -36.1381112, 174.2851215 -35.7356012), (174.0701585 -39.0695521, 174.2201425 -39.5286431, 175 -40.2116231))</t>
  </si>
  <si>
    <t>P1206</t>
  </si>
  <si>
    <t>https://www.gem.wiki/Maui_Pipeline</t>
  </si>
  <si>
    <t>Maui Pipeline</t>
  </si>
  <si>
    <t>New Plymouth</t>
  </si>
  <si>
    <t>Auckland</t>
  </si>
  <si>
    <t>LINESTRING (173.7989335 -39.3865642, 174.0584425 -39.0588881, 174.3811225 -38.9906061, 175.1348405 -38.3361641, 175.3009655 -38.0469012, 175.1457405 -37.5586202)</t>
  </si>
  <si>
    <t>P1219</t>
  </si>
  <si>
    <t>https://www.gem.wiki/Icthys_Gas_Pipeline</t>
  </si>
  <si>
    <t>Ichthys Gas Pipeline</t>
  </si>
  <si>
    <t>INPEX [62.25%]; TotalEnergies SE [30.00%]; Government of Taiwan [2.63%]; Tokyo Gas [1.58%]; Kansai Electric Power Company [1.20%]; Osaka Gas [1.20%]; Toho Gas [0.42%]; Chubu Electric Power [0.37%]; Nuclear Damage Compensation and Decommissioning Facilitation Corporation [0.37%]</t>
  </si>
  <si>
    <t>Ichthys Field</t>
  </si>
  <si>
    <t>Offshore Australia</t>
  </si>
  <si>
    <t>MULTILINESTRING ((128.393202 -12.519356, 128.20903 -12.522918, 128.195358 -12.523449, 128.176437 -12.524956, 128.173782 -12.525093, 128.171677 -12.525095, 128.13562 -12.524312, 128.103394 -12.524908, 128.100555 -12.525047, 128.096634 -12.525526, 127.42411 -12.635707, 127.421471 -12.636246, 127.418869 -12.636935, 127.398842 -12.643322, 127.396042 -12.644016, 127.393196 -12.644536, 127.389755 -12.644927, 127.386871 -12.645058, 127.3834 -12.644979, 127.379951 -12.644645, 127.37767 -12.64428, 127.375412 -12.643804, 127.361313 -12.640143, 127.358521 -12.639605, 127.355698 -12.639237, 127.352287 -12.639023, 127.349442 -12.639035, 127.346596 -12.639221, 127.343773 -12.639578, 127.340424 -12.640232, 127.337128 -12.641129, 127.291054 -12.656722, 127.287857 -12.657637, 127.284607 -12.658324, 126.558868 -12.774765, 126.543312 -12.777803, 126.527039 -12.779827, 126.482109 -12.78722, 126.470383 -12.788829, 126.458603 -12.791094, 126.41597 -12.798076, 126.412575 -12.798383, 126.409172 -12.798442, 126.406898 -12.798345, 126.395729 -12.797595, 126.392265 -12.797533, 126.389961 -12.797632, 126.387093 -12.797915, 126.375664 -12.799675, 126.371719 -12.800069, 126.368889 -12.800145, 126.366058 -12.800051, 126.363243 -12.799787, 126.360443 -12.799352, 126.33815 -12.79492, 126.335976 -12.794432, 126.33329 -12.793676, 126.319557 -12.789196, 126.31575 -12.788175, 126.277443 -12.780581, 126.273605 -12.779653, 126.271454 -12.778977, 126.269341 -12.778199, 126.265732 -12.776593, 126.263741 -12.775539, 126.254021 -12.769962, 126.251968 -12.768912, 126.249329 -12.767746, 126.246628 -12.766744, 126.243309 -12.765763, 126.239929 -12.765033, 126.236504 -12.764553, 126.232468 -12.764316, 126.230164 -12.764337, 126.227859 -12.764471, 126.1614 -12.770792, 126.157623 -12.771306, 126.1539 -12.772127, 126.004303 -12.811499, 126.000587 -12.812643, 125.996986 -12.814093, 125.980484 -12.821994, 125.968391 -12.827173, 125.965378 -12.828634, 125.962952 -12.830014, 125.961075 -12.831223, 125.951218 -12.838408, 125.948349 -12.840302, 125.945854 -12.841713, 125.930695 -12.84964, 125.914986 -12.856386, 125.892494 -12.866223, 125.889885 -12.867169, 125.869667 -12.873581, 125.867531 -12.874373, 125.864922 -12.87551, 125.861389 -12.877367, 125.847855 -12.885459, 125.844551 -12.88721, 124.820679 -13.375252, 124.818665 -13.376146, 124.816612 -13.376946, 124.803673 -13.381166, 124.801613 -13.381916, 124.799583 -13.382762, 124.776962 -13.393484, 124.763268 -13.40124, 124.760857 -13.402489, 124.757362 -13.403994, 124.746513 -13.408021, 124.744621 -13.408792, 124.720749 -13.420071, 124.718002 -13.421482, 124.640617 -13.464603, 124.638054 -13.465931, 124.635941 -13.466877, 124.521324 -13.514849, 124.452873 -13.549179, 124.37796 -13.584498, 124.374916 -13.585723, 124.262009 -13.626507, 124.259941 -13.627367, 124.257416 -13.628581, 124.243576 -13.636128, 124.240959 -13.637342, 124.238266 -13.638393, 124.235519 -13.639277, 124.233284 -13.63986, 124.231018 -13.640332, 124.218712 -13.642606, 124.215492 -13.643395, 124.21286 -13.644224, 123.9207 -13.749369, 123.918579 -13.750187, 123.915993 -13.751355, 123.912491 -13.753252, 123.909172 -13.755442, 123.907364 -13.75682, 123.905624 -13.758285, 123.902763 -13.761048, 123.900864 -13.763167, 123.891533 -13.774588, 123.889786 -13.776558, 123.887924 -13.778423, 123.875305 -13.790399, 123.873795 -13.791939, 123.696404 -13.981053, 123.694336 -13.983057, 123.692589 -13.984567, 123.690773 -13.985989, 123.688889 -13.987321, 123.686943 -13.988559, 123.684937 -13.9897, 123.682884 -13.990742, 123.680244 -13.991899, 123.676437 -13.993245, 123.672531 -13.994258, 123.668549 -13.994934, 123.664528 -13.995266, 123.660492 -13.995252, 123.656479 -13.994892, 123.652504 -13.994189, 123.648605 -13.993148, 123.641373 -13.990698, 123.638374 -13.989484, 123.635941 -13.988315, 123.621529 -13.980891, 123.618889 -13.979708, 123.616722 -13.978881, 123.613968 -13.977997, 123.610596 -13.977163, 123.594917 -13.974598, 123.591698 -13.973854, 123.588531 -13.972887, 123.557381 -13.960939, 123.441589 -13.919634, 123.43821 -13.918233, 123.42942 -13.91408, 123.426392 -13.91285, 123.358925 -13.889075, 123.356735 -13.888373, 123.354515 -13.887779, 123.350563 -13.887009, 123.348282 -13.886723, 123.345985 -13.886551, 123.343689 -13.886493, 123.34082 -13.88658, 123.337952 -13.886847, 123.335678 -13.887187, 123.333427 -13.887639, 123.330643 -13.888361, 123.327911 -13.889254, 123.325768 -13.890089, 123.323669 -13.891031, 123.321625 -13.892074, 123.319138 -13.893518, 123.317223 -13.894785, 123.315361 -13.896143, 123.313141 -13.897969, 123.311455 -13.899526, 123.309837 -13.901165, 123.307938 -13.903323, 123.306519 -13.905131, 123.304878 -13.907488, 123.303665 -13.909443, 123.302559 -13.911456, 123.301544 -13.913522, 123.300636 -13.915635, 123.299843 -13.91779, 123.299149 -13.919984, 123.298561 -13.922208, 123.297989 -13.925024, 123.296585 -13.934084), (130.162882 -12.317856, 129.499954 -12.499975, 129.497345 -12.500609, 129.49469 -12.501093, 129.482834 -12.502514, 129.480072 -12.502755, 129.47731 -12.502833, 129.431839 -12.50277, 129.42894 -12.502678, 129.426071 -12.502406, 129.423218 -12.501959, 129.401154 -12.49724, 129.397186 -12.496616, 129.393768 -12.496352, 129.369415 -12.495374, 129.366608 -12.495344, 129.363815 -12.495483, 129.361588 -12.495713, 129.32959 -12.500176, 129.303879 -12.502853, 129.30011 -12.503092, 129.297424 -12.503077, 129.272934 -12.502247, 129.257263 -12.502741, 129.242798 -12.502152, 129.240509 -12.502111, 129.237076 -12.502259, 129.224335 -12.50342, 129.220886 -12.503526, 129.217438 -12.503377, 129.205704 -12.502309, 129.201935 -12.502199, 129.016983 -12.506352, 129.014771 -12.506454, 129.012024 -12.506727, 128.996216 -12.509135, 128.994003 -12.509421, 128.983429 -12.510177, 128.980637 -12.510284, 128.978394 -12.51025, 128.976166 -12.510108, 128.973938 -12.509861, 128.971725 -12.509507, 128.968994 -12.508917, 128.956207 -12.505626, 128.952866 -12.505012, 128.949493 -12.504641, 128.945526 -12.504519, 128.905365 -12.504989, 128.903122 -12.505095, 128.900894 -12.505308, 128.871124 -12.509235, 128.867142 -12.509588, 128.767273 -12.511727, 128.76532 -12.51183, 128.75293 -12.512865, 128.750793 -12.512971, 128.748123 -12.512966, 128.734329 -12.512433, 128.713638 -12.512856, 128.710968 -12.513019, 128.708847 -12.513257, 128.693649 -12.515477, 128.691452 -12.515696, 128.689255 -12.515809, 128.685944 -12.515786, 128.649338 -12.514232, 128.635635 -12.512998, 128.633423 -12.512871, 128.63121 -12.512848, 128.627899 -12.513009, 128.615326 -12.514173, 128.592697 -12.514877, 128.559204 -12.51633, 128.546021 -12.516305, 128.419998 -12.518829, 128.406937 -12.519448, 128.393295 -12.519354, 128.393202 -12.519356))</t>
  </si>
  <si>
    <t>P1244</t>
  </si>
  <si>
    <t>6, 8, 10, 12, 16</t>
  </si>
  <si>
    <t>Plaza Huincul; Yacimiento Cerro Dragón, Golfo de San Jorge</t>
  </si>
  <si>
    <t>LINESTRING (-68.838019 -38.748928, -69.371759 -39.577367, -70.096198 -40.052225, -70.638059 -40.56419, -71.318954 -42.912318, -70.598518 -44.048521, -70.251178 -45.685625, -68.308205 -45.730365)</t>
  </si>
  <si>
    <t>P1247</t>
  </si>
  <si>
    <t>Transportadora Gas del Centro Pipeline</t>
  </si>
  <si>
    <t>Tratayén</t>
  </si>
  <si>
    <t>Salliqueló</t>
  </si>
  <si>
    <t>LINESTRING (-68.634669 -38.415504, -62.658756 -36.85316)</t>
  </si>
  <si>
    <t>P1248</t>
  </si>
  <si>
    <t>https://www.gem.wiki/San_Martin_Pipeline</t>
  </si>
  <si>
    <t>San Martin Pipeline</t>
  </si>
  <si>
    <t>First Transmagallánico Gas Pipeline; Austral Pipeline</t>
  </si>
  <si>
    <t>Cabo Espíritu Santo</t>
  </si>
  <si>
    <t>Gutierrez</t>
  </si>
  <si>
    <t>Gasoducto San Martín</t>
  </si>
  <si>
    <t>https://www.gem.wiki/Gasoducto_San_Mart%C3%ADn</t>
  </si>
  <si>
    <t>LINESTRING (-58.184817 -34.85064, -58.275934 -35.017494, -59.18164 -37.210354, -61.017527 -38.2426, -62.392252 -38.687292, -62.679277 -38.714139, -63.364005 -39.298661, -64.472154 -40.059891, -65.109658 -40.773784, -65.322437 -41.131634, -65.636607 -42.327206, -65.920822 -43.600885, -66.616695 -44.686023, -67.662218 -45.558399, -67.939772 -46.662132, -67.373986 -47.674066, -67.771976 -48.542841, -67.784489 -49.303801, -69.210233 -50.28718, -69.52321748692073 -50.76508568620942, -69.531551 -51.297441, -68.428755 -52.324664, -68.574531 -52.7404, -68.518833 -53.037715, -68.557193 -53.156399, -68.568088 -53.189724, -68.560654 -53.247572, -68.461171 -53.29854, -68.151616 -53.363194)</t>
  </si>
  <si>
    <t>P0928</t>
  </si>
  <si>
    <t>India, Bangladesh, Myanmar</t>
  </si>
  <si>
    <t>https://www.gem.wiki/India-Myanmar-Bangladesh_Gas_Pipeline</t>
  </si>
  <si>
    <t>India-Myanmar-Bangladesh Gas Pipeline</t>
  </si>
  <si>
    <t>Bangladesh Petroleum Corporation [unknown %]; GAIL (India) Limited [unknown %]; Oil and Natural Gas Corporation Limited [unknown %]</t>
  </si>
  <si>
    <t>Assam Gas Field; Tripura Gas Field; Myanmar</t>
  </si>
  <si>
    <t>India, Bangladesh</t>
  </si>
  <si>
    <t>LINESTRING (92.87 20.153, 93.181 20.635, 93.246 21.029, 93.134 21.392, 92.926 22.101, 92.701 22.842, 92.613 23.15, 92.577 23.615, 92.377 23.903, 92.121 24.023, 91.737 23.979, 91.104 23.635, 90.656 23.306, 90.006 23.055, 88.812 22.671, 88.371 22.498)</t>
  </si>
  <si>
    <t>P1060</t>
  </si>
  <si>
    <t>https://www.gem.wiki/Yamagata_Gas_Pipeline</t>
  </si>
  <si>
    <t>Yamagata Gas Pipeline</t>
  </si>
  <si>
    <t>Tohoku Natural Gas Co., Inc. [100.00%]</t>
  </si>
  <si>
    <t>Niigata / Sendai Line Oiwake Branch valve station (ライン追分分岐VS)</t>
  </si>
  <si>
    <t>Yamagata Gas delivery valve station (山形ガス受渡VS)</t>
  </si>
  <si>
    <t>Yamagata</t>
  </si>
  <si>
    <t>LINESTRING (140.44579174599 37.994208267867464, 140.34212903867135 38.255693056495154)</t>
  </si>
  <si>
    <t>P1061</t>
  </si>
  <si>
    <t>https://www.gem.wiki/Yokohama_Transmission_Line</t>
  </si>
  <si>
    <t>Yokohama Transmission Line</t>
  </si>
  <si>
    <t>LINESTRING (139.523112 35.558127, 139.505658 35.603824)</t>
  </si>
  <si>
    <t>P0929</t>
  </si>
  <si>
    <t>https://www.gem.wiki/Jagdishpur-Haldia-Bokaro-Dhamra_Natural_Gas_Pipeline_(JHBDPL)</t>
  </si>
  <si>
    <t>Jagdishpur-Haldia-Bokaro-Dhamra Natural Gas Pipeline (JHBDPL)</t>
  </si>
  <si>
    <t xml:space="preserve">JHBDPL, Pradhan Mantri Urja Ganga project </t>
  </si>
  <si>
    <t>Jagdishpur</t>
  </si>
  <si>
    <t>MULTILINESTRING ((86.899137 20.793992, 86.756486 21.06741, 86.779726 21.269931, 86.885967 21.396092, 86.965647 21.472452, 87.118368 21.572053, 87.294329 21.631813, 87.576531 21.731414, 87.805612 21.824374, 87.981573 21.977095, 88.037237 22.009481, 88.144296 22.07161), (82.849216 25.5181055, 82.852959 25.515956, 82.914381 25.4969, 82.957888 25.473798, 82.9886 25.455313, 83.047462 25.439136, 83.08841 25.439136, 83.137036 25.422957, 83.16007 25.413711, 83.211255 25.4114, 83.247084 25.383657, 83.293151 25.355907, 83.382725 25.314271, 83.436469 25.274935, 83.561873 25.212434, 83.659124 25.161484, 83.700072 25.138318, 83.746139 25.126733, 83.781969 25.0827, 83.81268 25.045608, 83.853628 25.027058, 83.935524 24.989949, 83.996946 24.98067, 84.058368 24.98299, 84.117231 24.98067, 84.124909 24.96443, 84.170975 24.96443, 84.201686 24.920339, 84.229838 24.894806, 84.261189 24.873621, 84.280384 24.8504, 84.286782 24.83182, 84.305976 24.817884, 84.341806 24.796976, 84.375076 24.792329, 84.375076 24.794653, 84.39427 24.752826, 84.446735 24.744691, 84.481285 24.715634, 84.536309 24.685408, 84.573418 24.671455, 84.613087 24.650522, 84.657874 24.636566, 84.698822 24.624934, 84.766642 24.597012, 84.87112 24.5552974, 84.937661 24.5320174, 84.965624 24.525727, 85.002733 24.516413, 85.043681 24.505935, 85.076952 24.488468, 85.099985 24.464011, 85.120459 24.451198, 85.176763 24.432559, 85.197237 24.417412, 85.202355 24.395272, 85.227948 24.384783, 85.262498 24.375459, 85.309844 24.341653, 85.340555 24.340487, 85.367427 24.33116, 85.389181 24.307838, 85.410935 24.291511, 85.445484 24.283346, 85.454442 24.244849, 85.483873 24.230847, 85.53122 24.21801, 85.587523 24.195835, 85.63231 24.177159, 85.650225 24.163149, 85.66686 24.144468, 85.692453 24.147971, 85.723164 24.139797, 85.741078 24.11644, 85.784586 24.102424, 85.806339 24.10476, 85.843449 24.087238, 85.898473 24.048682, 85.931743 24.04167, 85.969492 24.016543, 86.00916 23.98498, 86.036033 23.953409, 86.042431 23.918322, 86.048829 23.822368, 86.060346 23.789587, 86.101294 23.762653, 86.187029 23.739228, 86.271484 23.706426, 86.366816 23.67303, 86.3675185 23.6727702, 86.433357 23.648417, 86.480703 23.643728, 86.6288721 23.5999969, 86.7065173 23.5875737, 86.7449053 23.5910897, 86.7756163 23.5887457, 86.7960903 23.5711627, 86.8344793 23.5770247, 86.8677503 23.5770247, 86.8984613 23.5817127, 86.9214943 23.5559227, 86.9797173 23.5289547, 87.0398603 23.5148817, 87.1038413 23.4961157, 87.1358323 23.4761747, 87.1934153 23.4536742, 87.2177283 23.4419422, 87.2817093 23.4302102, 87.3572073 23.4431162, 87.3930373 23.4700962, 87.4339853 23.4865172, 87.4774923 23.4278632, 87.5030853 23.4266902, 87.5529903 23.4090882, 87.6131333 23.3832692, 87.6860713 23.3527482, 87.7321383 23.3222212, 87.7807643 23.3046062, 87.8089163 23.2975592, 87.8703383 23.3128262, 87.9061673 23.2846392, 87.9394383 23.2658442, 88.0149363 23.2411712, 88.0469263 23.2270712, 88.0929933 23.2067982, 88.1339413 23.1868172, 88.1787283 23.1621302, 88.2196763 23.1503722, 88.2503873 23.1433172, 88.2810983 23.1209742, 88.2900563 23.1045092, 88.3246063 23.1033322, 88.3732313 23.0774532, 88.3757913 23.0292112, 88.3335633 22.9641742, 88.3233263 22.9359132, 88.3246063 22.9111792, 88.3348433 22.8758382, 88.3028523 22.8393092, 88.2342494 22.7973844, 88.2009784 22.7797004, 88.1856234 22.7620144, 88.1741064 22.7289944, 88.1638694 22.7065834, 88.1574714 22.6829884, 88.1574714 22.6487684, 88.1101254 22.6145404, 88.0819734 22.5921104, 88.0627794 22.5708584, 88.0538214 22.5434014, 88.0423044 22.5138724, 88.0064754 22.4760654, 87.9796034 22.4524314, 87.9642474 22.4240654, 87.9450534 22.4027864, 87.9258584 22.3897804, 87.9117824 22.3306504, 87.8900294 22.2951604, 87.8682754 22.2679444, 87.8797924 22.2345104, 87.8861904 22.1989954, 87.8874704 22.1788664, 87.9143424 22.1504434, 87.9437734 22.1208304, 87.9911194 22.1054294, 88.0282294 22.0900264, 88.0551014 22.0663264, 88.0851073 22.0601547, 88.1453579 22.0777561), (82.8492361 25.5181795, 82.864796 25.592871, 82.872473 25.636718, 82.892947 25.655175, 82.900625 25.703612, 82.903184 25.726669, 82.939014 25.779686, 82.949251 25.818856, 82.959488 25.858014, 82.979962 25.901763, 82.9824054 25.90975, 82.9919253 25.9168899, 83.0038252 25.9287898, 83.0157251 25.9763894, 83.0543736 26.1134359, 83.1186689 26.272031, 83.1529598 26.3277537, 83.1958233 26.4177671, 83.2558323 26.5506442, 83.3029822 26.6663758, 83.324414 26.717812, 83.3501321 26.777821, 83.397282 26.8292573), (86.1037439 23.7619836, 86.065464 23.76807, 86.0418968 23.736351, 86.0210924 23.6960425, 85.9794836 23.6505328, 85.9235718 23.632329, 85.8767619 23.6245273, 85.830013 23.627243, 85.812098 23.616691, 85.789064 23.617863, 85.777548 23.608483, 85.773709 23.59324, 85.745557 23.567439, 85.684135 23.531074, 85.645746 23.508781, 85.567689 23.50526, 85.556172 23.502914, 85.557452 23.46301, 85.508826 23.431313, 85.448684 23.397259, 85.403897 23.385514, 85.355271 23.354974, 85.337996 23.312087, 85.311124 23.261545, 85.300887 23.239207, 85.297048 23.216865, 85.295768 23.196871, 85.270176 23.152169, 85.250981 23.116867, 85.286811 23.079202, 85.277853 23.042703, 85.261218 23.002661, 85.239464 22.983814, 85.216431 22.969677, 85.2132269 22.948503, 85.208415 22.9388791, 85.1923752 22.9292553, 85.1651075 22.9180274, 85.118592 22.8891557, 85.0871999 22.8402295, 85.0551203 22.8594773, 85.0005849 22.8370216, 84.9749213 22.7824862, 84.9572775 22.7375748, 84.91397 22.6958713, 84.9059501 22.6621877, 84.9011381 22.6252961, 84.8915142 22.5964244, 84.8850983 22.5322652, 84.8786824 22.4873537, 84.8498107 22.4360263, 84.8209391 22.3927189, 84.8129192 22.3365795, 84.8209391 22.293272, 84.8195742 22.2795079, 84.7680077 22.2451526, 84.7198883 22.2499646, 84.6108176 22.2355287, 84.5225986 22.2355287, 84.4504195 22.2178849, 84.3849129 22.1810575, 84.3175457 22.1345421, 84.3143377 22.0928386, 84.2982979 22.0655709, 84.2581984 22.0270754, 84.2261188 21.9853719, 84.2373467 21.9436684, 84.2485745 21.893945, 84.270147 21.880728, 84.297019 21.816592, 84.32645 21.77263, 84.346284 21.755249, 84.367398 21.735043, 84.3999463 21.6889744, 84.4317 21.629512, 84.449999 21.6294265, 84.449999 21.5773658, 84.4825369 21.5292097, 84.49952 21.511701, 84.5372006 21.4979733, 84.5697385 21.4602294, 84.5970704 21.4485157, 84.6178946 21.4302945, 84.6608447 21.4081687, 84.689478 21.3808369, 84.689478 21.3548065, 84.685066 21.34732, 84.6738598 21.3027459, 84.7363326 21.2741125, 84.7597599 21.2584943, 84.8300418 21.1973231, 84.8821024 21.192117, 84.8703888 21.15177, 84.8929348 21.0984947, 84.9241597 21.0760769, 84.932034 21.062346, 84.942911 21.036072, 84.960186 21.009794, 84.981939 20.995459, 84.996655 20.982914, 85.006892 20.950652, 85.041442 20.924957, 85.079831 20.885509, 85.1047041 20.8408657, 85.162083 20.8361953, 85.2689613 20.8557539, 85.3678041 20.8557539, 85.4379968 20.8142113, 85.4924319 20.7869938, 85.5554621 20.7712362, 85.6027347 20.7683712, 85.6356823 20.8371314, 85.7073074 20.8586189, 85.7674726 20.884404, 85.8419628 20.898729, 85.8949654 20.8915665, 85.922183 20.887269, 85.9222199 20.8872702), (85.9222199 20.8872702, 85.9665906 20.8887015, 86.0210257 20.895864, 86.0472393 20.9070141, 86.063364 20.8908894, 86.094075 20.8879004, 86.138862 20.8801284, 86.185569 20.8789324, 86.234195 20.8849104, 86.311932 20.8855084, 86.377193 20.8831174, 86.42134 20.8723554, 86.443734 20.8436534, 86.4437481 20.8434932), (86.4437481 20.8434932, 86.448852 20.7856344, 86.452051 20.7329804, 86.451411 20.7078424, 86.475084 20.6827014, 86.478284 20.6722244, 86.469966 20.6452814, 86.466767 20.6279154, 86.472525 20.6075524, 86.486601 20.5841914, 86.497478 20.5668184, 86.496838 20.5296694, 86.499397 20.5032994, 86.521151 20.4763264, 86.535867 20.4539944, 86.56018 20.4306104, 86.575535 20.3964274, 86.588971 20.3688354, 86.612005 20.3442384, 86.6135351 20.3144842), (86.4437504 20.8434968, 86.460689 20.8312444, 86.476044 20.8138994, 86.496198 20.8201794, 86.522111 20.8315434, 86.549623 20.8330384, 86.567858 20.8183854, 86.586732 20.8079174, 86.611365 20.8103104, 86.625761 20.8150954, 86.658071 20.8237684, 86.7147201 20.8351224, 86.7593966 20.8423117, 86.7922621 20.8412847, 86.8482362 20.8335818, 86.899075 20.7940405), (85.9222199 20.8872702, 85.9333414 20.8351253, 85.944476 20.8031135, 85.944156 20.7738035, 85.956633 20.7621385, 85.972308 20.7388045, 85.973268 20.7172615, 85.976467 20.6945195, 85.983505 20.6789565, 85.988624 20.6538145, 85.984465 20.6162415, 85.996301 20.5931845, 86.010057 20.5635345, 86.011657 20.5497565, 86.013896 20.5259405, 86.0211921 20.4879956), (86.0211921 20.4879956, 86.0371912 20.4047901, 86.0211962 20.3670011, 86.0045602 20.3091001, 85.9968832 20.2628831, 85.9863262 20.2295631, 85.9690512 20.2031411, 85.9520962 20.1709341, 85.9155913 20.1352757), (86.0211921 20.4879956, 85.9464698 20.5149799, 85.9084008 20.5278679), (82.849216 25.5181055, 82.84848 25.513069, 82.858397 25.478996, 82.892308 25.438558), (86.3675185 23.6727702, 86.448073 23.715506), (85.4163558 25.0886645, 85.414807 25.0903396, 85.2897107 25.2362956, 85.2059138 25.3124747, 85.1693478 25.3322813, 85.1495412 25.3429463, 85.112141 25.367037, 85.059677 25.391315, 85.029606 25.408654, 84.988657 25.438703, 84.94387 25.475675), (85.370473 23.3645299, 85.3692269 23.3662834, 85.3293462 23.4138828, 85.3150432 23.4398883, 85.3020404 23.4554916, 85.2786355 23.5062023), (85.3552222 23.3548405, 85.3550733 23.3548231, 85.32376 23.351596, 85.295928 23.339847, 85.238025 23.312234), (84.8212078 22.2928426, 84.8626426 22.2547765, 84.8915142 22.2259048, 84.922757 22.179057), (84.3272962 21.7719136, 84.3264772 21.7715453, 84.2828557 21.7494712, 84.2223589 21.7338591, 84.1442985 21.710441, 84.1247834 21.7553257, 84.0642866 21.8489982), (85.1442244 20.8376473, 85.1446224 20.8381915, 85.1600814 20.8595472, 85.1847677 20.8855679, 85.2234652 20.9402781), (86.1037598 23.7619836, 86.101933 23.720632, 86.073782 23.677278), (86.0521797 22.8825777, 86.0781706 22.8872493, 86.1037636 22.8866593, 86.1203986 22.8748723, 86.1363936 22.8548313, 86.1415126 22.8353773, 86.1389536 22.8206373, 86.1306356 22.8112023), (87.3734349 23.4555749, 87.3524093 23.4894492, 87.3124203 23.5161272, 87.2893873 23.5240412, 87.2334033 23.5413342), (86.4795895 23.6438373, 86.4795875 23.6427711, 86.480863 23.614712, 86.5170631 23.5068227, 86.5042671 23.4692787, 86.4594801 23.4199847, 86.4274891 23.3894607, 86.4108541 23.3624527, 86.4095751 23.3260417, 86.3852621 23.2884457, 86.3711861 23.2649427, 86.3404751 23.2473127, 86.2937886 23.2254023, 86.2643566 23.1724843, 86.2656366 23.1277813, 86.2592386 23.1124843, 86.2195696 23.0783553, 86.2106126 23.0698223, 86.1786216 23.0486323, 86.1581476 23.0274403, 86.1543086 23.0085993, 86.1159196 22.9779773, 86.0813696 22.9661983, 86.0263456 22.9508833, 86.0378626 22.9119993, 86.0762516 22.8283023), (88.3757576 23.0296967, 88.376485 23.0294922, 88.4007433 23.0236212, 88.4212173 23.0153822, 88.4237773 22.9930182, 88.4544883 22.9824232, 88.4685643 22.9624082, 88.4634453 22.9400342, 88.4429713 22.9153022, 88.4404123 22.8764272, 88.4250563 22.8552182, 88.4109803 22.8175042, 88.4020233 22.7915702, 88.4109803 22.7526602, 88.4288953 22.7066612), (84.9156677 24.5397584, 85.0002556 24.6132524, 85.0243536 24.6651557, 85.0577201 24.7244738, 85.0966476 24.765255, 85.0929402 24.8356953, 85.1170382 24.8690617, 85.1466972 24.9172577, 85.2152838 24.9821368, 85.309822 25.0358939, 85.4101448 25.084714, 85.4482244 25.1085138, 85.498204 25.1442135, 85.6053031 25.1894331, 85.7124023 25.2108529, 85.8076015 25.2465526, 85.8885208 25.2965322, 85.9504003 25.2989122, 86.0241797 25.3346119, 86.0336996 25.4012513, 86.0931991 25.436951), (82.089499 25.5464944, 82.1298008 25.53819, 82.167079 25.536741, 82.200349 25.54136, 82.254093 25.529813, 82.307838 25.527504, 82.338549 25.513647, 82.374378 25.522885, 82.420445 25.518266, 82.474189 25.515956, 82.527934 25.509027, 82.594474 25.504407, 82.658456 25.502098, 82.724996 25.511337, 82.786418 25.529813, 82.824807 25.532123, 82.849216 25.5181055))</t>
  </si>
  <si>
    <t>P1062</t>
  </si>
  <si>
    <t>https://www.gem.wiki/Yokohama_Trunk_Line_2</t>
  </si>
  <si>
    <t>Yokohama Trunk Line 2</t>
  </si>
  <si>
    <t>P0930</t>
  </si>
  <si>
    <t>https://www.gem.wiki/Jaigarh-Dabhol_Gas_Pipeline</t>
  </si>
  <si>
    <t>Jaigarh-Dabhol Gas Pipeline</t>
  </si>
  <si>
    <t>LINESTRING (73.22406 17.285725, 73.175392 17.587083)</t>
  </si>
  <si>
    <t>P1249</t>
  </si>
  <si>
    <t>https://www.gem.wiki/Neuba_II_Pipeline</t>
  </si>
  <si>
    <t>Neuba II Pipeline</t>
  </si>
  <si>
    <t>Neuquén basin</t>
  </si>
  <si>
    <t>La Yegua</t>
  </si>
  <si>
    <t>Las Heras</t>
  </si>
  <si>
    <t>Gasoducto Neuba II</t>
  </si>
  <si>
    <t>https://www.gem.wiki/Gasoducto_Neuba_II</t>
  </si>
  <si>
    <t>LINESTRING (-69.032594 -37.963439, -68.565942 -38.437856, -67.328105 -38.983676, -65.878599 -39.033436, -64.064982 -38.968377, -62.392252 -38.687292, -62.658845 -36.852832, -61.152 -35.865003, -59.691362 -34.773835, -59.013677 -34.834428, -58.944651 -34.638372)</t>
  </si>
  <si>
    <t>P0931</t>
  </si>
  <si>
    <t>https://www.gem.wiki/Jaigarh-Mangalore_Gas_Pipeline</t>
  </si>
  <si>
    <t>Jaigarh-Mangalore Gas Pipeline</t>
  </si>
  <si>
    <t>JMPL</t>
  </si>
  <si>
    <t>LINESTRING (73.1737856 17.2720715, 73.2031671 17.242037, 73.2273253 17.2077585, 73.2491982 17.2074321, 73.2704183 17.1829474, 73.2939235 17.1845798, 73.3066555 17.1346311, 73.3386488 17.1199403, 73.35323 17.1039802, 73.3677643 17.0675328, 73.3941496 17.0310853, 73.3954912 16.9771968, 73.4120379 16.9709359, 73.443566 16.9700415, 73.4623488 16.9599793, 73.4936749 16.9246538, 73.5009388 16.8777177, 73.5221717 16.8386043, 73.5350233 16.8078724, 73.5461985 16.7631714, 73.55458 16.7279693, 73.5467573 16.6944436, 73.5154666 16.6469488, 73.5126728 16.6234807, 73.5249656 16.5927488, 73.5691078 16.5525179, 73.6098975 16.5161983, 73.6352618 16.435561, 73.6776749 16.2838527, 73.6842 16.258568, 73.6760436 16.0628154, 73.6817531 15.9641234, 73.7217192 15.9037663, 73.7992047 15.8466718, 73.8440646 15.814862, 73.8628243 15.7846835, 73.8628243 15.7496111, 73.8187799 15.7096449, 73.8137163 15.693019, 73.8187304 15.6763052, 73.827923 15.6554131, 73.8237445 15.5935723, 73.8254159 15.5342385, 73.8371155 15.498304, 73.8830783 15.4314491, 73.9440834 15.3328381, 73.9695114 15.2774684, 74.0133837 15.1904431, 74.0363986 15.1523246, 74.0479061 15.11061, 74.0486253 15.0473189, 74.04431 15.0243039, 74.0529406 15.0041658, 74.0845862 14.9797124, 74.0946552 14.971801, 74.0989705 14.9272096, 74.1040051 14.9077907, 74.12702 14.8898102, 74.1380701 14.8598234, 74.1728815 14.8177869, 74.222143 14.8125324, 74.2635226 14.7882301, 74.3003045 14.7645846, 74.3114705 14.7494777, 74.3173818 14.7383118, 74.32395 14.6923344, 74.3581047 14.6378184, 74.4053957 14.5839592, 74.4237866 14.566225, 74.4480889 14.5110522, 74.458598 14.4539089, 74.4572844 14.4092452, 74.4528348 14.3528726, 74.4582723 14.3082851, 74.4691474 14.2680475, 74.4789349 14.2397725, 74.5126474 14.1951849, 74.5300474 14.1669099, 74.5343974 14.1451599, 74.5430974 14.1103598, 74.5474474 14.0983973, 74.55506 14.0266223, 74.58986 13.9700722, 74.6279225 13.9363596, 74.6601823 13.8751475, 74.6655453 13.8456509, 74.6735898 13.8107912, 74.6843158 13.7696748, 74.7120248 13.7133631, 74.7433091 13.6695651, 74.7558228 13.5247635, 74.7629735 13.4997361, 74.7888947 13.4130339, 74.7888992 13.3149314, 74.7994599 13.2148339, 74.8242547 13.1395313, 74.8472128 13.0669836, 74.8499678 13.0366788, 74.8517721 12.9800561, 74.8606641 12.946711, 74.8726684 12.9160336, 74.8895632 12.8995833)</t>
  </si>
  <si>
    <t>P0932</t>
  </si>
  <si>
    <t>https://www.gem.wiki/Kakinada-Vizag-Srikakulam_Gas_Pipeline</t>
  </si>
  <si>
    <t>Kakinada-Vizag-Srikakulam Gas Pipeline</t>
  </si>
  <si>
    <t>KSPL</t>
  </si>
  <si>
    <t>Andhra Pradesh Gas Distribution Corporation Limited [200.00%]</t>
  </si>
  <si>
    <t>Andhra Pradesh Industrial Infrastructure Corporation [50.00%]; GAIL (India) Limited [50.00%]</t>
  </si>
  <si>
    <t>LINESTRING (82.1880736 16.8781606, 82.1925832 17.0508936, 82.2029477 17.0897604, 82.2469967 17.1525951, 82.2949325 17.1979397, 82.3999642 17.2716998, 82.6019074 17.3882055, 82.7210021 17.4581089, 82.8219737 17.5306013, 82.9410684 17.6263949, 82.9695476 17.641929, 83.0252114 17.6600521, 83.1210049 17.7105379, 83.2379063 17.796933, 83.3015529 17.8972573, 83.3889322 17.9479589, 83.447185 17.9921879, 83.5000441 18.057992, 83.531328 18.0892759, 83.5733995 18.142135, 83.5820295 18.1593951, 83.6176285 18.182049, 83.6801964 18.2025453, 83.7416855 18.2219629, 83.8031746 18.2359868, 83.8471787 18.2442956, 83.8899019 18.2465135)</t>
  </si>
  <si>
    <t>P1063</t>
  </si>
  <si>
    <t>https://www.gem.wiki/Yokohama_Shonan_Gas_Pipeline</t>
  </si>
  <si>
    <t>Yokohama-Shonan Gas Pipeline</t>
  </si>
  <si>
    <t>P1250</t>
  </si>
  <si>
    <t>https://www.gem.wiki/Neuba_I_Pipeline</t>
  </si>
  <si>
    <t>Neuba I Pipeline</t>
  </si>
  <si>
    <t>Sierra Barrosa</t>
  </si>
  <si>
    <t>Ezeiza</t>
  </si>
  <si>
    <t>Gasoducto Neuba I</t>
  </si>
  <si>
    <t>https://www.gem.wiki/Gasoducto_Neuba_I</t>
  </si>
  <si>
    <t>LINESTRING (-68.838019 -38.748928, -66.53548 -39.024977, -63.723143 -38.938711, -62.392252 -38.687292, -61.017527 -38.2426, -60.242149 -36.902746, -58.3887827 -34.615036)</t>
  </si>
  <si>
    <t>P1251</t>
  </si>
  <si>
    <t>https://www.gem.wiki/Centro_Oeste_Gas_Pipeline</t>
  </si>
  <si>
    <t>Centro Oeste Gas Pipeline</t>
  </si>
  <si>
    <t>GasInvest SA [112.00%]; Southern Cone Energy Holding Company Inc. [24.00%]; Bolsas y Mercados Argentinos SA [20.00%]</t>
  </si>
  <si>
    <t>CGC (Compañía General de Combustibles) [28.00%]; Tecpetrol [28.00%]; Southern Cone Energy Holding Company Inc. [24.00%]; Bolsas y Mercados Argentinos SA [20.00%]</t>
  </si>
  <si>
    <t>Loma La Lata</t>
  </si>
  <si>
    <t>Gasoducto Centro Oeste</t>
  </si>
  <si>
    <t>https://www.gem.wiki/Gasoducto_Centro_Oeste</t>
  </si>
  <si>
    <t>MULTILINESTRING ((-68.709 -38.459, -67.618636 -37.3433, -67.07371 -36.36653, -66.830465 -35.106985, -66.643717 -33.757381, -65.102981 -33.577093, -63.561241 -33.323776, -62.306177 -33.142615, -61.07707 -32.86922), (-66.643717 -33.757381, -67.555749 -33.477857))</t>
  </si>
  <si>
    <t>P1252</t>
  </si>
  <si>
    <t>https://www.gem.wiki/V%C3%ADa_Verde_Project</t>
  </si>
  <si>
    <t>Vía Verde Project</t>
  </si>
  <si>
    <t>Green Way project, Gasoducto del Norte, Northern Gas Pipeline</t>
  </si>
  <si>
    <t>Government of Puerto Rico [100.00%]</t>
  </si>
  <si>
    <t>Peñuelas</t>
  </si>
  <si>
    <t>Arecibo, Cataño, San Juan</t>
  </si>
  <si>
    <t>LINESTRING (-66.7239507 18.056503, -66.059774 18.416905)</t>
  </si>
  <si>
    <t>P1065</t>
  </si>
  <si>
    <t>https://www.gem.wiki/Peninsular_Gas_Utilization_Project</t>
  </si>
  <si>
    <t>Peninsular Gas Utilization Pipeline</t>
  </si>
  <si>
    <t>PGUP</t>
  </si>
  <si>
    <t>Terengganu Gas Field</t>
  </si>
  <si>
    <t>Kertih</t>
  </si>
  <si>
    <t>Kangar</t>
  </si>
  <si>
    <t>Perlis</t>
  </si>
  <si>
    <t>MULTILINESTRING ((103.3921774 4.7438597, 103.4264664 4.5084227, 102.8203814 2.5079049, 103.8956294 1.4791259, 103.9621904 1.4324489), (103.8956294 1.4791259, 104.0921814 1.4128849), (102.8203814 2.5079049, 101.8179794 2.5822038, 101.4251754 3.0211308, 100.9565534 3.7330997, 100.5845104 4.2658103, 100.4186424 5.3441437, 100.4603684 5.8183786))</t>
  </si>
  <si>
    <t>P0933</t>
  </si>
  <si>
    <t>https://www.gem.wiki/KG_Basin_Gas_Pipeline</t>
  </si>
  <si>
    <t>KG Basin Gas Pipeline</t>
  </si>
  <si>
    <t>Krishna Godavari Field</t>
  </si>
  <si>
    <t>MULTILINESTRING ((82.0608984 15.9825192, 82.0203563 16.654537, 82.0203563 16.654537, 82.1315128 16.5817704, 81.7201513 17.007231), (82.0203563 16.654537, 82.2400303 16.970089), (81.89159 16.4817015, 80.5394156 16.6192232), (82.0203563 16.654537, 81.89159 16.4817015))</t>
  </si>
  <si>
    <t>P1066</t>
  </si>
  <si>
    <t>https://www.gem.wiki/Sabah%E2%80%93Sarawak_Gas_Pipeline</t>
  </si>
  <si>
    <t>Sabah-Sarawak Gas Pipeline (SSGP)</t>
  </si>
  <si>
    <t>Kimanis</t>
  </si>
  <si>
    <t>Sabah</t>
  </si>
  <si>
    <t>LINESTRING (115.8915911 5.6166983, 115.8864276 5.5319451, 115.8656789 5.4484354, 115.8082463 5.2787191, 115.7901777 5.2161241, 115.7766262 5.1522384, 115.7688825 5.1277167, 115.7443607 5.074156, 115.7224202 5.0160782, 115.7082234 4.9212177, 115.6953172 4.8902428, 115.6727872 4.857354, 115.5960699 4.7027743, 115.5651539 4.6352172, 115.535383 4.4726223, 115.4884366 4.3352181, 115.4059941 4.2447603, 115.2674448 4.1863636, 115.1174453 4.1451423, 115.0220029 4.1036248, 114.8767494 4.0305106, 114.7870626 3.9622707, 114.660135 3.9176833, 114.4290086 3.8094342, 114.2666349 3.7319044, 114.1115754 3.6543747, 113.9930866 3.5856219, 113.871672 3.5461256, 113.6485032 3.4658859, 113.4871916 3.4238046, 113.3559381 3.3937465, 113.279791 3.3757117, 113.2196749 3.370702, 113.1695781 3.3676962)</t>
  </si>
  <si>
    <t>P1253</t>
  </si>
  <si>
    <t>https://www.gem.wiki/Puerto_Rico-Virgin_Islands_Pipeline</t>
  </si>
  <si>
    <t>Puerto Rico-Virgin Islands Pipeline</t>
  </si>
  <si>
    <t>Culebra</t>
  </si>
  <si>
    <t>Saint Thomas</t>
  </si>
  <si>
    <t>LINESTRING (-65.28782 18.317101, -64.8965407 18.34057)</t>
  </si>
  <si>
    <t>P1133</t>
  </si>
  <si>
    <t>https://www.gem.wiki/Bayu-Undan_to_Darwin_Pipeline</t>
  </si>
  <si>
    <t>Bayu-Undan to Darwin Pipeline</t>
  </si>
  <si>
    <t>ConocoPhillips [56.72%]; Eni S.p.A. [12.04%]; Santos Limited [10.64%]; INPEX [10.52%]; Tokyo Electric Power Company [10.08%]</t>
  </si>
  <si>
    <t>Bayu-Undan Field</t>
  </si>
  <si>
    <t>JDPA</t>
  </si>
  <si>
    <t>MULTILINESTRING ((130.86349 -12.525291, 130.849036 -12.529756, 130.845701 -12.530574, 130.842256 -12.530722, 130.838543 -12.529834, 130.836649 -12.528957, 130.834444 -12.527377, 130.83314 -12.526126, 130.831031 -12.522892, 130.827487 -12.515992, 130.818812 -12.499293, 130.813235 -12.484953, 130.807007 -12.471604, 130.803773 -12.466024, 130.79956 -12.460531, 130.748761 -12.397396, 130.746679 -12.395341, 130.74308 -12.392305, 130.643653 -12.31359, 130.640997 -12.311557, 130.637769 -12.309888, 130.095954 -12.122128, 129.946304 -12.070017, 129.943619 -12.068707, 129.940948 -12.067057, 129.938522 -12.065128, 129.936325 -12.062933, 129.905899 -12.022788, 129.903259 -12.019765, 129.900177 -12.016944, 129.898026 -12.015307, 129.895935 -12.013942, 129.891937 -12.011842, 129.887589 -12.010188, 129.885162 -12.009541, 129.882355 -12.009006, 129.879547 -12.008725, 129.876038 -12.008605, 129.710403 -12.011423, 129.707108 -12.011328, 129.703873 -12.011013, 129.698105 -12.009879, 129.670898 -12.000837, 129.662643 -11.99778, 129.658447 -11.995899, 129.655167 -11.994162, 129.643906 -11.987302, 129.641068 -11.98593, 129.637634 -11.984661, 129.634155 -11.983716, 129.620651 -11.981519, 129.614029 -11.980008, 129.609222 -11.978511, 129.574768 -11.966929, 129.571381 -11.96601, 129.562668 -11.964163, 129.558975 -11.963094, 129.175507 -11.83347, 128.898575 -11.739382, 128.895645 -11.738261, 128.892639 -11.736905, 128.887665 -11.734166, 128.884018 -11.731678, 128.874176 -11.724128, 128.87117 -11.722209, 128.86702 -11.720171, 128.862961 -11.718756, 128.860046 -11.718048, 128.808243 -11.708118, 128.797653 -11.705945, 128.495651 -11.641601, 128.484589 -11.639199, 128.477127 -11.637306, 128.470093 -11.635091, 128.429321 -11.620267, 128.426575 -11.618977, 128.411774 -11.610832, 128.39064 -11.603048, 128.383301 -11.600668, 128.360092 -11.592284, 128.339325 -11.587368, 128.336594 -11.586573, 128.122299 -11.508513, 128.115463 -11.506198, 128.108093 -11.504116, 128.102814 -11.502876, 128.094818 -11.501402, 127.920288 -11.472701, 127.915848 -11.471648, 127.910728 -11.469927, 127.891769 -11.461492, 127.888145 -11.460372, 127.884468 -11.459616, 127.881294 -11.459259, 127.878006 -11.459214, 127.858231 -11.461084, 127.854385 -11.461191, 127.84977 -11.460946, 127.835938 -11.458869, 127.796867 -11.452437, 127.777283 -11.449149, 127.772537 -11.448219, 127.766693 -11.446778, 127.759689 -11.444737, 127.655344 -11.412716), (126.616661 -11.067411, 126.620094 -11.074543, 126.621834 -11.077132, 126.623901 -11.07944, 126.626152 -11.081394, 126.629555 -11.083591, 126.646744 -11.091709, 126.650238 -11.093836, 126.819633 -11.224738, 126.822495 -11.227458, 126.826317 -11.232254, 126.828644 -11.234738, 126.830299 -11.236185, 126.837814 -11.242042, 126.863472 -11.260909, 126.883492 -11.276309, 126.886658 -11.278316, 126.889908 -11.279822, 126.893021 -11.280812, 126.896339 -11.281467, 126.963972 -11.290932, 127.016571 -11.298293, 127.021736 -11.299179, 127.03437 -11.301673, 127.039261 -11.302078, 127.055939 -11.302437, 127.063126 -11.302963, 127.113991 -11.310002, 127.164742 -11.317053, 127.177933 -11.317296, 127.181747 -11.317558, 127.185333 -11.318328, 127.192619 -11.320534, 127.198196 -11.321697, 127.276283 -11.332545, 127.398293 -11.349445, 127.424034 -11.35299, 127.482956 -11.361093, 127.489357 -11.362175, 127.495125 -11.363548, 127.655344 -11.412716))</t>
  </si>
  <si>
    <t>P1134</t>
  </si>
  <si>
    <t>https://www.gem.wiki/Beharra_Springs_Pipeline</t>
  </si>
  <si>
    <t>Beharra Springs Pipeline</t>
  </si>
  <si>
    <t>Beach Energy Limited [67.00%]; AWE Limited [33.00%]</t>
  </si>
  <si>
    <t>Beharra Springs Gas Field</t>
  </si>
  <si>
    <t>Parmelia Pipeline</t>
  </si>
  <si>
    <t>LINESTRING (115.140807 -29.463018, 115.160139 -29.463835)</t>
  </si>
  <si>
    <t>P1067</t>
  </si>
  <si>
    <t>https://www.gem.wiki/Trans-Sabah_Gas_Pipeline</t>
  </si>
  <si>
    <t>Trans Sabah Gas Pipeline</t>
  </si>
  <si>
    <t>TSGP</t>
  </si>
  <si>
    <t>Tawau</t>
  </si>
  <si>
    <t>LINESTRING (116.146986 6.128291, 118.099944 5.844168, 117.918547 4.405025)</t>
  </si>
  <si>
    <t>P1068</t>
  </si>
  <si>
    <t>Malaysia, Thailand</t>
  </si>
  <si>
    <t>https://www.gem.wiki/Trans_Thailand%E2%80%93Malaysia_Gas_Pipeline</t>
  </si>
  <si>
    <t>Trans Thailand–Malaysia Gas Pipeline (TTM)</t>
  </si>
  <si>
    <t>part of the Trans-ASEAN Gas Pipeline project</t>
  </si>
  <si>
    <t>offshore block A-18 and block B-17 gas reserves, Malaysia's joint development area</t>
  </si>
  <si>
    <t>Changlun</t>
  </si>
  <si>
    <t>LINESTRING (100.5710394 7.1212445, 102.0733764 7.5734315)</t>
  </si>
  <si>
    <t>P1579</t>
  </si>
  <si>
    <t>https://www.gem.wiki/Eje_Transversal_Gas_Pipeline</t>
  </si>
  <si>
    <t>Eje Transversal Gas Pipeline</t>
  </si>
  <si>
    <t>LINESTRING (-0.6370420733308745 38.95676556614914, -0.9117002891899286 38.82422236070656, -1.7027159508640037 38.87983510552463, -1.856524551745073 38.98827617266373, -2.196215076418355 39.04918059936948, -2.611029467125151 39.26699040295644, -3.212020395393265 39.38826530037894)</t>
  </si>
  <si>
    <t>P3273</t>
  </si>
  <si>
    <t>https://www.gem.wiki/Beineu-Bozoy-Shymkent_Gas_Pipeline</t>
  </si>
  <si>
    <t>Beineu-Bozoy-Shymkent Gas Pipeline</t>
  </si>
  <si>
    <t>QazaqGaz [50.00%]; Trans-Asia Gas Pipeline Co., Ltd. [50.00%]</t>
  </si>
  <si>
    <t>China Reform Holdings Corp. [50.00%]; Samruk-Kazyna SWF JSC [50.00%]</t>
  </si>
  <si>
    <t>West Kazakhstan oil fields</t>
  </si>
  <si>
    <t>Beyneu (Beineu)</t>
  </si>
  <si>
    <t>Beyneu District</t>
  </si>
  <si>
    <t>Mangystau Region</t>
  </si>
  <si>
    <t>Turkistan Region</t>
  </si>
  <si>
    <t>Бейнеу-Бозой-Шымкент</t>
  </si>
  <si>
    <t>LINESTRING (55.1912904 45.3393786, 56.1251774 45.5212191, 56.7820376 45.6403388, 57.3980568 45.7492483, 57.7758365 45.7968962, 57.9323939 45.8309304, 58.6192583 45.8206956, 58.9953607 45.9002557, 59.2485066 45.9725831, 59.5812127 46.0449105, 59.7258675 46.1027725, 59.9283842 46.2329618, 60.0079443 46.2980564, 60.6950546 46.4065475, 61.0422261 46.4644094, 61.1507172 46.4716422, 61.3532339 46.4427112, 61.599147 46.3993148, 61.7221036 46.392082, 62.2066972 45.4590586, 62.5394032 45.3794985, 62.9661348 45.2420764, 63.2265135 45.1769818, 63.3133063 45.169749, 63.7834344 45.2637747, 64.1233732 45.0178615, 64.5067084 44.7430174, 64.6513632 44.6055953, 65.5482229 44.4392423, 65.8302998 44.3596822, 66.9952979 43.7299711, 67.4459521 43.504644, 67.974981 43.2842153, 68.5578925 43.0441929, 68.9987499 42.8776468, 69.4102168 42.7551864, 69.7384107 42.6719133, 70.0470109 42.6376244)</t>
  </si>
  <si>
    <t>P3274</t>
  </si>
  <si>
    <t>T-South Reliability and Expansion Program</t>
  </si>
  <si>
    <t>P3275</t>
  </si>
  <si>
    <t>https://www.gem.wiki/Brunswick_Gas_Pipeline</t>
  </si>
  <si>
    <t>Emera Brunswick Gas Pipeline</t>
  </si>
  <si>
    <t>Emera Brunswick Pipeline Company Ltd. [100.00%]</t>
  </si>
  <si>
    <t>St. John</t>
  </si>
  <si>
    <t>St. Stephen</t>
  </si>
  <si>
    <t>LINESTRING (-65.978 45.2114, -67.27496668825333 45.196217943301754)</t>
  </si>
  <si>
    <t>P3276</t>
  </si>
  <si>
    <t>North Corridor Expansion Project</t>
  </si>
  <si>
    <t>P3277</t>
  </si>
  <si>
    <t>Edson Mainline Project</t>
  </si>
  <si>
    <t>P3278</t>
  </si>
  <si>
    <t>https://www.gem.wiki/Pacific_Trails_Pipeline</t>
  </si>
  <si>
    <t>Pacific Trails Pipeline</t>
  </si>
  <si>
    <t>Chevron [unknown %]; Woodside Energy [unknown %]</t>
  </si>
  <si>
    <t>Bish Cove</t>
  </si>
  <si>
    <t>LINESTRING (-122.64201812616857 54.277840303220366, -128.7 54)</t>
  </si>
  <si>
    <t>P3279</t>
  </si>
  <si>
    <t>Enhancement by Compression (ExC) Project</t>
  </si>
  <si>
    <t>P3280</t>
  </si>
  <si>
    <t>Westbrook Xpress Project Phase 3</t>
  </si>
  <si>
    <t>P3281</t>
  </si>
  <si>
    <t>Expansion (TANAP X)</t>
  </si>
  <si>
    <t>1219, 1442</t>
  </si>
  <si>
    <t>P3282</t>
  </si>
  <si>
    <t>https://www.gem.wiki/Driftwood_Gas_Pipeline</t>
  </si>
  <si>
    <t>Line 200 and Line 300 Expansion</t>
  </si>
  <si>
    <t>Ragley</t>
  </si>
  <si>
    <t>Calcasieu Parish</t>
  </si>
  <si>
    <t>P3283</t>
  </si>
  <si>
    <t>Gillis Lateral</t>
  </si>
  <si>
    <t>LINESTRING (-92.45269019403644 31.335414523898212, -93.20068986209893 30.375892054137633)</t>
  </si>
  <si>
    <t>P0934</t>
  </si>
  <si>
    <t>MULTILINESTRING ((74.93179287 13.12952382, 74.92002716 12.99580911, 74.9474805 12.91554566, 75.04160626 12.73964055, 75.09259104 12.61719962, 75.12004439 12.55978524, 75.13573201 12.49087105, 75.25338921 12.29934669, 75.27692065 12.26868977, 75.29653018 12.26485741, 75.41026547 12.06933325, 75.42203119 12.02330673, 75.55537601 11.86599022, 75.59067317 11.79689568, 75.63773605 11.7393036, 75.70440846 11.64329008, 75.71617418 11.52418729, 75.82598756 11.33967061, 75.93972285 10.97798174, 75.98678573 10.8393444, 76.00639526 10.73532419, 76.0299267 10.69678908, 76.04561433 10.6929353, 76.06130195 10.56958856, 76.10052102 10.53874411, 76.12797436 10.46933281, 76.17503724 10.2301311, 76.21817821 10.09887914, 76.22602203 9.92508105), (76.17503724 10.22627152, 76.29269444 10.20311305, 76.37897638 10.18767314, 76.42996117 10.17609271, 76.46918023 10.14134891))</t>
  </si>
  <si>
    <t>P1254</t>
  </si>
  <si>
    <t>https://www.gem.wiki/TGI_Pipeline_Network</t>
  </si>
  <si>
    <t>TGI Pipeline Network</t>
  </si>
  <si>
    <t>Grupo Energía de Bogotá [100.00%]</t>
  </si>
  <si>
    <t>El Tolima</t>
  </si>
  <si>
    <t>Red de TGI</t>
  </si>
  <si>
    <t>https://www.gem.wiki/Red_de_Gasoductos_TGI</t>
  </si>
  <si>
    <t>MULTILINESTRING ((-72.722667 11.695213, -72.746713 11.081966, -73.12422 10.478106, -73.265386 9.830802, -73.626582 9.209207, -73.65811 8.420605, -73.508841 7.686951, -73.858489 7.1136, -74.554379 6.055724, -74.870448 5.214928, -75.031687 4.283506, -75.281061 2.934918), (-74.870448 5.214928, -75.145599 5.129257, -75.620217 5.020142, -75.91021 4.816352, -76.062585 4.389956, -76.453396 3.565218, -76.490478 3.545451, -76.532251 3.4518), (-74.554379 6.055724, -73.692045 5.815961, -73.164863 5.186988, -72.896934 4.876834, -72.386445 5.227586), (-74.554379 6.055724, -73.692045 5.815961, -74.010861 4.948047, -73.649127 4.114698, -73.193909 4.433745, -72.896934 4.876834, -72.386445 5.227586))</t>
  </si>
  <si>
    <t>P1255</t>
  </si>
  <si>
    <t>https://www.gem.wiki/Cross_Island_Pipeline</t>
  </si>
  <si>
    <t>Cross Island Pipeline</t>
  </si>
  <si>
    <t>National Gas Company of Trinidad and Tobago [100.00%]</t>
  </si>
  <si>
    <t>Beachfield</t>
  </si>
  <si>
    <t>Atlantic LNG Terminal</t>
  </si>
  <si>
    <t>Gasoducto Cross Island</t>
  </si>
  <si>
    <t>https://www.gem.wiki/Gasoducto_Cross_Island</t>
  </si>
  <si>
    <t>LINESTRING (-61.2662147 10.048251, -61.9419367 10.032161)</t>
  </si>
  <si>
    <t>P1256</t>
  </si>
  <si>
    <t>https://www.gem.wiki/ECMA_Development_Gas_Pipeline</t>
  </si>
  <si>
    <t>ECMA Development Gas Pipeline</t>
  </si>
  <si>
    <t>ECMA Development</t>
  </si>
  <si>
    <t>Dolphin, Dolphin Deep, Starfish</t>
  </si>
  <si>
    <t>Dolphin Deep field</t>
  </si>
  <si>
    <t>Beachfield gas field</t>
  </si>
  <si>
    <t>Gasoducto del Área Marítima de la Costa Este</t>
  </si>
  <si>
    <t>https://www.gem.wiki/Gasoducto_del_%C3%81rea_Mar%C3%ADtima_de_la_Costa_Este</t>
  </si>
  <si>
    <t>LINESTRING (-60.112066 10.146464, -61.2690517 10.078327)</t>
  </si>
  <si>
    <t>P1257</t>
  </si>
  <si>
    <t>https://www.gem.wiki/North_Coast_Marine_Area_Development_Pipeline</t>
  </si>
  <si>
    <t>NCMA Development Gas Pipeline</t>
  </si>
  <si>
    <t>North Coast Marine Area Development</t>
  </si>
  <si>
    <t>Shell [63.19%]; Eni S.p.A. [unknown %]</t>
  </si>
  <si>
    <t>Hibiscus, Poinsettia, Chaconia, Ixora</t>
  </si>
  <si>
    <t>Hibiscus Field</t>
  </si>
  <si>
    <t>Gasoducto de Desarrollo del Área Marítima de la Costa Norte</t>
  </si>
  <si>
    <t>https://www.gem.wiki/Gasoducto_de_Desarrollo_del_%C3%81rea_Mar%C3%ADtima_de_la_Costa_Norte</t>
  </si>
  <si>
    <t>LINESTRING (-61.7684717 10.962998, -61.936494 10.379449)</t>
  </si>
  <si>
    <t>P1258</t>
  </si>
  <si>
    <t>Bolivia, Brazil</t>
  </si>
  <si>
    <t>https://www.gem.wiki/Cuiab%C3%A1_Pipeline</t>
  </si>
  <si>
    <t>Cuiabá Pipeline</t>
  </si>
  <si>
    <t>Lateral Cuiabá, Gasoducto Estación Chiquitos - San Matías</t>
  </si>
  <si>
    <t>Âmbar Energia [100.00%]</t>
  </si>
  <si>
    <t>Grupo J&amp;F [100.00%]</t>
  </si>
  <si>
    <t>San José de Chiquitos</t>
  </si>
  <si>
    <t>Cuiaba</t>
  </si>
  <si>
    <t>Mato Grosso</t>
  </si>
  <si>
    <t>Gasoducto Bolivia-Mato Grosso</t>
  </si>
  <si>
    <t>https://www.gem.wiki/Gasoduto_Bolivia-Mato_Grosso</t>
  </si>
  <si>
    <t>LINESTRING (-60.67063 -18.529097, -58.406537 -16.376847, -57.679122 -16.073406, -56.0223 -15.6779)</t>
  </si>
  <si>
    <t>P0935</t>
  </si>
  <si>
    <t>https://www.gem.wiki/Kukrahati-Itinda_Gas_Pipeline</t>
  </si>
  <si>
    <t>Kukrahati-Itinda Gas Pipeline</t>
  </si>
  <si>
    <t>Itinda</t>
  </si>
  <si>
    <t>LINESTRING (88.118784 22.18667, 88.914345 22.673621)</t>
  </si>
  <si>
    <t>P3291</t>
  </si>
  <si>
    <t>https://www.gem.wiki/Wallumbilla%E2%80%93Gladstone_Pipeline</t>
  </si>
  <si>
    <t>Wallumbilla–Gladstone Pipeline</t>
  </si>
  <si>
    <t>Shell [73.75%]; Global Infrastructure Partners [24.25%]</t>
  </si>
  <si>
    <t>Surat Basin</t>
  </si>
  <si>
    <t>Southern Queensland</t>
  </si>
  <si>
    <t>QCLNG Plant on Curtis Island, Gladstone</t>
  </si>
  <si>
    <t>MULTILINESTRING ((151.148941 -23.788107, 151.149124 -23.788509, 151.147644 -23.798462, 151.147705 -23.799295, 151.148117 -23.800566, 151.147217 -23.813065), (151.147903 -23.821651, 151.147186 -23.820059, 151.148026 -23.818571, 151.148621 -23.814535, 151.148376 -23.81423, 151.148499 -23.813372, 151.147217 -23.813065, 151.146622 -23.813515), (151.287354 -23.863356, 151.285248 -23.865797, 151.282791 -23.868109, 151.281921 -23.868696, 151.280792 -23.868885, 151.278397 -23.868567, 151.277267 -23.868097, 151.274887 -23.868097, 151.274506 -23.867788, 151.273132 -23.865765, 151.272003 -23.863165, 151.268799 -23.862677, 151.268509 -23.862469, 151.267639 -23.862305, 151.266922 -23.86194, 151.263596 -23.85885, 151.261749 -23.858334, 151.259628 -23.857487, 151.25914 -23.857067, 151.257278 -23.857237, 151.252518 -23.858433, 151.252151 -23.858192, 151.248215 -23.857666, 151.247162 -23.857944, 151.246414 -23.857685, 151.245331 -23.857786, 151.24437 -23.857336, 151.242737 -23.857018, 151.241272 -23.857216, 151.240707 -23.857605, 151.240021 -23.857277, 151.239059 -23.857088, 151.235321 -23.857048, 151.233932 -23.856548, 151.232956 -23.855673, 151.232529 -23.854855, 151.231644 -23.851517, 151.230988 -23.850151, 151.229569 -23.849901, 151.226929 -23.85078, 151.224838 -23.85059, 151.224579 -23.849703, 151.223526 -23.849266, 151.223557 -23.848976, 151.223358 -23.848608, 151.221146 -23.846983, 151.218811 -23.846046, 151.217667 -23.846006, 151.217422 -23.846275, 151.215805 -23.846983, 151.212692 -23.845907, 151.212112 -23.846077, 151.207291 -23.845051, 151.195511 -23.839321, 151.170288 -23.833422, 151.16922 -23.837641), (150.502182 -23.31712, 150.50647 -23.324768, 150.50679 -23.329548, 150.501801 -23.331911, 150.50145 -23.332153, 150.501236 -23.332575, 150.500351 -23.332962, 150.493271 -23.333614, 150.48999 -23.335213, 150.48819 -23.334932, 150.486649 -23.343872, 150.487137 -23.349831, 150.48645 -23.351166, 150.484299 -23.357077, 150.480682 -23.362228, 150.477203 -23.36454, 150.476532 -23.364729, 150.475906 -23.365582, 150.474014 -23.366276, 150.472397 -23.36735, 150.468811 -23.368685, 150.464111 -23.375187, 150.464249 -23.375845, 150.463242 -23.380503, 150.464127 -23.384972, 150.463745 -23.386551, 150.472595 -23.398552, 150.480682 -23.410206, 150.480652 -23.411121, 150.481934 -23.412827, 150.481995 -23.414469, 150.481339 -23.41848, 150.4953 -23.445734, 150.497101 -23.451513, 150.49826 -23.457008, 150.498871 -23.457386, 150.499725 -23.463039, 150.50061 -23.463039, 150.501205 -23.467209, 150.501175 -23.467871, 150.503296 -23.470337, 150.503387 -23.475576, 150.503952 -23.48262, 150.51001 -23.487135, 150.511429 -23.490894, 150.51683 -23.501442, 150.51889 -23.507568, 150.517746 -23.515244, 150.518982 -23.516033, 150.520905 -23.519159, 150.522202 -23.524117, 150.523346 -23.525002, 150.526001 -23.529076, 150.528046 -23.531317, 150.534744 -23.532043, 150.541306 -23.540918, 150.541367 -23.54155, 150.54567 -23.552792, 150.549881 -23.558157, 150.55127 -23.559246, 150.5513 -23.559507, 150.552689 -23.561686, 150.55748 -23.563723, 150.55661 -23.571941, 150.555984 -23.575354, 150.556351 -23.57585, 150.558243 -23.590038, 150.559525 -23.59115, 150.559616 -23.591482, 150.570084 -23.598707, 150.574295 -23.604628, 150.574814 -23.605907, 150.578064 -23.610739, 150.578934 -23.611639, 150.579361 -23.611876, 150.596329 -23.627485, 150.602203 -23.633524, 150.604736 -23.635159, 150.609161 -23.639044, 150.617126 -23.649395, 150.620132 -23.652828, 150.61998 -23.654249, 150.620361 -23.654533, 150.623566 -23.658751, 150.624939 -23.659863, 150.631638 -23.672985, 150.632706 -23.673199, 150.643036 -23.679546, 150.644455 -23.680233, 150.645218 -23.680115, 150.660721 -23.689541, 150.661987 -23.689257, 150.690231 -23.698992, 150.690613 -23.699465, 150.706345 -23.70418, 150.721573 -23.703516, 150.721954 -23.703657, 150.730835 -23.703539, 150.739929 -23.705173, 150.745758 -23.704535, 150.755112 -23.708775, 150.755249 -23.709177, 150.770599 -23.713867, 150.777115 -23.714766, 150.788147 -23.718958, 150.790482 -23.720215, 150.792465 -23.720308, 150.800232 -23.725306, 150.805237 -23.731607, 150.805969 -23.731678, 150.805878 -23.732317, 150.806396 -23.733479, 150.807571 -23.73497, 150.815872 -23.73793, 150.816528 -23.738333, 150.817902 -23.739779, 150.821503 -23.739185, 150.822967 -23.738617, 150.829681 -23.740986, 150.839813 -23.746576, 150.84462 -23.747215, 150.858475 -23.754488, 150.861847 -23.755363, 150.867004 -23.756168, 150.886353 -23.767065, 150.902985 -23.780281, 150.90416 -23.780998, 150.909348 -23.78355, 150.909637 -23.784071, 150.911346 -23.785633, 150.912338 -23.786013, 150.914612 -23.788879, 150.926178 -23.795914, 150.943222 -23.808823, 150.947342 -23.810196, 150.9478 -23.810228, 150.949661 -23.811785, 150.951828 -23.817835, 150.951462 -23.82163, 150.95192 -23.82346, 150.952972 -23.825146, 150.964569 -23.833977, 150.968231 -23.834663, 150.976456 -23.836794, 150.977753 -23.83779, 150.977875 -23.83831, 150.978668 -23.838974, 150.980286 -23.841059, 150.981949 -23.843971, 150.98259 -23.844114, 150.98674 -23.84742, 150.990311 -23.852009, 150.998291 -23.863298, 151.005615 -23.873365, 151.006958 -23.874952, 151.010986 -23.881086, 151.014328 -23.881536, 151.015183 -23.882233, 151.037613 -23.866211, 151.045059 -23.864239, 151.048569 -23.862711, 151.063675 -23.857893, 151.072754 -23.856777, 151.087921 -23.852142, 151.094711 -23.849075, 151.096008 -23.849436, 151.101212 -23.848457, 151.102814 -23.847702, 151.103027 -23.847322, 151.106217 -23.847481, 151.10759 -23.847202, 151.112183 -23.844851, 151.114975 -23.842638, 151.116348 -23.840885, 151.11673 -23.840616, 151.116989 -23.839619, 151.119171 -23.83917, 151.120712 -23.838055, 151.122314 -23.837423, 151.122498 -23.83679, 151.128036 -23.830881, 151.131058 -23.828371, 151.131653 -23.82836, 151.13237 -23.827263, 151.138809 -23.825949, 151.141724 -23.822719, 151.144348 -23.82279, 151.147842 -23.821684, 151.150024 -23.821426, 151.152024 -23.821672, 151.153275 -23.821598, 151.156967 -23.824104, 151.157654 -23.825291, 151.15834 -23.827621, 151.159195 -23.829086, 151.16069 -23.830582, 151.162445 -23.831589, 151.170288 -23.833422), (151.015183 -23.882233, 151.014542 -23.882769, 151.012085 -23.88843, 151.011444 -23.889423, 151.010895 -23.889851, 150.995468 -23.912975, 150.96347 -23.970102, 150.966644 -23.982143, 150.968491 -23.985374, 150.968552 -23.987913, 150.966949 -24.001522, 150.966019 -24.002026, 150.964539 -24.010586, 150.964355 -24.012938, 150.96373 -24.016356, 150.961578 -24.023977, 150.959061 -24.03027, 150.958054 -24.031355, 150.955338 -24.038521, 150.946274 -24.045862, 150.937683 -24.048441, 150.933594 -24.04995, 150.928146 -24.05246, 150.923141 -24.05555, 150.908707 -24.06138, 150.908554 -24.061581, 150.908646 -24.063204, 150.896988 -24.069836, 150.88385 -24.077946, 150.878433 -24.079809, 150.874878 -24.082439, 150.873444 -24.083698, 150.87146 -24.084871, 150.868958 -24.085899, 150.845474 -24.089783, 150.845245 -24.089981, 150.845352 -24.090971, 150.838501 -24.095234, 150.833267 -24.095471, 150.832077 -24.094996, 150.826675 -24.095295, 150.802887 -24.10206, 150.793259 -24.106239, 150.789063 -24.109058, 150.785034 -24.112072, 150.783752 -24.111294, 150.773361 -24.112467, 150.763229 -24.116282, 150.758224 -24.117529, 150.75531 -24.117405, 150.752502 -24.119471, 150.748291 -24.123167, 150.74794 -24.123394, 150.745407 -24.12385, 150.743988 -24.125896, 150.741241 -24.128908, 150.740616 -24.13043, 150.73851 -24.132303, 150.737747 -24.132654, 150.736755 -24.133867, 150.736115 -24.134312, 150.733917 -24.135147, 150.732559 -24.136135, 150.731812 -24.136951, 150.72641 -24.141022, 150.716827 -24.144739, 150.714127 -24.146639), (150.162964 -24.35483, 150.164307 -24.357403, 150.184021 -24.348818, 150.192123 -24.344099, 150.195892 -24.342373, 150.200348 -24.341158, 150.202927 -24.341833, 150.212723 -24.33954, 150.239319 -24.331448, 150.247665 -24.330183, 150.252853 -24.328648, 150.259842 -24.327976, 150.264313 -24.326202, 150.280945 -24.323133, 150.289337 -24.321743, 150.291214 -24.320448, 150.308044 -24.314503, 150.329132 -24.308077, 150.32991 -24.308455, 150.350388 -24.301125, 150.374069 -24.291145, 150.398849 -24.289318, 150.4133 -24.288076, 150.416718 -24.288042, 150.430374 -24.286318, 150.43103 -24.285145, 150.437607 -24.285732, 150.44519 -24.284184, 150.45163 -24.280384, 150.452667 -24.280113, 150.469971 -24.278389, 150.483795 -24.275047, 150.50528 -24.26882, 150.517807 -24.264236, 150.520782 -24.26103, 150.546951 -24.243967, 150.557755 -24.236729, 150.560318 -24.235703, 150.564804 -24.230762, 150.569107 -24.229607, 150.574112 -24.225559, 150.577576 -24.218035, 150.578186 -24.217611, 150.579361 -24.217157, 150.579849 -24.216644, 150.581665 -24.216368, 150.582443 -24.21595, 150.584366 -24.213804, 150.585464 -24.213419, 150.586975 -24.212564, 150.591659 -24.211254, 150.59288 -24.211266, 150.601883 -24.205862, 150.602768 -24.205715, 150.604645 -24.206017, 150.605804 -24.205362, 150.606247 -24.204229, 150.60733 -24.203369, 150.609482 -24.202396, 150.611008 -24.202528, 150.611801 -24.203011, 150.613129 -24.203201, 150.6147 -24.202175, 150.614761 -24.201153, 150.616348 -24.199259, 150.617386 -24.196251, 150.617218 -24.195147, 150.618088 -24.194193, 150.620316 -24.193117, 150.620789 -24.192591, 150.621765 -24.192186, 150.623901 -24.192064, 150.624756 -24.192265, 150.62706 -24.192171, 150.627274 -24.191877, 150.627365 -24.191092, 150.628006 -24.190329, 150.630905 -24.18815, 150.635147 -24.187124, 150.636383 -24.184517, 150.637421 -24.184624, 150.639832 -24.183613, 150.64183 -24.183489, 150.644058 -24.182156, 150.64534 -24.181879, 150.64592 -24.180899, 150.647507 -24.18058, 150.648071 -24.18067, 150.648392 -24.180496, 150.648697 -24.180058, 150.649857 -24.17975, 150.651047 -24.178776, 150.653168 -24.178503, 150.657364 -24.174997, 150.674026 -24.172277, 150.680954 -24.168129, 150.681915 -24.167835, 150.68692 -24.164825, 150.693253 -24.162901, 150.69519 -24.160769, 150.70668 -24.151464, 150.709229 -24.150023, 150.714127 -24.146639, 150.714844 -24.146717, 150.715805 -24.146267, 150.718689 -24.146639), (150.164307 -24.357403, 150.16243 -24.358221), (150.163391 -24.360117, 150.16243 -24.358221, 150.161575 -24.358591), (150.161575 -24.358639, 150.139908 -24.368048, 150.105316 -24.364021, 150.077896 -24.358404, 150.066086 -24.361715, 150.057739 -24.362907, 150.049088 -24.364796, 150.037476 -24.367603, 150.012421 -24.374689, 149.999908 -24.379456, 149.993271 -24.381651, 149.988388 -24.386454, 149.983047 -24.391111, 149.976379 -24.397533, 149.968628 -24.405645, 149.948334 -24.408775, 149.927216 -24.414583, 149.912659 -24.418936, 149.896286 -24.420233, 149.873535 -24.419436, 149.87233 -24.419601, 149.851654 -24.418919, 149.836731 -24.420713, 149.835144 -24.421473, 149.83371 -24.421497, 149.809662 -24.431332, 149.783752 -24.442156, 149.765701 -24.450695, 149.763962 -24.450828, 149.761841 -24.450232, 149.76091 -24.449579, 149.760193 -24.448496, 149.75943 -24.448051, 149.757828 -24.447773, 149.757355 -24.448313, 149.757187 -24.449074, 149.755478 -24.450472, 149.754776 -24.450687, 149.752625 -24.452452, 149.751434 -24.45227, 149.745087 -24.455757, 149.72258 -24.453581, 149.708115 -24.462309, 149.685974 -24.470058, 149.659576 -24.477186, 149.640549 -24.480938, 149.612061 -24.484713, 149.533997 -24.513592, 149.511383 -24.520845, 149.483566 -24.532671, 149.433777 -24.547649, 149.430313 -24.548914, 149.403 -24.553961, 149.375 -24.565336, 149.3461 -24.572998, 149.341446 -24.575914, 149.336975 -24.578032, 149.33374 -24.578253, 149.328018 -24.581423, 149.321426 -24.582321, 149.320435 -24.583338, 149.317093 -24.584457, 149.301849 -24.590237, 149.295822 -24.592577, 149.286118 -24.596645, 149.275253 -24.60051, 149.258545 -24.605036, 149.240982 -24.606562, 149.238785 -24.606409, 149.236374 -24.606934, 149.212402 -24.619495, 149.186462 -24.62236, 149.153885 -24.631784, 149.14537 -24.636311, 149.124664 -24.645176, 149.118088 -24.648193, 149.072937 -24.654766, 149.066452 -24.654673, 149.062012 -24.65346, 149.04924 -24.653831, 149.038834 -24.652201, 149.037582 -24.65094, 149.03566 -24.650148, 149.032532 -24.65032, 149.031708 -24.650232, 149.030167 -24.652002, 149.027969 -24.653685, 149.023727 -24.656208, 149.023163 -24.658155, 149.021439 -24.657993, 149.020142 -24.660059, 149.019211 -24.660208, 149.01648 -24.659632, 149.014771 -24.660355, 149.012573 -24.662199, 149.004562 -24.664295, 149.002426 -24.666243, 148.997757 -24.667364, 148.996277 -24.667364, 148.989487 -24.666685, 148.979858 -24.669006, 148.975861 -24.669586, 148.972107 -24.67235, 148.960953 -24.679106, 148.952591 -24.682211, 148.945938 -24.686817, 148.925568 -24.69289, 148.872787 -24.705858, 148.846298 -24.707973, 148.842239 -24.709543, 148.833176 -24.734247, 148.833817 -24.739569, 148.831604 -24.745029, 148.8116 -24.803343, 148.794266 -24.849987, 148.77858 -24.910416, 148.757278 -24.990841, 148.749222 -25.01442, 148.748276 -25.015614, 148.732407 -25.073109, 148.720261 -25.082287, 148.719986 -25.142359, 148.708298 -25.179287, 148.706314 -25.19795, 148.698639 -25.204851, 148.697617 -25.220158, 148.697861 -25.23077, 148.696609 -25.235525, 148.695908 -25.236422, 148.693512 -25.238401, 148.692993 -25.240175, 148.693344 -25.242418, 148.693253 -25.244261, 148.691711 -25.246805, 148.690002 -25.248745, 148.684631 -25.253832, 148.681137 -25.253832, 148.680267 -25.254665, 148.677582 -25.255604, 148.675705 -25.257898, 148.671951 -25.261318, 148.667511 -25.263821, 148.666229 -25.265446, 148.660263 -25.275122, 148.665588 -25.289196, 148.665604 -25.29122, 148.667755 -25.294348, 148.667831 -25.296911, 148.666412 -25.299171, 148.666336 -25.300289, 148.66362 -25.302855, 148.660995 -25.306461, 148.663818 -25.312363, 148.661087 -25.331921, 148.659805 -25.332151, 148.659348 -25.334736, 148.658615 -25.337364, 148.656082 -25.341076, 148.652176 -25.343098, 148.648361 -25.347269, 148.645493 -25.349146, 148.644135 -25.351543, 148.642731 -25.353502, 148.641205 -25.359488, 148.638519 -25.374125, 148.634933 -25.376022, 148.631622 -25.377295, 148.629486 -25.378401, 148.626038 -25.381298, 148.625839 -25.382549, 148.625885 -25.384405, 148.625336 -25.387053, 148.625366 -25.389681, 148.626175 -25.393684, 148.624023 -25.39715, 148.618591 -25.410282, 148.618607 -25.414139, 148.620468 -25.419291, 148.622253 -25.429903, 148.622055 -25.433678, 148.639725 -25.467583, 148.647049 -25.502384, 148.650192 -25.519794, 148.655807 -25.534266, 148.655243 -25.544107, 148.660034 -25.554262, 148.661285 -25.577242, 148.659439 -25.580076, 148.670532 -25.609457, 148.675263 -25.634798, 148.681595 -25.634735, 148.693649 -25.623562, 148.716766 -25.623363, 148.722397 -25.621513, 148.763702 -25.610802, 148.776794 -25.609609, 148.808517 -25.610125, 148.818115 -25.610846, 148.857575 -25.609228, 148.903946 -25.614092, 148.926376 -25.612316), (148.675263 -25.634798, 148.668121 -25.68792, 148.662613 -25.726849, 148.654984 -25.75379, 148.662582 -25.76152, 148.663483 -25.764616, 148.661743 -25.773823, 148.669235 -25.796015, 148.682556 -25.801315, 148.688599 -25.814886, 148.691177 -25.816235, 148.692886 -25.818945, 148.69548 -25.823589, 148.702988 -25.835129, 148.717789 -25.856461, 148.717407 -25.858021, 148.735916 -25.882441, 148.743149 -25.888851, 148.744675 -25.890703, 148.746689 -25.892145, 148.764862 -25.908741, 148.795639 -25.931355, 148.815094 -25.981131, 148.839767 -26.021807, 148.84642 -26.037102, 148.849991 -26.039299, 148.851196 -26.048559, 148.877716 -26.088011, 148.88797 -26.11133, 148.899017 -26.135111, 148.909378 -26.161089, 148.925385 -26.188351, 148.929642 -26.200809, 148.929504 -26.201376, 148.930878 -26.206619, 148.946945 -26.250059, 148.946899 -26.25218, 148.948853 -26.255318, 148.959396 -26.283924, 148.971817 -26.29471, 148.989655 -26.314219, 148.998215 -26.324034, 149.002228 -26.331621, 149.007263 -26.337671, 149.010574 -26.357569, 149.011017 -26.359421, 149.012344 -26.360422, 149.012238 -26.361288, 149.031418 -26.402966, 149.058655 -26.452053, 149.059753 -26.452948, 149.060532 -26.455563, 149.068909 -26.471176, 149.086288 -26.491413, 149.092896 -26.501886, 149.094406 -26.504768, 149.11319 -26.521172, 149.113449 -26.521589, 149.119095 -26.534391, 149.131577 -26.581297, 149.132172 -26.58395, 149.132172 -26.584991, 149.131531 -26.585762, 149.132462 -26.586794, 149.147507 -26.598803, 149.152771 -26.609497, 149.165009 -26.629417, 149.17276 -26.653555, 149.173035 -26.660782, 149.177322 -26.671833, 149.184174 -26.690393, 149.184387 -26.691689))</t>
  </si>
  <si>
    <t>P3292</t>
  </si>
  <si>
    <t>https://gem.wiki/Tanami_Gas_Pipeline</t>
  </si>
  <si>
    <t>Tanami Gas Pipeline</t>
  </si>
  <si>
    <t>Tilmouth Well</t>
  </si>
  <si>
    <t>Tanami</t>
  </si>
  <si>
    <t>LINESTRING (132.750657 -23.078753, 132.705704 -23.028814, 132.70461 -23.027336, 132.70402 -23.025567, 132.703136 -23.021515, 132.701368 -23.017094, 132.687515 -23.000515, 132.686557 -22.999262, 132.682578 -22.995873, 132.681547 -22.994399, 132.623525 -22.864485, 132.618925 -22.849212, 132.612055 -22.827253, 132.610951 -22.824861, 132.609969 -22.823328, 132.593163 -22.80646, 132.586845 -22.802473, 132.583288 -22.800326, 132.579914 -22.799958, 132.561881 -22.798854, 132.559489 -22.798302, 132.556483 -22.797137, 132.496066 -22.760886, 132.493796 -22.759353, 132.492079 -22.757819, 132.482407 -22.743631, 132.469618 -22.72283, 132.44897 -22.691011, 132.447044 -22.688777, 132.445272 -22.687776, 132.367768 -22.640318, 132.281712 -22.587775, 132.274933 -22.582691, 132.254902 -22.567513, 132.248816 -22.560965, 132.208523 -22.535464, 132.132678 -22.487483, 132.116381 -22.474986, 132.049893 -22.432151, 132.045579 -22.431149, 132.028322 -22.430533, 132.024701 -22.429608, 132.02185 -22.427605, 131.956904 -22.377297, 131.951819 -22.374061, 131.933021 -22.359577, 131.919816 -22.348961, 131.913067 -22.339084, 131.910679 -22.33685, 131.8794 -22.317281, 131.878629 -22.317512, 131.866534 -22.309885, 131.859328 -22.301402, 131.858213 -22.299485, 131.857597 -22.296634, 131.856595 -22.294785, 131.854053 -22.293244, 131.840725 -22.282998, 131.83564 -22.281226, 131.83225 -22.28007, 131.798583 -22.269053, 131.797504 -22.26836, 131.778706 -22.26235, 131.774931 -22.260424, 131.763606 -22.251025, 131.756903 -22.247481, 131.751664 -22.246249, 131.662912 -22.235771, 131.64134 -22.231919, 131.637694 -22.230756, 131.60698 -22.219592, 131.562835 -22.206187, 131.558135 -22.203722, 131.553667 -22.200486, 131.545192 -22.19178, 131.53926 -22.18839, 131.462295 -22.160655, 131.457981 -22.158652, 131.441915 -22.146366, 131.436563 -22.143937, 131.430477 -22.141626, 131.418843 -22.138313, 131.415145 -22.136541, 131.407364 -22.131379, 131.397965 -22.125986, 131.369074 -22.10819, 131.366301 -22.105801, 131.342572 -22.082612, 131.339721 -22.078683, 131.337693 -22.074665, 131.336409 -22.071364, 131.3361 -22.068513, 131.334174 -22.053259, 131.333019 -22.049407, 131.330939 -22.046556, 131.320384 -22.036618, 131.315752 -22.031566, 131.285756 -21.967174, 131.239075 -21.903118, 131.206053 -21.83033, 131.201731 -21.82402, 131.196556 -21.818695, 131.159718 -21.794974, 131.15358 -21.790738, 131.14866 -21.785996, 131.130586 -21.7508, 131.103182 -21.696599, 131.076038 -21.655364, 131.073186 -21.651301, 131.07042 -21.646287, 131.065763 -21.637703, 131.000226 -21.545232, 130.996941 -21.539267, 130.976539 -21.486968, 130.974119 -21.483251, 130.906778 -21.403461, 130.903839 -21.399485, 130.863209 -21.303098, 130.857849 -21.292638, 130.818862 -21.219678, 130.815145 -21.212676, 130.813589 -21.208958, 130.812638 -21.20455, 130.811428 -21.18337, 130.810304 -21.179394, 130.809181 -21.176628, 130.746037 -21.065873, 130.740543 -21.056117, 130.727758 -21.033294, 130.720185 -21.019769, 130.716945 -21.013817, 130.715712 -21.011668, 130.703772 -20.990466, 130.693911 -20.972785, 130.6882 -20.962695, 130.682473 -20.952561, 130.677759 -20.944177, 130.669281 -20.929271, 130.662364 -20.917087, 130.657898 -20.909254, 130.656135 -20.906826, 130.654463 -20.904994, 130.652768 -20.903414, 130.650821 -20.901902, 130.649287 -20.900849, 130.640881 -20.896199, 130.624712 -20.887496, 130.609459 -20.879205, 130.606916 -20.877808, 130.605748 -20.877052, 130.603916 -20.875747, 130.602473 -20.874579, 130.601122 -20.873274, 130.599542 -20.871441, 130.565697 -20.823446, 130.562347 -20.819873, 130.557973 -20.816344, 130.556573 -20.814915, 130.555231 -20.813574, 130.554094 -20.812057, 130.516229 -20.755509, 130.493357 -20.72078, 130.446584 -20.665138, 130.432487 -20.648521, 130.422965 -20.637318, 130.41755 -20.630689, 130.371805 -20.566926, 130.36667 -20.561698, 130.362936 -20.558711, 130.358268 -20.55591, 130.325406 -20.539759, 130.31195 -20.53915, 129.93391 -20.52633)</t>
  </si>
  <si>
    <t>P3293</t>
  </si>
  <si>
    <t>https://www.gem.wiki/Texas_Independence_Pipeline</t>
  </si>
  <si>
    <t>Texas Independence Pipeline</t>
  </si>
  <si>
    <t>mmcf/d</t>
  </si>
  <si>
    <t>LINESTRING (-97.01457985127055 32.311812702166414, -94.80616765330186 32.15438254172203)</t>
  </si>
  <si>
    <t>P3294</t>
  </si>
  <si>
    <t>https://www.gem.wiki/Point_Comfort_Pipeline</t>
  </si>
  <si>
    <t>Point Comfort Pipeline</t>
  </si>
  <si>
    <t>Gulf Coast LNG [unknown %]</t>
  </si>
  <si>
    <t>Port Lavaca-Point Comfort</t>
  </si>
  <si>
    <t>Tennessee Gas</t>
  </si>
  <si>
    <t>Edna</t>
  </si>
  <si>
    <t>LINESTRING (-96.5616560460432 28.679503216093593, -96.61222559096413 28.946770713732686)</t>
  </si>
  <si>
    <t>P3295</t>
  </si>
  <si>
    <t>https://www.gem.wiki/Elba_Express_Pipeline</t>
  </si>
  <si>
    <t>Elba Express Pipeline</t>
  </si>
  <si>
    <t>SONAT Elba Express III</t>
  </si>
  <si>
    <t>42, 36</t>
  </si>
  <si>
    <t>Elba Island LNG Terminal</t>
  </si>
  <si>
    <t>LINESTRING (-80.99253546087036 32.085479032438045, -82.39180481689235 33.20766370007959, -82.93542431486809 34.35298348604744)</t>
  </si>
  <si>
    <t>P3296</t>
  </si>
  <si>
    <t>Gulf Connector Expansion</t>
  </si>
  <si>
    <t>Station 65</t>
  </si>
  <si>
    <t>Wharton and San Patricio Counties</t>
  </si>
  <si>
    <t>P3297</t>
  </si>
  <si>
    <t>https://www.gem.wiki/Vijaipur-Dadri_Gas_Pipeline_(GREP-I)</t>
  </si>
  <si>
    <t>Vijaipur-Dadri Gas Pipeline (GREP-I)</t>
  </si>
  <si>
    <t>Dadri</t>
  </si>
  <si>
    <t>LINESTRING (77.1604678 24.483252, 77.6490606 24.794541, 77.7041406 25.329918, 77.7327821 25.704461, 77.664483 26.061379, 77.4918634 26.518212, 77.6278889 26.734616, 77.8442931 27.087045, 77.5548702 28.55231)</t>
  </si>
  <si>
    <t>P3298</t>
  </si>
  <si>
    <t>https://www.gem.wiki/Dahej-Vijaipur_Pipeline_(DVPL-II)</t>
  </si>
  <si>
    <t>Dahej-Vijaipur Pipeline (DVPL-II)</t>
  </si>
  <si>
    <t xml:space="preserve"> Dahej</t>
  </si>
  <si>
    <t>LINESTRING (72.5357889 21.674806, 73.1473302 22.057442, 73.6799996 22.283928, 74.7083744 22.472311, 74.8405966 22.562991, 75.4898344 23.229636, 76.2038689 23.5237, 76.4387516 23.728032, 76.6579377 24.002872, 77.1604718 24.483215)</t>
  </si>
  <si>
    <t>P3299</t>
  </si>
  <si>
    <t>https://www.gem.wiki/Vijaipur-Dadri_Gas_Pipeline_(GREP-II)</t>
  </si>
  <si>
    <t>Vijaipur-Dadri Gas Pipeline (GREP-II)</t>
  </si>
  <si>
    <t>LINESTRING (72.6453634 21.1779677, 77.1432884 24.4866856, 80.5277604 26.7503195)</t>
  </si>
  <si>
    <t>P3300</t>
  </si>
  <si>
    <t>https://www.gem.wiki/Saryarka_Gas_Pipeline</t>
  </si>
  <si>
    <t>Saryarka Gas Pipeline</t>
  </si>
  <si>
    <t>Saryarqa Gas Pipeline</t>
  </si>
  <si>
    <t>Baiterek National Management Holding [50.00%]; Samruk-Kazyna SWF JSC [50.00%]</t>
  </si>
  <si>
    <t>Government of Kazakhstan [50.00%]; Samruk-Kazyna SWF JSC [50.00%]</t>
  </si>
  <si>
    <t>Karachaganak, Tengiz, Kashagan</t>
  </si>
  <si>
    <t>Karaozek</t>
  </si>
  <si>
    <t>Kyzylorda Region</t>
  </si>
  <si>
    <t>Astana</t>
  </si>
  <si>
    <t>Магистральный газопровод "Сарыарка"</t>
  </si>
  <si>
    <t>LINESTRING (65.8300012 44.3594496, 66.208601 45.3451862, 67.7069492 47.7916861, 73.3330707 49.4136334, 72.9603755 50.0484584, 71.4390633 51.1517346)</t>
  </si>
  <si>
    <t>P1071</t>
  </si>
  <si>
    <t>https://www.gem.wiki/Yadana_Gas_Pipeline_1</t>
  </si>
  <si>
    <t>Yadana Gas Pipeline 1</t>
  </si>
  <si>
    <t>Chevron [41.10%]; PTT Exploration and Production [37.08%]; Myanmar Oil and Gas Enterprise [21.81%]</t>
  </si>
  <si>
    <t>Yadana gas field</t>
  </si>
  <si>
    <t>Yadana</t>
  </si>
  <si>
    <t>Daminseik</t>
  </si>
  <si>
    <t>LINESTRING (94.6901994 14.974257, 97.8816844 14.6875081)</t>
  </si>
  <si>
    <t>P1072</t>
  </si>
  <si>
    <t>https://www.gem.wiki/Yadana_Gas_Pipeline_2</t>
  </si>
  <si>
    <t>Yadana Gas Pipeline 2</t>
  </si>
  <si>
    <t>Yangon</t>
  </si>
  <si>
    <t>LINESTRING (96.1464514 16.822946, 94.6632544 15.00581)</t>
  </si>
  <si>
    <t>P1073</t>
  </si>
  <si>
    <t>Myanmar, Thailand</t>
  </si>
  <si>
    <t>https://www.gem.wiki/Yetagun_Gas_Pipeline</t>
  </si>
  <si>
    <t>Yetagun Gas Pipeline</t>
  </si>
  <si>
    <t>Petronas [40.91%]; Myanmar Oil and Gas Enterprise [20.45%]; Nippon Oil Exploration Limited [19.32%]; PTT Exploration and Production [19.32%]</t>
  </si>
  <si>
    <t>Yetagun gas field &amp; Yetagun North gas field</t>
  </si>
  <si>
    <t>LINESTRING (96.2870294 13.0349682, 97.8525384 14.709445, 99.8189074 13.5278421, 100.4917764 13.7573831)</t>
  </si>
  <si>
    <t>P1076</t>
  </si>
  <si>
    <t>https://www.gem.wiki/Angore_Gas_Pipeline</t>
  </si>
  <si>
    <t>Angore Gas Pipeline</t>
  </si>
  <si>
    <t>ExxonMobil [100.00%]</t>
  </si>
  <si>
    <t>Angore</t>
  </si>
  <si>
    <t>Hela</t>
  </si>
  <si>
    <t>LINESTRING (142.961652 -5.741552, 142.832483 -6.002015)</t>
  </si>
  <si>
    <t>P1078</t>
  </si>
  <si>
    <t>https://www.gem.wiki/PNG_Highlands-Port_Moresby_Gas_Pipeline</t>
  </si>
  <si>
    <t>PNG Highlands-Port Moresby Gas Pipeline</t>
  </si>
  <si>
    <t>ExxonMobil PNG Limited [unknown %]</t>
  </si>
  <si>
    <t>ExxonMobil [unknown %]; Santos Limited [unknown %]</t>
  </si>
  <si>
    <t>Port Moresby</t>
  </si>
  <si>
    <t>National Capital District</t>
  </si>
  <si>
    <t>LINESTRING (142.770041 -5.895462, 142.840823 -5.92964, 142.91792 -5.987151, 142.946562 -6.008977, 142.947958 -6.032579, 142.973087 -6.052015, 143.088958 -6.063121, 143.100126 -6.07145, 143.101522 -6.125588, 143.118275 -6.15196, 143.121067 -6.182495, 143.140611 -6.192211, 143.178305 -6.21858, 143.256483 -6.299068, 143.259275 -6.308781, 143.222978 -6.336532, 143.21181 -6.351794, 143.21181 -6.403128, 143.214602 -6.418389, 143.259275 -6.45307, 143.263463 -6.464167, 143.263463 -6.498845, 143.29278 -6.530747, 143.312324 -6.555712, 143.326285 -6.562646, 143.341641 -6.564033, 143.347225 -6.570968, 143.351414 -6.584836, 143.377938 -6.613959, 143.41982 -6.650013, 143.470077 -6.684678, 143.531503 -6.702703, 143.578968 -6.716568, 143.584552 -6.729046, 143.588741 -6.745682, 143.597117 -6.759546, 143.613869 -6.767864, 143.63481 -6.772023, 143.644582 -6.781727, 143.651562 -6.80252, 143.661335 -6.823313, 143.680879 -6.834402, 143.706008 -6.842719, 143.721364 -6.852422, 143.738117 -6.874598, 143.766038 -6.902317, 143.781394 -6.918948, 143.807919 -6.934193, 143.837236 -6.941122, 143.873533 -6.959137, 143.893077 -6.979923, 143.918206 -7.017335, 143.937751 -7.065828, 143.992196 -7.165569, 144.020117 -7.207121, 144.05083 -7.248669, 144.081543 -7.297138, 144.088523 -7.320677, 144.11784 -7.486806, 144.123424 -7.65287, 144.126216 -7.670857, 144.167391 -7.709285, 144.169723 -7.723152, 144.169723 -7.802875, 144.174388 -7.815584, 144.586021 -8.193183, 144.593018 -8.1978, 144.833235 -8.166635, 144.940516 -8.149321, 145.025641 -8.127388, 145.246034 -8.101991, 145.929369 -8.340893, 145.972515 -8.347815, 146.164922 -8.41588, 146.265206 -8.621156, 146.323511 -8.742194, 146.387647 -8.857431, 146.451782 -8.965721, 146.526413 -9.049797, 146.575389 -9.097009, 146.624365 -9.122339, 146.686169 -9.151122, 146.738643 -9.176449, 146.759633 -9.192565, 146.831931 -9.282341, 146.840094 -9.285794, 146.891402 -9.285794, 146.898399 -9.289246, 146.906562 -9.297302, 146.921721 -9.308809, 147.01825 -9.33862)</t>
  </si>
  <si>
    <t>P1079</t>
  </si>
  <si>
    <t>https://www.gem.wiki/Bataan-Cavite_Gas_Pipeline</t>
  </si>
  <si>
    <t>Bataan-Cavite Gas Pipeline</t>
  </si>
  <si>
    <t>BatCave Gas Pipeline</t>
  </si>
  <si>
    <t>Philippine National Oil Company [100.00%]</t>
  </si>
  <si>
    <t>Government of Phillipines [100.00%]</t>
  </si>
  <si>
    <t>Rosario</t>
  </si>
  <si>
    <t>Cavite</t>
  </si>
  <si>
    <t>LINESTRING (120.463341 14.610684, 120.864136 14.412697)</t>
  </si>
  <si>
    <t>P3307</t>
  </si>
  <si>
    <t>Kokshetau</t>
  </si>
  <si>
    <t>LINESTRING (71.4390616 51.1517493, 69.3950373 53.2871543)</t>
  </si>
  <si>
    <t>P3308</t>
  </si>
  <si>
    <t>Petropavlovsk</t>
  </si>
  <si>
    <t>LINESTRING (69.3950346 53.2871534, 69.1505637 54.8716628)</t>
  </si>
  <si>
    <t>P3309</t>
  </si>
  <si>
    <t>Phase IV</t>
  </si>
  <si>
    <t>P3310</t>
  </si>
  <si>
    <t>https://www.gem.wiki/Duliajan-Numaligarh_Gas_Pipeline</t>
  </si>
  <si>
    <t>Duliajan-Numaligarh Gas Pipeline</t>
  </si>
  <si>
    <t>Numaligarh Refinery Ltd [52.00%]; Assam Gas Co., Ltd. [51.00%]; Oil India Limited [23.00%]</t>
  </si>
  <si>
    <t>Assam Gas Co., Ltd. [51.00%]; Oil India Limited [23.00%]; Assam Ministry of Mineral and Petroleum [unknown %]; India Ministry of Petroleum and Natural Gas [unknown %]</t>
  </si>
  <si>
    <t>Duliajan</t>
  </si>
  <si>
    <t>LINESTRING (95.3240943 27.357851, 94.9174595 27.181961, 94.7066133 26.953387, 94.5049346 26.830287, 94.214096 26.758941, 93.7480659 26.587816)</t>
  </si>
  <si>
    <t>P3311</t>
  </si>
  <si>
    <t>Serbia, Bosnia and Herzegovina</t>
  </si>
  <si>
    <t>https://www.gem.wiki/Serbia%E2%80%93Bosnia_Interconnector_Gas_Pipeline</t>
  </si>
  <si>
    <t>Serbia–Bosnia Interconnector Gas Pipeline</t>
  </si>
  <si>
    <t>Indjija-Janja Gas Pipeline</t>
  </si>
  <si>
    <t>Gas Interconnector Serbia (Indjija) - Republika Srpska (Janja), Gas Interconnector Serbia - Republika Srpska (North BiH)</t>
  </si>
  <si>
    <t>Gas RES [unknown %]; Srbijagas [unknown %]</t>
  </si>
  <si>
    <t>19.68, 15.75</t>
  </si>
  <si>
    <t>LINESTRING (20.2051144 45.0444232, 20.1432158 45.0151028, 20.1138954 45.0009856, 20.0737156 44.9977278, 20.0389655 44.9814387, 19.9911841 44.9651495, 19.8977932 44.9618917, 19.8087461 44.9086806, 19.7468475 44.8934775, 19.7175271 44.8728446, 19.7055817 44.8337507, 19.6849488 44.8163757, 19.6383553 44.8170352, 19.5493578 44.7626479, 19.4496477 44.7593517, 19.4232781 44.7544073, 19.4109174 44.7305099, 19.3878439 44.7057884, 19.3579474 44.6931804, 19.2881668 44.6943835, 19.259292 44.73168, 19.2424484 44.7653672, 19.2340267 44.7689766, 19.1594554 44.758418)</t>
  </si>
  <si>
    <t>P0936</t>
  </si>
  <si>
    <t>https://www.gem.wiki/Langtala-Bihilwara_Gas_Pipeline</t>
  </si>
  <si>
    <t>Langtala-Bhilwara Gas Pipeline</t>
  </si>
  <si>
    <t>Focus Energy [100.00%]</t>
  </si>
  <si>
    <t>Bhilwara</t>
  </si>
  <si>
    <t>LINESTRING (69.68137 27.161626, 74.587448 25.322489)</t>
  </si>
  <si>
    <t>P1259</t>
  </si>
  <si>
    <t>Guadeloupe</t>
  </si>
  <si>
    <t>Trinidad and Tobago, Barbados, Martinique, Guadeloupe</t>
  </si>
  <si>
    <t>https://www.gem.wiki/Inter-Caribbean_Natural_Gas_Pipeline</t>
  </si>
  <si>
    <t>Inter-Caribbean Natural Gas Pipeline</t>
  </si>
  <si>
    <t>Eastern Caribbean Gas Pipeline</t>
  </si>
  <si>
    <t>Beowulf Energy [30.00%]; First Reserve [30.00%]; Guardian Holdings [15.00%]; Trinidad and Tobago Unit Trust Corporation [15.00%]; National Gas Company of Trinidad and Tobago [10.00%]</t>
  </si>
  <si>
    <t>Scarborough</t>
  </si>
  <si>
    <t>Pointe-a-Pitre</t>
  </si>
  <si>
    <t>Gasoducto para Gas Natural Intercaribeño</t>
  </si>
  <si>
    <t>https://www.gem.wiki/Gasoducto_para_Gas_Natural_Intercaribe%C3%B1o</t>
  </si>
  <si>
    <t>LINESTRING (-60.731123 11.186715, -61.5386537 16.238257)</t>
  </si>
  <si>
    <t>P1260</t>
  </si>
  <si>
    <t>Uruguay</t>
  </si>
  <si>
    <t>Argentina, Uruguay</t>
  </si>
  <si>
    <t>https://www.gem.wiki/Southern_Cross_Gas_Pipeline</t>
  </si>
  <si>
    <t>Southern Cross Gas Pipeline</t>
  </si>
  <si>
    <t>BG Group [40.00%]; Pan American Energy [30.00%]; ANCAP [20.00%]; Wintershall Energía [10.00%]</t>
  </si>
  <si>
    <t>Shell [40.00%]; Pan American Energy [30.00%]; ANCAP [20.00%]; Wintershall Dea AG [10.00%]</t>
  </si>
  <si>
    <t>18, 24</t>
  </si>
  <si>
    <t>Neuquén Basin</t>
  </si>
  <si>
    <t>Montevideo</t>
  </si>
  <si>
    <t>Gasoducto Cruz del Sur</t>
  </si>
  <si>
    <t>https://www.gem.wiki/Gasoducto_Cruz_del_Sur</t>
  </si>
  <si>
    <t>MULTILINESTRING ((-57.9680167 -34.825616, -57.834401 -34.4606, -57.82884653 -34.46070727, -57.62283457 -34.40083045, -57.61400548 -34.41216179, -57.60223337 -34.40568693, -56.98910252 -34.40811506, -56.36910461 -34.77637025, -56.3573325 -34.77314705, -56.34752241 -34.78201056, -56.35340846 -34.78845616, -56.32103516 -34.80215137, -56.31416809 -34.79651244, -56.2729657 -34.81584431, -56.26511762 -34.81262265, -56.25334551 -34.82711914, -56.23274431 -34.81342808, -56.20037101 -34.81342808, -56.16603568 -34.82309259, -56.13170035 -34.8174551, -56.09344099 -34.80054029, -56.09245998 -34.80376242, -55.98356794 -34.73607112, -55.97571986 -34.7151078, -55.91489728 -34.68284617), (-56.83802708 -34.49952335, -56.829198 -34.48739527, -56.83017901 -34.48335218, -56.8085968 -34.45585399, -56.80761579 -34.44533759, -56.77622349 -34.44938252, -56.76445138 -34.40163988, -56.73698312 -34.40730569, -56.73109706 -34.37897283, -56.70559082 -34.38059211, -56.70068577 -34.36520769, -56.71540092 -34.3530601), (-57.42957572 -34.40649631, -57.4276137 -34.42106391, -57.43546178 -34.42268237, -57.43644279 -34.43562896, -57.44429086 -34.43562896), (-56.53391418 -34.67881258, -56.54274327 -34.69091276, -56.5358762 -34.71349502, -56.5564774 -34.73929578, -56.54470529 -34.74574471), (-56.26413661 -34.81342808, -56.28277579 -34.77959333, -56.25628854 -34.74493862, -56.24059239 -34.69413917, -56.24647844 -34.64169434, -56.26511762 -34.6094041, -56.2729657 -34.54882605, -56.28081377 -34.53993755), (-57.30008249 -34.40730569, -57.29517744 -34.38706891, -57.31283561 -34.35387, -57.24808899 -34.29229576), (-57.30694955 -34.34820057, -57.3432469 -34.31579652, -57.35011397 -34.32146814), (-56.25383212 -34.8266226, -56.26036873 -34.8327547, -56.25943493 -34.8595773, -56.24449412 -34.87183615, -56.22581811 -34.86723929, -56.2071421 -34.88102908), (-56.06987342 -34.79058725, -56.0362566 -34.81665695, -56.01664679 -34.81665695, -56.01011018 -34.82202322, -55.98769897 -34.81665695, -55.94194274 -34.78982037, -55.92606813 -34.78675277), (-56.00824258 -34.82049003, -56.01758059 -34.8411856, -56.0399918 -34.84731663, -56.06427061 -34.86187597, -56.07454242 -34.86953775))</t>
  </si>
  <si>
    <t>P1080</t>
  </si>
  <si>
    <t>https://www.gem.wiki/Bataan-Manila_Gas_Pipeline_2</t>
  </si>
  <si>
    <t>Bataan-Manila Gas Pipeline 2</t>
  </si>
  <si>
    <t>BatMan 2 Gas Pipeline</t>
  </si>
  <si>
    <t>Manila</t>
  </si>
  <si>
    <t>LINESTRING (120.452715 14.847251, 120.95263 14.59864)</t>
  </si>
  <si>
    <t>P1081</t>
  </si>
  <si>
    <t>https://www.gem.wiki/Batangas-Manila_Gas_Pipeline</t>
  </si>
  <si>
    <t>Batangas-Manila Gas Pipeline</t>
  </si>
  <si>
    <t>BatMan1 Gas Pipeline</t>
  </si>
  <si>
    <t>Navotas City</t>
  </si>
  <si>
    <t>LINESTRING (121.041855 13.75538, 120.940269 14.667404)</t>
  </si>
  <si>
    <t>P1082</t>
  </si>
  <si>
    <t>https://www.gem.wiki/Clark_Gas_Pipeline</t>
  </si>
  <si>
    <t>Clark Gas Pipeline</t>
  </si>
  <si>
    <t>LINESTRING (120.571377 15.22285, 120.841293 14.879363)</t>
  </si>
  <si>
    <t>P1083</t>
  </si>
  <si>
    <t>https://www.gem.wiki/EDSA-Taft_Gas_Pipeline</t>
  </si>
  <si>
    <t>EDSA-Taft Gas Pipeline</t>
  </si>
  <si>
    <t>Metro Manila Gas Loop</t>
  </si>
  <si>
    <t>LINESTRING (120.967413 14.594113, 120.985918 14.53815, 121.015785 14.518825, 121.052241 14.527976, 121.068397 14.544557, 121.105871 14.587047, 121.119295 14.624892, 121.084642 14.677373, 121.037613 14.705932, 120.994692 14.705261, 120.96207 14.699937, 120.951401 14.653419, 120.967413 14.594113)</t>
  </si>
  <si>
    <t>P1085</t>
  </si>
  <si>
    <t>https://www.gem.wiki/Ilijan_Gas_Pipeline</t>
  </si>
  <si>
    <t>Ilijan Gas Pipeline</t>
  </si>
  <si>
    <t>Power Sector Assets and Liabilities Management Corp. (PSALM) [100.00%]</t>
  </si>
  <si>
    <t>Ilijan</t>
  </si>
  <si>
    <t>Tabangao</t>
  </si>
  <si>
    <t>LINESTRING (121.078386 13.636689, 121.063372 13.714352)</t>
  </si>
  <si>
    <t>P1086</t>
  </si>
  <si>
    <t>https://www.gem.wiki/Malampaya_Gas_Pipeline</t>
  </si>
  <si>
    <t>Malampaya Gas Pipeline</t>
  </si>
  <si>
    <t>Udenna Corporation [90.00%]; PNOC Exploration Corporation [10.00%]</t>
  </si>
  <si>
    <t>Udenna Group of Companies [90.00%]; Philippine National Oil Company [10.00%]</t>
  </si>
  <si>
    <t>Malampaya Field</t>
  </si>
  <si>
    <t>Batangas Island</t>
  </si>
  <si>
    <t>LINESTRING (118.458058 11.332811, 121.254829 16.624063)</t>
  </si>
  <si>
    <t>P1087</t>
  </si>
  <si>
    <t>https://www.gem.wiki/Sta._Rita_Gas_Pipeline</t>
  </si>
  <si>
    <t>Sta. Rita Gas Pipeline</t>
  </si>
  <si>
    <t>LINESTRING (121.062623 13.714491, 121.0334 13.777635)</t>
  </si>
  <si>
    <t>P1261</t>
  </si>
  <si>
    <t>https://www.gem.wiki/Atacama_Gas_Pipeline</t>
  </si>
  <si>
    <t>Atacama Gas Pipeline</t>
  </si>
  <si>
    <t>Enel Generación Chile SA [97.40%]; others [2.60%]</t>
  </si>
  <si>
    <t>Enel SpA [97.40%]; others [2.60%]</t>
  </si>
  <si>
    <t>Mejiones</t>
  </si>
  <si>
    <t>Gasoducto Atacama</t>
  </si>
  <si>
    <t>https://www.gem.wiki/Gasoducto_Atacama</t>
  </si>
  <si>
    <t>LINESTRING (-70.4168 -23.0898, -68.9240217 -22.488234, -68.2018837 -22.911324, -66.4855217 -23.416428, -66.367099 -23.401436, -65.858674 -23.652523, -65.5011087 -23.746104, -65.071587 -24.505272, -64.8689977 -24.210629, -64.8102907 -23.783594, -64.1532197 -23.397074, -63.7952337 -22.505585)</t>
  </si>
  <si>
    <t>P0937</t>
  </si>
  <si>
    <t>https://www.gem.wiki/Low_Pressure_Gujarat_Gas_Grid_Network</t>
  </si>
  <si>
    <t>Low Pressure Gujarat Gas Grid Network</t>
  </si>
  <si>
    <t>Eklera</t>
  </si>
  <si>
    <t>LINESTRING (73.222 20.2399, 72.957 20.5854, 72.6595 21.1704, 72.8598 21.227, 72.702 21.166)</t>
  </si>
  <si>
    <t>P1262</t>
  </si>
  <si>
    <t>LINESTRING (-68.709 -38.459, -69.663 -37.609, -69.631 -37.135, -69.663 -37.609, -70.279 -37.39, -71.19 -36.978, -72.119 -36.76, -72.135 -37.117, -72.119 -36.76, -72.323 -36.772, -72.414 -36.961, -72.417 -37.295, -72.643 -37.517, -72.417 -37.295, -72.414 -36.961, -72.323 -36.772, -72.914 -36.993, -73.13 -37.041, -72.914 -36.993, -73.1266 -36.7272)</t>
  </si>
  <si>
    <t>P1263</t>
  </si>
  <si>
    <t>https://www.gem.wiki/Guaymas-El_Oro_Pipeline</t>
  </si>
  <si>
    <t>Guaymas-El Oro Pipeline</t>
  </si>
  <si>
    <t>Sonora Pipeline</t>
  </si>
  <si>
    <t>Idle</t>
  </si>
  <si>
    <t>El Oro</t>
  </si>
  <si>
    <t>Sinaloa</t>
  </si>
  <si>
    <t>Gasoducto Guaymas-El Oro</t>
  </si>
  <si>
    <t>https://www.gem.wiki/Gasoducto_Guaymas-El_Oro</t>
  </si>
  <si>
    <t>LINESTRING (-110.86580133777757 27.9310466440578, -110.707 27.9699, -110.587 27.94031, -110.487 27.87687, -110.334 27.74142, -110.272 27.62276, -110.19 27.59307, -110.099 27.59307, -110.047 27.54216, -109.956 27.41479, -109.788 27.35105, -109.678 27.25324, -109.558 27.17663, -109.463 27.04032, -109.386 26.83126, -109.319 26.73299, -109.176 26.59614, -109.042 26.38198, -109.013 26.27475, -108.748162 26.100727)</t>
  </si>
  <si>
    <t>P1264</t>
  </si>
  <si>
    <t>From North Baja Pipeline</t>
  </si>
  <si>
    <t>Tijuana</t>
  </si>
  <si>
    <t>LINESTRING (-114.7541566 32.7137673, -116.658042 32.497665, -116.883352 32.451922)</t>
  </si>
  <si>
    <t>P1265</t>
  </si>
  <si>
    <t>https://www.gem.wiki/Yacuiba-Rio_Grande_Gas_Pipeline</t>
  </si>
  <si>
    <t>Yacuíba-Río Grande Gas Pipeline</t>
  </si>
  <si>
    <t>GASYRG</t>
  </si>
  <si>
    <t>Yacuiba</t>
  </si>
  <si>
    <t>Yacuíba</t>
  </si>
  <si>
    <t>Gran Chaco</t>
  </si>
  <si>
    <t>Gasoducto Yacuíba-Río Grande</t>
  </si>
  <si>
    <t>https://www.gem.wiki/Gasoducto_Yacu%C3%ADba-R%C3%ADo_Grande</t>
  </si>
  <si>
    <t>LINESTRING (-63.678742 -22.041715, -63.369119 -21.03881, -63.141737 -20.330794, -62.908466 -18.193691)</t>
  </si>
  <si>
    <t>P1266</t>
  </si>
  <si>
    <t>https://www.gem.wiki/Yabog_Gas_Pipeline</t>
  </si>
  <si>
    <t>Yabog Gas Pipeline</t>
  </si>
  <si>
    <t>Colpa-Santa Cruz-Yacuiba Gas Pipeline; GCSY</t>
  </si>
  <si>
    <t>Bolsas y Mercados Argentinos SA [unknown %]; GasInvest SA [unknown %]; Southern Cone Energy Holding Company Inc. [unknown %]; YPFB [unknown %]</t>
  </si>
  <si>
    <t>Bolsas y Mercados Argentinos SA [unknown %]; CGC (Compañía General de Combustibles) [unknown %]; Southern Cone Energy Holding Company Inc. [unknown %]; Tecpetrol [unknown %]; YPFB [unknown %]</t>
  </si>
  <si>
    <t>Gasoducto Yabog</t>
  </si>
  <si>
    <t>https://www.gem.wiki/Gasoducto_Yabog</t>
  </si>
  <si>
    <t>LINESTRING (-62.908466 -18.193691, -63.141737 -20.330794, -63.369119 -21.03881, -63.678742 -22.041715, -63.6855286 -22.2009477)</t>
  </si>
  <si>
    <t>P1267</t>
  </si>
  <si>
    <t>Urucu-Coari-Manaus Pipeline, Gasoduto Urucu-Coari-Manaus</t>
  </si>
  <si>
    <t>Manaus</t>
  </si>
  <si>
    <t>MULTILINESTRING ((-65.298491 -4.86503, -63.143036 -4.084517, -62.060347 -3.844823, -61.65111340889698 -3.7541036138163784, -61.4156276 -3.5669678, -61.213703675379215 -3.3265879345887543, -60.63788008281584 -3.2945314536286103, -60.15175344922894 -3.1957098802695207, -60.070063 -3.107748, -59.9296 -3.1174), (-60.070063 -3.107748, -60.033051 -2.892198), (-60.070063 -3.107748, -60.021842 -2.94537), (-60.070063 -3.107748, -60.028 -2.9871), (-60.070063 -3.107748, -60.07358457371296 -3.0934913328935174), (-60.070063 -3.107748, -60.032643339170164 -3.129458037675556), (-60.070063 -3.107748, -59.94726222120851 -3.113485158735733))</t>
  </si>
  <si>
    <t>P0903</t>
  </si>
  <si>
    <t>Timor-Leste</t>
  </si>
  <si>
    <t>Joint Petroleum Development Area, Timor-Leste</t>
  </si>
  <si>
    <t>https://www.gem.wiki/Bea%C3%A7o_Gas_Pipeline</t>
  </si>
  <si>
    <t>Beaço Gas Pipeline</t>
  </si>
  <si>
    <t>TIMOR GAP [56.56%]; Woodside Energy [33.44%]; Osaka Gas [10.00%]</t>
  </si>
  <si>
    <t>Greater Sunrise Area</t>
  </si>
  <si>
    <t>Joint Petroleum Development Area</t>
  </si>
  <si>
    <t>Beaço</t>
  </si>
  <si>
    <t>LINESTRING (128.085 -9.6442, 126.450247 -8.947342)</t>
  </si>
  <si>
    <t>P1268</t>
  </si>
  <si>
    <t>https://www.gem.wiki/Tula-Villa_de_Reyes_Gas_Pipeline</t>
  </si>
  <si>
    <t>Tula-Villa de Reyes Gas Pipeline</t>
  </si>
  <si>
    <t>Villa de Reyes</t>
  </si>
  <si>
    <t>Gasoducto Tula-Villa de Reyes</t>
  </si>
  <si>
    <t>https://www.gem.wiki/Gasoducto_Tula-Villa_de_Reyes</t>
  </si>
  <si>
    <t>MULTILINESTRING ((-99.26241248 20.05816917, -99.27996227 20.0591995, -99.30080263 20.07259314, -99.31396497 20.08289517, -99.32822417 20.08289517, -99.34577396 20.0715629, -99.36661433 20.07568382, -99.39184214 20.08289517, -99.41487623 20.08598565, -99.44887894 20.09422662, -99.48068792 20.11276722, -99.49823771 20.12821604, -99.51249691 20.13130562, -99.54211217 20.1385144, -99.56843684 20.14984182, -99.5980521 20.16322771, -99.61340816 20.16322771, -99.64631401 20.18381915, -99.6693481 20.18690763, -99.73406293 20.22499386, -99.75600016 20.22602309, -99.76696878 20.22808152, -99.78780914 20.24557713, -99.79219659 20.25380967, -99.80974637 20.25792578, -99.86349259 20.30422447, -99.90188274 20.30936792, -99.92272311 20.32479723, -99.9600164 20.32788291, -99.97537246 20.34228192, -99.99292225 20.35153772, -100.02582809 20.35050933, -100.04666846 20.36490624, -100.06312138 20.37416068, -100.07957431 20.3793018, -100.09493037 20.4080889, -100.11906132 20.42967569, -100.14977344 20.45125945, -100.17061381 20.45948104, -100.17061381 20.477978, -100.18487301 20.50880132, -100.20900396 20.53653701, -100.22436003 20.54988943, -100.24410353 20.58069827, -100.26604076 20.62176705, -100.27371879 20.63203251, -100.27481565 20.65461409, -100.29455916 20.67513989, -100.29675288 20.6843756, -100.30552778 20.69463683, -100.31869011 20.69771507, -100.33733676 20.72439049, -100.34391793 20.73567483, -100.35598341 20.74593259, -100.37463005 20.76029229, -100.398761 20.78388026, -100.39656728 20.79413475, -100.39437356 20.80233784, -100.398761 20.81464164, -100.40205159 20.82386883, -100.40095473 20.85974697, -100.39547042 20.87307096, -100.39985787 20.88331938, -100.40424531 20.90483878, -100.42947313 20.95401438, -100.42947313 20.96630576, -100.42618254 20.98986141, -100.46237897 21.03491404, -100.48870365 21.05129344, -100.50515657 21.05334074, -100.54574045 21.09428078, -100.55232162 21.10860714, -100.55780592 21.13316338, -100.56438709 21.14953195, -100.58742118 21.17919537, -100.60168038 21.1986268, -100.5983898 21.27939322, -100.59619608 21.29063566, -100.60058352 21.30187725, -100.59948666 21.32844485, -100.61045528 21.35296452, -100.61155214 21.39892784, -100.61813331 21.41526687, -100.62361761 21.4326251, -100.64007054 21.45814814, -100.66091091 21.48672865, -100.66420149 21.50203733, -100.67297638 21.50816035, -100.68284814 21.5224464, -100.68613872 21.53571075, -100.69930106 21.54489306, -100.69491361 21.55815536, -100.70478537 21.56733625, -100.7036885 21.5805965, -100.71575398 21.59385554, -100.71685084 21.61119245, -100.73440063 21.64280147, -100.73440063 21.65707424, -100.7464661 21.6713456, -100.74865983 21.70497964, -100.74536924 21.71822726, -100.75414413 21.72434114, -100.75414413 21.76203762, -100.755241 21.77731715, -100.76182216 21.79361353, -100.76840333 21.80277943, -100.77279078 21.82314599, -100.78595312 21.83943716, -100.78814684 21.8536904, -100.80459976 21.86896016, -100.80679349 21.89135285, -100.859744 21.896687), (-100.16951695 20.45845337, -100.19803535 20.46256402, -100.25726587 20.46975741, -100.30662464 20.477978, -100.32746501 20.46359167, -100.33185245 20.46461931, -100.34282107 20.48106062, -100.35378968 20.48311565, -100.36146771 20.48003309, -100.37792064 20.47695045, -100.38340494 20.46667457, -100.39547042 20.47284018, -100.44373233 20.46770219, -100.4843162 20.49441788, -100.49418796 20.49852757, -100.51502832 20.49955498, -100.52270636 20.50571927, -100.5698714 20.50366453, -100.61374586 20.51291063, -100.62471448 20.51599254, -100.66310463 20.51701983, -100.67517011 20.52215617, -100.6982042 20.52523789, -100.71465712 20.54578112, -100.72781946 20.55810573, -100.80569662 20.58993971, -100.82873072 20.59302007, -100.87699262 20.59199329, -100.89673613 20.58891291, -100.90880161 20.58685929, -100.92086708 20.58685929, -100.93951373 20.58891291, -100.98229133 20.58377881, -100.98229133 20.58377881, -100.99764739 20.57761767, -101.04261871 20.57659079, -101.09746179 20.57248319, -101.12598019 20.57145627, -101.15011114 20.5735101, -101.16217661 20.57659079, -101.16766092 20.58480565, -101.16766092 20.58788611))</t>
  </si>
  <si>
    <t>P1150</t>
  </si>
  <si>
    <t>https://www.gem.wiki/Silver_Springs_Pipeline</t>
  </si>
  <si>
    <t>Silver Springs Pipeline</t>
  </si>
  <si>
    <t>LINESTRING (149.186142 -26.693663, 149.186127 -26.693768, 149.187485 -26.693966, 149.187424 -26.694401, 149.187439 -26.694395, 149.187408 -26.694429, 149.186646 -26.695509, 149.186237 -26.698562, 149.18605 -26.699961, 149.185568 -26.703517, 149.184895 -26.708472, 149.184509 -26.711313, 149.184215 -26.713426, 149.183526 -26.718378, 149.183243 -26.720415, 149.182858 -26.723333, 149.182204 -26.72829, 149.181702 -26.732096, 149.181312 -26.73319, 149.181244 -26.733379, 149.179584 -26.737882, 149.177855 -26.742573, 149.177017 -26.744844, 149.176134 -26.747268, 149.175842 -26.748068, 149.174617 -26.752031, 149.173965 -26.754139, 149.173355 -26.754883, 149.172714 -26.756599, 149.172424 -26.757376, 149.170991 -26.761292, 149.170471 -26.762712, 149.169434 -26.765566, 149.16927 -26.765986, 149.169159 -26.766272, 149.169052 -26.767338, 149.168777 -26.769632, 149.168627 -26.770935, 149.168053 -26.775902, 149.16803 -26.776106, 149.167725 -26.778908, 149.167498 -26.780871, 149.167099 -26.78434, 149.16693 -26.785839, 149.166519 -26.789486, 149.166369 -26.790807, 149.165805 -26.795775, 149.165695 -26.796747, 149.165227 -26.800742, 149.165207 -26.800913, 149.164703 -26.805067, 149.164629 -26.805706, 149.16423 -26.809158, 149.164062 -26.810674, 149.163508 -26.815643, 149.163315 -26.817375, 149.163055 -26.819767, 149.162948 -26.820611, 149.162315 -26.825571, 149.162292 -26.825745, 149.162125 -26.826935, 149.161774 -26.829849, 149.161678 -26.83053, 149.161179 -26.834091, 149.160994 -26.835483, 149.160645 -26.838121, 149.16031 -26.840436, 149.160263 -26.840761, 149.16011 -26.841381, 149.159333 -26.845338, 149.159119 -26.846428, 149.158523 -26.850272, 149.158096 -26.85302, 149.158553 -26.855191, 149.159515 -26.859766, 149.159538 -26.86009, 149.159668 -26.861979, 149.15991 -26.865076, 149.160299 -26.870061, 149.160385 -26.871162, 149.160095 -26.873146, 149.159797 -26.875013, 149.159393 -26.877548, 149.159012 -26.879951, 149.158661 -26.88216, 149.15822 -26.884888, 149.157425 -26.889799, 149.157421 -26.889824, 149.156639 -26.894762, 149.156036 -26.898567, 149.155856 -26.899701, 149.15507 -26.904638, 149.154999 -26.905088, 149.154289 -26.909577, 149.154236 -26.909912, 149.153671 -26.913063, 149.153447 -26.914505, 149.152681 -26.919446, 149.152145 -26.922895, 149.151722 -26.924344, 149.150318 -26.929143, 149.150085 -26.929939, 149.149826 -26.932859, 149.149709 -26.934093, 149.149384 -26.93754, 149.149241 -26.939071, 149.148776 -26.944049, 149.148666 -26.945229, 149.148328 -26.949029, 149.148254 -26.949854, 149.147878 -26.954009, 149.147598 -26.957096, 149.147425 -26.958988, 149.14697 -26.963968, 149.146606 -26.967941, 149.146515 -26.968947, 149.146062 -26.973926, 149.145609 -26.978906, 149.145508 -26.980013, 149.145136 -26.983883, 149.144714 -26.988272, 149.144657 -26.98886, 149.144168 -26.993836, 149.14386 -26.996969, 149.14369 -26.998813, 149.143356 -27.002432, 149.14323 -27.003792, 149.143036 -27.00588, 149.142694 -27.008763, 149.142578 -27.009737, 149.142071 -27.013724, 149.141617 -27.017294, 149.141739 -27.017406, 149.142529 -27.018356, 149.144272 -27.020449, 149.144348 -27.020575, 149.144086 -27.022688, 149.14347 -27.02765, 149.143448 -27.027832, 149.142854 -27.032612, 149.142563 -27.034956, 149.142239 -27.037574, 149.141663 -27.04224, 149.141625 -27.042536, 149.141003 -27.047497, 149.140762 -27.049414, 149.140385 -27.052459, 149.139847 -27.056801, 149.139768 -27.05742, 149.139526 -27.059332, 149.139161 -27.062383, 149.13913 -27.062643, 149.138573 -27.067349, 149.138397 -27.06884, 149.137976 -27.072313, 149.137558 -27.075754, 149.137497 -27.07658, 149.137413 -27.07728, 149.137314 -27.078108, 149.137405 -27.079611, 149.137582 -27.082266, 149.137833 -27.086044, 149.137914 -27.087255, 149.13797 -27.088085, 149.13829 -27.09091, 149.13844 -27.092226, 149.138901 -27.096291, 149.139003 -27.097194, 149.13942 -27.100878, 149.139568 -27.102162, 149.139999 -27.105898, 149.140125 -27.107131, 149.14035 -27.109346, 149.140396 -27.110117, 149.140675 -27.112099, 149.141235 -27.116079, 149.141509 -27.117021, 149.141754 -27.117861, 149.143878 -27.121397, 149.146453 -27.125683, 149.148361 -27.128859, 149.149049 -27.129956, 149.151707 -27.134191, 149.151794 -27.134331, 149.152595 -27.139099, 149.152802 -27.140326, 149.152969 -27.141516, 149.153564 -27.143078, 149.153871 -27.143906, 149.155607 -27.148595, 149.155823 -27.149178, 149.157339 -27.153285, 149.158386 -27.156124, 149.158586 -27.158088, 149.158615 -27.158373, 149.15892 -27.161337, 149.158231 -27.162928, 149.15802 -27.163416, 149.157623 -27.164354, 149.157516 -27.164858, 149.157043 -27.166552, 149.156739 -27.167688, 149.15593 -27.170706, 149.155434 -27.172514, 149.155426 -27.172544, 149.154526 -27.175655, 149.153973 -27.177295, 149.153 -27.18018, 149.152367 -27.18203, 149.151794 -27.183706, 149.15079 -27.186775, 149.149658 -27.190229, 149.149237 -27.191527, 149.147694 -27.196283, 149.146683 -27.1994, 149.146444 -27.201107, 149.145767 -27.205936, 149.145751 -27.206058, 149.145093 -27.211015, 149.145004 -27.211679, 149.144394 -27.215966, 149.144333 -27.216396, 149.144102 -27.220956, 149.143849 -27.225949, 149.143677 -27.229343, 149.143591 -27.230943, 149.143322 -27.235935, 149.143173 -27.238699, 149.143069 -27.240929, 149.142836 -27.245924, 149.142776 -27.247194, 149.142731 -27.249033, 149.142715 -27.249933, 149.142677 -27.250921, 149.142639 -27.251905, 149.142548 -27.255419, 149.1425 -27.255917, 149.142026 -27.260894, 149.141552 -27.265871, 149.141078 -27.270849, 149.140604 -27.275826, 149.14013 -27.280804, 149.139656 -27.285781, 149.139182 -27.290759, 149.138809 -27.29467, 149.138713 -27.295737, 149.138263 -27.300717, 149.137814 -27.305696, 149.137619 -27.307852, 149.137014 -27.310622, 149.135946 -27.315507, 149.135712 -27.31658, 149.135498 -27.317547, 149.135208 -27.319565, 149.135081 -27.320428, 149.134888 -27.321737, 149.134842 -27.32238, 149.13472 -27.325027, 149.134711 -27.325409, 149.134674 -27.327063, 149.134561 -27.330407, 149.134415 -27.334713, 149.134398 -27.335404, 149.134384 -27.336002, 149.133896 -27.339956, 149.133847 -27.340371, 149.133286 -27.345121, 149.133307 -27.345337, 149.133806 -27.350312, 149.133865 -27.350906, 149.133113 -27.355245, 149.132385 -27.359438, 149.132263 -27.360172, 149.13144 -27.365104, 149.130618 -27.370036, 149.130249 -27.372246, 149.130157 -27.372807, 149.129776 -27.374367, 149.12963 -27.374933, 149.128382 -27.379775, 149.12822 -27.380405, 149.127594 -27.383036, 149.127869 -27.384035, 149.12771 -27.384623, 149.126801 -27.387989, 149.126451 -27.389461, 149.125295 -27.394326, 149.124139 -27.39919, 149.123413 -27.402246, 149.123158 -27.404088, 149.122473 -27.40904, 149.121787 -27.413993, 149.121582 -27.415478, 149.121109 -27.418947, 149.120433 -27.423901, 149.120056 -27.426661, 149.119756 -27.428855, 149.119078 -27.433809, 149.1184 -27.438763, 149.117722 -27.443717, 149.117401 -27.446062, 149.117047 -27.448671, 149.116375 -27.453625, 149.115703 -27.45858, 149.115031 -27.463535, 149.114868 -27.464737, 149.114352 -27.468488, 149.11367 -27.473442, 149.112988 -27.478395, 149.112306 -27.483348, 149.111624 -27.488301, 149.110942 -27.493255, 149.110382 -27.497324, 149.110262 -27.498208, 149.109588 -27.503163, 149.108932 -27.507977, 149.108913 -27.508117, 149.108237 -27.513071, 149.10759 -27.517815, 149.10756 -27.518025, 149.107117 -27.521204, 149.106858 -27.522975, 149.106827 -27.52319, 149.106644 -27.524054, 149.106689 -27.524158, 149.10643 -27.525145, 149.106339 -27.52762, 149.106326 -27.527909, 149.106111 -27.532904, 149.105911 -27.537558, 149.105896 -27.5379, 149.10567 -27.542894, 149.105444 -27.547889, 149.105438 -27.548016, 149.1052 -27.552883, 149.104955 -27.557877, 149.104874 -27.55953, 149.105302 -27.562848, 149.105835 -27.566975, 149.105948 -27.567806, 149.106624 -27.57276, 149.107193 -27.576927, 149.107307 -27.577713, 149.108027 -27.582661, 149.108673 -27.587109, 149.108742 -27.58761, 149.109426 -27.592563, 149.109879 -27.59584, 149.110135 -27.597512, 149.110229 -27.598125, 149.110168 -27.598297, 149.110859 -27.602437, 149.111681 -27.607369, 149.112503 -27.612301)</t>
  </si>
  <si>
    <t>P3333</t>
  </si>
  <si>
    <t>North Macedonia, Albania</t>
  </si>
  <si>
    <t>https://www.gem.wiki/North_Macedonia%E2%80%93Albania_Gas_Pipeline</t>
  </si>
  <si>
    <t>North Macedonia–Albania Gas Pipeline</t>
  </si>
  <si>
    <t xml:space="preserve"> Gas Interconnector North Macedonia-Albania</t>
  </si>
  <si>
    <t>Albgaz Sha [unknown %]; MER JSC Skopje [unknown %]</t>
  </si>
  <si>
    <t>Bitola</t>
  </si>
  <si>
    <t>Kjafasan</t>
  </si>
  <si>
    <t>LINESTRING (21.3796521 41.0562656, 21.3315703 41.0671228, 21.314509 41.0609187, 21.2710803 41.0888372, 21.2198965 41.0826331, 21.1407942 41.0733269, 21.1206308 41.0624697, 21.1020185 41.0640208, 21.0647939 41.0547146, 21.0399775 41.0624697, 21.008957 41.0826331, 20.9655283 41.0872861, 20.9019363 41.1322659, 20.8336912 41.140021, 20.8197319 41.1679395, 20.7809563 41.1943069, 20.6816907 41.1912048, 20.6615273 41.1663884, 20.642915 41.1214087, 20.6165476 41.079531)</t>
  </si>
  <si>
    <t>P3334</t>
  </si>
  <si>
    <t>https://www.gem.wiki/Digha%E2%80%93Contai_Gas_Pipeline</t>
  </si>
  <si>
    <t>Digha–Contai Gas Pipeline</t>
  </si>
  <si>
    <t>Digha</t>
  </si>
  <si>
    <t>Contai</t>
  </si>
  <si>
    <t>P3335</t>
  </si>
  <si>
    <t>North Macedonia, Bulgaria</t>
  </si>
  <si>
    <t>https://www.gem.wiki/North_Macedonia%E2%80%93Bulgaria_Gas_Pipeline</t>
  </si>
  <si>
    <t>North Macedonia–Bulgaria Gas Pipeline</t>
  </si>
  <si>
    <t>Gas Interconnector North Macedonia-Bulgaria</t>
  </si>
  <si>
    <t>Bulgartransgaz [unknown %]; MER JSC Skopje [unknown %]</t>
  </si>
  <si>
    <t>Bulgarian Energy Holding [unknown %]; MER JSC Skopje [unknown %]</t>
  </si>
  <si>
    <t>Radovish</t>
  </si>
  <si>
    <t>Petric</t>
  </si>
  <si>
    <t>LINESTRING (22.4678552 41.6382529, 22.5166158 41.6172938, 22.5479424 41.6078418, 22.5911516 41.566253, 22.6294997 41.5576111, 22.6583959 41.5432981, 22.6708185 41.5319557, 22.7259102 41.5292551, 22.8089897 41.4800748, 22.8267872 41.476424, 22.8441284 41.4476741, 22.877898 41.4285076, 22.9112113 41.4152735, 22.9413302 41.3983887, 22.9965509 41.3976381)</t>
  </si>
  <si>
    <t>P3336</t>
  </si>
  <si>
    <t>Kosovo</t>
  </si>
  <si>
    <t>Albania, Kosovo</t>
  </si>
  <si>
    <t>https://www.gem.wiki/Albania%E2%80%93Kosovo_Gas_Pipeline</t>
  </si>
  <si>
    <t>Albania–Kosovo Gas Pipeline</t>
  </si>
  <si>
    <t>ALKOGAP</t>
  </si>
  <si>
    <t>Albgaz Sha [unknown %]; Ministry of Economic Development of Kosovo Republic [unknown %]</t>
  </si>
  <si>
    <t>Ionian Adriatic Gas Pipeline (IAP)</t>
  </si>
  <si>
    <t>Lezhë</t>
  </si>
  <si>
    <t>Pristina</t>
  </si>
  <si>
    <t>LINESTRING (19.674819 41.677016, 19.750839 41.689164, 19.789738 41.691194, 19.797856 41.776432, 19.884108 41.774741, 19.98183 41.870667, 20.062181 41.864759, 20.190981 41.945111, 20.342232 42.027826, 20.683564 42.205137, 20.750956 42.224645, 20.82012 42.327505, 20.883965 42.400217, 20.841402 42.462288, 20.848496 42.556281, 20.972638 42.600618, 21.05067 42.621899, 21.14821 42.62722, 21.164171 42.628993, 21.213828 42.692838)</t>
  </si>
  <si>
    <t>P3337</t>
  </si>
  <si>
    <t>Mozambique–Richards Bay Gas Pipeline</t>
  </si>
  <si>
    <t>Mozambique (Southern Border) to Richards Bay</t>
  </si>
  <si>
    <t>LINESTRING (32.36893519069871 -26.873543416020315, 32.03328789784997 -28.792092585851805)</t>
  </si>
  <si>
    <t>P3338</t>
  </si>
  <si>
    <t>Rompco Gas Pipeline</t>
  </si>
  <si>
    <t>Rompco Pipeline Corridor</t>
  </si>
  <si>
    <t>LINESTRING (31.998798801035356 -24.946674341124034, 30.968316200774126 -25.469482913796927, 29.188512020760903 -26.522220863170052, 28.734325461246314 -26.823376188732706)</t>
  </si>
  <si>
    <t>P3339</t>
  </si>
  <si>
    <t>Saldanha–Coega Inland Corridor Gas Pipeline</t>
  </si>
  <si>
    <t>Inland Corridor from Saldanha to Coega</t>
  </si>
  <si>
    <t>LINESTRING (19.050520071302213 -33.88492080777794, 19.967170085231015 -32.77413006001919, 21.53457163576577 -32.41451849006582, 23.24191975331255 -32.29038440550202, 24.20055373734496 -32.396795482360304, 24.620393438381054 -32.926967696836655, 24.68336939353647 -33.47149431571451)</t>
  </si>
  <si>
    <t>P3340</t>
  </si>
  <si>
    <t>https://www.gem.wiki/Ibadan%E2%80%93Jebba_Gas_Pipeline</t>
  </si>
  <si>
    <t>Ibadan–Jebba Gas Pipeline</t>
  </si>
  <si>
    <t>Axxela [unknown %]</t>
  </si>
  <si>
    <t>Ibadan</t>
  </si>
  <si>
    <t>Jebba</t>
  </si>
  <si>
    <t>LINESTRING (3.92785869736806 7.375851595478923, 4.541223491860344 8.479543677660322, 4.81821305582939 9.224720078296858)</t>
  </si>
  <si>
    <t>P3341</t>
  </si>
  <si>
    <t>https://www.gem.wiki/Songas_Pipeline</t>
  </si>
  <si>
    <t>Songas Pipeline</t>
  </si>
  <si>
    <t>12, 16</t>
  </si>
  <si>
    <t>Songo Songo Island</t>
  </si>
  <si>
    <t>LINESTRING (39.49601183256321 -8.505911981257078, 39.253166099671226 -8.479521607042177, 39.16527547531856 -8.300187238112539, 39.18038167637918 -7.8297294178785695, 39.20844122726965 -6.793658057526867, 39.16771907273356 -6.662453353105789)</t>
  </si>
  <si>
    <t>P3342</t>
  </si>
  <si>
    <t>https://www.gem.wiki/Kakinada-Haldia_Gas_Pipeline</t>
  </si>
  <si>
    <t>Kakinada-Haldia Gas Pipeline</t>
  </si>
  <si>
    <t>Reliance Industries Limited [unknown %]</t>
  </si>
  <si>
    <t>LINESTRING (82.2453054 16.9864578, 82.4509979 17.2447988, 83.0386253 17.5582001, 83.2009224 17.6645327, 83.4415698 17.8995836, 83.6539081 18.1278025, 84.0650567 18.3152611, 84.3108007 18.5751826, 84.6238995 18.9304113, 84.9400991 19.3529434, 85.1354316 19.6517318, 85.4593479 19.9545231, 86.1987219 20.2150644, 86.649388 20.8840219, 86.8254294 21.3839796, 88.3643359 22.5734981)</t>
  </si>
  <si>
    <t>P3343</t>
  </si>
  <si>
    <t>https://www.gem.wiki/El_Tina_Gas_Pipeline</t>
  </si>
  <si>
    <t>El Tina Gas Pipeline</t>
  </si>
  <si>
    <t>Egyptian Natural Gas Holding Company [unknown %]</t>
  </si>
  <si>
    <t>El Tina</t>
  </si>
  <si>
    <t>Port Said</t>
  </si>
  <si>
    <t>Mit Nema</t>
  </si>
  <si>
    <t>Al Qalyubia</t>
  </si>
  <si>
    <t>خط غاز التينة غرب - ميت نما</t>
  </si>
  <si>
    <t>LINESTRING (32.29997854232865 31.250192616195203, 32.2715 30.5965, 31.7195 30.7327, 31.2168 30.3292, 31.228328 30.147828)</t>
  </si>
  <si>
    <t>P3344</t>
  </si>
  <si>
    <t>Tanzania, Kenya</t>
  </si>
  <si>
    <t>https://www.gem.wiki/Tanzania%E2%80%93Kenya_Gas_Pipeline</t>
  </si>
  <si>
    <t>Tanzania–Kenya Gas Pipeline</t>
  </si>
  <si>
    <t>Government of Kenya [unknown %]; Government of Tanzania [unknown %]</t>
  </si>
  <si>
    <t>LINESTRING (39.200847394550884 -6.791832044109423, 38.78829176886063 -6.714330364833297, 38.17305740202965 -5.949984988240539, 38.612510521194636 -4.615376632838709, 39.673126602299256 -4.042377610581146)</t>
  </si>
  <si>
    <t>P3345</t>
  </si>
  <si>
    <t>Ghana, Côte d'Ivoire</t>
  </si>
  <si>
    <t>Ghana–Côte d'Ivoire Expansion</t>
  </si>
  <si>
    <t>MULTILINESTRING ((-4.009595817296865 4.966261141095927, -1.7135531728285562 4.403427674125429), (-4.009595817296865 4.966261141095927, -4.002165258576904 5.365880582897334))</t>
  </si>
  <si>
    <t>P3346</t>
  </si>
  <si>
    <t>https://www.gem.wiki/El_Noubareya_Gas_Pipeline</t>
  </si>
  <si>
    <t>El Noubareya Gas Pipeline</t>
  </si>
  <si>
    <t>Al Nubaria Gas Pipeline, Nubaria-Metnama Gas Pipeline</t>
  </si>
  <si>
    <t>32, 42</t>
  </si>
  <si>
    <t>https://egy-map.com/project/%D8%A7%D9%84%D9%85%D8%B1%D8%AD%D9%84%D8%A9-%D8%A7%D9%84%D8%A3%D9%88%D9%84%D9%8A-%D9%88%D8%A7%D9%84%D8%AB%D8%A7%D9%86%D9%8A%D8%A9-%D9%85%D9%86-%D8%AE%D8%B7-%D8%BA%D8%A7%D8%B2-%D8%A7%D9%84%D9%86%D9%88%D8%A8%D8%A7%D8%B1%D9%8A%D8%A9---%D9%85%D9%8A%D8%AA-%D9%86%D9%85%D8%A7</t>
  </si>
  <si>
    <t>El Noubareya</t>
  </si>
  <si>
    <t>Behara</t>
  </si>
  <si>
    <t>خط النوبارية ميت نما</t>
  </si>
  <si>
    <t>LINESTRING (30.6968 30.7634, 30.9667 30.2167, 31.205278 30.199722, 31.242222 30.128611, 31.234444 30.145278)</t>
  </si>
  <si>
    <t>P1269</t>
  </si>
  <si>
    <t>Venezuela, Colombia</t>
  </si>
  <si>
    <t>https://www.gem.wiki/Trans-Caribbean_Gas_Pipeline</t>
  </si>
  <si>
    <t>Trans-Caribbean Gas Pipeline</t>
  </si>
  <si>
    <t>Trans-Isthmian Pipeline, Antonio Ricaurte Gas Pipeline</t>
  </si>
  <si>
    <t>PDVSA [100.00%]</t>
  </si>
  <si>
    <t>Maracaibo</t>
  </si>
  <si>
    <t>Zulia</t>
  </si>
  <si>
    <t>Gasoducto Transcaribeño</t>
  </si>
  <si>
    <t>https://www.gem.wiki/Gasoducto_Transcaribe%C3%B1o</t>
  </si>
  <si>
    <t>LINESTRING (-72.722667 11.695213, -71.6491906 10.6368873)</t>
  </si>
  <si>
    <t>P1270</t>
  </si>
  <si>
    <t>https://www.gem.wiki/Gasoducto_Norte_Gas_Pipeline</t>
  </si>
  <si>
    <t>Gasoducto Norte Gas Pipeline</t>
  </si>
  <si>
    <t>San Jerónimo compressor station</t>
  </si>
  <si>
    <t>Gasoducto Norte</t>
  </si>
  <si>
    <t>https://www.gem.wiki/Gasoducto_Norte</t>
  </si>
  <si>
    <t>MULTILINESTRING ((-63.661951 -22.207448, -64.334125 -23.411778, -64.821958 -24.271961, -64.94617 -25.205949, -65.170257 -26.126376, -65.138861 -26.85141, -65.105076 -28.158682, -64.894512 -29.249911, -64.374909 -30.378235, -63.966164 -31.477869, -63.286732 -32.291566, -62.232558 -32.630565, -61.07707 -32.86922, -58.944651 -34.638372), (-61.07707 -32.86922, -61.05 -31.84, -60.7885546 -31.6490883), (-61.05 -31.84, -60.590054 -31.89146))</t>
  </si>
  <si>
    <t>P1088</t>
  </si>
  <si>
    <t>https://www.gem.wiki/Subic_Gas_Pipeline</t>
  </si>
  <si>
    <t>Subic Gas Pipeline</t>
  </si>
  <si>
    <t>Mabalacat</t>
  </si>
  <si>
    <t>LINESTRING (120.57069 15.223182, 120.777562 14.938317)</t>
  </si>
  <si>
    <t>P1089</t>
  </si>
  <si>
    <t>https://www.gem.wiki/Sucat-Fort_Bonifacio_Gas_Pipeline</t>
  </si>
  <si>
    <t>Sucat-Fort Bonifacio Gas Pipeline</t>
  </si>
  <si>
    <t>LINESTRING (121.049428 14.454613, 121.051498 14.517523)</t>
  </si>
  <si>
    <t>P1090</t>
  </si>
  <si>
    <t>https://www.gem.wiki/Sucat-Malaya_Gas_Pipeline</t>
  </si>
  <si>
    <t>Sucat-Malaya Gas Pipeline</t>
  </si>
  <si>
    <t>Su-Ma Gas Pipeline</t>
  </si>
  <si>
    <t>Sucat</t>
  </si>
  <si>
    <t>Pililla</t>
  </si>
  <si>
    <t>Rizal</t>
  </si>
  <si>
    <t>LINESTRING (121.341834 14.443186, 121.048055 14.454779)</t>
  </si>
  <si>
    <t>P1091</t>
  </si>
  <si>
    <t>https://www.gem.wiki/Sucat-Quirino_Gas_Pipeline</t>
  </si>
  <si>
    <t>Sucat-Quirino Gas Pipeline</t>
  </si>
  <si>
    <t>LINESTRING (121.04917 14.453782, 121.597276 16.24301)</t>
  </si>
  <si>
    <t>P1095</t>
  </si>
  <si>
    <t>https://www.gem.wiki/Taichung-Datan_Gas_Pipeline</t>
  </si>
  <si>
    <t>Taichung-Datan Gas Pipeline</t>
  </si>
  <si>
    <t>臺中-通霄-大潭輸氣管線</t>
  </si>
  <si>
    <t>Chinese Petroleum Corporation [100.00%]</t>
  </si>
  <si>
    <t>Taichung LNG Terminal imported LNG</t>
  </si>
  <si>
    <t>Taoyuan</t>
  </si>
  <si>
    <t>LINESTRING (120.6809998 24.0093002, 120.6809998 24.0955009, 120.6809998 24.1553001, 120.697998 24.2148991, 120.7149963 24.2411995, 120.7310028 24.2674999, 120.7369995 24.2845001, 120.7360001 24.3307991, 120.7699966 24.3484001, 120.7959976 24.3721008, 120.822998 24.4165993, 120.8479996 24.4729004, 120.8550034 24.4841995, 120.8570023 24.5237999, 120.8560028 24.5471992, 120.862999 24.5559006, 120.862999 24.5718994, 120.8690033 24.5883007, 120.8720016 24.6023006, 120.875 24.6207008, 120.8860016 24.6455002, 120.8889999 24.6702995, 120.9089966 24.6991997, 120.9309998 24.7134991, 120.9520035 24.7385006, 120.9690018 24.7422009, 121.0159988 24.7817993, 121.0189972 24.8875999, 121.0390015 24.8994007, 121.1429977 24.9295998, 121.1880035 24.9314995, 121.2710037 24.9013004, 121.2910004 24.9051991, 121.2900009 24.9442005, 121.3030014 25.0046005, 121.2639999 25.0366993, 121.2470016 25.0774994, 121.2080002 25.0697994, 121.1829987 25.0648994, 121.1340027 25.0492992, 121.1060028 25.0386009, 121.0419998 25.0366993, 121.0439987 25.0366993, 121.0410004 25.0375996)</t>
  </si>
  <si>
    <t>P1096</t>
  </si>
  <si>
    <t>https://www.gem.wiki/Taichung-Wuxi_Gas_Pipeline</t>
  </si>
  <si>
    <t>Taichung-Wuxi Gas Pipeline</t>
  </si>
  <si>
    <t>臺中-烏溪輸氣管線</t>
  </si>
  <si>
    <t>LINESTRING (120.495334 24.254841, 120.797513 24.191158)</t>
  </si>
  <si>
    <t>P1271</t>
  </si>
  <si>
    <t>Naranjos - Tamazunchale pipeline</t>
  </si>
  <si>
    <t>Naranjos</t>
  </si>
  <si>
    <t>Naranjos Amatlán</t>
  </si>
  <si>
    <t>LINESTRING (-97.611449 21.4644, -97.702 21.46925, -97.7599 21.4488, -97.8178 21.43932, -97.8484 21.44031, -97.9545 21.41087, -98.1089 21.42734, -98.2183 21.41233, -98.260983 21.40535, -98.3775 21.40383, -98.4526 21.39834, -98.4822 21.39559, -98.5444 21.38463, -98.5878 21.36864, -98.6254 21.33115, -98.6548 21.31369, -98.7015 21.30472, -98.713658 21.305, -98.75612 21.31021)</t>
  </si>
  <si>
    <t>P0904</t>
  </si>
  <si>
    <t>https://www.gem.wiki/Agartala_Regional_Gas_Network</t>
  </si>
  <si>
    <t>Agartala Regional Gas Network</t>
  </si>
  <si>
    <t>Tripura Gas Field</t>
  </si>
  <si>
    <t>Tripura</t>
  </si>
  <si>
    <t>Agartala</t>
  </si>
  <si>
    <t>LINESTRING (91.6017993 24.061609, 91.2890013 23.892206)</t>
  </si>
  <si>
    <t>P1273</t>
  </si>
  <si>
    <t>https://www.gem.wiki/Southern_Peru_Gas_Pipeline</t>
  </si>
  <si>
    <t>Southern Peru Gas Pipeline</t>
  </si>
  <si>
    <t>Gasoducto del Sur, SIT Gas, Sistema Integrado de Transporte de Gas al Sur, Integrated Gas Transortation System for Southern Peru</t>
  </si>
  <si>
    <t>Petroperú [100.00%]</t>
  </si>
  <si>
    <t>Camisea Gas Field</t>
  </si>
  <si>
    <t>Camisea Gas Fields</t>
  </si>
  <si>
    <t>Cuzco</t>
  </si>
  <si>
    <t>Tacna</t>
  </si>
  <si>
    <t>Gasoducto del Sur Peruano</t>
  </si>
  <si>
    <t>https://www.gem.wiki/Gasoducto_del_Sur_Peruano</t>
  </si>
  <si>
    <t>MULTILINESTRING ((-71.1892805 -17.7759701, -71.15342034 -17.70580413, -71.11028052 -17.61699986, -71.11721697 -17.55108456, -71.20440128 -17.40770775, -71.27354745 -17.32162758, -71.39079531 -17.27283089, -71.4659542 -17.23837838, -71.57718935 -17.15221902, -71.67940543 -17.1263634, -71.82972321 -16.97978044, -71.84174863 -16.91363685, -71.82972321 -16.55087499, -71.72750712 -16.35481379, -71.61326561 -16.08924121, -71.49000504 -16.06324211, -71.34269363 -16.0170131, -71.3847826 -15.93608658, -71.4118398 -15.64679778, -71.36975083 -15.44115364, -71.30361101 -15.36579615, -71.24047754 -15.3513012, -71.20139492 -15.27591125, -71.15629959 -15.22660315, -71.1893695 -15.03506254, -71.19237586 -14.9479416, -71.16832501 -14.87240816, -71.20139492 -14.77940762, -71.26152203 -14.6456496, -71.27655381 -14.46814902, -71.30361101 -14.36915253, -71.36373811 -14.1826875, -71.35171269 -14.0806494, -71.45392878 -13.89686611, -71.47797962 -13.81805706, -71.61231 -13.692392, -72.382892 -12.627512, -72.557134 -12.638626, -73.04382 -12.646594, -73.085592 -12.4531, -72.945592 -11.840021), (-72.557134 -12.638626, -72.69782 -12.851689), (-71.61231 -13.692392, -72.132327 -13.469012), (-71.83874227 -16.92801787, -71.9 -16.975, -71.9773 -17.0393), (-71.17734408 -14.90146262, -71.04807079 -14.91889341, -70.86167676 -14.97408161, -70.66927001 -15.04086934, -70.51895224 -15.11344098, -70.43778064 -15.19759299, -70.41673615 -15.29331134, -70.38967896 -15.39478303, -70.35059634 -15.48461667, -70.29347558 -15.59757775, -70.20629127 -15.68732303, -70.04996079 -15.8290979), (-71.1892805 -17.7759701, -71.16531866 -17.77444131, -71.01800724 -17.75448461, -70.8316132 -17.82032535, -70.70233992 -17.88900282, -70.57607299 -17.96337343, -70.252357 -18.016335))</t>
  </si>
  <si>
    <t>P1274</t>
  </si>
  <si>
    <t>https://www.gem.wiki/San_Fernando_Gas_Pipeline</t>
  </si>
  <si>
    <t>San Fernando Gas Pipeline</t>
  </si>
  <si>
    <t>Gasoducto de Tamaulipas</t>
  </si>
  <si>
    <t>Reynosa</t>
  </si>
  <si>
    <t>Tamaulipas</t>
  </si>
  <si>
    <t>San Fernando</t>
  </si>
  <si>
    <t>Gasoducto San Fernando</t>
  </si>
  <si>
    <t>https://www.gem.wiki/Gasoducto_San_Fernando</t>
  </si>
  <si>
    <t>LINESTRING (-98.474429 26.011869, -98.1694606 24.8443455)</t>
  </si>
  <si>
    <t>P1275</t>
  </si>
  <si>
    <t>https://www.gem.wiki/Route_2_Gas_Pipeline</t>
  </si>
  <si>
    <t>Route 2 Gas Pipeline</t>
  </si>
  <si>
    <t>Gasoduto Pré-Sal/Cabiúnas</t>
  </si>
  <si>
    <t>Petrobras [55.00%]; Shell [25.00%]; Galp Energia [10.00%]; Repsol [10.00%]</t>
  </si>
  <si>
    <t>Gasoduto Rota 2</t>
  </si>
  <si>
    <t>https://www.gem.wiki/Gasoduto_da_Rota_2</t>
  </si>
  <si>
    <t>LINESTRING (-42.839 -25.398, -42.498 -24.657, -41.5 -22.959, -41.702538 -22.308832, -41.716872 -22.286138)</t>
  </si>
  <si>
    <t>P1276</t>
  </si>
  <si>
    <t>https://www.gem.wiki/Paran%C3%A1-Uruguayana_Gas_Pipeline</t>
  </si>
  <si>
    <t>Paraná-Uruguayana Gas Pipeline</t>
  </si>
  <si>
    <t>Gasoduto Paraná-Uruguaiana, Transportadora de Gas del Mercosur</t>
  </si>
  <si>
    <t>CGC (Compañía General de Combustibles) [15.77%]; CMS Energy [unknown %]; Petronas [unknown %]; Techint [unknown %]; TotalEnergies SE [unknown %]</t>
  </si>
  <si>
    <t>Entre Ríos</t>
  </si>
  <si>
    <t>Uruguaiana</t>
  </si>
  <si>
    <t>Gasoducto Paraná-Uruguayana</t>
  </si>
  <si>
    <t>https://www.gem.wiki/Gasoducto_Paran%C3%A1-Uruguayana</t>
  </si>
  <si>
    <t>LINESTRING (-60.590054 -31.89146, -60.34648001 -31.88321755, -60.24915798 -31.86550755, -59.87377301 -31.66455665, -59.40454181 -31.42758622, -59.33502607 -31.39198881, -59.25855877 -31.32966086, -59.06043892 -31.121603, -58.65029609 -30.87133029, -58.32357214 -30.40779979, -57.98989662 -30.18572026, -57.79525256 -30.08652287, -57.242035 -29.794787)</t>
  </si>
  <si>
    <t>P3361</t>
  </si>
  <si>
    <t>Kysyl-Syr - Mastakh Expansion</t>
  </si>
  <si>
    <t>Kysyl-Syr - Mastakh - Berge - Yakutsk Gas Pipeline</t>
  </si>
  <si>
    <t>Sakhatransneftegaz JSC [100.00%]</t>
  </si>
  <si>
    <t>Srednevilyuyskoye gas condensate field; Mastakhskoye gas condensate field</t>
  </si>
  <si>
    <t>Kysyl-Syr</t>
  </si>
  <si>
    <t>Vilyuysky District</t>
  </si>
  <si>
    <t>Mastakh</t>
  </si>
  <si>
    <t>МГ Средневилюйское газоконденсатное месторождение – Якутск</t>
  </si>
  <si>
    <t>МГ Кысыл-Сыр – Мастах</t>
  </si>
  <si>
    <t>LINESTRING (122.788696 63.893897, 123.42453 63.875762, 123.946381 63.82886, 124.223099 63.748491)</t>
  </si>
  <si>
    <t>P3362</t>
  </si>
  <si>
    <t>https://www.gem.wiki/CNGC%27s_Inter-Provincial_Gas_Pipeline_Network</t>
  </si>
  <si>
    <t>CNGC's Inter-Provincial Gas Pipeline Network</t>
  </si>
  <si>
    <t>MULTILINESTRING ((103.796843 11.038248, 103.877933 11.080021, 103.99834 11.168483, 104.076972 11.202885, 104.12366 11.217629, 104.221951 11.286432, 104.315328 11.340492, 104.344815 11.360151, 104.386589 11.387181, 104.418533 11.419125, 104.462764 11.438783, 104.541397 11.473185, 104.615115 11.480557, 104.654432 11.502672, 104.676547 11.566562, 104.683919 11.659938, 104.737979 11.755772, 104.750265 11.819661, 104.715863 11.854063, 104.708492 11.898294, 104.720778 11.972012, 104.72815 12.035901, 104.696205 12.121905, 104.654432 12.171051, 104.651974 12.205453, 104.669175 12.242312, 104.661803 12.259513, 104.632316 12.276714, 104.590542 12.274256, 104.56597 12.311116, 104.53894 12.333231, 104.504538 12.362718, 104.477508 12.379919, 104.45785 12.42415, 104.443106 12.465924, 104.354644 12.475753, 104.285841 12.507697, 104.212122 12.53227, 104.0696 12.53227, 103.931993 12.53227, 103.890219 12.542099, 103.858275 12.5593, 103.818959 12.571587, 103.708381 12.652677, 103.629748 12.674792, 103.548658 12.709194, 103.487227 12.723938, 103.429143 12.785986, 103.375318 12.860742, 103.345415 12.94746, 103.306542 13.001284, 103.270659 13.052119, 103.228795 13.085012, 103.207863 13.102953, 103.154039 13.108934, 103.130117 13.111924, 103.118156 13.141827, 103.112175 13.156778, 103.097224 13.237515, 103.070311 13.29433, 103.013497 13.393008, 103.010506 13.455804, 103.013497 13.536541, 102.971633 13.572424, 102.980604 13.596346, 103.022467 13.617278, 103.136097 13.626249, 103.276639 13.611297, 103.324484 13.605317, 103.360367 13.593356, 103.40223 13.593356, 103.599587 13.515609, 103.677334 13.470755, 103.755081 13.422911, 103.796945 13.393008, 103.841799 13.366096, 103.922536 13.357125, 104.003273 13.351145, 104.081019 13.279378, 104.158766 13.228544, 104.197639 13.222564, 104.251464 13.17771, 104.296318 13.147807, 104.365094 13.108934, 104.406719 13.089501, 104.456529 13.051313, 104.469811 13.039691, 104.494716 13.039691, 104.51298 12.999843, 104.654108 12.827169, 104.752067 12.817207, 104.805198 12.788981, 104.876592 12.800603, 104.888214 12.739171, 104.906478 12.666117, 104.964589 12.659475, 104.994475 12.624608, 105.057568 12.559856, 105.099076 12.544913, 105.11734 12.503404, 105.114019 12.468538, 105.075831 12.407105, 105.104057 12.335711, 105.123981 12.295863, 105.12066 12.199564, 105.114019 12.163037, 105.074171 12.118208, 105.064209 12.104926, 105.07085 12.060097), (103.796981 11.038062, 103.680699 11.017407, 103.683101 10.962963, 103.699114 10.93414, 103.699114 10.894908, 103.709523 10.868486, 103.803999 10.870888, 103.805855 10.706953, 103.76548 10.735793, 103.71501 10.745887, 103.674635 10.705511, 103.64147 10.699743, 103.595327 10.725699, 103.554951 10.734351, 103.536206 10.718489, 103.530438 10.665136, 103.527554 10.63918, 103.581697 10.60033, 103.611738 10.609943, 103.632166 10.589515, 103.677828 10.583507, 103.755935 10.58591, 103.803448 10.69278, 103.805882 10.70674), (103.805878 10.706744, 103.805888 10.706744, 103.805919 10.706761, 103.805928 10.706737, 103.854298 10.712625, 103.871126 10.718857, 103.888577 10.700783, 103.897302 10.650301, 103.913506 10.612283, 103.999514 10.566163, 104.073056 10.558061, 104.156571 10.582991, 104.20643 10.612906, 104.283712 10.553075, 104.353515 10.532508, 104.434536 10.555568, 104.513246 10.603524, 104.5686 10.702239, 104.596277 10.732683, 104.647941 10.776967, 104.683922 10.828631, 104.712521 10.904282, 104.745734 10.98639, 104.757727 11.046357, 104.773411 11.121086, 104.776179 11.169059, 104.799243 11.229026, 104.817694 11.262239, 104.848139 11.300064, 104.869349 11.358987, 104.865478 11.432531, 104.905475 11.441562, 104.924829 11.459626, 104.929643 11.539903, 104.940667 11.558559, 104.954871 11.564425, 104.964058 11.558771, 104.969004 11.557217, 104.982007 11.554955, 105.006882 11.553825, 105.079527 11.532907, 105.086876 11.528385, 105.089137 11.521601, 105.094084 11.516372, 105.125177 11.502662, 105.149486 11.488529, 105.156412 11.483158, 105.168425 11.471145, 105.193582 11.454185, 105.205737 11.447401, 105.2251 11.4409, 105.234275 11.436975, 105.244723 11.420867, 105.245376 11.413248, 105.250383 11.404324, 105.255172 11.400623, 105.259232 11.394189, 105.275343 11.342179, 105.281562 11.326067, 105.284106 11.308541, 105.28453 11.286918, 105.287357 11.26487, 105.302868 11.260929, 105.340285 11.224803, 105.36609 11.195127, 105.411248 11.175774, 105.435763 11.171903, 105.472974 11.157798, 105.574703 11.155649, 105.638463 11.152783, 105.710103 11.118396, 105.784608 11.091889, 105.81613 11.08186, 105.846218 11.080427, 105.915062 11.040335, 106.055895 11.042271, 106.075738 11.048562, 106.094128 11.050014, 106.130426 11.05679), (104.654421 11.502676, 104.743689 11.514413, 104.772966 11.52789, 104.860797 11.528354, 104.88171 11.51906, 104.911451 11.51999, 104.940667 11.558559), (104.940667 11.558559, 104.86424 11.662659, 104.828292 11.69492, 104.824605 11.745615, 104.802484 11.810137, 104.79511 11.828572, 104.744315 11.825609), (104.795111 11.82857, 104.831505 11.848977, 104.889902 11.886935, 104.92932 11.921243, 104.93808 11.949712, 104.940999 12.008109, 104.966548 12.033657, 104.993557 12.048986, 105.033705 12.057016, 105.070922 12.060044, 105.358942 12.059424, 105.389491 12.04381, 105.452626 11.999683, 105.47435 11.972528, 105.49268 11.958951, 105.530697 11.960308, 105.575825 11.918387, 105.637737 11.922515, 105.764314 11.840882, 105.835452 11.820629, 105.890576 11.788315, 105.925742 11.775959, 106.005578 11.791166, 106.035991 11.806373, 106.084463 11.810175, 106.130083 11.849142, 106.156695 11.847241, 106.194712 11.829183, 106.23463 11.831084, 106.266944 11.855795, 106.285953 11.885258, 106.32492 11.919473, 106.349631 11.942284, 106.352482 11.986003, 106.376243 12.021169, 106.385747 12.09055, 106.41521 12.146625, 106.418061 12.200799, 106.389098 12.292827, 106.367 12.301666, 106.321332 12.307558, 106.294816 12.298719, 106.232943 12.360592, 106.216738 12.419518, 106.196114 12.443089, 106.137188 12.484337, 106.065003 12.494649, 106.037013 12.503488, 106.020808 12.538844, 106.025228 12.708257, 106.042906 12.724461, 106.079735 12.731827, 106.118037 12.755398, 106.150446 12.809904, 106.162231 12.84968, 106.172544 12.867357, 106.181383 12.889455, 106.165178 12.92923, 106.156339 12.958693, 106.154866 13.114848, 106.122456 13.170828, 106.113246 13.241731, 106.089416 13.263053, 106.089416 13.334543, 106.07562 13.360881, 106.063077 13.429863, 105.991587 13.486302, 105.97152 13.495082, 105.966503 13.541487, 105.933708 13.569942, 105.911133 13.616347, 105.898591 13.625127, 105.889811 13.67655, 105.847168 13.692854, 105.817067 13.725464, 105.758119 13.726718, 105.724255 13.735497, 105.613885 13.770615, 105.541141 13.785666, 105.418228 13.770615, 105.390635 13.764344, 105.325416 13.778141, 105.289044 13.785666, 105.253926 13.817021, 105.173657 13.814513, 105.08837 13.806987, 105.030677 13.850885, 104.986779 13.852139), (106.036816 13.45064, 106.096793 13.438745, 106.110722 13.441168, 106.175523 13.412098, 106.211255 13.389691, 106.263943 13.41876, 106.293618 13.45328, 106.357208 13.539883, 106.392334 13.555629, 106.429276 13.575615, 106.474697 13.610135, 106.514668 13.599234, 106.535865 13.58591, 106.589764 13.589544, 106.663044 13.545334, 106.67879 13.540489, 106.735965 13.570374, 106.792111 13.57786, 106.820558 13.595078, 106.86248 13.609302, 106.901408 13.644486, 106.928358 13.673682, 106.944827 13.708118, 106.960548 13.75004), (106.41597 12.161244, 106.466997 12.161813, 106.509299 12.120649, 106.588831 12.120015, 106.612095 12.130354, 106.698505 12.1322, 106.729893 12.126292, 106.753157 12.111521, 106.76165 12.106351, 106.813699 12.110961, 106.829724 12.114603, 106.854491 12.108775, 106.861046 12.118245, 106.852305 12.14374, 106.844293 12.177976, 106.965211 12.280684, 107.016929 12.318562, 107.073746 12.320019, 107.092685 12.311277, 107.103612 12.312006, 107.118909 12.325117, 107.137848 12.326574, 107.151688 12.344057, 107.193208 12.348427, 107.208505 12.344785, 107.226716 12.337501, 107.236914 12.346242, 107.264594 12.343328, 107.276977 12.341871, 107.270421 12.392861, 107.234728 12.419084, 107.212876 12.46279), (103.796896 11.038139, 103.775397 11.088786, 103.763152 11.089369, 103.760237 11.135433, 103.743327 11.145346, 103.702511 11.146512, 103.650616 11.178582, 103.628459 11.176833, 103.611549 11.164005, 103.578896 11.184996, 103.543911 11.185579, 103.484436 11.203655, 103.450107 11.17307, 103.381775 11.175228, 103.370267 11.183859, 103.36667 11.221262, 103.322075 11.264418, 103.312725 11.308294, 103.265104 11.35723, 103.226983 11.404702, 103.218351 11.498927, 103.221948 11.539926, 103.223386 11.558627, 103.210439 11.577329, 103.191738 11.578048, 103.168002 11.567259, 103.111898 11.561504, 103.082408 11.577329, 103.053637 11.580206, 103.011919 11.61617), (102.971359 13.572431, 102.954218 13.62009, 102.956058 13.768524, 102.964334 13.796113, 102.982267 13.815425, 103.002959 13.883017, 103.015373 13.910605, 103.040203 13.967162, 103.063653 14.001648, 103.069171 14.025098, 103.078827 14.063722, 103.132625 14.091311, 103.198838 14.09269, 103.225488 14.116393, 103.247232 14.116393, 103.291496 14.157551, 103.372258 14.162987, 103.394002 14.180071, 103.406427 14.180071, 103.444478 14.16687, 103.470105 14.166093, 103.522134 14.177742), (102.971453 13.57246, 102.870448 13.580501, 102.816141 13.590277, 102.767264 13.605483, 102.737937 13.615258, 102.702094 13.615258, 102.664079 13.631551), (103.207945 13.102941, 103.157608 13.067184, 103.123969 13.043156, 103.095875 13.022825, 103.08072 13.021716, 103.047519 12.977276, 103.043142 12.958672, 102.958327 12.884801, 102.915118 12.850976, 102.773556 12.842265, 102.720198 12.835731, 102.686441 12.805241, 102.661395 12.81613, 102.637439 12.832464, 102.601504 12.848798, 102.586258 12.858599, 102.508312 12.864733))</t>
  </si>
  <si>
    <t>P3363</t>
  </si>
  <si>
    <t>https://www.gem.wiki/Gas_to_the_West_High_Pressure_Pipeline</t>
  </si>
  <si>
    <t>Gas to the West High Pressure Pipeline</t>
  </si>
  <si>
    <t>Gas to the West Pipeline Extension High Pressure System, Portadown–Enniskillen Gas Pipeline</t>
  </si>
  <si>
    <t>SGN Natural Gas [unknown %]</t>
  </si>
  <si>
    <t>Brookfield Infrastructure Partners [unknown %]; Global Infrastructure Partners [unknown %]; OTPP [unknown %]</t>
  </si>
  <si>
    <t>400, 300</t>
  </si>
  <si>
    <t>Portadown</t>
  </si>
  <si>
    <t>Enniskillen</t>
  </si>
  <si>
    <t>MULTILINESTRING ((-6.478005 54.3890046, -6.4764068 54.3885958, -6.4744369 54.3895622, -6.4743254 54.3903798, -6.4787112 54.3920152, -6.4789714 54.3951745, -6.4760352 54.401047, -6.4802723 54.406585, -6.4799378 54.4079973, -6.4829112 54.4114911, -6.4830633 54.4176438, -6.4838777 54.4196692, -6.4860909 54.4209011, -6.4891603 54.4215484, -6.4934198 54.4211725, -6.4945682 54.4214231, -6.4968859 54.4251189, -6.500018 54.428243, -6.5044825 54.4288964, -6.5173861 54.4380432, -6.5221773 54.440221, -6.5235928 54.4405477, -6.5245728 54.4413099, -6.5416142 54.4412555, -6.546682 54.4445847, -6.5560794 54.4461957, -6.5585406 54.4491044, -6.5591224 54.4515656, -6.5592566 54.4532661, -6.5598402 54.4537083, -6.5625252 54.4542005, -6.5635097 54.456438, -6.5664184 54.4592572, -6.5725491 54.4608682, -6.5756368 54.4608235, -6.5798433 54.4627029, -6.5864778 54.4623597, -6.5939062 54.461778, -6.5963675 54.4621359, -6.6003949 54.4638364, -6.6013347 54.4666109, -6.6036169 54.4675954, -6.6051352 54.4703544, -6.6071002 54.4716543, -6.6096698 54.4718357, -6.6119371 54.474496, -6.6119371 54.4751913, -6.6151717 54.4765819, -6.6209155 54.4766121, -6.6256617 54.475554, -6.6350488 54.4753414, -6.6376235 54.4767759, -6.6380648 54.4773644, -6.6456784 54.4777689, -6.6547999 54.4792034, -6.6575953 54.4777689, -6.6631786 54.4759759, -6.6700931 54.4765748, -6.6802069 54.4749586, -6.6837799 54.4760362, -6.6874663 54.4756392, -6.6880334 54.4745616, -6.6882036 54.4731438, -6.6959167 54.4705916, -6.6985822 54.4712155, -6.6993195 54.4728035, -6.7038566 54.4732572, -6.705955 54.4724632, -6.7082236 54.4722931, -6.7130167 54.4753393, -6.7159179 54.4762164, -6.7173347 54.4759465, -6.7183468 54.477026, -6.7219901 54.4769586, -6.7258358 54.476014, -6.7281298 54.4765538, -6.7298165 54.4762164, -6.7328526 54.4765538, -6.7379128 54.4754068, -6.7440525 54.4750694, -6.7478982 54.4753393, -6.7537006 54.4749345, -6.7566017 54.4759465, -6.7673327 54.4763953, -6.774209 54.4770607, -6.7796435 54.4783916, -6.7841353 54.4772271, -6.7889044 54.4774489, -6.7937289 54.4782807, -6.796557 54.4778371, -6.8001061 54.4776153, -6.8023797 54.478558, -6.8059598 54.4779265, -6.8084552 54.4787583, -6.8104516 54.4783146, -6.8116161 54.4792574, -6.8205442 54.4783701, -6.8278087 54.4805882, -6.8302487 54.480921, -6.8332432 54.4798673, -6.8366259 54.4805882, -6.8403968 54.4794792, -6.8423931 54.4788692, -6.8502676 54.4792019, -6.853373 54.4808655, -6.8576142 54.4805894, -6.8607905 54.481614, -6.8666308 54.4801283, -6.8715489 54.4794111, -6.8741104 54.4805894, -6.877133 54.4812041, -6.881795 54.4818189, -6.8829733 54.4825873, -6.8848688 54.4830997, -6.887584 54.4837656, -6.896242 54.4797184, -6.8980351 54.4797184, -6.8998794 54.4767983, -6.9039266 54.4747491, -6.906693 54.4744929, -6.9106378 54.472956, -6.9129944 54.4711629, -6.9169904 54.470958, -6.9188859 54.470292, -6.9217179 54.4680387, -6.9293541 54.4681462, -6.9364525 54.464597, -6.9397866 54.4600799, -6.9445188 54.4587893, -6.9488209 54.4583591, -6.9488209 54.4569609, -6.9544136 54.4553476, -6.9586081 54.4553476, -6.9602214 54.4555627, -6.9637706 54.4543797, -6.9660291 54.4543797, -6.9683953 54.454057, -6.971183 54.4533276, -6.9770951 54.452611, -6.9804392 54.4520138, -6.9825293 54.4487891, -6.9849778 54.4459226, -6.9890385 54.4444297, -6.9907106 54.4441908, -6.9948909 54.44437, -7.0002057 54.4429368, -7.0045054 54.4437728, -7.0069279 54.4435253, -7.0132378 54.4403704, -7.015786 54.4393996, -7.0229453 54.439885, -7.0281631 54.4398243, -7.0331382 54.4403704, -7.0405914 54.4367311, -7.0467181 54.4377017, -7.0479313 54.4379443, -7.0522382 54.4367311, -7.0658261 54.4366098, -7.0688591 54.4380657, -7.0745611 54.4390969, -7.0778974 54.4384903, -7.0802632 54.4413413, -7.0833568 54.4438284, -7.0870571 54.4441923, -7.0943553 54.4445934, -7.0980844 54.4455066, -7.110109 54.4417775, -7.1108701 54.440712, -7.1155125 54.4406359, -7.1168824 54.4398748, -7.1180239 54.4393421, -7.1321034 54.4378961, -7.1341582 54.4353846, -7.1390111 54.434861, -7.1405021 54.4343983, -7.148471 54.4347068, -7.151453 54.4339356, -7.1605132 54.4325263, -7.1663358 54.4343845, -7.1729017 54.4347562, -7.1732734 54.4328979, -7.1750077 54.4322785, -7.1835558 54.4324024, -7.1864051 54.4312874, -7.1864051 54.4268276, -7.1945815 54.4243499, -7.1949532 54.4236066, -7.1964398 54.4232349, -7.1974309 54.4229871, -7.1990414 54.4212527, -7.2016429 54.4208811, -7.2043684 54.4180317, -7.2082088 54.4171646, -7.2083327 54.4155541, -7.213412 54.4133241, -7.2181196 54.4094837, -7.2225795 54.4082449, -7.2236944 54.4076254, -7.225181 54.4057672, -7.2428965 54.4030417, -7.2460251 54.3995307, -7.2561464 54.3934934, -7.2612959 54.3918953, -7.2650248 54.3879888, -7.2632492 54.3867458, -7.2630716 54.3851477, -7.2648473 54.3831945, -7.26538 54.3817739, -7.2660902 54.3812412, -7.2746135 54.3796431, -7.2795854 54.3775123, -7.2836695 54.3759142, -7.2881087 54.3753815, -7.2911273 54.3730731, -7.2969871 54.3718301, -7.3028468 54.3693442, -7.3048001 54.3666806, -7.3113701 54.3654377, -7.3191831 54.3647274, -7.3218466 54.3641947, -7.3236223 54.3641947, -7.3380053 54.3581574, -7.3378277 54.3551387, -7.337295 54.3535406, -7.3364072 54.3526528, -7.3381829 54.3506995, -7.3383604 54.3489238, -7.3378277 54.3482136, -7.3404913 54.3466154, -7.3425223 54.3459205, -7.344484 54.3464679), (-6.7298094 54.4762046, -6.7281496 54.4773793, -6.7270356 54.4780235, -6.7274751 54.4804563, -6.7272781 54.4810929, -6.7279223 54.4826541, -6.7270392 54.4843648, -6.7301884 54.4874296, -6.7276859 54.4881606, -6.7268986 54.4890042, -6.7241994 54.489679, -6.7203754 54.4897352))</t>
  </si>
  <si>
    <t>P3364</t>
  </si>
  <si>
    <t>Sakhatransneftegaz JSC [unknown %]</t>
  </si>
  <si>
    <t>529, 720</t>
  </si>
  <si>
    <t>Средневилюйское газоконденсатное месторождение – Якутск</t>
  </si>
  <si>
    <t>LINESTRING (124.223099 63.748491, 125.191612 63.566439, 125.544891 63.407817, 126.057472 63.447824, 127.467155 63.487621, 128.649387 62.794229, 129.721069 62.052437)</t>
  </si>
  <si>
    <t>P3365</t>
  </si>
  <si>
    <t>P3366</t>
  </si>
  <si>
    <t>https://www.gem.wiki/El_Tina_Abou_Sultan_New_Administrative_Capital_Gas_Pipeline</t>
  </si>
  <si>
    <t>El Tina- Abu Sultan- New Administrative Capital Gas Pipeline</t>
  </si>
  <si>
    <t>El Tina Abou Sultan</t>
  </si>
  <si>
    <t>New Administrative Capital</t>
  </si>
  <si>
    <t>خط غاز التينة ابو سلطان العاصمة الادارية</t>
  </si>
  <si>
    <t>LINESTRING (32.30006437301402 31.250155927426434, 32.3093344 30.4024635, 31.7545438 29.9082594)</t>
  </si>
  <si>
    <t>P3367</t>
  </si>
  <si>
    <t>Barnaul-Shakhi Segment</t>
  </si>
  <si>
    <t>Shakhi</t>
  </si>
  <si>
    <t>Pavlovsky District</t>
  </si>
  <si>
    <t>Барнаул-Шахи; Барнаул-Павловск</t>
  </si>
  <si>
    <t>LINESTRING (83.993225 53.385786, 83.361573 53.339247)</t>
  </si>
  <si>
    <t>P3368</t>
  </si>
  <si>
    <t>Shakhi-Rebrikha Segment</t>
  </si>
  <si>
    <t>mill.Sm3/day</t>
  </si>
  <si>
    <t>Rebrikha</t>
  </si>
  <si>
    <t>Rebrikhinsky District</t>
  </si>
  <si>
    <t>Шахи-Ребриха; Павловск-Ребриха</t>
  </si>
  <si>
    <t>LINESTRING (83.361573 53.339247, 82.34557 53.085057)</t>
  </si>
  <si>
    <t>P3369</t>
  </si>
  <si>
    <t>Rebrikha-Rubtsovsk Segment</t>
  </si>
  <si>
    <t>Rubtsovsk</t>
  </si>
  <si>
    <t>Ребриха-Рубцовск</t>
  </si>
  <si>
    <t>LINESTRING (82.34557 53.085057, 81.200123 51.528892)</t>
  </si>
  <si>
    <t>P3370</t>
  </si>
  <si>
    <t>Rebrikha-Slavgorod Segment</t>
  </si>
  <si>
    <t>Slavgorod</t>
  </si>
  <si>
    <t>Ребриха-Славгород</t>
  </si>
  <si>
    <t>LINESTRING (82.34557 53.085057, 78.636594 52.992476)</t>
  </si>
  <si>
    <t>P3371</t>
  </si>
  <si>
    <t>https://www.gem.wiki/Western_LNG_Pipeline</t>
  </si>
  <si>
    <t>Western LNG Pipeline</t>
  </si>
  <si>
    <t>Horizon Oil [unknown %]</t>
  </si>
  <si>
    <t>Western LNG Terminal</t>
  </si>
  <si>
    <t>Daru</t>
  </si>
  <si>
    <t>Kiunga</t>
  </si>
  <si>
    <t>LINESTRING (141.193616 -5.870316, 141.271128 -5.878157, 141.322364 -5.888612, 141.367032 -5.900373, 141.414327 -5.90952, 141.460308 -5.917361, 141.502348 -5.938269, 141.54833 -5.963095, 141.587742 -5.994454, 141.620586 -6.027117, 141.727 -6.149913, 141.733569 -6.17473, 141.729627 -6.20477, 141.703352 -6.234809, 141.694156 -6.255704, 141.690215 -6.273987, 141.696784 -6.292269, 141.709921 -6.322302, 141.727 -6.369308, 141.746706 -6.405864, 141.767726 -6.428058, 141.80057 -6.441113, 141.826845 -6.443724, 141.8321 -6.452862, 141.834728 -6.494634, 141.837222 -6.541153, 141.850064 -6.579428, 141.872895 -6.6177, 141.877176 -6.634709, 141.874322 -6.658804, 141.862907 -6.692819, 141.851491 -6.76084, 141.848637 -6.828852, 141.852918 -6.855771, 141.872895 -6.867105, 141.907142 -6.874188, 141.939962 -6.877022, 141.962793 -6.885522, 141.977062 -6.903938, 141.989647 -6.948617, 142.003683 -6.972301, 142.050599 -7.02163, 142.070183 -7.049673, 142.083829 -7.059049, 142.113221 -7.058007, 142.136314 -7.062174, 142.14786 -7.075716, 142.143661 -7.092383, 142.132006 -7.111133, 142.13405 -7.141566, 142.142229 -7.169969, 142.13405 -7.204456, 142.129961 -7.234884, 142.130438 -7.257951, 142.132174 -7.279483, 142.142594 -7.294986, 142.153881 -7.303598, 142.156486 -7.3191, 142.152144 -7.396601, 142.147803 -7.420709, 142.128701 -7.443955, 142.12436 -7.458591, 142.129569 -7.477531, 142.132174 -7.493027, 142.12436 -7.516269, 142.108731 -7.542093, 142.108731 -7.567054, 142.125228 -7.603202, 142.129655 -7.65669, 142.128248 -7.706861, 142.128248 -7.748666, 142.111373 -7.782107, 142.095904 -7.828084, 142.095904 -7.871269, 142.108561 -7.900522, 142.111373 -7.93395, 142.118405 -7.97434, 142.105748 -8.018902, 142.100123 -8.066245, 142.079029 -8.103837, 142.064967 -8.160914, 142.060748 -8.204064, 142.067779 -8.243035, 142.102936 -8.26391, 142.160592 -8.283393, 142.192936 -8.322355, 142.208405 -8.368271, 142.239343 -8.398878, 142.273093 -8.440611, 142.297 -8.479558, 142.299812 -8.522673, 142.306844 -8.578298, 142.347625 -8.61445, 142.382782 -8.642257, 142.422157 -8.668672, 142.462939 -8.696475, 142.505127 -8.714546, 142.555752 -8.718716, 142.595128 -8.720106, 142.613409 -8.728446, 142.640128 -8.752075, 142.665441 -8.765973, 142.685128 -8.760414, 142.706222 -8.734006, 142.721691 -8.731226, 142.761067 -8.749295, 142.801848 -8.765973, 142.852474 -8.775702, 142.896068 -8.78821, 142.943881 -8.809056, 142.980444 -8.835459, 143.014194 -8.842406, 143.070444 -8.838238, 143.111226 -8.841017, 143.137945 -8.849354, 143.160445 -8.877144, 143.198414 -8.904931, 143.232165 -8.935494, 143.26029 -8.967445, 143.265915 -8.992447, 143.279978 -9.023003, 143.288415 -9.066055, 143.299665 -9.106325, 143.306697 -9.125764, 143.341853 -9.157697, 143.364353 -9.192404, 143.36576 -9.209062, 143.361541 -9.257644)</t>
  </si>
  <si>
    <t>P3372</t>
  </si>
  <si>
    <t>https://www.gem.wiki/Central_Ranges_Pipeline</t>
  </si>
  <si>
    <t>Central Ranges Pipeline</t>
  </si>
  <si>
    <t>Central West Pipeline</t>
  </si>
  <si>
    <t>Dubbo</t>
  </si>
  <si>
    <t>Tamworth</t>
  </si>
  <si>
    <t>LINESTRING (148.63261 -32.21358, 148.653223 -32.224985, 148.659962 -32.229029, 148.672092 -32.231724, 148.692309 -32.226333, 148.708482 -32.216899, 148.730046 -32.206116, 148.747567 -32.19803, 148.763741 -32.195334, 148.783957 -32.195334, 148.804174 -32.202073, 148.818999 -32.208812, 148.837868 -32.212855, 148.854041 -32.212855, 148.868867 -32.200725, 148.880997 -32.192639, 148.894475 -32.187248, 148.9093 -32.187248, 148.929517 -32.191291, 148.947038 -32.191291, 148.965907 -32.181857, 149.002296 -32.175537, 149.024609 -32.168099, 149.046921 -32.166612, 149.063284 -32.165124, 149.087084 -32.154712, 149.101958 -32.145787, 149.11352 -32.139081, 149.125119 -32.138189, 149.136171 -32.139837, 149.151046 -32.141325, 149.164433 -32.136862, 149.182283 -32.12645, 149.21352 -32.099675, 149.238808 -32.077362, 149.250708 -32.065462, 149.262608 -32.058025, 149.27897 -32.052075, 149.30277 -32.04315, 149.331032 -32.0372, 149.35037 -32.034225, 149.36227 -32.03125, 149.372682 -32.023813, 149.390532 -32.0134, 149.399457 -32.011913, 149.414332 -32.0134, 149.426232 -32.017863, 149.445569 -32.01935, 149.460444 -32.014888, 149.467882 -32.010425, 149.479354 -32.008808, 149.488707 -32.011913, 149.503582 -32.017863, 149.518456 -32.020838, 149.533331 -32.020838, 149.551181 -32.0134, 149.569031 -32.0015, 149.582419 -31.994063, 149.595806 -31.986625, 149.610681 -31.982163, 149.628531 -31.9777, 149.635968 -31.974725, 149.640431 -31.968775, 149.643406 -31.958363, 149.644893 -31.946463, 149.649356 -31.933076, 149.661256 -31.924151, 149.667206 -31.915226, 149.677618 -31.904813, 149.680593 -31.897376, 149.683568 -31.889938, 149.683568 -31.881013, 149.685056 -31.872088, 149.691006 -31.864651, 149.698443 -31.857213, 149.708856 -31.846801, 149.711831 -31.845313, 149.719268 -31.837876, 149.723731 -31.827464, 149.722243 -31.821514, 149.714806 -31.811101, 149.705881 -31.805151, 149.701418 -31.793251, 149.699931 -31.781351, 149.698443 -31.762014, 149.699931 -31.741189, 149.705881 -31.729289, 149.716293 -31.715902, 149.728193 -31.692102, 149.740093 -31.674252, 149.750505 -31.657889, 149.763893 -31.645989, 149.774305 -31.641527, 149.778768 -31.641527, 149.793643 -31.641527, 149.80108 -31.640039, 149.810005 -31.635577, 149.820418 -31.625164, 149.835292 -31.608802, 149.84273 -31.59839, 149.851655 -31.587977, 149.862067 -31.582027, 149.879917 -31.579052, 149.90223 -31.579052, 149.927517 -31.58054, 149.951317 -31.58054, 149.961729 -31.579052, 149.981067 -31.577565, 150.001892 -31.565665, 150.025692 -31.540377, 150.049491 -31.524015, 150.073291 -31.492778, 150.088166 -31.482365, 150.101554 -31.474928, 150.122379 -31.46749, 150.138741 -31.464515, 150.150641 -31.460053, 150.162541 -31.452615, 150.174441 -31.43774, 150.183366 -31.427328, 150.195266 -31.421378, 150.216091 -31.41394, 150.232453 -31.410965, 150.241378 -31.402041, 150.247328 -31.390141, 150.259228 -31.384191, 150.266665 -31.382703, 150.278565 -31.384191, 150.28749 -31.387166, 150.296415 -31.388653, 150.30534 -31.387166, 150.314265 -31.379728, 150.324678 -31.375266, 150.34104 -31.373778, 150.354428 -31.375266, 150.36484 -31.375266, 150.372277 -31.372291, 150.373765 -31.363366, 150.378227 -31.345516, 150.384177 -31.335103, 150.393102 -31.330641, 150.399052 -31.324691, 150.403515 -31.314278, 150.407977 -31.293454, 150.410952 -31.272629, 150.416902 -31.262216, 150.425827 -31.254779, 150.443677 -31.250316, 150.46004 -31.251804, 150.471939 -31.254779, 150.487631 -31.257509, 150.504584 -31.256617, 150.524002 -31.254779, 150.547802 -31.245854, 150.570114 -31.239904, 150.583997 -31.235202, 150.602839 -31.230979, 150.620689 -31.228004, 150.637534 -31.226279, 150.653414 -31.220566, 150.670548 -31.208433, 150.686138 -31.199741, 150.698038 -31.193792, 150.705476 -31.190817, 150.718863 -31.186354, 150.730763 -31.180404, 150.739688 -31.177429, 150.751588 -31.175942, 150.762001 -31.174454, 150.773901 -31.171479, 150.788775 -31.161067, 150.8096 -31.141729, 150.825963 -31.126854, 150.840838 -31.109004, 150.855713 -31.097104, 150.867613 -31.091155, 150.881 -31.089667, 150.897362 -31.089667, 150.912237 -31.091155, 150.918187 -31.092642)</t>
  </si>
  <si>
    <t>P3373</t>
  </si>
  <si>
    <t>https://www.gem.wiki/Bayu-Undan_to_Sunrise_Gas_Pipeline</t>
  </si>
  <si>
    <t>Bayu-Undan to Sunrise Gas Pipeline</t>
  </si>
  <si>
    <t>Bayu-Undan Gas Field</t>
  </si>
  <si>
    <t>Bayu-Undan to Darwin Gas Pipeline</t>
  </si>
  <si>
    <t>Sunrise Field</t>
  </si>
  <si>
    <t>LINESTRING (128.220776 -9.557221, 128.04706 -11.493563)</t>
  </si>
  <si>
    <t>P3374</t>
  </si>
  <si>
    <t>https://www.gem.wiki/Kanbauk-Daw_Nyein-Kyaiklat_Gas_Pipeline</t>
  </si>
  <si>
    <t>Kanbauk-Daw Nyein-Kyaiklat Gas Pipeline</t>
  </si>
  <si>
    <t>PTT Exploration and Production [100.00%]</t>
  </si>
  <si>
    <t>Zawtika Gas Field, M3 Gas Field</t>
  </si>
  <si>
    <t>Kyaiklat</t>
  </si>
  <si>
    <t>LINESTRING (98.05052338952152 14.59497918032197, 95.60606557793513 15.940961123510107, 95.7365317367444 16.46318353810859)</t>
  </si>
  <si>
    <t>P1277</t>
  </si>
  <si>
    <t>https://www.gem.wiki/El_Oro-Mazatlan_Pipeline</t>
  </si>
  <si>
    <t>El Oro-Mazatlan Pipeline</t>
  </si>
  <si>
    <t>Mazatlan</t>
  </si>
  <si>
    <t>Gasoducto El Oro-Mazatlán</t>
  </si>
  <si>
    <t>https://www.gem.wiki/Gasoducto_El_Oro-Mazatl%C3%A1n</t>
  </si>
  <si>
    <t>LINESTRING (-106.35437 23.192743, -106.431 23.39249, -106.58 23.75476, -106.753 24.03547, -106.993 24.30592, -107.278 24.55012, -107.578 24.74578, -107.857 25.03549, -107.988 25.33888, -108.02 25.52054, -108.037 25.68285, -108.154 25.85447, -108.748162 26.100727)</t>
  </si>
  <si>
    <t>P1278</t>
  </si>
  <si>
    <t>https://www.gem.wiki/Route_1_Gas_Pipeline</t>
  </si>
  <si>
    <t>Route 1 Gas Pipeline</t>
  </si>
  <si>
    <t>Lula-Mexilhão Gas Pipeline</t>
  </si>
  <si>
    <t>Petrobras [65.00%]; Shell [25.00%]; Galp Energia [10.00%]</t>
  </si>
  <si>
    <t>18, 34</t>
  </si>
  <si>
    <t>Monteiro Lobato Gas Treatment Unit</t>
  </si>
  <si>
    <t>Caraguatatuba</t>
  </si>
  <si>
    <t>Gasoduto Rota 1</t>
  </si>
  <si>
    <t>https://www.gem.wiki/Gasoduto_da_Rota_1</t>
  </si>
  <si>
    <t>LINESTRING (-42.839 -25.398, -44.18 -24.476, -45.499295 -23.652947)</t>
  </si>
  <si>
    <t>P1097</t>
  </si>
  <si>
    <t>https://www.gem.wiki/Tongxiao-Taoyuan_Gas_Pipeline</t>
  </si>
  <si>
    <t>Tongxiao-Taoyuan Gas Pipeline</t>
  </si>
  <si>
    <t>通霄-桃園輸氣管線</t>
  </si>
  <si>
    <t>LINESTRING (120.669223 24.492572, 121.284826 25.005)</t>
  </si>
  <si>
    <t>P3378</t>
  </si>
  <si>
    <t>Spain, France</t>
  </si>
  <si>
    <t>https://www.gem.wiki/Midi-Catalonia_Pipeline</t>
  </si>
  <si>
    <t>Midi-Catalonia Pipeline</t>
  </si>
  <si>
    <t>South Transit East Pyranees (STEP) Gas Pipeline</t>
  </si>
  <si>
    <t>Hostalric</t>
  </si>
  <si>
    <t>Bairba</t>
  </si>
  <si>
    <t>LINESTRING (2.6282311885828857 41.742891346860716, 2.958057108693937 42.26523735840041, 2.8642403385209705 42.46349314908768, 2.509601409110625 43.184770865077816)</t>
  </si>
  <si>
    <t>P0905</t>
  </si>
  <si>
    <t>https://www.gem.wiki/Anjar-Chotila_Gas_Pipeline</t>
  </si>
  <si>
    <t>Anjar-Chotila Gas Pipeline</t>
  </si>
  <si>
    <t>Chotila</t>
  </si>
  <si>
    <t>LINESTRING (70.013879 23.162162, 70.0701859 23.189091, 70.0995635 23.209655, 70.128941 23.221406, 70.1465675 23.221406, 70.1783932 23.245888, 70.1832894 23.254211, 70.1955301 23.260087, 70.2128834 23.287185, 70.2605892 23.327041, 70.2889712 23.34878, 70.313126 23.34878, 70.3427157 23.343345, 70.3783441 23.323417, 70.4218229 23.290204, 70.4320887 23.283562, 70.4852294 23.275711, 70.5267386 23.268701, 70.5947254 23.250821, 70.6416494 23.232945, 70.6969526 23.197194, 70.6997457 23.167587, 70.7030974 23.151387, 70.7371731 23.105022, 70.7405249 23.091615, 70.757842 23.082677, 70.7779523 23.045808, 70.8492417 22.995084, 70.8699029 22.987738, 70.8873502 22.984065, 70.909385 22.949861, 70.928378 22.91411, 70.9451366 22.877799, 70.9887088 22.838137, 70.9959709 22.833669, 71.0093777 22.804062, 71.0546258 22.752669, 71.1017538 22.715568, 71.1495043 22.684806, 71.1839397 22.655421, 71.2147019 22.631546, 71.2270987 22.614098, 71.2339858 22.54385, 71.2440868 22.517679, 71.2641296 22.492309, 71.2761363 22.465294, 71.2875426 22.435277, 71.2897635 22.417354)</t>
  </si>
  <si>
    <t>P1279</t>
  </si>
  <si>
    <t>https://www.gem.wiki/Los_Ramones_Gas_Pipeline</t>
  </si>
  <si>
    <t>Los Ramones Gas Pipeline</t>
  </si>
  <si>
    <t>Los Ramones I</t>
  </si>
  <si>
    <t>Camargo</t>
  </si>
  <si>
    <t>Gasoducto Los Ramones</t>
  </si>
  <si>
    <t>LINESTRING (-98.776447 26.297919, -99.459615 25.682706)</t>
  </si>
  <si>
    <t>P3381</t>
  </si>
  <si>
    <t>https://www.gem.wiki/Shebelinka%E2%80%93Slovyansk_Gas_Pipeline</t>
  </si>
  <si>
    <t>Shebelinka–Slovyansk Gas Pipeline</t>
  </si>
  <si>
    <t>Slovyansk</t>
  </si>
  <si>
    <t>Шебелинка-Слов’янськ</t>
  </si>
  <si>
    <t>LINESTRING (36.0418607 49.5003664, 36.2978016 49.1341582, 37.1757689 48.9589541, 37.296465 48.8908192, 37.5709514 48.6377466, 36.9071226 48.4489155, 36.8779219 48.4197148)</t>
  </si>
  <si>
    <t>P3382</t>
  </si>
  <si>
    <t>Shebelinka–Slovyansk Gas Pipeline reconstruction</t>
  </si>
  <si>
    <t>P3383</t>
  </si>
  <si>
    <t>https://www.gem.wiki/Dumai%E2%80%93Medan_Gas_Pipeline</t>
  </si>
  <si>
    <t>Dumai–Medan Gas Pipeline</t>
  </si>
  <si>
    <t xml:space="preserve">Dumai </t>
  </si>
  <si>
    <t>LINESTRING (101.54152169721267 1.6771626129928934, 98.64662448889455 3.685356335350671)</t>
  </si>
  <si>
    <t>P3384</t>
  </si>
  <si>
    <t>Bijeljina–Banja Luka–Novi Grad Gas Pipeline</t>
  </si>
  <si>
    <t>Gas RES [unknown %]</t>
  </si>
  <si>
    <t>Bijeljina</t>
  </si>
  <si>
    <t>Novi Grad</t>
  </si>
  <si>
    <t>LINESTRING (19.1594554 44.758418, 17.19095958419603 44.771933264197884, 16.376299209739507 45.045788419643465)</t>
  </si>
  <si>
    <t>P1280</t>
  </si>
  <si>
    <t>https://www.gem.wiki/Guadalajara_Gas_Pipeline</t>
  </si>
  <si>
    <t>Guadalajara Gas Pipeline</t>
  </si>
  <si>
    <t>Guadalajara-CT Manzanillo Pipeline</t>
  </si>
  <si>
    <t>Colima</t>
  </si>
  <si>
    <t>El Salto</t>
  </si>
  <si>
    <t>Jalisco</t>
  </si>
  <si>
    <t>Gasoducto Guadalajara-CT Manzanillo</t>
  </si>
  <si>
    <t>https://www.gem.wiki/Gasoducto_Guadalajara-CT_Manzanillo</t>
  </si>
  <si>
    <t>LINESTRING (-104.295 19.04374, -104.213 19.00142, -104.034 18.921, -103.986 18.92523, -103.922 18.94978, -103.889 18.95317, -103.873 18.97179, -103.878 19.00396, -103.876 19.06914, -103.858 19.08438, -103.851 19.14194, -103.834 19.17749, -103.812 19.18765, -103.745 19.18765, -103.68 19.21305, -103.625 19.21305, -103.602 19.20458, -103.476 19.20204, -103.428 19.2359, -103.389 19.28839, -103.385 19.36457, -103.389 19.4196, -103.385 19.44669, -103.372 19.47293, -103.378 19.51102, -103.389 19.53811, -103.444 19.58636, -103.462 19.638, -103.486 19.68202, -103.502 19.72604, -103.522 19.7599, -103.52 19.77005, -103.506 19.7836, -103.504 19.80815, -103.51 19.87926, -103.495 19.89449, -103.473 19.89873, -103.454 19.90888, -103.451 19.93851, -103.448 20.0875, -103.439 20.10866, -103.422 20.12475, -103.401 20.1476, -103.392 20.18231, -103.4 20.19416, -103.423 20.20601, -103.46 20.24326, -103.452 20.29236, -103.428 20.31098, -103.328 20.36177, -103.264 20.36939, -103.235 20.37108, -103.221 20.38717, -103.197 20.42526, -103.191 20.44642, -103.2 20.46251, -103.219 20.49637)</t>
  </si>
  <si>
    <t>P1098</t>
  </si>
  <si>
    <t>https://www.gem.wiki/Yongan-Tongxiao_Gas_Pipeline</t>
  </si>
  <si>
    <t>Yongan-Tongxiao Gas Pipeline</t>
  </si>
  <si>
    <t>永安-通霄輸氣管線</t>
  </si>
  <si>
    <t>Yongan LNG Terminal imported LNG</t>
  </si>
  <si>
    <t>MULTILINESTRING ((120.3850021 22.5860996, 120.3349991 22.5301991), (120.276001 22.8644009, 120.2089996 22.8066998, 120.2779999 22.7663002), (120.8430023 24.5503006, 120.7320023 24.3840008, 120.6429977 24.2605, 120.6399994 24.1835995, 120.5830002 24.1359005, 120.5270004 24.0711994, 120.4499969 23.9831009, 120.4179993 23.9459991, 120.3939972 23.9235992, 120.3740005 23.8717003, 120.375 23.8013, 120.3580017 23.6618996, 120.3840027 23.6093998, 120.3949966 23.5869007, 120.4400024 23.5354996, 120.4589996 23.5086994, 120.4710007 23.4731007, 120.4489975 23.3785, 120.4229965 23.3451004, 120.3600006 23.2936993, 120.302002 23.2371006, 120.2730026 23.2173996, 120.2529984 23.1882, 120.2160034 23.1135998, 120.2259979 22.9813004, 120.2570038 22.9048996, 120.276001 22.8635998, 120.2779999 22.7663994, 120.3310013 22.7105007, 120.3659973 22.6562996, 120.3860016 22.5874004, 120.4800034 22.5382004))</t>
  </si>
  <si>
    <t>P1099</t>
  </si>
  <si>
    <t>https://www.gem.wiki/Arthit_Field_to_Arthit_PLEM_Gas_Pipeline</t>
  </si>
  <si>
    <t>Arthit Field to Arthit PLEM Gas Pipeline</t>
  </si>
  <si>
    <t>Arthit Field</t>
  </si>
  <si>
    <t>Offshore Thailand</t>
  </si>
  <si>
    <t>LINESTRING (102.489295 8.229687, 102.290973 8.525963)</t>
  </si>
  <si>
    <t>P1100</t>
  </si>
  <si>
    <t>https://www.gem.wiki/Arthit_PLEM_to_Erawan_Gas_Pipeline</t>
  </si>
  <si>
    <t>Arthit PLEM to Erawan Gas Pipeline</t>
  </si>
  <si>
    <t>Erawan Field</t>
  </si>
  <si>
    <t>LINESTRING (102.290973 8.525963, 101.265703 9.189046)</t>
  </si>
  <si>
    <t>P0906</t>
  </si>
  <si>
    <t>https://www.gem.wiki/Assam_Regional_Gas_Network</t>
  </si>
  <si>
    <t>Assam Regional Gas Network</t>
  </si>
  <si>
    <t>Assam Gas Co., Ltd. [100.00%]</t>
  </si>
  <si>
    <t>350, 400, 500, 800</t>
  </si>
  <si>
    <t>Golaghat</t>
  </si>
  <si>
    <t>Tinsukia</t>
  </si>
  <si>
    <t>LINESTRING (93.966644 26.514171, 94.208444 26.760509, 94.629202 26.98769, 95.024557 27.43362, 95.556524 27.541288)</t>
  </si>
  <si>
    <t>P1283</t>
  </si>
  <si>
    <t>Southern segment</t>
  </si>
  <si>
    <t>South American Gas Pipeline</t>
  </si>
  <si>
    <t>Santo Tomé</t>
  </si>
  <si>
    <t>Santa Fé</t>
  </si>
  <si>
    <t>Chaco</t>
  </si>
  <si>
    <t>LINESTRING (-60.7885546 -31.6490883, -60.1945 -29.464765, -58.633935 -26.660857)</t>
  </si>
  <si>
    <t>P1284</t>
  </si>
  <si>
    <t>https://www.gem.wiki/Gasene_Gas_Pipeline</t>
  </si>
  <si>
    <t>Gasene Gas Pipeline</t>
  </si>
  <si>
    <t>Southeast Northeast Interconnection Gas Pipeline, Gasoduto da Integração Sudeste-Nordeste</t>
  </si>
  <si>
    <t>16, 28</t>
  </si>
  <si>
    <t>Gasoduto Gasene</t>
  </si>
  <si>
    <t>https://www.gem.wiki/Gasoduto_Gasene</t>
  </si>
  <si>
    <t>LINESTRING (-41.716872 -22.286138, -40.749595 -20.811029, -40.299118 -20.296189, -40.181715 -19.80271, -39.760362 -19.459402, -39.860794 -18.723836, -39.866834 -18.042598, -39.555317 -17.29393, -39.58738 -16.383561, -39.281338 -14.787836, -39.727333 -14.15375, -39.19216 -12.987428, -39.104322 -12.644527, -38.352183 -12.389247)</t>
  </si>
  <si>
    <t>P1285</t>
  </si>
  <si>
    <t>https://www.gem.wiki/Gasbol_Gas_Pipeline</t>
  </si>
  <si>
    <t>Gasbol Gas Pipeline</t>
  </si>
  <si>
    <t>Bolivia-Brazil pipeline, Río Grande - Mutún pipeline</t>
  </si>
  <si>
    <t>Petrobras [51.00%]; Fluxys Belgium NV [37.00%]; YPFB [12.00%]</t>
  </si>
  <si>
    <t>Petrobras [51.00%]; Fluxys [37.00%]; YPFB [12.00%]</t>
  </si>
  <si>
    <t>16, 18, 20, 24, 32</t>
  </si>
  <si>
    <t>Gasoducto GASBOL</t>
  </si>
  <si>
    <t>https://www.gem.wiki/Gasoducto_GASBOL</t>
  </si>
  <si>
    <t>MULTILINESTRING ((-62.908466 -18.193691, -61.771377 -18.417794, -60.67063 -18.529097, -59.519788 -18.637516, -58.420619 -18.896432, -57.896165 -19.195995, -57.514429 -19.419398, -56.719877 -20.12206, -55.725268 -20.514398, -54.743286 -20.609661, -53.546337 -20.717461, -52.333071 -20.891767, -51.165865 -21.185476, -50.457993 -21.380376, -50.106575 -21.504676, -49.024 -21.816684, -47.945259 -22.062153, -47.133415 -22.719598, -48.48472 -23.947807, -49.373659 -25.576412, -48.709003 -27.497228, -49.401879 -28.605248, -51.147576 -29.877514), (-47.133415 -22.719598, -45.981336 -23.459995))</t>
  </si>
  <si>
    <t>P1287</t>
  </si>
  <si>
    <t>https://www.gem.wiki/GasAndes_Pipeline</t>
  </si>
  <si>
    <t>GasAndes Pipeline</t>
  </si>
  <si>
    <t>Aprovisionadora Global de Energía SA [47.00%]; CGC (Compañía General de Combustibles) [40.00%]; AES Corporation [13.00%]</t>
  </si>
  <si>
    <t>Naturgy [47.00%]; CGC (Compañía General de Combustibles) [40.00%]; AES Corporation [13.00%]</t>
  </si>
  <si>
    <t>La Mora</t>
  </si>
  <si>
    <t>San Bernardo</t>
  </si>
  <si>
    <t>Santiago</t>
  </si>
  <si>
    <t>Gasoducto GasAndes</t>
  </si>
  <si>
    <t>https://www.gem.wiki/Gasoducto_GasAndes</t>
  </si>
  <si>
    <t>LINESTRING (-66.830465 -35.106985, -67.878 -34.496, -69.313 -34.263, -69.944 -34.23, -70.238 -33.778, -70.347 -33.609, -70.532 -33.6, -70.7220660923217 -33.56199839319268)</t>
  </si>
  <si>
    <t>P1101</t>
  </si>
  <si>
    <t>https://www.gem.wiki/Ban_I-Tong-Ratchaburi_Gas_Pipeline</t>
  </si>
  <si>
    <t>Ban I-Tong-Ratchaburi Gas Pipeline</t>
  </si>
  <si>
    <t>Yadana Gas Pipeline (Thailand section)</t>
  </si>
  <si>
    <t>Yadana Field</t>
  </si>
  <si>
    <t>Ban I-Tong</t>
  </si>
  <si>
    <t>LINESTRING (98.36905 14.680663, 99.88754 13.592433)</t>
  </si>
  <si>
    <t>P3395</t>
  </si>
  <si>
    <t>https://www.gem.wiki/Rosebank_Gas_Pipeline</t>
  </si>
  <si>
    <t>Rosebank Gas Pipeline</t>
  </si>
  <si>
    <t>Equinor [40.00%]; Siccar Point Energy [40.00%]; Suncor Energy [20.00%]</t>
  </si>
  <si>
    <t>Delek Group [40.00%]; Equinor [40.00%]; Suncor Energy [20.00%]</t>
  </si>
  <si>
    <t xml:space="preserve">Rosebank </t>
  </si>
  <si>
    <t>LINESTRING (-3.8443776 61.1331693, -3.7244832 61.1230896, -2.7057151 60.4512264, -2.216959 60.1523177, -2.1967625 60.0957674, -2.1523301 60.0715315, -2.1078977 60.0715315, -2.019033 60.0634529, -1.3485081 59.7847408, -0.4921751 59.6635616)</t>
  </si>
  <si>
    <t>P1102</t>
  </si>
  <si>
    <t>https://www.gem.wiki/Bang_Pakong-Wang_Noi_Gas_Pipeline</t>
  </si>
  <si>
    <t>Bang Pakong-Wang Noi Gas Pipeline</t>
  </si>
  <si>
    <t>Bang Pakong</t>
  </si>
  <si>
    <t>Wang Noi</t>
  </si>
  <si>
    <t>Ayutthaya</t>
  </si>
  <si>
    <t>LINESTRING (101.09253 13.714817, 100.777552 14.236957)</t>
  </si>
  <si>
    <t>P1103</t>
  </si>
  <si>
    <t>https://www.gem.wiki/Bang_Phli-Saraburi_Gas_Pipeline</t>
  </si>
  <si>
    <t>Bang Phli-Saraburi Gas Pipeline</t>
  </si>
  <si>
    <t>Bang Phli</t>
  </si>
  <si>
    <t>Saraburi</t>
  </si>
  <si>
    <t>LINESTRING (100.730697 13.619066, 100.913245 14.522179)</t>
  </si>
  <si>
    <t>P1104</t>
  </si>
  <si>
    <t>https://www.gem.wiki/Benchamas_Field_Gas_Pipeline</t>
  </si>
  <si>
    <t>Benchamas Field Gas Pipeline</t>
  </si>
  <si>
    <t>Benchamas Field</t>
  </si>
  <si>
    <t>LINESTRING (101.810307 10.231281, 101.834365 9.824098)</t>
  </si>
  <si>
    <t>P1105</t>
  </si>
  <si>
    <t>https://www.gem.wiki/Bongkot_Field-Erawan_Gas_Pipeline</t>
  </si>
  <si>
    <t>Bongot Field-Erawan Pipeline</t>
  </si>
  <si>
    <t>Bongkot Field</t>
  </si>
  <si>
    <t>Erawan Platform</t>
  </si>
  <si>
    <t>LINESTRING (102.627599 8.467394, 101.271723 9.312977)</t>
  </si>
  <si>
    <t>P1106</t>
  </si>
  <si>
    <t>https://www.gem.wiki/Erawan-Khanom_Gas_Pipeline</t>
  </si>
  <si>
    <t>Erawan-Khanom Gas Pipeline</t>
  </si>
  <si>
    <t>Thong Nian</t>
  </si>
  <si>
    <t>Nakon Sri Thammarat</t>
  </si>
  <si>
    <t>LINESTRING (101.457582 9.2591, 99.857667 9.235512)</t>
  </si>
  <si>
    <t>P1288</t>
  </si>
  <si>
    <t>https://www.gem.wiki/El_Encino_Topolobampo_Gas_Pipeline</t>
  </si>
  <si>
    <t>El Encino-Topolobampo Gas Pipeline</t>
  </si>
  <si>
    <t>Gasoducto El Encino–Topolobampo</t>
  </si>
  <si>
    <t>https://www.gem.wiki/Gasoducto_El_Encino%E2%80%93Topolobampo</t>
  </si>
  <si>
    <t>LINESTRING (-105.927201 28.44444, -105.956 28.45111, -105.988 28.44488, -106.029 28.44124, -106.048 28.42826, -106.085 28.43086, -106.109 28.40645, -106.136 28.41113, -106.184 28.40178, -106.234 28.38463, -106.265 28.35502, -106.293 28.3519, -106.322 28.34566, -106.37 28.33423, -106.421 28.32124, -106.461 28.31032, -106.498 28.30096, -106.532 28.30408, -106.561 28.31344, -106.605 28.33319, -106.65 28.3467, -106.683 28.35866, -106.713 28.35762, -106.744 28.34618, -106.78 28.33891, -106.811 28.3467, -106.837 28.34307, -106.876 28.31552, -106.917 28.27912, -106.959 28.24376, -106.988 28.20838, -107.012 28.17871, -107.028 28.12717, -107.047 28.08029, -107.055 28.05163, -107.058 28.03548, -107.07 28.01358, -107.093 27.98543, -107.119 27.95831, -107.14 27.94058, -107.141 27.91788, -107.15 27.90692, -107.185 27.90692, -107.224 27.90588, -107.247 27.89336, -107.278 27.88553, -107.303 27.87979, -107.328 27.88761, -107.357 27.88866, -107.385 27.87457, -107.42 27.86047, -107.463 27.84794, -107.501 27.84115, -107.535 27.84063, -107.566 27.83332, -107.596 27.82914, -107.622 27.80773, -107.64 27.78214, -107.641 27.76385, -107.645 27.74817, -107.659 27.74347, -107.678 27.72518, -107.691 27.71211, -107.693 27.68858, -107.697 27.66871, -107.722 27.65564, -107.733 27.64256, -107.776 27.61666, -107.813 27.5994, -107.825 27.58003, -107.828 27.54705, -107.838 27.5193, -107.853 27.49783, -107.886 27.48264, -107.939 27.48002, -107.977 27.48159, -108.005 27.47216, -108.021 27.45068, -108.043 27.43443, -108.065 27.41923, -108.088 27.39879, -108.105 27.37939, -108.144 27.34845, -108.175 27.34006, -108.196 27.33166, -108.209 27.31278, -108.211 27.29494, -108.235 27.28339, -108.253 27.27919, -108.264 27.26555, -108.3 27.26135, -108.314 27.24298, -108.329 27.19309, -108.354 27.17366, -108.382 27.16525, -108.404 27.14791, -108.413 27.12164, -108.411 27.07354, -108.41 27.04251, -108.428 27.01411, -108.461 27.00464, -108.5 26.98464, -108.51 26.96623, -108.507 26.93728, -108.512 26.91885, -108.505 26.85565, -108.459 26.81824, -108.454 26.77607, -108.43 26.74101, -108.434 26.71306, -108.43 26.68721, -108.421 26.66136, -108.425 26.62335, -108.442 26.5827, -108.451 26.5489, -108.454 26.51403, -108.486 26.46911, -108.502 26.42628, -108.508 26.40645, -108.577 26.35778, -108.633 26.3128, -108.682 26.27627, -108.693 26.25297, -108.705 26.21431, -108.71 26.1804, -108.72 26.15337, -108.73 26.12527, -108.748162 26.100727, -108.75657 26.074142, -108.820847 26.034637, -108.834955 26.004074, -108.923361 25.952108, -108.991814 25.973923, -108.995058 25.973403, -108.998 25.95576, -108.999 25.92178, -109.001 25.89416, -109.004 25.87397, -109.006 25.85644, -109.008 25.83093, -109.01 25.8001, -109.013 25.77458, -109.017 25.75331, -109.022 25.71368, -109.028 25.69399, -109.033 25.68069, -109.038 25.66366, -109.043 25.65408, -109.048 25.63065, -109.050599 25.608942)</t>
  </si>
  <si>
    <t>P1290</t>
  </si>
  <si>
    <t>https://www.gem.wiki/Camisea_Gas_Pipeline</t>
  </si>
  <si>
    <t>Camisea Gas Pipeline</t>
  </si>
  <si>
    <t>CPPIB (Canada Pension Plan Investment Board) [49.87%]; Enagás [28.95%]; Sonatrach [21.18%]</t>
  </si>
  <si>
    <t>18, 24, 32</t>
  </si>
  <si>
    <t>Camisea gas fields</t>
  </si>
  <si>
    <t>Lurín</t>
  </si>
  <si>
    <t>Gasoducto Camisea</t>
  </si>
  <si>
    <t>https://www.gem.wiki/Gasoducto_Camisea</t>
  </si>
  <si>
    <t>LINESTRING (-72.945592 -11.840021, -73.085592 -12.4531, -73.777426 -13.074056, -74.354277 -13.242198, -75.353228 -13.603694, -75.91352 -13.723529, -76.082875 -13.441077, -76.38869 -13.079111, -76.50865851341138 -12.856877374874253, -76.830946 -12.294181)</t>
  </si>
  <si>
    <t>P1294</t>
  </si>
  <si>
    <t>https://www.gem.wiki/Gulf_Run_Pipeline</t>
  </si>
  <si>
    <t>Gulf Run Pipeline</t>
  </si>
  <si>
    <t>Westdale</t>
  </si>
  <si>
    <t>Starks, Gillis</t>
  </si>
  <si>
    <t>LINESTRING (-93.476262 32.205187, -93.504545 32.126382, -93.462336 32.074512, -93.462992 32.00808, -93.442675 31.955736, -93.449652 31.630171, -93.411818 31.522753, -93.48517 31.310836, -93.471838 31.097296, -93.445514 30.993254, -93.445754 30.831757, -93.524068 30.619268, -93.583769 30.526718, -93.56739 30.450275, -93.597242 30.357889)</t>
  </si>
  <si>
    <t>P1295</t>
  </si>
  <si>
    <t>https://www.gem.wiki/Gemini_Carthage_Pipeline</t>
  </si>
  <si>
    <t>Gemini Carthage Pipeline</t>
  </si>
  <si>
    <t>Gemini Carthage Pipeline LLC [100.00%]</t>
  </si>
  <si>
    <t>Quantum Energy Partners [100.00%]</t>
  </si>
  <si>
    <t>LINESTRING (-94.33787 32.378358, -94.189525 32.379299, -94.181326 32.306905)</t>
  </si>
  <si>
    <t>P1296</t>
  </si>
  <si>
    <t>https://www.gem.wiki/Riseberg_Pipeline</t>
  </si>
  <si>
    <t>Riseberg Pipeline</t>
  </si>
  <si>
    <t>RH Energytrans [unknown %]</t>
  </si>
  <si>
    <t>Erie County</t>
  </si>
  <si>
    <t>LINESTRING (-94.340106 32.15575, -94.201422 30.03292)</t>
  </si>
  <si>
    <t>P1297</t>
  </si>
  <si>
    <t>https://www.gem.wiki/Stratton_Ridge_Pipeline</t>
  </si>
  <si>
    <t>Stratton Ridge Pipeline</t>
  </si>
  <si>
    <t>LINESTRING (-95.434495 29.247735, -95.425408 29.247492)</t>
  </si>
  <si>
    <t>P1299</t>
  </si>
  <si>
    <t>https://www.gem.wiki/Steady_Eddy_Pipeline</t>
  </si>
  <si>
    <t>Steady Eddy Pipeline</t>
  </si>
  <si>
    <t>WhiteWater Midstream [unknown %]</t>
  </si>
  <si>
    <t>Loving</t>
  </si>
  <si>
    <t>Culberson County</t>
  </si>
  <si>
    <t>LINESTRING (-104.129062 32.271661, -104.145157 32.244439, -104.150905 32.213319, -104.148606 32.172457, -104.140558 32.127682, -104.137109 32.092626, -104.13596 32.063403, -104.131361 32.026372)</t>
  </si>
  <si>
    <t>P1305</t>
  </si>
  <si>
    <t>https://www.gem.wiki/Crib_Point_Pakenham_Pipeline</t>
  </si>
  <si>
    <t>Crib Point Pakenham Pipeline</t>
  </si>
  <si>
    <t>AGL Energy [unknown %]; APA Group [unknown %]</t>
  </si>
  <si>
    <t>Crib Point</t>
  </si>
  <si>
    <t>Pakenham</t>
  </si>
  <si>
    <t>LINESTRING (145.589795 -38.068208, 145.224166 -38.372646)</t>
  </si>
  <si>
    <t>P1309</t>
  </si>
  <si>
    <t>https://www.gem.wiki/North_East_Natural_Gas_Pipeline_Grid_Project</t>
  </si>
  <si>
    <t>North East Natural Gas Pipeline Grid Project</t>
  </si>
  <si>
    <t>Indradhanush Gas Grid Limited (IGGL) [unknown %]</t>
  </si>
  <si>
    <t>GAIL (India) Limited [unknown %]; India Ministry of Petroleum and Natural Gas [unknown %]; Indian Oil Corporation [unknown %]; Oil India Limited [unknown %]; Oil and Natural Gas Corporation Limited [unknown %]</t>
  </si>
  <si>
    <t>Itanagar, Agartala, Imphal</t>
  </si>
  <si>
    <t>MULTILINESTRING ((91.7327803 26.1380915, 91.9025003 25.4874981, 92.3299433 25.1323432, 92.6662404 24.7834743, 92.8422463 24.7646165, 93.0173211 24.6599746, 93.3485255 24.6012125, 93.6369939 24.5691605, 93.8560162 24.6172385, 93.9414883 24.8095508), (92.8422228 24.7646499, 92.5836967 24.516516, 92.4571426 24.3357244, 92.2332312 24.246577, 92.1742457 24.2188191, 92.0892371 24.1338106, 91.9365687 24.0869691, 91.8376812 23.9898165, 91.7769608 23.9516494, 91.6485806 23.9343007, 91.4473359 23.7521396), (92.4571708 24.3357202, 92.6100046 24.0930384, 92.6347825 23.6251742, 92.7417285 23.4873225), (91.7327788 26.1380933, 91.9416785 26.2047499, 92.2971852 26.2623996, 92.4292992 26.2984307, 92.5061655 26.4113281, 92.6310733 26.4425551, 92.8232391 26.5554525, 92.9660023 26.5736362, 93.1557661 26.600059, 93.5016645 26.6264818, 93.5113075 27.1150253, 93.5449365 27.2999849), (93.5016647 26.6264819, 93.7157216 26.6413918, 93.9262848 26.5857056, 93.893209 26.1666758, 93.8567162 26.1258896, 93.7966103 25.8639996), (88.3272777 26.8166647, 88.4429319 27.0457491, 88.4896384 27.2525922, 88.5697067 27.4349701))</t>
  </si>
  <si>
    <t>P1312</t>
  </si>
  <si>
    <t>Uganda, Tanzania</t>
  </si>
  <si>
    <t>https://www.gem.wiki/Tanzania_Uganda_Pipeline</t>
  </si>
  <si>
    <t>Uganda Tanzania Pipeline</t>
  </si>
  <si>
    <t>Tanzania Petroleum Development Corporation [unknown %]</t>
  </si>
  <si>
    <t>Dar es Salam</t>
  </si>
  <si>
    <t>LINESTRING (39.202129 -6.864931, 39.116753 -5.066239, 32.901756 -2.516439, 30.51356 -0.747952)</t>
  </si>
  <si>
    <t>P1313</t>
  </si>
  <si>
    <t>https://www.gem.wiki/Trans_Nigeria_Gas_Pipeline</t>
  </si>
  <si>
    <t>Trans Nigeria Gas Pipeline</t>
  </si>
  <si>
    <t>Phase 1: Ajaokuta–Kaduna–Kano Pipeline (AKK Pipeline)</t>
  </si>
  <si>
    <t>Ajaokuta–Kaduna–Kano Pipeline, AKK Pipeline</t>
  </si>
  <si>
    <t>Ibeno</t>
  </si>
  <si>
    <t>Kano</t>
  </si>
  <si>
    <t>LINESTRING (7.401924 9.085473, 7.421744 10.507018, 8.534712 11.989088)</t>
  </si>
  <si>
    <t>P1314</t>
  </si>
  <si>
    <t>MidCat Pipeline, Midi-Catalunya</t>
  </si>
  <si>
    <t>MULTILINESTRING ((-2.2206217 42.352554, -1.8870296 42.23708, -1.3866415 41.893865, -1.0626723 41.646879, -0.7002117 41.508951, -0.5109624 41.303664), (0.5559861 41.136255, 1.2801477 41.236686, 1.9567367 41.485121), (2.5095964 43.184778, 3.8457234 43.583133, 4.8066713 43.586002, 4.6775887 43.824087, 4.6374297 43.935959, 4.6575092 44.030619, 4.7320902 44.099463, 4.6517722 44.326075, 4.7493013 44.478106, 4.8697783 44.612925, 4.9070688 44.782167, 4.9811314 45.006609, 4.9741898 45.087665, 4.9798157 45.32958, 5.041701 45.520862, 5.0698307 45.667136, 5.1148382 45.757151, 5.047327 45.858418, 5.0979604 45.948433, 5.1148382 46.100333, 5.0867085 46.17347, 5.1204641 46.263485, 5.1485938 46.297241), (2.6282311885828857 41.742891346860716, 2.958057108693937 42.26523735840041, 2.8642403385209705 42.46349314908768, 2.509601409110625 43.184770865077816))</t>
  </si>
  <si>
    <t>P1317</t>
  </si>
  <si>
    <t>https://www.gem.wiki/Gemini_Gulf_Coast_Pipeline</t>
  </si>
  <si>
    <t>Gemini Gulf Coast Pipeline</t>
  </si>
  <si>
    <t>Gemini Gulf Coast Pipeline LLC [100.00%]</t>
  </si>
  <si>
    <t>Orange County</t>
  </si>
  <si>
    <t>LINESTRING (-94.151671 32.206099, -94.226174 32.147816, -94.26256 32.146958, -94.275647 32.108691, -94.267986 31.935258, -94.19347 31.723111, -94.178444 31.699342, -94.128744 31.684621, -93.997241 31.291494, -93.988947 31.221059, -93.973442 31.205792, -93.912542 30.713443, -93.877505 30.702774, -93.853915 30.651953, -93.839835 30.650606, -93.882737 30.436698, -93.890707 30.303886, -93.863836 30.256176, -93.863804 30.209695, -93.84013 30.199219, -93.822314 30.139148)</t>
  </si>
  <si>
    <t>P1321</t>
  </si>
  <si>
    <t>https://www.gem.wiki/Bosnia_and_Herzegovina%E2%80%93Croatia_South_Interconnection_Gas_Pipeline</t>
  </si>
  <si>
    <t>Bosnia and Herzegovina–Croatia South Interconnection Gas Pipeline</t>
  </si>
  <si>
    <t>Travnik</t>
  </si>
  <si>
    <t>Central Bosnia Canton</t>
  </si>
  <si>
    <t>MULTILINESTRING ((16.3718 43.573, 16.5838 43.568, 16.6394 43.537, 16.758 43.477, 16.8165 43.448, 16.9581 43.377, 17.0656 43.401, 17.11 43.416, 17.2019 43.446, 17.262 43.478), (17.262 43.478, 17.3517 43.472, 17.4033 43.443, 17.4436 43.43, 17.4939 43.416, 17.5448 43.403, 17.592 43.394, 17.6448 43.381, 17.6926 43.372, 17.762 43.356), (17.3273 43.474, 17.2561 43.548, 17.2375 43.581, 17.2294 43.615, 17.2244 43.651, 17.2182 43.688, 17.2114 43.725, 17.2064 43.761, 17.1928 43.8, 17.181 43.835, 17.1611 43.868, 17.1499 43.903, 17.1437 43.935, 17.1685 43.963, 17.2021 43.994, 17.2394 44.016, 17.2787 44.04, 17.3124 44.068, 17.344 44.1, 17.3757 44.129, 17.4074 44.155, 17.4487 44.176, 17.49 44.194, 17.539 44.213, 17.588 44.226, 17.6663 44.265))</t>
  </si>
  <si>
    <t>P1324</t>
  </si>
  <si>
    <t>Türkiye, Cyprus</t>
  </si>
  <si>
    <t>Cyprus-Turkey Gas Pipeline</t>
  </si>
  <si>
    <t>Anamur-North Cyprus</t>
  </si>
  <si>
    <t>Turkey-TRNC natural gas pipeline</t>
  </si>
  <si>
    <t>Anamur</t>
  </si>
  <si>
    <t>Mursin Province</t>
  </si>
  <si>
    <t>Girne</t>
  </si>
  <si>
    <t>Karsiyaka</t>
  </si>
  <si>
    <t>LINESTRING (32.868 36.06831, 33.315547326748835 35.33546960467277)</t>
  </si>
  <si>
    <t>P3416</t>
  </si>
  <si>
    <t>https://www.gem.wiki/Donji_Miholjac%E2%80%93Beli%C5%A1%C4%87e_Gas_pipeline</t>
  </si>
  <si>
    <t>Donji Miholjac–Belišće Gas pipeline</t>
  </si>
  <si>
    <t>Donji Miholjac</t>
  </si>
  <si>
    <t>Belišće</t>
  </si>
  <si>
    <t>LINESTRING (18.1760592 45.7353744, 18.1839754 45.7341721, 18.2435326 45.7105937, 18.270604 45.6969707, 18.2966275 45.682649, 18.3343528 45.6712965, 18.346404 45.673043, 18.3757459 45.6789813, 18.378715 45.6784573, 18.3912902 45.6852688, 18.3996736 45.6878886)</t>
  </si>
  <si>
    <t>P3417</t>
  </si>
  <si>
    <t>https://www.gem.wiki/Kneginec%E2%80%93Vara%C5%BEdin_II_Gas_Pipeline</t>
  </si>
  <si>
    <t>Kneginec–Varaždin II Gas Pipeline</t>
  </si>
  <si>
    <t>Gornji Kneginec</t>
  </si>
  <si>
    <t>Varaždin</t>
  </si>
  <si>
    <t>LINESTRING (16.375802814389495 46.25072669744444, 16.33681019295461 46.30571196966052)</t>
  </si>
  <si>
    <t>P3419</t>
  </si>
  <si>
    <t>https://www.gem.wiki/Vukovar%E2%80%93Negoslavci_Gas_Pipeline</t>
  </si>
  <si>
    <t>Vukovar–Negoslavci</t>
  </si>
  <si>
    <t>Plinacro [100.00%]</t>
  </si>
  <si>
    <t>Vukovar</t>
  </si>
  <si>
    <t>Negoslavci</t>
  </si>
  <si>
    <t>LINESTRING (19.0009507890708 45.34534331260816, 18.99743173078764 45.277860290365226)</t>
  </si>
  <si>
    <t>P3420</t>
  </si>
  <si>
    <t>https://www.gem.wiki/Zadvarje%E2%80%93Brela_Gas_Pipeline</t>
  </si>
  <si>
    <t>Zadvarje–Brela Gas Pipeline</t>
  </si>
  <si>
    <t>Zadvarje</t>
  </si>
  <si>
    <t>Brela</t>
  </si>
  <si>
    <t>LINESTRING (16.90622880994214 43.43105237141073, 16.929746418956437 43.368627449649814)</t>
  </si>
  <si>
    <t>P1107</t>
  </si>
  <si>
    <t>https://www.gem.wiki/Erawan-Rayong_Gas_Pipeline_1</t>
  </si>
  <si>
    <t>Erawan-Rayon Gas Pipeline 1</t>
  </si>
  <si>
    <t>Map Ta Phud</t>
  </si>
  <si>
    <t>LINESTRING (101.158709 12.649392, 101.041039 9.215277)</t>
  </si>
  <si>
    <t>P1108</t>
  </si>
  <si>
    <t>https://www.gem.wiki/Erawan-Rayong_Gas_Pipeline_2</t>
  </si>
  <si>
    <t>Erawan-Rayon Gas Pipeline 2</t>
  </si>
  <si>
    <t>P0907</t>
  </si>
  <si>
    <t>https://www.gem.wiki/Barauni-Guwahati_Gas_Pipeline</t>
  </si>
  <si>
    <t>Barauni-Guwahati Gas Pipeline</t>
  </si>
  <si>
    <t>Assam Gas Co., Ltd. [unknown %]</t>
  </si>
  <si>
    <t>Barauni</t>
  </si>
  <si>
    <t>LINESTRING (85.988348 25.465903, 88.01691979449093 26.328250029254352, 88.391834 26.696619, 90.537447 26.500918, 91.737913 26.144724)</t>
  </si>
  <si>
    <t>P1109</t>
  </si>
  <si>
    <t>https://www.gem.wiki/Erawan-Rayong_Gas_Pipeline_3</t>
  </si>
  <si>
    <t>Erawan-Rayon Gas Pipeline 3</t>
  </si>
  <si>
    <t>P1110</t>
  </si>
  <si>
    <t>https://www.gem.wiki/Nam_Phong_Field-Nam_Phong_Power_Plant_Gas_Pipeline</t>
  </si>
  <si>
    <t>Nam Phong Field-Nam Phong Power Plant Gas Pipeline</t>
  </si>
  <si>
    <t>Nam Phong Field</t>
  </si>
  <si>
    <t>LINESTRING (102.802202 16.720492, 102.804681 16.690074)</t>
  </si>
  <si>
    <t>P1325</t>
  </si>
  <si>
    <t>https://www.gem.wiki/Bunde-Etzel_Gas_Pipeline</t>
  </si>
  <si>
    <t>Bunde-Etzel Gas Pipeline</t>
  </si>
  <si>
    <t>Bunde-Etzel-Pipelinegesellschaft mbH &amp; Co. KG [unknown %]</t>
  </si>
  <si>
    <t>BP [unknown %]; E.ON [unknown %]; Electricite de France [unknown %]; Energie Baden-Württemberg AG [unknown %]; Gazprom [unknown %]; OMV Group [unknown %]; Orsted AS [unknown %]</t>
  </si>
  <si>
    <t>Etzel fields</t>
  </si>
  <si>
    <t>Etzel</t>
  </si>
  <si>
    <t>Oude Statenzijl</t>
  </si>
  <si>
    <t>MULTILINESTRING ((7.078789 53.445872, 7.212716 53.449285, 7.268166 53.412119, 7.264701 53.370785, 7.254304 53.348034, 7.264701 53.323201, 7.316889 53.317877), (7.059785 53.379569, 7.078789 53.445872, 7.143459 53.491366, 7.293373 53.535065, 7.519715 53.549039, 7.657872 53.547292, 7.769573 53.561262, 7.943555 53.553405))</t>
  </si>
  <si>
    <t>P1354</t>
  </si>
  <si>
    <t>https://www.gem.wiki/Gustorzyn_Wron%C3%B3w_Pipeline</t>
  </si>
  <si>
    <t>Gustorzyn-Wronów Gas Pipeline</t>
  </si>
  <si>
    <t>Gazociąg Gustorzyn – Wronów</t>
  </si>
  <si>
    <t>Gustorzyn</t>
  </si>
  <si>
    <t>Wronów</t>
  </si>
  <si>
    <t>LINESTRING (18.9588 52.7076, 19.1062 52.4637, 19.2912 52.3871, 19.4469 52.2786, 19.5141 52.2161, 19.5494 52.1442, 19.5566 52.0837, 19.5672 52.0071, 19.597 51.937, 19.6438 51.8647, 19.7203 51.8052, 19.7968 51.7563, 19.9031 51.7244, 19.9988 51.6861, 20.0988 51.6585, 20.2157 51.6266, 20.3305 51.5947, 20.4368 51.5692, 20.5389 51.5415, 20.6452 51.5181, 20.7557 51.4905, 20.8642 51.4714, 20.9747 51.4543, 21.0896 51.4352, 21.198 51.4203, 21.3107 51.4097, 21.4276 51.3969, 21.5446 51.3842, 21.6509 51.3757, 21.7657 51.3693, 22.0499 51.4611)</t>
  </si>
  <si>
    <t>P1359</t>
  </si>
  <si>
    <t>https://www.gem.wiki/Atlas_Gas_Pipeline</t>
  </si>
  <si>
    <t>Atlas Gas Pipeline</t>
  </si>
  <si>
    <t>Atlas Field</t>
  </si>
  <si>
    <t>LINESTRING (149.845828 -26.180488, 149.510079 -26.555529)</t>
  </si>
  <si>
    <t>P1111</t>
  </si>
  <si>
    <t>https://www.gem.wiki/North_Pailin-Pailin_Gas_Pipeline</t>
  </si>
  <si>
    <t>North Pailin-Pailin Gas Pipeline</t>
  </si>
  <si>
    <t>Pailin Field</t>
  </si>
  <si>
    <t>LINESTRING (101.073394 9.256636, 101.167943 9.364357)</t>
  </si>
  <si>
    <t>P1112</t>
  </si>
  <si>
    <t>https://www.gem.wiki/Pailin_Field-Erawan_Field_Gas_Pipeline</t>
  </si>
  <si>
    <t>Pailin Field-Erawan Field Gas Pipeline</t>
  </si>
  <si>
    <t>LINESTRING (101.073394 9.256636, 101.272586 9.944247)</t>
  </si>
  <si>
    <t>P1113</t>
  </si>
  <si>
    <t>https://www.gem.wiki/Plathong_Field_Gas_Pipeline</t>
  </si>
  <si>
    <t>Plathong Field Gas Pipeline</t>
  </si>
  <si>
    <t>Plathong Field</t>
  </si>
  <si>
    <t>LINESTRING (103.265126 7.744482, 102.796826 8.297928)</t>
  </si>
  <si>
    <t>P1114</t>
  </si>
  <si>
    <t>https://www.gem.wiki/Ratchaburi-Wang_Noi_Gas_Pipeline</t>
  </si>
  <si>
    <t>Ratchaburi-Wang Noi Gas Pipeline</t>
  </si>
  <si>
    <t>LINESTRING (99.582475 13.577567, 100.727235 14.238949)</t>
  </si>
  <si>
    <t>P1115</t>
  </si>
  <si>
    <t>P0908</t>
  </si>
  <si>
    <t>https://www.gem.wiki/Bathinda-Jammu-Srinagar_Gas_Pipeline</t>
  </si>
  <si>
    <t>Bathinda-Jammu-Srinagar Gas Pipeline</t>
  </si>
  <si>
    <t>Srinigar</t>
  </si>
  <si>
    <t>Jammu and Kashmir</t>
  </si>
  <si>
    <t>LINESTRING (74.942554 30.217345, 75.48193430724804 32.32493044965219, 74.84977008448939 32.73121887920753, 74.7985 34.086215)</t>
  </si>
  <si>
    <t>P0909</t>
  </si>
  <si>
    <t>https://www.gem.wiki/BPA-Hazira_Gas_Pipeline</t>
  </si>
  <si>
    <t>BPA-Hazira Gas Pipeline</t>
  </si>
  <si>
    <t>South Bassein Gas Field</t>
  </si>
  <si>
    <t>LINESTRING (70.995872 20.242198, 72.664649 21.177325)</t>
  </si>
  <si>
    <t>P0910</t>
  </si>
  <si>
    <t>https://www.gem.wiki/BPB-Hazira_Gas_Pipeline</t>
  </si>
  <si>
    <t>BPB-Hazira Gas Pipeline</t>
  </si>
  <si>
    <t>P1116</t>
  </si>
  <si>
    <t>https://www.gem.wiki/Rayong-Bang_Pakong_1_Gas_Pipeline</t>
  </si>
  <si>
    <t>Rayong-Bang Pakong 1 Gas Pipeline</t>
  </si>
  <si>
    <t>LINESTRING (101.271891 12.702678, 101.092535 13.71882)</t>
  </si>
  <si>
    <t>P1117</t>
  </si>
  <si>
    <t>https://www.gem.wiki/Rayong-Bang_Pakong_2_Gas_Pipeline</t>
  </si>
  <si>
    <t>Rayong-Bang Pakong 2 Gas Pipeline</t>
  </si>
  <si>
    <t>P1118</t>
  </si>
  <si>
    <t>https://www.gem.wiki/Rayong-Bang_Pakong_3_Gas_Pipeline</t>
  </si>
  <si>
    <t>Rayong-Bang Pakong 3 Gas Pipeline</t>
  </si>
  <si>
    <t>P1119</t>
  </si>
  <si>
    <t>https://www.gem.wiki/Sai_Noi-South_Bangkok_Gas_Pipeline</t>
  </si>
  <si>
    <t>Sai Noi-South Bangkok Gas Pipeline</t>
  </si>
  <si>
    <t>Bangkok</t>
  </si>
  <si>
    <t>LINESTRING (100.309297 14.018492, 100.509475 13.732396)</t>
  </si>
  <si>
    <t>P1120</t>
  </si>
  <si>
    <t>https://www.gem.wiki/Sinphuhorm-Nam_Phong_Gas_Pipeline</t>
  </si>
  <si>
    <t>Sinphuhorm-Nam Phong Gas Pipeline</t>
  </si>
  <si>
    <t>Sinphuhorm Gas Field</t>
  </si>
  <si>
    <t>LINESTRING (102.737605 16.679228, 102.741988 16.679659)</t>
  </si>
  <si>
    <t>P1121</t>
  </si>
  <si>
    <t>https://www.gem.wiki/Tantawan_Field_Gas_Pipeline</t>
  </si>
  <si>
    <t>Tantawan Field Gas Pipeline</t>
  </si>
  <si>
    <t>Tantawan Field</t>
  </si>
  <si>
    <t>LINESTRING (101.269924 10.386575, 101.238425 11.054079)</t>
  </si>
  <si>
    <t>P1122</t>
  </si>
  <si>
    <t>https://www.gem.wiki/TTM_Gas_Separation_Plant-Chana_Gas_Pipeline</t>
  </si>
  <si>
    <t>TTM Gas Separation Plant-Chana Gas Pipeline</t>
  </si>
  <si>
    <t>Songkhla Gas Separation Plant</t>
  </si>
  <si>
    <t>Chana Power Plant</t>
  </si>
  <si>
    <t>LINESTRING (100.595181 7.191301, 100.739929 6.99454)</t>
  </si>
  <si>
    <t>P0911</t>
  </si>
  <si>
    <t>https://www.gem.wiki/Cauvery_Basin_Gas_Network</t>
  </si>
  <si>
    <t>Cauvery Basin Gas Network</t>
  </si>
  <si>
    <t>Cauvery Gas Fields</t>
  </si>
  <si>
    <t>Narimanam</t>
  </si>
  <si>
    <t>LINESTRING (78.920382 8.216145, 79.795825 10.825782)</t>
  </si>
  <si>
    <t>P0912</t>
  </si>
  <si>
    <t>https://www.gem.wiki/Chainsa-Jhajjar-Hissar_Gas_Pipeline</t>
  </si>
  <si>
    <t>Chainsa-Jhajjar-Hissar Gas Pipeline</t>
  </si>
  <si>
    <t>Chainsa</t>
  </si>
  <si>
    <t>Hissar</t>
  </si>
  <si>
    <t>LINESTRING (77.1506304 28.0655014, 75.7160014 29.1585144)</t>
  </si>
  <si>
    <t>P0913</t>
  </si>
  <si>
    <t>https://www.gem.wiki/Contai-Paradip-Dattapulia_Gas_Pipeline</t>
  </si>
  <si>
    <t>Contai-Paradip-Dattapulia Gas Pipeline</t>
  </si>
  <si>
    <t>Dattapulia</t>
  </si>
  <si>
    <t>MULTILINESTRING ((88.716 23.2497, 88.5 23.211, 88.255 22.65, 87.608 21.925, 86.267 20.918, 85.847 20.48877, 85.853 20.229), (88.255 22.65, 88.3564403 22.54205), (86.267 20.918, 86.8893533 20.806473), (86.267 20.918, 86.0086253 20.965634), (85.847 20.48877, 86.5930643 20.316995))</t>
  </si>
  <si>
    <t>P1123</t>
  </si>
  <si>
    <t>https://www.gem.wiki/Wang_Noi-Kaeng_Khoi_Gas_Pipeline</t>
  </si>
  <si>
    <t>Wang Noi-Kaeng Khoi Gas Pipeline</t>
  </si>
  <si>
    <t>Kaeng Khoi</t>
  </si>
  <si>
    <t>LINESTRING (100.697684 14.199672, 100.9990133 14.576282)</t>
  </si>
  <si>
    <t>P0915</t>
  </si>
  <si>
    <t>https://www.gem.wiki/Dabhol-Bangalore_Gas_Pipeline</t>
  </si>
  <si>
    <t>Dabhol-Bangalore Gas Pipeline</t>
  </si>
  <si>
    <t>Bangalore</t>
  </si>
  <si>
    <t>P1326</t>
  </si>
  <si>
    <t>Germany, Austria, Italy</t>
  </si>
  <si>
    <t>https://www.gem.wiki/Tauern_Gas_Pipeline</t>
  </si>
  <si>
    <t>Tauern Gas Pipeline</t>
  </si>
  <si>
    <t>Tauern Gas Pipeline  [300.00%]</t>
  </si>
  <si>
    <t>E.ON [48.05%]; Energie AG Oberösterreich [unknown %]; Salzburg AG [unknown %]</t>
  </si>
  <si>
    <t>Haiming</t>
  </si>
  <si>
    <t>Tarvisio</t>
  </si>
  <si>
    <t>Friuli Venezia Giulia</t>
  </si>
  <si>
    <t>LINESTRING (12.888795 48.212739, 13.234864 48.132149, 13.745728 48.513844, 15.547486 48.568401, 15.673829 48.552045, 16.852113 48.458331, 15.105287 46.831995, 13.60016 46.534289, 13.583498 46.503218)</t>
  </si>
  <si>
    <t>P1327</t>
  </si>
  <si>
    <t>Malta</t>
  </si>
  <si>
    <t>Malta, Italy</t>
  </si>
  <si>
    <t>https://www.gem.wiki/Malta-Italy_Gas_Pipeline</t>
  </si>
  <si>
    <t>Malta-Italy Gas Pipeline</t>
  </si>
  <si>
    <t>Melita TransGas Pipeline, Malta-Sicily gas pipeline, Med - Link</t>
  </si>
  <si>
    <t>InterConnect Malta Ltd [unknown %]</t>
  </si>
  <si>
    <t>Delimara</t>
  </si>
  <si>
    <t>Sicily</t>
  </si>
  <si>
    <t>LINESTRING (14.543441 35.813225, 14.603866 35.802092, 14.559921 36.445466, 14.202865 36.945383, 14.230397 37.06329)</t>
  </si>
  <si>
    <t>P1126</t>
  </si>
  <si>
    <t>PetroVietnam [100.00%]</t>
  </si>
  <si>
    <t>offshore Nam Con Son Basin</t>
  </si>
  <si>
    <t>Long Hai</t>
  </si>
  <si>
    <t>LINESTRING (107.051392 10.439876, 107.206131 10.287662, 107.36087 10.116333, 107.41245 10.052854, 107.457582 10.027459, 107.470477 9.957613, 107.586531 9.805169, 107.696138 9.601802, 107.760613 9.404674)</t>
  </si>
  <si>
    <t>P0916</t>
  </si>
  <si>
    <t>https://www.gem.wiki/Dadri-Bawana-Nangal_Gas_Pipeline</t>
  </si>
  <si>
    <t>Dadri-Bawana-Nangal Gas Pipeline</t>
  </si>
  <si>
    <t>LINESTRING (77.5371044 28.5515724, 77.2499124 30.1299394, 76.3597004 31.3847014)</t>
  </si>
  <si>
    <t>P0917</t>
  </si>
  <si>
    <t>https://www.gem.wiki/Dadri-Panipat_Gas_Pipeline</t>
  </si>
  <si>
    <t>Dadri-Panipat Gas Pipeline</t>
  </si>
  <si>
    <t>LINESTRING (77.55663 28.547279, 76.965493 29.393931)</t>
  </si>
  <si>
    <t>P1127</t>
  </si>
  <si>
    <t>https://www.gem.wiki/Nam_Con_Son_Gas_Pipeline</t>
  </si>
  <si>
    <t>Nam Con Son Gas Pipeline</t>
  </si>
  <si>
    <t>PetroVietnam [51.00%]; Rosneft [32.70%]; Perenco [16.30%]</t>
  </si>
  <si>
    <t>Lan Tay Gas And Condensate Field, Block 6.1, offshore south eastern Vietnam</t>
  </si>
  <si>
    <t>LINESTRING (107.051392 10.439876, 107.206131 10.287662, 107.36087 10.116333, 107.41245 10.052854, 107.457582 10.027459, 107.470477 9.957613, 107.586531 9.805169, 107.696138 9.601802, 107.760613 9.404674, 107.760613 9.404674, 107.850877 9.131052, 107.947589 8.908181, 107.960484 8.359985, 108.031406 8.155806, 108.102328 7.919593, 108.147461 7.715192, 108.22483 7.363648)</t>
  </si>
  <si>
    <t>P1128</t>
  </si>
  <si>
    <t>https://www.gem.wiki/Amadeus_Gas_Pipeline</t>
  </si>
  <si>
    <t>Amadeus Gas Pipeline</t>
  </si>
  <si>
    <t>Darwin, Alice Springs</t>
  </si>
  <si>
    <t>LINESTRING (131.551069 -23.98548, 131.55327 -23.988096, 131.555754 -23.9914, 131.553945 -23.995639, 131.555815 -23.999058, 131.558337 -23.994948, 131.543666 -23.972974, 131.56486 -23.892258, 131.585809 -23.811622, 131.587773 -23.803656, 131.587531 -23.802028, 131.587957 -23.800493, 131.58802 -23.797963, 131.588858 -23.796357, 131.588711 -23.794537, 131.589036 -23.793541, 131.592144 -23.786945, 131.60357 -23.74309, 131.610947 -23.727622, 131.622962 -23.710894, 131.634209 -23.699861, 131.639238 -23.696604, 131.643034 -23.695864, 131.661527 -23.696896, 131.776975 -23.703615, 131.787244 -23.704278, 131.793298 -23.705218, 131.811796 -23.711017, 131.818583 -23.713953, 131.823758 -23.714694, 131.885051 -23.733896, 131.889519 -23.73507, 131.890604 -23.735637, 131.916289 -23.743727, 131.991906 -23.767238, 132.162145 -23.81167, 132.242526 -23.832476, 132.249775 -23.82881, 132.253623 -23.822456, 132.258634 -23.815563, 132.259162 -23.814007, 132.263157 -23.808425, 132.266133 -23.803486, 132.269266 -23.80034, 132.275915 -23.794368, 132.278992 -23.792039, 132.282396 -23.790382, 132.28895 -23.786648, 132.29707 -23.783161, 132.301451 -23.782184, 132.313783 -23.778651, 132.324595 -23.773741, 132.326712 -23.773624, 132.328908 -23.772858, 132.330978 -23.77065, 132.332751 -23.769392, 132.349555 -23.758263, 132.353978 -23.752935, 132.35415 -23.751155, 132.355327 -23.748176, 132.354529 -23.745463, 132.356351 -23.74217, 132.355133 -23.732118, 132.356784 -23.718889, 132.361158 -23.702493, 132.359955 -23.690261, 132.361838 -23.680769, 132.360795 -23.679411, 132.360871 -23.674126, 132.361388 -23.672243, 132.363268 -23.670215, 132.363541 -23.665213, 132.364289 -23.658913, 132.364826 -23.657662, 132.366994 -23.655364, 132.367553 -23.650168, 132.367363 -23.648651, 132.361629 -23.645287, 132.357761 -23.642535, 132.35 -23.637515, 132.342094 -23.632893, 132.331032 -23.62534, 132.330563 -23.622524, 132.333188 -23.620495, 132.335114 -23.617574, 132.335843 -23.600895, 132.313561 -23.56482, 132.302561 -23.555408, 132.302428 -23.551469, 132.300421 -23.547474, 132.278992 -23.49104, 132.279204 -23.478179, 132.280374 -23.473657, 132.279464 -23.470944, 132.280038 -23.46788, 132.278077 -23.464567, 132.276796 -23.459509, 132.276732 -23.456564, 132.275258 -23.451692, 132.272644 -23.444994, 132.270282 -23.442832, 132.267773 -23.439329, 132.265427 -23.435018, 132.263738 -23.432881, 132.262271 -23.431999, 132.256782 -23.430008, 132.2551 -23.427681, 132.25277 -23.427438, 132.239944 -23.427676, 132.235421 -23.424219, 132.23483 -23.423027, 132.232502 -23.419392, 132.228475 -23.417601, 132.227237 -23.416584, 132.226941 -23.414601, 132.227215 -23.413257, 132.226958 -23.410041, 132.226319 -23.40663, 132.22636 -23.405379, 132.224416 -23.404073, 132.223624 -23.403837, 132.223433 -23.399154, 132.221451 -23.393125, 132.226824 -23.381794, 132.243119 -23.359093, 132.282876 -23.336712, 132.286313 -23.334649, 132.295148 -23.320267, 132.301945 -23.311805, 132.314381 -23.302679, 132.387127 -23.302199, 132.416395 -23.289334, 132.624558 -23.217419, 132.626701 -23.210746, 132.750657 -23.078753, 132.755462 -23.073617, 132.967434 -22.887635, 133.103159 -22.768149, 133.242071 -22.64553, 133.254578 -22.63396, 133.261745 -22.625935, 133.266978 -22.622948, 133.267711 -22.621486, 133.271497 -22.619616, 133.275518 -22.615405, 133.288337 -22.603935, 133.305524 -22.604116, 133.33711 -22.578674, 133.339588 -22.571133, 133.355227 -22.527133, 133.491707 -22.101784, 133.462073 -22.063989, 133.516115 -21.947826, 133.514232 -21.945146, 133.526928 -21.926123, 133.525399 -21.919681, 133.600636 -21.69872, 133.624869 -21.647226, 133.620197 -21.631805, 133.658092 -21.602332, 133.719356 -21.344226, 133.794231 -21.13912, 133.894816 -20.995752, 134.023087 -20.831925, 134.023542 -20.791118, 134.023924 -20.790195, 134.024046 -20.779628, 134.027856 -20.402944, 134.025689 -20.394074, 134.028311 -19.979841, 134.029974 -19.963112, 134.030445 -19.813649, 133.984801 -19.720827, 133.983343 -19.716333, 133.960504 -19.665309, 133.851195 -19.44897, 133.85217 -19.442249, 133.809031 -19.375288, 133.775917 -19.230844, 133.769476 -19.218972, 133.763657 -19.078798, 133.680589 -18.638208, 133.668276 -18.591543, 133.666338 -18.56912, 133.662848 -18.56521, 133.661691 -18.556852, 133.6485 -18.547406, 133.64 -18.537128, 133.62012 -18.488027, 133.620057 -18.462602, 133.599872 -18.371417, 133.600845 -18.3679, 133.600389 -18.35867, 133.602158 -18.326555, 133.574189 -18.200604, 133.597727 -18.084577, 133.595902 -18.080838, 133.594241 -18.039085, 133.604769 -18.00955, 133.626034 -17.87076, 133.604255 -17.81814, 133.597993 -17.788999, 133.597169 -17.78151, 133.595232 -17.776111, 133.593741 -17.769105, 133.558555 -17.714313, 133.539939 -17.617239, 133.525414 -17.603666, 133.444313 -17.42511, 133.435992 -17.391102, 133.427506 -17.371451, 133.426984 -17.357129, 133.426983 -17.290947, 133.422589 -17.269355, 133.421321 -17.20241, 133.354781 -17.008497, 133.354165 -16.9779, 133.33523 -16.897297, 133.337103 -16.784177, 133.324729 -16.74822, 133.324604 -16.688722, 133.306514 -16.627319, 133.30547 -16.624748, 133.322143 -16.494674, 133.294388 -16.420064, 133.296646 -16.336141, 133.307815 -16.299556, 133.306656 -16.266681, 133.299621 -16.228813, 133.311168 -16.163908, 133.303557 -16.137875, 133.309705 -16.101292, 133.30917 -15.984481, 133.275253 -15.845882, 133.261586 -15.807281, 133.258448 -15.801661, 133.257204 -15.798227, 133.255965 -15.791404, 133.22112 -15.692731, 133.167968 -15.606583, 133.163829 -15.547505, 133.164118 -15.543414, 133.161296 -15.50421, 133.152819 -15.477322, 133.151153 -15.4742, 133.149826 -15.470014, 133.141937 -15.444943, 133.141674 -15.441984, 133.129014 -15.401807, 133.014469 -15.126405, 133.007992 -15.059669, 132.945677 -14.941957, 132.875425 -14.873757, 132.63135 -14.776213, 132.597717 -14.761481, 132.483212 -14.685523, 132.481426 -14.68406, 132.47897 -14.68275, 132.459002 -14.669689, 132.442039 -14.66115, 132.433609 -14.659498, 132.429508 -14.654851, 132.362073 -14.620884, 132.332165 -14.600698, 132.322117 -14.590803, 132.239317 -14.535642, 132.210665 -14.513177, 132.210579 -14.507152, 132.209803 -14.500971, 132.208057 -14.497319, 132.204509 -14.490833, 132.20449 -14.479318, 132.201194 -14.475074, 132.192622 -14.47239, 132.168971 -14.449328, 132.167105 -14.447035, 132.154575 -14.435132, 132.149162 -14.433781, 132.143784 -14.424872, 132.128449 -14.4103, 132.128426 -14.381201, 132.126961 -14.37921, 132.127005 -14.378385, 132.127484 -14.377838, 132.128577 -14.375792, 132.128653 -14.346684, 132.128347 -14.345761, 132.128653 -14.344958, 132.128675 -14.343041, 132.129482 -14.342111, 132.128079 -14.339643, 132.126449 -14.334855, 132.120617 -14.324683, 132.123231 -14.31886, 132.120115 -14.303944, 132.097092 -14.2735, 132.096625 -14.26679, 132.095092 -14.260309, 132.09365 -14.258882, 132.090433 -14.242208, 132.084821 -14.232552, 132.078174 -14.226402, 132.076654 -14.22549, 132.075686 -14.223021, 132.074692 -14.221686, 132.067945 -14.198999, 132.062922 -14.192034, 132.059714 -14.185354, 132.060621 -14.1838, 132.059186 -14.17602, 132.053597 -14.170776, 132.052917 -14.167414, 132.041973 -14.160631, 132.03911 -14.157383, 132.03668 -14.148534, 132.03355 -14.144066, 132.030587 -14.14275, 132.028822 -14.140414, 132.028903 -14.136365, 132.028565 -14.135194, 132.026098 -14.13272, 132.024499 -14.130349, 132.021134 -14.128602, 132.020573 -14.127697, 132.021334 -14.12431, 132.02059 -14.117268, 132.018258 -14.114075, 132.017072 -14.111305, 132.011983 -14.10881, 132.004729 -14.091394, 131.997948 -14.078917, 131.987716 -14.067268, 131.987252 -14.064044, 131.985589 -14.062379, 131.984706 -14.062058, 131.9698 -14.04248, 131.969714 -14.035529, 131.969379 -14.034163, 131.969469 -14.030029, 131.969806 -14.028316, 131.970049 -14.018414, 131.899611 -13.88354, 131.885023 -13.838884, 131.88388 -13.837495, 131.883049 -13.834989, 131.881543 -13.831796, 131.880535 -13.831251, 131.864192 -13.796314, 131.862403 -13.786807, 131.860148 -13.783645, 131.857085 -13.780356, 131.856363 -13.777766, 131.852235 -13.771623, 131.851651 -13.771222, 131.848578 -13.771753, 131.841275 -13.764736, 131.834001 -13.760091, 131.829715 -13.753398, 131.825958 -13.75148, 131.82516 -13.749101, 131.821927 -13.745448, 131.819942 -13.742406, 131.815577 -13.738546, 131.811136 -13.73316, 131.810309 -13.728006, 131.795714 -13.710207, 131.793964 -13.699269, 131.791183 -13.69458, 131.790085 -13.693858, 131.78861 -13.691328, 131.788531 -13.688615, 131.789373 -13.685069, 131.782834 -13.677071, 131.780418 -13.66929, 131.773595 -13.655296, 131.76484 -13.647409, 131.759584 -13.638338, 131.75443 -13.631115, 131.751105 -13.623192, 131.748162 -13.621437, 131.742719 -13.615052, 131.742979 -13.609561, 131.741806 -13.600213, 131.740581 -13.594543, 131.735752 -13.591603, 131.73419 -13.585369, 131.732824 -13.584483, 131.731412 -13.57701, 131.731291 -13.567375, 131.731594 -13.565903, 131.730655 -13.560443, 131.724004 -13.549286, 131.724012 -13.544965, 131.723241 -13.539025, 131.720843 -13.537431, 131.71876 -13.534645, 131.716308 -13.533829, 131.715471 -13.533284, 131.713134 -13.534614, 131.709523 -13.533628, 131.707199 -13.533592, 131.700607 -13.531477, 131.697357 -13.52989, 131.6964 -13.529275, 131.693011 -13.526711, 131.691393 -13.525838, 131.689207 -13.523806, 131.686548 -13.522393, 131.683614 -13.517354, 131.665483 -13.500494, 131.661577 -13.491661, 131.658837 -13.489345, 131.654851 -13.482527, 131.648933 -13.476952, 131.645457 -13.475948, 131.641394 -13.472454, 131.634971 -13.470307, 131.630136 -13.466036, 131.607188 -13.451039, 131.605597 -13.450878, 131.602098 -13.449438, 131.543273 -13.410539, 131.537948 -13.399787, 131.528559 -13.39011, 131.5031 -13.363862, 131.485012 -13.358277, 131.42645 -13.316758, 131.409108 -13.312727, 131.403522 -13.310662, 131.394215 -13.309262, 131.381803 -13.300691, 131.350717 -13.29345, 131.350193 -13.290815, 131.348911 -13.289964, 131.346337 -13.284069, 131.333039 -13.266172, 131.330218 -13.258193, 131.319906 -13.239369, 131.316468 -13.228569, 131.295065 -13.188918, 131.295385 -13.185098, 131.293792 -13.181966, 131.245134 -13.142013, 131.241625 -13.134619, 131.238711 -13.133102, 131.238225 -13.131663, 131.231266 -13.125173, 131.229952 -13.123655, 131.227715 -13.118688, 131.218345 -13.115948, 131.211506 -13.110434, 131.209988 -13.102517, 131.207121 -13.097655, 131.203619 -13.09382, 131.20101 -13.089188, 131.200498 -13.087143, 131.192468 -13.07074, 131.179218 -13.055617, 131.173405 -13.044303, 131.172093 -13.040722, 131.154285 -13.016609, 131.150142 -13.012646, 131.148075 -13.009982, 131.13099 -12.992804, 131.124773 -12.984665, 131.121632 -12.984536, 131.120806 -12.983443, 131.121311 -12.977731, 131.118262 -12.971756, 131.121804 -12.953674, 131.123683 -12.946692, 131.125671 -12.942798, 131.12629 -12.941069, 131.130677 -12.93407, 131.131796 -12.930768, 131.131824 -12.929913, 131.14017 -12.914326, 131.143468 -12.90941, 131.14423 -12.860711, 131.143808 -12.858946, 131.13686 -12.839221, 131.136814 -12.818158, 131.139028 -12.814406, 131.139089 -12.795929, 131.138922 -12.785504, 131.095766 -12.702386, 131.095754 -12.692576, 131.094353 -12.687082, 131.094243 -12.681576, 131.080883 -12.670823, 131.074721 -12.671861, 131.058045 -12.669505, 131.048139 -12.665611, 131.039424 -12.655104, 131.014802 -12.650472, 131.003668 -12.641678, 130.99431 -12.618884, 130.988917 -12.611447, 130.980067 -12.607231, 130.972403 -12.59695, 130.963501 -12.582774, 130.959951 -12.579922, 130.956414 -12.58116, 130.952628 -12.580557, 130.947772 -12.578118, 130.944804 -12.577412, 130.934156 -12.576908, 130.920225 -12.568081, 130.91261 -12.563885, 130.905179 -12.563879, 130.900812 -12.566341, 130.89884 -12.568498, 130.896783 -12.570168, 130.894367 -12.570564, 130.887651 -12.56818, 130.885589 -12.566481, 130.884291 -12.56279, 130.882361 -12.55948, 130.879921 -12.555919)</t>
  </si>
  <si>
    <t>P1129</t>
  </si>
  <si>
    <t>https://www.gem.wiki/Anglo-Mitsui_Gas_Pipeline</t>
  </si>
  <si>
    <t>Anglo-Mitsui Gas Pipeline</t>
  </si>
  <si>
    <t>AMP; Peabody Mistui Gas Pipeline</t>
  </si>
  <si>
    <t>Anglo American [51.00%]; Mitsui Global Investment [49.00%]</t>
  </si>
  <si>
    <t>Dawson Mine</t>
  </si>
  <si>
    <t>Kianga</t>
  </si>
  <si>
    <t>Moura</t>
  </si>
  <si>
    <t>LINESTRING (150.0432484 -24.6303736, 149.975735 -24.56253)</t>
  </si>
  <si>
    <t>P1130</t>
  </si>
  <si>
    <t>https://www.gem.wiki/APLNG_Pipeline</t>
  </si>
  <si>
    <t>APLNG Pipeline</t>
  </si>
  <si>
    <t>ConocoPhillips [37.50%]; Origin Energy Limited [37.50%]; Sinopec 中国石油化工股份有限公司 [25.00%]</t>
  </si>
  <si>
    <t>MULTILINESTRING ((151.193619 -23.751707, 151.193634 -23.751556, 151.194824 -23.749451, 151.191666 -23.747412, 151.183716 -23.74851, 151.18187 -23.749466, 151.175766 -23.750513, 151.16777 -23.75098, 151.159668 -23.751436, 151.151688 -23.75194, 151.143677 -23.752415, 151.135742 -23.753155, 151.127777 -23.753538, 151.119751 -23.753801, 151.111649 -23.753981, 151.103668 -23.75382, 151.095749 -23.753283, 151.087708 -23.752768, 151.079742 -23.754705, 151.078262 -23.757471, 151.071701 -23.759554, 151.064606 -23.765505, 151.063766 -23.76668, 151.059372 -23.77347, 151.055725 -23.775997, 151.047729 -23.780806, 151.045547 -23.781485, 151.039734 -23.786436, 151.03537 -23.789543, 151.031723 -23.792919, 151.027405 -23.797464, 151.023682 -23.801395, 151.015793 -23.805466, 151.015625 -23.805536, 151.007767 -23.811888, 151.006165 -23.81352, 151.007309 -23.821497, 151.007782 -23.822168, 151.015793 -23.828688, 151.016663 -23.829485, 151.021393 -23.837559, 151.023804 -23.84388, 151.024689 -23.845509, 151.026123 -23.853531, 151.029724 -23.86153, 151.027527 -23.869543, 151.026749 -23.877611, 151.023743 -23.881212, 151.016312 -23.885559, 151.015747 -23.886229, 151.010773 -23.89349, 151.007767 -23.89888, 151.006302 -23.901569, 151.00235 -23.909502, 150.999756 -23.915936, 150.999115 -23.917496, 150.995956 -23.925581, 150.992126 -23.933493, 150.99176 -23.934422, 150.987518 -23.941542, 150.983704 -23.947437, 150.982361 -23.949507, 150.977585 -23.957552, 150.975769 -23.960709, 150.973022 -23.965466, 150.972504 -23.973516, 150.971863 -23.981529, 150.972305 -23.989473, 150.971115 -23.997478, 150.967773 -24.004265, 150.964691 -24.00551, 150.959763 -24.007481, 150.951721 -24.010664, 150.944534 -24.013485, 150.943741 -24.0138, 150.935745 -24.016928, 150.927719 -24.020069, 150.924103 -24.021469, 150.919769 -24.023159, 150.911621 -24.025352, 150.903671 -24.027355, 150.895676 -24.029261, 150.894653 -24.029497, 150.887756 -24.031652, 150.879745 -24.035009, 150.874901 -24.037485, 150.871719 -24.039099, 150.863678 -24.043221, 150.861069 -24.045507, 150.855713 -24.049929, 150.853012 -24.053465, 150.850388 -24.061514, 150.848114 -24.069572, 150.847733 -24.070475, 150.845093 -24.077501, 150.839767 -24.078861, 150.831665 -24.082026, 150.825211 -24.085526, 150.824097 -24.093468, 150.823776 -24.093578, 150.81572 -24.096403, 150.807666 -24.099191, 150.80072 -24.101463, 150.799759 -24.101877, 150.791656 -24.105373, 150.783737 -24.108265, 150.778809 -24.109463, 150.775757 -24.110207, 150.767639 -24.112185, 150.76207 -24.117506, 150.760742 -24.125463, 150.759644 -24.126665, 150.751633 -24.130495, 150.749069 -24.133537, 150.747101 -24.141491, 150.743774 -24.143724, 150.735764 -24.146549, 150.731537 -24.149469, 150.727753 -24.151749, 150.721039 -24.157553, 150.719757 -24.158659, 150.715103 -24.165522, 150.71286 -24.173525, 150.713303 -24.181469, 150.711746 -24.184767, 150.708847 -24.189583, 150.704056 -24.197544, 150.703705 -24.197895, 150.69577 -24.203299, 150.693649 -24.205549, 150.687729 -24.212111, 150.68309 -24.213472, 150.679718 -24.21736, 150.671722 -24.220047, 150.663742 -24.218943, 150.66008 -24.221518, 150.655716 -24.225462, 150.647705 -24.225267, 150.639755 -24.225994, 150.631775 -24.228928, 150.6306 -24.229528, 150.624634 -24.229452, 150.623611 -24.229366, 150.622879 -24.229475, 150.617004 -24.229452, 150.615662 -24.228117, 150.607727 -24.224739, 150.602997 -24.22143, 150.599777 -24.219179, 150.591766 -24.218248, 150.58374 -24.221548, 150.575775 -24.226299, 150.57045 -24.229486, 150.567734 -24.230516, 150.559692 -24.236567, 150.557663 -24.237514, 150.551697 -24.241495, 150.545425 -24.245464, 150.543701 -24.246584, 150.535706 -24.251783, 150.533096 -24.253473, 150.527649 -24.257021, 150.520844 -24.261538, 150.519775 -24.262667, 150.511719 -24.266949, 150.504654 -24.269497, 150.503738 -24.269758, 150.495712 -24.274714, 150.487747 -24.277157, 150.48671 -24.277479, 150.479706 -24.279631, 150.471771 -24.282011, 150.465439 -24.285513, 150.463638 -24.286541, 150.455673 -24.290396, 150.44957 -24.293524, 150.447754 -24.294302, 150.439774 -24.298479, 150.437378 -24.301537, 150.431778 -24.307779, 150.428543 -24.309479, 150.423721 -24.312428, 150.418686 -24.317526, 150.415695 -24.322281, 150.413605 -24.325594, 150.408585 -24.33354, 150.407715 -24.334913, 150.404449 -24.341463, 150.403885 -24.349493, 150.406372 -24.357582, 150.407822 -24.361214, 150.409698 -24.365515, 150.412872 -24.37359, 150.414383 -24.381523, 150.415421 -24.389486, 150.415176 -24.397539, 150.415451 -24.405523, 150.414886 -24.413493, 150.412704 -24.421516, 150.411423 -24.429569, 150.409317 -24.437565, 150.407761 -24.443487, 150.407532 -24.445526, 150.407791 -24.449581, 150.410294 -24.453487, 150.412766 -24.461571, 150.414139 -24.469543, 150.414917 -24.477526, 150.414734 -24.485548, 150.415482 -24.493568, 150.415787 -24.496582, 150.416794 -24.50148, 150.418427 -24.509468, 150.419342 -24.517464, 150.420273 -24.525488, 150.421112 -24.53352, 150.420547 -24.541571, 150.421066 -24.54953, 150.423828 -24.55513, 150.425049 -24.557606, 150.427795 -24.565611, 150.430359 -24.573488, 150.431824 -24.577711, 150.433105 -24.58148, 150.435104 -24.589489, 150.439423 -24.597546, 150.439835 -24.598261, 150.443634 -24.605492, 150.446564 -24.61347, 150.4478 -24.61684, 150.449402 -24.621561, 150.453644 -24.629471, 150.455795 -24.633602, 150.457581 -24.637512, 150.461227 -24.645494, 150.463791 -24.651114, 150.464874 -24.653481, 150.468567 -24.661583, 150.471542 -24.66954, 150.471786 -24.67033, 150.474091 -24.677498, 150.474777 -24.685495, 150.477005 -24.693552, 150.479782 -24.700272, 150.48024 -24.701509, 150.480026 -24.709578, 150.480042 -24.717524, 150.48143 -24.725475, 150.480453 -24.733582, 150.480072 -24.74161, 150.479767 -24.748215, 150.479736 -24.749512, 150.479782 -24.752205, 150.481216 -24.757486, 150.48291 -24.765495, 150.483231 -24.773487, 150.48201 -24.781487, 150.480438 -24.789574, 150.479767 -24.791906, 150.478928 -24.79752, 150.478561 -24.805471, 150.479858 -24.807125, 150.482346 -24.81349, 150.48082 -24.82155, 150.479736 -24.826332, 150.479065 -24.829493, 150.478638 -24.837503, 150.477768 -24.845537, 150.478516 -24.853525, 150.477081 -24.861599, 150.475662 -24.869476, 150.474915 -24.87756, 150.475922 -24.885592, 150.472961 -24.893505, 150.47171 -24.894644, 150.46373 -24.900595, 150.457443 -24.90147, 150.45575 -24.902241, 150.452271 -24.909576, 150.450302 -24.913431, 150.450394 -24.913462), (150.450241 -24.913868, 150.450165 -24.913841, 150.44989 -24.916113, 150.447741 -24.92152, 150.446869 -24.924089, 150.447769 -24.92758, 150.448944 -24.932108, 150.451035 -24.940084, 150.451904 -24.948044, 150.451126 -24.95607, 150.448349 -24.964128, 150.447723 -24.965466, 150.44519 -24.97208, 150.444351 -24.980059, 150.447769 -24.987688, 150.447983 -24.988043, 150.452927 -24.99614, 150.45578 -25.000114, 150.458389 -25.004145, 150.457901 -25.012177, 150.45575 -25.019133, 150.45546 -25.020065, 150.453522 -25.028095, 150.455765 -25.033524, 150.456833 -25.036085, 150.459518 -25.044069, 150.462204 -25.052094, 150.463791 -25.05686, 150.463699 -25.059084, 150.463043 -25.060038, 150.457458 -25.068048, 150.458054 -25.076099, 150.457275 -25.084074, 150.45575 -25.091507, 150.455627 -25.092148, 150.453979 -25.100161, 150.449142 -25.108107, 150.447708 -25.110281, 150.445694 -25.116077, 150.444046 -25.124125, 150.442947 -25.132092, 150.44104 -25.14007, 150.439758 -25.14155, 150.439148 -25.148071, 150.435928 -25.156122, 150.432739 -25.164101, 150.43309 -25.17206, 150.432785 -25.180111, 150.431747 -25.18651, 150.43129 -25.18807, 150.431793 -25.193558, 150.433456 -25.196037, 150.434265 -25.204124, 150.433105 -25.212147, 150.431686 -25.219801, 150.431534 -25.220095, 150.428711 -25.228062, 150.426041 -25.236063, 150.423706 -25.242393, 150.423096 -25.244068, 150.418991 -25.252062, 150.416473 -25.26013, 150.415741 -25.263435, 150.411133 -25.268072, 150.40773 -25.275707, 150.407578 -25.276043, 150.406448 -25.284033, 150.407104 -25.29208, 150.40564 -25.300156, 150.404816 -25.308052, 150.399719 -25.313326, 150.398087 -25.316092, 150.395203 -25.324118, 150.393829 -25.33215, 150.391708 -25.33602, 150.390137 -25.340126, 150.387787 -25.348085, 150.384659 -25.356087, 150.383759 -25.358189, 150.381424 -25.364164, 150.377686 -25.372091, 150.375732 -25.376196, 150.375107 -25.380148, 150.372955 -25.388039, 150.373749 -25.396097, 150.375763 -25.402054, 150.376434 -25.404058, 150.380676 -25.412048, 150.381393 -25.420183, 150.37999 -25.428144, 150.378601 -25.436037, 150.375748 -25.442329, 150.374557 -25.444118, 150.367813 -25.452139, 150.367722 -25.452278, 150.367172 -25.460169, 150.367249 -25.468052, 150.366867 -25.47604, 150.367783 -25.478239, 150.370285 -25.484133, 150.373611 -25.492041, 150.375854 -25.496307, 150.380157 -25.500044, 150.383774 -25.502708, 150.391785 -25.504827, 150.394775 -25.508148, 150.393158 -25.5161, 150.391693 -25.51791, 150.390366 -25.524178, 150.390305 -25.532085, 150.391418 -25.540171, 150.389145 -25.548141, 150.38829 -25.556112, 150.383759 -25.560356, 150.375992 -25.564156, 150.375717 -25.564487, 150.372833 -25.572067, 150.369995 -25.580057, 150.367691 -25.584431, 150.365784 -25.588047, 150.359909 -25.596052, 150.359726 -25.596338, 150.354446 -25.604103, 150.351669 -25.607662, 150.348206 -25.612127, 150.343735 -25.61788, 150.342331 -25.620106, 150.337341 -25.628098, 150.335693 -25.630756, 150.332367 -25.636065, 150.327744 -25.643473, 150.327316 -25.644171, 150.322388 -25.652054, 150.319702 -25.655235, 150.312057 -25.660141, 150.311752 -25.660543, 150.306595 -25.668171, 150.303757 -25.67556, 150.303665 -25.676039, 150.302185 -25.684166, 150.300995 -25.69208, 150.297882 -25.700062, 150.295731 -25.703594, 150.292938 -25.708057, 150.287659 -25.714895, 150.286469 -25.716101, 150.286804 -25.724148, 150.286041 -25.732038, 150.285812 -25.74017, 150.284317 -25.748074, 150.279678 -25.754763, 150.278748 -25.756123, 150.273209 -25.764063, 150.271713 -25.765041, 150.263702 -25.770605, 150.262405 -25.772089, 150.255814 -25.78005, 150.255707 -25.780182, 150.249207 -25.788036, 150.247986 -25.796122, 150.247757 -25.797565, 150.246765 -25.804129, 150.244812 -25.812088, 150.243927 -25.820148, 150.243164 -25.828157, 150.241592 -25.836163, 150.239716 -25.843512, 150.239563 -25.844076, 150.239151 -25.852142, 150.2379 -25.860062, 150.232941 -25.868145, 150.23172 -25.869921, 150.227524 -25.876062, 150.223709 -25.881641, 150.222061 -25.884031, 150.216537 -25.892096, 150.215714 -25.893316, 150.211685 -25.900126, 150.207611 -25.901424, 150.201691 -25.908098, 150.201218 -25.916111, 150.201187 -25.924061, 150.199753 -25.929024, 150.199509 -25.932074, 150.198868 -25.940165, 150.198227 -25.948048, 150.196701 -25.956171, 150.193634 -25.964109, 150.192123 -25.972065, 150.191757 -25.973639, 150.190186 -25.980076, 150.189468 -25.988108, 150.189835 -25.996107, 150.189102 -26.004162, 150.188446 -26.012119, 150.187912 -26.020117, 150.188049 -26.028179, 150.190247 -26.036121, 150.191849 -26.041384, 150.193497 -26.044048, 150.195084 -26.05209, 150.199692 -26.060104, 150.199768 -26.060167, 150.207794 -26.066973, 150.209534 -26.068083, 150.215927 -26.071373, 150.22197 -26.076033, 150.223816 -26.081053, 150.224945 -26.084095, 150.22789 -26.092066, 150.230865 -26.100115, 150.231766 -26.102537, 150.234238 -26.108042, 150.237946 -26.116051, 150.239761 -26.121124, 150.240875 -26.124107, 150.24231 -26.132076, 150.241043 -26.140038, 150.239746 -26.148142, 150.23848 -26.156065, 150.239761 -26.161972, 150.240768 -26.164173, 150.24437 -26.172056, 150.247772 -26.179523, 150.248032 -26.18012, 150.251694 -26.188131, 150.255356 -26.196165, 150.255829 -26.197199, 150.258957 -26.204065, 150.262268 -26.212166, 150.263809 -26.215946, 150.265533 -26.220127, 150.268799 -26.228136, 150.271815 -26.235496, 150.272034 -26.23605, 150.271637 -26.239479, 150.263672 -26.243462, 150.262451 -26.244076, 150.255646 -26.247478, 150.247665 -26.251459, 150.246414 -26.252085, 150.239735 -26.255424, 150.23175 -26.259417, 150.230916 -26.260088, 150.223679 -26.265879, 150.220917 -26.268095, 150.215698 -26.272272, 150.210876 -26.276127, 150.207733 -26.278635, 150.200943 -26.284077, 150.199738 -26.285042, 150.194916 -26.292101, 150.193649 -26.300091, 150.192368 -26.308161, 150.191757 -26.312031, 150.191772 -26.315729, 150.191895 -26.31604, 150.194931 -26.319901, 150.195023 -26.319872), (149.427872 -26.362219, 149.427719 -26.362202, 149.431467 -26.363205, 149.439545 -26.364058, 149.447433 -26.366148, 149.455475 -26.367058, 149.463486 -26.367916, 149.464371 -26.368011, 149.471466 -26.368771, 149.479568 -26.369638, 149.487579 -26.371584, 149.495239 -26.376059, 149.495438 -26.376318, 149.503494 -26.38102, 149.51149 -26.381859, 149.519485 -26.3827, 149.527588 -26.383551, 149.53186 -26.384003, 149.535583 -26.384392, 149.543442 -26.385218, 149.551483 -26.386061, 149.559464 -26.387016, 149.567505 -26.388676, 149.575439 -26.389709, 149.583603 -26.39077, 149.591461 -26.391857, 149.592377 -26.392021, 149.599472 -26.393112, 149.607452 -26.394152, 149.615448 -26.395191, 149.62355 -26.396242, 149.631531 -26.39728, 149.639481 -26.398312, 149.647461 -26.398409, 149.655457 -26.398769, 149.663544 -26.399982, 149.663712 -26.400026, 149.671494 -26.402817, 149.679459 -26.40513, 149.687515 -26.407473, 149.689423 -26.408024, 149.695435 -26.410858, 149.70343 -26.411873, 149.711456 -26.414204, 149.719467 -26.415083, 149.726639 -26.416014, 149.727524 -26.416128, 149.735474 -26.417158, 149.743515 -26.418201, 149.751495 -26.419235, 149.758026 -26.415855, 149.759476 -26.411594, 149.767441 -26.41238, 149.775452 -26.41399, 149.783508 -26.414038, 149.791595 -26.415085, 149.798737 -26.416008, 149.799515 -26.416107, 149.807526 -26.417141, 149.815567 -26.41818, 149.823471 -26.419203, 149.831543 -26.417599, 149.833923 -26.415918, 149.839462 -26.413733, 149.847458 -26.411423, 149.851608 -26.407909, 149.850815 -26.399912, 149.848297 -26.391924, 149.849213 -26.383909, 149.85231 -26.375938, 149.855453 -26.369459, 149.863495 -26.368862, 149.871582 -26.373344, 149.87944 -26.371815, 149.887558 -26.372112, 149.895569 -26.374102, 149.903473 -26.372822, 149.91156 -26.369812, 149.916443 -26.367998, 149.919571 -26.366829, 149.92746 -26.365971, 149.935471 -26.367493, 149.938248 -26.368021, 149.943436 -26.369007, 149.951492 -26.369604, 149.956406 -26.367992, 149.959503 -26.367441, 149.967484 -26.364, 149.975571 -26.363064, 149.983444 -26.361929, 149.990387 -26.359997, 149.99144 -26.359663, 149.999512 -26.358936, 150.007431 -26.358761, 150.015472 -26.359564, 150.018433 -26.360004, 150.023499 -26.362965, 150.031433 -26.366287, 150.034286 -26.368004, 150.039612 -26.369249, 150.041672 -26.367994, 150.04744 -26.366564, 150.055588 -26.365353, 150.063477 -26.360952, 150.069366 -26.359976, 150.071564 -26.359304, 150.079498 -26.358131, 150.083603 -26.351892, 150.087479 -26.345732, 150.088608 -26.343916, 150.093613 -26.335968, 150.095474 -26.333897, 150.098618 -26.327959, 150.1035 -26.321743, 150.105526 -26.319975, 150.111542 -26.31806, 150.119537 -26.318624, 150.127472 -26.318256, 150.135483 -26.318512, 150.143539 -26.318769, 150.151459 -26.317316, 150.159592 -26.316555, 150.167557 -26.315868, 150.175583 -26.315559, 150.183518 -26.315376, 150.191452 -26.31543, 150.19426 -26.320066, 150.195114 -26.32037, 150.195206 -26.320341), (150.195267 -26.320469, 150.19516 -26.320498, 150.195053 -26.322346, 150.197006 -26.328836, 150.197556 -26.330381, 150.197739 -26.33839, 150.196945 -26.340714, 150.195023 -26.346411, 150.194687 -26.354393, 150.194962 -26.362455, 150.19371 -26.370432, 150.192444 -26.378359, 150.191162 -26.386366, 150.189896 -26.394341, 150.188965 -26.400246, 150.188629 -26.402407, 150.187347 -26.410479, 150.186081 -26.418396, 150.185974 -26.426363, 150.187759 -26.434389, 150.18898 -26.437168, 150.19133 -26.442398, 150.195328 -26.450373, 150.197006 -26.453701, 150.199356 -26.45841, 150.203354 -26.466356, 150.204666 -26.474442, 150.204971 -26.477827, 150.205627 -26.482347, 150.210587 -26.490383, 150.212997 -26.494307, 150.21553 -26.498392, 150.217102 -26.506365, 150.219055 -26.514357, 150.220978 -26.520418, 150.222443 -26.522455, 150.226044 -26.530409, 150.228424 -26.538464, 150.228363 -26.546356, 150.229004 -26.552715, 150.230774 -26.554438, 150.236969 -26.560507, 150.238892 -26.562386, 150.242493 -26.570368, 150.24498 -26.576319, 150.24585 -26.578407, 150.249207 -26.586437, 150.250793 -26.594391, 150.249695 -26.602364, 150.248444 -26.610388, 150.247208 -26.618343, 150.244965 -26.625954, 150.244736 -26.62639, 150.239594 -26.634441, 150.238373 -26.64246, 150.237198 -26.650362, 150.236954 -26.651979, 150.235962 -26.658361, 150.234695 -26.666349, 150.228897 -26.672056, 150.229019 -26.674122, 150.229189 -26.674386, 150.232193 -26.682343, 150.230927 -26.690443, 150.231796 -26.69845, 150.230591 -26.706383, 150.228836 -26.714333, 150.22876 -26.714373, 150.220886 -26.71875, 150.21875 -26.722408, 150.217499 -26.730404, 150.216248 -26.738346, 150.214981 -26.746387, 150.213745 -26.754349, 150.212967 -26.759295, 150.212463 -26.762466, 150.211227 -26.770452, 150.209976 -26.778376, 150.208786 -26.786386, 150.206726 -26.794439, 150.204941 -26.797714, 150.204697 -26.798183, 150.204681 -26.798334), (150.202011 -26.798294, 150.202103 -26.798306, 150.204636 -26.798248, 150.204651 -26.79825), (150.222504 -26.933071, 150.222366 -26.933016, 150.216019 -26.929068, 150.214951 -26.927778, 150.215012 -26.926165, 150.215958 -26.920988, 150.214951 -26.914312, 150.215012 -26.913197, 150.215027 -26.913033, 150.216278 -26.905006, 150.217529 -26.897024, 150.218781 -26.888975, 150.220016 -26.88105, 150.221283 -26.872965, 150.223022 -26.865505, 150.223206 -26.865067, 150.224792 -26.85701, 150.226212 -26.848984, 150.224167 -26.840952, 150.222977 -26.839424, 150.218018 -26.833008, 150.214935 -26.829039, 150.211792 -26.824951, 150.206955 -26.818726, 150.205627 -26.817009, 150.203934 -26.809002, 150.205048 -26.801062, 150.204941 -26.798241, 150.204926 -26.798367))</t>
  </si>
  <si>
    <t>P1131</t>
  </si>
  <si>
    <t>https://www.gem.wiki/Arrow_Bowen_Pipeline</t>
  </si>
  <si>
    <t>Arrow Bowen Pipeline</t>
  </si>
  <si>
    <t>ABP; Moranbah to Gladstone Gas Pipeline</t>
  </si>
  <si>
    <t>PetroChina 中国石油天然气股份有限公司 [50.00%]; Shell [50.00%]</t>
  </si>
  <si>
    <t>LINESTRING (148.002757 -21.978652, 150.517746 -23.515244, 151.147903 -23.821651, 151.287354 -23.863356)</t>
  </si>
  <si>
    <t>P1135</t>
  </si>
  <si>
    <t>https://www.gem.wiki/Berwyndale_to_Wallumbilla_Pipeline</t>
  </si>
  <si>
    <t>Berwyndale to Wallumbilla Pipeline</t>
  </si>
  <si>
    <t>BWP</t>
  </si>
  <si>
    <t>Bowen-Surat Basin</t>
  </si>
  <si>
    <t>LINESTRING (149.185586 -26.695289, 149.185614 -26.695292, 149.187199 -26.694303, 149.187234 -26.694038, 149.18403 -26.694403, 149.184731 -26.694479, 149.185583 -26.695203, 149.188096 -26.696524, 149.196085 -26.696731, 149.204163 -26.696981, 149.212037 -26.69772, 149.220061 -26.699038, 149.228137 -26.700359, 149.236131 -26.701701, 149.244129 -26.703045, 149.244809 -26.703158, 149.252056 -26.704474, 149.26018 -26.706065, 149.268143 -26.706129, 149.276052 -26.703172, 149.276148 -26.703152, 149.284172 -26.701156, 149.292152 -26.696663, 149.295502 -26.695148, 149.300112 -26.693523, 149.308133 -26.690019, 149.312977 -26.687153, 149.31613 -26.685285, 149.324036 -26.680601, 149.332145 -26.68, 149.340126 -26.680724, 149.348155 -26.680592, 149.356163 -26.679447, 149.358366 -26.679133, 149.364172 -26.678207, 149.37206 -26.679087, 149.372767 -26.679178, 149.373729 -26.67908, 149.380161 -26.675314, 149.388109 -26.671122, 149.396063 -26.667136, 149.403098 -26.663114, 149.404054 -26.66251, 149.412054 -26.656276, 149.413525 -26.655123, 149.420095 -26.651128, 149.428034 -26.652225, 149.436137 -26.653375, 149.44404 -26.65476, 149.445697 -26.655172, 149.452098 -26.655686, 149.460104 -26.65681, 149.468055 -26.657931, 149.476109 -26.658986, 149.484105 -26.660001, 149.492143 -26.661016, 149.500078 -26.66202, 149.508089 -26.663175, 149.516046 -26.66551, 149.524121 -26.669066, 149.532079 -26.671011, 149.539509 -26.671172, 149.5402 -26.67127, 149.548126 -26.672336, 149.549656 -26.671083, 149.556056 -26.670483, 149.561239 -26.671161, 149.564097 -26.671537, 149.572163 -26.672588, 149.58006 -26.673621, 149.588082 -26.674669, 149.596119 -26.675716, 149.604133 -26.676733, 149.612204 -26.677749, 149.620045 -26.67889, 149.622421 -26.679167, 149.628045 -26.679908, 149.636056 -26.680958, 149.64416 -26.68202, 149.652137 -26.683057, 149.66003 -26.683852, 149.668154 -26.685096, 149.676081 -26.685235, 149.684132 -26.686102, 149.692178 -26.687147, 149.692356 -26.68717, 149.700037 -26.687311, 149.701445 -26.687154, 149.708113 -26.686413, 149.716196 -26.686938, 149.717968 -26.687168, 149.724094 -26.687963, 149.732031 -26.688991, 149.740199 -26.690049, 149.748145 -26.69108, 149.756186 -26.692119, 149.764049 -26.691343, 149.772165 -26.689081, 149.780103 -26.688092, 149.788175 -26.687719, 149.796065 -26.687354, 149.800479 -26.687152, 149.804041 -26.685774, 149.812124 -26.68249, 149.820117 -26.681082, 149.828177 -26.679734, 149.831596 -26.679153, 149.836178 -26.678374, 149.844038 -26.677037, 149.852056 -26.675671, 149.860079 -26.674305, 149.868094 -26.673367, 149.876178 -26.673237, 149.884169 -26.673108, 149.892131 -26.672862, 149.900048 -26.672487, 149.908088 -26.672105, 149.915887 -26.671145, 149.916059 -26.671114, 149.924095 -26.665979, 149.932115 -26.666246, 149.940134 -26.666145, 149.948169 -26.66536, 149.956109 -26.664555, 149.964079 -26.663746, 149.969894 -26.663156, 149.972139 -26.662935, 149.980098 -26.662701, 149.986737 -26.663163, 149.988161 -26.663284, 149.9962 -26.664354, 150.004194 -26.665647, 150.01204 -26.666446, 150.02013 -26.666287, 150.028083 -26.666968, 150.036199 -26.668037, 150.044191 -26.669457, 150.052191 -26.670808, 150.055 -26.671162, 150.060202 -26.671776, 150.068197 -26.672786, 150.076113 -26.673791, 150.084155 -26.674813, 150.09213 -26.675879, 150.100104 -26.67689, 150.108176 -26.677847, 150.116091 -26.679119, 150.116437 -26.679162, 150.118538 -26.679154, 150.118639 -26.679166, 150.12406 -26.679856, 150.132143 -26.680879, 150.140198 -26.681896, 150.148098 -26.682077, 150.156085 -26.680545, 150.164126 -26.682919, 150.172076 -26.684958, 150.180055 -26.683227, 150.188038 -26.682914, 150.196181 -26.683939, 150.204177 -26.684948, 150.212048 -26.684973, 150.220056 -26.683591, 150.228169 -26.682469, 150.236146 -26.681363, 150.244118 -26.680078, 150.249508 -26.679149, 150.252113 -26.678976, 150.25333 -26.679182, 150.260183 -26.680353, 150.26696 -26.681543, 150.267303 -26.681603)</t>
  </si>
  <si>
    <t>P1136</t>
  </si>
  <si>
    <t>https://www.gem.wiki/Bonaparte_Gas_Pipeline</t>
  </si>
  <si>
    <t>Bonaparte Gas Pipeline</t>
  </si>
  <si>
    <t>Marubeni [49.90%]; Osaka Gas [30.20%]; APA Group [19.90%]</t>
  </si>
  <si>
    <t>Ban Ban Springs</t>
  </si>
  <si>
    <t>LINESTRING (129.441386 -14.240785, 129.442203 -14.241241, 129.504997 -14.281944, 129.505823 -14.282385, 129.506713 -14.282684, 129.507639 -14.282832, 129.508577 -14.282826, 129.509501 -14.282667, 129.510386 -14.282358, 129.511204 -14.281909, 129.527922 -14.269793, 129.528645 -14.269106, 129.52925 -14.268382, 129.529788 -14.267581, 129.530223 -14.26675, 129.530607 -14.265762, 129.532419 -14.260604, 129.53288 -14.259821, 129.533744 -14.25951, 129.535576 -14.25767, 129.536011 -14.257161, 129.538375 -14.25486, 129.54021 -14.253239, 129.541033 -14.252819, 129.542084 -14.252684, 129.543007 -14.25269, 129.543911 -14.252811, 129.547883 -14.253734, 129.548701 -14.254146, 129.549571 -14.254662, 129.551089 -14.255128, 129.553215 -14.255578, 129.555341 -14.255971, 129.556248 -14.256098, 129.565001 -14.256251, 129.565929 -14.2563, 129.56863 -14.25897, 129.569327 -14.260006, 129.571492 -14.263866, 129.575223 -14.265503, 129.577961 -14.264601, 129.579855 -14.263212, 129.580571 -14.262466, 129.581819 -14.260938, 129.582541 -14.260247, 129.584213 -14.258928, 129.585017 -14.258471, 129.587999 -14.257775, 129.588977 -14.257795, 129.590794 -14.258269, 129.59165 -14.258578, 129.59477 -14.259922, 129.606332 -14.260693, 129.607168 -14.261046, 129.617101 -14.266355, 129.619343 -14.267383, 129.620817 -14.26793, 129.628956 -14.270593, 129.633156 -14.271707, 129.63732 -14.273252, 129.660568 -14.280909, 129.661409 -14.281245, 129.662256 -14.281797, 129.6655 -14.282833, 129.666419 -14.283171, 129.667316 -14.283834, 129.667998 -14.284459, 129.669783 -14.286964, 129.670152 -14.287802, 129.67824 -14.311521, 129.67875 -14.312558, 129.679909 -14.314562, 129.680535 -14.31532, 129.681284 -14.316057, 129.682732 -14.317007, 129.688563 -14.318798, 129.689412 -14.319509, 129.713057 -14.340834, 129.714081 -14.341089, 129.721528 -14.342364, 129.813075 -14.361677, 129.813975 -14.361603, 129.849205 -14.369475, 129.867795 -14.373248, 129.868706 -14.373547, 129.874474 -14.377333, 129.875404 -14.377595, 129.888027 -14.380039, 129.889037 -14.3801, 129.897391 -14.379317, 129.924235 -14.382005, 129.925142 -14.381841, 129.957199 -14.357996, 129.960249 -14.355151, 129.960955 -14.354543, 129.961867 -14.354285, 129.962679 -14.353714, 129.963155 -14.352834, 129.966555 -14.350579, 129.975793 -14.343824, 129.977084 -14.342404, 130.004742 -14.322184, 130.018314 -14.311505, 130.024455 -14.307533, 130.025202 -14.307011, 130.037444 -14.297036, 130.053005 -14.27936, 130.058509 -14.2767, 130.059168 -14.275926, 130.061092 -14.272612, 130.061437 -14.271773, 130.063338 -14.262114, 130.059947 -14.253631, 130.058272 -14.250812, 130.056987 -14.249337, 130.05475 -14.247318, 130.05388 -14.24694, 130.052921 -14.246616, 130.052239 -14.24599, 130.051799 -14.244988, 130.05062 -14.241061, 130.048668 -14.233786, 130.048787 -14.232813, 130.049355 -14.229781, 130.050326 -14.22908, 130.077816 -14.215168, 130.078611 -14.214646, 130.082923 -14.211439, 130.08331 -14.210615, 130.084078 -14.209879, 130.086261 -14.208088, 130.087252 -14.208193, 130.0881 -14.208525, 130.088795 -14.207946, 130.089193 -14.207091, 130.091098 -14.190121, 130.091719 -14.189348, 130.11509 -14.176851, 130.115922 -14.176158, 130.119172 -14.172132, 130.120195 -14.171494, 130.121226 -14.171362, 130.127009 -14.167575, 130.127793 -14.167119, 130.156632 -14.173137, 130.157604 -14.173175, 130.165792 -14.172279, 130.16782 -14.171949, 130.168742 -14.171753, 130.169674 -14.1715, 130.170575 -14.171133, 130.171285 -14.170546, 130.172611 -14.169116, 130.174255 -14.168002, 130.177325 -14.165396, 130.178147 -14.164863, 130.178838 -14.164256, 130.180524 -14.16304, 130.185134 -14.161231, 130.185967 -14.160857, 130.186715 -14.160273, 130.192143 -14.158203, 130.194125 -14.158354, 130.199858 -14.15461, 130.201283 -14.152007, 130.201836 -14.151203, 130.206283 -14.147243, 130.207118 -14.146382, 130.208533 -14.144259, 130.209161 -14.143474, 130.248603 -14.108477, 130.265395 -14.092265, 130.266348 -14.091529, 130.281194 -14.081012, 130.281667 -14.0802, 130.282491 -14.079431, 130.295941 -14.06998, 130.301845 -14.065237, 130.310057 -14.05754, 130.32984 -14.039188, 130.330409 -14.038412, 130.331208 -14.037608, 130.332692 -14.036315, 130.333409 -14.035764, 130.337479 -14.033528, 130.338427 -14.033459, 130.33925 -14.033887, 130.340162 -14.033595, 130.343965 -14.031426, 130.34507 -14.030947, 130.36751 -14.022174, 130.405366 -14.009675, 130.40631 -14.009449, 130.411372 -14.009325, 130.421369 -14.008414, 130.422412 -14.007991, 130.423146 -14.007461, 130.436192 -14.003854, 130.437099 -14.003745, 130.438027 -14.003744, 130.438913 -14.003569, 130.442754 -14.002569, 130.443655 -14.002491, 130.447718 -14.002429, 130.448616 -14.002353, 130.449309 -14.001694, 130.463602 -13.994226, 130.464432 -13.993842, 130.465426 -13.99379, 130.466555 -13.993447, 130.468968 -13.992672, 130.469899 -13.992287, 130.47072 -13.991646, 130.473732 -13.988971, 130.474284 -13.98781, 130.481605 -13.9665, 130.481501 -13.965571, 130.481777 -13.964475, 130.486551 -13.950485, 130.487506 -13.948748, 130.488051 -13.948002, 130.495496 -13.939992, 130.496293 -13.93954, 130.497227 -13.939368, 130.515993 -13.925666, 130.516906 -13.925455, 130.51807 -13.924861, 130.52647 -13.920034, 130.527339 -13.91969, 130.528254 -13.919551, 130.560801 -13.89804, 130.561678 -13.897539, 130.568659 -13.892045, 130.569621 -13.891327, 130.587893 -13.878381, 130.590191 -13.876451, 130.590832 -13.875817, 130.591431 -13.875022, 130.596341 -13.873196, 130.597231 -13.87272, 130.599584 -13.870908, 130.600497 -13.870712, 130.601447 -13.870817, 130.602142 -13.870188, 130.603161 -13.86993, 130.604049 -13.869386, 130.60648 -13.867355, 130.607448 -13.866672, 130.625527 -13.854587, 130.635982 -13.847534, 130.640857 -13.843835, 130.641435 -13.843119, 130.641894 -13.842324, 130.642626 -13.841745, 130.653352 -13.83398, 130.65424 -13.83361, 130.655746 -13.833347, 130.656709 -13.83359, 130.657669 -13.833923, 130.658765 -13.8342, 130.661829 -13.834189, 130.662623 -13.834772, 130.66323 -13.835439, 130.668451 -13.836536, 130.669378 -13.837006, 130.671156 -13.837971, 130.67515 -13.841631, 130.675726 -13.842378, 130.677189 -13.843456, 130.677938 -13.844323, 130.679553 -13.847968, 130.680162 -13.849003, 130.682371 -13.852285, 130.682964 -13.852979, 130.683834 -13.8535, 130.685653 -13.853941, 130.686437 -13.854401, 130.687165 -13.855032, 130.693086 -13.856299, 130.693988 -13.856555, 130.694892 -13.856705, 130.695837 -13.856721, 130.696758 -13.856187, 130.701867 -13.852426, 130.706939 -13.84938, 130.708877 -13.848649, 130.710797 -13.847987, 130.711547 -13.847474, 130.712207 -13.846715, 130.713038 -13.846218, 130.714025 -13.846098, 130.714865 -13.846476, 130.715658 -13.846993, 130.716551 -13.847168, 130.7174 -13.846568, 130.717906 -13.845693, 130.718501 -13.845009, 130.720395 -13.844519, 130.72125 -13.844814, 130.726524 -13.845444, 130.72985 -13.847367, 130.730844 -13.847143, 130.742779 -13.842735, 130.761055 -13.83968, 130.761965 -13.839464, 130.767152 -13.838168, 130.791636 -13.831125, 130.79268 -13.830888, 130.804654 -13.829004, 130.834491 -13.825193, 130.845428 -13.82173, 130.84636 -13.821471, 130.849087 -13.821007, 130.861007 -13.817599, 130.867898 -13.814768, 130.868805 -13.814325, 130.869523 -13.813752, 130.890301 -13.803038, 130.898744 -13.799264, 130.901704 -13.797858, 130.902645 -13.797608, 130.903569 -13.797271, 130.917311 -13.790413, 130.930143 -13.784953, 130.930748 -13.784249, 130.931577 -13.78384, 130.971373 -13.765025, 130.972647 -13.764987, 130.996638 -13.765067, 131.070325 -13.769253, 131.070986 -13.768483, 131.082932 -13.753605, 131.084647 -13.752386, 131.086286 -13.75132, 131.110344 -13.739921, 131.111321 -13.739495, 131.1242 -13.735158, 131.139623 -13.728697, 131.140479 -13.728207, 131.184861 -13.689051, 131.191097 -13.682668, 131.225075 -13.653314, 131.225767 -13.652673, 131.227754 -13.650455, 131.231604 -13.647492, 131.232518 -13.647057, 131.244988 -13.6439, 131.245916 -13.643589, 131.249434 -13.641763, 131.250313 -13.641532, 131.251242 -13.64175, 131.253672 -13.641606, 131.254475 -13.641133, 131.254892 -13.640298, 131.255682 -13.639841, 131.258508 -13.638914, 131.259399 -13.638766, 131.260369 -13.638541, 131.266304 -13.636926, 131.27449 -13.63506, 131.277593 -13.633441, 131.278521 -13.632905, 131.287522 -13.627417, 131.288697 -13.626637, 131.291037 -13.624923, 131.291833 -13.6244, 131.302666 -13.618324, 131.30344 -13.61785, 131.315981 -13.609204, 131.316865 -13.608856, 131.317911 -13.608699, 131.318826 -13.60815, 131.32493 -13.604001, 131.334029 -13.60063, 131.334916 -13.600351, 131.338033 -13.599836, 131.339575 -13.598506, 131.340554 -13.598665, 131.341047 -13.597563, 131.342474 -13.593492, 131.343147 -13.592686, 131.347742 -13.588791, 131.34834 -13.587891, 131.3489 -13.587185, 131.350623 -13.586283, 131.351506 -13.585697, 131.364879 -13.575373, 131.371204 -13.570134, 131.372097 -13.569443, 131.382541 -13.562616, 131.385894 -13.560205, 131.386485 -13.559516, 131.388205 -13.556176, 131.388988 -13.555569, 131.390537 -13.55447, 131.391209 -13.553839, 131.392644 -13.551344, 131.393063 -13.550505, 131.394733 -13.546813, 131.394897 -13.545908, 131.394885 -13.544983, 131.394532 -13.544116, 131.394476 -13.543101, 131.394606 -13.542205, 131.39484 -13.54126, 131.396374 -13.536697, 131.396793 -13.534871, 131.398422 -13.532683, 131.399078 -13.532059, 131.400655 -13.530869, 131.40183 -13.529204, 131.40311 -13.527628, 131.40562 -13.523294, 131.405971 -13.522311, 131.406484 -13.52144, 131.407531 -13.520871, 131.409469 -13.519956, 131.411424 -13.519439, 131.412221 -13.518983, 131.413061 -13.518111, 131.413849 -13.517429, 131.416299 -13.515948, 131.417216 -13.515445, 131.418043 -13.515086, 131.430953 -13.510822, 131.438898 -13.507588, 131.439829 -13.507354, 131.440853 -13.507404, 131.45435 -13.500236, 131.455266 -13.499861, 131.460874 -13.49899, 131.461629 -13.498362, 131.465357 -13.493884, 131.466144 -13.493435, 131.472465 -13.49015, 131.473221 -13.489489, 131.480445 -13.479149, 131.481193 -13.478424, 131.484418 -13.476834, 131.48993 -13.473453, 131.490686 -13.472876, 131.490777 -13.471836, 131.491194 -13.471036, 131.49228 -13.471026, 131.498908 -13.47135, 131.501448 -13.471518, 131.503595 -13.471779, 131.508281 -13.472468, 131.509211 -13.471907, 131.509774 -13.467306, 131.50997 -13.466416, 131.510595 -13.46545, 131.511133 -13.464426, 131.516636 -13.453352, 131.517072 -13.452471, 131.517315 -13.451583, 131.516859 -13.440105, 131.51573 -13.429071, 131.516042 -13.427856, 131.518338 -13.420961, 131.528516 -13.390239, 131.528559 -13.39011)</t>
  </si>
  <si>
    <t>P1137</t>
  </si>
  <si>
    <t>https://www.gem.wiki/Riverland_Pipeline_System</t>
  </si>
  <si>
    <t>Riverland Pipeline System</t>
  </si>
  <si>
    <t>MULTILINESTRING ((139.253693 -34.549221, 139.244779 -34.560197, 139.245879 -34.611607, 139.249344 -34.628337, 139.247808 -34.649503, 139.252356 -34.6667, 139.248807 -34.731568, 139.239806 -34.769757, 139.250723 -34.796062, 139.23492 -34.896364, 139.235625 -34.940102, 139.231601 -35.000001, 139.248009 -35.103922, 139.263258 -35.1091), (140.546432 -34.281389, 140.544823 -34.28136, 140.544791 -34.282558, 140.542398 -34.282514, 140.542491 -34.283005, 140.542468 -34.283279, 140.54249 -34.285132, 140.540565 -34.285537, 140.540333 -34.293783, 140.51852 -34.293751, 140.516756 -34.293722, 140.516187 -34.294139, 140.509351 -34.294009, 140.509235 -34.29856, 140.509186 -34.298872, 140.509047 -34.299119, 140.507414 -34.300924, 140.50716 -34.301219, 140.506779 -34.301706, 140.506616 -34.302027, 140.506494 -34.302462, 140.506548 -34.303216, 140.50615 -34.303231, 140.505939 -34.303522, 140.505478 -34.303799, 140.503138 -34.305225, 140.501337 -34.306225, 140.501043 -34.306353, 140.500714 -34.306373, 140.489165 -34.30658, 140.489022 -34.306578, 140.48888 -34.306565, 140.48874 -34.306541, 140.488603 -34.306508, 140.488469 -34.306465, 140.488341 -34.306412, 140.488219 -34.30635, 140.488104 -34.306279, 140.487997 -34.306201, 140.48714 -34.305513, 140.48579 -34.306802, 140.468951 -34.369657, 140.424114 -34.389836, 140.314577 -34.428861, 140.186082 -34.458733, 140.066757 -34.468793, 139.917271 -34.476487, 139.75875 -34.577778, 139.603504 -34.577903, 139.596695 -34.567906, 139.596255 -34.561589, 139.586583 -34.559945, 139.529666 -34.554944, 139.275579 -34.557029, 139.253693 -34.549221), (139.023812 -34.502496, 139.02371 -34.506777, 139.042083 -34.526819, 139.064323 -34.53087, 139.07067 -34.539085, 139.078517 -34.543717, 139.084834 -34.543817, 139.088404 -34.540176, 139.098663 -34.539434, 139.136134 -34.54975, 139.16006 -34.551916, 139.17129 -34.546675, 139.194612 -34.55162, 139.228518 -34.545806, 139.235557 -34.542752, 139.253693 -34.549221))</t>
  </si>
  <si>
    <t>P1138</t>
  </si>
  <si>
    <t>https://www.gem.wiki/Carisbrook_to_Horsham_Pipeline</t>
  </si>
  <si>
    <t>Carisbrook to Horsham Pipeline</t>
  </si>
  <si>
    <t>GPV Pipeline</t>
  </si>
  <si>
    <t>Gas Pipelines Victoria [100.00%]</t>
  </si>
  <si>
    <t>Carisbrook</t>
  </si>
  <si>
    <t>Horsham</t>
  </si>
  <si>
    <t>MULTILINESTRING ((142.243398 -36.758499, 142.321819 -36.841229, 142.35506 -36.841198, 142.385933 -36.846458, 142.56627 -36.927168, 142.676758 -36.971438, 142.737107 -36.99699, 142.754667 -36.995751, 142.895402 -37.104868, 143.009494 -37.165219, 143.02719184 -37.16906838, 143.027346 -37.169102, 143.086034 -37.176966, 143.150661 -37.197466, 143.184668 -37.19069, 143.196898 -37.192397, 143.220572 -37.195125, 143.231392 -37.192188, 143.262576 -37.192521, 143.313054 -37.201326, 143.320959 -37.199667, 143.328907 -37.199922, 143.333371 -37.200064, 143.348827 -37.196869, 143.368546 -37.193619, 143.369137 -37.187658, 143.400016 -37.168555, 143.474822 -37.166211, 143.500415 -37.163032, 143.516866 -37.165304, 143.52497 -37.162109, 143.539662 -37.163783, 143.552655 -37.161829, 143.567008 -37.158367, 143.58599 -37.150332, 143.59482 -37.151059, 143.635975 -37.14231, 143.657348 -37.153313, 143.680912 -37.154922, 143.710747 -37.148192, 143.774757 -37.101743, 143.790411 -37.094606, 143.809241 -37.043642), (143.02719184 -37.16906838, 143.027088 -37.169173, 142.953424 -37.245371, 142.938162 -37.256899, 142.932294 -37.266977))</t>
  </si>
  <si>
    <t>P1139</t>
  </si>
  <si>
    <t>https://www.gem.wiki/Carpentaria_Gas_Pipeline</t>
  </si>
  <si>
    <t>Carpentaria Gas Pipeline</t>
  </si>
  <si>
    <t>Ballera to Mount Isa Pipeline</t>
  </si>
  <si>
    <t>Ballera Gas Processing Plant</t>
  </si>
  <si>
    <t>Mt Isa</t>
  </si>
  <si>
    <t>LINESTRING (139.48417 -20.780624, 139.494102 -20.811502, 139.49712 -20.817193, 139.503015 -20.818572, 139.502965 -20.822691, 139.50485 -20.829302, 139.505079 -20.831418, 139.506642 -20.834647, 139.507913 -20.838272, 139.50981 -20.839788, 139.51382 -20.841449, 139.515589 -20.841401, 139.520989 -20.843214, 139.521958 -20.843792, 139.533105 -20.849592, 139.542326 -20.854052, 139.564635 -20.861729, 139.569192 -20.868642, 139.570501 -20.870385, 139.570489 -20.870386, 139.571892 -20.872334, 139.573325 -20.876243, 139.573945 -20.878637, 139.573699 -20.881759, 139.570269 -20.894983, 139.57194 -20.90891, 139.572485 -20.911158, 139.572809 -20.916143, 139.577842 -20.947135, 139.577005 -20.948239, 139.579284 -20.961518, 139.580601 -20.969184, 139.582375 -20.977718, 139.581376 -20.980121, 139.582623 -20.986713, 139.585276 -20.99736, 139.586653 -21.002868, 139.586933 -21.003995, 139.587654 -21.009222, 139.588965 -21.010968, 139.590962 -21.011346, 139.59253 -21.014403, 139.598659 -21.031852, 139.598785 -21.033841, 139.601285 -21.039227, 139.600308 -21.0408, 139.609218 -21.053204, 139.616278 -21.057824, 139.62149 -21.061353, 139.62238 -21.062355, 139.624036 -21.063475, 139.626291 -21.063285, 139.630652 -21.06346, 139.632571 -21.064044, 139.634836 -21.066881, 139.63924 -21.073673, 139.643329 -21.076931, 139.65152 -21.087611, 139.65844 -21.104848, 139.660196 -21.109863, 139.662373 -21.116081, 139.672931 -21.138097, 139.681786 -21.148248, 139.684048 -21.153903, 139.688252 -21.163005, 139.690939 -21.168546, 139.692335 -21.171614, 139.693601 -21.174063, 139.694779 -21.17698, 139.708873 -21.207926, 139.710118 -21.211367, 139.711107 -21.212831, 139.719509 -21.232828, 139.722679 -21.240371, 139.730454 -21.254062, 139.73423 -21.269512, 139.734281 -21.269719, 139.736852 -21.285737, 139.736608 -21.289566, 139.737868 -21.294327, 139.737538 -21.300205, 139.740439 -21.310525, 139.741796 -21.311872, 139.746109 -21.326223, 139.74851 -21.336377, 139.75082 -21.341498, 139.762672 -21.360027, 139.762672 -21.360028, 139.788803 -21.400861, 139.789124 -21.401468, 139.789496 -21.402049, 139.789917 -21.402601, 139.797271 -21.414088, 139.801958 -21.43443, 139.805719 -21.442975, 139.808856 -21.45111, 139.821902 -21.464203, 139.822899 -21.465641, 139.825982 -21.46795, 139.826808 -21.468628, 139.828734 -21.468945, 139.83116 -21.471241, 139.831743 -21.473187, 139.8334 -21.47513, 139.857191 -21.503003, 139.86021 -21.505947, 139.863208 -21.508345, 139.864261 -21.510087, 139.865013 -21.510995, 139.866737 -21.512313, 139.895235 -21.540099, 139.9074 -21.553152, 139.923921 -21.570315, 139.93007 -21.575964, 139.939904 -21.584998, 139.95298 -21.594801, 139.959527 -21.600525, 139.958405 -21.607428, 139.956203 -21.612672, 139.956451 -21.619901, 139.969357 -21.658258, 139.968219 -21.670185, 139.968427 -21.671895, 139.968402 -21.673969, 139.969502 -21.696678, 139.969718 -21.701135, 139.967805 -21.725746, 139.96744 -21.730435, 139.965809 -21.758448, 139.966735 -21.764199, 139.965266 -21.772031, 139.964694 -21.824748, 139.962506 -21.831513, 139.962505 -21.831513, 139.954559 -21.856067, 139.94645 -21.87448, 139.941567 -21.886889, 139.940973 -21.888782, 139.940078 -21.89067, 139.935402 -21.902549, 139.934014 -21.908249, 139.938605 -21.918396, 139.956487 -21.958222, 139.958334 -21.962335, 139.964638 -21.979809, 139.965308 -21.981737, 139.967859 -21.991184, 139.968421 -21.993178, 139.987264 -22.06297, 139.987265 -22.062973, 139.987779 -22.064967, 139.992643 -22.076746, 139.993463 -22.078669, 139.997338 -22.088057, 140.049614 -22.214502, 140.049615 -22.214502, 140.056039 -22.230026, 140.057768 -22.234203, 140.069327 -22.242635, 140.072048 -22.24359, 140.09616 -22.252073, 140.096159 -22.252075, 140.097701 -22.252443, 140.098947 -22.252638, 140.100141 -22.253476, 140.103731 -22.254734, 140.104826 -22.257803, 140.111876 -22.277345, 140.127461 -22.317502, 140.138893 -22.346921, 140.139108 -22.433507, 140.144386 -22.450381, 140.154045 -22.481255, 140.17451 -22.582835, 140.175856 -22.589514, 140.187047 -22.623771, 140.20409 -22.690395, 140.210695 -22.71404, 140.247371 -22.845197, 140.268478 -22.920567, 140.270043 -22.924087, 140.292177 -22.973851, 140.297948 -22.986821, 140.321918 -23.030203, 140.323115 -23.032755, 140.333956 -23.039797, 140.335633 -23.040475, 140.344558 -23.046684, 140.348491 -23.069246, 140.357554 -23.090509, 140.365253 -23.108566, 140.369817 -23.120495, 140.371176 -23.124448, 140.379543 -23.142068, 140.409371 -23.217236, 140.420727 -23.245832, 140.438861 -23.294108, 140.440957 -23.298675, 140.443351 -23.306054, 140.453793 -23.330961, 140.454066 -23.331952, 140.459403 -23.344585, 140.473871 -23.378819, 140.474081 -23.379342, 140.474081 -23.379342, 140.511005 -23.471425, 140.522036 -23.49891, 140.522574 -23.501097, 140.549079 -23.56624, 140.554084 -23.578691, 140.556379 -23.585669, 140.560315 -23.59419, 140.562583 -23.59826, 140.563062 -23.599121, 140.593655 -23.677841, 140.612773 -23.725458, 140.663861 -23.852526, 140.6681 -23.863056, 140.6681 -23.863057, 140.669419 -23.865517, 140.669348 -23.866585, 140.66964 -23.866947, 140.670697 -23.869508, 140.677486 -23.886371, 140.680482 -23.894597, 140.68545 -23.906768, 140.686385 -23.908671, 140.687018 -23.910609, 140.695708 -23.931889, 140.698915 -23.939741, 140.700429 -23.945661, 140.701197 -23.946968, 140.701824 -23.951202, 140.702253 -23.952879, 140.703326 -23.954478, 140.704316 -23.95666, 140.704919 -23.958214, 140.712187 -23.972897, 140.718176 -23.977241, 140.786308 -24.026616, 140.788557 -24.030279, 140.791319 -24.034921, 140.792368 -24.036645, 140.815495 -24.075497, 140.832008 -24.10322, 140.838555 -24.113696, 140.840676 -24.117341, 140.848443 -24.129869, 140.850618 -24.132995, 140.854972 -24.139959, 140.862094 -24.144153, 140.870043 -24.143735, 140.902423 -24.164699, 140.912495 -24.161182, 140.91293 -24.16103, 140.91761 -24.170805, 140.930836 -24.18109, 140.93273 -24.183287, 140.934131 -24.184866, 140.935513 -24.186516, 140.94351 -24.19579, 140.971912 -24.223572, 140.993727 -24.228578, 141.020153 -24.248934, 141.073562 -24.290041, 141.092622 -24.32035, 141.100273 -24.324573, 141.10849 -24.337354, 141.10849 -24.337354, 141.110431 -24.340374, 141.113763 -24.341778, 141.115107 -24.346724, 141.116902 -24.348387, 141.123011 -24.354045, 141.12659 -24.365844, 141.131761 -24.367883, 141.135401 -24.379007, 141.141493 -24.39469, 141.151546 -24.406485, 141.156419 -24.41515, 141.163168 -24.424093, 141.184434 -24.45473, 141.188204 -24.457735, 141.191795 -24.463436, 141.192995 -24.465342, 141.203419 -24.476166, 141.204617 -24.48488, 141.21401 -24.494874, 141.219798 -24.503347, 141.22214 -24.510207, 141.226178 -24.516126, 141.230164 -24.520446, 141.231048 -24.523471, 141.232071 -24.525255, 141.235913 -24.52787, 141.236114 -24.529514, 141.237331 -24.533176, 141.241656 -24.536749, 141.246637 -24.544228, 141.250263 -24.550535, 141.252129 -24.555454, 141.257473 -24.56081, 141.258649 -24.566109, 141.266802 -24.577355, 141.27634 -24.590508, 141.345851 -24.691942, 141.424666 -24.806709, 141.426008 -24.808662, 141.426265 -24.808994, 141.487308 -24.888002, 141.495496 -24.923306, 141.508866 -24.980903, 141.521746 -25.006687, 141.529745 -25.054393, 141.531714 -25.066128, 141.534434 -25.069261, 141.5416 -25.073227, 141.545404 -25.083571, 141.54654 -25.089229, 141.563499 -25.130725, 141.576371 -25.165723, 141.581422 -25.179065, 141.58579 -25.190601, 141.585875 -25.191643, 141.587241 -25.194434, 141.592925 -25.209438, 141.594064 -25.217097, 141.594519 -25.2187, 141.59462 -25.219414, 141.601755 -25.23467, 141.624884 -25.257276, 141.632987 -25.266769, 141.647995 -25.282191, 141.651996 -25.294821, 141.674934 -25.367124, 141.674934 -25.367125, 141.693287 -25.424974, 141.721132 -25.512572, 141.726661 -25.520175, 141.742329 -25.552341, 141.74233 -25.552341, 141.747738 -25.563439, 141.788017 -25.6789, 141.78918 -25.680846, 141.809595 -25.71499, 141.832699 -25.769128, 141.835175 -25.775389, 141.843185 -25.803723, 141.843842 -25.806326, 141.848131 -25.823288, 141.853522 -25.846186, 141.857878 -25.864685, 141.85841 -25.869224, 141.862989 -25.91558, 141.865194 -25.91815, 141.866607 -25.939465, 141.866686 -25.94066, 141.936948 -26.010821, 141.940003 -26.014295, 141.966017 -26.040449, 142.066325 -26.141131, 142.066326 -26.141131, 142.142108 -26.217031, 142.144579 -26.22, 142.166469 -26.24199, 142.237263 -26.313026, 142.2401 -26.352867, 142.244838 -26.419301, 142.244838 -26.419301, 142.244866 -26.4197, 142.236518 -26.433323, 142.235722 -26.486203, 142.235257 -26.517114, 142.225363 -26.582335, 142.218613 -26.620021, 142.218661 -26.620521, 142.223868 -26.673944, 142.202744 -26.705451, 142.185435 -26.747685, 142.164787 -26.798022, 142.147015 -26.832374, 142.133175 -26.846217, 142.11484 -26.860834, 142.113956 -26.864037, 142.109117 -26.881563, 142.104359 -26.898796, 142.095963 -26.915662, 142.086191 -26.9237, 142.081488 -26.933288, 142.073272 -26.944165, 142.066273 -26.983895, 142.065825 -26.989293, 142.060171 -27.057435, 142.05923 -27.124509, 142.059231 -27.124509, 142.05868 -27.163773, 142.057418 -27.164766, 142.056488 -27.250281, 142.046831 -27.25322, 141.976945 -27.274431, 141.973281 -27.275577, 141.968606 -27.277043, 141.965401 -27.277272, 141.960051 -27.280162, 141.958253 -27.280219, 141.904588 -27.296605, 141.903589 -27.296715, 141.903519 -27.296723, 141.900599 -27.297047, 141.896228 -27.299155, 141.892275 -27.305165, 141.890706 -27.306168, 141.890517 -27.309022, 141.889188 -27.312281, 141.884204 -27.317178, 141.872934 -27.323451, 141.866175 -27.329081, 141.861031 -27.333085, 141.833098 -27.346227, 141.830333 -27.349556, 141.829084 -27.351586, 141.827126 -27.353358, 141.815279 -27.371564, 141.814618 -27.372306, 141.813567 -27.3747, 141.813167 -27.375193, 141.81094 -27.37643, 141.809541 -27.377999, 141.803089 -27.384951, 141.807279 -27.388049, 141.807398 -27.387921)</t>
  </si>
  <si>
    <t>P1141</t>
  </si>
  <si>
    <t>https://www.gem.wiki/Cheepie_to_Barcaldine_Gas_Pipeline</t>
  </si>
  <si>
    <t>Cheepie to Barcaldine Gas Pipeline</t>
  </si>
  <si>
    <t>CBGP</t>
  </si>
  <si>
    <t>Cheepie</t>
  </si>
  <si>
    <t>Barcaldine</t>
  </si>
  <si>
    <t>MULTILINESTRING ((145.315 -23.551, 145.468 -24.394, 145.407 -24.42, 145.374 -24.466, 145.288 -24.907, 145.282 -25.016, 145.244 -25.153, 145.053 -25.333, 145.013 -25.334, 144.895 -25.376, 144.879 -25.454, 144.827 -25.565, 144.88 -25.686, 144.861 -25.885, 144.882 -26.178, 144.989 -26.56, 145.015 -26.808), (144.895 -25.376, 144.852 -25.338, 144.815 -25.358))</t>
  </si>
  <si>
    <t>P1143</t>
  </si>
  <si>
    <t>https://www.gem.wiki/Colongra_Gas_Transmission_and_Storage_Pipeline</t>
  </si>
  <si>
    <t>Colongra Gas Transmission and Storage Pipeline</t>
  </si>
  <si>
    <t>Sydney to Newcastle Pipeline</t>
  </si>
  <si>
    <t>Wyee</t>
  </si>
  <si>
    <t>Doyalson</t>
  </si>
  <si>
    <t>LINESTRING (151.485815 -33.180585, 151.543961 -33.209898)</t>
  </si>
  <si>
    <t>P1144</t>
  </si>
  <si>
    <t>https://www.gem.wiki/Comet_Ridge_to_Wallumbilla_Gas_Pipeline</t>
  </si>
  <si>
    <t>Comet Ridge to Wallumbilla Pipeline</t>
  </si>
  <si>
    <t>CRWP</t>
  </si>
  <si>
    <t>Santos Limited [30.00%]; Petronas [27.50%]; TotalEnergies SE [27.50%]; KOGAS [15.00%]</t>
  </si>
  <si>
    <t>LINESTRING (148.890693 -25.707502, 148.891017 -25.707959, 148.892276 -25.709195, 148.893164 -25.712016, 148.892742 -25.713374, 148.892761 -25.713414, 148.893979 -25.714133, 148.893995 -25.714149, 148.901516 -25.722237, 148.901785 -25.722442, 148.909345 -25.723961, 148.909693 -25.723998, 148.910149 -25.72402, 148.911931 -25.723712, 148.912342 -25.72358, 148.912991 -25.72304, 148.913296 -25.722931, 148.913611 -25.722989, 148.914205 -25.723395, 148.914437 -25.723488, 148.914694 -25.723529, 148.914964 -25.723531, 148.915611 -25.7233, 148.916175 -25.723127, 148.916379 -25.723113, 148.91784 -25.724712, 148.91789 -25.724746, 148.918369 -25.724965, 148.918447 -25.725022, 148.919514 -25.725899, 148.919509 -25.725916, 148.918528 -25.728231, 148.918246 -25.72996, 148.918257 -25.729994, 148.918513 -25.73031, 148.918551 -25.730328, 148.921757 -25.73029, 148.921794 -25.730294, 148.921829 -25.730307, 148.922547 -25.730981, 148.922578 -25.731015, 148.922599 -25.731059, 148.922822 -25.731995, 148.922843 -25.732083, 148.922873 -25.732148, 148.923585 -25.73362, 148.924446 -25.735895, 148.924515 -25.736073, 148.924682 -25.736328, 148.926563 -25.739204, 148.926597 -25.73924, 148.926727 -25.739347, 148.927631 -25.740104, 148.928521 -25.7411, 148.928932 -25.742019, 148.92902 -25.742331, 148.92905 -25.743341, 148.929073 -25.74453, 148.9291 -25.744669, 148.92947 -25.745509, 148.929483 -25.745576, 148.929464 -25.745742, 148.929418 -25.746138, 148.92943 -25.746222, 148.929475 -25.746327, 148.929634 -25.746705, 148.929711 -25.746927, 148.929795 -25.747223, 148.929845 -25.74737, 148.930242 -25.748004, 148.930253 -25.748093, 148.930225 -25.748235, 148.930043 -25.748533, 148.929767 -25.748992, 148.929355 -25.750176, 148.930919 -25.754109, 148.931065 -25.75446, 148.931782 -25.756288, 148.928716 -25.762638, 148.925532 -25.768052, 148.920808 -25.772113, 148.91967 -25.775738, 148.921104 -25.780447, 148.9211 -25.780564, 148.91908 -25.789337, 148.915555 -25.795934, 148.912488 -25.800166, 148.911835 -25.804865, 148.909312 -25.810903, 148.904708 -25.816015, 148.904691 -25.816063, 148.90441 -25.817848, 148.904386 -25.817852, 148.90041 -25.817774, 148.900309 -25.817785, 148.895828 -25.818539, 148.895739 -25.818553, 148.895304 -25.818598, 148.895173 -25.81861, 148.894948 -25.818611, 148.890939 -25.818661, 148.8909 -25.818684, 148.889271 -25.822249, 148.889219 -25.822319, 148.882122 -25.831794, 148.882092 -25.831823, 148.877104 -25.835466, 148.877068 -25.835501, 148.877045 -25.835571, 148.876166 -25.839386, 148.876156 -25.839415, 148.876131 -25.83945, 148.875238 -25.840506, 148.875161 -25.840608, 148.874592 -25.84208, 148.874576 -25.842107, 148.874508 -25.842202, 148.87368 -25.843377, 148.873599 -25.843523, 148.870501 -25.84916, 148.870444 -25.849233, 148.864214 -25.857211, 148.863584 -25.858157, 148.862233 -25.860217, 148.86145 -25.861098, 148.856795 -25.866328, 148.855441 -25.867849, 148.855334 -25.86798, 148.852942 -25.871536, 148.852854 -25.871635, 148.84531 -25.880149, 148.845125 -25.880361, 148.844748 -25.880963, 148.842264 -25.88492, 148.842062 -25.885151, 148.835659 -25.892454, 148.835615 -25.892519, 148.83432 -25.896639, 148.834144 -25.896997, 148.832899 -25.899506, 148.832852 -25.899555, 148.830819 -25.90173, 148.830412 -25.902235, 148.827407 -25.906153, 148.827218 -25.906393, 148.82614 -25.907398, 148.823386 -25.909021, 148.815635 -25.915002, 148.809456 -25.921278, 148.807822 -25.923, 148.807759 -25.936008, 148.80774 -25.936233, 148.806468 -25.950244, 148.806484 -25.950392, 148.806971 -25.953622, 148.806971 -25.95367, 148.806942 -25.953873, 148.80626 -25.958682, 148.806283 -25.958793, 148.809402 -25.966795, 148.814589 -25.980074, 148.815037 -25.981124, 148.835997 -26.015852, 148.836776 -26.017126, 148.837352 -26.017685, 148.838742 -26.018372, 148.839289 -26.018757, 148.843852 -26.02326, 148.843859 -26.023424, 148.843645 -26.02871, 148.843804 -26.029286, 148.845025 -26.03043, 148.845447 -26.030714, 148.847233 -26.031372, 148.847328 -26.031627, 148.847741 -26.032858, 148.848103 -26.033589, 148.850495 -26.03772, 148.851818 -26.039967, 148.852534 -26.040864, 148.854896 -26.043832, 148.855523 -26.052507, 148.855497 -26.05259, 148.855018 -26.054268, 148.855117 -26.054873, 148.877952 -26.087846, 148.878898 -26.089907, 148.899379 -26.134595, 148.900071 -26.136279, 148.901993 -26.141154, 148.909661 -26.1606, 148.925896 -26.188238, 148.926081 -26.18879, 148.930101 -26.200816, 148.930077 -26.201688, 148.930612 -26.203815, 148.93154 -26.207193, 148.936215 -26.219944, 148.94775 -26.25139, 148.948293 -26.252219, 148.949011 -26.254828, 148.958082 -26.279551, 148.959263 -26.282763, 148.959489 -26.283374, 148.960463 -26.28446, 148.998472 -26.323987, 149.002389 -26.331508, 149.003688 -26.332557, 149.004205 -26.332735, 149.004832 -26.334144, 149.005681 -26.335523, 149.007089 -26.337225, 149.007506 -26.337756, 149.010685 -26.357842, 149.010936 -26.358787, 149.011679 -26.360011, 149.012358 -26.361464, 149.031429 -26.403088, 149.058305 -26.451786, 149.058621 -26.45216, 149.059484 -26.452652, 149.060179 -26.454834, 149.060796 -26.456299, 149.069182 -26.471338, 149.086423 -26.491391, 149.094231 -26.504277, 149.094415 -26.504606, 149.11312 -26.520896, 149.119084 -26.534178, 149.131701 -26.580558, 149.132164 -26.581938, 149.133033 -26.583987, 149.132691 -26.586223, 149.13259 -26.587006, 149.133162 -26.58747, 149.147309 -26.599054, 149.151586 -26.607631, 149.164718 -26.629507, 149.172387 -26.653845, 149.17292 -26.661324, 149.181313 -26.683685, 149.180042 -26.693313, 149.180075 -26.693354, 149.18198 -26.693559, 149.181991 -26.693592, 149.181954 -26.693867)</t>
  </si>
  <si>
    <t>P1145</t>
  </si>
  <si>
    <t>https://www.gem.wiki/Condamine_to_Braemar_Pipeline</t>
  </si>
  <si>
    <t>Condamine to Braemar Pipeline</t>
  </si>
  <si>
    <t>Braemar 1 Pipeline</t>
  </si>
  <si>
    <t>Brookfield Infrastructure Partners [100.00%]</t>
  </si>
  <si>
    <t>Condamine</t>
  </si>
  <si>
    <t>Braemar</t>
  </si>
  <si>
    <t>LINESTRING (150.197906 -26.944333, 150.202817 -26.94527, 150.207729 -26.946207, 150.21231 -26.947082, 150.212484 -26.947369, 150.215074 -26.951646, 150.217665 -26.955922, 150.220255 -26.960199, 150.222845 -26.964476, 150.225436 -26.968752, 150.228026 -26.973029, 150.229324 -26.975171, 150.229171 -26.977513, 150.229278 -26.977617, 150.229461 -26.977793, 150.22914 -26.979632, 150.230625 -26.982099, 150.233204 -26.986382, 150.235783 -26.990666, 150.238362 -26.99495, 150.240941 -26.999233, 150.24352 -27.003517, 150.246098 -27.007801, 150.248677 -27.012084, 150.251256 -27.016368, 150.253835 -27.020652, 150.256414 -27.024935, 150.258818 -27.028929, 150.259153 -27.028973, 150.264111 -27.029623, 150.269069 -27.030273, 150.274026 -27.030923, 150.278984 -27.031573, 150.283941 -27.032222, 150.285384 -27.032412, 150.285613 -27.03277, 150.28871 -27.033145, 150.293674 -27.033746, 150.298637 -27.034346, 150.303601 -27.034947, 150.308565 -27.035548, 150.310515 -27.035784, 150.313541 -27.035545, 150.318526 -27.035151, 150.32351 -27.034757, 150.328495 -27.034363, 150.333479 -27.033969, 150.338464 -27.033575, 150.342207 -27.033279, 150.343442 -27.03344, 150.348399 -27.034087, 150.353357 -27.034735, 150.358315 -27.035382, 150.363273 -27.036029, 150.368231 -27.036676, 150.370116 -27.036922, 150.373192 -27.037298, 150.378156 -27.037904, 150.383119 -27.03851, 150.388082 -27.039116, 150.393045 -27.039722, 150.398008 -27.040328, 150.402971 -27.040935, 150.407934 -27.041541, 150.408065 -27.041557, 150.410912 -27.045506, 150.411345 -27.046108, 150.415218 -27.047878, 150.416289 -27.048368, 150.418136 -27.045021, 150.419417 -27.042701, 150.421729 -27.043121, 150.426649 -27.044014, 150.431568 -27.044906, 150.436488 -27.045799, 150.441408 -27.046692, 150.444883 -27.047323, 150.446328 -27.047581, 150.45125 -27.048461, 150.456172 -27.049341, 150.461094 -27.050221, 150.466016 -27.051102, 150.470938 -27.051982, 150.47586 -27.052862, 150.480782 -27.053742, 150.485703 -27.054622, 150.490625 -27.055502, 150.495547 -27.056383, 150.500469 -27.057263, 150.505391 -27.058143, 150.509381 -27.058856, 150.51032 -27.058976, 150.51528 -27.059606, 150.520241 -27.060236, 150.525201 -27.060865, 150.530161 -27.061495, 150.535121 -27.062125, 150.540081 -27.062755, 150.545041 -27.063385, 150.550002 -27.064015, 150.554962 -27.064645, 150.559922 -27.065275, 150.564882 -27.065905, 150.569842 -27.066535, 150.574802 -27.067165, 150.578944 -27.067691, 150.579491 -27.068308, 150.580897 -27.069896, 150.582576 -27.072235, 150.58549 -27.076298, 150.587855 -27.079595, 150.588643 -27.080113, 150.592819 -27.082863, 150.596995 -27.085613, 150.598002 -27.086276, 150.601683 -27.085356, 150.606533 -27.084144, 150.611384 -27.082931, 150.616235 -27.081718, 150.621086 -27.080506, 150.62591 -27.0793, 150.625937 -27.079303, 150.630896 -27.079938, 150.635856 -27.080573, 150.640815 -27.081207, 150.645775 -27.081842, 150.650735 -27.082477, 150.655694 -27.083112, 150.660654 -27.083747, 150.664285 -27.084211, 150.665513 -27.084745, 150.667153 -27.085459, 150.670337 -27.085877, 150.675295 -27.086528, 150.680252 -27.087179, 150.685209 -27.08783, 150.690167 -27.088482, 150.695124 -27.089133, 150.700082 -27.089784, 150.705039 -27.090435, 150.708336 -27.090868, 150.70986 -27.091562, 150.714411 -27.093634, 150.718961 -27.095706, 150.723512 -27.097778, 150.728062 -27.09985, 150.729636 -27.100567, 150.732882 -27.100969, 150.737844 -27.101583, 150.742806 -27.102197, 150.747768 -27.102811, 150.75273 -27.103426, 150.757692 -27.10404, 150.762273 -27.104607, 150.762252 -27.10499, 150.762136 -27.10706, 150.761305 -27.109867, 150.76061 -27.112213, 150.760489 -27.114763, 150.76032 -27.118305, 150.761157 -27.119494, 150.764036 -27.123582, 150.766915 -27.12767, 150.769794 -27.131758, 150.771062 -27.133558, 150.771276 -27.136286, 150.771337 -27.136294, 150.776297 -27.136926, 150.781257 -27.137558, 150.786217 -27.138191, 150.791177 -27.138823, 150.796137 -27.139456, 150.797291 -27.139603, 150.800067 -27.14225, 150.800557 -27.142718, 150.803791 -27.144198, 150.804417 -27.14464, 150.804646 -27.144802, 150.808596 -27.14222, 150.812781 -27.139485, 150.814914 -27.13809, 150.817347 -27.138394, 150.822309 -27.139014, 150.82727 -27.139633, 150.832232 -27.140253, 150.837193 -27.140872, 150.842155 -27.141492, 150.847116 -27.142111, 150.852078 -27.14273, 150.857039 -27.14335, 150.862 -27.143969, 150.865725 -27.144434, 150.865897 -27.143199, 150.866588 -27.138247, 150.866671 -27.137658, 150.871041 -27.138205, 150.876002 -27.138826, 150.880963 -27.139448, 150.885925 -27.140069, 150.890886 -27.14069, 150.891725 -27.140795, 150.892472 -27.136709, 150.893372 -27.13179, 150.894029 -27.128195, 150.894828 -27.127113, 150.895296 -27.126479, 150.895954 -27.122318, 150.896736 -27.11738, 150.896852 -27.116648, 150.901083 -27.117143, 150.906049 -27.117725, 150.906175 -27.117739, 150.906894 -27.11292, 150.907335 -27.109963)</t>
  </si>
  <si>
    <t>P1146</t>
  </si>
  <si>
    <t>https://www.gem.wiki/Coolah_to_Newcastle_Pipeline</t>
  </si>
  <si>
    <t>Coolah to Newcastle Pipeline</t>
  </si>
  <si>
    <t>Coolah</t>
  </si>
  <si>
    <t>LINESTRING (149.723731 -31.827464, 151.6831 -32.82622)</t>
  </si>
  <si>
    <t>P1147</t>
  </si>
  <si>
    <t>https://www.gem.wiki/Daly_Waters_to_McArthur_River_Gas_Pipeline</t>
  </si>
  <si>
    <t>Daly Waters to McArthur River Gas Pipeline</t>
  </si>
  <si>
    <t>Power and Water Corporation [unknown %]</t>
  </si>
  <si>
    <t>LINESTRING (133.302633 -16.212655, 133.383491 -16.207789, 133.486829 -16.238338, 133.530165 -16.246368, 133.669996 -16.285557, 133.985711 -16.361878, 134.091126 -16.385607, 134.141259 -16.411245, 134.320087 -16.475737, 134.32475 -16.476705, 134.372388 -16.492876, 134.373769 -16.497241, 134.63234 -16.487831, 134.74929 -16.572675, 134.837963 -16.627082, 134.847344 -16.624453, 134.857152 -16.628866, 134.860358 -16.633134, 134.863783 -16.635892, 134.866462 -16.637016, 134.869342 -16.639732, 134.875306 -16.648896, 134.884821 -16.660059, 134.885732 -16.660858, 134.888282 -16.662444, 134.891103 -16.664868, 134.894041 -16.67454, 134.894479 -16.681493, 134.898471 -16.6901, 134.899726 -16.69343, 134.901514 -16.695675, 134.903932 -16.697338, 134.909462 -16.699462, 134.912925 -16.69966, 134.916811 -16.699401, 134.919224 -16.700533, 134.92091 -16.701891, 134.925 -16.708733, 134.927692 -16.710653, 134.93118 -16.710967, 134.935425 -16.710318, 134.937662 -16.710772, 134.941706 -16.713256, 134.953194 -16.729709, 134.984793 -16.737902, 135.007189 -16.74753, 135.010106 -16.747987, 135.078704 -16.741962, 135.08547 -16.745039, 135.315723 -16.728439, 135.347478 -16.71265, 135.361658 -16.71778, 135.368814 -16.725136, 135.371968 -16.726026, 135.375581 -16.722734, 135.387572 -16.708318, 135.400876 -16.707486, 135.40412 -16.710682, 135.404298 -16.712027, 135.407811 -16.710407, 135.413023 -16.713638, 135.426253 -16.712406, 135.425861 -16.70653, 135.461315 -16.702304, 135.586144 -16.695446, 135.595938 -16.681624, 135.629348 -16.68873, 135.707573 -16.679878, 135.710973 -16.677864, 135.714463 -16.679074, 135.715175 -16.680921, 135.716291 -16.681016, 135.722117 -16.677489, 135.741671 -16.670258, 135.761368 -16.654307, 135.768115 -16.645794, 135.791519 -16.626962, 135.796339 -16.626167, 135.802758 -16.626855, 135.825984 -16.621194, 135.828567 -16.620221, 135.838253 -16.62192, 135.843634 -16.618731, 135.847341 -16.62022, 135.850448 -16.618195, 135.850751 -16.617286, 135.862017 -16.615666, 135.864729 -16.617227, 135.865711 -16.616415, 135.866656 -16.614517, 135.870632 -16.613954, 135.873098 -16.611532, 135.875313 -16.611532, 135.876582 -16.608716, 135.877133 -16.608387, 135.878867 -16.604833, 135.889853 -16.595575, 135.893545 -16.594685, 135.901172 -16.591109, 135.911349 -16.583728, 135.934688 -16.588003, 135.96259 -16.576274, 135.964187 -16.572879, 135.967566 -16.57194, 135.96766 -16.568716, 135.970108 -16.563589, 135.971467 -16.561593, 135.980469 -16.557764, 135.983834 -16.54965, 135.997403 -16.534263, 136.002372 -16.522745, 136.041498 -16.46932, 136.059683 -16.449141, 136.061354 -16.450326, 136.068375 -16.443839, 136.071781 -16.441222, 136.074598 -16.441941, 136.077757 -16.441556, 136.079561 -16.441859, 136.093106 -16.436937, 136.09385 -16.434734, 136.093735 -16.434407, 136.094674 -16.432485)</t>
  </si>
  <si>
    <t>P1148</t>
  </si>
  <si>
    <t>https://www.gem.wiki/Dampier_to_Bunbury_Natural_Gas_Pipeline</t>
  </si>
  <si>
    <t>Dampier to Bunbury Natural Gas Pipeline</t>
  </si>
  <si>
    <t>Diversified Utilities and Energy Trusts [80.00%]; Alcoa [20.00%]</t>
  </si>
  <si>
    <t>North West Shelf Venture</t>
  </si>
  <si>
    <t>Dampier</t>
  </si>
  <si>
    <t>Bunbury</t>
  </si>
  <si>
    <t>MULTILINESTRING ((115.755682 -33.265797, 115.755533 -33.244712, 115.763415 -33.243848, 115.773057 -33.206573, 115.783805 -33.184415, 115.78977 -33.056021, 115.801979 -33.014379, 115.822789 -32.911076, 115.823429 -32.830294, 115.827667 -32.822066, 115.829633 -32.797408, 115.843083 -32.788893, 115.865315 -32.700855, 115.889899 -32.687406, 115.890309 -32.648988, 115.902816 -32.606428, 115.910765 -32.564758, 115.911711 -32.422623, 115.901764 -32.402867, 115.875644 -32.381662, 115.875375 -32.359078, 115.840864 -32.326105, 115.837568 -32.31093, 115.827399 -32.293935, 115.803444 -32.291107, 115.802475 -32.272353, 115.794651 -32.267682, 115.792442 -32.232935, 115.804449 -32.222908, 115.82626 -32.223103, 115.833254 -32.21126, 115.842476 -32.201824, 115.881965 -32.178977, 115.924407 -32.155337, 115.941632 -32.140922, 115.95382 -32.137583, 116.007324 -32.092377, 116.018414 -32.075887, 116.016558 -32.057853, 116.01142 -32.037094, 116.000178 -32.016763, 115.997122 -32.009549, 115.997254 -31.998675, 115.979284 -31.980038, 115.988127 -31.944685, 115.993754 -31.927217, 115.98937 -31.917526, 115.988823 -31.908363, 115.988657 -31.896675, 115.983318 -31.891189, 115.981916 -31.867619, 115.981187 -31.845954, 115.977557 -31.831163, 115.974219 -31.827394, 115.973579 -31.813268, 115.970152 -31.805377, 115.969993 -31.795176, 115.956519 -31.780173, 115.952963 -31.777101, 115.948139 -31.717512, 115.955129 -31.70694, 115.957136 -31.653275, 115.975941 -31.619147, 115.976664 -31.614027, 115.9756 -31.608422, 115.940431 -31.512749, 115.930975 -31.476123, 115.900525 -31.40739, 115.897223 -31.400568, 115.883079 -31.368109, 115.835237 -31.261603, 115.809363 -31.201074, 115.802881 -31.188903, 115.79439 -31.141311, 115.781582 -31.117035, 115.770005 -31.093711, 115.758254 -31.075504, 115.728798 -31.021269, 115.698079 -30.937389, 115.694889 -30.927822, 115.664591 -30.858753, 115.626327 -30.771652, 115.605046 -30.711421, 115.594033 -30.698509, 115.553945 -30.607207, 115.502397 -30.41792, 115.491877 -30.387096, 115.473108 -30.354677, 115.473108 -30.354677, 115.471604 -30.345319, 115.443294 -30.287917, 115.441552 -30.277717, 115.440438 -30.275324, 115.432188 -30.265775, 115.427127 -30.25393, 115.424316 -30.241893, 115.404956 -30.220488, 115.401807 -30.210943, 115.383447 -30.129349, 115.354587 -30.038367, 115.355376 -29.995723, 115.350867 -29.973567, 115.358726 -29.902705, 115.357329 -29.70579, 115.318693 -29.625949, 115.292494 -29.586412, 115.234488 -29.523476, 115.186304 -29.470021, 115.154087 -29.432004, 115.14323 -29.416933, 115.125557 -29.351245, 115.121028 -29.329612, 115.121153 -29.303552, 115.120973 -29.276459, 115.130093 -29.250155, 115.129414 -29.203396, 115.138768 -29.134914, 115.138914 -29.060133, 115.140914 -29.029279, 115.141561 -28.810094, 115.138702 -28.724287, 115.134914 -28.647273, 115.132893 -28.616226, 115.130395 -28.595862, 115.128069 -28.586982, 115.122055 -28.581449, 115.120947 -28.580069, 115.121586 -28.468473, 115.117156 -28.425367, 115.119606 -28.364714, 115.116875 -28.10689, 115.125733 -28.044433, 115.144762 -27.942666, 115.156387 -27.799188, 115.173163 -27.715601, 115.180237 -27.543335, 115.183017 -27.522732, 115.190749 -26.801386, 115.214196 -26.29652, 115.218762 -26.203317, 115.241297 -25.83799, 115.262788 -25.432947, 115.272799 -25.340891, 115.273284 -25.289378, 115.275947 -25.274054, 115.2744 -25.259804, 115.278719 -25.145327, 115.279135 -25.128703, 115.278916 -25.072834, 115.285375 -25.045546, 115.282654 -25.016469, 115.286389 -24.893374, 115.305143 -24.749429, 115.289299 -24.725044, 115.304674 -24.665616, 115.276238 -24.503016, 115.272136 -24.462465, 115.272897 -24.419404, 115.278135 -24.412022, 115.296862 -24.403149, 115.300562 -24.393336, 115.299183 -24.311775, 115.282258 -24.260088, 115.272638 -24.200142, 115.25487 -24.154602, 115.214659 -24.094542, 115.184967 -24.014936, 115.191002 -23.998383, 115.177279 -23.925774, 115.174648 -23.894316, 115.1712 -23.855182, 115.164579 -23.837459, 115.164292 -23.821521, 115.161928 -23.708922, 115.151135 -23.661493, 115.138353 -23.627746, 115.108379 -23.561586, 115.094969 -23.530629, 115.097114 -23.519473, 115.065455 -23.447365, 115.045451 -23.315487, 115.047598 -23.275437, 115.032467 -23.117094, 115.024484 -23.020828, 115.032394 -23.009372, 115.064836 -22.870641, 115.102754 -22.729715, 115.172055 -22.591262, 115.233847 -22.487412, 115.270797 -22.431441, 115.302494 -22.37769, 115.365259 -22.264822, 115.411464 -22.201783, 115.459571 -22.120736, 115.507555 -22.041958, 115.538389 -21.998914, 115.567105 -21.964223, 115.570062 -21.950122, 115.604138 -21.901234, 115.646893 -21.845557, 115.688681 -21.796433, 115.723211 -21.742613, 115.889805 -21.526458, 115.97001 -21.426887, 116.000186 -21.379798, 116.055683 -21.309477, 116.088302 -21.257684, 116.127936 -21.226412, 116.189221 -21.186286, 116.240876 -21.140016, 116.259644 -21.116503, 116.28234 -21.070979, 116.294928 -21.031751, 116.329192 -20.984155, 116.365122 -20.944149, 116.401863 -20.918203, 116.437918 -20.896021, 116.47305 -20.881517, 116.575213 -20.850613, 116.638109 -20.831897, 116.674668 -20.80109, 116.695067 -20.790757, 116.722717 -20.769049, 116.728422 -20.764628, 116.742571 -20.7443, 116.751095 -20.726841, 116.760732 -20.717183, 116.760719 -20.715298, 116.748328 -20.702302, 116.736461 -20.688101, 116.733579 -20.676791, 116.735619 -20.666293, 116.744904 -20.658567, 116.758394 -20.645161, 116.769056 -20.634309, 116.770844 -20.631653, 116.768939 -20.627525, 116.770727 -20.619655, 116.777121 -20.611612, 116.778996 -20.607051, 116.781417 -20.601472, 116.782584 -20.598709, 116.78245 -20.59389), (116.071467 -33.242427, 115.947004 -33.156504, 115.935698 -33.159688, 115.920772 -33.153907, 115.905431 -33.139756, 115.892815 -33.122674, 115.880201 -33.122745, 115.875794 -33.119111, 115.815232 -33.118893, 115.802561 -33.124801, 115.798537 -33.122182, 115.793475 -33.121661, 115.789405 -33.121766, 115.78686 -33.121452), (115.279135 -25.128703, 115.264195 -25.126049, 115.241676 -25.122048, 115.021552 -25.082748, 114.976671 -25.07912, 114.969099 -25.082752, 114.948364 -25.085286, 114.908415 -25.080835, 114.878206 -25.086932, 114.846243 -25.068723, 114.751433 -25.024808, 114.683944 -25.0038, 114.614141 -24.976538, 114.280011 -24.920824, 114.065676 -24.906276, 113.960439 -24.898914, 113.86238 -24.898558, 113.781503 -24.895294, 113.737419 -24.893361, 113.728864 -24.900906, 113.723668 -24.9002, 113.722066 -24.897818, 113.71763 -24.892597, 113.708621 -24.898379, 113.684041 -24.897983, 113.67912 -24.896764, 113.676386 -24.891414, 113.682948 -24.874435, 113.682947 -24.870697, 113.680646 -24.868206, 113.676837 -24.869666, 113.674968 -24.86854))</t>
  </si>
  <si>
    <t>P1149</t>
  </si>
  <si>
    <t>https://www.gem.wiki/Darling_Downs_Pipeline</t>
  </si>
  <si>
    <t>Darling Downs Pipeline</t>
  </si>
  <si>
    <t>DDP; Wallumbilla to Darilng Downs Pipeline</t>
  </si>
  <si>
    <t>Dalby</t>
  </si>
  <si>
    <t>MULTILINESTRING ((149.189267 -26.69601, 149.189265 -26.696028, 149.193373 -26.695952, 149.197739 -26.693964, 149.201319 -26.691978, 149.209313 -26.689979, 149.216364 -26.685976, 149.217271 -26.685459, 149.225376 -26.680853, 149.230486 -26.677948, 149.23326 -26.676372, 149.24126 -26.671824, 149.24413 -26.669925, 149.249387 -26.665855, 149.254507 -26.661893, 149.257269 -26.65937, 149.263063 -26.653907, 149.265274 -26.651821, 149.27155 -26.645897, 149.273349 -26.644095, 149.280629 -26.637905, 149.281309 -26.637311, 149.289302 -26.630693, 149.289992 -26.629892, 149.297301 -26.622262, 149.29763 -26.621875, 149.304795 -26.613883, 149.305252 -26.613236, 149.311292 -26.605887, 149.313266 -26.603577, 149.319553 -26.597981, 149.321385 -26.596707, 149.329346 -26.591224, 149.332132 -26.58996, 149.337265 -26.587632, 149.345397 -26.584103, 149.350505 -26.581965, 149.353316 -26.580083, 149.361382 -26.576702, 149.368021 -26.57392, 149.369301 -26.573383, 149.377413 -26.569984, 149.385271 -26.566689, 149.387016 -26.565958, 149.39334 -26.563306, 149.401381 -26.559074, 149.409327 -26.55891, 149.417323 -26.557993, 149.417446 -26.557938, 149.425405 -26.554379, 149.433322 -26.551006, 149.436155 -26.549931, 149.441362 -26.547955, 149.449269 -26.544957, 149.457106 -26.54198, 149.45735 -26.541888, 149.465404 -26.538832, 149.472624 -26.542029, 149.473272 -26.542512, 149.481296 -26.546958, 149.486402 -26.550063, 149.489303 -26.551966, 149.497284 -26.553588, 149.505323 -26.554808, 149.513366 -26.556684, 149.517088 -26.558004, 149.521405 -26.559538, 149.529303 -26.562341, 149.537299 -26.565054, 149.54533 -26.565735, 149.548209 -26.565993, 149.553254 -26.566448, 149.56135 -26.571777, 149.563956 -26.574036, 149.569328 -26.578794, 149.571715 -26.581988, 149.577461 -26.586855, 149.581177 -26.590045, 149.585365 -26.591755, 149.593259 -26.594984, 149.600683 -26.59802, 149.601343 -26.59829, 149.609314 -26.601548, 149.617352 -26.604839, 149.620278 -26.606033, 149.625253 -26.608068, 149.633313 -26.611356, 149.639757 -26.613987, 149.64127 -26.61452, 149.649367 -26.617301, 149.657387 -26.620057, 149.663134 -26.622032, 149.665329 -26.622785, 149.673256 -26.625506, 149.681282 -26.627914, 149.6866 -26.630011, 149.689291 -26.632667, 149.694771 -26.638084, 149.697264 -26.641818, 149.705314 -26.641741, 149.713347 -26.64164, 149.721343 -26.645468, 149.723029 -26.645998, 149.72928 -26.647972, 149.737273 -26.650493, 149.745373 -26.653877, 149.745669 -26.654054, 149.753351 -26.658671, 149.759466 -26.662003, 149.761346 -26.662194, 149.76214 -26.661954, 149.768432 -26.662069, 149.769279 -26.662871, 149.777267 -26.669989, 149.785339 -26.674638, 149.790245 -26.677983, 149.793367 -26.680111, 149.801287 -26.68551, 149.802006 -26.685999, 149.809358 -26.691013, 149.814019 -26.694025, 149.817298 -26.696005, 149.825323 -26.700853, 149.827261 -26.702024, 149.833322 -26.705955, 149.838014 -26.710036, 149.841275 -26.713082, 149.849256 -26.714898, 149.852887 -26.718025, 149.85733 -26.721824, 149.862257 -26.725994, 149.865291 -26.72856, 149.873021 -26.734005, 149.873381 -26.734056, 149.881302 -26.735052, 149.889315 -26.739324, 149.894245 -26.74205, 149.897384 -26.743741, 149.905372 -26.748041, 149.909033 -26.749998, 149.913277 -26.753349, 149.916823 -26.757997, 149.921255 -26.758779, 149.929377 -26.760173, 149.937317 -26.761506, 149.945272 -26.762755, 149.95337 -26.764001, 149.961292 -26.76518, 149.967143 -26.765991, 149.969426 -26.766282, 149.977405 -26.7673, 149.985338 -26.768311, 149.993337 -26.769331, 150.001401 -26.770358, 150.00933 -26.771368, 150.017331 -26.772386, 150.025256 -26.773394, 150.03002 -26.774002, 150.033375 -26.774429, 150.0413 -26.775428, 150.047233 -26.782005, 150.049339 -26.784554, 150.053881 -26.790055, 150.057317 -26.794876, 150.059466 -26.798026, 150.064965 -26.80609, 150.065336 -26.806633, 150.070392 -26.814045, 150.073284 -26.817827, 150.076763 -26.822033, 150.081347 -26.827101, 150.089309 -26.829051, 150.093227 -26.830011, 150.097417 -26.831038, 150.105284 -26.832963, 150.113308 -26.83493, 150.121286 -26.836628, 150.123721 -26.837999, 150.129312 -26.843735, 150.132053 -26.846027, 150.137328 -26.850443, 150.145278 -26.849635, 150.153342 -26.848907, 150.161369 -26.850095, 150.169351 -26.851101, 150.177355 -26.852109, 150.182878 -26.854008, 150.185258 -26.856242, 150.193276 -26.86095, 150.200085 -26.862002, 150.201259 -26.862206, 150.209343 -26.863604, 150.217368 -26.864993, 150.225331 -26.86637, 150.233407 -26.867767, 150.241315 -26.869132, 150.24639 -26.870008, 150.249258 -26.870567, 150.257271 -26.871954, 150.26531 -26.873343, 150.273416 -26.874743, 150.281278 -26.8761, 150.284155 -26.878015, 150.289416 -26.879098, 150.297286 -26.880005, 150.305399 -26.881011, 150.313312 -26.882028, 150.321325 -26.883022, 150.329387 -26.883568, 150.337313 -26.882864, 150.345276 -26.88393, 150.353339 -26.885782, 150.354216 -26.885987, 150.353246 -26.889656, 150.353077 -26.889957, 150.35307 -26.889982), (150.353151 -26.890357, 150.353073 -26.890338, 150.354057 -26.892576, 150.356598 -26.90063, 150.356829 -26.900996, 150.362304 -26.908718, 150.359839 -26.916727, 150.363085 -26.924591, 150.364792 -26.929255, 150.365457 -26.9326, 150.372866 -26.938935, 150.376374 -26.940575, 150.380918 -26.941569, 150.388834 -26.9427, 150.396771 -26.946636, 150.399469 -26.948654, 150.404816 -26.952789, 150.409817 -26.956656, 150.412869 -26.957529, 150.4209 -26.958228, 150.428839 -26.959754, 150.436868 -26.960166, 150.444868 -26.956916, 150.452943 -26.957901, 150.460849 -26.958515, 150.468851 -26.95969, 150.476885 -26.960823, 150.48479 -26.961791, 150.492824 -26.963056, 150.500248 -26.964594, 150.500937 -26.964789, 150.508798 -26.966755, 150.516812 -26.967735, 150.524814 -26.968713, 150.532839 -26.969694, 150.540867 -26.970674, 150.548849 -26.971648, 150.556485 -26.97258, 150.556841 -26.972623, 150.564783 -26.974784, 150.572439 -26.980594, 150.572849 -26.980905, 150.580877 -26.985463, 150.584629 -26.98868, 150.588814 -26.995974, 150.589075 -26.996584, 150.592269 -27.004724, 150.59527 -27.012605, 150.596787 -27.016594, 150.597891 -27.020686, 150.599758 -27.028574, 150.601489 -27.036596, 150.602711 -27.044588, 150.603612 -27.052577, 150.604787 -27.05682, 150.605859 -27.060692, 150.610916 -27.068633, 150.612776 -27.070396, 150.619321 -27.07659, 150.620793 -27.077982, 150.628866 -27.083279, 150.632663 -27.084618, 150.636821 -27.086083, 150.644909 -27.088159, 150.652861 -27.089654, 150.660829 -27.091488, 150.666804 -27.092588, 150.668933 -27.093003, 150.676912 -27.09427, 150.684839 -27.095535, 150.692803 -27.096841, 150.700822 -27.098251, 150.708789 -27.100539, 150.709143 -27.1006, 150.716884 -27.101894, 150.724793 -27.101671, 150.732924 -27.101857, 150.740781 -27.102846, 150.748786 -27.108378, 150.749042 -27.108601, 150.756829 -27.115205, 150.759066 -27.116584, 150.764826 -27.118531, 150.772769 -27.119536, 150.780941 -27.120564, 150.788903 -27.117867, 150.792579 -27.116513, 150.79685 -27.114761, 150.804844 -27.11227, 150.812867 -27.112185, 150.820893 -27.112648, 150.82877 -27.114369, 150.836891 -27.116505, 150.837517 -27.116584, 150.844863 -27.117511, 150.852889 -27.118329, 150.860941 -27.119344, 150.868798 -27.120184, 150.874164 -27.116489, 150.876822 -27.115671, 150.88482 -27.116328, 150.891699 -27.11648, 150.891702 -27.116501))</t>
  </si>
  <si>
    <t>P3481</t>
  </si>
  <si>
    <t>Syria, Türkiye</t>
  </si>
  <si>
    <t>Syria–Turkey Extension</t>
  </si>
  <si>
    <t>盐湖-平陆输气管道项目</t>
  </si>
  <si>
    <t>LINESTRING (36.697329 34.830605, 37.116667 36.716667)</t>
  </si>
  <si>
    <t>P3482</t>
  </si>
  <si>
    <t>Syria, Lebanon</t>
  </si>
  <si>
    <t>Damascus–Zahrani Extension</t>
  </si>
  <si>
    <t>盂县-阳泉郊区-平定娘子关天然气管道</t>
  </si>
  <si>
    <t>LINESTRING (36.384844 33.514324, 35.33907 33.496356)</t>
  </si>
  <si>
    <t>P3483</t>
  </si>
  <si>
    <t>Russia, Belarus</t>
  </si>
  <si>
    <t>https://www.gem.wiki/Torzhok-Minsk-Ivatsevichy_Gas_Pipeline</t>
  </si>
  <si>
    <t>Torzhok-Minsk-Ivatsevichy Gas Pipeline</t>
  </si>
  <si>
    <t>Ivatsevichy</t>
  </si>
  <si>
    <t>Газопровод Торжок-Минск-Ивацевичи</t>
  </si>
  <si>
    <t>LINESTRING (34.974 57.0393, 32.702 55.6467, 32.049 54.7952, 31.002 54.6334, 30.843 54.6381, 30.452 54.5729, 30.252 54.4938, 29.889 54.438, 29.433 54.3402, 29.117 54.3263, 28.954 54.2239, 28.642 54.196, 28.474 54.047, 27.997 54.1273, 27.997 54.1273, 27.38 53.7952, 27.038 53.5421, 26.676 53.2231, 25.335 52.708)</t>
  </si>
  <si>
    <t>P3484</t>
  </si>
  <si>
    <t>Belarus, Ukraine</t>
  </si>
  <si>
    <t>https://www.gem.wiki/Ivatsevichy-Kobryn-Dolyna_Gas_Pipeline</t>
  </si>
  <si>
    <t>Ivatsevichy-Kobryn-Dolyna Gas Pipeline</t>
  </si>
  <si>
    <t>Газопровод Ивацевичи-Кобрин-Долина</t>
  </si>
  <si>
    <t>LINESTRING (25.335 52.708, 24.358 52.2139, 24.32 52.0674, 24.086 51.8573, 24.514 51.6331, 24.666 51.2339, 24.412 51.0605, 24.276 50.8563, 24.273 50.6984, 24.245 50.587, 24.27 50.4694, 24.016 49.9339, 23.877 49.4356, 23.905 49.1553, 23.989637 48.976337)</t>
  </si>
  <si>
    <t>P3486</t>
  </si>
  <si>
    <t>Belarus, Poland</t>
  </si>
  <si>
    <t>https://www.gem.wiki/Kobryn-Brest-Warsaw_Gas_Pipeline</t>
  </si>
  <si>
    <t>Kobryn-Brest-Warsaw Gas Pipeline</t>
  </si>
  <si>
    <t>Gaz-system [unknown %]; Gazprom [unknown %]</t>
  </si>
  <si>
    <t>Kobryn</t>
  </si>
  <si>
    <t>Warsaw</t>
  </si>
  <si>
    <t>Газопровод Кобрин-Брест-Варшава</t>
  </si>
  <si>
    <t>LINESTRING (24.367453 52.208107, 23.735848 52.107066, 21.097704 52.240573)</t>
  </si>
  <si>
    <t>P1329</t>
  </si>
  <si>
    <t>Poland, Slovakia</t>
  </si>
  <si>
    <t>https://www.gem.wiki/Poland-Slovakia_Gas_Pipeline</t>
  </si>
  <si>
    <t>Poland-Slovakia Gas Pipeline</t>
  </si>
  <si>
    <t>Polish-Slovak gas Interconnector, Poland - Slovakia interconnection</t>
  </si>
  <si>
    <t>Eustream [unknown %]; Gaz-System [unknown %]</t>
  </si>
  <si>
    <t>Gaz-System [unknown %]; SPP Infrastructure [unknown %]</t>
  </si>
  <si>
    <t>Subcarpathian Voivodoship</t>
  </si>
  <si>
    <t>Veľké Kapušany</t>
  </si>
  <si>
    <t>LINESTRING (22.0756028 48.5533144, 22.0862209 48.5833262, 22.0737849 48.6132856, 22.034216 48.6166772, 21.9963429 48.618373, 21.9697751 48.6460713, 21.9658182 48.6585072, 21.9420769 48.6641599, 21.898551 48.6749001, 21.8335449 48.7116427, 21.8414587 48.7444284, 21.8544599 48.7777793, 21.8702875 48.7975638, 21.8940289 48.8094345, 21.9008121 48.8569172, 21.952817 48.8834849, 21.9584594 48.9433069, 21.9630242 48.9767817, 21.9508515 49.0391667, 21.9873695 49.0695984, 22.0117149 49.1015517, 22.022366 49.1502424, 22.0451897 49.170023, 22.0147581 49.2111058, 22.0375818 49.2430591, 22.0740999 49.2765339, 22.0862725 49.3237031, 22.1410496 49.3739154, 22.1425712 49.3952176, 22.0801862 49.4499946, 22.1471359 49.5519408, 22.0777686 49.6094138)</t>
  </si>
  <si>
    <t>P3488</t>
  </si>
  <si>
    <t>Kosovo, North Macedonia</t>
  </si>
  <si>
    <t>https://www.gem.wiki/Kosovo-North_Macedonia_Gas_Pipeline</t>
  </si>
  <si>
    <t>Kosovo-North Macedonia Gas Pipeline</t>
  </si>
  <si>
    <t>North Macedonia – Kosovo Gas Interconnection Pipeline</t>
  </si>
  <si>
    <t>Skopje Sever</t>
  </si>
  <si>
    <t>LINESTRING (22.127163 43.051961, 22.087284 43.00755, 22.121836 42.973852, 22.128747 42.926643, 22.101105 42.862516, 22.082677 42.810153, 22.075767 42.735754, 22.022787 42.679897, 21.955986 42.657879, 21.949075 42.629074, 21.86615 42.562942, 21.794742 42.483151, 21.776314 42.404959, 21.792438 42.270445, 21.778617 42.222701, 21.805653 42.178759, 21.999752 42.003979, 22.096498 41.96631, 22.246303 41.844647)</t>
  </si>
  <si>
    <t>P3489</t>
  </si>
  <si>
    <t>https://www.gem.wiki/Vlora-Fier_Gas_Pipeline</t>
  </si>
  <si>
    <t>Vlora-Fier Gas Pipeline</t>
  </si>
  <si>
    <t>IAEF - Vlora CCGT Pipeline</t>
  </si>
  <si>
    <t>Albgaz Sha [unknown %]</t>
  </si>
  <si>
    <t>Vlorë</t>
  </si>
  <si>
    <t>LINESTRING (19.435491 40.490183, 19.53634 40.68801)</t>
  </si>
  <si>
    <t>P3490</t>
  </si>
  <si>
    <t>Vuktyl-Ukhta-Torzhok</t>
  </si>
  <si>
    <t xml:space="preserve">Urengoy gas field; originally </t>
  </si>
  <si>
    <t>Komi Republic</t>
  </si>
  <si>
    <t>Газопровод Сияние Севера</t>
  </si>
  <si>
    <t>P3491</t>
  </si>
  <si>
    <t>Punga-Ukhta-Torzhok</t>
  </si>
  <si>
    <t>LINESTRING (64.10256326909564 62.57570306391705, 53.67347769746921 63.565080535302236, 40.25681424846321 58.87472523378269, 34.975597607591645 57.03684827776694)</t>
  </si>
  <si>
    <t>P3492</t>
  </si>
  <si>
    <t>Urengoy-Ukhta-Gryazovets; North-Center gas pipeline</t>
  </si>
  <si>
    <t>LINESTRING (76.75 66.666667, 57.2999595 63.8602574, 53.7296915 63.5677886, 40.2334605 58.8763635, 40.25681424846321 58.87472523378269)</t>
  </si>
  <si>
    <t>P3493</t>
  </si>
  <si>
    <t>https://www.gem.wiki/Urengoy-Petrovsk_Gas_Pipeline</t>
  </si>
  <si>
    <t>Urengoy-Petrovsk Gas Pipeline</t>
  </si>
  <si>
    <t>Газопровод Уренгой - Петровск</t>
  </si>
  <si>
    <t>LINESTRING (76.75 66.666667, 56.940314652935875 57.43587729299211, 45.38813626736172 52.31625053566458)</t>
  </si>
  <si>
    <t>P3494</t>
  </si>
  <si>
    <t>https://www.gem.wiki/Svishtov_Gas_Pipeline</t>
  </si>
  <si>
    <t>Svishtov Gas Pipeline</t>
  </si>
  <si>
    <t>Pavlikeni</t>
  </si>
  <si>
    <t>Svishtov</t>
  </si>
  <si>
    <t>Преносен газопровод за град Свищов</t>
  </si>
  <si>
    <t>LINESTRING (25.300087 43.256884, 25.346137951632958 43.61913514245053)</t>
  </si>
  <si>
    <t>P1151</t>
  </si>
  <si>
    <t>https://www.gem.wiki/Dawson_Valley_Pipeline</t>
  </si>
  <si>
    <t>Dawson Valley Pipeline</t>
  </si>
  <si>
    <t>DVP</t>
  </si>
  <si>
    <t>WestSide Energy [51.00%]; Mitsui Group [49.00%]</t>
  </si>
  <si>
    <t>LINESTRING (149.927231 -24.416822, 149.932663 -24.42727, 149.936648 -24.43524, 149.940633 -24.441882, 149.941696 -24.443476, 149.942493 -24.445336, 149.951526 -24.454635, 149.958168 -24.46234, 149.965076 -24.470576, 149.968264 -24.474827, 149.971983 -24.479343, 149.974375 -24.48386, 149.975703 -24.485985, 149.975969 -24.487579, 149.9765 -24.489705, 149.9765 -24.491033, 149.977828 -24.493159, 149.98022 -24.49741, 149.98447 -24.504317, 149.98819 -24.510959, 149.993238 -24.519727, 149.995363 -24.523446, 149.99616 -24.525306, 149.997223 -24.527963, 149.999349 -24.534871, 150.001474 -24.538856, 150.002271 -24.541513, 150.0036 -24.543904, 150.004662 -24.544967, 150.002133 -24.554043, 150.001179 -24.557996, 149.999135 -24.560858, 149.996409 -24.565628, 149.994092 -24.569853, 149.991912 -24.574487, 149.98997 -24.576834, 149.988232 -24.577758, 149.987005 -24.57953, 149.987005 -24.581301, 149.988368 -24.5843, 149.990276 -24.588389, 149.992048 -24.592341, 149.993956 -24.597111, 149.995183 -24.603108, 149.997227 -24.614829, 150.000498 -24.627913, 150.002815 -24.641406, 150.006086 -24.661713, 150.009084 -24.677387, 150.01181 -24.693742, 150.012628 -24.701511, 150.012628 -24.7041, 150.012219 -24.708734, 150.011674 -24.712141, 150.011674 -24.714595, 150.011946 -24.716912, 150.012628 -24.71991, 150.013446 -24.722363, 150.015626 -24.725498, 150.016989 -24.72836, 150.019442 -24.734902, 150.020669 -24.738309, 150.021759 -24.742398, 150.022441 -24.75003, 150.022986 -24.764477, 150.022986 -24.767748, 150.022713 -24.770065, 150.021896 -24.772655, 150.021078 -24.775517, 150.019851 -24.780832, 150.019034 -24.783558, 150.018625 -24.784785, 150.018488 -24.786284, 150.018761 -24.788192, 150.019306 -24.789964, 150.020397 -24.792826, 150.021623 -24.795007, 150.022168 -24.796915, 150.018025 -24.796402, 150.014399 -24.796082, 150.009174 -24.795655, 150.006508 -24.795122, 150.004269 -24.794695, 150.000964 -24.794589)</t>
  </si>
  <si>
    <t>P1330</t>
  </si>
  <si>
    <t>Podișor</t>
  </si>
  <si>
    <t>LINESTRING (25.717 44.3882, 25.397 44.618, 25.103 44.6465, 24.877 44.6711, 24.804 44.6807, 24.585 44.7067, 24.522 44.7117, 24.312 44.7758, 24.248 44.7978, 24.096 44.8523, 23.978 44.8734, 23.749 44.8927, 23.462 44.9164, 23.457 44.9586, 23.455 45.137, 23.425 45.2135, 23.404 45.3594, 23.383 45.4947, 23.363 45.5108, 23.309 45.5429, 23.267 45.5751, 23.156 45.6451, 23.074 45.6536, 22.85 45.6739, 22.79 45.6723, 22.563 45.6408, 22.501 45.629, 22.273 45.6046, 22.209 45.6017, 22.148 45.6161, 22.023 45.6837, 21.967 45.7154, 21.876 45.773, 21.736 45.8407, 21.69 45.8652, 21.628 45.8968, 21.607 45.9458, 21.564 45.989, 21.457 46.084, 21.464 46.1675, 21.493 46.2914)</t>
  </si>
  <si>
    <t>P1331</t>
  </si>
  <si>
    <t>Serbia, Hungary</t>
  </si>
  <si>
    <t>https://www.gem.wiki/Serbian-Hungarian_Gas_Pipeline</t>
  </si>
  <si>
    <t>Serbian-Hungarian Gas Pipeline</t>
  </si>
  <si>
    <t>Serbian-Hungarian gas interconnector</t>
  </si>
  <si>
    <t>LINESTRING (19.985781985557992 46.175423215233295, 20.06663449578758 46.275181173704034, 19.758726059300898 46.82851195220131)</t>
  </si>
  <si>
    <t>P1332</t>
  </si>
  <si>
    <t>https://www.gem.wiki/Cluden_to_Brighouse_Bay_Gas_Pipeline</t>
  </si>
  <si>
    <t>Cluden to Brighouse Bay Gas Pipeline</t>
  </si>
  <si>
    <t>Cluden</t>
  </si>
  <si>
    <t>Dumfries</t>
  </si>
  <si>
    <t>Brighouse Bay</t>
  </si>
  <si>
    <t>Kirkcudbright</t>
  </si>
  <si>
    <t>LINESTRING (-3.545737 55.235361, -3.751323 55.117962, -3.772486 55.072983, -3.840511 55.048742, -3.860162 55.008019, -4.03098 54.935135, -4.11914 54.78821)</t>
  </si>
  <si>
    <t>P3500</t>
  </si>
  <si>
    <t>https://www.gem.wiki/Yamburg-Yelets_Gas_Pipeline</t>
  </si>
  <si>
    <t>Yamburg-Yelets Gas Pipeline</t>
  </si>
  <si>
    <t>Газопровод Ямбург-Елец</t>
  </si>
  <si>
    <t>LINESTRING (75.46492 67.85743, 73.86036870887747 66.45233918051949, 57.834367672413286 58.556798975240255, 56.96193801440044 57.429758206265106, 44.8396867408306 54.717824098912246, 41.66360804990003 53.678516761127476, 38.53548183251011 52.61488990027504)</t>
  </si>
  <si>
    <t>P1152</t>
  </si>
  <si>
    <t>https://www.gem.wiki/East_Spar_Pipeline</t>
  </si>
  <si>
    <t>East Spar Pipeline</t>
  </si>
  <si>
    <t>Apache Corporation [55.00%]; Santos Limited [45.00%]</t>
  </si>
  <si>
    <t>APA Corporation [55.00%]; Santos Limited [45.00%]</t>
  </si>
  <si>
    <t>East Spar Gas Field</t>
  </si>
  <si>
    <t>Varanus Island</t>
  </si>
  <si>
    <t>LINESTRING (115.0743964 -20.6230748, 115.578458 -20.65155)</t>
  </si>
  <si>
    <t>P1333</t>
  </si>
  <si>
    <t>Canadian Utilities Limited [unknown %]</t>
  </si>
  <si>
    <t>LINESTRING (-116.340456 52.871079, -114.479039 53.558199)</t>
  </si>
  <si>
    <t>P1153</t>
  </si>
  <si>
    <t>Longford to Sydney</t>
  </si>
  <si>
    <t>Cooma, Canberra, Wollongon, Sydney</t>
  </si>
  <si>
    <t>MULTILINESTRING ((147.159 -38.203, 147.167 -38.029, 147.623 -37.784, 147.849 -37.735, 148.608 -37.705, 148.893 -37.602, 148.925 -37.55, 149.101 -37.56, 149.188 -37.453, 149.19 -37.197), (149.19 -37.197, 149.182 -37.155, 149.209 -37.1, 149.188 -37.01, 149.22 -36.9, 149.276 -36.844, 149.282 -36.797, 149.266 -36.764, 149.288 -36.63, 149.285 -36.576, 149.267 -36.562, 149.269 -36.502, 149.218 -36.401, 149.215 -36.353, 149.169 -36.275, 149.174 -36.175, 149.15 -36.13, 149.164 -36.074, 149.142 -35.977, 149.178 -35.818, 149.162 -35.751, 149.217 -35.651, 149.228 -35.579, 149.235 -35.565, 149.291 -35.562, 149.33 -35.54, 149.404 -35.424, 149.436 -35.399, 149.5 -35.384, 149.537 -35.334, 149.748 -35.26, 149.762 -35.236, 149.867 -35.22, 150.05 -35.15, 150.068 -35.116, 150.117 -35.089, 150.211 -35.072, 150.257 -35.104, 150.36 -35.11, 150.372 -35.085, 150.473 -35.02, 150.475 -34.993, 150.51 -34.962, 150.574 -34.839, 150.614 -34.806, 150.709 -34.758, 150.789 -34.761, 150.815 -34.747, 150.816 -34.643, 150.797 -34.627, 150.771 -34.51, 150.812 -34.472, 150.814 -34.41, 150.842 -34.394, 150.809 -34.347, 150.714 -34.281, 150.769 -34.186, 150.77 -34.086, 150.793 -34.001, 150.826 -33.959, 150.824 -33.887, 150.864 -33.832))</t>
  </si>
  <si>
    <t>P1154</t>
  </si>
  <si>
    <t>Eastern Goldfields Pipeline</t>
  </si>
  <si>
    <t>EPG</t>
  </si>
  <si>
    <t>LINESTRING (122.311413 -28.801387, 122.31776 -28.807116, 122.328087 -28.817096, 122.331941 -28.821024, 122.353595 -28.83358, 122.358348 -28.840367, 122.362212 -28.840424, 122.365166 -28.844751, 122.418089 -28.876414, 122.414832 -28.886291, 122.418183 -28.895861, 122.421412 -28.897848, 122.421704 -28.899011, 122.420417 -28.902259, 122.425674 -28.917279, 122.42714 -28.916884, 122.44045 -28.955421, 122.442888 -28.956831, 122.44243 -28.964117, 122.438755 -28.967751, 122.435912 -28.990498, 122.422 -29.041504, 122.427005 -29.057476, 122.441515 -29.057396, 122.441578 -29.066283, 122.437398 -29.070146, 122.43713 -29.090333, 122.438951 -29.090341, 122.438976 -29.088245, 122.446445 -29.083429, 122.451779 -29.083428, 122.451783 -29.076719, 122.545704 -29.066051, 122.585218 -29.066899, 122.62628 -29.087971, 122.701436 -29.092772, 122.773221 -29.103185, 122.863176 -29.124233, 122.988671 -29.142594, 123.003518 -29.151086, 123.031482 -29.151727, 123.044727 -29.171628, 123.045916 -29.173535, 123.064576 -29.176645, 123.19745 -29.18346, 123.342139 -29.178127, 123.354327 -29.181381, 123.377655 -29.182214, 123.424336 -29.189595, 123.506166 -29.194531, 123.527104 -29.198898, 123.553177 -29.215589, 123.564637 -29.217633, 123.594758 -29.214578, 123.616899 -29.215005, 123.676786 -29.224608, 123.7524 -29.228306, 123.789625 -29.234561, 123.805739 -29.236097, 123.866139 -29.236434, 123.936074 -29.239272, 123.978868 -29.242006, 124.058698 -29.249948, 124.107463 -29.253013, 124.159008 -29.253458, 124.184772 -29.255032, 124.244953 -29.255513, 124.276779 -29.257168, 124.294956 -29.257324, 124.336847 -29.262473, 124.381795 -29.251976, 124.400301 -29.249021, 124.431997 -29.248508, 124.467411 -29.252292, 124.507786 -29.25139, 124.518941 -29.248355, 124.521278 -29.244443, 124.528694 -29.240298, 124.533368 -29.238208, 124.536096 -29.235724, 124.535602 -29.235297, 124.536167 -29.234808)</t>
  </si>
  <si>
    <t>P3506</t>
  </si>
  <si>
    <t>https://www.gem.wiki/Yamburg-Volga_Region_Gas_Pipeline</t>
  </si>
  <si>
    <t>Yamburg-Volga Region Gas Pipeline</t>
  </si>
  <si>
    <t>Yamburg-Povol'zhye Gas Pipeline</t>
  </si>
  <si>
    <t>Газопровод Ямбург - Поволжье</t>
  </si>
  <si>
    <t>LINESTRING (75.46492 67.85743, 73.86036870887747 66.45233918051949, 46.01836338473009 51.55318529924084)</t>
  </si>
  <si>
    <t>P3507</t>
  </si>
  <si>
    <t>https://www.gem.wiki/Urengoy-Center_Gas_Pipeline</t>
  </si>
  <si>
    <t>Urengoy-Center Gas Pipeline</t>
  </si>
  <si>
    <t>Perm Krai</t>
  </si>
  <si>
    <t>Газопровод Уренгой - Центр</t>
  </si>
  <si>
    <t>LINESTRING (76.75 66.666667, 56.22467510045647 58.04829807026587)</t>
  </si>
  <si>
    <t>P3508</t>
  </si>
  <si>
    <t>https://www.gem.wiki/Draugen_Gas_Export_Pipeline</t>
  </si>
  <si>
    <t>Draugen Gas Export Pipeline</t>
  </si>
  <si>
    <t>OKEA AS [unknown %]</t>
  </si>
  <si>
    <t>Draugen field</t>
  </si>
  <si>
    <t>Asgard Transport</t>
  </si>
  <si>
    <t>Draugen gasseksport</t>
  </si>
  <si>
    <t>LINESTRING (7.782605 64.353172, 7.805546 64.346077, 7.815537 64.341454, 7.822648 64.334908, 7.824356 64.330284, 7.82417 64.326378, 7.820132 64.319229, 7.816198 64.314995, 7.801229 64.306358, 7.79659 64.302742, 7.778826 64.279083, 7.770276 64.273529, 7.760035 64.269829, 7.744517 64.26693, 7.712835 64.264107, 7.406587 64.228851, 7.317301 64.216805, 7.081511 64.16877, 7.064678 64.166145, 7.00385 64.165756, 6.99069 64.166512, 6.450799 64.231552, 6.441258 64.233255)</t>
  </si>
  <si>
    <t>P3509</t>
  </si>
  <si>
    <t>https://www.gem.wiki/Gj%C3%B8a_Gas_Pipeline</t>
  </si>
  <si>
    <t>Gjøa Gas Pipeline</t>
  </si>
  <si>
    <t>Gjøa Oil and Gas Field</t>
  </si>
  <si>
    <t>Gjøa gassrør</t>
  </si>
  <si>
    <t>LINESTRING (3.896839 61.332363, 3.930134 61.323502, 3.938389 61.320023, 3.944938 61.315945, 3.950445 61.310593, 3.953126 61.304771, 3.953067 61.298244, 3.95015 61.292419, 3.943694 61.286388, 3.934056 61.281166, 3.922384 61.277481, 3.909343 61.275314, 3.671255 61.256199, 3.608733 61.25182, 3.567495 61.247375, 3.400787 61.233593, 3.354396 61.226326, 3.169136 61.200336, 3.077527 61.188351, 2.984108 61.174183, 2.937691 61.169003, 2.881697 61.16087, 2.839618 61.153484, 2.767488 61.144451, 2.701175 61.133926, 2.589846 61.118607, 2.476821 61.100967, 1.969428 61.026031, 1.954865 61.024967, 1.728665 61.019199, 1.699985 61.020798)</t>
  </si>
  <si>
    <t>P3510</t>
  </si>
  <si>
    <t>https://www.gem.wiki/Grane_Gas_Pipeline</t>
  </si>
  <si>
    <t>Grane Gas Pipeline</t>
  </si>
  <si>
    <t>Heimdal</t>
  </si>
  <si>
    <t>Grane</t>
  </si>
  <si>
    <t>Grane gassrør</t>
  </si>
  <si>
    <t>LINESTRING (2.487388 59.165238, 2.486819 59.213699, 2.489717 59.223843, 2.503813 59.262531, 2.503862 59.269138, 2.501529 59.274597, 2.498354 59.278572, 2.487624 59.28875, 2.313572 59.450016, 2.308352 59.457626, 2.247353 59.55962, 2.24406 59.563438, 2.234533 59.571674, 2.229785 59.575138, 2.228305 59.5753)</t>
  </si>
  <si>
    <t>P3511</t>
  </si>
  <si>
    <t>https://www.gem.wiki/Knarr_Gas_Pipeline</t>
  </si>
  <si>
    <t>Knarr Gas Pipeline</t>
  </si>
  <si>
    <t>A/S Norske Shell [45.00%]; Wintershall Dea Norge AS [30.00%]; INPEX Idemitsu Norge [25.00%]</t>
  </si>
  <si>
    <t>Shell [45.00%]; Wintershall Dea AG [30.00%]; INPEX Corporation [25.00%]</t>
  </si>
  <si>
    <t>Knarr</t>
  </si>
  <si>
    <t>Knarr gassrørledning</t>
  </si>
  <si>
    <t>LINESTRING (2.841868 61.779106, 2.845011 61.769733, 2.844586 61.763721, 2.840844 61.757488, 2.833688 61.751575, 2.662464 61.656975, 2.626902 61.634022, 2.609985 61.619804, 2.540185 61.578491, 2.503144 61.553646, 2.471276 61.533493, 2.441172 61.517132, 2.421683 61.501163, 2.404026 61.489742, 2.38523 61.479683, 2.360136 61.460819, 2.182418 61.344425, 2.176631 61.341328, 2.15271 61.324978, 2.132628 61.314323, 2.093226 61.298378, 2.072276 61.285183, 2.064452 61.278412, 2.047989 61.257465, 2.036671 61.24678, 1.787309 61.049767)</t>
  </si>
  <si>
    <t>P3512</t>
  </si>
  <si>
    <t>https://www.gem.wiki/Kvitebj%C3%B8rn_Gas_Pipeline</t>
  </si>
  <si>
    <t>Kvitebjørn Gas Pipeline</t>
  </si>
  <si>
    <t>Kvitebjørn Oil and Gas Field</t>
  </si>
  <si>
    <t>Kollsnes</t>
  </si>
  <si>
    <t>Kvitebjørn gassrør</t>
  </si>
  <si>
    <t>LINESTRING (2.501268 61.080444, 2.517388 61.072502, 2.539539 61.063152, 2.566206 61.056351, 2.595431 61.043289, 2.632183 61.033188, 2.675416 61.014786, 2.69343 61.004833, 2.726389 60.992443, 2.791286 60.965851, 2.914725 60.91964, 3.025883 60.876518, 3.101753 60.845043, 3.17426 60.817158, 3.341837 60.754532, 3.412597 60.722942, 3.489213 60.693748, 3.505021 60.689186, 3.595999 60.672333, 3.621663 60.669041, 3.673392 60.660282, 3.829616 60.645447, 3.96828 60.624866, 4.108334 60.606976, 4.492425 60.543869, 4.576476 60.527416, 4.595954 60.522259, 4.640108 60.508373, 4.662585 60.504414, 4.678593 60.503593, 4.691226 60.50407, 4.722124 60.508907, 4.738778 60.51424, 4.757248 60.523285, 4.781476 60.528896, 4.80056 60.537922, 4.819286 60.541397, 4.826076 60.544231, 4.845403 60.548328)</t>
  </si>
  <si>
    <t>P3513</t>
  </si>
  <si>
    <t>https://www.gem.wiki/Norne_Gas_Transport_System_Pipeline</t>
  </si>
  <si>
    <t>Norne Gas Transport System Pipeline</t>
  </si>
  <si>
    <t>NGTS</t>
  </si>
  <si>
    <t>Norne</t>
  </si>
  <si>
    <t>Norne gasstransport-system (NGTS)</t>
  </si>
  <si>
    <t>LINESTRING (8.088389 66.027305, 8.051758 66.034843, 8.037081 66.036018, 8.022552 66.035759, 8.006944 66.033859, 7.993432 66.03051, 7.982265 66.025818, 7.974737 66.020454, 7.971362 66.016281, 7.969964 66.012459, 7.966089 65.981636, 7.967113 65.970253, 7.966256 65.964432, 7.944286 65.913826, 7.93904 65.906242, 7.898533 65.862724, 7.887205 65.843918, 7.886248 65.83371, 7.882948 65.827202, 7.879988 65.824203, 7.86652 65.814156, 7.839434 65.804726, 7.83075 65.799393, 7.794743 65.761436, 7.765025 65.724937, 7.758032 65.717415, 7.753341 65.710304, 7.745117 65.702888, 7.739829 65.699844, 7.716408 65.690147, 7.692854 65.672775, 7.66687 65.657066, 7.618876 65.633881, 7.553636 65.597366, 7.513262 65.579956, 7.467322 65.561325, 7.386912 65.511734, 7.288797 65.469406, 7.269782 65.462654, 7.262318 65.458275, 7.258819 65.454338, 7.244511 65.427994, 7.217187 65.373741, 7.21039 65.339149, 7.208752 65.326149, 7.20442 65.310295, 7.202015 65.307129, 7.158323 65.264702, 7.152334 65.261322, 7.129778 65.252525, 7.110929 65.243607, 7.075049 65.217812, 7.063506 65.205353, 7.026628 65.172394, 6.986893 65.150078, 6.961868 65.133698, 6.951996 65.125656, 6.935897 65.115829, 6.905634 65.104286, 6.872963 65.09066, 6.86454 65.088074, 6.84863 65.085915, 6.801461 65.084516)</t>
  </si>
  <si>
    <t>P3514</t>
  </si>
  <si>
    <t>https://www.gem.wiki/Oseberg_Gas_Transport_Pipeline</t>
  </si>
  <si>
    <t>Oseberg Gas Transport Pipeline</t>
  </si>
  <si>
    <t>OGT</t>
  </si>
  <si>
    <t>Oseberg</t>
  </si>
  <si>
    <t>Oseberg gasstransport (OGT)</t>
  </si>
  <si>
    <t>LINESTRING (2.828986 60.490667, 2.829328 60.489502, 2.820941 60.485371, 2.815368 60.480381, 2.809785 60.471359, 2.776074 60.42741, 2.770989 60.418793, 2.765656 60.407467, 2.764756 60.402187, 2.76547 60.367485, 2.742703 60.242168, 2.739476 60.206207, 2.737882 60.200207, 2.735202 60.195553, 2.71883 60.173687, 2.699563 60.134346, 2.682758 60.112038, 2.618253 59.995399, 2.60262 59.975868, 2.549764 59.920723, 2.540749 59.910305, 2.517483 59.887085, 2.434051 59.797695, 2.411339 59.774418, 2.346525 59.703136, 2.226192 59.60479, 2.222469 59.599422, 2.219665 59.588486, 2.221305 59.583683, 2.229046 59.576073, 2.228305 59.5753)</t>
  </si>
  <si>
    <t>P3515</t>
  </si>
  <si>
    <t>https://www.gem.wiki/Heidrun_Gas_Export_Pipeline</t>
  </si>
  <si>
    <t>Heidrun Gas Export Pipeline</t>
  </si>
  <si>
    <t>Heidrun</t>
  </si>
  <si>
    <t>Åsgard Transport</t>
  </si>
  <si>
    <t>LINESTRING (7.317298 65.325638, 7.30776 65.324562, 7.285486 65.331467, 7.275471 65.333046, 7.264166 65.33371, 7.252859 65.333359, 7.243918 65.332169, 7.233922 65.329865, 7.225884 65.326843, 7.217829 65.321709, 7.158673 65.264175, 7.153077 65.260963, 7.121653 65.247528, 7.101741 65.235535, 7.074853 65.216698, 7.06434 65.205223, 7.027645 65.172256, 6.964481 65.134773, 6.953133 65.125763, 6.937869 65.116302, 6.909685 65.10392, 6.863908 65.087158, 6.847482 65.084991, 6.801462 65.084511)</t>
  </si>
  <si>
    <t>P3516</t>
  </si>
  <si>
    <t>https://www.gem.wiki/Troll%E2%80%93Kollsnes_Gas_Pipeline</t>
  </si>
  <si>
    <t>Troll–Kollsnes I Gas Pipeline</t>
  </si>
  <si>
    <t>Troll A</t>
  </si>
  <si>
    <t>Knolles</t>
  </si>
  <si>
    <t>Troll Gassrør P10</t>
  </si>
  <si>
    <t>LINESTRING (3.726494 60.645638, 3.763757 60.645828, 3.778183 60.645035, 3.864592 60.631123, 4.107111 60.605064, 4.459793 60.537148, 4.610259 60.507679, 4.64396 60.50045, 4.660625 60.498062, 4.677367 60.497223, 4.69816 60.497967, 4.714811 60.50024, 4.729217 60.503727, 4.797844 60.527699, 4.83583 60.550175)</t>
  </si>
  <si>
    <t>P3517</t>
  </si>
  <si>
    <t>Troll–Kollsnes II Gas Pipeline</t>
  </si>
  <si>
    <t>Troll Gassrør P11</t>
  </si>
  <si>
    <t>LINESTRING (3.726494 60.645638, 3.739016 60.643677, 3.771366 60.640793, 3.813697 60.635239, 4.11067 60.603485, 4.64292 60.500328, 4.66808 60.496109, 4.683696 60.495689, 4.694912 60.496437, 4.712458 60.49844, 4.722481 60.501022, 4.798156 60.527691, 4.83583 60.550175)</t>
  </si>
  <si>
    <t>P3518</t>
  </si>
  <si>
    <t>Troll–Kollsnes III Gas Pipeline</t>
  </si>
  <si>
    <t>Troll Gassrør P12</t>
  </si>
  <si>
    <t>LINESTRING (3.726494 60.645638, 3.776185 60.647865, 3.804847 60.645199, 3.84588 60.636822, 3.878961 60.63385, 3.912236 60.62759, 3.950622 60.625351, 3.987641 60.618572, 4.011897 60.616585, 4.10971 60.605278, 4.404916 60.548519, 4.644144 60.501572, 4.668463 60.498253, 4.683353 60.497868, 4.703859 60.499027, 4.713499 60.500214, 4.728745 60.503769, 4.761087 60.515884, 4.798967 60.528194, 4.845402 60.54833)</t>
  </si>
  <si>
    <t>P3519</t>
  </si>
  <si>
    <t>https://www.gem.wiki/Ormen_Lange%E2%80%93Nyhamna_Gas_Pipeline</t>
  </si>
  <si>
    <t>Ormen Lange–Nyhamna I Gas Pipeline</t>
  </si>
  <si>
    <t>Equinor [30.06%]; North Sea Infrastructure AS [27.40%]; Petoro A.S [26.14%]; CapeOmega [18.21%]; PGNiG Ustream Norway AS [8.19%]; Other [3.71%]</t>
  </si>
  <si>
    <t>Equinor [30.06%]; Petoro [26.14%]; Partners Group [18.21%]; PGNiG [8.19%]; Other [3.71%]; PKA [unknown %]; PenSam Capital [unknown %]</t>
  </si>
  <si>
    <t>Ormen Lange</t>
  </si>
  <si>
    <t>LINESTRING (6.943817 62.85032, 6.961517 62.861095, 6.963297 62.864034, 6.962137 62.867195, 6.956 62.870612, 6.925862 62.87813, 6.903569 62.890593, 6.880354 62.898426, 6.867298 62.900303, 6.836458 62.901369, 6.796268 62.904963, 6.786498 62.906941, 6.778565 62.910155, 6.772933 62.914435, 6.770401 62.919076, 6.770547 62.922533, 6.77451 62.932977, 6.772648 62.941985, 6.769977 62.945316, 6.76598 62.948313, 6.754279 62.953063, 6.74524 62.954802, 6.735273 62.955469, 6.639602 62.95367, 6.625746 62.954907, 6.604239 62.958251, 6.503891 62.967028, 6.453641 62.97411, 6.425175 62.979703, 6.301226 63.007409, 6.17801 63.049002, 6.159787 63.056048, 6.028511 63.117377, 5.895358 63.199878, 5.793862 63.267587, 5.789437 63.271277, 5.778402 63.283049, 5.76607 63.289421, 5.745158 63.303388, 5.743145 63.305698, 5.73802 63.316656, 5.735705 63.319236, 5.708403 63.333104, 5.705217 63.335429, 5.692112 63.36131, 5.669075 63.374577, 5.648033 63.39463, 5.640203 63.400017, 5.622002 63.407723, 5.613368 63.410384, 5.590585 63.414648, 5.561725 63.421765, 5.539671 63.422968, 5.524019 63.424844, 5.501189 63.431779, 5.481 63.435761, 5.452889 63.444544, 5.432737 63.452511, 5.417891 63.459457, 5.397395 63.464585, 5.388796 63.468328, 5.382352 63.474219, 5.379086 63.483071, 5.379953 63.486731, 5.389908 63.505516, 5.389762 63.509431, 5.386876 63.516416, 5.386764 63.528082)</t>
  </si>
  <si>
    <t>P3520</t>
  </si>
  <si>
    <t>Ormen Lange–Nyhamna II Gas Pipeline</t>
  </si>
  <si>
    <t>LINESTRING (6.94377 62.850337, 6.9607 62.860719, 6.962287 62.864032, 6.960925 62.867057, 6.955221 62.870212, 6.925104 62.878189, 6.904612 62.889882, 6.899293 62.892196, 6.876431 62.899134, 6.8537 62.901125, 6.836808 62.901299, 6.796708 62.904702, 6.786488 62.906677, 6.778318 62.909883, 6.772565 62.914147, 6.769949 62.918795, 6.770052 62.922322, 6.774113 62.933044, 6.772261 62.941825, 6.769621 62.945168, 6.76583 62.948088, 6.753765 62.952981, 6.744398 62.954769, 6.734768 62.955385, 6.639554 62.953537, 6.625748 62.954759, 6.603266 62.958085, 6.504512 62.966637, 6.453394 62.973749, 6.422655 62.979734, 6.300826 63.006984, 6.177325 63.04864, 6.159734 63.055461, 6.027515 63.117222, 5.899058 63.196629, 5.792841 63.267426, 5.777667 63.282645, 5.765678 63.288809, 5.744111 63.303194, 5.742105 63.305504, 5.736801 63.316637, 5.734767 63.318925, 5.707487 63.332864, 5.704136 63.335277, 5.690983 63.36112, 5.669063 63.373752, 5.646491 63.395119, 5.638812 63.400331, 5.618275 63.408617, 5.588408 63.414668, 5.575486 63.418466, 5.525813 63.424078, 5.51653 63.426218, 5.498924 63.432012, 5.473168 63.435549, 5.441707 63.444386, 5.435481 63.447117, 5.425963 63.454135, 5.419412 63.457439, 5.390787 63.465329, 5.384481 63.467981, 5.379684 63.47188, 5.377992 63.476459, 5.379133 63.485285, 5.389533 63.505541, 5.389084 63.509264, 5.385256 63.517954, 5.386516 63.528076)</t>
  </si>
  <si>
    <t>P3521</t>
  </si>
  <si>
    <t>https://www.gem.wiki/Gudrun_Gas_Pipeline</t>
  </si>
  <si>
    <t>Gudrun Gas Pipeline</t>
  </si>
  <si>
    <t>Gudrun</t>
  </si>
  <si>
    <t>LINESTRING (1.743839 58.845364, 1.745045 58.845392, 1.758658 58.83791, 1.761173 58.83563, 1.762549 58.833102, 1.762152 58.82881, 1.757808 58.823769, 1.756662 58.821019, 1.758803 58.808739, 1.772191 58.759591, 1.818542 58.609734, 1.842308 58.557245, 1.871742 58.443582, 1.88201 58.382986, 1.884695 58.378514, 1.889879 58.374321, 1.895585 58.371574, 1.908614 58.367314)</t>
  </si>
  <si>
    <t>P3522</t>
  </si>
  <si>
    <t>https://www.gem.wiki/UK-Ireland_Interconnector_Gas_Pipeline#Bi-directional_project</t>
  </si>
  <si>
    <t>Bi-directional project</t>
  </si>
  <si>
    <t>Moffat-Dublin Pipeline</t>
  </si>
  <si>
    <t>P0918</t>
  </si>
  <si>
    <t>Dahej-Uran-Panvel-Dhabhol Gas Pipeline</t>
  </si>
  <si>
    <t>DUPL</t>
  </si>
  <si>
    <t>LINESTRING (72.5593714 21.7315587, 73.0899344 19.0032678)</t>
  </si>
  <si>
    <t>P3525</t>
  </si>
  <si>
    <t>https://www.gem.wiki/Route_4b_Gas_Pipeline</t>
  </si>
  <si>
    <t>Route 4b Gas Pipeline</t>
  </si>
  <si>
    <t>Port of Itaguaí Gas Pipeline</t>
  </si>
  <si>
    <t>Port of Itaguaí</t>
  </si>
  <si>
    <t>Gasoduto Rota 4b</t>
  </si>
  <si>
    <t>https://www.gem.wiki/Gasoduto_da_Rota_4b</t>
  </si>
  <si>
    <t>LINESTRING (-44 -25.25, -43.809016 -22.916006)</t>
  </si>
  <si>
    <t>P3528</t>
  </si>
  <si>
    <t>https://www.gem.wiki/Route_5b_Gas_Pipeline</t>
  </si>
  <si>
    <t>Route 5b Gas Pipeline</t>
  </si>
  <si>
    <t>Macaé Port Terminal (TEPOR)</t>
  </si>
  <si>
    <t>Gasoduto Rota 5b</t>
  </si>
  <si>
    <t>https://www.gem.wiki/Gasoduto_da_Rota_5b</t>
  </si>
  <si>
    <t>LINESTRING (-40.35 -23.18, -41.716872 -22.286138)</t>
  </si>
  <si>
    <t>P3529</t>
  </si>
  <si>
    <t>https://www.gem.wiki/Route_5c_Gas_Pipeline</t>
  </si>
  <si>
    <t>Route 5c Gas Pipeline</t>
  </si>
  <si>
    <t>Gasoduto Rota 5c</t>
  </si>
  <si>
    <t>https://www.gem.wiki/Gasoduto_da_Rota_5c</t>
  </si>
  <si>
    <t>LINESTRING (-40.35 -23.18, -44.055872 -23.08853, -43.809016 -22.916006)</t>
  </si>
  <si>
    <t>P3531</t>
  </si>
  <si>
    <t>https://www.gem.wiki/Route_6b_Gas_Pipeline</t>
  </si>
  <si>
    <t>Route 6b Gas Pipeline</t>
  </si>
  <si>
    <t>Gasoduto Rota 6b</t>
  </si>
  <si>
    <t>https://www.gem.wiki/Gasoduto_da_Rota_6b</t>
  </si>
  <si>
    <t>LINESTRING (-39.97411 -21.592065, -41.0166 -21.8448)</t>
  </si>
  <si>
    <t>P3532</t>
  </si>
  <si>
    <t>https://www.gem.wiki/ES-Mucuri_A_Gas_Pipeline</t>
  </si>
  <si>
    <t>ES-Mucuri A Gas Pipeline</t>
  </si>
  <si>
    <t>Espírito Santo-Mucuri basin</t>
  </si>
  <si>
    <t>Port of Imetame</t>
  </si>
  <si>
    <t>Gasoduto ES-Mucuri A</t>
  </si>
  <si>
    <t>https://www.gem.wiki/Gasoduto_ES-Mucuri_A</t>
  </si>
  <si>
    <t>LINESTRING (-38.772281 -20.427697, -40.074054 -19.857997)</t>
  </si>
  <si>
    <t>P3533</t>
  </si>
  <si>
    <t>https://www.gem.wiki/ES-Mucuri_B_Gas_Pipeline</t>
  </si>
  <si>
    <t>ES-Mucuri B Gas Pipeline</t>
  </si>
  <si>
    <t>Cacimbas gas processing facility</t>
  </si>
  <si>
    <t>Gasoduto ES-Mucuri B</t>
  </si>
  <si>
    <t>https://www.gem.wiki/Gasoduto_ES-Mucuri_B</t>
  </si>
  <si>
    <t>LINESTRING (-38.772281 -20.427697, -39.758784 -19.458231)</t>
  </si>
  <si>
    <t>P3534</t>
  </si>
  <si>
    <t>https://www.gem.wiki/SEAL_Gas_Pipeline</t>
  </si>
  <si>
    <t>SEAL Gas Pipeline</t>
  </si>
  <si>
    <t>Sergipe-Alagoas basin</t>
  </si>
  <si>
    <t>Sergipe</t>
  </si>
  <si>
    <t>Gasoduto SEAL</t>
  </si>
  <si>
    <t>https://www.gem.wiki/Gasoduto_SEAL</t>
  </si>
  <si>
    <t>LINESTRING (-36.148344 -11.310392, -37.067113 -11.006648)</t>
  </si>
  <si>
    <t>P3535</t>
  </si>
  <si>
    <t>https://www.gem.wiki/Sider%C3%B3polis-Porto_Alegre_Gas_Pipeline</t>
  </si>
  <si>
    <t>Siderópolis-Porto Alegre Gas Pipeline</t>
  </si>
  <si>
    <t>Siderópolis</t>
  </si>
  <si>
    <t>Santa Catarina</t>
  </si>
  <si>
    <t>Porto Alegre</t>
  </si>
  <si>
    <t>Gasoduto Siderópolis-Porto Alegre</t>
  </si>
  <si>
    <t>https://www.gem.wiki/Gasoduto_Sider%C3%B3polis-Porto_Alegre</t>
  </si>
  <si>
    <t>LINESTRING (-49.401879 -28.605248, -49.491742 -28.646277, -49.883519 -28.806153, -50.065152 -28.749048, -50.132701 -29.051834, -50.577874 -29.435912, -50.81204 -29.598234, -51.147576 -29.877514)</t>
  </si>
  <si>
    <t>P3536</t>
  </si>
  <si>
    <t>https://www.gem.wiki/Uruguaiana-Porto_Alegre_Gas_Pipeline</t>
  </si>
  <si>
    <t>Uruguaiana-Porto Alegre Gas Pipeline</t>
  </si>
  <si>
    <t>Trecho 2</t>
  </si>
  <si>
    <t>Triunfo</t>
  </si>
  <si>
    <t>Gasoduto Uruguaiana-Porto Alegre</t>
  </si>
  <si>
    <t>https://www.gem.wiki/Gasoduto_Uruguaiana-Porto_Alegre</t>
  </si>
  <si>
    <t>LINESTRING (-57.0002 -29.7652, -56.41511 -30.020615, -55.784346 -29.792572, -55.266572 -29.57616, -54.680692 -29.69284, -54.177416 -29.618948, -52.432174 -29.728651, -51.865944 -29.796883, -51.388189 -29.879529)</t>
  </si>
  <si>
    <t>P3537</t>
  </si>
  <si>
    <t>https://www.gem.wiki/Pen%C3%A1polis-Canoas_Gas_Pipeline</t>
  </si>
  <si>
    <t>Penápolis-Canoas Gas Pipeline</t>
  </si>
  <si>
    <t>Chimarrão A Gas Pipeline</t>
  </si>
  <si>
    <t>Penápolis</t>
  </si>
  <si>
    <t>Gasoduto Penápolis-Canoas</t>
  </si>
  <si>
    <t>https://www.gem.wiki/Gasoduto_Pen%C3%A1polis-Canoas</t>
  </si>
  <si>
    <t>LINESTRING (-50.106575 -21.504676, -51.054603 -23.271724, -51.160273 -23.316692, -51.93063 -23.411542, -52.413371 -25.401578, -52.677991 -26.231867, -52.615937 -27.08946, -52.405828 -28.266023, -51.526768 -29.260699, -51.147576 -29.877514)</t>
  </si>
  <si>
    <t>P3538</t>
  </si>
  <si>
    <t>https://www.gem.wiki/Bilac-Santa_Maria_Gas_Pipeline</t>
  </si>
  <si>
    <t>Bilac-Santa Maria Gas Pipeline</t>
  </si>
  <si>
    <t>Chimarrão B Gas Pipeline</t>
  </si>
  <si>
    <t>Bilac</t>
  </si>
  <si>
    <t>Gasoduto Bilac-Santa Maria</t>
  </si>
  <si>
    <t>https://www.gem.wiki/Gasoduto_Bilac-Santa_Maria</t>
  </si>
  <si>
    <t>LINESTRING (-50.457993 -21.380376, -51.254757 -22.175128, -51.380495 -22.752267, -51.45847 -23.553994, -51.479613 -25.370834, -51.149765 -27.009712, -51.50551 -27.175009, -52.268614 -27.644826, -52.405828 -28.266023, -53.608673 -28.642413, -53.817753 -29.692189)</t>
  </si>
  <si>
    <t>P3539</t>
  </si>
  <si>
    <t>https://www.gem.wiki/Presidente_Kennedy-S%C3%A3o_Br%C3%A1s_do_Sua%C3%A7u%C3%AD_Gas_Pipeline</t>
  </si>
  <si>
    <t>Presidente Kennedy-São Brás do Suaçuí Gas Pipeline</t>
  </si>
  <si>
    <t>Presidente Kennedy</t>
  </si>
  <si>
    <t>São Brás do Suaçuí</t>
  </si>
  <si>
    <t>Gasoduto Presidente Kennedy-São Brás do Suaçuí</t>
  </si>
  <si>
    <t>https://www.gem.wiki/Gasoduto_Presidente_Kennedy-S%C3%A3o_Br%C3%A1s_do_Sua%C3%A7u%C3%AD</t>
  </si>
  <si>
    <t>LINESTRING (-41.045143 -21.10056, -41.89135 -21.204056, -42.3701 -21.12995, -42.881923 -20.765979, -43.789961 -20.662126, -43.931639 -20.617716)</t>
  </si>
  <si>
    <t>P3540</t>
  </si>
  <si>
    <t>https://www.gem.wiki/Santo_Ant%C3%B4nio_dos_Lopes-Caucaia_Gas_Pipeline</t>
  </si>
  <si>
    <t>Santo Antônio dos Lopes-Caucaia Gas Pipeline</t>
  </si>
  <si>
    <t>Santo Antônio dos Lopes</t>
  </si>
  <si>
    <t>Caucaia</t>
  </si>
  <si>
    <t>Gasoduto Santo Antônio dos Lopes-Caucaia</t>
  </si>
  <si>
    <t>https://www.gem.wiki/Gasoduto_Santo_Ant%C3%B4nio_dos_Lopes-Caucaia</t>
  </si>
  <si>
    <t>LINESTRING (-44.357847 -4.823749, -42.813188 -5.09817, -42.173816 -4.831046, -41.776345 -4.27914, -40.993961 -3.7233, -40.351454 -3.690181, -38.8661 -3.6811)</t>
  </si>
  <si>
    <t>P3541</t>
  </si>
  <si>
    <t>https://www.gem.wiki/Santo_Ant%C3%B4nio_dos_Lopes-S%C3%A3o_Luis_Gas_Pipeline</t>
  </si>
  <si>
    <t>Santo Antônio dos Lopes-São Luis Gas Pipeline</t>
  </si>
  <si>
    <t>São Luis de Maranhão</t>
  </si>
  <si>
    <t>Gasoduto Santo Antônio dos Lopes-São Luis</t>
  </si>
  <si>
    <t>https://www.gem.wiki/Gasoduto_Santo_Ant%C3%B4nio_dos_Lopes-S%C3%A3o_Luis</t>
  </si>
  <si>
    <t>LINESTRING (-44.357847 -4.823749, -44.585566 -3.563193, -44.325314 -3.139761, -44.318019 -2.970042, -44.374364 -2.823803, -44.293772 -2.675915, -44.366563 -2.577679)</t>
  </si>
  <si>
    <t>P3542</t>
  </si>
  <si>
    <t>https://www.gem.wiki/Santo_Ant%C3%B4nio_dos_Lopes-Barcarena_Gas_Pipeline</t>
  </si>
  <si>
    <t>Santo Antônio dos Lopes-Barcarena Gas Pipeline</t>
  </si>
  <si>
    <t>Barcarena</t>
  </si>
  <si>
    <t>Pará</t>
  </si>
  <si>
    <t>Gasoduto Santo Antônio dos Lopes-Barcarena</t>
  </si>
  <si>
    <t>https://www.gem.wiki/Gasoduto_Santo_Ant%C3%B4nio_dos_Lopes-Barcarena</t>
  </si>
  <si>
    <t>LINESTRING (-44.357847 -4.823749, -45.45492 -4.621607, -46.857288 -4.49023, -47.353739 -3.000645, -48.7456 -1.5487)</t>
  </si>
  <si>
    <t>P3543</t>
  </si>
  <si>
    <t>Honduras</t>
  </si>
  <si>
    <t>Mexico, Guatemala, El Salvador, Honduras</t>
  </si>
  <si>
    <t>https://www.gem.wiki/Mexico-Northern_Central_America_Gas_Pipeline</t>
  </si>
  <si>
    <t>Mexico-Northern Central America Gas Pipeline</t>
  </si>
  <si>
    <t>San Pedro Sula</t>
  </si>
  <si>
    <t>Gasoducto México-Países del Norte de América Central</t>
  </si>
  <si>
    <t>https://www.gem.wiki/Gasoducto_M%C3%A9xico-Pa%C3%ADses_del_Norte_de_Am%C3%A9rica_Central</t>
  </si>
  <si>
    <t>MULTILINESTRING ((-94.409682 18.120563, -95.096309 16.561105, -94.192973 16.368654, -93.897858 16.231378, -92.42427 14.720038, -90.827096 13.927082, -89.8281 13.5834, -89.322284 13.48645, -87.455583 13.432758, -87.213452 14.073201, -87.857877 14.60755, -88.025049 15.505319), (-90.827096 13.927082, -90.507583 14.614989), (-89.322284 13.48645, -89.201346 13.694127))</t>
  </si>
  <si>
    <t>P1336</t>
  </si>
  <si>
    <t>Bulgaria, Serbia</t>
  </si>
  <si>
    <t>https://www.gem.wiki/Bulgaria_Serbia_Interconnection</t>
  </si>
  <si>
    <t>Bulgaria-Serbia Interconnector Gas Pipeline</t>
  </si>
  <si>
    <t>IBS Interconnection; Nis-Sofia Gas Pipeline</t>
  </si>
  <si>
    <t>Bulgartransgaz [unknown %]; Gastrans [unknown %]</t>
  </si>
  <si>
    <t>Bulgarian Energy Holding [unknown %]; Gazprom [unknown %]; Srbijagas [unknown %]</t>
  </si>
  <si>
    <t>LINESTRING (21.871908 43.400028, 21.932951 43.378686, 22.094194 43.387056, 22.213976 43.366965, 22.301508 43.308327, 22.513428 43.306651, 22.679279 43.184163, 22.739169 43.096761, 22.870468 43.064795, 22.856143 42.951111, 22.932886 42.908312, 22.986016 42.834521, 23.10851 42.827142, 23.151308 42.834521, 23.266667 42.788181, 23.332906 42.697654)</t>
  </si>
  <si>
    <t>P1155</t>
  </si>
  <si>
    <t>https://www.gem.wiki/ERM_Wellington_Pipeline</t>
  </si>
  <si>
    <t>ERM Wellington Pipeline</t>
  </si>
  <si>
    <t>ERM Power [100.00%]</t>
  </si>
  <si>
    <t>Young</t>
  </si>
  <si>
    <t>LINESTRING (148.2802804 -34.3092032, 148.9299194 -32.5513363)</t>
  </si>
  <si>
    <t>P1156</t>
  </si>
  <si>
    <t>https://www.gem.wiki/Fortescue_River_Gas_Pipeline</t>
  </si>
  <si>
    <t>Fortescue River Gas Pipeline</t>
  </si>
  <si>
    <t>DUET Group [57.00%]; TransAlta [43.00%]</t>
  </si>
  <si>
    <t>Pilbara</t>
  </si>
  <si>
    <t>LINESTRING (116.024822 -21.639614, 116.049955 -21.645998, 116.084532 -21.643159, 116.084587 -21.641744, 116.088315 -21.641874, 116.091471 -21.642221, 116.093887 -21.642371, 116.096296 -21.643005, 116.097869 -21.644135, 116.100246 -21.645882, 116.101971 -21.64665, 116.103932 -21.647264, 116.106629 -21.647125, 116.107914 -21.646579, 116.110546 -21.646701, 116.13135 -21.651992, 116.13389 -21.655581, 116.134526 -21.658808, 116.134746 -21.659815, 116.141701 -21.666016, 116.140762 -21.666937, 116.16063 -21.684014, 116.161995 -21.684757, 116.169007 -21.684912, 116.178779 -21.679162, 116.182816 -21.676786, 116.197645 -21.670551, 116.206048 -21.667936, 116.210235 -21.666633, 116.218099 -21.657401, 116.219512 -21.656809, 116.221244 -21.656638, 116.222224 -21.656745, 116.232205 -21.661918, 116.23392 -21.662682, 116.237144 -21.663774, 116.238184 -21.664014, 116.238627 -21.664393, 116.255674 -21.665999, 116.258234 -21.666391, 116.274117 -21.663592, 116.276651 -21.663375, 116.278419 -21.66343, 116.282593 -21.664104, 116.283517 -21.664146, 116.286427 -21.664818, 116.286739 -21.663599, 116.289109 -21.664063, 116.290839 -21.663293, 116.294189 -21.66243, 116.299121 -21.66231, 116.300129 -21.661614, 116.300525 -21.661036, 116.301325 -21.660636, 116.30241 -21.659655, 116.303951 -21.657872, 116.304699 -21.658478, 116.306975 -21.655991, 116.319503 -21.648181, 116.32542 -21.647846, 116.32784 -21.647291, 116.329892 -21.646002, 116.332273 -21.64256, 116.334728 -21.640463, 116.335228 -21.637711, 116.339309 -21.635215, 116.341953 -21.634064, 116.347295 -21.632343, 116.349007 -21.631925, 116.350663 -21.631844, 116.352443 -21.631306, 116.366833 -21.632312, 116.368271 -21.63209, 116.380684 -21.627433, 116.381808 -21.626651, 116.383193 -21.626454, 116.386433 -21.625191, 116.389416 -21.62306, 116.394082 -21.618943, 116.395324 -21.61826, 116.396782 -21.617845, 116.398324 -21.617708, 116.407575 -21.617792, 116.410858 -21.617064, 116.412566 -21.616386, 116.413779 -21.615601, 116.416633 -21.614446, 116.417213 -21.614081, 116.419246 -21.613445, 116.42159 -21.613536, 116.423543 -21.614578, 116.431748 -21.622005, 116.434121 -21.623674, 116.435489 -21.624464, 116.436955 -21.62514, 116.437765 -21.625448, 116.441103 -21.626481, 116.444713 -21.627474, 116.44812 -21.628101, 116.45082 -21.62819, 116.460149 -21.628496, 116.464351 -21.629107, 116.468457 -21.630061, 116.470424 -21.630417, 116.481601 -21.631145, 116.483569 -21.631088, 116.488263 -21.632397, 116.4912 -21.633467, 116.491725 -21.633511, 116.492589 -21.633831, 116.493171 -21.634206, 116.496662 -21.635555, 116.500115 -21.636302, 116.503854 -21.636437, 116.51202 -21.635173, 116.514686 -21.635202, 116.518226 -21.635588, 116.523916 -21.636354, 116.527392 -21.63668, 116.529569 -21.636686, 116.540984 -21.635084, 116.542512 -21.635158, 116.546557 -21.635932, 116.554502 -21.638403, 116.557898 -21.638395, 116.563662 -21.63714, 116.58006 -21.637076, 116.595218 -21.635041, 116.596082 -21.635229, 116.603139 -21.63372, 116.610394 -21.631282, 116.620287 -21.626972, 116.6226 -21.626218, 116.62602 -21.62579, 116.633077 -21.625803, 116.636359 -21.626776, 116.646491 -21.631982, 116.647439 -21.632166, 116.648527 -21.63306, 116.649047 -21.633336, 116.675729 -21.647347, 116.677805 -21.648263, 116.678339 -21.648717, 116.683912 -21.651642, 116.685679 -21.652416, 116.689218 -21.653439, 116.693019 -21.655749, 116.694421 -21.657001, 116.697115 -21.658865, 116.69919 -21.660985, 116.699869 -21.661746, 116.700898 -21.661828, 116.701929 -21.661384, 116.706108 -21.665107, 116.708814 -21.667316, 116.710985 -21.669042, 116.71388 -21.670281, 116.738504 -21.677223, 116.7395 -21.677857, 116.740425 -21.67769, 116.741561 -21.678415, 116.742883 -21.679338, 116.74356 -21.679769, 116.74401 -21.680477, 116.745309 -21.681161, 116.748792 -21.681961, 116.748942 -21.681207, 116.750742 -21.681751, 116.753459 -21.683785, 116.761222 -21.692925, 116.765783 -21.704589, 116.765839 -21.71005, 116.781326 -21.730531, 116.783008 -21.731454, 116.785584 -21.732174, 116.788921 -21.732221, 116.788969 -21.732979, 116.789559 -21.732948, 116.794526 -21.731002, 116.799251 -21.729151, 116.800495 -21.728824, 116.804467 -21.72828, 116.829881 -21.728412, 116.832375 -21.729392, 116.840669 -21.734307, 116.84142 -21.734545, 116.845775 -21.734656, 116.846652 -21.734484, 116.848121 -21.733419, 116.85422 -21.727499, 116.860304 -21.725678, 116.896913 -21.719186, 116.912338 -21.710638, 116.913359 -21.709988, 116.918147 -21.7059, 116.933719 -21.693945, 116.938231 -21.690751, 116.942071 -21.689212, 116.951627 -21.684826, 117.001101 -21.670993, 117.002384 -21.67113, 117.018413 -21.667045, 117.179066 -21.747933, 117.182798 -21.750295, 117.284754 -21.802022, 117.330465 -21.816874, 117.356913 -21.825837, 117.433447 -21.83332, 117.499974 -21.849962, 117.50804 -21.853345, 117.510476 -21.85451, 117.604901 -21.893437, 117.620965 -21.89349, 117.633918 -21.89365, 117.763135 -21.899959, 117.783353 -21.899977, 117.818951 -21.909029, 117.861947 -21.919748, 117.893671 -21.925706, 117.893889 -21.925495, 117.903062 -21.943735, 117.931179 -21.969289, 117.978827 -22.046939, 117.986077 -22.085676, 117.990939 -22.112794, 117.987873 -22.121607, 117.987797 -22.127458, 117.984079 -22.138444, 117.98382 -22.139934, 117.984291 -22.141196, 117.984116 -22.145055, 117.975112 -22.154059, 117.957791 -22.148015)</t>
  </si>
  <si>
    <t>P0919</t>
  </si>
  <si>
    <t>https://www.gem.wiki/Dahej-Vijaipur_Gas_Pipeline_(DVPL-I)</t>
  </si>
  <si>
    <t>Dahej-Vijaipur Gas Pipeline (DVPL-I)</t>
  </si>
  <si>
    <t>LINESTRING (72.5549084 21.7277317, 77.1374524 24.4891856)</t>
  </si>
  <si>
    <t>P1337</t>
  </si>
  <si>
    <t>MULTILINESTRING ((23.8162 42.4382, 23.8518 42.4313, 23.8589 42.4171, 23.8606 42.4105, 23.866 42.4069, 23.868 42.4031, 23.8718 42.3938, 23.8764 42.388, 23.8784 42.3834, 23.8786 42.3779, 23.8846 42.3722, 23.906 42.3599, 23.9128 42.3555, 23.9211 42.3547, 23.9273 42.3495, 23.9353 42.3453, 23.9388 42.3453, 23.9676 42.3259, 23.9761 42.3262, 23.9854 42.3303, 23.9961 42.3382, 24.0029 42.3418, 24.014 42.3432, 24.0222 42.3422, 24.0378 42.3424, 24.0442 42.3434, 24.0744 42.3383, 24.1089 42.3272, 24.1325 42.3198, 24.1705 42.3124, 24.2814 42.2872, 24.5089 42.2958, 24.75 42.25, 24.8371 42.2295, 24.9996 42.2254, 25.2506 42.2995, 25.5509 42.3818, 25.638 42.435, 26.0444 42.5329, 26.0916 42.5259, 26.4271 42.5923, 26.6927 42.6395, 26.8066 42.6583, 26.8385 42.717, 26.9505 42.8093, 27.1301 42.8373, 27.2124 42.8735, 27.2421 42.918, 27.3228 42.9427, 27.4406 43.177, 27.551 43.4055, 27.7539 43.5512, 27.8409 43.6215, 28.058 43.718, 28.1079 43.7538), (27.5512 43.4055, 27.3167 43.3875, 27.1759 43.3602, 26.9851 43.3693, 26.817 43.3738, 26.5809 43.3398, 25.3 43.2569, 24.925924 43.049882, 24.18984 43.061927, 23.799825 42.870998, 23.772359 42.715811, 23.8162 42.4382), (23.772359 42.715811, 23.659749 42.696641, 23.332906 42.697654), (23.332906 42.697654, 23.041768 42.614841))</t>
  </si>
  <si>
    <t>P1361</t>
  </si>
  <si>
    <t>https://www.gem.wiki/Galilee_Gas_Pipeline</t>
  </si>
  <si>
    <t>Galilee Gas Pipeline</t>
  </si>
  <si>
    <t>GGP</t>
  </si>
  <si>
    <t>Injune</t>
  </si>
  <si>
    <t>MULTILINESTRING ((144.73599 -23.795652, 144.922217 -23.845198, 144.961513 -23.852032, 144.993975 -23.862283, 145.036687 -23.881077, 145.077692 -23.906705, 145.106736 -23.934041, 145.137489 -23.959668, 145.166534 -23.993839, 145.279295 -24.113434, 145.310049 -24.137353, 145.34251 -24.162981, 145.373263 -24.180066, 145.412789 -24.205024, 145.442245 -24.235819, 145.475049 -24.264606, 145.562748 -24.350966, 145.589526 -24.373728, 145.694631 -24.490213, 145.722749 -24.521008, 145.754883 -24.559837, 145.779652 -24.584607, 145.827854 -24.616072, 145.862665 -24.637494, 145.904172 -24.674315, 145.922247 -24.690382, 145.951703 -24.709126, 146.019319 -24.762683, 146.064172 -24.804189, 146.121746 -24.870466, 146.137813 -24.880508, 146.1666 -24.904608, 146.242248 -24.972224, 146.323922 -25.043856, 146.349362 -25.061262, 146.374801 -25.080676, 146.416977 -25.118835, 146.447772 -25.148961, 146.488609 -25.193145, 146.503337 -25.197162, 146.518065 -25.209212, 146.567605 -25.252727, 146.761079 -25.415405, 146.791874 -25.441514, 146.83338 -25.480343, 146.87087 -25.517163, 146.921749 -25.563356, 146.941163 -25.580092, 146.999406 -25.622937, 147.016143 -25.63231, 147.038235 -25.648377, 147.058988 -25.665113, 147.078402 -25.679841, 147.0938 -25.687875, 147.103842 -25.695239, 147.109867 -25.698586, 147.119239 -25.699925, 147.137984 -25.702603, 147.146687 -25.705281, 147.160076 -25.710636, 147.170787 -25.713984, 147.187524 -25.716662, 147.203591 -25.719339, 147.211624 -25.722017, 147.219658 -25.728712, 147.239742 -25.750804, 147.263842 -25.766871, 147.309365 -25.79298, 147.368278 -25.825783, 147.37832 -25.833147, 147.386353 -25.835825, 147.433215 -25.84252, 147.456646 -25.847206, 147.502839 -25.856578, 147.531626 -25.865281, 147.542337 -25.869298, 147.561751 -25.870637, 147.591207 -25.869298, 147.725769 -25.868629, 147.742505 -25.865281, 147.767275 -25.862604, 147.786689 -25.861934, 147.808112 -25.864612, 147.830204 -25.86662, 147.849618 -25.86662, 147.88443 -25.862604, 147.916564 -25.857248, 147.953385 -25.850553, 147.99556 -25.844528, 148.016314 -25.840511, 148.051126 -25.835156, 148.075226 -25.833817, 148.134808 -25.828461, 148.180331 -25.821097, 148.23121 -25.811725, 148.251963 -25.804361, 148.259327 -25.801683, 148.272047 -25.800344, 148.284767 -25.803691, 148.300834 -25.808377, 148.353051 -25.812394, 148.385185 -25.816411, 148.414642 -25.821767, 148.430039 -25.826453, 148.442759 -25.833147, 148.479579 -25.853231, 148.51506 -25.870637, 148.541839 -25.881348, 148.569956 -25.887373, 148.595395 -25.89139, 148.640249 -25.895407, 148.677739 -25.898754, 148.707864 -25.900763, 148.733973 -25.90411, 148.759413 -25.911474, 148.795639 -25.931355), (144.73599 -23.795652, 144.73858 -23.737232, 144.744894 -23.663568, 144.753313 -23.604637, 144.755417 -23.554124, 144.755417 -23.520449, 144.753313 -23.478356, 144.749103 -23.423634, 144.740685 -23.362598, 144.736475 -23.303666, 144.734371 -23.227898, 144.732266 -23.173176, 144.734371 -23.152129, 144.728056 -23.133187, 144.721742 -23.103721, 144.721742 -23.091093))</t>
  </si>
  <si>
    <t>P1340</t>
  </si>
  <si>
    <t>Hungary, Slovenia, Italy</t>
  </si>
  <si>
    <t>Slovenian-Hungarian interconnector, Nagykanizsa-Kozármisleny, Nagykanizsa-Tornyiszentmiklós</t>
  </si>
  <si>
    <t>Nagykanizsa</t>
  </si>
  <si>
    <t>MULTILINESTRING ((14.493566 46.189904, 15.6259201 46.3834657, 15.7658634 46.4035295), (16.5220502 46.5258396, 16.5230602 46.5254172, 16.6032446 46.5209512, 16.748319 46.5025418, 16.8205713 46.4943532, 16.9905882 46.4610061, 17.1291923 46.4641562, 17.2299952 46.4625811, 17.5906808 46.457856, 17.7214096 46.4436806, 17.7749612 46.4027294, 17.814811 46.3484116, 17.8303961 46.3172414, 17.8447823 46.2704861, 17.9239067 46.1793732, 17.9814517 46.1410098, 18.0230166 46.1091522, 18.0842134 46.071902, 18.1660308 46.0562702, 18.2880918 46.0403058), (15.7661384 46.4035599, 15.7946717 46.4049674, 15.8190609 46.4393421, 15.8799275 46.4606754, 15.9951725 46.5167482, 16.0667428 46.5167482, 16.1327503 46.5377818, 16.2155997 46.5406719, 16.3694493 46.5717172, 16.4540645 46.563953, 16.5219037 46.525894), (13.6209373 45.9398581, 13.6556262 45.921837, 13.9052028 45.8870945, 14.189414 45.8947652, 14.4935662 46.1899043))</t>
  </si>
  <si>
    <t>P1341</t>
  </si>
  <si>
    <t>Szada</t>
  </si>
  <si>
    <t>Balassagyarmat</t>
  </si>
  <si>
    <t>LINESTRING (19.291 47.3909, 19.422 47.4824, 19.42 47.5394, 19.360597 47.580961, 19.363085 47.641016, 19.363085 47.733213, 19.34079 47.789951, 19.304161 47.848765, 19.336012 47.893632, 19.382195 47.957661, 19.404491 48.035455, 19.388565 48.114196, 19.461 48.2023)</t>
  </si>
  <si>
    <t>P0920</t>
  </si>
  <si>
    <t>https://www.gem.wiki/East_West_Gas_Pipeline</t>
  </si>
  <si>
    <t>East West Gas Pipeline (India)</t>
  </si>
  <si>
    <t>Kakinada-Hyderabad-Uran-Ahmedabad Gas Pipeline</t>
  </si>
  <si>
    <t>India Infrastructure Trust [100.00%]</t>
  </si>
  <si>
    <t>Brookfield Asset Management [100.00%]</t>
  </si>
  <si>
    <t>Krishna Godavari Basin</t>
  </si>
  <si>
    <t>Bharuch</t>
  </si>
  <si>
    <t>LINESTRING (82.2293334 16.9915439, 72.9792104 21.7071847)</t>
  </si>
  <si>
    <t>P1157</t>
  </si>
  <si>
    <t>https://www.gem.wiki/GLNG_Pipeline</t>
  </si>
  <si>
    <t>GLNG Pipeline</t>
  </si>
  <si>
    <t>Gladstone LNG Pipeline</t>
  </si>
  <si>
    <t>Fairview, Roma, Arcadia, Comet Ridge and Scotia</t>
  </si>
  <si>
    <t>MULTILINESTRING ((151.114838 -23.75104, 151.114777 -23.751062, 151.114288 -23.75139, 151.106796 -23.753054, 151.09874 -23.75214, 151.095276 -23.751368, 151.090759 -23.750706, 151.086075 -23.751417, 151.082779 -23.752764, 151.074799 -23.757065, 151.070282 -23.759398, 151.066818 -23.761391, 151.06076 -23.767418, 151.058807 -23.76899, 151.050812 -23.774588, 151.0495 -23.775396, 151.042831 -23.782009, 151.041382 -23.783392, 151.03479 -23.788763, 151.031708 -23.791395, 151.026825 -23.796177, 151.023468 -23.799393, 151.018829 -23.802252, 151.011047 -23.807457, 151.010818 -23.807684, 151.006851 -23.811371, 151.006836 -23.81138), (149.927368 -24.416405, 149.927383 -24.416452, 149.931198 -24.414045, 149.936005 -24.412708, 149.939163 -24.411831, 149.947098 -24.409632, 149.95517 -24.40819, 149.963135 -24.406954, 149.97113 -24.405743, 149.977646 -24.404634, 149.979141 -24.402094, 149.983505 -24.396709, 149.987152 -24.393257, 149.988434 -24.388626, 149.995148 -24.381805, 149.998611 -24.380709, 150.003128 -24.379131, 150.011154 -24.376038, 150.019211 -24.373585, 150.022324 -24.372684, 150.027191 -24.371275, 150.035095 -24.368988, 150.043121 -24.366663, 150.050746 -24.364715, 150.051102 -24.364635, 150.059189 -24.362995, 150.0672 -24.361752, 150.075134 -24.359514, 150.083191 -24.359829, 150.091095 -24.361437, 150.099167 -24.363705, 150.107178 -24.364527, 150.108963 -24.364723, 150.115189 -24.365417, 150.123198 -24.366392, 150.131149 -24.367359, 150.139114 -24.368324, 150.147141 -24.365341, 150.148666 -24.364676, 150.155106 -24.361856, 150.163132 -24.359337, 150.166946 -24.35668, 150.171097 -24.354864, 150.179184 -24.351326, 150.184937 -24.348684, 150.187119 -24.347401, 150.195114 -24.343063, 150.20311 -24.342106, 150.208939 -24.34071, 150.211121 -24.340187, 150.219147 -24.337879, 150.227112 -24.335453, 150.235138 -24.333012, 150.236191 -24.332689, 150.243118 -24.331139, 150.25116 -24.329432, 150.259125 -24.329699, 150.267151 -24.327787, 150.275101 -24.328278, 150.283127 -24.325514, 150.284561 -24.324703, 150.291138 -24.320824, 150.299149 -24.317942, 150.302811 -24.316677, 150.307114 -24.315195, 150.31513 -24.312649, 150.32312 -24.310205, 150.328079 -24.308689, 150.328766 -24.308722, 150.330811 -24.308683, 150.331146 -24.30855, 150.339111 -24.305412, 150.347168 -24.302546, 150.351974 -24.300697, 150.355118 -24.299309, 150.363129 -24.295778, 150.371201 -24.294786, 150.377914 -24.292686, 150.37912 -24.292017, 150.387115 -24.290163, 150.395172 -24.289597, 150.403137 -24.289036, 150.411133 -24.288469, 150.419205 -24.287958, 150.427185 -24.286812, 150.435196 -24.285564, 150.443039 -24.284708, 150.443161 -24.284683, 150.451126 -24.28091, 150.459106 -24.279659, 150.467163 -24.27883, 150.475098 -24.277315, 150.4776 -24.276707, 150.483154 -24.27536, 150.491119 -24.27309, 150.499161 -24.270761, 150.506149 -24.268709, 150.507172 -24.268328, 150.515167 -24.265318, 150.521378 -24.260708, 150.523163 -24.259548, 150.531097 -24.254395, 150.533737 -24.252684, 150.539154 -24.249161, 150.546082 -24.244661, 150.54715 -24.244007, 150.555145 -24.238779, 150.55864 -24.236671, 150.563156 -24.232935, 150.570984 -24.22871, 150.571167 -24.228569, 150.579147 -24.223314, 150.584503 -24.220667, 150.587097 -24.218964, 150.595108 -24.216448, 150.603134 -24.216642, 150.611145 -24.220091, 150.619125 -24.214649, 150.627117 -24.215875, 150.635132 -24.217676, 150.643112 -24.218349, 150.651154 -24.217632, 150.655624 -24.212704, 150.658691 -24.212746, 150.659103 -24.213064, 150.659576 -24.21265, 150.667099 -24.205526, 150.67131 -24.204699, 150.674866 -24.204746, 150.67511 -24.204945, 150.682983 -24.204712, 150.683151 -24.204569, 150.685501 -24.196693, 150.691116 -24.195131, 150.694565 -24.188713, 150.696899 -24.18066, 150.697174 -24.172659, 150.699097 -24.170443, 150.700195 -24.164709, 150.706192 -24.156693, 150.707153 -24.155704, 150.713928 -24.148706, 150.71521 -24.148502, 150.723022 -24.140642, 150.723099 -24.140554, 150.729584 -24.132696, 150.731094 -24.131342, 150.739105 -24.124996, 150.739426 -24.12468, 150.747131 -24.117977, 150.748367 -24.116697, 150.755173 -24.114346, 150.763184 -24.112345, 150.77121 -24.110344, 150.777954 -24.108706, 150.779099 -24.108423, 150.787109 -24.1063, 150.795151 -24.102831, 150.800293 -24.100676, 150.803146 -24.099516, 150.811172 -24.096958, 150.819122 -24.094067, 150.82045 -24.092648, 150.823166 -24.084635, 150.827118 -24.082607, 150.835144 -24.079123, 150.840607 -24.076706, 150.843094 -24.072723, 150.846741 -24.068714, 150.849533 -24.060699, 150.85112 -24.055311, 150.85202 -24.05267, 150.859146 -24.045898, 150.860504 -24.044704, 150.867172 -24.040142, 150.87439 -24.036674, 150.875122 -24.036304, 150.883133 -24.032192, 150.891159 -24.028809, 150.891373 -24.028708, 150.899109 -24.026852, 150.907104 -24.025188, 150.915115 -24.023333, 150.923096 -24.02084, 150.923492 -24.020683, 150.931137 -24.017706, 150.939133 -24.014587, 150.943939 -24.012703, 150.947144 -24.01144, 150.955139 -24.008303, 150.963135 -24.004974, 150.963699 -24.004671, 150.968948 -23.996679, 150.970078 -23.988625, 150.970901 -23.98069, 150.9711 -23.978279, 150.97142 -23.972691, 150.971085 -23.969456, 150.971146 -23.966642, 150.972321 -23.96463, 150.976822 -23.956671, 150.979126 -23.952585, 150.981308 -23.948677, 150.986404 -23.940672, 150.987106 -23.939661, 150.991333 -23.932617, 150.994217 -23.924685, 150.995117 -23.922688, 150.99733 -23.916628, 151.00119 -23.908689, 151.003113 -23.905241, 151.005661 -23.900642, 151.009857 -23.8927, 151.011139 -23.890266, 151.014664 -23.88464, 151.01918 -23.881426, 151.025635 -23.876638, 151.026825 -23.868652, 151.0271 -23.86796, 151.028229 -23.860704, 151.027084 -23.858522, 151.025284 -23.852705, 151.023117 -23.844715, 151.019989 -23.836708, 151.019073 -23.834333, 151.014297 -23.828684, 151.011017 -23.826031, 151.006073 -23.820683, 151.005432 -23.812666, 151.006775 -23.811499, 151.007034 -23.811731), (149.927353 -24.416716, 149.927292 -24.416779, 149.919937 -24.417164, 149.911865 -24.419205, 149.903854 -24.419975, 149.89595 -24.420753, 149.895584 -24.420923, 149.887955 -24.428995, 149.879868 -24.430261, 149.871918 -24.430374, 149.863922 -24.43091, 149.855942 -24.433477, 149.85257 -24.43696, 149.84819 -24.436878, 149.847961 -24.436218, 149.841324 -24.436926, 149.839905 -24.437819, 149.831909 -24.442875, 149.828705 -24.444908, 149.823898 -24.447943, 149.81604 -24.452911, 149.815933 -24.452976, 149.807938 -24.45804, 149.803329 -24.460947, 149.799942 -24.463091, 149.791946 -24.468147, 149.790665 -24.468954, 149.78389 -24.472866, 149.779434 -24.476927, 149.775925 -24.478535, 149.770966 -24.47687, 149.767899 -24.475576, 149.759872 -24.473551, 149.752975 -24.468868, 149.751938 -24.467928, 149.743881 -24.463879, 149.73761 -24.460863, 149.73587 -24.46003, 149.727966 -24.456226, 149.719971 -24.455702, 149.711914 -24.460571, 149.711334 -24.46092, 149.703903 -24.464258, 149.695938 -24.467051, 149.690598 -24.468927, 149.687866 -24.469887, 149.679855 -24.472145, 149.67189 -24.474277, 149.663971 -24.4764, 149.662033 -24.476917, 149.655853 -24.478287, 149.647949 -24.479816, 149.639908 -24.481325, 149.631866 -24.482368, 149.623947 -24.483391, 149.615936 -24.484493, 149.614059 -24.484926, 149.60791 -24.487089, 149.599945 -24.49008, 149.592422 -24.492905, 149.591873 -24.493109, 149.583862 -24.495878, 149.575882 -24.498024, 149.567886 -24.500937, 149.559937 -24.503832, 149.55188 -24.506775, 149.546021 -24.508909, 149.543884 -24.509686, 149.535965 -24.512573, 149.527863 -24.515869, 149.523209 -24.516932, 149.519943 -24.518005, 149.511871 -24.520662, 149.503937 -24.524038, 149.501846 -24.524946, 149.495972 -24.5275, 149.48793 -24.530993, 149.483521 -24.532904, 149.479904 -24.534, 149.471893 -24.536432, 149.463928 -24.538843, 149.457031 -24.54093, 149.455872 -24.541283, 149.447922 -24.543688, 149.439926 -24.54611, 149.431946 -24.548628, 149.431091 -24.548939, 149.423935 -24.550409, 149.415909 -24.551908, 149.407867 -24.553413, 149.399902 -24.555595, 149.396606 -24.556936, 149.391953 -24.558832, 149.383942 -24.562092, 149.377014 -24.564913, 149.375916 -24.565361, 149.367874 -24.567623, 149.359894 -24.569759, 149.351959 -24.571882, 149.348068 -24.572922, 149.343933 -24.572908, 149.343826 -24.572886, 149.335892 -24.57184, 149.329605 -24.572912, 149.327942 -24.574701, 149.322983 -24.580917, 149.319931 -24.583961, 149.311951 -24.586918, 149.306702 -24.588922, 149.303955 -24.589972, 149.295883 -24.593077, 149.287949 -24.596397, 149.286636 -24.596945, 149.279953 -24.599312, 149.271881 -24.601852, 149.263962 -24.603975, 149.260406 -24.604927, 149.255875 -24.605572, 149.247894 -24.606253, 149.239914 -24.606936, 149.231934 -24.609808, 149.225983 -24.612925, 149.223907 -24.614008, 149.215958 -24.618174, 149.207947 -24.620268, 149.202148 -24.620909, 149.199951 -24.621153, 149.191956 -24.622038, 149.18396 -24.623465, 149.175919 -24.625797, 149.167938 -24.628117, 149.165421 -24.628929, 149.159866 -24.630928, 149.151901 -24.635096, 149.145493 -24.636921, 149.143951 -24.637798, 149.135971 -24.640965, 149.12796 -24.644812, 149.127762 -24.644924, 149.119965 -24.648926, 149.111969 -24.652569, 149.111221 -24.65292, 149.103958 -24.65539, 149.096008 -24.65288, 149.095963 -24.652842, 149.087891 -24.652872, 149.087646 -24.652905, 149.079971 -24.654024, 149.071945 -24.654976, 149.063934 -24.656759, 149.055969 -24.654253, 149.047928 -24.653919, 149.039932 -24.654194, 149.031952 -24.654379, 149.028351 -24.652899, 149.023926 -24.648901, 149.016724 -24.652927, 149.015961 -24.654243, 149.013702 -24.66091, 149.007919 -24.663857, 148.999969 -24.667557, 148.991913 -24.667681, 148.983932 -24.668573, 148.983475 -24.668922, 148.975967 -24.673958, 148.967957 -24.675257, 148.965149 -24.676954, 148.959961 -24.679871, 148.951965 -24.683214, 148.949188 -24.684917, 148.943924 -24.68782, 148.935867 -24.690229, 148.927902 -24.692602, 148.92688 -24.692904, 148.919937 -24.699759, 148.91893 -24.700985, 148.911972 -24.704943, 148.906708 -24.708952, 148.903946 -24.711327, 148.896774 -24.716957, 148.895905 -24.717701, 148.887955 -24.72452, 148.887436 -24.724977, 148.882996 -24.732964, 148.879959 -24.738768, 148.878815 -24.740946, 148.874603 -24.749004, 148.871933 -24.754229, 148.870621 -24.756935, 148.866699 -24.764999, 148.863937 -24.770939, 148.863022 -24.773001, 148.858398 -24.780905, 148.855972 -24.782616, 148.847916 -24.788258, 148.84697 -24.788919, 148.839935 -24.79385, 148.835495 -24.796955, 148.831894 -24.79948, 148.824142 -24.804926, 148.823959 -24.805059, 148.815964 -24.810694, 148.81279 -24.812929, 148.807892 -24.816378, 148.805069 -24.820965, 148.802078 -24.828964, 148.799942 -24.834679, 148.799088 -24.836954, 148.796127 -24.844904, 148.794495 -24.85294, 148.793594 -24.860905, 148.792786 -24.868912, 148.791962 -24.876999, 148.790833 -24.884975, 148.787018 -24.892937, 148.78392 -24.899399, 148.783188 -24.900923, 148.779327 -24.908979, 148.777008 -24.916943, 148.77597 -24.922264, 148.775436 -24.924974, 148.773865 -24.932953, 148.772308 -24.940954, 148.773224 -24.94899, 148.774826 -24.956953, 148.775986 -24.962767, 148.776428 -24.964939, 148.77803 -24.972937, 148.779633 -24.980976, 148.781235 -24.988947, 148.782844 -24.996908, 148.782104 -25.004913, 148.78125 -25.012926, 148.780411 -25.020973, 148.779556 -25.028986, 148.778706 -25.036978, 148.777847 -25.044947, 148.776993 -25.052948, 148.779556 -25.060944, 148.78186 -25.068972, 148.78299 -25.076914, 148.783981 -25.083941, 148.784119 -25.084944, 148.7854 -25.092928, 148.788437 -25.100948, 148.791443 -25.108932, 148.791977 -25.110352, 148.794495 -25.117004, 148.797501 -25.124987, 148.800018 -25.131647, 148.800491 -25.132912, 148.803497 -25.140934, 148.807983 -25.146999, 148.809525 -25.148994, 148.81572 -25.156958, 148.81601 -25.157328, 148.82196 -25.164988, 148.824005 -25.167614, 148.82814 -25.172935, 148.831985 -25.179482, 148.832596 -25.180927, 148.836029 -25.188955, 148.83989 -25.196947, 148.839981 -25.197132, 148.844101 -25.204981, 148.847885 -25.212994, 148.847977 -25.2132, 148.851639 -25.220945, 148.856018 -25.228861, 148.856094 -25.228979, 148.861374 -25.236933, 148.863983 -25.240856, 148.865479 -25.244904, 148.867126 -25.252975, 148.868652 -25.260944, 148.869644 -25.268984, 148.870468 -25.276936, 148.871994 -25.283991, 148.872238 -25.284941, 148.873993 -25.292925, 148.875336 -25.30098, 148.876678 -25.309006, 148.878006 -25.316931, 148.879349 -25.324986, 148.879974 -25.328688, 148.881302 -25.332949, 148.885178 -25.340963, 148.888 -25.346804, 148.889038 -25.348961, 148.892441 -25.35692, 148.894974 -25.364927, 148.895981 -25.368135, 148.896423 -25.372976, 148.895966 -25.37546, 148.894791 -25.380983, 148.891815 -25.388922, 148.889252 -25.396925, 148.88797 -25.402519, 148.887421 -25.404942, 148.886292 -25.412943, 148.88533 -25.420904, 148.887985 -25.428255, 148.888245 -25.428949, 148.891037 -25.436989, 148.892944 -25.444983, 148.894836 -25.452932, 148.89473 -25.460909, 148.89212 -25.468937, 148.889709 -25.476913, 148.892487 -25.484995, 148.89537 -25.492975, 148.895981 -25.494719, 148.898163 -25.500933, 148.90097 -25.508966, 148.899734 -25.516945, 148.895935 -25.524731, 148.891525 -25.524923, 148.88797 -25.529064, 148.885406 -25.53294, 148.883209 -25.540968, 148.879913 -25.544746, 148.876282 -25.548925, 148.879684 -25.55694, 148.880005 -25.56303, 148.880371 -25.564947, 148.879959 -25.566938, 148.880005 -25.569719, 148.881683 -25.572947, 148.879898 -25.579697, 148.878342 -25.580908, 148.871964 -25.584908, 148.869278 -25.588976, 148.865356 -25.59693, 148.871674 -25.60491, 148.872012 -25.605298, 148.877121 -25.613005, 148.875763 -25.620962, 148.872253 -25.628914, 148.871964 -25.630171, 148.871979 -25.630436, 148.874603 -25.636932, 148.877899 -25.644909, 148.880005 -25.648136, 148.884781 -25.652922, 148.885864 -25.66095, 148.884995 -25.668945, 148.884949 -25.676945, 148.885315 -25.68494, 148.885941 -25.692999, 148.886398 -25.700909, 148.888031 -25.706247, 148.890671 -25.708925, 148.895386 -25.716959, 148.896011 -25.717655, 148.90403 -25.724797, 148.904282 -25.724922, 148.912003 -25.728828, 148.911972 -25.730724, 148.911942 -25.732927, 148.911987 -25.733398, 148.915131 -25.740911, 148.920059 -25.744194, 148.925629 -25.74894, 148.927979 -25.750765, 148.930099 -25.752836, 148.930191 -25.752903))</t>
  </si>
  <si>
    <t>P0921</t>
  </si>
  <si>
    <t>https://www.gem.wiki/Ennore-Nellore_Gas_Pipeline</t>
  </si>
  <si>
    <t>Ennore-Nellore Gas Pipeline</t>
  </si>
  <si>
    <t>Gas Transmission India Private Limited [100.00%]</t>
  </si>
  <si>
    <t>LINESTRING (80.320196 13.215734, 80.017646 13.70216, 79.503293 13.63581, 80.124067 14.290073, 79.985858 14.443917)</t>
  </si>
  <si>
    <t>P0922</t>
  </si>
  <si>
    <t>https://www.gem.wiki/Ennore-Tuticorn-Bengalaru_Gas_Pipeline</t>
  </si>
  <si>
    <t>Ennore-Tuticorn-Bengalaru Gas Pipeline</t>
  </si>
  <si>
    <t>Tuticorin</t>
  </si>
  <si>
    <t>LINESTRING (80.320453 13.215232, 79.888331 13.164044, 78.119392 9.928116, 78.133998 8.762691)</t>
  </si>
  <si>
    <t>P1342</t>
  </si>
  <si>
    <t>https://www.gem.wiki/Croatia-Slovenia-Austria_Interconnector_Gas_Pipeline</t>
  </si>
  <si>
    <t>Croatia-Slovenia Interconnector Gas Pipeline</t>
  </si>
  <si>
    <t>Lučko-Zabok-Rogatec gas pipeline</t>
  </si>
  <si>
    <t>Gas Connect Austria GmbH [unknown %]; Plinacro [unknown %]; Plinovodi d.o.o. [unknown %]</t>
  </si>
  <si>
    <t>Allianz [unknown %]; Other [unknown %]; Plinacro [unknown %]; SDH [unknown %]; Snam [unknown %]; Verbund [unknown %]</t>
  </si>
  <si>
    <t>Lučko</t>
  </si>
  <si>
    <t>Interkonekcije sa Slovenijom</t>
  </si>
  <si>
    <t>LINESTRING (15.700195831233719 46.226007739905455, 15.744 46.206, 15.823 46.191, 15.85 46.156, 15.883 46.116, 15.92 46.097, 15.933 46.07, 15.929 46.022, 15.918 45.993, 15.88 45.969, 15.863 45.943, 15.843 45.875, 15.845 45.839, 15.828 45.826, 15.929 45.747)</t>
  </si>
  <si>
    <t>P1158</t>
  </si>
  <si>
    <t>https://www.gem.wiki/Gloucester_Gas_Pipeline</t>
  </si>
  <si>
    <t>Gloucester Pipeline</t>
  </si>
  <si>
    <t>AGL Energy [100.00%]</t>
  </si>
  <si>
    <t>Gloucester</t>
  </si>
  <si>
    <t>Hexham</t>
  </si>
  <si>
    <t>LINESTRING (151.9413494 -32.0076953, 151.6734894 -32.8481193)</t>
  </si>
  <si>
    <t>P1343</t>
  </si>
  <si>
    <t>https://www.gem.wiki/Shannon_Gas_Pipeline</t>
  </si>
  <si>
    <t>Shannon Gas Pipeline</t>
  </si>
  <si>
    <t>Ballylongford</t>
  </si>
  <si>
    <t>Kerry</t>
  </si>
  <si>
    <t>Foynes</t>
  </si>
  <si>
    <t>Limerick</t>
  </si>
  <si>
    <t>LINESTRING (-9.44322 52.579251, -9.362539 52.559848, -9.33885 52.566425, -9.309324 52.569558, -9.300398 52.565909, -9.258169 52.563825, -9.105198 52.610836)</t>
  </si>
  <si>
    <t>P1159</t>
  </si>
  <si>
    <t>https://www.gem.wiki/Goldfields_Gas_Pipeline</t>
  </si>
  <si>
    <t>Goldfields Gas Pipeline</t>
  </si>
  <si>
    <t>APA Group [88.16%]; Brookfield Asset Management [11.84%]</t>
  </si>
  <si>
    <t>Kalgoorlie</t>
  </si>
  <si>
    <t>MULTILINESTRING ((115.955553 -21.444989, 115.960188 -21.448197, 115.960032 -21.451143, 115.960807 -21.453626, 115.961897 -21.457091, 115.965649 -21.46905, 115.971148 -21.49489, 115.988423 -21.543918, 115.993595 -21.548154, 116.012501 -21.598803, 116.0184 -21.619633, 116.020678 -21.630409, 116.037666 -21.668143, 116.045505 -21.68129, 116.046797 -21.694674, 116.051124 -21.701378, 116.065819 -21.715968, 116.072007 -21.749908, 116.071985 -21.785585, 116.072914 -21.815402, 116.071878 -21.880607, 116.061635 -21.939147, 116.058458 -21.956237, 116.058848 -21.969291, 116.054335 -21.976461, 116.057249 -21.999387, 116.069093 -22.03607, 116.0618 -22.114992, 116.060866 -22.160266, 116.063048 -22.165989, 116.063903 -22.195627, 116.061201 -22.214407, 116.063383 -22.242131, 116.065657 -22.297629, 116.066729 -22.302531, 116.066367 -22.341084, 116.093951 -22.394912, 116.094883 -22.403942, 116.093073 -22.433274, 116.083791 -22.474159, 116.082733 -22.508983, 116.09859 -22.532454, 116.104477 -22.537112, 116.109625 -22.540311, 116.129388 -22.549528, 116.143699 -22.561595, 116.168098 -22.593308, 116.176213 -22.600541, 116.196027 -22.623994, 116.22358 -22.648739, 116.241117 -22.65825, 116.251352 -22.660847, 116.272079 -22.662656, 116.26166 -22.660898, 116.281202 -22.664195, 116.311401 -22.677431, 116.331557 -22.681846, 116.355219 -22.68775, 116.40453 -22.708371, 116.442233 -22.727169, 116.451626 -22.738009, 116.496003 -22.762191, 116.533546 -22.790548, 116.548745 -22.800296, 116.600093 -22.816845, 116.638907 -22.834699, 116.651652 -22.83975, 116.68987 -22.852047, 116.716234 -22.862995, 116.736244 -22.870162, 116.755259 -22.877689, 116.798136 -22.897452, 116.810706 -22.901431, 116.843578 -22.916136, 116.876954 -22.929326, 117.118257 -23.088993, 117.157856 -23.106846, 117.246858 -23.136205, 117.382247 -23.216512, 117.396307 -23.220239, 117.398031 -23.222459, 117.426285 -23.237148, 117.432448 -23.244267, 117.44294 -23.251667, 117.45265 -23.253799, 117.497347 -23.271633, 117.514389 -23.289211, 117.524304 -23.292756, 117.543805 -23.302335, 117.548628 -23.312562, 117.554085 -23.319889, 117.562189 -23.325446, 117.578692 -23.338541, 117.581659 -23.340894, 117.586125 -23.344437, 117.616073 -23.362909, 117.623865 -23.363738, 117.636245 -23.37113, 117.640871 -23.36979, 117.675301 -23.39482, 117.677155 -23.396296, 117.681298 -23.39898, 117.684005 -23.400091, 117.686492 -23.401281, 117.704906 -23.413072, 117.709869 -23.415148, 117.747212 -23.439539, 117.761912 -23.447786, 117.77681 -23.457415, 117.778107 -23.46156, 117.788675 -23.470832, 117.801673 -23.474005, 117.814142 -23.475822, 117.819989 -23.475926, 117.839235 -23.481148, 117.849127 -23.487157, 117.864918 -23.513093, 117.921959 -23.538809, 117.924097 -23.540031, 117.926891 -23.54129, 117.932582 -23.547383, 117.936396 -23.550025, 117.943115 -23.555991, 117.958271 -23.561601, 117.962547 -23.563408, 117.968767 -23.563361, 117.973111 -23.564381, 117.982157 -23.562683, 117.984512 -23.562011, 117.990552 -23.560878, 118.003083 -23.561516, 118.013356 -23.558333, 118.028393 -23.558457, 118.065487 -23.555697, 118.099102 -23.555181, 118.112948 -23.558344, 118.135265 -23.557159, 118.13773 -23.557233, 118.13948 -23.557125, 118.141907 -23.556749, 118.15076 -23.556202, 118.157461 -23.554461, 118.158044 -23.554921, 118.167754 -23.553098, 118.170471 -23.552766, 118.190024 -23.547777, 118.196127 -23.54766, 118.205597 -23.548436, 118.215735 -23.547346, 118.241797 -23.548985, 118.257538 -23.545308, 118.272099 -23.548682, 118.277654 -23.550541, 118.323605 -23.551178, 118.327587 -23.556723, 118.351684 -23.556349, 118.466906 -23.550321, 118.485185 -23.552286, 118.500564 -23.553991, 118.565539 -23.554403, 118.572236 -23.555138, 118.726791 -23.555323, 118.730733 -23.558537, 118.772786 -23.558076, 118.778278 -23.558995, 118.789192 -23.559717, 118.879226 -23.557251, 118.974358 -23.541904, 118.977135 -23.539328, 119.020875 -23.534517, 119.06699 -23.525988, 119.069472 -23.526902, 119.078145 -23.524526, 119.221532 -23.553474, 119.224476 -23.557711, 119.384894 -23.621716, 119.401034 -23.636933, 119.404808 -23.639447, 119.421696 -23.640245, 119.441648 -23.652169, 119.44349 -23.654308, 119.54625 -23.715609, 119.55684 -23.748687, 119.558403 -23.74997, 119.567719 -23.782707, 119.576863 -23.792534, 119.579791 -23.803744, 119.586153 -23.828102, 119.592534 -23.838071, 119.596155 -23.852222, 119.607839 -23.910764, 119.605403 -23.914822, 119.614738 -23.952007, 119.614409 -23.954513, 119.62645 -23.999015, 119.623522 -24.010302, 119.627414 -24.041241, 119.652651 -24.110079, 119.652003 -24.110639, 119.666287 -24.19231, 119.661909 -24.244351, 119.663852 -24.26936, 119.663868 -24.278982, 119.685234 -24.313431, 119.690633 -24.345155, 119.696778 -24.347891, 119.70198 -24.409892, 119.706198 -24.43195, 119.707286 -24.457516, 119.705459 -24.479283, 119.714596 -24.538231, 119.701191 -24.557199, 119.693755 -24.569394, 119.643888 -24.631107, 119.624441 -24.649274, 119.617465 -24.665127, 119.622023 -24.674931, 119.615202 -24.70743, 119.610701 -24.714214, 119.610926 -24.737554, 119.603785 -24.750926, 119.603109 -24.760231, 119.612426 -24.837233, 119.623202 -24.845665, 119.62559 -24.850506, 119.616942 -24.950724, 119.615432 -25.120117, 119.614588 -25.121673, 119.613806 -25.170725, 119.610153 -25.176325, 119.608587 -25.195929, 119.61357 -25.201486, 119.615866 -25.203038, 119.619924 -25.211231, 119.623673 -25.226794, 119.625399 -25.237903, 119.620707 -25.253608, 119.623797 -25.325361, 119.630101 -25.347644, 119.636463 -25.38009, 119.638573 -25.386056, 119.656172 -25.477068, 119.692419 -25.521552, 119.696512 -25.52518, 119.704063 -25.533313, 119.841094 -25.703321, 119.841915 -25.706433, 120.001833 -25.898702, 120.043482 -25.977119, 120.059168 -26.012654, 120.142034 -26.113249, 120.161516 -26.182635, 120.168567 -26.224659, 120.165317 -26.24433, 120.174638 -26.261798, 120.175188 -26.264984, 120.216145 -26.323491, 120.221526 -26.32904, 120.227405 -26.337559, 120.226994 -26.336644, 120.229273 -26.341719, 120.247107 -26.366476, 120.251028 -26.375611, 120.27423 -26.413021, 120.311912 -26.582587, 120.34312 -26.620692, 120.342515 -26.62266, 120.364292 -26.648893, 120.369845 -26.650219, 120.371167 -26.651145, 120.372296 -26.654987, 120.420248 -26.713115, 120.421411 -26.716763, 120.493854 -26.803203, 120.495982 -26.807122, 120.54118 -26.861214, 120.544878 -26.862826, 120.602674 -26.932683, 120.602945 -26.951222, 120.606857 -26.957932, 120.604805 -27.056574, 120.606547 -27.111947, 120.607686 -27.115739, 120.606491 -27.125016, 120.607447 -27.170098, 120.638459 -27.24472, 120.651789 -27.293356, 120.655215 -27.312111, 120.655125 -27.317047, 120.656956 -27.321655, 120.657688 -27.325665, 120.656469 -27.39585, 120.652041 -27.422791, 120.667293 -27.467363, 120.6675 -27.472051, 120.665658 -27.476895, 120.667907 -27.481293, 120.669153 -27.509554, 120.710264 -27.711325, 120.71244 -27.713314, 120.728687 -27.779985, 120.72646 -27.794612, 120.763427 -27.888584, 120.764517 -27.980028, 120.760965 -27.984913, 120.766046 -28.097981, 120.800099 -28.200965, 120.809295 -28.213412, 120.808527 -28.220755, 120.80759 -28.223571, 120.862207 -28.388051, 120.862884 -28.413594, 120.860084 -28.416417, 120.873711 -28.435108, 120.910583 -28.546067, 120.94233 -28.5656, 120.946164 -28.569459, 120.953317 -28.572359, 120.976722 -28.586744, 121.010083 -28.698498, 121.008661 -28.700238, 121.016427 -28.733976, 121.019704 -28.73812, 121.17334 -28.837261, 121.175959 -28.855062, 121.175113 -28.858935, 121.179299 -28.887299, 121.179621 -28.91467, 121.176579 -28.92347, 121.177145 -28.926372, 121.17944 -28.928422, 121.179814 -28.931123, 121.180363 -28.954612, 121.179549 -28.959325, 121.161843 -29.301879, 121.239047 -29.4896, 121.247319 -29.495152, 121.249885 -29.499493, 121.257227 -29.506557, 121.259921 -29.509957, 121.265306 -29.545353, 121.261421 -29.558303, 121.261881 -29.565646, 121.311866 -29.764574, 121.349595 -29.897127, 121.356094 -29.91048, 121.362619 -29.920562, 121.37538 -29.921973, 121.380077 -29.923531, 121.448442 -30.369208, 121.464577 -30.473086, 121.464826 -30.498422, 121.464202 -30.504163, 121.464921 -30.508301, 121.464967 -30.512745, 121.463199 -30.521243, 121.44739 -30.536526, 121.435768 -30.574412, 121.430689 -30.576485, 121.432987 -30.596891, 121.432685 -30.611506, 121.432698 -30.619787, 121.45743 -30.698601, 121.442704 -30.710044, 121.440718 -30.715011, 121.423688 -30.731106, 121.417486 -30.74676, 121.415585 -30.747626, 121.409122 -30.769539, 121.418497 -30.781844, 121.418889 -30.782677, 121.419929 -30.786892, 121.423127 -30.789795, 121.472075 -30.844913, 121.478878 -30.863054, 121.480377 -30.865133, 121.480756 -30.866055), (119.548906 -23.716033, 119.614414 -23.65819, 119.617217 -23.656589, 119.630425 -23.644037, 119.659383 -23.528011, 119.668158 -23.516269, 119.722912 -23.382899, 119.723815 -23.373587, 119.72082 -23.371014, 119.716523 -23.368855, 119.708189 -23.361875, 119.707651 -23.360066, 119.706479 -23.35938, 119.70687 -23.358442, 119.706355 -23.357771, 119.707828 -23.353922, 119.710067 -23.352105, 119.710279 -23.351352, 119.70893 -23.349054, 119.710824 -23.346741, 119.709375 -23.345146))</t>
  </si>
  <si>
    <t>P1344</t>
  </si>
  <si>
    <t>Campochiaro-Sulmona</t>
  </si>
  <si>
    <t>LINESTRING (13.987411 42.019671, 14.004686 41.960821, 14.070908 41.900846, 14.158723 41.831161, 14.174559 41.776431, 14.308441 41.759252, 14.3142 41.705536, 14.335794 41.662531, 14.341552 41.605505, 14.381861 41.568896, 14.402015 41.534421, 14.534818 41.467844)</t>
  </si>
  <si>
    <t>P1345</t>
  </si>
  <si>
    <t>https://www.gem.wiki/Poseidon_Gas_Pipeline</t>
  </si>
  <si>
    <t>Poseidon Gas Pipeline</t>
  </si>
  <si>
    <t>48, 32</t>
  </si>
  <si>
    <t>Otranto</t>
  </si>
  <si>
    <t>LINESTRING (18.4871 40.1473, 19.6279 39.6102, 19.6469 39.536, 19.8682 39.3445, 20.0596 39.2424, 20.2809 39.336, 20.3703 39.3785, 20.4256 39.4679, 20.5447 39.4934, 20.6255 39.553, 20.7064 39.536, 20.8425 39.5828, 20.9276 39.5955, 20.9489 39.6296, 20.9574 39.6891, 20.9659 39.7189, 21.1063 39.7572, 21.2042 39.7615, 21.3021 39.7955, 21.3446 39.9274, 21.4169 40.0508, 21.4637 40.1019, 21.5361 40.1955, 21.6297 40.2763, 21.7446 40.3316, 21.8169 40.3571, 21.953 40.3997, 22.0339 40.3954, 22.1105 40.3954, 22.153 40.3997, 22.1658 40.4082, 22.1785 40.4422, 22.2381 40.5146, 22.3232 40.5571, 22.3915 40.5875, 22.509 40.6117, 22.668 40.6186, 22.8512 40.7188, 22.8926 40.7707, 23.0032 40.7603, 23.138 40.7465, 23.335 40.7223, 23.38 40.7223, 23.4387 40.781, 23.5908 40.8847, 23.7394 41.0126, 23.8051 41.016, 24.123 40.9953, 24.3408 40.9538, 24.4756 40.9711, 24.638 40.9711, 24.8006 41.0631, 24.8679 41.0702, 24.9778 41.1281, 25.273 41.1186, 25.3262 41.121, 25.4066 41.1224)</t>
  </si>
  <si>
    <t>P1346</t>
  </si>
  <si>
    <t>https://www.gem.wiki/Rembelszczyzna_Wronow_Pipeline</t>
  </si>
  <si>
    <t>Rembelszczyzna-Wronów Gas Pipeline</t>
  </si>
  <si>
    <t>LINESTRING (21.029 52.3749, 21.375 52.3138, 21.419 52.278, 21.466 52.2438, 21.531 52.2127, 21.584 52.1785, 21.634 52.138, 21.662 52.1007, 21.683 52.0541, 21.687 52.0136, 21.699 51.8737, 21.702 51.8177, 21.743 51.771, 21.786 51.7368, 21.833 51.7119, 21.882 51.6808, 21.942 51.6342, 22.004 51.6031, 22.054 51.5844, 22.094 51.5409, 22.113 51.5036, 22.108 51.4762, 22.039 51.4532)</t>
  </si>
  <si>
    <t>P1347</t>
  </si>
  <si>
    <t>https://www.gem.wiki/Rozwad%C3%B3w_Koskowola_Wron%C3%B3w_Pipeline</t>
  </si>
  <si>
    <t>Rozwadów-Końskowola-Wronów Pipeline</t>
  </si>
  <si>
    <t>Rozwadów</t>
  </si>
  <si>
    <t>LINESTRING (22.050459 50.589966, 22.051863 51.409469, 22.144902 51.167615)</t>
  </si>
  <si>
    <t>P3565</t>
  </si>
  <si>
    <t>Trecho 1</t>
  </si>
  <si>
    <t>Ipiranga Produtos de Petróleo SA [25.00%]; Petrobras [25.00%]; Repsol Exploração Brasil Ltda [25.00%]; Total Gas &amp; Power Brazil [25.00%]</t>
  </si>
  <si>
    <t>Ipiranga Produtos de Petróleo SA [25.00%]; Petrobras [25.00%]; Repsol [25.00%]; TotalEnergies SE [25.00%]</t>
  </si>
  <si>
    <t>LINESTRING (-57.242035 -29.794787, -57.0002 -29.7652)</t>
  </si>
  <si>
    <t>P3566</t>
  </si>
  <si>
    <t>Trecho 3</t>
  </si>
  <si>
    <t>LINESTRING (-51.388189 -29.879529, -51.147576 -29.877514)</t>
  </si>
  <si>
    <t>P1160</t>
  </si>
  <si>
    <t>https://www.gem.wiki/Gorgon_and_Jansz_Feed_Gas_Pipeline</t>
  </si>
  <si>
    <t>Gorgon and Jansz Feed Gas Pipeline</t>
  </si>
  <si>
    <t>Gorgon Gas Field</t>
  </si>
  <si>
    <t>LINESTRING (114.6999704 -20.2090008, 114.9674244 -20.4819748, 115.4164474 -20.6953787, 116.6995424 -20.6567788)</t>
  </si>
  <si>
    <t>P1348</t>
  </si>
  <si>
    <t>https://www.gem.wiki/Jaroslaw-Rozwad%C3%B3w_Gas_Pipeline</t>
  </si>
  <si>
    <t>Jaroslaw-Rozwadów Pipeline</t>
  </si>
  <si>
    <t>Jarosław</t>
  </si>
  <si>
    <t>LINESTRING (22.050288 50.589802, 22.678126 50.015748)</t>
  </si>
  <si>
    <t>P1349</t>
  </si>
  <si>
    <t>https://www.gem.wiki/Hermanowice-Jaroslaw_Gas_Pipeline</t>
  </si>
  <si>
    <t>Hermanowice-Jaroslaw Pipeline</t>
  </si>
  <si>
    <t>LINESTRING (22.814929 49.723054, 22.676753 50.017072)</t>
  </si>
  <si>
    <t>P1162</t>
  </si>
  <si>
    <t>https://www.gem.wiki/Ironbark_Project_Pipeline</t>
  </si>
  <si>
    <t>Ironbark Project Pipeline</t>
  </si>
  <si>
    <t>Ironbark CSG Project</t>
  </si>
  <si>
    <t>LINESTRING (150.363819 -26.973771, 150.4989593 -26.696831)</t>
  </si>
  <si>
    <t>P0923</t>
  </si>
  <si>
    <t>https://www.gem.wiki/Gujarat_Regional_Gas_Network</t>
  </si>
  <si>
    <t>Gujarat Regional Gas Network</t>
  </si>
  <si>
    <t>LINESTRING (72.572888 23.034662, 73.188183 22.309898, 72.996073 21.706706)</t>
  </si>
  <si>
    <t>P1350</t>
  </si>
  <si>
    <t>https://www.gem.wiki/Hermanowice_Strachocina_Pipeline</t>
  </si>
  <si>
    <t>Hermanowice-Strachocina Pipeline</t>
  </si>
  <si>
    <t>LINESTRING (21.9989307 49.5965239, 22.1001843 49.5814114, 22.350296 49.5753664, 22.4256015 49.6226881)</t>
  </si>
  <si>
    <t>P1163</t>
  </si>
  <si>
    <t>https://www.gem.wiki/Kalgoorlie_to_Kambalda_Pipeline</t>
  </si>
  <si>
    <t>Kalgoorlie to Kambalda Pipeline</t>
  </si>
  <si>
    <t>KKP</t>
  </si>
  <si>
    <t>Kambalda</t>
  </si>
  <si>
    <t>LINESTRING (121.4494644 -30.7492433, 121.6450474 -31.2014213)</t>
  </si>
  <si>
    <t>P1164</t>
  </si>
  <si>
    <t>https://www.gem.wiki/Kambalda_to_Esperance_Pipeline</t>
  </si>
  <si>
    <t>Kambalda to Esperance Pipeline</t>
  </si>
  <si>
    <t>Esperance</t>
  </si>
  <si>
    <t>LINESTRING (121.627642 -31.190878, 121.627741 -31.191294, 121.628507 -31.19433, 121.62866 -31.194967, 121.629363 -31.19759, 121.629727 -31.198517, 121.630162 -31.19937, 121.630665 -31.200173, 121.631071 -31.200722, 121.631631 -31.201372, 121.631983 -31.201745, 121.632739 -31.202457, 121.634934 -31.204467, 121.636645 -31.206038, 121.636633 -31.206082, 121.636455 -31.206184, 121.634888 -31.206957, 121.635125 -31.207358, 121.635126 -31.2074, 121.635108 -31.207415, 121.634647 -31.207641, 121.633149 -31.208884, 121.630258 -31.211752, 121.629467 -31.212622, 121.628531 -31.213649, 121.627271 -31.215031, 121.625949 -31.216479, 121.622112 -31.220679, 121.618062 -31.223581, 121.617236 -31.224662, 121.615915 -31.227207, 121.615116 -31.228261, 121.596763 -31.24612, 121.584547 -31.257626, 121.580778 -31.261126, 121.577692 -31.26398, 121.576604 -31.265082, 121.575621 -31.266456, 121.574509 -31.268195, 121.573539 -31.270128, 121.571517 -31.273241, 121.568281 -31.276411, 121.565023 -31.278841, 121.560159 -31.282389, 121.552953 -31.28764, 121.539363 -31.300319, 121.538101 -31.30153, 121.537606 -31.302222, 121.536902 -31.303729, 121.535963 -31.306419, 121.535084 -31.30892, 121.534398 -31.310256, 121.533387 -31.311618, 121.531702 -31.313852, 121.530645 -31.314791, 121.529448 -31.315436, 121.525476 -31.316804, 121.520203 -31.318599, 121.515687 -31.320155, 121.514093 -31.320704, 121.512762 -31.321168, 121.514149 -31.323253, 121.514591 -31.325856, 121.516034 -31.335304, 121.518465 -31.342139, 121.519038 -31.343346, 121.519824 -31.345322, 121.520519 -31.347984, 121.521371 -31.350691, 121.522148 -31.352733, 121.522855 -31.354196, 121.523907 -31.356013, 121.525248 -31.35764, 121.527172 -31.36013, 121.528635 -31.364596, 121.532044 -31.37155, 121.531858 -31.372657, 121.532484 -31.373902, 121.535987 -31.378217, 121.536943 -31.379059, 121.538698 -31.379547, 121.546226 -31.385118, 121.548396 -31.387801, 121.550411 -31.391709, 121.551877 -31.395708, 121.55384 -31.401066, 121.556001 -31.407011, 121.556065 -31.411922, 121.557594 -31.417143, 121.558364 -31.419985, 121.559355 -31.422774, 121.563503 -31.43365, 121.564132 -31.440448, 121.564295 -31.441149, 121.56458 -31.442747, 121.564695 -31.444049, 121.565614 -31.456267, 121.56546 -31.458536, 121.564924 -31.460188, 121.564745 -31.461854, 121.565166 -31.463172, 121.566327 -31.465574, 121.566777 -31.466815, 121.567525 -31.467387, 121.567908 -31.468166, 121.56823 -31.470855, 121.568087 -31.472749, 121.568995 -31.475445, 121.570348 -31.476845, 121.574107 -31.48101, 121.574703 -31.482207, 121.575974 -31.485739, 121.57704 -31.488236, 121.577966 -31.492902, 121.57862 -31.494543, 121.579909 -31.49648, 121.581598 -31.497662, 121.584521 -31.498567, 121.586009 -31.499451, 121.587778 -31.500559, 121.58851 -31.501, 121.589265 -31.501257, 121.592801 -31.503772, 121.598524 -31.512869, 121.599185 -31.514535, 121.599963 -31.516503, 121.600725 -31.518519, 121.602121 -31.520329, 121.604923 -31.524107, 121.606165 -31.525931, 121.606831 -31.527105, 121.607711 -31.528744, 121.60881 -31.52967, 121.610997 -31.53162, 121.613858 -31.539005, 121.613379 -31.545541, 121.603787 -31.55816, 121.60333 -31.560659, 121.619815 -31.610303, 121.626831 -31.615785, 121.632018 -31.624218, 121.632901 -31.628531, 121.632737 -31.629127, 121.633318 -31.632046, 121.633771 -31.63298, 121.634583 -31.636793, 121.635449 -31.64102, 121.637401 -31.644183, 121.641289 -31.646834, 121.641871 -31.65144, 121.648701 -31.662612, 121.679401 -31.69632, 121.679324 -31.697207, 121.690209 -31.709174, 121.690502 -31.709903, 121.691658 -31.710853, 121.692481 -31.714416, 121.693529 -31.717985, 121.697045 -31.723947, 121.697727 -31.724598, 121.698107 -31.725875, 121.699302 -31.727041, 121.701092 -31.727982, 121.710432 -31.736426, 121.712557 -31.738352, 121.713892 -31.740044, 121.714605 -31.741373, 121.715106 -31.742826, 121.71482 -31.747191, 121.714414 -31.748916, 121.713188 -31.750587, 121.712013 -31.751917, 121.711627 -31.751938, 121.709999 -31.754871, 121.694022 -31.776162, 121.693119 -31.778752, 121.674127 -31.799417, 121.645831 -31.844241, 121.644147 -31.850435, 121.646448 -31.909115, 121.648135 -31.968595, 121.678069 -32.027122, 121.675832 -32.034935, 121.67963 -32.042045, 121.679526 -32.042931, 121.679799 -32.04425, 121.680565 -32.046239, 121.682021 -32.052163, 121.681851 -32.056432, 121.681368 -32.060463, 121.680153 -32.06053, 121.680577 -32.065051, 121.679432 -32.073667, 121.679866 -32.076925, 121.693711 -32.100683, 121.697958 -32.113429, 121.698029 -32.113852, 121.696883 -32.116804, 121.700934 -32.129561, 121.701976 -32.132346, 121.707065 -32.141016, 121.713658 -32.150586, 121.718034 -32.154873, 121.724565 -32.154298, 121.733061 -32.152114, 121.733669 -32.152098, 121.733666 -32.151036, 121.736603 -32.150999, 121.73945 -32.150725, 121.742616 -32.151024, 121.742816 -32.150079, 121.743071 -32.149352, 121.743481 -32.148977, 121.744152 -32.14858, 121.744789 -32.148273, 121.745595 -32.148074, 121.746912 -32.148046, 121.748716 -32.148565, 121.760129 -32.152021, 121.760318 -32.15223, 121.764109 -32.153308, 121.764852 -32.154169, 121.765803 -32.155837, 121.76683 -32.156673, 121.771698 -32.160024, 121.772489 -32.160604, 121.772885 -32.161077, 121.773286 -32.161967, 121.773678 -32.161839, 121.78149 -32.183901, 121.781751 -32.183988, 121.782272 -32.185645, 121.782293 -32.188002, 121.782254 -32.197485, 121.782426 -32.204181, 121.782138 -32.205312, 121.781345 -32.206374, 121.780347 -32.206981, 121.77589 -32.207121, 121.774509 -32.207576, 121.773296 -32.208363, 121.772325 -32.209581, 121.771961 -32.210719, 121.77185 -32.212016, 121.768966 -32.236768, 121.769804 -32.237015, 121.767887 -32.251532, 121.76797 -32.253221, 121.768354 -32.25459, 121.769282 -32.256252, 121.770408 -32.257781, 121.771155 -32.25939, 121.771535 -32.261305, 121.771458 -32.26294, 121.770042 -32.26777, 121.763602 -32.289945, 121.762664 -32.294134, 121.759975 -32.301784, 121.75962 -32.303369, 121.759496 -32.304898, 121.759516 -32.33029, 121.759593 -32.361357, 121.759613 -32.390671, 121.759509 -32.393139, 121.75866 -32.395416, 121.756876 -32.397583, 121.700339 -32.445877, 121.698439 -32.447749, 121.694026 -32.453271, 121.692069 -32.454979, 121.686669 -32.457979, 121.684621 -32.459351, 121.614826 -32.518711, 121.601085 -32.547906, 121.601735 -32.549114, 121.600378 -32.55203, 121.598911 -32.552526, 121.580731 -32.591231, 121.579844 -32.592427, 121.57211 -32.599593, 121.568374 -32.603042, 121.56088 -32.608228, 121.557167 -32.611657, 121.554298 -32.61622, 121.545602 -32.631074, 121.544747 -32.632785, 121.544494 -32.634415, 121.54385 -32.643692, 121.536104 -32.744053, 121.53621 -32.745323, 121.536709 -32.746933, 121.597877 -32.878665, 121.641603 -32.973443, 121.643973 -32.97827, 121.64589 -32.980558, 121.647585 -32.982529, 121.648557 -32.984266, 121.648606 -32.985792, 121.647932 -32.987445, 121.647219 -32.98869, 121.646865 -32.989826, 121.64681 -32.990838, 121.652389 -33.004371, 121.673254 -33.044793, 121.674068 -33.046392, 121.674942 -33.047458, 121.680238 -33.051608, 121.680886 -33.052417, 121.681177 -33.053182, 121.681393 -33.054287, 121.681244 -33.055236, 121.679468 -33.060499, 121.679347 -33.061405, 121.679519 -33.06231, 121.680825 -33.066195, 121.681501 -33.066724, 121.682876 -33.070791, 121.682661 -33.071473, 121.683699 -33.07496, 121.684017 -33.075231, 121.692348 -33.098982, 121.699445 -33.119588, 121.699564 -33.123458, 121.699915 -33.125868, 121.705774 -33.142288, 121.706384 -33.142798, 121.707821 -33.14683, 121.707569 -33.147607, 121.719435 -33.180986, 121.719891 -33.184171, 121.716976 -33.199896, 121.716875 -33.201484, 121.716933 -33.215016, 121.716386 -33.215033, 121.71641 -33.245315, 121.716862 -33.245282, 121.716835 -33.35, 121.715803 -33.352144, 121.715489 -33.352899, 121.715363 -33.353644, 121.715382 -33.354377, 121.724213 -33.406935, 121.723435 -33.410427, 121.725486 -33.422455, 121.723557 -33.427915, 121.723213 -33.429234, 121.723249 -33.43052, 121.72557 -33.440604, 121.726295 -33.441574, 121.727226 -33.445489, 121.726887 -33.446229, 121.727812 -33.449384, 121.732664 -33.45723, 121.739712 -33.469085, 121.756626 -33.502378, 121.764491 -33.517814, 121.76384 -33.518031, 121.771119 -33.532339, 121.779999 -33.548342, 121.783959 -33.558293, 121.783949 -33.559121, 121.78609 -33.561753, 121.786497 -33.565754, 121.796831 -33.5956, 121.802971 -33.622406, 121.812425 -33.646872, 121.813899 -33.64983, 121.815013 -33.651254, 121.825578 -33.663125, 121.836106 -33.674881, 121.845549 -33.682466, 121.84643 -33.683336, 121.852429 -33.691915, 121.853266 -33.693202, 121.853743 -33.695062, 121.853798 -33.696676, 121.853208 -33.702305, 121.853262 -33.703575, 121.855127 -33.712301, 121.856826 -33.720528, 121.858654 -33.723893, 121.860707 -33.727042, 121.862395 -33.730426, 121.864167 -33.741122, 121.86383 -33.741701, 121.864146 -33.743522, 121.865129 -33.747017, 121.866624 -33.750031, 121.866922 -33.751419, 121.867106 -33.754482, 121.866975 -33.756315, 121.866286 -33.757374, 121.864157 -33.759264, 121.863267 -33.760252, 121.862924 -33.76149, 121.862474 -33.762861, 121.862882 -33.766369, 121.862668 -33.769333, 121.862483 -33.771202, 121.862867 -33.77362, 121.863482 -33.776282, 121.863536 -33.777563, 121.863375 -33.778196, 121.863048 -33.778973, 121.86187 -33.780582, 121.861509 -33.781507, 121.861444 -33.782141, 121.861381 -33.782604, 121.861531 -33.783573, 121.862261 -33.785499, 121.862684 -33.787057, 121.849148 -33.787067, 121.848903 -33.787023, 121.848399 -33.787426, 121.848405 -33.80248, 121.833222 -33.802504, 121.832957 -33.802505, 121.832895 -33.802512, 121.839326 -33.817285, 121.83935 -33.817493, 121.839259 -33.817808, 121.839092 -33.818417, 121.842518 -33.819914, 121.847774 -33.823143, 121.848486 -33.823758, 121.852209 -33.826148, 121.853563 -33.827397, 121.854328 -33.828376, 121.855207 -33.829966, 121.855884 -33.831102, 121.856834 -33.832314, 121.858148 -33.833489, 121.860567 -33.835033, 121.861266 -33.83536, 121.862203 -33.835951, 121.8631 -33.836537, 121.864145 -33.837263, 121.865267 -33.837864, 121.865946 -33.83812, 121.867465 -33.838415, 121.869358 -33.838503, 121.870522 -33.838406, 121.873731 -33.838334, 121.878742 -33.838437, 121.887581 -33.838663, 121.887636 -33.839362, 121.887613 -33.840167, 121.887616 -33.841144, 121.887613 -33.841631, 121.887665 -33.842067, 121.88767 -33.843298, 121.887677 -33.844208, 121.887458 -33.845301, 121.886749 -33.8464, 121.885926 -33.847288, 121.88415 -33.848332, 121.883338 -33.849035, 121.883027 -33.849714, 121.882863 -33.853972, 121.882809 -33.854422, 121.882699 -33.854806, 121.882362 -33.855676, 121.882254 -33.856129, 121.882247 -33.857261, 121.882193 -33.857517, 121.882209 -33.859614, 121.882178 -33.864929, 121.882268 -33.865272, 121.88235 -33.867197, 121.882862 -33.868398, 121.88317 -33.868801, 121.884228 -33.869372, 121.885468 -33.869733, 121.890843 -33.86964, 121.89253 -33.869705, 121.892631 -33.869742, 121.892716 -33.870533, 121.893116 -33.870557, 121.893522 -33.870751, 121.893864 -33.871184, 121.893986 -33.871755, 121.894203 -33.872032, 121.894716 -33.872234, 121.895443 -33.872412, 121.896199 -33.872715, 121.897292 -33.873381, 121.897555 -33.873668, 121.897743 -33.874044, 121.897948 -33.874489, 121.898181 -33.874739, 121.898752 -33.875184, 121.899178 -33.875519, 121.899345 -33.875645, 121.899399 -33.875678, 121.89947 -33.875731)</t>
  </si>
  <si>
    <t>P1165</t>
  </si>
  <si>
    <t>https://www.gem.wiki/Karratha_to_Cape_Lambert_Pipeline</t>
  </si>
  <si>
    <t>Karratha to Cape Lambert Pipeline</t>
  </si>
  <si>
    <t>Hamill Resources Limited [unknown %]; Mitsui Group [unknown %]; Rio Tinto Group [unknown %]</t>
  </si>
  <si>
    <t>Cape Lambert</t>
  </si>
  <si>
    <t>LINESTRING (116.6981684 -20.6574207, 116.8282204 -20.7348148, 117.1545724 -20.5946158)</t>
  </si>
  <si>
    <t>P1166</t>
  </si>
  <si>
    <t>https://www.gem.wiki/Kincora_to_Wallumbilla_Pipeline</t>
  </si>
  <si>
    <t>Kincora to Wallumbilla Pipeline</t>
  </si>
  <si>
    <t>KWP</t>
  </si>
  <si>
    <t>Armour Energy [100.00%]</t>
  </si>
  <si>
    <t>Surat-Bowen Basin</t>
  </si>
  <si>
    <t>Kincora</t>
  </si>
  <si>
    <t>MULTILINESTRING ((148.805352 -27.017526, 148.805741 -27.018001, 148.808907 -27.02187, 148.812074 -27.02574, 148.81259 -27.026372, 148.814693 -27.028919, 148.814776 -27.029061, 148.816103 -27.027847, 148.819793 -27.024473, 148.823482 -27.021099, 148.827172 -27.017724, 148.830862 -27.01435, 148.834551 -27.010976, 148.834624 -27.01091, 148.838256 -27.007618, 148.841961 -27.004261, 148.845667 -27.000903, 148.846993 -26.999701, 148.849109 -26.997794, 148.849381 -26.997556, 148.853147 -26.994268, 148.856716 -26.991152, 148.856914 -26.990979, 148.858554 -26.989545, 148.860682 -26.987693, 148.862577 -26.986042, 148.863097 -26.985603, 148.86445 -26.984407, 148.864542 -26.984326, 148.865779 -26.983684, 148.867247 -26.982846, 148.868401 -26.981473, 148.870831 -26.97858, 148.871647 -26.97767, 148.872126 -26.977135, 148.874716 -26.974279, 148.875041 -26.974003, 148.878288 -26.971239, 148.878715 -26.97064, 148.87934 -26.969765, 148.879594 -26.96943, 148.880531 -26.968135, 148.882076 -26.967019, 148.886128 -26.96409, 148.890181 -26.961162, 148.890242 -26.961117, 148.890704 -26.960782, 148.894355 -26.95841, 148.894831 -26.9581, 148.896855 -26.956782, 148.898542 -26.955695, 148.89855 -26.955689, 148.90193 -26.95284, 148.902371 -26.952465, 148.906185 -26.949232, 148.909999 -26.945998, 148.913813 -26.942765, 148.914542 -26.942146, 148.91762 -26.939524, 148.920334 -26.93721, 148.921425 -26.93628, 148.925231 -26.933037, 148.927606 -26.931013, 148.929037 -26.929795, 148.932843 -26.926553, 148.93665 -26.923311, 148.9389 -26.921395, 148.940452 -26.920064, 148.944248 -26.91681, 148.945305 -26.915904, 148.94806 -26.913574, 148.951878 -26.910346, 148.955696 -26.907118, 148.959515 -26.90389, 148.963333 -26.900661, 148.96468 -26.899522, 148.966959 -26.897225, 148.967663 -26.896516, 148.97072 -26.893935, 148.970784 -26.89388, 148.9749 -26.892146, 148.975107 -26.891747, 148.97594 -26.890146, 148.976195 -26.888667, 148.976333 -26.888435, 148.977417 -26.887511, 148.978299 -26.886759, 148.981307 -26.884371, 148.981605 -26.884135, 148.983362 -26.882701, 148.985174 -26.881201, 148.987662 -26.879141, 148.989037 -26.878028, 148.992924 -26.874882, 148.993974 -26.874031, 148.996851 -26.871787, 148.999385 -26.869811, 149.000815 -26.868741, 149.004819 -26.865746, 149.004887 -26.865695, 149.008633 -26.862875, 149.008803 -26.862726, 149.010442 -26.861297, 149.011196 -26.86072, 149.012693 -26.859589, 149.016683 -26.856576, 149.020673 -26.853562, 149.020676 -26.85356, 149.021764 -26.852716, 149.024385 -26.85022, 149.02596 -26.84872, 149.027004 -26.847721, 149.028003 -26.846769, 149.031623 -26.84332, 149.032154 -26.842814, 149.035226 -26.839853, 149.038826 -26.836383, 149.04139 -26.833911, 149.04242 -26.832907, 149.044898 -26.830492, 149.046008 -26.829425, 149.049615 -26.825962, 149.051602 -26.824054, 149.052379 -26.823321, 149.053225 -26.822503, 149.056817 -26.819025, 149.06041 -26.815547, 149.061393 -26.814596, 149.064 -26.812068, 149.067188 -26.808979, 149.067591 -26.808589, 149.071187 -26.805114, 149.074783 -26.80164, 149.078379 -26.798166, 149.078976 -26.797589, 149.081971 -26.794688, 149.085562 -26.791209, 149.089153 -26.78773, 149.09001 -26.786899, 149.092746 -26.784252, 149.096339 -26.780776, 149.099932 -26.777299, 149.100956 -26.776309, 149.103527 -26.773823, 149.107122 -26.770348, 149.110717 -26.766873, 149.114312 -26.763398, 149.117907 -26.759923, 149.118894 -26.758969, 149.119538 -26.758325, 149.121493 -26.756439, 149.124644 -26.753396, 149.125091 -26.752967, 149.125799 -26.752286, 149.128716 -26.749523, 149.132346 -26.746085, 149.134438 -26.744103, 149.13449 -26.742939, 149.134774 -26.742662, 149.135328 -26.742614, 149.136068 -26.742551, 149.139154 -26.739618, 149.142779 -26.736174, 149.142819 -26.736136, 149.146406 -26.732733, 149.150034 -26.729292, 149.153661 -26.72585, 149.157288 -26.722409, 149.158442 -26.721314, 149.160905 -26.718957, 149.164518 -26.7155, 149.16813 -26.712043, 149.16928 -26.710942, 149.171731 -26.708573, 149.174686 -26.705717, 149.175326 -26.705098, 149.178919 -26.701622, 149.182513 -26.698146, 149.185731 -26.695034, 149.185809 -26.694516), (148.825391 -27.078396, 148.823305 -27.073852, 148.821219 -27.069307, 148.819952 -27.066547, 148.819466 -27.065577, 148.819203 -27.065192, 148.819001 -27.06495, 148.819034 -27.064859, 148.819082 -27.064727, 148.819183 -27.064505, 148.820839 -27.060197, 148.821569 -27.058298, 148.822559 -27.055503, 148.824229 -27.05079, 148.825208 -27.048026, 148.825673 -27.046813, 148.826199 -27.04651, 148.826162 -27.046352, 148.826138 -27.046247, 148.825936 -27.046025, 148.823428 -27.042365, 148.823344 -27.042234, 148.820619 -27.038042, 148.820314 -27.037573, 148.818454 -27.034864, 148.817843 -27.033884, 148.816776 -27.032174, 148.815153 -27.02967, 148.814916 -27.029303, 148.814776 -27.029061, 148.814208 -27.02958, 148.814243 -27.030042, 148.814197 -27.030516, 148.813685 -27.031919, 148.811972 -27.036616, 148.81192 -27.036759, 148.810283 -27.041322, 148.808595 -27.046029, 148.808521 -27.046233))</t>
  </si>
  <si>
    <t>P1168</t>
  </si>
  <si>
    <t>https://www.gem.wiki/Mid_West_Pipeline</t>
  </si>
  <si>
    <t>Mid West Pipeline</t>
  </si>
  <si>
    <t>Carnarvon basin</t>
  </si>
  <si>
    <t>Geraldton</t>
  </si>
  <si>
    <t>Mount Magnet</t>
  </si>
  <si>
    <t>MULTILINESTRING ((118.537533 -28.292648, 118.538255 -28.291703, 118.538232 -28.291133, 118.537787 -28.29041, 118.53577 -28.287199, 118.535178 -28.28697, 118.534777 -28.286597, 118.533486 -28.285106, 118.532827 -28.284695, 118.532468 -28.284322, 118.531679 -28.284039, 118.529719 -28.28374, 118.528581 -28.283316, 118.518116 -28.276926, 118.517179 -28.276169, 118.516286 -28.275177, 118.512837 -28.269799, 118.513618 -28.266111, 118.513361 -28.265158, 118.512918 -28.264, 118.511424 -28.262303, 118.506713 -28.260438, 118.505881 -28.259144, 118.505204 -28.257862, 118.504793 -28.256658, 118.50458 -28.255231, 118.505103 -28.2403, 118.505339 -28.239003, 118.504894 -28.238487, 118.500529 -28.237514, 118.477642 -28.226437, 118.475971 -28.226073, 118.468583 -28.226368, 118.420866 -28.232838, 118.390741 -28.232026, 118.389234 -28.231975, 118.386839 -28.229928, 118.384301 -28.229127, 118.383718 -28.226844, 118.372719 -28.216573, 118.313945 -28.199967, 118.21678 -28.183455, 118.150171 -28.159541, 118.097433 -28.15272, 118.072039 -28.154555, 118.062048 -28.152554, 118.056576 -28.148658, 118.052548 -28.148559, 118.046269 -28.150614, 118.035646 -28.149646, 117.978208 -28.152507, 117.952749 -28.162085, 117.917831 -28.169648, 117.872373 -28.174852, 117.834802 -28.190907, 117.766666 -28.217311, 117.719283 -28.214212, 117.665426 -28.222031, 117.658824 -28.227581, 117.656635 -28.228654, 117.655671 -28.228999, 117.654469 -28.229251, 117.650429 -28.229854, 117.649933 -28.230117, 117.645662 -28.230762, 117.524067 -28.248752, 117.424594 -28.263196, 117.423365 -28.263171, 117.377323 -28.269426, 117.3759 -28.269833, 117.333866 -28.275482, 117.332496 -28.275458, 117.327983 -28.276071, 117.327269 -28.276406, 117.232002 -28.289118, 117.230954 -28.289051, 117.20556 -28.292448, 117.204325 -28.292831, 117.155859 -28.299239, 117.135154 -28.299336, 116.886129 -28.340559, 116.822255 -28.350941, 116.798427 -28.35098, 116.781344 -28.351036, 116.731722 -28.351365, 116.715252 -28.351453, 116.686617 -28.347132, 116.68301 -28.348497, 116.68184 -28.348219, 116.680781 -28.346459, 116.673036 -28.345267, 116.671871 -28.345231, 116.642817 -28.348129, 116.642241 -28.347987, 116.581216 -28.354125, 116.489172 -28.363295, 116.488657 -28.363547, 116.486278 -28.363817, 116.436259 -28.378403, 116.381162 -28.394401, 116.368633 -28.396063, 116.365146 -28.39656, 116.363719 -28.397024, 116.350071 -28.403018, 116.349012 -28.403678, 116.347937 -28.404573, 116.346995 -28.405196, 116.345694 -28.405689, 116.344655 -28.405838, 116.337788 -28.405372, 116.336079 -28.405382, 116.334923 -28.405568, 116.333495 -28.406023, 116.331722 -28.406998, 116.327544 -28.409896, 116.320423 -28.414631, 116.318759 -28.415169, 116.314809 -28.416083, 116.311301 -28.416628, 116.309879 -28.41656, 116.305642 -28.416028, 116.301349 -28.416127, 116.292022 -28.416381, 116.289338 -28.416009, 116.288709 -28.415711, 116.282035 -28.414645, 116.280326 -28.414141, 116.269564 -28.409734, 116.268379 -28.409249, 116.266972 -28.408814, 116.264989 -28.408588, 116.25025 -28.409021, 116.24636 -28.409051, 116.236427 -28.407575, 116.23343 -28.407869, 116.229548 -28.410163, 116.225948 -28.410775, 116.037659 -28.434358, 115.934421 -28.463136, 115.932268 -28.463335, 115.823794 -28.471814, 115.810138 -28.483709, 115.785524 -28.483691, 115.768663 -28.489044, 115.757757 -28.492005, 115.751534 -28.492039, 115.743341 -28.488424, 115.742969 -28.487613, 115.741997 -28.487243, 115.738614 -28.487579, 115.713472 -28.496461, 115.710761 -28.497388, 115.699788 -28.498653, 115.696838 -28.49875, 115.693817 -28.499924, 115.689688 -28.503764, 115.656538 -28.512443, 115.647038 -28.514985, 115.621906 -28.521501, 115.613011 -28.522059, 115.591287 -28.51681, 115.564585 -28.515617, 115.539121 -28.517003, 115.522029 -28.517198, 115.512024 -28.51866, 115.490721 -28.518583, 115.479958 -28.518016, 115.473386 -28.520826, 115.470125 -28.521894, 115.46363 -28.524758, 115.434237 -28.536986, 115.426178 -28.543138, 115.417921 -28.550042, 115.409154 -28.555462, 115.381613 -28.555516, 115.37326 -28.555959, 115.355431 -28.560456, 115.341077 -28.562754, 115.331731 -28.562833, 115.320299 -28.564394, 115.3159 -28.566174, 115.298398 -28.568743, 115.297472 -28.569315, 115.296923 -28.569469, 115.291767 -28.573563, 115.277427 -28.581898, 115.277247 -28.58212, 115.265019 -28.58802, 115.244604 -28.594782, 115.220796 -28.603937, 115.178308 -28.604069, 115.176847 -28.603899, 115.147141 -28.604066, 115.146855 -28.604396, 115.142561 -28.611056, 115.136296 -28.623471, 115.134404 -28.623559, 115.133373 -28.623594), (117.872373 -28.174852, 117.857093 -28.141713, 117.856924 -28.139429, 117.856717 -28.137215, 117.855833 -28.135558, 117.854057 -28.133713, 117.852877 -28.132474, 117.851808 -28.13069, 117.850456 -28.127822, 117.836542 -28.09825, 117.835979 -28.096496, 117.835905 -28.096167, 117.835783 -28.095509, 117.835673 -28.094521, 117.83567 -28.093839, 117.835576 -28.093246, 117.835144 -28.092906, 117.834955 -28.09264, 117.834063 -28.08857, 117.833595 -28.087603, 117.833401 -28.087481, 117.833045 -28.087477))</t>
  </si>
  <si>
    <t>P1169</t>
  </si>
  <si>
    <t>https://www.gem.wiki/Moomba_Adelaide_Pipeline_System</t>
  </si>
  <si>
    <t>Moomba Adelaide Pipeline System</t>
  </si>
  <si>
    <t>Adelaide, Whyalla</t>
  </si>
  <si>
    <t>LINESTRING (140.206 -28.116, 140.184 -28.254, 140.037 -28.731, 140.011 -29.336, 139.887 -29.81, 139.83 -29.97, 139.396 -30.9, 139.344 -31.735, 139.308 -31.857, 139.209 -31.976, 139.089 -32.219, 138.816 -33.155, 138.81 -33.235, 138.761 -33.333, 138.745 -33.615, 138.752 -33.871, 138.634 -34.146, 138.605 -34.564, 138.621 -34.661, 138.58 -34.725, 138.59 -34.825, 138.572 -34.836, 138.52 -34.805)</t>
  </si>
  <si>
    <t>P1351</t>
  </si>
  <si>
    <t>https://www.gem.wiki/Twor%C3%B3g-Tworzen_Gas_Pipeline</t>
  </si>
  <si>
    <t>Tworóg-Tworzen Gas Pipeline</t>
  </si>
  <si>
    <t>LINESTRING (18.7154053 50.5302206, 18.778694 50.5108881, 18.8414511 50.5075532, 18.8738907 50.5069468, 18.9074068 50.4959501, 18.9645593 50.4837701, 18.9898563 50.4622208, 19.0507564 50.4584731, 19.1032243 50.4359868, 19.1425752 50.4294284, 19.1678722 50.4228699, 19.20816 50.4200591, 19.2240877 50.4144375, 19.2437632 50.4041314, 19.2484478 50.3975729, 19.2559432 50.3657174, 19.2559432 50.3516635, 19.2590803 50.3380373)</t>
  </si>
  <si>
    <t>P1352</t>
  </si>
  <si>
    <t>https://www.gem.wiki/Pog%C3%B3rska-Wola-Tworzen_Gas_Pipeline</t>
  </si>
  <si>
    <t>Pogórska-Wola-Tworzen Gas Pipeline</t>
  </si>
  <si>
    <t>LINESTRING (21.1246233 50.014402, 21.0903074 50.0425771, 21.0603261 50.075087, 21.0260792 50.1116732, 20.9534362 50.1913461, 20.9393763 50.1948611, 20.9100848 50.1972044, 20.8573601 50.222981, 20.8175236 50.2276676, 20.7647989 50.2335259, 20.7390224 50.2511008, 20.7015293 50.2499292, 20.6394313 50.2475858, 20.6031098 50.2522725, 20.5761616 50.2593024, 20.4288471 50.2999126, 20.4232507 50.302311, 20.4112584 50.300712, 20.2993301 50.2775269, 20.2641527 50.2735295, 20.1714121 50.2687325, 20.0779738 50.2788471, 20.0134678 50.2865264, 19.9548152 50.3085896, 19.9172709 50.3243058, 19.9024277 50.3234327, 19.7426459 50.3164477, 19.6011998 50.319067, 19.4862747 50.3236172, 19.451854 50.3236172, 19.4154941 50.3158604, 19.382043 50.3221628, 19.2591072 50.3380453)</t>
  </si>
  <si>
    <t>P0924</t>
  </si>
  <si>
    <t>https://www.gem.wiki/Hazira-Ankleshwar_Gas_Pipeline</t>
  </si>
  <si>
    <t>Hazira-Ankleshwar Gas Pipeline</t>
  </si>
  <si>
    <t>Gujarat State Petronet [unknown %]</t>
  </si>
  <si>
    <t>Ankleshwar</t>
  </si>
  <si>
    <t>LINESTRING (72.6408994 21.1776878, 72.9984694 21.6240846)</t>
  </si>
  <si>
    <t>P1170</t>
  </si>
  <si>
    <t>https://www.gem.wiki/Moomba_Sydney_Pipeline_System</t>
  </si>
  <si>
    <t>Moomba Sydney Pipeline System</t>
  </si>
  <si>
    <t>Sydney, Newcastle, Wollongong, Canberra</t>
  </si>
  <si>
    <t>South Australia, New South Wales</t>
  </si>
  <si>
    <t>LINESTRING (140.206289 -28.115865, 140.206179 -28.116858, 140.205658 -28.118479, 140.235227 -28.141034, 140.281427 -28.173533, 140.399453 -28.256401, 140.761357 -28.532647, 140.971367 -28.672493, 140.999335 -28.689887, 141.003452 -28.692298, 141.007557 -28.694799, 141.010761 -28.696798, 141.014057 -28.698898, 141.017551 -28.700998, 141.029056 -28.708099, 141.032749 -28.710399, 141.03606 -28.712499, 141.043155 -28.716897, 141.045749 -28.718599, 141.04755 -28.719699, 141.049259 -28.720699, 141.052356 -28.722598, 141.055347 -28.724498, 141.057651 -28.725898, 141.060153 -28.727498, 141.06496 -28.730397, 141.073154 -28.735498, 141.07706 -28.737899, 141.082157 -28.741097, 141.091754 -28.746999, 141.093753 -28.748298, 141.097354 -28.750499, 141.101047 -28.752797, 141.104053 -28.754598, 141.108157 -28.757197, 141.109149 -28.757897, 141.111758 -28.759599, 141.114352 -28.761197, 141.116855 -28.762797, 141.118961 -28.764197, 141.121951 -28.766097, 141.124957 -28.768098, 141.132953 -28.773198, 141.134357 -28.774198, 141.136951 -28.775798, 141.14046 -28.778098, 141.143161 -28.779798, 141.14635 -28.781999, 141.148959 -28.783599, 141.15285 -28.786098, 141.158954 -28.790097, 141.166247 -28.794799, 141.169055 -28.796898, 141.17705 -28.802998, 141.179354 -28.804698, 141.181353 -28.806298, 141.185351 -28.808799, 141.193148 -28.813798, 141.196459 -28.815799, 141.198351 -28.817098, 141.206346 -28.822099, 141.209459 -28.824098, 141.210955 -28.824998, 141.213457 -28.826598, 141.216158 -28.828298, 141.220049 -28.830798, 141.222948 -28.832698, 141.225847 -28.834397, 141.227755 -28.835698, 141.231752 -28.838199, 141.23395 -28.839599, 141.237947 -28.842198, 141.241747 -28.844499, 141.243349 -28.845597, 141.245149 -28.846698, 141.255556 -28.853297, 141.258348 -28.854998, 141.262453 -28.857697, 141.266557 -28.860198, 141.269655 -28.862199, 141.274049 -28.864999, 141.276048 -28.866297, 141.278658 -28.867898, 141.282747 -28.870497, 141.28615 -28.872597, 141.288957 -28.874398, 141.292146 -28.876397, 141.293855 -28.877497, 141.29796 -28.880097, 141.29915 -28.880797, 141.299745 -28.881297, 141.30385 -28.884398, 141.306245 -28.886298, 141.308549 -28.887997, 141.313447 -28.891796, 141.315355 -28.893196, 141.318956 -28.895996, 141.322252 -28.898497, 141.325654 -28.901198, 141.329057 -28.903696, 141.33246 -28.906298, 141.335847 -28.908997, 141.33896 -28.911297, 141.341951 -28.913597, 141.344346 -28.915398, 141.346849 -28.917397, 141.349458 -28.919397, 141.352754 -28.921997, 141.356553 -28.924797, 141.358949 -28.926697, 141.36696 -28.932796, 141.370256 -28.935396, 141.372957 -28.937397, 141.375459 -28.939296, 141.378252 -28.941497, 141.381654 -28.944097, 141.385652 -28.947097, 141.390749 -28.950996, 141.392854 -28.952697, 141.397157 -28.955896, 141.398653 -28.957096, 141.404146 -28.961295, 141.411149 -28.966697, 141.414552 -28.969297, 141.419847 -28.973296, 141.42296 -28.975696, 141.42505 -28.977397, 141.428758 -28.980197, 141.430848 -28.981795, 141.433152 -28.983596, 141.436052 -28.985797, 141.439653 -28.988496, 141.44185 -28.990195, 141.444245 -28.991996, 141.448258 -28.995095, 141.45329 -28.999086, 140.206103 -28.115478, 140.205649 -28.116844, 140.205274 -28.118881, 140.207737 -28.122176, 140.207811 -28.122133, 140.208274 -28.122737, 140.210371 -28.128436, 140.262317 -28.170519, 140.280728 -28.174408, 140.281427 -28.173533, 140.209673 -28.121067, 140.235624 -28.141144, 140.399901 -28.25662, 140.761858 -28.532837, 140.971899 -28.672773, 140.999335 -28.689866, 141.453549 -28.999085, 141.50131 -29.03324, 141.54625 -29.0642, 141.56988 -29.08283, 141.61145 -29.1104, 141.66511 -29.14481, 141.69168 -29.16642, 141.72867 -29.19078, 141.74542 -29.2001, 141.76048 -29.20901, 141.77289 -29.21769, 141.79419 -29.23174, 141.91192 -29.31045, 141.95039 -29.33422, 142.00145 -29.36671, 142.03178 -29.38597, 142.18429 -29.49902, 142.22479 -29.52376, 142.50149 -29.77972, 142.56846 -29.84229, 142.70857 -29.95268, 142.76745 -29.99884, 142.84867 -30.05951, 142.86778 -30.07568, 142.8739 -30.07883, 142.95037 -30.14034, 142.99372 -30.17424, 143.00086 -30.18187, 143.07287 -30.2595, 143.15669 -30.33209, 143.16827 -30.34187, 143.19082 -30.3598, 143.21586 -30.38024, 143.23211 -30.39262, 143.28729 -30.42577, 143.31606 -30.44802, 143.35189 -30.47733, 143.3731 -30.49455, 143.37809 -30.49878, 143.39393 -30.51155, 143.45828 -30.56394, 143.50124 -30.59579, 143.55132 -30.6315, 143.57754 -30.65166, 143.61987 -30.68622, 143.73954 -30.78964, 143.86404 -30.90376, 143.88552 -30.93096, 143.93948 -30.99851, 143.9829 -31.05149, 144.00138 -31.06476, 144.00597 -31.06839, 144.04957 -31.09825, 144.13511 -31.1496, 144.14075 -31.15017, 144.17863 -31.17067, 144.37549 -31.34006, 144.50118 -31.43997, 144.52076 -31.45541, 144.55898 -31.48257, 144.5763 -31.4989, 144.60392 -31.52373, 144.6671 -31.57793, 144.75626 -31.64717, 144.8467 -31.7171, 144.88663 -31.74873, 144.9603 -31.81458, 144.99906 -31.84947, 145.00103 -31.85094, 145.02623 -31.87334, 145.12903 -31.95211, 145.18909 -31.99835, 145.20027 -32.0059, 145.48822 -32.2238, 145.50124 -32.23226, 145.63585 -32.31412, 145.75888 -32.41384, 145.88704 -32.49847, 145.9178 -32.52562, 145.94472 -32.53622, 146.00131 -32.56979, 146.0247 -32.58323, 146.10382 -32.65247, 146.16301 -32.69699, 146.23564 -32.74932, 146.26013 -32.76985, 146.28689 -32.78696, 146.31695 -32.80797, 146.39402 -32.86401, 146.46447 -32.91342, 146.5007 -32.93873, 146.54216 -32.96784, 146.58439 -32.99839, 146.60935 -33.01525, 146.61094 -33.01932, 146.6452 -33.04865, 146.65801 -33.05761, 146.6734 -33.07001, 146.71926 -33.09953, 146.75463 -33.13902, 146.76264 -33.1477, 146.77098 -33.15826, 146.77975 -33.16739, 146.80265 -33.18881, 146.81593 -33.202, 146.83929 -33.21889, 146.87779 -33.24844, 146.91488 -33.28274, 146.93517 -33.29899, 147.00123 -33.36304, 147.00521 -33.36674, 147.0151 -33.37351, 147.03059 -33.38866, 147.03434 -33.38956, 147.06759 -33.41769, 147.09461 -33.44292, 147.12176 -33.46581, 147.15722 -33.49851, 147.19888 -33.53841, 147.22068 -33.55623, 147.27813 -33.59977, 147.33549 -33.65997, 147.35769 -33.68173, 147.3606 -33.68235, 147.39156 -33.70427, 147.46107 -33.74849, 147.50106 -33.77314, 147.56328 -33.80841, 147.70617 -33.89498, 147.73685 -33.91572, 147.73836 -33.91625, 147.77907 -33.9435, 147.81084 -33.9617, 147.83732 -33.97947, 147.86858 -33.99846, 147.9412 -34.02444, 148.00116 -34.04877, 148.04416 -34.08268, 148.05104 -34.0874, 148.08817 -34.10836, 148.11389 -34.12716, 148.12784 -34.13262, 148.16878 -34.15965, 148.23412 -34.19175, 148.25931 -34.208, 148.30403 -34.22822, 148.32982 -34.23935, 148.33592 -34.2441, 148.34274 -34.24842, 148.35966 -34.25755, 148.36855 -34.26283, 148.37971 -34.27, 148.38626 -34.27512, 148.39828 -34.28438, 148.40605 -34.28965, 148.41507 -34.29602, 148.42223 -34.30078, 148.43021 -34.30546, 148.43776 -34.31055, 148.45653 -34.32123, 148.46239 -34.32667, 148.48105 -34.33068, 148.50125 -34.33639, 148.55423 -34.37198, 148.56766 -34.37919, 148.58188 -34.38775, 148.59738 -34.39741, 148.60187 -34.40017, 148.61604 -34.40862, 148.62503 -34.41392, 148.66115 -34.43502, 148.71156 -34.46636, 148.74818 -34.48595, 148.77882 -34.49471, 148.79309 -34.50111, 148.81733 -34.51171, 148.84976 -34.52484, 148.88528 -34.54432, 148.9057 -34.55581, 148.92421 -34.56886, 148.95309 -34.60176, 148.97021 -34.60663, 148.99247 -34.60699, 149.00129 -34.61568, 149.01017 -34.62238, 149.018 -34.63037, 149.05436 -34.64509, 149.0985 -34.65642, 149.14301 -34.69459, 149.17095 -34.70681, 149.20341 -34.72029, 149.20763 -34.72301, 149.21302 -34.72453, 149.21624 -34.72637, 149.24265 -34.72598, 149.25118 -34.72627, 149.27761 -34.72668, 149.29066 -34.72833, 149.30828 -34.73367, 149.3391 -34.74273, 149.35587 -34.74845, 149.36803 -34.7538, 149.37165 -34.75409, 149.38111 -34.75661, 149.39411 -34.7642, 149.39687 -34.76514, 149.39927 -34.76473, 149.40635 -34.7681, 149.41776 -34.76968, 149.44036 -34.76923, 149.45081 -34.76397, 149.46668 -34.7541, 149.49065 -34.74856, 149.49759 -34.74679, 149.50124 -34.74483, 149.52143 -34.73359, 149.55809 -34.72904, 149.59505 -34.72727, 149.60243 -34.72598, 149.61881 -34.72608, 149.63593 -34.72531, 149.66194 -34.726, 149.67288 -34.72351, 149.67818 -34.72186, 149.71391 -34.7162, 149.73119 -34.71374, 149.74322 -34.70932, 149.75119 -34.71122, 149.75636 -34.71227, 149.76478 -34.71785, 149.77417 -34.72269, 149.77637 -34.723, 149.78139 -34.72297, 149.79233 -34.72353, 149.79291 -34.7246, 149.83778 -34.72473, 149.858 -34.72192, 149.87126 -34.72052, 149.87384 -34.71938, 149.8829 -34.7161, 149.95243 -34.70056, 149.9541 -34.69529, 149.97822 -34.68623, 150.0016 -34.67594, 150.0102 -34.6721, 150.03381 -34.66402, 150.04571 -34.66106, 150.08294 -34.64772, 150.08665 -34.64753, 150.11436 -34.63792, 150.11704 -34.636, 150.12145 -34.63439, 150.12485 -34.63411, 150.14236 -34.63148, 150.15423 -34.62899, 150.1675 -34.62507, 150.17341 -34.62353, 150.17387 -34.62318, 150.1852 -34.6218, 150.19977 -34.61864, 150.21657 -34.61425, 150.22025 -34.61514, 150.22757 -34.61125, 150.23029 -34.60825, 150.25022 -34.59914, 150.25123 -34.59854, 150.25193 -34.59846, 150.26081 -34.59217, 150.27189 -34.58665, 150.27202 -34.58566, 150.27254 -34.58495, 150.27681 -34.58243, 150.2817 -34.57984, 150.28809 -34.57583, 150.29982 -34.56888, 150.32358 -34.55489, 150.33747 -34.54663, 150.34583 -34.54086, 150.3559 -34.53586, 150.35913 -34.53349, 150.36727 -34.53448, 150.37418 -34.53661, 150.37969 -34.53799, 150.3889 -34.53576, 150.39839 -34.53542, 150.40737 -34.53407, 150.41173 -34.53056, 150.41274 -34.5295, 150.43314 -34.52164, 150.4525 -34.50979, 150.46671 -34.50296, 150.47157 -34.49816, 150.48735 -34.48247, 150.49884 -34.47342, 150.5011 -34.47049, 150.51622 -34.44511, 150.52954 -34.41806, 150.53296 -34.40884, 150.53236 -34.39946, 150.53422 -34.39561, 150.53167 -34.38953, 150.53146 -34.38213, 150.53254 -34.38242, 150.54278 -34.37415, 150.54324 -34.37335, 150.54564 -34.3697, 150.54667 -34.36395, 150.55392 -34.35364, 150.55331 -34.35228, 150.55774 -34.34614, 150.55584 -34.34394, 150.55662 -34.33927, 150.55555 -34.33699, 150.55706 -34.32404, 150.55928 -34.32264, 150.56428 -34.31147, 150.57896 -34.29959, 150.58116 -34.29865, 150.58213 -34.29858, 150.5867 -34.29885, 150.60655 -34.29572, 150.61624 -34.28743, 150.62095 -34.28194, 150.6258 -34.27554, 150.63636 -34.2633, 150.6398 -34.26057, 150.64594 -34.25221, 150.65035 -34.24833, 150.65635 -34.24349, 150.66833 -34.23781, 150.67359 -34.23611, 150.67933 -34.23257, 150.68235 -34.22947, 150.70463 -34.23241, 150.71053 -34.23297, 150.71694 -34.23152, 150.72953 -34.22779, 150.73635 -34.22007, 150.75155 -34.20782, 150.76293 -34.19586, 150.76728 -34.18764, 150.76928 -34.1856, 150.76978 -34.18318, 150.77111 -34.16959, 150.77076 -34.16661, 150.77131 -34.15823, 150.77204 -34.155, 150.77291 -34.14257, 150.77221 -34.13192, 150.77341 -34.12333, 150.77427 -34.1197, 150.77347 -34.11283, 150.77176 -34.10757, 150.77033 -34.09627, 150.76539 -34.09069, 150.76416 -34.08336, 150.76741 -34.07945, 150.76993 -34.07192, 150.77501 -34.06652, 150.77896 -34.06037, 150.78492 -34.04821, 150.78748 -34.04519, 150.78963 -34.0419, 150.79022 -34.02081, 150.7947 -34.00633, 150.79872 -33.99986, 150.80081 -33.99837, 150.80776 -33.99362, 150.8185 -33.98029, 150.82099 -33.97627, 150.82332 -33.9737, 150.82727 -33.96268, 150.82706 -33.96208, 150.84948 -33.95323, 150.8528 -33.95387, 150.85714 -33.9549, 150.86103 -33.95574, 150.86321 -33.95625, 150.86997 -33.95714, 150.87512 -33.95809, 150.88064 -33.95857, 150.88488 -33.95902, 150.88799 -33.95982, 150.89079 -33.96104, 150.89836 -33.96353, 150.9035 -33.96432, 150.9104 -33.96586, 150.91601 -33.96637, 150.93118 -33.96554, 150.93297 -33.96543, 150.93616 -33.96508, 150.94652 -33.9645, 150.95218 -33.96423, 150.95842 -33.96345, 150.96259 -33.96335, 150.96658 -33.96368, 150.97104 -33.96437, 150.97519 -33.96464, 150.9769 -33.9646, 150.9806 -33.96409)</t>
  </si>
  <si>
    <t>P1171</t>
  </si>
  <si>
    <t>https://www.gem.wiki/Mortlake_Gas_Pipeline</t>
  </si>
  <si>
    <t>Mortlake Gas Pipeline</t>
  </si>
  <si>
    <t>SEA Gas [100.00%]</t>
  </si>
  <si>
    <t>Mortlake</t>
  </si>
  <si>
    <t>LINESTRING (143.053316 -38.568457, 143.055914 -38.567078, 143.05594 -38.567057, 143.055939 -38.567025, 143.055884 -38.566869, 143.054891 -38.564121, 143.052047 -38.56063, 143.050204 -38.559277, 143.048979 -38.557629, 143.048949 -38.557589, 143.048856 -38.557498, 143.044236 -38.553071, 143.042333 -38.551908, 143.041537 -38.551313, 143.039906 -38.549635, 143.039454 -38.548346, 143.03772 -38.545889, 143.037685 -38.545828, 143.037683 -38.545734, 143.037756 -38.545168, 143.03789 -38.544636, 143.037937 -38.544297, 143.038053 -38.543611, 143.038114 -38.543089, 143.038136 -38.542828, 143.038181 -38.541866, 143.038218 -38.541343, 143.038263 -38.540158, 143.038157 -38.539924, 143.036205 -38.537105, 143.036132 -38.537017, 143.036074 -38.536984, 143.036008 -38.536959, 143.035875 -38.536951, 143.033982 -38.536924, 143.033583 -38.536824, 143.033514 -38.5368, 143.033298 -38.536625, 143.033241 -38.536602, 143.032323 -38.53629, 143.030971 -38.53577, 143.030686 -38.535653, 143.030609 -38.535579, 143.030576 -38.535501, 143.029462 -38.53221, 143.029395 -38.532019, 143.029374 -38.531992, 143.027739 -38.531755, 143.027543 -38.531668, 143.02654 -38.531186, 143.026518 -38.531172, 143.026507 -38.531154, 143.026042 -38.530136, 143.026022 -38.530071, 143.026042 -38.529978, 143.026534 -38.528504, 143.026534 -38.528472, 143.026502 -38.52845, 143.023395 -38.527271, 143.022777 -38.527155, 143.022682 -38.527128, 143.022606 -38.527072, 143.022543 -38.527011, 143.021504 -38.525982, 143.016617 -38.521816, 143.016521 -38.521776, 143.016402 -38.521761, 143.010523 -38.521154, 143.009099 -38.520831, 143.008965 -38.520807, 143.008833 -38.520826, 143.008719 -38.520887, 143.007739 -38.521472, 143.007666 -38.521507, 143.007546 -38.521521, 143.005891 -38.521602, 143.004891 -38.521988, 142.994552 -38.520888, 142.994466 -38.520869, 142.994377 -38.520811, 142.99376 -38.520313, 142.993607 -38.520206, 142.991558 -38.519333, 142.990105 -38.517916, 142.989854 -38.517815, 142.987799 -38.517037, 142.981189 -38.515976, 142.976615 -38.515483, 142.976565 -38.515465, 142.976517 -38.515442, 142.976418 -38.515353, 142.973942 -38.512984, 142.973833 -38.51289, 142.973735 -38.512847, 142.963357 -38.511719, 142.962769 -38.511606, 142.958962 -38.511206, 142.958867 -38.511167, 142.958765 -38.511086, 142.956627 -38.509305, 142.953267 -38.508051, 142.947003 -38.507376, 142.946976 -38.507371, 142.946956 -38.507356, 142.946729 -38.507156, 142.946617 -38.507136, 142.942778 -38.506726, 142.936226 -38.506057, 142.934624 -38.505771, 142.929429 -38.503954, 142.929362 -38.50393, 142.928916 -38.503703, 142.928882 -38.503692, 142.928847 -38.503701, 142.927474 -38.50434, 142.925332 -38.504771, 142.917463 -38.503862, 142.916516 -38.504293, 142.916481 -38.504303, 142.916448 -38.504292, 142.916173 -38.504145, 142.916076 -38.504104, 142.915981 -38.504098, 142.915172 -38.504119, 142.912819 -38.504576, 142.912651 -38.504608, 142.912563 -38.504618, 142.911707 -38.504464, 142.910699 -38.504375, 142.909535 -38.504196, 142.909436 -38.504143, 142.909353 -38.504049, 142.906222 -38.500233, 142.906111 -38.500089, 142.906088 -38.5, 142.906107 -38.499885, 142.906748 -38.49669, 142.906748 -38.496608, 142.906702 -38.496537, 142.906428 -38.496247, 142.906397 -38.496159, 142.906977 -38.493079, 142.906979 -38.493006, 142.906934 -38.492926, 142.903056 -38.487958, 142.902971 -38.487521, 142.902852 -38.48682, 142.902837 -38.486777, 142.902781 -38.486709, 142.902263 -38.486197, 142.901371 -38.485347, 142.900732 -38.48477, 142.900323 -38.484389, 142.898994 -38.4831, 142.897329 -38.48218, 142.897229 -38.482134, 142.897139 -38.482123, 142.896267 -38.482101, 142.896061 -38.482091, 142.895673 -38.482058, 142.893565 -38.481802, 142.893462 -38.481755, 142.893368 -38.481666, 142.890628 -38.478902, 142.890563 -38.478884, 142.889773 -38.47901, 142.889672 -38.478993, 142.887971 -38.478573, 142.887836 -38.478533, 142.887744 -38.478465, 142.885656 -38.474547, 142.885442 -38.474136, 142.885433 -38.474094, 142.885429 -38.474057, 142.885448 -38.473933, 142.885776 -38.472311, 142.886318 -38.469361, 142.886335 -38.469246, 142.88631 -38.469157, 142.880829 -38.462639, 142.880769 -38.462561, 142.880745 -38.462472, 142.881359 -38.459224, 142.881688 -38.456912, 142.883225 -38.451195, 142.883247 -38.44902, 142.883242 -38.448802, 142.883184 -38.448706, 142.882978 -38.448414, 142.88296 -38.448396, 142.882929 -38.448387, 142.876238 -38.447617, 142.876197 -38.447601, 142.87619 -38.447565, 142.878506 -38.435203, 142.878512 -38.43513, 142.878492 -38.435074, 142.87846 -38.435022, 142.878369 -38.434954, 142.87251 -38.431138, 142.871341 -38.429675, 142.871291 -38.429603, 142.87127 -38.429515, 142.871282 -38.429435, 142.872488 -38.423038, 142.872493 -38.422978, 142.872297 -38.422553, 142.872308 -38.422451, 142.872663 -38.420569, 142.872669 -38.420471, 142.872643 -38.420411, 142.872601 -38.420357, 142.872501 -38.420298, 142.865487 -38.416703, 142.865438 -38.416672, 142.865436 -38.416643, 142.868119 -38.402379, 142.868125 -38.401713, 142.868853 -38.397745, 142.868871 -38.39769, 142.868946 -38.397604, 142.870113 -38.396474, 142.870185 -38.396391, 142.870203 -38.396335, 142.870598 -38.39423, 142.87064 -38.393928, 142.870683 -38.393769, 142.870817 -38.393041, 142.870943 -38.392672, 142.871497 -38.389713, 142.873288 -38.38115, 142.8733 -38.38105, 142.873278 -38.380992, 142.873243 -38.380937, 142.873148 -38.38087, 142.871705 -38.37999, 142.867233 -38.379143, 142.867146 -38.379118, 142.867065 -38.379057, 142.866626 -38.378643, 142.866548 -38.378584, 142.866463 -38.378559, 142.86604 -38.378487, 142.8653 -38.378556, 142.864572 -38.378483, 142.864481 -38.378465, 142.864392 -38.378412, 142.862526 -38.377028, 142.859163 -38.375527, 142.856876 -38.374048, 142.856785 -38.373997, 142.856694 -38.373979, 142.850085 -38.373075, 142.849589 -38.373004, 142.849532 -38.372979, 142.849481 -38.372948, 142.849285 -38.372718, 142.845102 -38.36756, 142.844725 -38.367106, 142.839211 -38.3627, 142.8306 -38.356544, 142.828915 -38.355203, 142.828847 -38.355141, 142.82882 -38.35509, 142.828804 -38.355037, 142.828818 -38.354931, 142.830748 -38.345138, 142.830764 -38.345109, 142.830799 -38.345097, 142.832455 -38.344834, 142.832488 -38.344822, 142.832502 -38.344795, 142.833985 -38.338479, 142.835623 -38.329904, 142.835955 -38.328118, 142.835928 -38.328027, 142.835849 -38.32793, 142.83491 -38.326862, 142.83483 -38.326401, 142.835812 -38.321542, 142.835792 -38.320987, 142.835733 -38.320891, 142.834313 -38.318976, 142.834278 -38.31891, 142.834284 -38.318821, 142.834967 -38.315721, 142.834724 -38.313242, 142.834686 -38.312805, 142.834687 -38.312705, 142.834716 -38.312647, 142.834756 -38.312593, 142.834853 -38.31253, 142.836879 -38.311394, 142.837194 -38.311226, 142.838389 -38.31056, 142.838557 -38.310466, 142.838584 -38.310439, 142.838573 -38.310406, 142.837086 -38.30843, 142.833559 -38.302241, 142.833169 -38.301572, 142.833086 -38.301509, 142.832952 -38.30146, 142.828471 -38.299956, 142.828348 -38.299908, 142.828257 -38.299829, 142.828212 -38.299727, 142.827645 -38.298053, 142.827361 -38.297398, 142.826854 -38.296061, 142.826838 -38.296038, 142.826755 -38.295967, 142.826322 -38.295625, 142.825684 -38.294533, 142.825634 -38.294033, 142.825615 -38.293705, 142.825786 -38.293115, 142.826168 -38.291866, 142.826251 -38.291425, 142.831911 -38.261323, 142.832089 -38.260633, 142.832169 -38.26022, 142.837558 -38.231769, 142.837692 -38.231392, 142.837773 -38.230977, 142.837785 -38.230908, 142.837775 -38.230363, 142.83858 -38.226239, 142.838595 -38.226129, 142.838559 -38.22603, 142.838473 -38.225943, 142.834781 -38.222636, 142.834232 -38.221658, 142.828505 -38.211288, 142.828501 -38.210257, 142.828524 -38.20053, 142.829168 -38.19709, 142.82918 -38.196982, 142.82914 -38.19688, 142.829051 -38.196797, 142.826152 -38.194358, 142.826061 -38.194272, 142.826025 -38.194177, 142.82607 -38.193905, 142.827008 -38.189057, 142.827067 -38.188736, 142.827075 -38.188656, 142.827058 -38.188603, 142.827031 -38.188553, 142.826963 -38.188492, 142.823061 -38.18549, 142.818877 -38.182965, 142.818792 -38.182908, 142.818745 -38.182844, 142.815832 -38.177967, 142.813652 -38.17183, 142.810931 -38.165566, 142.807609 -38.155995, 142.808399 -38.150004, 142.808492 -38.149522, 142.809196 -38.144505, 142.809189 -38.144263, 142.809405 -38.142737, 142.809402 -38.142648, 142.809391 -38.142618, 142.80936 -38.142604, 142.808251 -38.142336, 142.77189 -38.137904, 142.771825 -38.137891, 142.771376 -38.137653, 142.771281 -38.137636, 142.762161 -38.136524, 142.762067 -38.136499, 142.761992 -38.136441, 142.756115 -38.130312, 142.749801 -38.121731, 142.745917 -38.11432, 142.744607 -38.112128, 142.744543 -38.112036, 142.74449 -38.111998, 142.744428 -38.111968, 142.743726 -38.111876, 142.74046 -38.111483, 142.738273 -38.111501, 142.737535 -38.111393, 142.728468 -38.108495, 142.728373 -38.108458, 142.728322 -38.108416, 142.72828 -38.108368, 142.728251 -38.108279, 142.727792 -38.106286, 142.727778 -38.106258, 142.727743 -38.106247, 142.726591 -38.106065, 142.726019 -38.105999, 142.7254 -38.105968, 142.717691 -38.105021, 142.717576 -38.105006, 142.716518 -38.104683, 142.714364 -38.104422, 142.714319 -38.104418, 142.713208 -38.104469, 142.707866 -38.103925, 142.707827 -38.103911, 142.707818 -38.103874, 142.707862 -38.103591, 142.707855 -38.103554, 142.707814 -38.103538, 142.707408 -38.103488, 142.702107 -38.102844, 142.702028 -38.102839, 142.701941 -38.102853, 142.701189 -38.103002, 142.701112 -38.102996, 142.685851 -38.101125, 142.685815 -38.10111, 142.685807 -38.101072, 142.688553 -38.086511, 142.688547 -38.086477, 142.688503 -38.08646, 142.68795 -38.086391, 142.679573 -38.085372, 142.67953 -38.085356, 142.679522 -38.085322, 142.680258 -38.081351, 142.680278 -38.08128, 142.680343 -38.081207, 142.680606 -38.080958, 142.68065 -38.080907, 142.680678 -38.080809, 142.681144 -38.07834, 142.681183 -38.078098, 142.681154 -38.078006, 142.680836 -38.07765, 142.679601 -38.076943, 142.679488 -38.076316, 142.678607 -38.07581, 142.678534 -38.075761, 142.678482 -38.075685, 142.677377 -38.073748, 142.677349 -38.073682, 142.677356 -38.07359, 142.677509 -38.072666, 142.6775 -38.07263, 142.677458 -38.072615, 142.676861 -38.072552, 142.676825 -38.072541, 142.67681 -38.072513, 142.676695 -38.071918, 142.677021 -38.069963, 142.677029 -38.069862, 142.677005 -38.069804, 142.676969 -38.06975, 142.676872 -38.069685, 142.67657 -38.069507, 142.673565 -38.06778, 142.673543 -38.067764, 142.673536 -38.067744, 142.673419 -38.067093, 142.673408 -38.067067, 142.673366 -38.067051, 142.665814 -38.066165, 142.665775 -38.066151, 142.665766 -38.066112, 142.665783 -38.066026)</t>
  </si>
  <si>
    <t>P3584</t>
  </si>
  <si>
    <t>https://www.gem.wiki/North_Bakken_Expansion_Pipeline</t>
  </si>
  <si>
    <t>North Bakken Expansion Pipeline</t>
  </si>
  <si>
    <t>Tioga–Elkhorn Creek Pipeline</t>
  </si>
  <si>
    <t>LINESTRING (-102.904062 48.408635, -102.900997 48.406855, -102.899007 48.405063, -102.897586 48.402798, -102.897017 48.398175, -102.897444 48.394966, -102.897728 48.392701, -102.903413 48.391946, -102.909666 48.391758, -102.913219 48.390248, -102.915493 48.385906, -102.917518 48.383606, -102.91972 48.378374, -102.922346 48.373534, -102.923871 48.367907, -102.925935 48.361815, -102.927075 48.358029, -102.928732 48.35211, -102.930493 48.34853, -102.931011 48.341026, -102.932047 48.339236, -102.934843 48.337102, -102.938676 48.335862, -102.948516 48.335518, -102.955663 48.335656, -102.958149 48.335243, -102.959703 48.33359, -102.962499 48.330009, -102.964882 48.327668, -102.968093 48.326497, -102.973065 48.325946, -102.977415 48.325671, -102.981144 48.323742, -102.985494 48.320161, -102.991606 48.316441, -102.997924 48.311275, -103.00445 48.308657, -103.00735 48.306797, -103.009525 48.303145, -103.011804 48.302525, -103.018537 48.302111, -103.020401 48.301905, -103.021437 48.300596, -103.02123 48.297633, -103.020608 48.293084, -103.020298 48.289914, -103.019469 48.288398, -103.018329 48.287571, -103.016776 48.285641, -103.016465 48.283504, -103.016361 48.276542, -103.016398 48.272739, -103.017644 48.270086, -103.018142 48.266106, -103.017145 48.261461, -103.016398 48.254495, -103.016896 48.242549, -103.016896 48.220974, -103.016896 48.21699, -103.018322 48.214986, -103.020676 48.213369, -103.023691 48.211262, -103.025677 48.209007, -103.028398 48.207635, -103.041563 48.206115, -103.052154 48.204302, -103.056493 48.203419, -103.06142 48.20239, -103.064362 48.201606, -103.066127 48.200723, -103.066936 48.199351, -103.066495 48.191409, -103.066274 48.171793, -103.066274 48.170126, -103.067378 48.169292, -103.069731 48.16885, -103.07385 48.168311, -103.075247 48.167673, -103.075688 48.165956, -103.081278 48.151091, -103.086058 48.13838, -103.087824 48.132981, -103.089442 48.127091, -103.093677 48.118609, -103.092971 48.111776, -103.092618 48.106591, -103.093324 48.101877, -103.093603 48.100522, -103.094926 48.099871, -103.096318 48.099592, -103.098962 48.099406, -103.100981 48.09922, -103.102164 48.098244, -103.102442 48.096757, -103.102581 48.094386, -103.10271 48.08492, -103.103306 48.083328, -103.105093 48.082267, -103.108072 48.081869, -103.115021 48.081339, -103.119389 48.080941, -103.123361 48.079747, -103.126339 48.078685, -103.127927 48.076297, -103.128325 48.073511, -103.128523 48.068602, -103.12892 48.066745, -103.130509 48.065418, -103.133289 48.064091, -103.135671 48.063427, -103.141628 48.063029, -103.143812 48.062233, -103.145798 48.061039, -103.147188 48.057721, -103.147461 48.051856, -103.147328 48.048385, -103.14786 48.046427, -103.15039 48.045626, -103.153319 48.044914, -103.154251 48.043312, -103.153851 48.040908, -103.153851 48.028178, -103.154783 48.025596, -103.155183 48.022746, -103.155316 47.998966, -103.155316 47.996471, -103.155848 47.994689, -103.157313 47.99362, -103.160508 47.991838, -103.165434 47.989076, -103.169029 47.987116, -103.171691 47.985779, -103.173289 47.984977, -103.173822 47.983284, -103.175153 47.97758, -103.178348 47.969648, -103.182209 47.965369, -103.185404 47.964567, -103.187002 47.963586, -103.188067 47.959842, -103.187801 47.947537, -103.187135 47.940224, -103.186869 47.937727, -103.185937 47.936121, -103.182342 47.933534, -103.179147 47.930769, -103.177683 47.929074, -103.177683 47.924971, -103.178215 47.911408, -103.177816 47.90998, -103.176751 47.90891, -103.175419 47.907928, -103.17502 47.906589, -103.17502 47.902305, -103.17502 47.880344, -103.174887 47.84399, -103.174754 47.838003, -103.175419 47.836037, -103.176085 47.834607, -103.178215 47.832194, -103.178348 47.827546, -103.178348 47.823971, -103.177416 47.82263, -103.17462 47.821468, -103.171292 47.81968, -103.170626 47.817892, -103.170626 47.808862, -103.171159 47.80609, -103.173955 47.803855, -103.17715 47.800278, -103.179431 47.795969, -103.181659 47.794004, -103.184722 47.793163, -103.190431 47.791946, -103.19433 47.791479, -103.197394 47.791011, -103.19854 47.79045, -103.19925 47.788841, -103.19909 47.784432, -103.198983 47.778409, -103.199036 47.769051, -103.198647 47.767712, -103.197254 47.765466, -103.196976 47.763687, -103.197254 47.761722, -103.19795 47.759569, -103.198368 47.755731, -103.199621 47.751799, -103.199343 47.748616, -103.199064 47.745339, -103.19809 47.743841, -103.196837 47.741593, -103.196697 47.73251, -103.196558 47.723518, -103.197394 47.721364, -103.198786 47.720146, -103.201432 47.718928, -103.206305 47.717242, -103.210761 47.716211, -103.213824 47.7149, -103.218002 47.712557, -103.219255 47.710496, -103.219255 47.70806, -103.219255 47.700095, -103.219255 47.694191, -103.218837 47.689692, -103.219116 47.686224, -103.220369 47.682943)</t>
  </si>
  <si>
    <t>P3585</t>
  </si>
  <si>
    <t>Line Section 25 Loop Pipeline</t>
  </si>
  <si>
    <t>LINESTRING (-102.787464 48.66814, -102.787464 48.65899, -102.788041 48.650983, -102.788041 48.645262, -102.79035 48.638778, -102.796699 48.632294, -102.804203 48.625426, -102.814016 48.624663, -102.82556 48.6239, -102.830178 48.623137, -102.834796 48.617795, -102.839414 48.613598, -102.845186 48.607491, -102.850958 48.601384, -102.852113 48.591841, -102.854999 48.588404, -102.860771 48.574275, -102.86308 48.567019, -102.865966 48.565491, -102.868275 48.558996, -102.868275 48.554412, -102.871738 48.54142, -102.876933 48.528425, -102.880974 48.510837, -102.882705 48.503189, -102.885591 48.496304, -102.888477 48.489801, -102.889632 48.48215, -102.893672 48.474879, -102.896558 48.467608, -102.899445 48.457657, -102.903485 48.443491, -102.906371 48.434683, -102.910412 48.428939, -102.911566 48.424725, -102.911566 48.420895, -102.909257 48.417064, -102.90464 48.413616, -102.904062 48.408635)</t>
  </si>
  <si>
    <t>P3586</t>
  </si>
  <si>
    <t>Line Section 30 Loop Pipeline</t>
  </si>
  <si>
    <t>LINESTRING (-102.917518 48.383606, -102.923453 48.383677, -102.930583 48.383677, -102.934303 48.38354, -102.938229 48.38354, -102.940399 48.383265, -102.942259 48.382373, -102.944326 48.380795, -102.947529 48.378118, -102.947736 48.376608, -102.947529 48.372765, -102.947529 48.370088, -102.948149 48.368852, -102.950629 48.368028, -102.954762 48.367548, -102.976461 48.367754, -102.997541 48.367616, -103.00746 48.367479, -103.012833 48.367342, -103.01552 48.367342, -103.01831 48.368234, -103.020996 48.369744, -103.022133 48.370499, -103.025026 48.370911, -103.033086 48.370774, -103.038666 48.370293, -103.040939 48.36995, -103.043212 48.368783, -103.043935 48.368028)</t>
  </si>
  <si>
    <t>P3587</t>
  </si>
  <si>
    <t>Tioga Compressor Lateral Pipeline</t>
  </si>
  <si>
    <t>LINESTRING (-102.904062 48.408635, -102.906824 48.408554, -102.910661 48.408365, -102.914498 48.408271, -102.917625 48.408082)</t>
  </si>
  <si>
    <t>P3588</t>
  </si>
  <si>
    <t>Elkhorn Creek–Northern Border Pipeline</t>
  </si>
  <si>
    <t>LINESTRING (-103.220369 47.682943, -103.223989 47.682755, -103.225799 47.681912, -103.226496 47.680599, -103.226078 47.678912)</t>
  </si>
  <si>
    <t>P3589</t>
  </si>
  <si>
    <t>https://www.gem.wiki/CP_Express_Pipeline</t>
  </si>
  <si>
    <t>CP Express Pipeline</t>
  </si>
  <si>
    <t>CP2 LNG Terminal</t>
  </si>
  <si>
    <t>Cameron Parish</t>
  </si>
  <si>
    <t>Jasper County</t>
  </si>
  <si>
    <t>LINESTRING (-93.325377 29.795816, -93.31105 29.799234, -93.298493 29.804469, -93.289317 29.809917, -93.277242 29.812851, -93.262269 29.812851, -93.240534 29.812432, -93.223146 29.812432, -93.213003 29.811175, -93.205758 29.80866, -93.198997 29.80866, -93.190786 29.80866, -93.180643 29.809917, -93.170983 29.811175, -93.164221 29.814108, -93.154078 29.814946, -93.14635 29.816622, -93.138139 29.817461, -93.132826 29.817461, -93.131377 29.818299, -93.129928 29.820394, -93.129445 29.834221, -93.129445 29.841763, -93.131377 29.846371, -93.135241 29.850141, -93.139588 29.8581, -93.142003 29.868572, -93.144901 29.876948, -93.149248 29.886999, -93.151663 29.89663, -93.15601 29.905423, -93.157459 29.91254, -93.160357 29.919657, -93.162289 29.926773, -93.164221 29.928866, -93.167602 29.931796, -93.170983 29.937238, -93.172432 29.944771, -93.174364 29.949375, -93.176296 29.951886, -93.179194 29.956071, -93.182575 29.959418, -93.187405 29.960255, -93.193201 29.959837, -93.197548 29.959837, -93.202377 29.959418, -93.205758 29.960255, -93.208173 29.961929, -93.209622 29.96444, -93.210588 29.968624, -93.212037 29.972808, -93.214935 29.977829, -93.217761 29.984476, -93.222136 29.988827, -93.224891 29.99374, -93.227358 29.998681, -93.229634 30.003673, -93.230847 30.009605, -93.232343 30.014009, -93.235932 30.01634, -93.242214 30.021261, -93.248795 30.027995, -93.253881 30.032398, -93.258966 30.034729, -93.263752 30.038354, -93.266444 30.041979, -93.267042 30.052596, -93.266743 30.056738, -93.269735 30.059068, -93.273623 30.060622, -93.278709 30.063211, -93.283196 30.065023, -93.288281 30.065541, -93.305332 30.066318, -93.318494 30.0658, -93.327767 30.065282, -93.342424 30.064764, -93.346911 30.065023, -93.351099 30.067353, -93.35439 30.072013, -93.35768 30.079779, -93.359077 30.082129, -93.361696 30.08364, -93.365887 30.084094, -93.388762 30.083791, -93.395746 30.083942, -93.400635 30.085151, -93.405874 30.088022, -93.410239 30.090137, -93.413906 30.091044, -93.422986 30.091648, -93.433638 30.09195, -93.442892 30.091799, -93.447781 30.09195, -93.451099 30.092554, -93.453369 30.095274, -93.456861 30.100108, -93.461401 30.106755, -93.465592 30.11612, -93.470831 30.123068, -93.477219 30.135578, -93.481462 30.141885, -93.485307 30.145325, -93.493528 30.151975, -93.504534 30.165046, -93.511827 30.172726, -93.515009 30.175936, -93.519252 30.177999, -93.525882 30.181553, -93.531982 30.188315, -93.537464 30.193418, -93.541413 30.198197, -93.545362 30.203658, -93.549837 30.209346, -93.551909 30.214717, -93.553808 30.219878, -93.555128 30.227372, -93.555096 30.238367, -93.554853 30.248419, -93.554642 30.255774, -93.554642 30.259543, -93.556824 30.261636, -93.560945 30.262474, -93.566277 30.264358, -93.569428 30.267289, -93.573064 30.272523, -93.574761 30.277128, -93.577185 30.27943, -93.58179 30.280058, -93.589062 30.280268, -93.596091 30.279849, -93.603121 30.27964, -93.607726 30.27964, -93.611362 30.279849, -93.622512 30.280477, -93.629056 30.280477, -93.633904 30.280058, -93.638025 30.279012, -93.646508 30.277337, -93.65378 30.277546, -93.662021 30.279221, -93.668808 30.279849, -93.676565 30.280058, -93.686261 30.279221, -93.694017 30.277965, -93.702501 30.275663, -93.710015 30.274407, -93.715347 30.272523, -93.726255 30.270429, -93.735223 30.269173, -93.740798 30.268964, -93.745404 30.270429, -93.753645 30.277128, -93.759705 30.281105, -93.764553 30.283826, -93.768431 30.284873, -93.775945 30.285919, -93.781035 30.287594, -93.788549 30.287803, -93.799457 30.287803, -93.815939 30.287594, -93.834846 30.287175, -93.854964 30.287384, -93.875568 30.287384, -93.890353 30.288012, -93.900291 30.287803, -93.912169 30.287803, -93.92647 30.287384, -93.943194 30.287594, -93.964525 30.287175, -93.979311 30.286966, -93.993127 30.286547, -94.001368 30.285501, -94.008882 30.283617, -94.018336 30.280477, -94.022214 30.277965)</t>
  </si>
  <si>
    <t>P3590</t>
  </si>
  <si>
    <t>Louisiana Connector Extension Project</t>
  </si>
  <si>
    <t>LINESTRING (-92.991516 30.493548, -92.990537 30.503876, -92.982078 30.514404, -92.969858 30.524931, -92.942599 30.542742, -92.91346 30.556504, -92.862701 30.582402, -92.822282 30.605867, -92.757424 30.649544, -92.717945 30.673801, -92.695386 30.689161, -92.680346 30.706134, -92.671887 30.725528, -92.664367 30.747343, -92.658727 30.761075, -92.642748 30.787726, -92.620188 30.825671, -92.589169 30.866829, -92.57319 30.891031, -92.56849 30.902323, -92.55909 30.924903, -92.538411 30.957958, -92.527131 30.983749, -92.495172 31.039336, -92.487652 31.04739, -92.475433 31.060274, -92.446293 31.092476, -92.388229 31.149285, -92.37786 31.159046, -92.370602 31.163482, -92.368528 31.171467, -92.367491 31.187435, -92.360233 31.200739, -92.346754 31.214928, -92.337422 31.230002, -92.331201 31.236208, -92.320832 31.239754, -92.311501 31.255711, -92.309427 31.269891, -92.302169 31.288501, -92.295948 31.30622, -92.289726 31.326594, -92.282468 31.335451, -92.268989 31.350505, -92.260694 31.360245, -92.256547 31.375296, -92.252399 31.412469, -92.251362 31.43105, -92.247215 31.439897, -92.23892 31.450512, -92.228551 31.47616, -92.224404 31.485887, -92.216109 31.495613, -92.200556 31.507105, -92.190187 31.515945, -92.183966 31.5239, -92.17256 31.542459, -92.157007 31.565432, -92.143528 31.591048, -92.109311 31.643143, -92.071984 31.692563, -92.048136 31.72961, -92.001477 31.786034, -91.944449 31.855635, -91.923712 31.883813, -91.920601 31.892617, -91.91438 31.898779, -91.902975 31.90054, -91.892606 31.90142, -91.886385 31.904061, -91.880164 31.909342, -91.874979 31.923424, -91.870832 31.930464, -91.863574 31.934864, -91.852168 31.939263, -91.835578 31.947182, -91.827283 31.95334, -91.821062 31.960378, -91.815878 31.974452, -91.805509 32.000835, -91.784772 32.028969, -91.753666 32.05973, -91.723597 32.095751, -91.714265 32.109804, -91.707007 32.115952, -91.695601 32.121221, -91.683159 32.129124, -91.675901 32.13966, -91.67279 32.160729, -91.668643 32.173895, -91.659311 32.191446, -91.65309 32.201097, -91.648942 32.212503, -91.647905 32.223029, -91.644795 32.231801, -91.633389 32.244956, -91.580509 32.314209, -91.55355 32.351006, -91.547329 32.358889, -91.543182 32.367647, -91.539034 32.384285, -91.535923 32.404422, -91.532813 32.4123, -91.527629 32.420178, -91.522444 32.429805, -91.504817 32.443807, -91.490301 32.451682)</t>
  </si>
  <si>
    <t>P3591</t>
  </si>
  <si>
    <t>https://www.gem.wiki/Central_West_Pipeline</t>
  </si>
  <si>
    <t>Moomba to Sydney Gas Pipeline</t>
  </si>
  <si>
    <t>Marsden</t>
  </si>
  <si>
    <t>LINESTRING (147.50766 -33.77707, 147.51306 -33.77254, 147.518 -33.76517, 147.5216 -33.76233, 147.52149 -33.76095, 147.52324 -33.75883, 147.52302 -33.75863, 147.5247 -33.75638, 147.52552 -33.75439, 147.52568 -33.7518, 147.52411 -33.74504, 147.5226 -33.73748, 147.51873 -33.7277, 147.51627 -33.71635, 147.51623 -33.71299, 147.51624 -33.70648, 147.52516 -33.68475, 147.53177 -33.67732, 147.53362 -33.67641, 147.54522 -33.67261, 147.55875 -33.66755, 147.56356 -33.6666, 147.5836 -33.63501, 147.58963 -33.63138, 147.60034 -33.62606, 147.60331 -33.62433, 147.60453 -33.62162, 147.60446 -33.62141, 147.60529 -33.62056, 147.60634 -33.6181, 147.60758 -33.61692, 147.6079 -33.61462, 147.61914 -33.58963, 147.6227 -33.58649, 147.63347 -33.58019, 147.64159 -33.57567, 147.64267 -33.57468, 147.64891 -33.57055, 147.6528 -33.56759, 147.65399 -33.56532, 147.65495 -33.56405, 147.66636 -33.55531, 147.66714 -33.55523, 147.66938 -33.55373, 147.67015 -33.55285, 147.67495 -33.55037, 147.70664 -33.53801, 147.70887 -33.53686, 147.71169 -33.53648, 147.71553 -33.5363, 147.71669 -33.53613, 147.71827 -33.53561, 147.71983 -33.53463, 147.72881 -33.52625, 147.74563 -33.51253, 147.7518 -33.50907, 147.75681 -33.50574, 147.77554 -33.49579, 147.79082 -33.48866, 147.79354 -33.48713, 147.79492 -33.48665, 147.79995 -33.48423, 147.80307 -33.48367, 147.81243 -33.48358, 147.81572 -33.48365, 147.81673 -33.48382, 147.81858 -33.48369, 147.82283 -33.48254, 147.83045 -33.48078, 147.83059 -33.48063, 147.83095 -33.48069, 147.83881 -33.47935, 147.85625 -33.47243, 147.87298 -33.46905, 147.88147 -33.46962, 147.8833 -33.46925, 147.88621 -33.46917, 147.89478 -33.46366, 147.89977 -33.46021, 147.90351 -33.4558, 147.90523 -33.45245, 147.90783 -33.44342, 147.90903 -33.44008, 147.91008 -33.4386, 147.9111 -33.43772, 147.92006 -33.43325, 147.92161 -33.43232, 147.94796 -33.41325, 147.9497 -33.41205, 147.95138 -33.41121, 147.95181 -33.41101, 147.954 -33.41084, 147.95592 -33.41086, 147.96111 -33.41165, 147.96346 -33.41145, 147.97039 -33.40953, 147.9675 -33.40235, 147.96853 -33.39748, 147.96862 -33.39736, 147.97006 -33.39755, 147.97073 -33.39416, 147.97193 -33.39343, 147.97261 -33.39117, 147.97307 -33.3889, 147.97433 -33.38874, 147.97579 -33.38816, 147.97612 -33.38701, 147.97578 -33.3847, 147.97629 -33.38418, 147.9783 -33.38099, 147.98069 -33.38154, 147.98385 -33.38195, 147.98482 -33.3773, 147.98536 -33.37674, 147.98626 -33.37243, 147.99237 -33.37015, 147.99663 -33.34934, 148.00661 -33.3507, 148.00813 -33.35072, 148.01232 -33.35133, 148.01726 -33.35232, 148.01721 -33.35209, 148.02258 -33.34408, 148.02319 -33.34168, 148.0252 -33.34007, 148.03259 -33.34094, 148.03511 -33.33996, 148.03592 -33.33896, 148.03766 -33.33771, 148.03978 -33.33703, 148.04455 -33.33677, 148.04615 -33.33637, 148.04786 -33.33539, 148.04869 -33.33455, 148.0492 -33.33385, 148.0524 -33.32783, 148.05434 -33.3235, 148.05718 -33.31637, 148.05807 -33.31471, 148.06134 -33.31095, 148.06213 -33.30954, 148.06417 -33.30484, 148.06526 -33.30345, 148.06753 -33.30143, 148.0681 -33.30062, 148.06847 -33.29941, 148.06832 -33.29538, 148.06884 -33.29363, 148.06976 -33.29209, 148.07331 -33.28683, 148.07478 -33.28494, 148.08302 -33.27754, 148.08407 -33.27601, 148.08942 -33.26645, 148.09084 -33.26427, 148.10926 -33.24361, 148.11133 -33.24065, 148.11239 -33.23854, 148.11442 -33.23271, 148.11445 -33.23213, 148.11531 -33.23013, 148.11665 -33.2276, 148.11864 -33.22488, 148.1189 -33.2218, 148.12108 -33.22014, 148.1227 -33.21927, 148.12393 -33.2177, 148.1258 -33.21419, 148.12584 -33.2138, 148.12519 -33.2127, 148.1239 -33.21099, 148.12404 -33.21024, 148.12464 -33.20979, 148.12586 -33.20392, 148.12587 -33.20306, 148.12646 -33.20156, 148.12746 -33.19606, 148.12803 -33.19483, 148.13021 -33.1921, 148.1304 -33.19107, 148.13037 -33.18897, 148.13186 -33.18594, 148.1364 -33.1815, 148.13736 -33.18033, 148.13697 -33.17986, 148.13761 -33.17905, 148.13988 -33.17732, 148.1452 -33.17589, 148.14971 -33.17178, 148.1522 -33.16996, 148.15271 -33.16456, 148.15264 -33.16286, 148.15212 -33.15895, 148.15241 -33.15652, 148.1529 -33.15477, 148.15364 -33.15308, 148.15423 -33.15207, 148.15614 -33.14964, 148.15682 -33.14686, 148.15577 -33.14595, 148.1545 -33.14434, 148.15251 -33.14256, 148.15281 -33.14209, 148.15118 -33.14054, 148.15241 -33.13569, 148.15525 -33.12956, 148.16009 -33.12395, 148.16072 -33.12273, 148.16277 -33.11175, 148.16303 -33.10853, 148.16349 -33.10779, 148.16608 -33.10579, 148.16717 -33.10316, 148.16361 -33.09313, 148.16334 -33.09009, 148.16135 -33.08454, 148.16117 -33.08255, 148.15776 -33.07291, 148.15653 -33.07056, 148.15504 -33.06924, 148.15294 -33.06674, 148.15326 -33.06611, 148.15345 -33.06522, 148.15324 -33.06358, 148.15317 -33.0608, 148.15401 -33.05779, 148.15416 -33.05642, 148.15542 -33.05242, 148.15562 -33.05048, 148.15525 -33.04896, 148.15557 -33.04813, 148.15711 -33.04009, 148.15494 -33.024, 148.15745 -33.02133, 148.15764 -33.01833, 148.15767 -33.011, 148.15827 -33.00718, 148.16056 -32.99825, 148.16049 -32.99792, 148.15854 -32.99562, 148.15866 -32.99432, 148.16986 -32.96124, 148.1714 -32.95298, 148.17172 -32.95259, 148.17311 -32.94517, 148.17298 -32.94466, 148.17529 -32.93205, 148.17287 -32.9317, 148.17295 -32.93125, 148.1728 -32.93106, 148.17676 -32.88208, 148.17742 -32.8799, 148.17792 -32.8788, 148.17877 -32.87751, 148.19213 -32.86372, 148.19206 -32.86333, 148.19747 -32.85763, 148.20042 -32.84274, 148.20171 -32.83168, 148.20189 -32.82862, 148.20178 -32.82635, 148.20188 -32.82492, 148.20234 -32.82323, 148.20302 -32.81745, 148.20902 -32.80067, 148.21029 -32.79688, 148.21024 -32.79662, 148.21166 -32.79313, 148.21217 -32.79123, 148.21426 -32.79159, 148.2144 -32.79144, 148.21417 -32.78929, 148.21123 -32.78273, 148.21129 -32.78225, 148.2093 -32.77836, 148.20751 -32.77647, 148.20002 -32.77161, 148.19869 -32.77028, 148.19801 -32.7693, 148.19739 -32.76789, 148.19667 -32.76424, 148.18544 -32.73769, 148.18471 -32.73421, 148.18558 -32.73385, 148.18516 -32.7328, 148.18532 -32.7324, 148.1849 -32.73222, 148.18397 -32.73006, 148.18353 -32.73016, 148.18325 -32.73002, 148.18181 -32.72659, 148.18104 -32.72618, 148.17531 -32.71259, 148.17511 -32.71169, 148.17522 -32.70973, 148.17792 -32.70503, 148.17803 -32.70312, 148.16423 -32.64165, 148.16395 -32.63838, 148.1641 -32.63662, 148.16566 -32.62758, 148.16581 -32.62475, 148.16541 -32.62168, 148.16279 -32.60864, 148.16323 -32.60807, 148.16312 -32.60695, 148.16228 -32.60619, 148.15757 -32.58284, 148.15726 -32.58206, 148.1568 -32.58092, 148.1565 -32.5809, 148.1563 -32.58062, 148.15376 -32.57596, 148.15269 -32.57566, 148.15118 -32.57279, 148.15094 -32.57193, 148.1509 -32.57045, 148.14369 -32.55682, 148.13729 -32.54202, 148.13772 -32.54175, 148.13718 -32.53882, 148.13449 -32.50838, 148.13433 -32.50823, 148.13248 -32.48591, 148.13219 -32.48359, 148.13182 -32.48332, 148.12992 -32.46209, 148.13007 -32.45989, 148.13364 -32.44062, 148.13884 -32.42268, 148.14209 -32.40781, 148.143 -32.40544, 148.15277 -32.38992, 148.16427 -32.36874, 148.16499 -32.36698, 148.16583 -32.36355, 148.16889 -32.34782, 148.16869 -32.34755, 148.16972 -32.34336, 148.17059 -32.34139, 148.17682 -32.33035, 148.17575 -32.32145, 148.17589 -32.32129, 148.17466 -32.31567, 148.17496 -32.31318, 148.17519 -32.30625, 148.17746 -32.30426, 148.18203 -32.29974, 148.18947 -32.28969, 148.20195 -32.27448, 148.2027 -32.27376, 148.20651 -32.27174, 148.20806 -32.26982, 148.20963 -32.2615, 148.21194 -32.25907, 148.21266 -32.25853, 148.21474 -32.25767, 148.21549 -32.25761, 148.21573 -32.25731, 148.21653 -32.25717, 148.21757 -32.25669, 148.21935 -32.25517, 148.22399 -32.25279, 148.22432 -32.25327, 148.22457 -32.25319, 148.22596 -32.25482, 148.22667 -32.25506, 148.23941 -32.25662, 148.23984 -32.25683, 148.25054 -32.25795, 148.26109 -32.2593, 148.26125 -32.25916, 148.26244 -32.25255, 148.26314 -32.25237, 148.28321 -32.25489, 148.28349 -32.25464, 148.28398 -32.2518, 148.28465 -32.24914, 148.28701 -32.24984, 148.28717 -32.24958, 148.29753 -32.25274, 148.30248 -32.25397, 148.30771 -32.25476, 148.31313 -32.25507, 148.31603 -32.25392, 148.31673 -32.25343, 148.32074 -32.25191, 148.33486 -32.24768, 148.34028 -32.24664, 148.35062 -32.2442, 148.35349 -32.2433, 148.3593 -32.24296, 148.36255 -32.2414, 148.36489 -32.23992, 148.36712 -32.23835, 148.3702 -32.2357, 148.37258 -32.23238, 148.37424 -32.22936, 148.3745 -32.22829, 148.37583 -32.22614, 148.3783 -32.22403, 148.3839 -32.22012, 148.3868 -32.21925, 148.38953 -32.21778, 148.39088 -32.21647, 148.39272 -32.21421, 148.39342 -32.21367, 148.39449 -32.21316, 148.39455 -32.21262, 148.39812 -32.21172, 148.40633 -32.21137, 148.41429 -32.20795, 148.4182 -32.20656, 148.41913 -32.20648, 148.42288 -32.20518, 148.4333 -32.2013, 148.43555 -32.20009, 148.43757 -32.19845, 148.43896 -32.19754, 148.44286 -32.19528, 148.44481 -32.19447, 148.44791 -32.19413, 148.45364 -32.1931, 148.45723 -32.19264, 148.46513 -32.19349, 148.46661 -32.19326, 148.47009 -32.19328, 148.47848 -32.1945, 148.48425 -32.19743, 148.48609 -32.19758, 148.48799 -32.19664, 148.48891 -32.19657, 148.49315 -32.1978, 148.49713 -32.19768, 148.49969 -32.19813, 148.50272 -32.19798, 148.50278 -32.19833, 148.50921 -32.1989, 148.51731 -32.19997, 148.51761 -32.20046, 148.5258 -32.20141, 148.52629 -32.20123, 148.52776 -32.20131, 148.5329 -32.20211, 148.53619 -32.20318, 148.54004 -32.20521, 148.55614 -32.2176, 148.55657 -32.2174, 148.55882 -32.21906, 148.5644 -32.22253, 148.56701 -32.22482, 148.57234 -32.22384, 148.57484 -32.22283, 148.57945 -32.22188, 148.58328 -32.22238, 148.58392 -32.2227, 148.59345 -32.22395, 148.59382 -32.22271, 148.5942 -32.22028, 148.60237 -32.2214, 148.60347 -32.222, 148.60733 -32.22241, 148.61109 -32.22149, 148.61478 -32.22204, 148.6171 -32.21787, 148.61776 -32.21597, 148.61792 -32.21431, 148.61835 -32.2143, 148.61847 -32.21259, 148.61983 -32.21167, 148.63261 -32.21358)</t>
  </si>
  <si>
    <t>P1172</t>
  </si>
  <si>
    <t>https://www.gem.wiki/Narrabri_to_Wellington_Pipeline</t>
  </si>
  <si>
    <t>Narrabri to Wellington Pipeline</t>
  </si>
  <si>
    <t>LINESTRING (149.7643474 -30.3281853, 148.9271724 -32.5503233)</t>
  </si>
  <si>
    <t>P0925</t>
  </si>
  <si>
    <t>https://www.gem.wiki/Hazira-Vijaipur-Jagdishpur_(HVJ)_Gas_Pipeline</t>
  </si>
  <si>
    <t>Hazira-Vijaipur-Jagdishpur (HVJ) Gas Pipeline</t>
  </si>
  <si>
    <t>LINESTRING (72.6453727 21.177933, 72.9956186 21.574189, 73.6674432 22.047882, 74.1730197 22.339386, 74.5214576 22.421371, 74.7059247 22.471473, 74.8380122 22.562568, 75.3504893 23.084555, 75.4902156 23.229271, 76.0191797 23.448841, 76.2038182 23.523695, 76.4383589 23.728294, 76.6579289 24.002757, 77.1604177 24.483139, 78.4963056 25.324883, 79.2952045 26.153371, 79.8949976 26.661958, 80.5428347 26.750347)</t>
  </si>
  <si>
    <t>P0926</t>
  </si>
  <si>
    <t>https://www.gem.wiki/Heera-Uran_Trunk_Line_(HUT)</t>
  </si>
  <si>
    <t>Heera-Uran Trunk Line (HUT)</t>
  </si>
  <si>
    <t>LINESTRING (71.442119 19.387051, 72.929236 18.877149)</t>
  </si>
  <si>
    <t>P0927</t>
  </si>
  <si>
    <t>https://www.gem.wiki/High_Pressure_Gujarat_Gas_Grid_Network</t>
  </si>
  <si>
    <t>High Pressure Gujarat Gas Grid Network</t>
  </si>
  <si>
    <t>MULTILINESTRING ((72.968384 20.443966, 72.85118 21.142808, 73.187438 22.30761, 72.355237 23.918063, 72.384149 24.510692), (72.355237 23.918063, 69.683003 23.223128, 70.555948 23.106052, 71.074938 22.425935), (71.074938 22.425935, 71.728532 22.399869, 73.187438 22.30761), (71.728532 22.399869, 71.995059 21.315481, 70.980164 20.812515, 69.107762 22.187943, 71.074938 22.425935))</t>
  </si>
  <si>
    <t>P3601</t>
  </si>
  <si>
    <t>Tuscarora XPress Project</t>
  </si>
  <si>
    <t>TC PipeLines, LP [unknown %]</t>
  </si>
  <si>
    <t>P3602</t>
  </si>
  <si>
    <t>Mallavaram</t>
  </si>
  <si>
    <t>Bhopal</t>
  </si>
  <si>
    <t>MULTILINESTRING ((82.258428 16.719706, 82.1120949 16.7954707, 81.9417051 16.7954707, 81.9068809 16.7793023, 81.7849961 16.8054205), (79.6642009 18.5774909, 79.6486934 18.7071581, 79.6197636 18.77225, 79.5860123 18.8638608, 79.6125312 18.924131, 79.5908339 18.9916337, 79.5522609 19.0470824, 79.5329745 19.0494932, 79.5329745 19.1459256, 79.4775258 19.203785, 79.4510069 19.2664661, 79.4172556 19.2905742, 79.3642177 19.3677201, 79.3714502 19.471385, 79.3569853 19.5171904, 79.335288 19.5340661, 79.3135907 19.5967471, 79.2774286 19.6714823, 79.2533205 19.7245201, 79.2171583 19.7775579, 79.0915107 20.0497851, 79.0328477 20.1612449, 79.0299145 20.2815042, 78.9859173 20.3196352, 78.8157944 20.8505358, 78.8099281 20.9531962, 78.7864629 21.0177255, 78.6819487 21.0797697, 78.5156028 21.2557589, 78.4842623 21.2967427, 78.4673866 21.3329048, 78.3396137 21.458267, 78.3106839 21.4775535, 78.1908185 21.8502647, 78.120905 21.9708053, 78.1040293 22.0141998, 78.0268833 22.0961674, 78.0075969 22.151616, 77.853305 22.3276052, 77.8267861 22.4288592, 77.8243753 22.5011835, 77.6839202 22.5170215, 77.6341906 22.5059704, 77.5292059 22.5391235, 77.3717288 22.5363608, 77.1617593 22.5888531, 76.8385169 22.63582, 76.5014606 22.6827868, 76.338458 22.6966006, 76.2445243 22.7325164, 76.0041645 22.8375012, 75.9268074 22.873417, 75.8826033 22.8789425, 75.7977882 22.9518195, 75.7296654 22.9836101, 75.6093152 23.0721697, 75.4299253 23.1925199, 75.3368242 23.2583719, 75.2627076 23.3173782, 75.1632484 23.3753961, 75.1439091 23.444465, 75.1356209 23.886506, 75.1218071 23.9749142, 75.099705 24.0412203, 75.0112968 24.2180367, 74.8759218 24.4086669, 74.7847508 24.5440419, 74.6714778 24.6020598, 74.6576641 24.6711287, 74.6880544 24.7761134, 74.6521386 24.8838609, 74.7012233 24.9545648), (74.2593835 22.8338137, 74.3775318 22.8445542, 74.6173052 22.8509911, 74.6575357 22.8719109, 74.741215 22.9024861, 74.763744 22.9250151, 74.8023652 22.9346704, 74.8860445 23.0006483, 74.9520224 23.0183497, 75.0131727 23.0183497, 75.1242087 23.0151313, 75.1853589 23.0215681, 75.2191525 23.0891553, 75.2803028 23.1406502, 75.3028318 23.2162834, 75.3404561 23.2558027), (77.1506001 24.4790134, 77.1927917 24.3316532, 77.1852547 24.1899578, 77.1716882 24.1326767, 77.1828901 24.0386223, 77.1711659 23.9565528, 77.1735107 23.8955869, 77.1852349 23.8440004, 77.1852349 23.6353096, 77.1805453 23.5719988, 77.1664762 23.4782052, 77.1524072 23.3726873, 77.1617865 23.3070318, 77.168821 23.2507556, 77.1828901 23.1944794, 77.1782004 23.1147548, 77.1570968 23.0303405, 77.1500623 22.8333738, 77.1617487 22.5888447), (78.19836 24.1800148, 78.1012845 24.1693933, 78.0315126 24.1599535, 77.879656 24.1730871, 77.7259037 24.1382408, 77.5693481 24.1286558, 77.4319625 24.1350458, 77.2945769 24.1206683, 77.2626267 24.1318508, 77.1852601 24.1899079))</t>
  </si>
  <si>
    <t>P3603</t>
  </si>
  <si>
    <t>https://www.gem.wiki/Power_of_Siberia_2%E2%80%93Sayansk_Gas_Pipeline</t>
  </si>
  <si>
    <t>Power of Siberia 2–Sayansk Branch Pipeline</t>
  </si>
  <si>
    <t>Sayansk</t>
  </si>
  <si>
    <t>LINESTRING (100.416305 52.930083, 101.224121 53.452956, 101.909595 53.832907, 102.076482 53.909434, 102.199089 53.946438)</t>
  </si>
  <si>
    <t>P3604</t>
  </si>
  <si>
    <t>https://www.gem.wiki/Angarskaya_Gas_Pipeline</t>
  </si>
  <si>
    <t>Angarskaya Gas Pipeline</t>
  </si>
  <si>
    <t>gas fields in central Russia (likely, Yurubcheno-Tokhomskoye Oil and Gas Field)</t>
  </si>
  <si>
    <t>Krasnoyarsk Krai</t>
  </si>
  <si>
    <t>Angarskaya underground gas storage facility</t>
  </si>
  <si>
    <t>Zalarinsky District</t>
  </si>
  <si>
    <t>Подземное хранилище газа (ПХГ) Ангарская площадь</t>
  </si>
  <si>
    <t>MULTILINESTRING ((102.366667 53.616667, 102.199089 53.946438, 101.945468 54.140803, 101.678058 54.327759, 101.351522 54.474074, 101.087564 54.592199, 100.892019 54.649327, 100.653693 54.687652, 100.361204 54.717561, 99.948908 54.713166, 99.618816 54.740091, 99.308381 54.787034, 98.993805 54.907812, 98.777443 55.045657, 98.626751 55.185839, 98.569044 55.377324, 98.552414 55.55549, 98.498943 55.644078, 98.347446 55.732245, 98.176246 55.835734, 98.040972 55.968125, 97.91709 56.154791, 97.830562 56.444395, 97.741702 57.001703, 97.680246 57.278963, 97.574874 57.402561, 97.363013 57.547854, 97.266245 57.647207, 97.251211 57.795644, 97.218316 57.936112, 97.126876 58.066913, 96.894784 58.221123, 96.767865 58.307864, 96.723389 58.36595, 96.745518 58.433326, 96.875986 58.475004, 97.022808 58.515396, 97.111874 58.550493, 98.02822 58.532344, 98.216712 58.567804, 98.449519 58.645309, 98.634346 58.813984, 98.832281 58.962858, 99.250781 59.147129, 99.76757 59.279274, 100.340687 59.463685, 100.735271 59.553073, 101.171594 59.608925, 101.475061 59.691768, 101.646868 59.784025, 101.717904 59.924516), (97.111874 58.550493, 96.9619 58.684865, 96.894737 58.790383, 96.8005 58.925113, 96.601359 59.075604, 96.411195 59.19751, 96.192709 59.39382, 96.045305 59.580768, 95.894401 59.758382, 95.852639 59.938771, 95.907661 60.136542, 96.073941 60.328003, 96.385767 60.501624, 96.648226 60.631878, 96.868869 60.759673, 97.045947 60.917301))</t>
  </si>
  <si>
    <t>P3606</t>
  </si>
  <si>
    <t>Austria, Slovenia</t>
  </si>
  <si>
    <t>https://www.gem.wiki/Austria%E2%80%93Slovenia_Interconnector_Gas_Pipeline</t>
  </si>
  <si>
    <t>Austria–Slovenia Interconnector gas pipeline</t>
  </si>
  <si>
    <t>Plinovodi d.o.o. [200.00%]</t>
  </si>
  <si>
    <t>SDH [52.30%]; Other [47.70%]</t>
  </si>
  <si>
    <t>Murfeld</t>
  </si>
  <si>
    <t>Cersak</t>
  </si>
  <si>
    <t>P3607</t>
  </si>
  <si>
    <t>https://www.gem.wiki/Kharasaveyskoye%E2%80%93Bovanenkovskoye_Gas_Pipeline</t>
  </si>
  <si>
    <t>Kharasaveyskoye–Bovanenkovskoye Gas Pipeline</t>
  </si>
  <si>
    <t>Kharasaveyskoye gas field</t>
  </si>
  <si>
    <t>Bovanenkovskoye gas field</t>
  </si>
  <si>
    <t>Харасавэйское месторождение - Бованенковское месторождение, газопровод-подключение</t>
  </si>
  <si>
    <t>LINESTRING (66.761 71.21, 68.078 70.49)</t>
  </si>
  <si>
    <t>P3608</t>
  </si>
  <si>
    <t>NGTL West Path Delivery 2022</t>
  </si>
  <si>
    <t>P3609</t>
  </si>
  <si>
    <t>NGTL West Path Delivery 2023</t>
  </si>
  <si>
    <t>P3610</t>
  </si>
  <si>
    <t>Foothills Zone 8 West Path Delivery 2022</t>
  </si>
  <si>
    <t>P3611</t>
  </si>
  <si>
    <t>Foothills Zone 8 West Path Delivery 2023</t>
  </si>
  <si>
    <t>P3612</t>
  </si>
  <si>
    <t>Medicine Hat Looping Project</t>
  </si>
  <si>
    <t>P3613</t>
  </si>
  <si>
    <t>Groundbirch Mainline Loop (Saturn Section)</t>
  </si>
  <si>
    <t>P3614</t>
  </si>
  <si>
    <t>North Central Corridor (NCC) Loop (North Star Section 1)</t>
  </si>
  <si>
    <t>P3615</t>
  </si>
  <si>
    <t>Saddle Lake Lateral Loop</t>
  </si>
  <si>
    <t>P3616</t>
  </si>
  <si>
    <t>Sundre Crossover Project</t>
  </si>
  <si>
    <t>P3617</t>
  </si>
  <si>
    <t>NGTL West Path Delivery Project</t>
  </si>
  <si>
    <t>P3618</t>
  </si>
  <si>
    <t>Towerbirch Expansion Project</t>
  </si>
  <si>
    <t>P3619</t>
  </si>
  <si>
    <t>https://www.gem.wiki/Cedar_LNG_Pipeline</t>
  </si>
  <si>
    <t>Cedar LNG Pipeline</t>
  </si>
  <si>
    <t>Haisla Nation [50.00%]; Pembina Pipeline Corporation [50.00%]</t>
  </si>
  <si>
    <t>P3620</t>
  </si>
  <si>
    <t>https://www.gem.wiki/Israel%E2%80%93Egypt_Onshore_Gas_Pipeline</t>
  </si>
  <si>
    <t>Israel–Egypt Onshore Gas Pipeline</t>
  </si>
  <si>
    <t>Israel Natural Gas Lines (INGL) [unknown %]</t>
  </si>
  <si>
    <t>Leviathan, Tamar offshore gas fields</t>
  </si>
  <si>
    <t>LINESTRING (34.808088 31.154678, 34.808088 31.154678, 34.803627 31.144819, 34.804149 31.138035, 34.805192 31.132817, 34.808845 31.123424, 34.811976 31.118206, 34.814063 31.11351, 34.817194 31.110379, 34.819803 31.106726, 34.822412 31.103073, 34.823978 31.09942, 34.825543 31.094724, 34.827109 31.091593, 34.828703 31.088027, 34.830097 31.086458, 34.831491 31.084192, 34.832537 31.081926, 34.833931 31.078789, 34.834629 31.075477, 34.835849 31.072166, 34.836371 31.069377, 34.836197 31.067808, 34.836371 31.06502, 34.836197 31.062405, 34.835151 31.060488, 34.833583 31.058397, 34.829923 31.055259, 34.822428 31.05003, 34.816328 31.045324, 34.814236 31.043582, 34.811099 31.04149, 34.808659 31.040096, 34.806393 31.038527, 34.801687 31.034693, 34.798201 31.030858, 34.79611 31.028069, 34.794018 31.025106, 34.791229 31.021446, 34.788266 31.018657, 34.78478 31.014474, 34.778506 31.008897, 34.772928 31.003668, 34.769442 31.001054, 34.767002 30.999659, 34.765434 30.998265, 34.764039 30.995651, 34.759856 30.988505, 34.758811 30.986064, 34.757416 30.984496, 34.75515 30.983101, 34.748527 30.980138, 34.739464 30.976304, 34.734932 30.974561, 34.732666 30.974038, 34.730401 30.973167, 34.726915 30.972121, 34.724997 30.971249, 34.722557 30.969681, 34.720292 30.968286, 34.71454 30.964103, 34.708962 30.96114, 34.704605 30.959049, 34.700771 30.957655, 34.698156 30.955912, 34.693973 30.954517, 34.690662 30.95382, 34.686478 30.953471, 34.683167 30.953471, 34.68003 30.95382, 34.674104 30.954692, 34.666609 30.956086, 34.659811 30.957132, 34.65406 30.958875, 34.650225 30.960095, 34.646739 30.961663, 34.644125 30.962883, 34.641685 30.964626, 34.639593 30.965498, 34.636107 30.966021, 34.63297 30.966021, 34.628787 30.965498, 34.623558 30.963406, 34.617109 30.959397, 34.608743 30.953297, 34.604909 30.95016, 34.59968 30.947197, 34.595323 30.944234, 34.588525 30.939528, 34.582076 30.934473, 34.574233 30.928547, 34.570747 30.925236, 34.566913 30.922099, 34.564298 30.920356, 34.560987 30.91931, 34.555409 30.917915, 34.549832 30.917567, 34.547043 30.916521, 34.543209 30.915127, 34.540071 30.914778, 34.537108 30.91443, 34.533448 30.914255, 34.528917 30.913732, 34.523688 30.912687, 34.518459 30.911118, 34.512184 30.909201, 34.504515 30.906238, 34.496149 30.904146, 34.492663 30.902752, 34.488306 30.901706, 34.485517 30.901532, 34.480637 30.901358, 34.475757 30.901183, 34.471748 30.901358, 34.465474 30.902055, 34.459373 30.902926, 34.454493 30.903275, 34.449613 30.902578, 34.443512 30.901183, 34.436541 30.899615, 34.429918 30.897872, 34.423643 30.895432, 34.420157 30.893689, 34.41824 30.891597, 34.415974 30.889157, 34.413708 30.886717, 34.410397 30.883754, 34.406911 30.881662, 34.403599 30.880791, 34.399242 30.880268, 34.394865 30.880155, 34.389556 30.879189, 34.384489 30.877018, 34.379904 30.874122, 34.371942 30.869055, 34.368322 30.867125, 34.360601 30.862781, 34.354086 30.859403, 34.348536 30.85699, 34.339608 30.85144, 34.331646 30.846856, 34.325372 30.844202, 34.318857 30.840824, 34.31017 30.836239, 34.301243 30.831896, 34.277837 30.820072, 34.270357 30.816453, 34.264566 30.813557, 34.259257 30.81042, 34.250812 30.805595, 34.242367 30.800769, 34.234121 30.797347)</t>
  </si>
  <si>
    <t>P3621</t>
  </si>
  <si>
    <t>https://www.gem.wiki/Beetaloo_Lateral_Pipeline</t>
  </si>
  <si>
    <t>Beetaloo Lateral Pipeline</t>
  </si>
  <si>
    <t>Amadeus Gas Pipeline (AGP) Lateral (1a)</t>
  </si>
  <si>
    <t>LINESTRING (134.091126 -16.385607, 133.985711 -16.361878, 133.669996 -16.285557, 133.530165 -16.246368, 133.486829 -16.238338, 133.383491 -16.207789, 133.302633 -16.212655)</t>
  </si>
  <si>
    <t>P3622</t>
  </si>
  <si>
    <t>Northern Gas Pipeline (NGP) Lateral (1b)</t>
  </si>
  <si>
    <t>LINESTRING (134.091126 -16.385607, 134.173101 -19.647581)</t>
  </si>
  <si>
    <t>P3623</t>
  </si>
  <si>
    <t>Beetaloo to Mount Isa Pipeline (BIP) (1c)</t>
  </si>
  <si>
    <t>LINESTRING (134.091126 -16.385607, 139.482462 -20.787127)</t>
  </si>
  <si>
    <t>P3625</t>
  </si>
  <si>
    <t>Beetaloo Lateral Pipeline capacity expansion</t>
  </si>
  <si>
    <t>P3626</t>
  </si>
  <si>
    <t>Mainline twinning project</t>
  </si>
  <si>
    <t>P3627</t>
  </si>
  <si>
    <t>P3628</t>
  </si>
  <si>
    <t>Capacity expansion for Beetaloo Basin</t>
  </si>
  <si>
    <t>P3629</t>
  </si>
  <si>
    <t>P3630</t>
  </si>
  <si>
    <t>https://www.gem.wiki/Denison_Gas_Pipeline</t>
  </si>
  <si>
    <t>Denison Gas Pipeline</t>
  </si>
  <si>
    <t>Denison Gas (Queensland) Pty Ltd [100.00%]</t>
  </si>
  <si>
    <t>Denison Trough</t>
  </si>
  <si>
    <t>MULTILINESTRING ((148.379345 -23.92569, 148.379435 -23.925775, 148.390418 -23.939637, 148.390628 -23.940054, 148.39072 -23.940171, 148.390802 -23.940274, 148.39117 -23.940586, 148.399295 -23.950863, 148.402178 -23.954513, 148.403226 -23.95584, 148.430064 -23.981358, 148.439699 -23.991742, 148.441636 -23.993589, 148.442789 -23.994688, 148.468767 -24.021894, 148.491275 -24.041911, 148.491552 -24.042063, 148.491599 -24.042131, 148.502306 -24.057185, 148.505966 -24.064949, 148.505976 -24.064969, 148.505515 -24.071792, 148.504319 -24.08995, 148.504273 -24.090339, 148.504376 -24.090379, 148.511668 -24.113497, 148.522545 -24.152022, 148.530675 -24.196169, 148.535283 -24.210785, 148.539499 -24.2278, 148.546094 -24.237833, 148.579751 -24.287952, 148.589225 -24.302051, 148.590306 -24.309221, 148.59334 -24.320146, 148.606282 -24.346064, 148.609003 -24.347417, 148.60699 -24.355937, 148.620662 -24.38813, 148.634211 -24.414529, 148.643651 -24.428255, 148.646224 -24.431238, 148.646849 -24.43132, 148.653904 -24.446779, 148.660656 -24.462399, 148.666106 -24.47577, 148.665998 -24.478165, 148.67137 -24.487162, 148.671541 -24.492031, 148.671413 -24.492886, 148.672934 -24.493449, 148.673275 -24.493488, 148.686422 -24.521767, 148.69782 -24.546341, 148.724095 -24.573628, 148.747177 -24.597722, 148.763189 -24.611258, 148.776702 -24.62084, 148.78358 -24.626862, 148.784261 -24.627562, 148.802488 -24.646264, 148.842966 -24.707708, 148.843641 -24.708399, 148.843709 -24.708542), (148.639934 -24.56161, 148.638979 -24.558645, 148.638043 -24.549568, 148.638091 -24.546407, 148.63762 -24.541273, 148.638508 -24.540749, 148.639753 -24.540921, 148.65959 -24.516888, 148.661567 -24.502098, 148.671207 -24.494463, 148.671426 -24.492921), (148.624453 -24.5614, 148.63231 -24.547972, 148.635549 -24.542438, 148.63762 -24.541273), (148.632204 -24.554021, 148.632131 -24.553761, 148.632317 -24.548776, 148.632318 -24.547976), (148.62424 -24.546699, 148.63231 -24.547972), (148.409607 -24.009051, 148.441594 -23.993609, 148.441636 -23.993589), (148.500021 -24.065179, 148.50548 -24.064967, 148.505966 -24.064949))</t>
  </si>
  <si>
    <t>P3631</t>
  </si>
  <si>
    <t>https://www.gem.wiki/Gatton_to_Gympie_Pipeline</t>
  </si>
  <si>
    <t>Gatton to Gympie Pipeline</t>
  </si>
  <si>
    <t>Allgas Energy Pty Ltd [100.00%]</t>
  </si>
  <si>
    <t>4, 6, 8</t>
  </si>
  <si>
    <t>Roma to Brisbane Pipeline, Wallumbilla gas hub</t>
  </si>
  <si>
    <t>LINESTRING (152.278053 -27.53554, 152.277548 -27.532909, 152.278454 -27.527992, 152.278571 -27.527355, 152.282883 -27.527947, 152.284476 -27.528166, 152.284842 -27.527931, 152.284689 -27.526132, 152.285175 -27.525088, 152.287281 -27.520553, 152.28768 -27.519695, 152.288469 -27.515719, 152.288794 -27.51408, 152.288519 -27.512392, 152.288818 -27.5108, 152.289679 -27.506216, 152.289854 -27.50593, 152.290137 -27.505472, 152.290228 -27.505171, 152.290365 -27.504453, 152.290671 -27.504249, 152.291113 -27.503586, 152.291678 -27.502996, 152.292334 -27.502491, 152.292866 -27.502198, 152.293066 -27.502088, 152.295187 -27.501873, 152.295584 -27.501554, 152.29714 -27.501564, 152.297812 -27.501568, 152.298666 -27.501573, 152.299353 -27.501579, 152.299704 -27.501581, 152.300268 -27.50156, 152.300985 -27.501535, 152.302084 -27.501478, 152.30303 -27.499612, 152.303396 -27.497623, 152.303671 -27.496091, 152.304937 -27.49576, 152.305049 -27.495749, 152.305746 -27.495683, 152.307073 -27.495752, 152.308233 -27.495433, 152.309942 -27.495016, 152.309951 -27.495016, 152.310781 -27.494999, 152.311547 -27.4909, 152.312465 -27.485985, 152.312643 -27.485037, 152.314123 -27.484497, 152.314573 -27.482079, 152.315487 -27.477163, 152.315755 -27.475723, 152.316402 -27.472248, 152.317022 -27.468914, 152.318355 -27.468013, 152.321401 -27.465957, 152.321644 -27.464655, 152.32256 -27.459739, 152.323475 -27.454824, 152.324391 -27.449908, 152.325002 -27.446632, 152.325215 -27.44553, 152.325078 -27.445276, 152.325124 -27.445024, 152.32578 -27.441433, 152.326023 -27.440106, 152.326406 -27.438013, 152.326711 -27.43635, 152.326222 -27.435678, 152.326305 -27.435337, 152.326726 -27.433609, 152.326619 -27.433416, 152.32718 -27.430468, 152.327245 -27.43013, 152.329443 -27.426025, 152.331803 -27.421618, 152.333317 -27.418791, 152.334187 -27.418449, 152.334539 -27.417666, 152.336588 -27.413105, 152.337254 -27.411621, 152.338879 -27.408665, 152.339787 -27.407015, 152.341403 -27.40435, 152.341969 -27.403417, 152.343487 -27.399815, 152.344792 -27.396719, 152.345557 -27.395268, 152.347891 -27.390846, 152.348026 -27.39059, 152.34644 -27.386961, 152.346951 -27.386413, 152.347935 -27.385358, 152.349585 -27.382207, 152.34969 -27.382007, 152.350697 -27.380104, 152.351185 -27.377529, 152.351963 -27.373432, 152.352117 -27.372616, 152.352863 -27.36865, 152.353044 -27.367703, 152.353123 -27.367294, 152.354218 -27.362843, 152.354435 -27.361961, 152.354816 -27.360111, 152.355675 -27.358082, 152.35593 -27.357479, 152.356525 -27.355926, 152.356984 -27.353284, 152.357166 -27.352234, 152.357818 -27.348354, 152.357975 -27.347421, 152.358648 -27.343423, 152.359119 -27.340629, 152.358078 -27.338729, 152.357868 -27.338346, 152.35889 -27.335361, 152.358005 -27.33498, 152.358081 -27.334816, 152.358198 -27.33458, 152.359302 -27.33234, 152.359928 -27.331575, 152.36063 -27.330946, 152.361144 -27.330695, 152.361545 -27.330499, 152.363422 -27.328865, 152.362781 -27.328113, 152.362522 -27.327255, 152.362477 -27.32708, 152.362293 -27.326351, 152.362171 -27.325449, 152.362186 -27.324518, 152.36241 -27.322122, 152.362552 -27.320595, 152.362911 -27.317147, 152.362949 -27.31678, 152.365357 -27.312825, 152.367957 -27.308554, 152.370059 -27.305101, 152.370215 -27.304156, 152.371028 -27.299223, 152.371841 -27.294289, 152.372119 -27.292604, 152.372652 -27.289355, 152.372668 -27.289255, 152.375279 -27.285111, 152.375842 -27.284218, 152.376391 -27.28326, 152.374439 -27.281196, 152.374057 -27.280792, 152.374739 -27.276401, 152.375507 -27.271461, 152.375613 -27.270777, 152.376696 -27.26848, 152.377847 -27.267137, 152.381101 -27.263341, 152.382265 -27.261984, 152.382815 -27.261013, 152.384454 -27.259707, 152.384463 -27.259701, 152.385233 -27.254771, 152.385287 -27.254425, 152.385891 -27.249814, 152.385943 -27.249418, 152.387545 -27.247122, 152.387838 -27.245346, 152.388262 -27.242782, 152.389515 -27.240733, 152.390307 -27.239439, 152.389849 -27.238094, 152.388475 -27.236757, 152.388498 -27.236613, 152.389288 -27.231676, 152.390077 -27.226738, 152.390866 -27.221801, 152.391655 -27.216864, 152.392137 -27.213848, 152.393902 -27.213028, 152.394335 -27.212827, 152.397667 -27.209769, 152.397844 -27.209606, 152.399934 -27.208015, 152.400267 -27.205909, 152.40056 -27.204057, 152.399995 -27.203129, 152.400316 -27.201115, 152.400804 -27.198044, 152.399898 -27.196385, 152.397859 -27.192655, 152.397915 -27.191908, 152.398291 -27.186922, 152.398667 -27.181937, 152.398866 -27.179294, 152.398994 -27.176948, 152.399064 -27.175672, 152.398469 -27.172514, 152.398324 -27.172026, 152.397813 -27.170301, 152.39528 -27.168344, 152.394563 -27.167789, 152.393022 -27.166048, 152.392755 -27.1643, 152.392595 -27.163244, 152.39264 -27.161528, 152.393403 -27.159508, 152.393392 -27.159453, 152.3929 -27.157003, 152.391877 -27.156031, 152.391509 -27.155005, 152.39142 -27.154755, 152.389352 -27.150496, 152.387168 -27.145998, 152.386521 -27.144667, 152.385555 -27.141282, 152.384182 -27.136474, 152.382981 -27.132271, 152.382958 -27.131643, 152.382844 -27.128508, 152.38285 -27.126645, 152.382867 -27.121645, 152.382874 -27.119532, 152.38289 -27.117277, 152.383508 -27.117146, 152.388399 -27.116105, 152.389954 -27.115774, 152.390015 -27.113712, 152.390427 -27.112471, 152.390416 -27.112434, 152.390107 -27.111431, 152.390168 -27.109825, 152.39209 -27.108706, 152.392109 -27.108588, 152.392792 -27.104147, 152.3932 -27.103846, 152.397221 -27.100874, 152.397965 -27.100325, 152.400271 -27.096965, 152.403101 -27.092843, 152.405931 -27.088721, 152.40828 -27.0853, 152.408764 -27.084601, 152.409622 -27.083365, 152.410538 -27.083506, 152.411606 -27.082785, 152.412665 -27.082067, 152.416805 -27.079262, 152.420944 -27.076458, 152.421051 -27.076385, 152.422073 -27.075096, 152.422577 -27.074848, 152.422821 -27.075111, 152.424713 -27.073794, 152.428619 -27.071075, 152.428828 -27.070957, 152.431518 -27.069429, 152.433017 -27.068251, 152.435745 -27.066107, 152.437265 -27.065924, 152.442229 -27.065326, 152.442748 -27.065264, 152.44548 -27.063696, 152.446764 -27.063362, 152.450668 -27.062347, 152.451373 -27.061686, 152.45349 -27.059704, 152.455122 -27.058383, 152.45584 -27.057802, 152.459487 -27.056858, 152.459787 -27.056781, 152.462401 -27.056112, 152.46451 -27.05519, 152.46469 -27.055111, 152.46874 -27.052528, 152.47119 -27.050966, 152.471709 -27.050367, 152.472898 -27.049837, 152.473082 -27.049755, 152.474929 -27.048607, 152.476714 -27.046959, 152.476871 -27.046845, 152.478301 -27.04581, 152.480193 -27.043777, 152.480608 -27.043584, 152.481429 -27.043203, 152.484831 -27.038849, 152.484953 -27.036875, 152.485777 -27.035414, 152.486021 -27.034397, 152.485955 -27.034105, 152.485793 -27.033396, 152.486433 -27.032469, 152.486647 -27.030008, 152.486527 -27.029343, 152.485899 -27.025863, 152.486754 -27.025072, 152.487044 -27.025055, 152.48705 -27.025049, 152.487532 -27.024605, 152.489653 -27.022569, 152.489165 -27.021538, 152.489272 -27.021297, 152.489699 -27.020336, 152.490797 -27.019264, 152.491392 -27.018753, 152.491621 -27.018375, 152.492109 -27.017637, 152.492293 -27.017396, 152.492476 -27.017156, 152.492857 -27.016685, 152.492903 -27.015989, 152.493391 -27.015125, 152.494368 -27.015138, 152.494581 -27.015243, 152.49507 -27.015144, 152.495573 -27.015373, 152.495645 -27.015488, 152.496046 -27.01613, 152.496275 -27.016353, 152.496885 -27.016554, 152.497374 -27.016865, 152.497633 -27.016929, 152.498121 -27.016914, 152.498442 -27.017069, 152.498823 -27.01709, 152.499189 -27.0172, 152.499525 -27.017414, 152.499754 -27.017675, 152.499817 -27.017726, 152.499937 -27.017822, 152.500364 -27.017912, 152.500807 -27.017944, 152.501417 -27.01816, 152.501875 -27.018337, 152.502699 -27.018367, 152.503065 -27.018221, 152.503157 -27.017841, 152.503386 -27.016924, 152.503267 -27.016678, 152.503141 -27.01642, 152.503996 -27.0154, 152.503965 -27.014917, 152.504087 -27.014236, 152.504911 -27.014295, 152.505354 -27.014496, 152.505918 -27.014435, 152.506193 -27.014358, 152.506235 -27.014354, 152.506788 -27.014297, 152.50691 -27.014061, 152.506742 -27.013614, 152.506834 -27.013006, 152.506697 -27.012582, 152.506681 -27.011772, 152.50662 -27.011339, 152.506636 -27.0102, 152.506821 -27.010027, 152.507185 -27.009685, 152.507429 -27.009277, 152.50778 -27.008896, 152.508314 -27.008474, 152.509138 -27.008444, 152.509886 -27.008236, 152.510557 -27.007848, 152.511005 -27.007902, 152.511717 -27.007988, 152.512235 -27.006971, 152.513181 -27.006199, 152.513868 -27.006025, 152.514494 -27.00548, 152.514669 -27.00514, 152.514692 -27.005096, 152.515348 -27.004882, 152.516081 -27.003801, 152.516843 -27.003488, 152.517713 -27.00308, 152.518674 -27.003217, 152.51887 -27.003189, 152.519743 -27.003061, 152.520856 -27.002714, 152.521543 -27.002409, 152.52197 -27.001445, 152.522718 -27.001194, 152.523064 -27.001285, 152.523496 -27.0014, 152.524961 -27.001886, 152.525739 -27.002239, 152.526044 -27.00243, 152.526594 -27.002845, 152.52699 -27.003166, 152.527463 -27.003221, 152.52757 -27.003276, 152.528074 -27.003536, 152.528379 -27.003774, 152.528882 -27.003908, 152.52934 -27.004116, 152.529676 -27.004314, 152.530179 -27.004169, 152.530591 -27.004175, 152.531049 -27.004251, 152.532096 -27.003601, 152.532606 -27.003284, 152.533185 -27.002718, 152.534025 -27.002702, 152.536773 -27.002626, 152.538541 -27.002576, 152.539681 -26.999553, 152.539716 -26.99946, 152.538495 -26.997901, 152.538965 -26.995018, 152.539167 -26.993778, 152.538022 -26.992879, 152.538289 -26.990607, 152.538648 -26.987543, 152.539661 -26.985917, 152.540753 -26.984165, 152.541228 -26.981269, 152.541257 -26.981094, 152.543576 -26.977563, 152.543591 -26.976965, 152.543637 -26.975099, 152.544022 -26.971989, 152.544385 -26.969051, 152.545471 -26.967325, 152.547665 -26.96384, 152.548301 -26.963228, 152.550214 -26.961387, 152.551501 -26.959427, 152.551968 -26.958715, 152.554059 -26.958328, 152.555981 -26.9577, 152.556058 -26.957675, 152.560738 -26.95616, 152.564099 -26.955072, 152.564557 -26.95486, 152.564831 -26.954574, 152.565121 -26.954277, 152.567303 -26.952121, 152.568325 -26.951078, 152.568713 -26.950807, 152.569653 -26.950151, 152.570721 -26.949628, 152.571066 -26.946987, 152.571087 -26.946828, 152.574734 -26.945552, 152.575647 -26.945205, 152.579922 -26.943576, 152.580321 -26.943429, 152.585012 -26.941699, 152.585674 -26.941455, 152.589654 -26.939841, 152.590237 -26.939605, 152.594561 -26.938967, 152.595669 -26.938804, 152.595928 -26.938535, 152.59666 -26.937255, 152.598604 -26.936664, 152.603388 -26.935208, 152.608171 -26.933752, 152.612102 -26.932555, 152.612594 -26.931813, 152.613353 -26.930667, 152.616671 -26.929206, 152.616969 -26.929074, 152.621641 -26.92891, 152.626638 -26.928735, 152.631635 -26.92856, 152.636632 -26.928384, 152.641629 -26.928209, 152.646626 -26.928033, 152.649302 -26.927939, 152.65066 -26.928111, 152.651597 -26.927936, 152.652613 -26.927747, 152.656578 -26.927645, 152.657298 -26.927626, 152.660426 -26.928099, 152.66153 -26.928264, 152.662165 -26.928359, 152.66273 -26.927394, 152.665661 -26.928773, 152.665705 -26.928794, 152.666316 -26.929509, 152.668269 -26.928223, 152.669566 -26.928786, 152.669824 -26.928803, 152.674799 -26.929127, 152.674814 -26.929125, 152.679748 -26.928316, 152.684682 -26.927507, 152.686457 -26.927216, 152.689657 -26.927143, 152.693766 -26.927048, 152.694639 -26.926875, 152.696344 -26.926537, 152.69953 -26.925839, 152.700403 -26.925648, 152.700739 -26.925192, 152.701349 -26.924853, 152.70414 -26.924314, 152.704264 -26.92429, 152.704569 -26.924235, 152.70553 -26.923836, 152.709038 -26.923506, 152.714016 -26.923038, 152.717172 -26.922741, 152.718933 -26.922245, 152.723746 -26.920889, 152.725534 -26.920386, 152.728662 -26.920086, 152.729456 -26.92001, 152.731699 -26.919926, 152.733618 -26.920314, 152.737131 -26.921025, 152.737377 -26.91963, 152.737909 -26.916619, 152.739836 -26.916859, 152.739938 -26.916872, 152.744287 -26.915644, 152.744662 -26.91569, 152.747018 -26.91598, 152.748269 -26.916132, 152.748437 -26.916086, 152.74962 -26.916233, 152.75303 -26.916655, 152.754582 -26.916845, 152.755334 -26.916937, 152.755334 -26.916927, 152.756372 -26.918064, 152.75805 -26.917723, 152.760751 -26.917154, 152.761249 -26.917328, 152.763314 -26.918049, 152.766102 -26.918421, 152.768899 -26.918795, 152.76983 -26.918777, 152.771063 -26.91896, 152.771386 -26.919008, 152.773354 -26.92013, 152.775672 -26.920786, 152.77578 -26.920816, 152.778603 -26.919037, 152.779488 -26.918705, 152.779931 -26.918463, 152.780027 -26.918433, 152.784432 -26.917086, 152.784685 -26.916785, 152.784798 -26.916651, 152.788921 -26.914144, 152.793193 -26.911547, 152.794182 -26.910946, 152.793801 -26.907122, 152.793801 -26.907116, 152.796517 -26.902926, 152.798546 -26.899795, 152.799699 -26.899263, 152.802208 -26.898105, 152.803647 -26.896393, 152.804512 -26.895363, 152.808014 -26.894317, 152.812805 -26.892887, 152.81501 -26.892229, 152.817434 -26.891043, 152.821926 -26.888846, 152.826417 -26.886649, 152.8292 -26.885288, 152.828875 -26.883414, 152.828019 -26.878488, 152.827163 -26.873562, 152.82714 -26.87343, 152.827781 -26.870107, 152.82864 -26.868899, 152.830314 -26.866542, 152.829518 -26.864589, 152.82946 -26.864444, 152.827018 -26.861152, 152.82711 -26.860691, 152.827224 -26.860441, 152.828224 -26.858253, 152.830642 -26.857312, 152.834235 -26.855913, 152.835369 -26.855763, 152.838706 -26.855323, 152.840049 -26.855033, 152.840188 -26.854814, 152.841636 -26.852533, 152.8422 -26.852144, 152.843529 -26.851229, 152.844855 -26.850315, 152.844886 -26.850036, 152.847915 -26.849337, 152.849616 -26.848945, 152.852609 -26.847666, 152.853522 -26.847276, 152.855048 -26.847551, 152.855445 -26.845161, 152.855476 -26.845147, 152.855841 -26.844982, 152.857077 -26.845045, 152.858527 -26.845207, 152.859194 -26.843425, 152.860129 -26.840927, 152.860241 -26.838597, 152.860266 -26.838069, 152.860312 -26.83757, 152.859854 -26.836442, 152.860282 -26.835485, 152.861977 -26.835307, 152.864798 -26.835012, 152.866945 -26.835281, 152.86872 -26.835504, 152.870017 -26.83566, 152.871588 -26.836068, 152.871699 -26.83581, 152.872092 -26.83489, 152.872168 -26.833568, 152.872855 -26.833099, 152.873038 -26.831485, 152.873206 -26.831344, 152.877037 -26.828131, 152.877478 -26.827762, 152.879141 -26.825912, 152.880625 -26.824666, 152.881811 -26.823669, 152.882071 -26.82277, 152.882574 -26.822297, 152.883902 -26.821943, 152.884335 -26.821822, 152.886709 -26.821161, 152.887274 -26.82105, 152.889207 -26.820727, 152.889944 -26.820604, 152.891836 -26.819553, 152.893737 -26.818687, 152.895376 -26.817941, 152.896826 -26.816692, 152.898025 -26.816228, 152.899008 -26.815848, 152.899893 -26.815511, 152.902865 -26.815908, 152.903158 -26.815948, 152.903814 -26.815711, 152.904684 -26.815499, 152.905935 -26.814586, 152.907496 -26.814504, 152.909078 -26.814422, 152.910101 -26.814714, 152.910726 -26.814622, 152.91181 -26.81482, 152.912385 -26.815048, 152.912817 -26.815219, 152.914419 -26.81397, 152.916113 -26.813876, 152.916911 -26.813759, 152.918249 -26.813563, 152.918996 -26.813094, 152.919424 -26.812156, 152.920019 -26.811347, 152.92069 -26.811116, 152.920705 -26.811102, 152.920995 -26.810813, 152.921331 -26.810492, 152.922185 -26.810357, 152.923009 -26.80973, 152.924062 -26.80882, 152.924682 -26.808262, 152.924947 -26.808022, 152.926046 -26.807124, 152.926793 -26.806989, 152.927617 -26.806119, 152.928166 -26.804978, 152.928502 -26.80428, 152.928441 -26.803655, 152.928548 -26.803327, 152.928945 -26.802909, 152.92925 -26.802102, 152.929433 -26.801825, 152.930028 -26.801372, 152.930455 -26.80096, 152.930559 -26.800866, 152.931051 -26.80042, 152.931386 -26.800153, 152.931768 -26.800044, 152.931905 -26.799928, 152.932088 -26.799634, 152.932607 -26.798892, 152.932759 -26.798716, 152.933187 -26.798348, 152.93337 -26.79824, 152.933934 -26.798005, 152.934052 -26.797562, 152.934102 -26.797372, 152.934011 -26.796781, 152.933934 -26.796166, 152.933736 -26.795615, 152.93366 -26.794856, 152.934499 -26.7942, 152.935155 -26.793733, 152.935334 -26.793413, 152.935628 -26.792886, 152.935765 -26.7926, 152.935979 -26.792386, 152.936452 -26.791961, 152.93691 -26.791659, 152.937261 -26.791613, 152.937673 -26.791676, 152.938115 -26.791766, 152.938588 -26.791751, 152.938985 -26.791583, 152.939282 -26.791223, 152.939336 -26.791158, 152.940038 -26.7904, 152.940206 -26.789733, 152.94048 -26.789477, 152.940831 -26.789435, 152.941197 -26.789401, 152.943265 -26.789048, 152.943318 -26.789039, 152.943974 -26.789016, 152.944249 -26.788772, 152.945012 -26.788026, 152.945424 -26.787381, 152.946309 -26.786155, 152.946701 -26.78573, 152.946751 -26.785676, 152.947148 -26.785088, 152.947286 -26.784379, 152.947682 -26.783818, 152.94782 -26.783044, 152.948491 -26.78262, 152.949559 -26.782237, 152.949633 -26.782182, 152.950124 -26.781821, 152.950246 -26.781333, 152.950566 -26.780459, 152.950795 -26.780143, 152.950932 -26.779382, 152.951009 -26.778725, 152.951466 -26.777806, 152.951498 -26.777705, 152.95168 -26.777133, 152.951894 -26.776736, 152.95226 -26.776299, 152.953435 -26.774827, 152.954472 -26.77443, 152.954823 -26.774319, 152.954839 -26.774315, 152.956074 -26.77394, 152.956486 -26.773757, 152.957448 -26.773137, 152.957738 -26.77291, 152.95786 -26.772658, 152.958027 -26.771821, 152.958088 -26.771409, 152.95812 -26.771216, 152.958195 -26.770751, 152.958394 -26.769496, 152.958912 -26.766279, 152.959126 -26.764951, 152.958699 -26.764981, 152.958714 -26.764851, 152.958745 -26.764659, 152.959172 -26.76406, 152.959584 -26.763758, 152.959752 -26.763474, 152.959904 -26.763028, 152.96024 -26.762744, 152.960571 -26.762497, 152.960637 -26.762448, 152.960743 -26.762343, 152.961003 -26.762116, 152.961293 -26.76204, 152.962254 -26.760218, 152.962284 -26.759917, 152.962651 -26.759774, 152.962941 -26.759055, 152.962823 -26.758474, 152.962819 -26.758452, 152.962254 -26.755736, 152.962361 -26.755688, 152.96291 -26.754054, 152.963197 -26.753832, 152.963932 -26.753262, 152.964671 -26.74926, 152.964833 -26.748385, 152.965779 -26.747851, 152.966389 -26.746985, 152.966328 -26.745713, 152.966061 -26.745076, 152.96584 -26.744546, 152.965748 -26.743361, 152.966664 -26.742488, 152.968525 -26.742913, 152.968515 -26.742852, 152.968052 -26.74009, 152.967716 -26.738025, 152.96769 -26.73792, 152.967335 -26.736502, 152.966313 -26.735463, 152.966144 -26.73339, 152.966023 -26.731902, 152.966343 -26.731286, 152.966877 -26.729558, 152.967057 -26.72857, 152.967106 -26.728301, 152.967457 -26.727259, 152.967381 -26.726504, 152.968769 -26.724374, 152.968864 -26.724062, 152.968906 -26.723924, 152.96944 -26.722583, 152.969639 -26.722007, 152.969761 -26.721078, 152.969013 -26.720807, 152.968696 -26.719785, 152.96854 -26.719281, 152.968418 -26.718867, 152.968052 -26.718299, 152.968143 -26.717036, 152.968571 -26.716506, 152.969767 -26.715744, 152.970447 -26.71531, 152.970676 -26.714387, 152.972187 -26.71333, 152.972187 -26.71291, 152.972278 -26.712786, 152.972506 -26.711994, 152.973118 -26.709863, 152.973697 -26.707976, 152.973923 -26.707199, 152.974704 -26.704499, 152.975324 -26.7024, 152.975895 -26.700469, 152.976612 -26.698491, 152.97654 -26.697611, 152.976535 -26.697551, 152.976841 -26.695981, 152.976719 -26.695576, 152.977024 -26.69451, 152.97771 -26.694136, 152.977795 -26.693113, 152.977863 -26.692302, 152.978275 -26.690593, 152.978939 -26.688257, 152.979404 -26.686623, 152.978351 -26.685933, 152.978015 -26.685473, 152.977741 -26.68459, 152.977263 -26.684321, 152.975208 -26.683162, 152.975223 -26.683055, 152.973377 -26.68232, 152.972842 -26.682215, 152.972293 -26.682107, 152.97269 -26.681538, 152.973316 -26.680262, 152.973194 -26.679837, 152.973377 -26.678906, 152.973787 -26.678065, 152.974216 -26.677184, 152.974155 -26.676074, 152.973911 -26.674674, 152.973947 -26.673187, 152.973957 -26.67282, 152.974063 -26.672555, 152.974094 -26.670501, 152.974185 -26.669629, 152.974231 -26.66882, 152.974128 -26.668223, 152.974048 -26.667758, 152.972995 -26.666434, 152.971576 -26.665444, 152.970905 -26.665112, 152.970618 -26.6649, 152.969669 -26.664199, 152.969028 -26.662957, 152.968646 -26.661553, 152.96857 -26.660657, 152.968567 -26.660588, 152.96854 -26.659928, 152.968585 -26.658393, 152.968891 -26.657121, 152.970371 -26.657326, 152.971912 -26.65754, 152.972553 -26.656924, 152.972507 -26.655106, 152.972796 -26.654428, 152.973041 -26.653851, 152.973911 -26.653766, 152.975513 -26.653468, 152.975971 -26.653411, 152.977366 -26.6536, 152.978091 -26.653699, 152.979755 -26.653153, 152.982251 -26.652822, 152.987207 -26.652165, 152.987765 -26.652091, 152.988559 -26.651725, 152.989047 -26.651572, 152.989276 -26.65075, 152.989169 -26.650355, 152.988849 -26.649123, 152.988715 -26.648625, 152.988574 -26.648097, 152.988452 -26.647183, 152.987918 -26.645236, 152.987578 -26.643762, 152.987399 -26.642987, 152.98717 -26.641774, 152.987018 -26.640374, 152.986941 -26.639539, 152.986945 -26.638815, 152.986957 -26.636859, 152.987262 -26.635901, 152.987399 -26.633867, 152.98743 -26.633408, 152.987597 -26.630811, 152.987582 -26.629729, 152.987521 -26.628993, 152.987539 -26.628878, 152.987674 -26.628041, 152.987735 -26.627463, 152.98775 -26.626679, 152.987429 -26.625529, 152.987216 -26.624253, 152.98702 -26.624027, 152.986972 -26.623971, 152.986804 -26.623286, 152.986102 -26.622298, 152.98537 -26.621251, 152.985034 -26.621013, 152.984256 -26.620946, 152.984134 -26.620572, 152.984028 -26.620472, 152.983844 -26.620297, 152.982379 -26.619422, 152.981479 -26.618798, 152.980807 -26.617877, 152.98025 -26.617297, 152.979419 -26.616433, 152.978244 -26.615939, 152.977679 -26.615655, 152.978045 -26.61465, 152.977588 -26.613963, 152.977359 -26.61362, 152.976184 -26.613069, 152.976108 -26.612885, 152.975955 -26.610646, 152.975634 -26.610196, 152.975462 -26.609958, 152.975238 -26.609649, 152.974536 -26.609374, 152.973864 -26.608666, 152.973559 -26.607545, 152.973224 -26.607121, 152.972857 -26.606833, 152.972675 -26.606137, 152.972354 -26.604915, 152.971881 -26.601714, 152.971866 -26.601213, 152.97185 -26.600646, 152.971179 -26.598475, 152.971179 -26.598065, 152.970828 -26.596746, 152.970786 -26.596363, 152.970553 -26.594239, 152.969775 -26.592799, 152.969311 -26.591664, 152.96921 -26.591416, 152.968386 -26.588248, 152.968188 -26.588243, 152.967852 -26.587462, 152.967586 -26.587148, 152.967074 -26.586545, 152.965976 -26.58567, 152.964633 -26.583541, 152.964438 -26.583329, 152.963916 -26.582759, 152.964022 -26.582522, 152.962268 -26.580913, 152.962434 -26.579336, 152.962451 -26.579171, 152.963094 -26.57438, 152.963107 -26.574287, 152.96329 -26.573173, 152.963366 -26.571941, 152.963214 -26.570993, 152.963092 -26.57092, 152.962863 -26.570237, 152.962535 -26.569596, 152.962527 -26.569579, 152.961901 -26.56875, 152.961322 -26.567811, 152.960635 -26.566344, 152.960589 -26.565749, 152.960413 -26.565152, 152.960391 -26.565078, 152.960116 -26.56434, 152.959841 -26.563701, 152.959445 -26.562724, 152.959292 -26.562219, 152.959414 -26.561868, 152.959536 -26.561414, 152.959964 -26.560748, 152.959857 -26.560626, 152.959872 -26.560565, 152.959964 -26.560189, 152.959719 -26.55998, 152.959033 -26.560188, 152.958453 -26.560119, 152.95827 -26.558892, 152.958026 -26.558074, 152.95796 -26.55718, 152.957705 -26.553693, 152.957751 -26.553464, 152.957675 -26.553313, 152.957621 -26.552214, 152.957583 -26.551437, 152.957522 -26.550775, 152.957324 -26.550761, 152.957171 -26.550492, 152.956896 -26.550485, 152.956835 -26.548833, 152.956777 -26.547713, 152.956744 -26.547084, 152.956561 -26.542854, 152.956527 -26.542722, 152.956271 -26.541728, 152.956042 -26.540845, 152.956027 -26.54021, 152.955996 -26.539394, 152.956057 -26.538734, 152.955835 -26.537814, 152.955752 -26.537473, 152.955477 -26.536927, 152.955157 -26.536548, 152.954577 -26.536037, 152.953097 -26.535363, 152.952242 -26.534742, 152.952182 -26.534681, 152.951495 -26.53399, 152.949298 -26.532541, 152.948977 -26.531654, 152.948922 -26.531207, 152.948886 -26.530917, 152.948977 -26.530029, 152.950292 -26.526447, 152.951083 -26.524293, 152.951418 -26.523469, 152.95151 -26.523017, 152.951602 -26.521666, 152.951632 -26.521226, 152.95183 -26.519273, 152.9518 -26.518506, 152.951601 -26.517598, 152.951251 -26.51677, 152.95122 -26.516696, 152.951357 -26.516626, 152.951067 -26.516172, 152.951743 -26.511999, 152.952303 -26.50854, 152.953448 -26.508634, 152.953524 -26.508354, 152.95351 -26.508298, 152.952883 -26.505853, 152.952029 -26.503713, 152.951946 -26.503563, 152.950899 -26.501659, 152.950396 -26.500818, 152.949695 -26.499109, 152.949053 -26.497545, 152.94858 -26.496036, 152.948611 -26.495717, 152.94828 -26.494348, 152.948229 -26.494138, 152.948015 -26.492832, 152.947893 -26.492765, 152.947344 -26.490713, 152.947161 -26.489997, 152.946765 -26.489767, 152.945888 -26.489259, 152.944887 -26.488738, 152.944201 -26.488067, 152.944563 -26.486204, 152.944567 -26.486183, 152.944842 -26.484722, 152.945132 -26.482923, 152.944502 -26.481376, 152.943835 -26.479736, 152.943575 -26.477954, 152.943392 -26.477241, 152.943026 -26.476755, 152.942999 -26.476676, 152.942705 -26.475828, 152.941881 -26.474018, 152.941271 -26.473112, 152.940788 -26.472211, 152.940737 -26.472116, 152.939927 -26.470905, 152.938337 -26.469378, 152.937229 -26.468842, 152.936334 -26.468409, 152.933871 -26.466905, 152.93381 -26.466346, 152.933471 -26.465904, 152.933047 -26.465349, 152.932558 -26.464805, 152.931856 -26.464565, 152.932299 -26.462547, 152.931993 -26.461848, 152.931811 -26.461433, 152.931444 -26.459878, 152.931078 -26.457265, 152.931027 -26.456959, 152.930376 -26.453079, 152.930145 -26.452039, 152.92943 -26.448829, 152.929156 -26.447839, 152.928951 -26.447186, 152.928927 -26.447109, 152.928621 -26.446371, 152.928621 -26.445911, 152.927996 -26.445098, 152.927355 -26.444738, 152.925681 -26.443838, 152.925478 -26.443729, 152.924669 -26.443559, 152.924532 -26.442924, 152.92438 -26.442623, 152.924318 -26.442199, 152.924196 -26.441831, 152.924196 -26.441326, 152.9238 -26.440822, 152.923754 -26.440021, 152.923726 -26.439832, 152.923662 -26.439392, 152.92383 -26.438783, 152.924196 -26.438116, 152.924242 -26.437551, 152.923159 -26.437271, 152.923365 -26.435809, 152.923372 -26.435758, 152.921801 -26.434751, 152.921399 -26.431695, 152.92116 -26.429876, 152.920794 -26.427124, 152.920743 -26.426738, 152.920595 -26.425625, 152.920077 -26.421783, 152.919817 -26.419855, 152.919085 -26.418432, 152.91913 -26.417915, 152.919191 -26.416982, 152.919329 -26.414842, 152.918951 -26.412011, 152.91884 -26.41118, 152.918138 -26.410183, 152.917772 -26.409416, 152.917253 -26.408354, 152.916679 -26.407648, 152.91646 -26.407379, 152.916124 -26.406767, 152.916323 -26.4064, 152.915789 -26.405836, 152.91501 -26.405187, 152.914186 -26.404407, 152.913734 -26.403992, 152.913179 -26.403482, 152.912355 -26.402929, 152.909981 -26.400704, 152.906333 -26.397285, 152.904665 -26.395721, 152.902678 -26.393873, 152.902392 -26.393606, 152.900499 -26.390505, 152.899989 -26.389674, 152.897372 -26.385413, 152.895708 -26.382704, 152.894757 -26.381151, 152.893404 -26.378942, 152.89215 -26.376885, 152.89142 -26.375689, 152.888803 -26.371428, 152.888384 -26.370747, 152.886705 -26.368008, 152.886191 -26.367165, 152.884783 -26.364855, 152.883583 -26.362899, 152.88097 -26.358636, 152.880358 -26.357637, 152.880404 -26.356699, 152.8799 -26.356363, 152.879778 -26.355789, 152.87938 -26.354139, 152.87932 -26.353891, 152.878466 -26.351805, 152.876619 -26.351563, 152.876293 -26.351026, 152.874865 -26.348683, 152.873537 -26.347511, 152.873055 -26.34746, 152.871081 -26.347252, 152.868245 -26.346228, 152.868227 -26.346221, 152.866823 -26.345467, 152.863651 -26.344279, 152.863344 -26.344164, 152.861101 -26.343313, 152.858975 -26.342509, 152.85895 -26.342499, 152.854297 -26.340744, 152.852969 -26.340243, 152.852007 -26.33988, 152.850451 -26.339466, 152.849605 -26.339052, 152.848879 -26.338696, 152.846575 -26.337828, 152.844845 -26.337836, 152.843997 -26.337839, 152.842913 -26.336604, 152.840884 -26.335425, 152.840723 -26.335422, 152.839739 -26.335404, 152.837649 -26.334446, 152.836043 -26.33384, 152.835284 -26.333554, 152.83327 -26.332962, 152.831988 -26.332354, 152.831515 -26.331913, 152.831491 -26.331909, 152.830371 -26.3317, 152.828677 -26.331055, 152.826755 -26.330347, 152.824771 -26.329615, 152.824359 -26.329424, 152.822406 -26.328673, 152.822088 -26.328555, 152.819278 -26.327508, 152.818393 -26.327469, 152.817384 -26.326994, 152.816928 -26.326779, 152.815905 -26.326262, 152.814563 -26.325894, 152.812731 -26.325203, 152.810901 -26.324513, 152.808054 -26.323435, 152.805087 -26.322312, 152.803378 -26.321666, 152.801806 -26.321072, 152.800021 -26.320391, 152.798747 -26.319788, 152.798221 -26.319539, 152.796588 -26.318925, 152.794482 -26.318127, 152.794082 -26.317995, 152.790988 -26.316968, 152.790774 -26.316884, 152.79024 -26.316781, 152.789706 -26.316695, 152.789352 -26.31646, 152.789203 -26.316361, 152.787753 -26.315602, 152.786624 -26.315156, 152.784786 -26.314445, 152.784488 -26.31433, 152.784335 -26.313508, 152.784477 -26.312852, 152.782962 -26.311372, 152.782167 -26.310678, 152.781512 -26.310106, 152.779946 -26.30978, 152.779477 -26.307293, 152.779326 -26.306493, 152.779143 -26.305499, 152.779016 -26.304935, 152.779 -26.304617, 152.778937 -26.304355, 152.778552 -26.302383, 152.778189 -26.300519, 152.777563 -26.297482, 152.777331 -26.296354, 152.776687 -26.292559, 152.776329 -26.290452, 152.775971 -26.289999, 152.775867 -26.289094, 152.776138 -26.287988, 152.776097 -26.287756, 152.775226 -26.282833, 152.775033 -26.281744, 152.774334 -26.278012, 152.774315 -26.277917, 152.773358 -26.273009, 152.772951 -26.270921, 152.772736 -26.269665, 152.771155 -26.269429, 152.769867 -26.269236, 152.769954 -26.269014, 152.770073 -26.268672, 152.769374 -26.267774, 152.768515 -26.266685, 152.768212 -26.266201, 152.768142 -26.266088, 152.76815 -26.265381, 152.767917 -26.265233, 152.768475 -26.261486, 152.768396 -26.261433, 152.766957 -26.26048, 152.764208 -26.258701, 152.763285 -26.258104, 152.760061 -26.255909, 152.7597 -26.255663, 152.756886 -26.253795, 152.755795 -26.253331, 152.755709 -26.253295, 152.753619 -26.252078, 152.753023 -26.251256, 152.751771 -26.250479, 152.749859 -26.249292, 152.747529 -26.247833, 152.746387 -26.247117, 152.743372 -26.245056, 152.742435 -26.244416, 152.739209 -26.242286, 152.738961 -26.242122, 152.735038 -26.23953, 152.733373 -26.23843, 152.730868 -26.23677, 152.729073 -26.235581, 152.726692 -26.234021, 152.725686 -26.233363, 152.725757 -26.232875, 152.726123 -26.230787, 152.725129 -26.230141, 152.724124 -26.229488, 152.7204 -26.228727, 152.719791 -26.228603, 152.718417 -26.226759, 152.717929 -26.226537, 152.716386 -26.226528, 152.715137 -26.22652, 152.713489 -26.225952, 152.711484 -26.225865, 152.708927 -26.225753, 152.707706 -26.224344, 152.707154 -26.224178, 152.705326 -26.223629, 152.704303 -26.223671, 152.702638 -26.222446, 152.70119 -26.221382, 152.699817 -26.220657, 152.699832 -26.219837, 152.699115 -26.219759, 152.699006 -26.219761, 152.698185 -26.219778)</t>
  </si>
  <si>
    <t>P3632</t>
  </si>
  <si>
    <t>https://www.gem.wiki/NSW_Gas_Network</t>
  </si>
  <si>
    <t>NSW Gas Network</t>
  </si>
  <si>
    <t>Northern Trunk Gas Pipeline</t>
  </si>
  <si>
    <t>Jemena Gas Network; Wilton to Newcastle Trunk Pipeline</t>
  </si>
  <si>
    <t>Jemena Gas Networks (NSW) Ltd [200.00%]</t>
  </si>
  <si>
    <t>MULTILINESTRING ((150.71064 -34.2333, 150.71712 -34.23184, 150.73002 -34.22802, 150.73697 -34.22015, 150.75216 -34.20791, 150.75741 -34.20238, 150.76368 -34.1958, 150.76803 -34.18759, 150.77013 -34.18544, 150.77037 -34.18429, 150.7707 -34.18268, 150.77088 -34.18095, 150.77095 -34.18022, 150.77108 -34.17889, 150.77205 -34.16893, 150.77169 -34.16593, 150.77223 -34.15772, 150.77296 -34.1545, 150.77384 -34.14192, 150.77314 -34.13131, 150.77327 -34.13042, 150.77432 -34.12287, 150.77436 -34.1227, 150.77459 -34.12172, 150.775 -34.12, 150.77521 -34.11911, 150.77442 -34.11231, 150.7744 -34.11215, 150.77438 -34.11197, 150.77267 -34.1067, 150.77203 -34.10165, 150.77121 -34.09519, 150.76626 -34.08959, 150.76515 -34.083, 150.76823 -34.0793, 150.77074 -34.0718, 150.77573 -34.06649, 150.77976 -34.06021, 150.78569 -34.04811, 150.78821 -34.04514, 150.79055 -34.04156, 150.79069 -34.03659, 150.79115 -34.02032, 150.79555 -34.0061, 150.79939 -33.99991, 150.80131 -33.99854, 150.80838 -33.99371, 150.81925 -33.98022, 150.82172 -33.97622, 150.82412 -33.97357, 150.82735 -33.96457, 150.82736 -33.96453, 150.82692 -33.9628, 150.82633 -33.96107, 150.82637 -33.95891, 150.82486 -33.95616, 150.82442 -33.95536, 150.82467 -33.95261, 150.82471 -33.95221, 150.82453 -33.95085, 150.82538 -33.94871, 150.82672 -33.9453, 150.82625 -33.94191, 150.8246 -33.9405, 150.82404 -33.94003, 150.82082 -33.93519, 150.82057 -33.93176, 150.81989 -33.92904, 150.82161 -33.92114, 150.82169 -33.92006, 150.82363 -33.90955, 150.82097 -33.90346, 150.82099 -33.90332, 150.82234 -33.89225, 150.82288 -33.88789, 150.82967 -33.88035, 150.83349 -33.879, 150.836 -33.87811, 150.83758 -33.87764, 150.83908 -33.8772, 150.84232 -33.87624, 150.8466 -33.87343, 150.84859 -33.87202, 150.85399 -33.86301, 150.85617 -33.858, 150.85742 -33.85577, 150.85927 -33.85066, 150.85918 -33.84606, 150.85963 -33.84462, 150.86038 -33.84094, 150.86076 -33.84001, 150.86096 -33.83951, 150.86143 -33.83817, 150.86154 -33.83785, 150.86207 -33.83564, 150.86214 -33.83538, 150.86253 -33.8348, 150.86438 -33.83208), (150.86438 -33.83208, 150.86351 -33.82828, 150.86432 -33.82622, 150.86469 -33.82226, 150.86517 -33.82182, 150.86423 -33.82117, 150.86014 -33.81632, 150.85982 -33.81577, 150.85963 -33.81478, 150.8607 -33.80668, 150.86028 -33.80216, 150.85947 -33.7999, 150.85971 -33.79846, 150.85625 -33.79452, 150.858 -33.78932, 150.85747 -33.78877, 150.85661 -33.78858, 150.85567 -33.78766, 150.85646 -33.78353, 150.85896 -33.78113, 150.85898 -33.7805, 150.85825 -33.77959, 150.85788 -33.77246, 150.85529 -33.76827, 150.85713 -33.76794, 150.85609 -33.76594, 150.85483 -33.76059, 150.85495 -33.76005, 150.85596 -33.75881), (150.85596 -33.75881, 150.85867 -33.75354, 150.85933 -33.75337, 150.86114 -33.74952, 150.86215 -33.74837, 150.86502 -33.74139, 150.86561 -33.73878, 150.86575 -33.73779, 150.86851 -33.73067, 150.86497 -33.72155, 150.86098 -33.71318, 150.86159 -33.71022, 150.86044 -33.70821, 150.86024 -33.70758, 150.85942 -33.70617, 150.85922 -33.7054, 150.85991 -33.70352, 150.85818 -33.6951, 150.85786 -33.69464, 150.85719 -33.69148, 150.85727 -33.68859, 150.85412 -33.68466, 150.85362 -33.68348, 150.85519 -33.6808, 150.85481 -33.67872, 150.84904 -33.66771, 150.8482 -33.66679, 150.84779 -33.66634, 150.84666 -33.66406, 150.8408 -33.65639, 150.83673 -33.64265, 150.83497 -33.6396, 150.83362 -33.63787, 150.83189 -33.63396, 150.83429 -33.63269, 150.83758 -33.63045, 150.83867 -33.63002, 150.839 -33.62949, 150.84184 -33.62827, 150.84601 -33.62501, 150.84581 -33.62478, 150.84646 -33.62447, 150.84703 -33.6234, 150.84747 -33.62251, 150.84788 -33.619, 150.85075 -33.61661, 150.85208 -33.61501, 150.85451 -33.61316, 150.85635 -33.61229, 150.85867 -33.61017, 150.86062 -33.6093, 150.8612 -33.60791, 150.8647 -33.60585, 150.86905 -33.60467, 150.87068 -33.60352, 150.87202 -33.60165, 150.87347 -33.5997, 150.87416 -33.59817, 150.87407 -33.59727, 150.87675 -33.59371, 150.87794 -33.59111, 150.8793 -33.59041, 150.88342 -33.58985, 150.88672 -33.58694, 150.89006 -33.58663, 150.89285 -33.58307, 150.89497 -33.57959, 150.89451 -33.5767, 150.89671 -33.57484, 150.89814 -33.57342, 150.9002 -33.57296, 150.90207 -33.57367, 150.90255 -33.57368, 150.90287 -33.57342, 150.90547 -33.56895, 150.90916 -33.56771, 150.9113 -33.56815, 150.9152 -33.56713, 150.91682 -33.56734, 150.92266 -33.57041, 150.92634 -33.56984, 150.93055 -33.56946, 150.93412 -33.5688, 150.93618 -33.56803, 150.93673 -33.56794, 150.93721 -33.56804, 150.93791 -33.56823, 150.94212 -33.56758, 150.94343 -33.56688, 150.94787 -33.56605, 150.94961 -33.56527, 150.9524 -33.56532, 150.96504 -33.56426, 150.9664 -33.56365, 150.96694 -33.56303, 150.9665 -33.56158, 150.96592 -33.56076, 150.96653 -33.56005, 150.96717 -33.5556, 150.96768 -33.55493, 150.96807 -33.55422, 150.96826 -33.55314, 150.96789 -33.5525, 150.9676 -33.55114, 150.96678 -33.54978, 150.96615 -33.54882, 150.96617 -33.54841, 150.96693 -33.54793, 150.96855 -33.54773, 150.96994 -33.54811, 150.97222 -33.5468, 150.9746 -33.54666, 150.97672 -33.54786, 150.97976 -33.55188, 150.98104 -33.55208, 150.98391 -33.54951, 150.98596 -33.54955, 150.98942 -33.5483, 150.99104 -33.54855, 150.99136 -33.54873, 150.99188 -33.54973, 150.992 -33.55104, 150.9943 -33.55158, 150.99581 -33.55133, 150.99839 -33.55191, 150.99955 -33.55301, 151.00109 -33.55235, 151.00193 -33.55181, 151.00353 -33.55102, 151.00535 -33.5489, 151.0082 -33.54798, 151.01029 -33.54572, 151.01025 -33.54371, 151.01205 -33.54241, 151.0127 -33.54116, 151.01382 -33.53866, 151.0136 -33.53614, 151.01222 -33.53508, 151.01252 -33.53353, 151.01202 -33.53196, 151.01338 -33.53065, 151.01615 -33.52944, 151.01759 -33.52865, 151.01806 -33.5271, 151.01914 -33.5263, 151.02172 -33.52545, 151.02432 -33.52423, 151.02601 -33.52179, 151.02693 -33.52058, 151.02874 -33.51906, 151.0296 -33.51777, 151.02961 -33.51715, 151.02911 -33.51584, 151.0281 -33.51495, 151.02722 -33.51425, 151.02702 -33.51313, 151.02683 -33.51182, 151.02606 -33.51019, 151.02555 -33.50943, 151.02616 -33.50826, 151.02744 -33.5076, 151.02894 -33.50688, 151.02934 -33.50626, 151.03123 -33.50462, 151.03289 -33.5034, 151.03446 -33.50267, 151.03558 -33.50251, 151.03646 -33.50258, 151.03852 -33.50367, 151.03925 -33.50406, 151.04112 -33.50353, 151.0418 -33.50267, 151.04426 -33.5024, 151.04575 -33.50236, 151.04673 -33.50181, 151.04784 -33.50183, 151.04922 -33.5031, 151.05009 -33.50423, 151.05067 -33.50461, 151.05267 -33.50477, 151.05453 -33.50473, 151.05615 -33.50501, 151.0574 -33.50552, 151.0579 -33.50665, 151.05795 -33.50752, 151.0586 -33.50797, 151.05956 -33.50817, 151.05962 -33.50917, 151.05953 -33.50997, 151.05967 -33.5101, 151.0619 -33.51038, 151.06381 -33.51049, 151.0668 -33.50949, 151.07066 -33.50696, 151.07058 -33.50476, 151.07227 -33.50209, 151.07159 -33.5007, 151.06966 -33.49858, 151.06988 -33.49765, 151.07128 -33.49629, 151.07304 -33.4965, 151.07583 -33.4977, 151.07748 -33.49652, 151.07966 -33.49595, 151.08064 -33.49496, 151.08282 -33.49433, 151.08273 -33.49584, 151.08398 -33.49662, 151.08608 -33.49645, 151.08665 -33.4954, 151.08718 -33.49531, 151.08796 -33.49527, 151.08988 -33.49545, 151.09121 -33.49547, 151.09264 -33.4955, 151.0935 -33.49495, 151.0937 -33.49445, 151.09429 -33.49426, 151.09537 -33.49463, 151.09571 -33.49549, 151.09649 -33.49575, 151.09722 -33.49516, 151.09855 -33.49463, 151.09924 -33.49358, 151.10032 -33.49324, 151.10123 -33.49316, 151.10296 -33.49344, 151.10387 -33.49322, 151.10491 -33.49324, 151.10657 -33.49326, 151.10821 -33.49267, 151.10896 -33.49164, 151.1105 -33.491, 151.11114 -33.49105, 151.11129 -33.49021, 151.1119 -33.48956, 151.11251 -33.48919, 151.1132 -33.4873, 151.11341 -33.48631, 151.11347 -33.48538, 151.11376 -33.48457, 151.11401 -33.48373, 151.11535 -33.48336, 151.11646 -33.48318, 151.11661 -33.48257, 151.11681 -33.48204, 151.11733 -33.48162, 151.11738 -33.48131, 151.1182 -33.48132, 151.11913 -33.48138, 151.11956 -33.48053, 151.11994 -33.47996, 151.12064 -33.47959, 151.12199 -33.4791, 151.12337 -33.47858, 151.12495 -33.47837, 151.12583 -33.4782, 151.1262 -33.47832, 151.12867 -33.47874, 151.1309 -33.4804, 151.13192 -33.48024, 151.13317 -33.47926, 151.13468 -33.47911, 151.14071 -33.47956, 151.14379 -33.48104, 151.14812 -33.48003, 151.15615 -33.4815, 151.15885 -33.48145, 151.16392 -33.48062, 151.16691 -33.48184, 151.16929 -33.48143, 151.17014 -33.4818, 151.17261 -33.48165, 151.1749 -33.48024, 151.17647 -33.47765, 151.17931 -33.47571, 151.17997 -33.47464, 151.18236 -33.47377, 151.18529 -33.47282, 151.18619 -33.47094, 151.18641 -33.47031, 151.18642 -33.46977, 151.18487 -33.46722, 151.18467 -33.46654, 151.18404 -33.46559, 151.18726 -33.4605, 151.18867 -33.4552, 151.19245 -33.45435, 151.19455 -33.45159, 151.19704 -33.4509, 151.19817 -33.45083, 151.20786 -33.44772, 151.21337 -33.4469, 151.21752 -33.44362, 151.21731 -33.43839, 151.2195 -33.43364, 151.21863 -33.42614, 151.22129 -33.42469, 151.22672 -33.42491, 151.22937 -33.42693, 151.23208 -33.42625, 151.23673 -33.43001, 151.24067 -33.43223, 151.24324 -33.4319, 151.24591 -33.43059, 151.24865 -33.4309, 151.25121 -33.43202, 151.25153 -33.43211, 151.25476 -33.43148, 151.25696 -33.42948, 151.26094 -33.42936, 151.26465 -33.42679, 151.26589 -33.42375, 151.26673 -33.4197, 151.27283 -33.41527, 151.2748 -33.41368, 151.27889 -33.41329, 151.28785 -33.40674, 151.29503 -33.40215, 151.29407 -33.39609, 151.29612 -33.39017, 151.30086 -33.3735, 151.30228 -33.36626, 151.30295 -33.36528, 151.30355 -33.36213, 151.30368 -33.36087, 151.30327 -33.36005, 151.30379 -33.35798, 151.3044 -33.35727, 151.30596 -33.35468, 151.30649 -33.35433, 151.30768 -33.35398, 151.30832 -33.35462, 151.30927 -33.35554, 151.31002 -33.35573, 151.31076 -33.35565, 151.31217 -33.35521, 151.31304 -33.35532, 151.314 -33.35497, 151.31529 -33.3549, 151.31563 -33.35436, 151.3189 -33.35504, 151.32013 -33.35469, 151.32176 -33.35381, 151.32363 -33.35176, 151.32488 -33.35079, 151.32526 -33.35061, 151.32591 -33.35008, 151.32828 -33.34984, 151.32981 -33.34905, 151.33298 -33.34918, 151.33464 -33.34876, 151.33582 -33.34895, 151.34436 -33.34627, 151.34657 -33.34341, 151.34631 -33.3398, 151.34873 -33.3374, 151.34886 -33.33578, 151.35304 -33.33069, 151.35855 -33.3286, 151.35954 -33.3278, 151.36054 -33.3261, 151.36356 -33.32565, 151.36411 -33.32516, 151.36488 -33.32363, 151.3721 -33.31669, 151.37381 -33.31167, 151.37349 -33.31085, 151.37297 -33.31003, 151.37288 -33.30904, 151.37259 -33.30768, 151.37187 -33.30551, 151.37201 -33.30425, 151.37331 -33.30345, 151.37419 -33.30274, 151.3741 -33.30157, 151.37401 -33.30031, 151.37392 -33.29967, 151.37317 -33.29939, 151.37405 -33.29832, 151.37418 -33.29769, 151.37418 -33.29715, 151.37291 -33.29624, 151.37314 -33.29569, 151.37527 -33.29581, 151.37613 -33.29609, 151.37752 -33.29675, 151.37935 -33.29614, 151.38185 -33.29509, 151.38303 -33.29492, 151.38661 -33.29253, 151.3923 -33.29261, 151.39264 -33.29216, 151.39287 -33.29135, 151.39696 -33.29051, 151.40524 -33.28412, 151.40686 -33.28378, 151.40881 -33.28209, 151.40941 -33.27939, 151.40868 -33.27821, 151.40947 -33.27574, 151.40959 -33.26938, 151.40619 -33.26735, 151.40591 -33.2651, 151.40401 -33.25741, 151.40416 -33.25533, 151.40474 -33.25282, 151.40675 -33.24842, 151.4084 -33.24583, 151.4095 -33.24476, 151.40973 -33.24377, 151.41182 -33.24109, 151.41946 -33.23334, 151.4236 -33.2306, 151.42482 -33.22809, 151.42604 -33.22648, 151.42744 -33.22542, 151.42821 -33.22489, 151.43091 -33.22357, 151.4368 -33.2213, 151.4389 -33.22069, 151.44031 -33.22044, 151.44487 -33.2205, 151.44546 -33.21987, 151.4505 -33.21407, 151.45521 -33.20872, 151.4563 -33.20828, 151.45804 -33.20686, 151.45871 -33.20507, 151.46127 -33.20248, 151.46264 -33.20097, 151.46374 -33.19954, 151.4656 -33.19677, 151.46728 -33.19282, 151.46763 -33.19138, 151.46812 -33.1885, 151.46834 -33.18174, 151.46795 -33.17957, 151.46756 -33.17704, 151.46739 -33.17451, 151.46756 -33.17117, 151.46998 -33.16156, 151.47125 -33.15625, 151.47226 -33.15374, 151.47314 -33.15258, 151.47349 -33.15068, 151.47427 -33.14925, 151.47503 -33.14827, 151.47628 -33.14524, 151.47667 -33.14026, 151.47375 -33.13229, 151.47111 -33.1273, 151.46901 -33.12373, 151.46759 -33.12165, 151.46681 -33.11763, 151.46522 -33.11626, 151.46371 -33.11443, 151.46321 -33.11326, 151.4624 -33.11092, 151.46167 -33.10904, 151.46193 -33.1073, 151.46296 -33.10479, 151.46304 -33.10072, 151.46423 -33.09841, 151.46563 -33.09675, 151.46661 -33.0956, 151.46865 -33.09321, 151.47233 -33.0891, 151.47419 -33.08514, 151.47587 -33.08062, 151.47692 -33.07743, 151.47757 -33.07503, 151.47799 -33.07352, 151.47816 -33.07212, 151.47879 -33.07032, 151.47895 -33.06806, 151.47888 -33.06472, 151.47869 -33.06053, 151.47787 -33.05719, 151.47654 -33.05265, 151.47549 -33.04705, 151.47476 -33.04489, 151.47468 -33.04188, 151.47448 -33.03833, 151.47583 -33.03458, 151.47876 -33.02795, 151.48008 -33.02495, 151.48139 -33.02261, 151.4833 -33.02078, 151.488 -33.01632, 151.4893 -33.01525, 151.49197 -33.01376, 151.49353 -33.01148, 151.49559 -33.01035, 151.49604 -33.00985, 151.49795 -33.0093, 151.50032 -33.00831, 151.50221 -33.00756, 151.50421 -33.00632, 151.50727 -33.00361, 151.51066 -33.00047, 151.51249 -32.9987, 151.51336 -32.99839, 151.51467 -32.99714, 151.51798 -32.99113, 151.51534 -32.98903, 151.51655 -32.9867, 151.51936 -32.98556, 151.52127 -32.9836, 151.52285 -32.98136, 151.52299 -32.97974, 151.52349 -32.97876, 151.52503 -32.97859, 151.53132 -32.9738, 151.53935 -32.96077, 151.54218 -32.95769, 151.54441 -32.94608, 151.54878 -32.94099, 151.55158 -32.93886, 151.55305 -32.93743, 151.55497 -32.93429, 151.55532 -32.93299), (151.55532 -32.93299, 151.55787 -32.92757, 151.57276 -32.91267, 151.57439 -32.90385, 151.57658 -32.90117, 151.57958 -32.89345, 151.57923 -32.88858, 151.57999 -32.88805, 151.5816 -32.8877, 151.58271 -32.88564, 151.58808 -32.88317, 151.58926 -32.8803, 151.59255 -32.87836, 151.59631 -32.87731, 151.59571 -32.87433, 151.59699 -32.87363, 151.59852 -32.87274, 151.59928 -32.87113, 151.60094 -32.87028, 151.60264 -32.868, 151.60273 -32.86708, 151.60374 -32.86622, 151.60548 -32.86498, 151.60722 -32.8632, 151.60755 -32.86243, 151.609 -32.86032, 151.61181 -32.85925, 151.6137 -32.85956, 151.61613 -32.85976, 151.62383 -32.86003, 151.62524 -32.85861, 151.6258 -32.85663, 151.62742 -32.85619, 151.62968 -32.85468, 151.63096 -32.84847, 151.63277 -32.84822, 151.6384 -32.84332, 151.64235 -32.83597, 151.66424 -32.83026, 151.67237 -32.82944, 151.67367 -32.82837, 151.67528 -32.82749, 151.6831 -32.82622, 151.68404 -32.82812, 151.69031 -32.83008, 151.69272 -32.83317, 151.69741 -32.83466, 151.69947 -32.83928, 151.70438 -32.84709, 151.71628 -32.8584, 151.72873 -32.86319, 151.74047 -32.86397, 151.75892 -32.86686, 151.7751 -32.87108, 151.77846 -32.87615, 151.77797 -32.88087, 151.78275 -32.8831, 151.78185 -32.89019, 151.7789 -32.89766))</t>
  </si>
  <si>
    <t>P3633</t>
  </si>
  <si>
    <t>Southern Trunk Gas Pipeline</t>
  </si>
  <si>
    <t>Jemena Gas Network; Wilton to Wollongong Trunk Pipeline</t>
  </si>
  <si>
    <t>Wollongong</t>
  </si>
  <si>
    <t>LINESTRING (150.84715 -34.44111, 150.84643 -34.43983, 150.84322 -34.43752, 150.84182 -34.43705, 150.83781 -34.43432, 150.83382 -34.43023, 150.82977 -34.42741, 150.82935 -34.42664, 150.82917 -34.42546, 150.82864 -34.42473, 150.82723 -34.42416, 150.82443 -34.42375, 150.82368 -34.42329, 150.82226 -34.42326, 150.82151 -34.42262, 150.81977 -34.42241, 150.81535 -34.42134, 150.81428 -34.42051, 150.81329 -34.41661, 150.8132 -34.41607, 150.81413 -34.41392, 150.81272 -34.41327, 150.81374 -34.41184, 150.81381 -34.40959, 150.81796 -34.40466, 150.82829 -34.40074, 150.82995 -34.40131, 150.83382 -34.40111, 150.83839 -34.40137, 150.83993 -34.4005, 150.84104 -34.39943, 150.84127 -34.39881, 150.841 -34.39682, 150.84153 -34.39494, 150.8413 -34.39331, 150.84069 -34.39204, 150.84063 -34.38987, 150.84026 -34.38752, 150.83994 -34.38698, 150.83965 -34.38544, 150.83471 -34.37904, 150.83323 -34.37739, 150.83105 -34.37338, 150.82915 -34.3692, 150.82276 -34.3616, 150.81313 -34.35178, 150.80935 -34.34685, 150.79697 -34.34167, 150.79215 -34.34163, 150.77912 -34.33454, 150.77059 -34.32415, 150.76531 -34.32252, 150.7575 -34.32193, 150.75114 -34.3164, 150.73794 -34.30994, 150.73261 -34.2937, 150.72996 -34.29176, 150.72601 -34.28934, 150.72343 -34.28794, 150.71688 -34.28511, 150.71572 -34.28419, 150.71352 -34.28099, 150.71639 -34.25517, 150.71505 -34.24848, 150.7136 -34.24196, 150.71185 -34.23886, 150.71128 -34.23515, 150.71064 -34.2333)</t>
  </si>
  <si>
    <t>P3634</t>
  </si>
  <si>
    <t>Dalton to Canberra Pipeline</t>
  </si>
  <si>
    <t>LINESTRING (149.20341 -34.72029, 149.19288 -34.72697, 149.18955 -34.73334, 149.18911 -34.73678, 149.19434 -34.74479, 149.19378 -34.7485, 149.1889 -34.77888, 149.18868 -34.78757, 149.18832 -34.79155, 149.18479 -34.81367, 149.17987 -34.82989, 149.17936 -34.83567, 149.18214 -34.84157, 149.18083 -34.8498, 149.18197 -34.85996, 149.17823 -34.86733, 149.17793 -34.86842, 149.17796 -34.86941, 149.1781 -34.87022, 149.17832 -34.87094, 149.19236 -34.89295, 149.19259 -34.89349, 149.19252 -34.89421, 149.19209 -34.89503, 149.19145 -34.89549, 149.18782 -34.89881, 149.18765 -34.9172, 149.18707 -34.92037, 149.19075 -34.92274, 149.19419 -34.9288, 149.19998 -34.93627, 149.2048 -34.94466, 149.20706 -34.95543, 149.21064 -34.96673, 149.21147 -34.96852, 149.21263 -34.97093, 149.21458 -34.97423, 149.21608 -34.97717, 149.21632 -34.97816, 149.21624 -34.97907, 149.21583 -34.98015, 149.21457 -34.98225, 149.21345 -34.98525, 149.21399 -34.98894, 149.21635 -34.9952, 149.21611 -34.99845, 149.21682 -35.01728, 149.2167 -35.02495, 149.21904 -35.03401, 149.21786 -35.05143, 149.21495 -35.07653, 149.19604 -35.10871, 149.18872 -35.11768, 149.18587 -35.14234, 149.17989 -35.17023, 149.17964 -35.21641)</t>
  </si>
  <si>
    <t>P3635</t>
  </si>
  <si>
    <t>Young to Lithgow and Bathurst Pipeline</t>
  </si>
  <si>
    <t>MULTILINESTRING ((148.32975 -34.23947, 148.33664 -34.22413, 148.38136 -34.18423, 148.42029 -34.16322, 148.43722 -34.15085, 148.44825 -34.14306, 148.47288 -34.13059, 148.47757 -34.12548, 148.49205 -34.12314, 148.50088 -34.10771, 148.51895 -34.09937, 148.54926 -34.04984, 148.56083 -34.04853, 148.56567 -34.04666, 148.56884 -34.04238, 148.57247 -34.03332, 148.58424 -34.0136, 148.59338 -33.99653, 148.6097 -33.97675, 148.62681 -33.95731, 148.63897 -33.94273, 148.6867 -33.89429, 148.69718 -33.87746, 148.71714 -33.84833, 148.80054 -33.77996, 148.8037 -33.77585, 148.83536 -33.74157, 148.8387 -33.73543, 148.92242 -33.70643, 148.98344 -33.68022, 149.05421 -33.5943, 149.05561 -33.58571, 149.06088 -33.58021, 149.07766 -33.57047, 149.09045 -33.55582, 149.11575 -33.5333, 149.14494 -33.51657), (149.14494 -33.51657, 149.18765 -33.51078, 149.19704 -33.51249, 149.22352 -33.51608, 149.22883 -33.51328, 149.23511 -33.50663, 149.2718 -33.51024, 149.30265 -33.51644, 149.34511 -33.51474, 149.35384 -33.51487, 149.36588 -33.51307, 149.37383 -33.51247, 149.3837 -33.51281, 149.40642 -33.51311, 149.43712 -33.51386, 149.45432 -33.51262, 149.4639 -33.50883, 149.48102 -33.49675, 149.49132 -33.49283, 149.50531 -33.48951, 149.51384 -33.48663, 149.53194 -33.47995, 149.54411 -33.47339, 149.55425 -33.47003, 149.58601 -33.47162, 149.61221 -33.46612, 149.62305 -33.46859, 149.6348 -33.46609, 149.65579 -33.46654, 149.67848 -33.46966, 149.6989 -33.46877, 149.70146 -33.46465, 149.71866 -33.46428), (149.14494 -33.51657, 149.13824 -33.50631, 149.14077 -33.45622, 149.13551 -33.43918, 149.13293 -33.42164, 149.13354 -33.40269, 149.1245 -33.39338, 149.11907 -33.38265, 149.11842 -33.35561, 149.11475 -33.34576, 149.1135 -33.34118, 149.11196 -33.33301, 149.11184 -33.32777, 149.11079 -33.32529, 149.10903 -33.32286, 149.10894 -33.3188, 149.1056 -33.3139), (149.71866 -33.46428, 149.72888 -33.4645, 149.75142 -33.4631, 149.78033 -33.45451, 149.78499 -33.45395, 149.79793 -33.45331, 149.83645 -33.45659, 149.86233 -33.45821, 149.89985 -33.46287, 149.91648 -33.46158, 149.92759 -33.45636, 149.96351 -33.4528, 149.96876 -33.44907, 149.98153 -33.44515, 149.99348 -33.44498, 149.99801 -33.44289, 150.0189 -33.43925, 150.02822 -33.43773, 150.04882 -33.4278, 150.05479 -33.42704, 150.05962 -33.42715, 150.07555 -33.42965, 150.09461 -33.43233, 150.10554 -33.43379, 150.11468 -33.43485, 150.12431 -33.45482, 150.126 -33.46232), (149.71866 -33.46428, 149.72024 -33.48092, 149.72865 -33.49155, 149.73283 -33.50453, 149.73207 -33.51492, 149.73416 -33.52975, 149.74809 -33.56189, 149.75757 -33.57205, 149.76442 -33.58407, 149.76723 -33.58761, 149.77365 -33.58657, 149.78245 -33.59223, 149.79939 -33.61664, 149.80464 -33.62869, 149.80849 -33.64754, 149.80869 -33.65384, 149.81979 -33.66396, 149.8318 -33.66819, 149.84918 -33.68852, 149.85965 -33.6955))</t>
  </si>
  <si>
    <t>P3636</t>
  </si>
  <si>
    <t>Young to Wagga Wagga Pipeline</t>
  </si>
  <si>
    <t>MULTILINESTRING ((148.00137 -34.62366, 148.01815 -34.59637, 148.04234 -34.57687, 148.14135 -34.52233, 148.14713 -34.49848, 148.14985 -34.49105, 148.15105 -34.46688, 148.16361 -34.43078, 148.20432 -34.36275, 148.23003 -34.29928, 148.23242 -34.28483, 148.26116 -34.25829, 148.32975 -34.23947), (147.62012 -34.91863, 147.64997 -34.89873, 147.66674 -34.88691, 147.70034 -34.86319, 147.73168 -34.84326, 147.76363 -34.82151, 147.77406 -34.81423, 147.79276 -34.80239, 147.81207 -34.78783, 147.81336 -34.78548, 147.81743 -34.77698, 147.83684 -34.76152, 147.84331 -34.75416, 147.85567 -34.74389, 147.87208 -34.74747, 147.8741 -34.74123, 147.88644 -34.7204, 147.9096 -34.68191, 147.96145 -34.64319, 148.00137 -34.62366), (147.41579 -35.07667, 147.44424 -35.04853, 147.47048 -35.034, 147.49726 -35.02217, 147.51197 -35.00679, 147.5224 -34.99714, 147.52914 -34.99208, 147.53159 -34.99047, 147.53814 -34.98593, 147.54794 -34.97777, 147.55883 -34.96844, 147.58822 -34.94106, 147.60772 -34.92861, 147.62012 -34.91863))</t>
  </si>
  <si>
    <t>P3637</t>
  </si>
  <si>
    <t>Burnt Creek to Griffith Pipeline</t>
  </si>
  <si>
    <t>LINESTRING (147.62012 -34.91863, 147.58182 -34.88943, 147.579 -34.89223, 147.52439 -34.89239, 147.52085 -34.88592, 147.51234 -34.88983, 147.50466 -34.88878, 147.50117 -34.88888, 147.45426 -34.87807, 147.43952 -34.88155, 147.41636 -34.86855, 147.38363 -34.86379, 147.37156 -34.85743, 147.3697 -34.85788, 147.36556 -34.86123, 147.33105 -34.84871, 147.31518 -34.84785, 147.29878 -34.84699, 147.28127 -34.84613, 147.26596 -34.84391, 147.25218 -34.84781, 147.23477 -34.84298, 147.22331 -34.84994, 147.18042 -34.84289, 147.17405 -34.83442, 147.14462 -34.83103, 147.11935 -34.82159, 147.09408 -34.81846, 147.04936 -34.81055, 147.00802 -34.80515, 147.00125 -34.80515, 146.99306 -34.80587, 146.96571 -34.80857, 146.9127 -34.79998, 146.90013 -34.79726, 146.80234 -34.7755, 146.77123 -34.76417, 146.75705 -34.75287, 146.74344 -34.73797, 146.71179 -34.72798, 146.71073 -34.72166, 146.62169 -34.72638, 146.59001 -34.72583, 146.56821 -34.72034, 146.55678 -34.71218, 146.54384 -34.68102, 146.53841 -34.67829, 146.53078 -34.67466, 146.51444 -34.66919, 146.5112 -34.66421, 146.49381 -34.65107, 146.4748 -34.63836, 146.46883 -34.63337, 146.46233 -34.62523, 146.45049 -34.61391, 146.43503 -34.60247, 146.42759 -34.60208, 146.42052 -34.59934, 146.42173 -34.58311, 146.42398 -34.57185, 146.44803 -34.56024, 146.45079 -34.55484, 146.45407 -34.55486, 146.45844 -34.55307, 146.46842 -34.52606, 146.46578 -34.51252, 146.46256 -34.50529, 146.4577 -34.49806, 146.44634 -34.48854, 146.42958 -34.46862, 146.41011 -34.45184, 146.39275 -34.44364, 146.38573 -34.43639, 146.3853 -34.41971, 146.37233 -34.40882, 146.36473 -34.40652, 146.35767 -34.40514, 146.34792 -34.39922, 146.3349 -34.39464, 146.32463 -34.38647, 146.31804 -34.3932, 146.29248 -34.39305, 146.2697 -34.38661, 146.26477 -34.39018, 146.25504 -34.38381, 146.24587 -34.37564, 146.22469 -34.37145, 146.20688 -34.35781, 146.19771 -34.34963, 146.13047 -34.33294, 146.12293 -34.32657, 146.10618 -34.31789)</t>
  </si>
  <si>
    <t>P3638</t>
  </si>
  <si>
    <t>Culcairn to Wagga Wagga Pipeline</t>
  </si>
  <si>
    <t>LINESTRING (147.41579 -35.07667, 147.41253 -35.07871, 147.41212 -35.07862, 147.40763 -35.08068, 147.40762 -35.08068, 147.40637 -35.08027, 147.4053 -35.08059, 147.40402 -35.08131, 147.40326 -35.08096, 147.40286 -35.08118, 147.40229 -35.08156, 147.40173 -35.08198, 147.40115 -35.08247, 147.39747 -35.08597, 147.39653 -35.08683, 147.39598 -35.08739, 147.39549 -35.08796, 147.39503 -35.08857, 147.39474 -35.08902, 147.39184 -35.0874, 147.38845 -35.08626, 147.38542 -35.08524, 147.38156 -35.08395, 147.37707 -35.08157, 147.3723 -35.08071, 147.36758 -35.08016, 147.36361 -35.08055, 147.36123 -35.08172, 147.35872 -35.08275, 147.35603 -35.08344, 147.35278 -35.08393, 147.35168 -35.08364, 147.3491 -35.08349, 147.34344 -35.08457, 147.34094 -35.08515, 147.33914 -35.08515, 147.33119 -35.08399, 147.32721 -35.08418, 147.32222 -35.08347, 147.31735 -35.08166, 147.31392 -35.08017, 147.31076 -35.07881, 147.31032 -35.07855, 147.30975 -35.07644, 147.30702 -35.07581, 147.29866 -35.07352, 147.29767 -35.07299, 147.29411 -35.07149, 147.29394 -35.07143, 147.29095 -35.07042, 147.29037 -35.07024, 147.28434 -35.0752, 147.28048 -35.07512, 147.2778 -35.07635, 147.27691 -35.0777, 147.27664 -35.08109, 147.27553 -35.08454, 147.2755 -35.08588, 147.27463 -35.09007, 147.27391 -35.0935, 147.27176 -35.09464, 147.26858 -35.0988, 147.26591 -35.10107, 147.26016 -35.10671, 147.25715 -35.10963, 147.253 -35.11481, 147.24492 -35.13489, 147.24444 -35.1371, 147.24397 -35.1393, 147.24367 -35.14075, 147.24354 -35.1456, 147.24055 -35.15031, 147.23972 -35.15289, 147.23645 -35.16299, 147.23044 -35.17165, 147.21451 -35.17834, 147.21411 -35.18043, 147.21376 -35.18222, 147.21375 -35.18231, 147.21252 -35.18215, 147.20079 -35.19461, 147.20262 -35.20315, 147.1985 -35.20709, 147.19447 -35.20938, 147.1837 -35.2176, 147.18434 -35.22521, 147.18495 -35.23236, 147.18485 -35.23359, 147.18411 -35.2376, 147.18198 -35.24925, 147.18149 -35.2497, 147.18138 -35.25009, 147.18161 -35.25124, 147.18106 -35.2543, 147.17929 -35.26385, 147.17766 -35.27268, 147.17737 -35.273, 147.17304 -35.27712, 147.16651 -35.28332, 147.15778 -35.29084, 147.1552 -35.29424, 147.14997 -35.30112, 147.14177 -35.30931, 147.14035 -35.31102, 147.13942 -35.3134, 147.13655 -35.31672, 147.13608 -35.31804, 147.12729 -35.34316, 147.12484 -35.3483, 147.1169 -35.35223, 147.10868 -35.35629, 147.10297 -35.3611, 147.09964 -35.36713, 147.09714 -35.37351, 147.09594 -35.38055, 147.09568 -35.38189, 147.09589 -35.38635, 147.09054 -35.39161, 147.09035 -35.39198, 147.08783 -35.40546, 147.08716 -35.40892, 147.08581 -35.41737, 147.08368 -35.42731, 147.08169 -35.44207, 147.0768 -35.45547, 147.06998 -35.47886, 147.07163 -35.48562, 147.06879 -35.49707, 147.06834 -35.49891, 147.06565 -35.51874, 147.06997 -35.52694, 147.06745 -35.5306, 147.05853 -35.56151, 147.05682 -35.56395, 147.05473 -35.56696, 147.05119 -35.57184, 147.04641 -35.57356, 147.0395 -35.57555, 147.037 -35.58813, 147.03393 -35.59874, 147.03571 -35.61041, 147.03663 -35.62775, 147.0251 -35.64249, 147.01716 -35.66077)</t>
  </si>
  <si>
    <t>P3639</t>
  </si>
  <si>
    <t>North Central Corridor (NCC) Loop (North Star Section 2)</t>
  </si>
  <si>
    <t>P3640</t>
  </si>
  <si>
    <t>North Central Corridor (NCC) Loop (Red Earth Section 3)</t>
  </si>
  <si>
    <t>P3641</t>
  </si>
  <si>
    <t>Northwest Mainline (NWML) Loop No. 2 (Bear Canyon North Extension Section)</t>
  </si>
  <si>
    <t>P3642</t>
  </si>
  <si>
    <t>https://www.gem.wiki/Dingo_Gas_Field_Pipeline</t>
  </si>
  <si>
    <t>Dingo Gas Field Pipeline</t>
  </si>
  <si>
    <t>Central Petroleum [unknown %]</t>
  </si>
  <si>
    <t>PJ/y</t>
  </si>
  <si>
    <t>LINESTRING (133.807253 -23.813693, 133.807997 -23.814835, 133.817948 -23.814694, 133.821839 -23.819685, 133.820588 -23.842391, 133.820741 -23.842555, 133.82032 -23.850062, 133.824324 -23.866366, 133.826296 -23.883321, 133.827365 -23.891132, 133.826672 -23.914887, 133.822954 -23.937864, 133.820287 -23.960472, 133.819952 -23.968164, 133.818861 -23.969457, 133.8167 -23.985674, 133.818298 -23.986447, 133.847665 -24.037678, 133.85715 -24.06328, 133.857008 -24.126672, 133.85527 -24.144498, 133.856379 -24.146729, 133.855796 -24.174464, 133.855381 -24.180375, 133.854766 -24.183794, 133.855321 -24.191879, 133.857155 -24.197247, 133.857606 -24.202868, 133.856525 -24.205087, 133.855274 -24.206245, 133.855153 -24.210052, 133.855555 -24.212404, 133.862089 -24.215529, 133.863853 -24.215549)</t>
  </si>
  <si>
    <t>P3643</t>
  </si>
  <si>
    <t>Cannington Lateral</t>
  </si>
  <si>
    <t>Carpentaria Gas Pipeline Mainline</t>
  </si>
  <si>
    <t>Cannington</t>
  </si>
  <si>
    <t>LINESTRING (140.104826 -22.257803, 140.105109 -22.257723, 140.10535 -22.257651, 140.105691 -22.257577, 140.106038 -22.257532, 140.106381 -22.257469, 140.106893 -22.257356, 140.108235 -22.257061, 140.111613 -22.256315, 140.114774 -22.255619, 140.116803 -22.255172, 140.117964 -22.254918, 140.12019 -22.254428, 140.120872 -22.254277, 140.121379 -22.254154, 140.121707 -22.254041, 140.125122 -22.252786, 140.126423 -22.252309, 140.126744 -22.25218, 140.142765 -22.242685, 140.159589 -22.23272, 140.162372 -22.231082, 140.178886 -22.223626, 140.180963 -22.222769, 140.191896 -22.219811, 140.197835 -22.220113, 140.202609 -22.219134, 140.208142 -22.215886, 140.209368 -22.215737, 140.211472 -22.214198, 140.232637 -22.20356, 140.258643 -22.198347, 140.262736 -22.196877, 140.266401 -22.195303, 140.269574 -22.194524, 140.276431 -22.192156, 140.291788 -22.190231, 140.295333 -22.188507, 140.297451 -22.187761, 140.321514 -22.177167, 140.328631 -22.171346, 140.360748 -22.161951, 140.3632 -22.161143, 140.367301 -22.159792, 140.395777 -22.15038, 140.411216 -22.145269, 140.42266 -22.141484, 140.423502 -22.141234, 140.42519 -22.140798, 140.463449 -22.130809, 140.463611 -22.130743, 140.490826 -22.117273, 140.504649 -22.107613, 140.51314 -22.10274, 140.515338 -22.102027, 140.518663 -22.101051, 140.531998 -22.097194, 140.549496 -22.092768, 140.557199 -22.090818, 140.563819 -22.088885, 140.571163 -22.085768, 140.579894 -22.083161, 140.583865 -22.082083, 140.589165 -22.07987, 140.590527 -22.079789, 140.605605 -22.07288, 140.612825 -22.068912, 140.618847 -22.063945, 140.623489 -22.053537, 140.61911 -22.042501, 140.631269 -22.034335, 140.633137 -22.034597, 140.645177 -22.027099, 140.663798 -22.016771, 140.668721 -22.01708, 140.686138 -22.00204, 140.705504 -21.977996, 140.715987 -21.971867, 140.716993 -21.971573, 140.719228 -21.96994, 140.723231 -21.967583, 140.736715 -21.959644, 140.737296 -21.957955, 140.756674 -21.947949, 140.764315 -21.947603, 140.818325 -21.916388, 140.848509 -21.898919, 140.886205 -21.877119, 140.910832 -21.86284, 140.909762 -21.861226, 140.912511 -21.859643, 140.913192 -21.859802, 140.914381 -21.859158, 140.914496 -21.859329)</t>
  </si>
  <si>
    <t>P3644</t>
  </si>
  <si>
    <t>https://www.gem.wiki/Braemer_2_Gas_Pipeline</t>
  </si>
  <si>
    <t>Braemar 2 Pipeline</t>
  </si>
  <si>
    <t>Arrow Energy [unknown %]</t>
  </si>
  <si>
    <t>LINESTRING (150.908394 -27.110257, 150.908221 -27.110164, 150.90806 -27.110235, 150.905377 -27.127379, 150.90527 -27.127528, 150.905059 -27.127547, 150.895232 -27.126312, 150.895187 -27.12626, 150.895337 -27.125302, 150.895304 -27.125252, 150.893556 -27.12504, 150.893519 -27.125041, 150.89342 -27.125075, 150.883167 -27.129235, 150.866297 -27.142832, 150.866134 -27.142901, 150.866026 -27.142918, 150.865779 -27.142886, 150.861955 -27.142408, 150.860157 -27.142782, 150.859977 -27.142785, 150.859813 -27.142742, 150.857764 -27.141554, 150.850518 -27.140627, 150.85038 -27.140568, 150.850145 -27.140538, 150.849967 -27.140548, 150.841464 -27.139491, 150.839518 -27.137755, 150.839398 -27.137718, 150.838294 -27.137459, 150.838137 -27.137422, 150.83795 -27.137401, 150.836413 -27.137261, 150.836291 -27.137274, 150.833732 -27.138577, 150.833662 -27.138604, 150.833557 -27.138598, 150.816553 -27.136446, 150.816361 -27.136421, 150.816342 -27.136422, 150.816318 -27.13644, 150.81529 -27.137493, 150.815143 -27.137585, 150.808937 -27.141534, 150.808731 -27.141568, 150.808493 -27.14152, 150.803403 -27.140484, 150.803227 -27.140463, 150.797668 -27.140108, 150.797457 -27.14012, 150.797022 -27.14014, 150.796663 -27.140093, 150.772442 -27.137053, 150.772202 -27.136928, 150.772132 -27.136686, 150.771938 -27.134862, 150.771414 -27.129966, 150.771358 -27.129876, 150.764179 -27.119682, 150.764042 -27.119493, 150.763953 -27.119437, 150.763804 -27.119405, 150.749264 -27.117034, 150.749115 -27.117007, 150.748624 -27.11699, 150.723757 -27.115982, 150.723222 -27.115961, 150.722861 -27.115926, 150.721934 -27.1158, 150.721778 -27.115816, 150.714326 -27.116876, 150.714239 -27.116906, 150.712085 -27.119177, 150.711945 -27.119277, 150.71161 -27.119299, 150.701203 -27.118669, 150.701022 -27.118657, 150.700681 -27.118648, 150.694333 -27.118769, 150.693904 -27.11877, 150.69371 -27.118655, 150.693082 -27.118657, 150.692949 -27.118618, 150.685623 -27.112704, 150.685353 -27.112661, 150.660279 -27.109443, 150.660215 -27.109475, 150.659984 -27.109464, 150.64663 -27.107739, 150.646477 -27.107769, 150.645972 -27.107924, 150.645652 -27.108024, 150.645358 -27.10805, 150.645034 -27.10808, 150.643954 -27.108418, 150.643669 -27.108649, 150.642633 -27.109001, 150.642303 -27.108982, 150.631213 -27.112369, 150.63104 -27.112423, 150.630726 -27.112461, 150.630539 -27.112227, 150.626617 -27.104112, 150.626552 -27.104038, 150.626235 -27.10392, 150.606132 -27.096602, 150.605966 -27.096541, 150.605761 -27.096437, 150.605622 -27.096246, 150.599933 -27.088631, 150.598293 -27.086438, 150.598088 -27.08617, 150.598 -27.086111, 150.596686 -27.085281, 150.588046 -27.079837, 150.587959 -27.079769, 150.581743 -27.071153, 150.581738 -27.071146, 150.581728 -27.071136, 150.581715 -27.071122, 150.580482 -27.069795, 150.580426 -27.069731, 150.580295 -27.069535, 150.580004 -27.069087, 150.579964 -27.069029, 150.579837 -27.068895, 150.579017 -27.068055, 150.578996 -27.068009, 150.578999 -27.067947, 150.578997 -27.067933, 150.57888 -27.067816, 150.578857 -27.067799, 150.578481 -27.06765, 150.578406 -27.067621, 150.578381 -27.067616, 150.577797 -27.067557, 150.57579 -27.067334, 150.574103 -27.067119, 150.572204 -27.06688, 150.570261 -27.066634, 150.545717 -27.063501, 150.545212 -27.063481, 150.533285 -27.062004, 150.529098 -27.06144, 150.528919 -27.061416, 150.528015 -27.061326, 150.520165 -27.060295, 150.515051 -27.059673, 150.51397 -27.059521, 150.509491 -27.058927, 150.508637 -27.058729, 150.508546 -27.058612, 150.508535 -27.058602, 150.50851 -27.058595, 150.489097 -27.055096, 150.467523 -27.0512, 150.445651 -27.047249, 150.444064 -27.046954, 150.443517 -27.046959, 150.428532 -27.04425, 150.42 -27.042708, 150.419535 -27.042622, 150.419345 -27.042588, 150.4193 -27.042617, 150.416445 -27.047808, 150.416232 -27.048194, 150.416194 -27.048224, 150.416144 -27.048221, 150.411031 -27.045957, 150.410943 -27.045943, 150.410755 -27.045958, 150.410593 -27.046089, 150.410424 -27.046242, 150.410314 -27.046292, 150.410097 -27.046234, 150.409018 -27.045757, 150.405741 -27.044283, 150.405518 -27.044157, 150.405319 -27.044067, 150.405297 -27.044006, 150.405365 -27.043885, 150.406629 -27.0416, 150.406698 -27.041471, 150.406694 -27.041452, 150.406663 -27.041432, 150.406568 -27.04142, 150.399194 -27.040509, 150.391882 -27.039608, 150.38502 -27.03876, 150.384797 -27.038735, 150.384536 -27.038755, 150.380465 -27.038262, 150.380379 -27.038234, 150.380227 -27.038177, 150.380203 -27.038169, 150.380165 -27.038164, 150.370636 -27.036989, 150.369559 -27.036855, 150.368639 -27.036742, 150.367732 -27.036629, 150.366931 -27.036529, 150.366555 -27.036421, 150.366084 -27.036364, 150.365701 -27.036377, 150.36337 -27.036091, 150.361058 -27.035805, 150.359193 -27.035573, 150.357587 -27.035374, 150.356032 -27.035182, 150.341837 -27.033426, 150.321894 -27.035001, 150.310751 -27.035882, 150.310347 -27.035747, 150.310218 -27.03573, 150.309885 -27.03569, 150.30623 -27.035235, 150.306123 -27.035222, 150.306087 -27.035207, 150.30608 -27.03517, 150.306105 -27.035015, 150.306344 -27.033517, 150.306817 -27.031228, 150.30771 -27.02745, 150.308949 -27.02226, 150.309734 -27.018973, 150.310925 -27.013985, 150.31228 -27.008307, 150.313282 -27.004107, 150.31458 -26.998675, 150.314598 -26.998635, 150.316588 -26.994901, 150.318988 -26.990289, 150.321324 -26.985813, 150.323086 -26.98243, 150.323133 -26.982384, 150.327552 -26.979566, 150.327584 -26.979545, 150.327627 -26.979479, 150.330987 -26.973934, 150.331518 -26.973052, 150.331666 -26.972375, 150.331672 -26.972289)</t>
  </si>
  <si>
    <t>P3645</t>
  </si>
  <si>
    <t>https://www.gem.wiki/Berri_to_Mildura_Pipeline</t>
  </si>
  <si>
    <t>Berri to Mildura Pipeline</t>
  </si>
  <si>
    <t>Mildura Pipeline</t>
  </si>
  <si>
    <t>Berri</t>
  </si>
  <si>
    <t>Mildura</t>
  </si>
  <si>
    <t>MULTILINESTRING ((140.546432 -34.281389, 140.547536 -34.281458, 140.547742 -34.280568, 140.547996 -34.280131, 140.547749 -34.279903, 140.547811 -34.279586, 140.548003 -34.279301, 140.548893 -34.278947, 140.548957 -34.278795, 140.549449 -34.278563, 140.549661 -34.278455, 140.550186 -34.278148, 140.550829 -34.277781, 140.550968 -34.277693, 140.551112 -34.277575, 140.551327 -34.277385, 140.551494 -34.277263, 140.551726 -34.277125, 140.553312 -34.276226, 140.555008 -34.275424, 140.555502 -34.275154, 140.558061 -34.273702, 140.558253 -34.273558, 140.558412 -34.27341, 140.55849 -34.273336, 140.558568 -34.273274, 140.559118 -34.272958, 140.559504 -34.272747, 140.559987 -34.272511, 140.56045 -34.272379, 140.560946 -34.272276, 140.561531 -34.272204, 140.563367 -34.272217, 140.563638 -34.272209, 140.564759 -34.272231, 140.565594 -34.272206, 140.566522 -34.272168, 140.567563 -34.272057, 140.567792 -34.272025, 140.568579 -34.271959, 140.570544 -34.271761, 140.571682 -34.271687, 140.572044 -34.271672, 140.572155 -34.271663, 140.576481 -34.27146, 140.577332 -34.271402, 140.579012 -34.271311, 140.587804 -34.271083, 140.588085 -34.271072, 140.593469 -34.270943, 140.593466 -34.270512, 140.593552 -34.270303, 140.593878 -34.27028, 140.596777 -34.270292, 140.597023 -34.270256, 140.597062 -34.270218, 140.597084 -34.269497, 140.597375 -34.269504, 140.598368 -34.269647, 140.599052 -34.269634, 140.599567 -34.269593, 140.599664 -34.269474, 140.600696 -34.269389, 140.601378 -34.269195, 140.601641 -34.26903, 140.602754 -34.268074, 140.602997 -34.267793, 140.603649 -34.26764, 140.606286 -34.267159, 140.607535 -34.265822, 140.607868 -34.265496, 140.610511 -34.262558, 140.612977 -34.259847, 140.613186 -34.259673, 140.614117 -34.258404, 140.616326 -34.258596, 140.617883 -34.258638, 140.620206 -34.258758, 140.621058 -34.258445, 140.625642 -34.258908, 140.625953 -34.258756, 140.626132 -34.258733, 140.626772 -34.258468, 140.627786 -34.258364, 140.628441 -34.258532, 140.629103 -34.258575, 140.629443 -34.258543, 140.630455 -34.258295, 140.631361 -34.258499, 140.632577 -34.258521, 140.633254 -34.258798, 140.634589 -34.259153, 140.635637 -34.259749, 140.636153 -34.260288, 140.639471 -34.262017, 140.639545 -34.262337, 140.639706 -34.262388, 140.640253 -34.264506, 140.640311 -34.264581, 140.640405 -34.264634, 140.649676 -34.267003, 140.650035 -34.26704, 140.650185 -34.267167, 140.652201 -34.267612, 140.652568 -34.267712, 140.652805 -34.267766, 140.656616 -34.268314, 140.657329 -34.268846, 140.657856 -34.269047, 140.659144 -34.269618, 140.660397 -34.270398, 140.661151 -34.270738, 140.680646 -34.291055, 140.680974 -34.291433, 140.681327 -34.291767, 140.683278 -34.293796, 140.686032 -34.298224, 140.68618 -34.298265, 140.687878 -34.301004, 140.68827 -34.301325, 140.688954 -34.301249, 140.699907 -34.301253, 140.700016 -34.301343, 140.743023 -34.301337, 140.743367 -34.301624, 140.78905 -34.301768, 140.842363 -34.290606, 140.845451 -34.288269, 140.848988 -34.287456, 140.852624 -34.286933, 140.854597 -34.287078, 140.858696 -34.284917, 140.861693 -34.283755, 140.869918 -34.282652, 140.883633 -34.281024, 140.898494 -34.281052, 140.938136 -34.277159, 140.950742 -34.276091, 140.962238 -34.274676, 140.963193 -34.274527), (140.963193 -34.274527, 140.964116 -34.273263, 140.964256 -34.273022, 140.969132 -34.273081, 140.989753 -34.272984, 141.010428 -34.273424, 141.010428 -34.273402, 141.024246 -34.273605, 141.035876 -34.27309, 141.046567 -34.273423, 141.058814 -34.272795, 141.075272 -34.273643, 141.075331 -34.273187, 141.089369 -34.273106, 141.096482 -34.273332, 141.098574 -34.273809, 141.098971 -34.273638, 141.112119 -34.273781, 141.133663 -34.273749, 141.149681 -34.273889, 141.165489 -34.273615, 141.185004 -34.27368, 141.196667 -34.273218, 141.198576 -34.27346, 141.210324 -34.273217, 141.219803 -34.273362, 141.231353 -34.273389, 141.243073 -34.273582, 141.254971 -34.273705, 141.266741 -34.273807, 141.278677 -34.273314, 141.290741 -34.273764, 141.292565 -34.274226, 141.310058 -34.274332, 141.322793 -34.274482, 141.336005 -34.274396, 141.350752 -34.274439, 141.366561 -34.274606, 141.386124 -34.27438, 141.401509 -34.27447, 141.406021 -34.275087, 141.421433 -34.275136, 141.434109 -34.274792, 141.449376 -34.275034, 141.459551 -34.275119, 141.461622 -34.274535, 141.46763 -34.274492, 141.480923 -34.274674, 141.495638 -34.274797, 141.506227 -34.274448, 141.520314 -34.275076, 141.541647 -34.274813, 141.560428 -34.274866, 141.580352 -34.275085, 141.583248 -34.275, 141.593516 -34.277022, 141.609496 -34.276346, 141.611239 -34.275767, 141.619489 -34.275633, 141.62148 -34.275193, 141.626179 -34.275622, 141.643007 -34.275123, 141.650007 -34.275568, 141.652078 -34.276142, 141.657014 -34.275885, 141.66558 -34.276662, 141.668653 -34.275756, 141.670032 -34.275659, 141.671936 -34.275262, 141.678567 -34.27539, 141.680809 -34.275991, 141.685133 -34.275948, 141.68973 -34.275664, 141.691688 -34.275224, 141.699064 -34.275514, 141.709626 -34.275406, 141.726299 -34.275471, 141.742987 -34.27546, 141.763436 -34.275626, 141.784765 -34.275856, 141.799415 -34.275384, 141.812659 -34.275496, 141.832781 -34.275459, 141.857253 -34.275668, 141.859496 -34.276376, 141.874606 -34.276096, 141.87694 -34.27564, 141.894573 -34.275747, 141.896552 -34.276284, 141.898237 -34.275984, 141.928712 -34.276236, 141.952239 -34.276289, 141.998749 -34.276084, 141.998518 -34.275854, 141.998647 -34.271927, 142.003142 -34.27256, 142.006318 -34.271573, 142.019132 -34.270994, 142.062343 -34.26374, 142.072379 -34.259293, 142.095891 -34.23916, 142.103921 -34.232519, 142.097377 -34.227375, 142.092544 -34.223614, 142.08888 -34.220621, 142.087367 -34.220127, 142.083392 -34.219312, 142.078473 -34.214312, 142.074262 -34.212059, 142.073822 -34.202585, 142.068522 -34.202875, 142.05944 -34.195177, 142.074008 -34.175785, 142.078064 -34.170431, 142.081032 -34.1667))</t>
  </si>
  <si>
    <t>P3646</t>
  </si>
  <si>
    <t>https://www.gem.wiki/BassGas_Pipeline</t>
  </si>
  <si>
    <t>BassGas Pipeline</t>
  </si>
  <si>
    <t>BassGas Sales Pipeline</t>
  </si>
  <si>
    <t>Beach Energy Limited [53.75%]; Mitsui Global Investment [35.00%]; Oil and Natural Gas [11.25%]</t>
  </si>
  <si>
    <t>Yolla gas field</t>
  </si>
  <si>
    <t>MULTILINESTRING ((145.526378 -38.063723, 145.526449 -38.063824, 145.523942 -38.064296, 145.522795 -38.069222, 145.52217 -38.070956, 145.524107 -38.071988, 145.523795 -38.073592, 145.523898 -38.074274, 145.52293 -38.078903, 145.52512 -38.081294, 145.531045 -38.082328, 145.531436 -38.082942, 145.531015 -38.085032, 145.530752 -38.085323, 145.528729 -38.094586, 145.529958 -38.094762, 145.529453 -38.095764, 145.529649 -38.096177, 145.529283 -38.098134, 145.530667 -38.100358, 145.53682 -38.102758, 145.540377 -38.10324, 145.540792 -38.10347, 145.54248 -38.103701, 145.542959 -38.104191, 145.54218 -38.108132, 145.541895 -38.108389, 145.542033 -38.108876, 145.540096 -38.118199, 145.548251 -38.124582, 145.546665 -38.132109, 145.546884 -38.132581, 145.546233 -38.135435, 145.545952 -38.135795, 145.545371 -38.137493, 145.544997 -38.139332, 145.548079 -38.142186, 145.549021 -38.143484, 145.553837 -38.144141, 145.555246 -38.145257, 145.557057 -38.145531, 145.555825 -38.151655, 145.563436 -38.149979, 145.564785 -38.153748, 145.565624 -38.15456, 145.566121 -38.15542, 145.568723 -38.162734, 145.567383 -38.163092, 145.563804 -38.168172, 145.563887 -38.168724, 145.574136 -38.17324, 145.575904 -38.176652, 145.579837 -38.178998, 145.578913 -38.183372, 145.577866 -38.184725, 145.577477 -38.186887, 145.574993 -38.191039, 145.574933 -38.191559, 145.573532 -38.193874, 145.576704 -38.195064, 145.579584 -38.196941, 145.580508 -38.200575, 145.577725 -38.205235, 145.582564 -38.207057, 145.591226 -38.220099, 145.591566 -38.244103, 145.59448 -38.248513, 145.592867 -38.252572, 145.592892 -38.25316, 145.595803 -38.257569, 145.594284 -38.260553, 145.591047 -38.271825, 145.587093 -38.279837, 145.589092 -38.28114, 145.58876 -38.281716, 145.58653 -38.291999, 145.585195 -38.29288, 145.588815 -38.298256), (145.588815 -38.298256, 145.589312 -38.299005, 145.589347 -38.300869, 145.589522 -38.301478, 145.592552 -38.304044, 145.592564 -38.304344, 145.591141 -38.308381, 145.591445 -38.309453, 145.591122 -38.310012, 145.591919 -38.311234, 145.591881 -38.311579, 145.593158 -38.313146, 145.594732 -38.315561, 145.594055 -38.316172, 145.594772 -38.320272, 145.596853 -38.320559, 145.601079 -38.321668, 145.601822 -38.321672))</t>
  </si>
  <si>
    <t>P3647</t>
  </si>
  <si>
    <t>https://www.gem.wiki/Otway_Gas_Pipeline</t>
  </si>
  <si>
    <t>Otway Gas Pipeline</t>
  </si>
  <si>
    <t>Beach Energy Limited [100.00%]</t>
  </si>
  <si>
    <t>Otway gas basin</t>
  </si>
  <si>
    <t>MULTILINESTRING ((142.9157 -39.198525, 142.935944 -39.140465, 142.929474 -39.086025, 142.973328 -38.812241, 142.971375 -38.788124, 142.975266 -38.761536, 142.982681 -38.748631, 142.987305 -38.732719, 142.981214 -38.675494), (142.902206 -39.237225, 142.9157 -39.198525))</t>
  </si>
  <si>
    <t>P3648</t>
  </si>
  <si>
    <t>LINESTRING (121.480756 -30.866055, 121.480118 -30.866197, 121.480529 -30.867311, 121.480494 -30.867509, 121.477115 -30.868893, 121.480117 -30.876728, 121.483779 -30.879196, 121.506885 -30.941581, 121.514657 -30.953273, 121.523592 -30.973986, 121.52629 -30.999744, 121.55742 -31.079429, 121.588887 -31.13386, 121.590667 -31.135953, 121.596578 -31.146268, 121.597639 -31.147834, 121.598985 -31.149227, 121.602632 -31.151693, 121.603853 -31.152689, 121.604753 -31.153607, 121.60585 -31.156011, 121.609343 -31.169445, 121.610807 -31.173052, 121.618694 -31.180862, 121.620769 -31.184712, 121.625518 -31.191171, 121.62994 -31.190561, 121.633126 -31.191021, 121.637062 -31.190803, 121.641479 -31.189977, 121.642296 -31.190373, 121.653653 -31.189202, 121.660176 -31.190632, 121.663497 -31.190984, 121.667824 -31.191666, 121.670749 -31.192546, 121.672568 -31.193612, 121.67313 -31.192914)</t>
  </si>
  <si>
    <t>P3650</t>
  </si>
  <si>
    <t>Murrin Murrin Lateral</t>
  </si>
  <si>
    <t>LINESTRING (121.174463 -28.843995, 121.176349 -28.844801, 121.177193 -28.84482, 121.179526 -28.844138, 121.181789 -28.844184, 121.183635 -28.844644, 121.18417 -28.845139, 121.197374 -28.861204, 121.198642 -28.861943, 121.202499 -28.862979, 121.207577 -28.864407, 121.211504 -28.865518, 121.212303 -28.865781, 121.230042 -28.874801, 121.231194 -28.87515, 121.239641 -28.876347, 121.240765 -28.87681, 121.245813 -28.879819, 121.247304 -28.880601, 121.24965 -28.881135, 121.290858 -28.890619, 121.29318 -28.891494, 121.295418 -28.891966, 121.297705 -28.890629, 121.30582 -28.887879, 121.311121 -28.88621, 121.315107 -28.884955, 121.320582 -28.881839, 121.326643 -28.881902, 121.326639 -28.885061, 121.330522 -28.885124, 121.331048 -28.885129, 121.335159 -28.885075, 121.34136 -28.885871, 121.342651 -28.885834, 121.343631 -28.88601, 121.344794 -28.88632, 121.360209 -28.887989, 121.375804 -28.889679, 121.37738 -28.889985, 121.379676 -28.890634, 121.422339 -28.902724, 121.426203 -28.903594, 121.432975 -28.904735, 121.443055 -28.906433, 121.446742 -28.907133, 121.450707 -28.908608, 121.455995 -28.910789, 121.463415 -28.913845, 121.466184 -28.914706, 121.470107 -28.915589, 121.474549 -28.916555, 121.480856 -28.917555, 121.492263 -28.919266, 121.493499 -28.919544, 121.495149 -28.920046, 121.496586 -28.920616, 121.508693 -28.925971, 121.510411 -28.926531, 121.511902 -28.926783, 121.513449 -28.926833, 121.54701 -28.925658, 121.548984 -28.925411, 121.551503 -28.924523, 121.553375 -28.923537, 121.572391 -28.913484, 121.574749 -28.912625, 121.578058 -28.911981, 121.603047 -28.907179, 121.60488 -28.906579, 121.606952 -28.905581, 121.626354 -28.89592, 121.628835 -28.894744, 121.631289 -28.893765, 121.642124 -28.890115, 121.644929 -28.889444, 121.646882 -28.889274, 121.658232 -28.888869, 121.660174 -28.88867, 121.661895 -28.8882, 121.662657 -28.887892, 121.67351 -28.883013, 121.675072 -28.882506, 121.676438 -28.882263, 121.677878 -28.882192, 121.687987 -28.882419, 121.688002 -28.881577, 121.690305 -28.881582, 121.691262 -28.881481, 121.692454 -28.881224, 121.694688 -28.88028, 121.697305 -28.878712, 121.698468 -28.878094, 121.708931 -28.874681, 121.709909 -28.874604, 121.711219 -28.874646, 121.719029 -28.875752, 121.721077 -28.875989, 121.725509 -28.876227, 121.728525 -28.876241, 121.730505 -28.875917, 121.732919 -28.874755, 121.741365 -28.86879, 121.743407 -28.867505, 121.757072 -28.859169, 121.759355 -28.85815, 121.762763 -28.857386, 121.767515 -28.85653, 121.769551 -28.856521, 121.776381 -28.857004, 121.777676 -28.857016, 121.779492 -28.85676, 121.791999 -28.853873, 121.793487 -28.853683, 121.795623 -28.853608, 121.798409 -28.853437, 121.800434 -28.853043, 121.802999 -28.85237, 121.807466 -28.851052, 121.820946 -28.845559, 121.822788 -28.844938, 121.824895 -28.844459, 121.837588 -28.841688, 121.839166 -28.84112, 121.840839 -28.840172, 121.849429 -28.833665, 121.850996 -28.83279, 121.852126 -28.832324, 121.8578 -28.830282, 121.861709 -28.8287, 121.870797 -28.823094, 121.872899 -28.821382, 121.87543 -28.818015, 121.878292 -28.814677, 121.879893 -28.813576, 121.882368 -28.812157, 121.885431 -28.810401, 121.889426 -28.808129, 121.900461 -28.804003, 121.902031 -28.803258, 121.904474 -28.801132, 121.907335 -28.797477, 121.909948 -28.795001, 121.914223 -28.791976, 121.91703 -28.79006, 121.916464 -28.789351, 121.926843 -28.782463, 121.927726 -28.783426, 121.945761 -28.789051, 122.014165 -28.787754, 122.043498 -28.782536, 122.044875 -28.784398, 122.057638 -28.796247, 122.079586 -28.792987, 122.09806 -28.777113, 122.162037 -28.793185, 122.168117 -28.793669, 122.17868 -28.786522, 122.182294 -28.786458, 122.190393 -28.77763, 122.197109 -28.774662, 122.226249 -28.768319, 122.233918 -28.773334, 122.239598 -28.774958, 122.242156 -28.776106, 122.245032 -28.779746, 122.258126 -28.789474, 122.266611 -28.790526, 122.308456 -28.800016, 122.3101 -28.800723, 122.311204 -28.801198, 122.311413 -28.801387)</t>
  </si>
  <si>
    <t>P3651</t>
  </si>
  <si>
    <t>Gwalia Lateral</t>
  </si>
  <si>
    <t>P3652</t>
  </si>
  <si>
    <t>Mount Morgans Gas Pipeline</t>
  </si>
  <si>
    <t>P3653</t>
  </si>
  <si>
    <t>P3654</t>
  </si>
  <si>
    <t>P3655</t>
  </si>
  <si>
    <t>P3657</t>
  </si>
  <si>
    <t>https://www.gem.wiki/Israel%E2%80%93Egypt_Offshore_Gas_Pipeline</t>
  </si>
  <si>
    <t>Israel–Egypt Offshore Gas Pipeline</t>
  </si>
  <si>
    <t>Israel Natural Gas Lines (INGL) [100.00%]</t>
  </si>
  <si>
    <t>MULTILINESTRING ((30.326837 31.303254, 30.318448 31.518646, 30.952831 31.943372, 31.14761 31.982598, 31.35321 31.94743, 31.557457 32.040761, 31.72383 32.056993, 31.824771 32.211576, 32.302756 32.253124, 32.795113 32.259887, 32.913537 32.34289, 33.157618 32.474955, 34.24919 32.531766, 34.517864 32.597214, 34.719905 32.592634, 34.801515 32.597214), (32.913537 32.34289, 32.862069 32.614496, 32.865639 32.776057, 32.914732 32.877814, 33.271773 33.17148))</t>
  </si>
  <si>
    <t>P3658</t>
  </si>
  <si>
    <t>https://www.gem.wiki/Israel_Natural_Gas_Transmission_System</t>
  </si>
  <si>
    <t>Israel Natural Gas Transmission System</t>
  </si>
  <si>
    <t>MULTILINESTRING ((34.536087 31.6332, 34.539634 31.623315, 34.544107 31.618842, 34.549325 31.617351, 34.55678 31.618096, 34.562744 31.617351, 34.567217 31.61586, 34.573927 31.61586, 34.579608 31.616686, 34.581382 31.617572, 34.583155 31.618902, 34.584485 31.619567, 34.58515 31.619346, 34.586923 31.618681, 34.60111 31.611365, 34.60377 31.610257, 34.605544 31.608262, 34.607982 31.607154, 34.611086 31.605824, 34.615076 31.604937, 34.619731 31.604272, 34.623943 31.603829, 34.627489 31.602499, 34.630593 31.600725, 34.634361 31.597622, 34.637243 31.595627, 34.639903 31.594962, 34.644115 31.595627, 34.649435 31.59607, 34.657637 31.596292, 34.663843 31.595848, 34.673154 31.594962, 34.678474 31.593632, 34.681355 31.592302, 34.684459 31.590972, 34.688227 31.588977, 34.693104 31.586982, 34.699089 31.585652, 34.705296 31.584765, 34.715271 31.584765, 34.727906 31.584543, 34.73766 31.584543, 34.75229 31.584987), (35.314025 32.762994, 35.319943 32.763154, 35.325861 32.763154, 35.330499 32.762994, 35.335618 32.762674, 35.339776 32.762674, 35.342656 32.762355, 35.345695 32.761235, 35.350973 32.760435, 35.357051 32.760435, 35.363449 32.761555, 35.370807 32.762994, 35.374175 32.764026, 35.380723 32.767313, 35.38788 32.77037, 35.39176 32.771951, 35.394159 32.772271, 35.396878 32.772591, 35.399236 32.772249, 35.401837 32.771312, 35.405516 32.769872, 35.407595 32.768593, 35.407929 32.767237, 35.407755 32.766033, 35.409194 32.761875, 35.410154 32.759795, 35.410314 32.757716, 35.409994 32.752758, 35.409514 32.749079, 35.409514 32.74652, 35.409994 32.743481, 35.409994 32.740282, 35.410474 32.737562, 35.410954 32.735483, 35.412393 32.733724, 35.412393 32.731484, 35.411434 32.727806, 35.410474 32.725726, 35.409674 32.723967, 35.408715 32.722047, 35.408555 32.719488, 35.409034 32.716609, 35.409691 32.714285, 35.410882 32.712564, 35.412073 32.710844, 35.412338 32.708461, 35.411941 32.706344, 35.411147 32.703167, 35.41075 32.699594, 35.410617 32.695359, 35.41075 32.686624, 35.410882 32.68305, 35.41067 32.681717, 35.41022 32.6808, 35.407616 32.677174, 35.404794 32.673786, 35.401088 32.667963, 35.398971 32.66611, 35.395794 32.665713, 35.393941 32.665316, 35.392657 32.665036, 35.391824 32.664389, 35.390765 32.663066, 35.389706 32.66161, 35.388647 32.660551, 35.385736 32.657772, 35.381236 32.655654, 35.377927 32.654463, 35.374221 32.653007, 35.36853 32.651551, 35.365883 32.651154, 35.363837 32.650782, 35.362178 32.649566, 35.358472 32.646654, 35.35106 32.642287, 35.350134 32.64189, 35.348546 32.641228, 35.347355 32.640831, 35.34484 32.640963, 35.343119 32.640566, 35.341928 32.639243, 35.341002 32.638316, 35.337958 32.637655, 35.335487 32.63739, 35.332796 32.637787, 35.329752 32.638449, 35.325649 32.639905, 35.323002 32.640963, 35.320842 32.641306, 35.318635 32.640963, 35.314267 32.63911, 35.313076 32.638449, 35.310826 32.636331, 35.307915 32.630905, 35.305532 32.627993, 35.303282 32.626008, 35.301033 32.624817, 35.297896 32.623998, 35.292335 32.623842, 35.289594 32.623763, 35.287401 32.622699, 35.285415 32.62217, 35.282504 32.620979, 35.279327 32.618729, 35.275622 32.617008, 35.273504 32.616744, 35.270195 32.61767, 35.266357 32.618861, 35.261593 32.621376, 35.257357 32.622567, 35.254313 32.624684, 35.251799 32.626273, 35.235255 32.633817, 35.226652 32.637787, 35.217388 32.642287, 35.213947 32.643743, 35.213021 32.644934, 35.212756 32.646787, 35.212359 32.647713, 35.211035 32.648243, 35.209315 32.64811, 35.206006 32.648375, 35.202036 32.649434, 35.197668 32.650228, 35.193168 32.650625, 35.189462 32.652081, 35.184036 32.654198, 35.175301 32.656183, 35.164051 32.659228, 35.160478 32.660683, 35.157699 32.66161, 35.155978 32.66108, 35.154919 32.660022, 35.153993 32.658566, 35.152934 32.656845, 35.151611 32.656051, 35.150287 32.656581, 35.149228 32.658169, 35.148567 32.660022, 35.147243 32.662007, 35.143934 32.663463, 35.141552 32.663992, 35.141023 32.664654, 35.135994 32.67008, 35.129508 32.674448, 35.122626 32.678815, 35.121038 32.680271, 35.11945 32.681462, 35.116141 32.684241, 35.113097 32.686491, 35.110053 32.687418, 35.10648 32.68755, 35.103833 32.686756, 35.101318 32.684771, 35.100259 32.681727, 35.099862 32.678683, 35.100524 32.675242, 35.101715 32.670742, 35.103568 32.66558, 35.104362 32.662801, 35.104627 32.660948, 35.104362 32.659889, 35.103436 32.659228, 35.102245 32.659228, 35.09973 32.659095, 35.098274 32.658169, 35.096421 32.655919, 35.096289 32.654728, 35.095759 32.653139, 35.094171 32.652213, 35.09073 32.650492, 35.086892 32.64864, 35.084245 32.647448, 35.082525 32.646654, 35.080407 32.643743, 35.078422 32.641493, 35.076172 32.640831, 35.07379 32.640037, 35.07101 32.639243, 35.069157 32.639243, 35.067304 32.639772, 35.065849 32.639905, 35.064393 32.63964, 35.058437 32.635272, 35.05407 32.632625, 35.04057 32.624155, 35.037261 32.621111, 35.035805 32.618199, 35.035408 32.615023, 35.035408 32.612641, 35.037129 32.608273, 35.038188 32.60695, 35.039511 32.60642, 35.041629 32.606553, 35.044408 32.606817, 35.046129 32.606553, 35.046526 32.605229, 35.046261 32.603641, 35.045732 32.601391, 35.045202 32.598876, 35.045864 32.595171, 35.047187 32.591068, 35.049305 32.587759, 35.049437 32.58498, 35.048511 32.583392, 35.046393 32.5822, 35.044408 32.580612, 35.043349 32.578495, 35.042555 32.573068, 35.042555 32.568569, 35.042291 32.564995, 35.041761 32.563275, 35.040967 32.561819, 35.040173 32.560495, 35.039644 32.558907, 35.040173 32.558113, 35.041041 32.556796, 35.041041 32.554383, 35.040076 32.551488, 35.038628 32.548593, 35.034768 32.543285, 35.032838 32.539425, 35.030908 32.5346, 35.029943 32.529775, 35.03139 32.523984, 35.03234 32.520187, 35.03234 32.517813, 35.031865 32.514965, 35.030678 32.512354, 35.029729 32.508557, 35.029254 32.500249, 35.02878 32.494078, 35.029254 32.489806, 35.032577 32.485534, 35.036849 32.481499, 35.039223 32.478413, 35.040172 32.474853, 35.039698 32.471055, 35.037799 32.466783, 35.037561 32.462748, 35.038273 32.459188, 35.039223 32.454916, 35.039698 32.451355, 35.039698 32.448507, 35.038986 32.445422, 35.037324 32.442573, 35.033289 32.438776, 35.029017 32.433554, 35.024982 32.430231, 35.022846 32.426196, 35.022134 32.421449, 35.022134 32.41694, 35.022134 32.40887, 35.021896 32.400088, 35.021659 32.394154, 35.021422 32.38466, 35.02071 32.381812, 35.018099 32.378726, 35.015963 32.376116, 35.015013 32.372555, 35.015963 32.368046, 35.016912 32.363061, 35.017149 32.358314, 35.015251 32.353567, 35.012165 32.34526, 35.009554 32.340751, 35.008367 32.338614, 35.008367 32.335766, 35.010266 32.331969, 35.010978 32.329358, 35.011216 32.326747, 35.010741 32.324136, 35.010266 32.320339, 35.009554 32.314405, 35.011453 32.307996, 35.012402 32.301825, 35.01264 32.298028, 35.009554 32.293281, 35.004807 32.286398, 35.002908 32.283787, 35.001722 32.281651, 35.001247 32.27904, 35.000535 32.276904, 34.999111 32.273818, 34.992702 32.260526, 34.988905 32.251032, 34.987481 32.244149, 34.978224 32.224449, 34.971341 32.211633, 34.965882 32.203325, 34.961135 32.19573, 34.958999 32.191695, 34.958049 32.188372, 34.959711 32.182913, 34.960898 32.171995, 34.962559 32.163451, 34.964458 32.153007, 34.964695 32.145887, 34.96422 32.141852, 34.962796 32.138529, 34.954964 32.129984, 34.949742 32.124525, 34.945233 32.12049, 34.941672 32.116455, 34.938824 32.112895, 34.935739 32.106961, 34.934314 32.104113, 34.933365 32.100553, 34.933602 32.096281, 34.934077 32.092958, 34.934314 32.088923, 34.933365 32.084176, 34.932178 32.079192, 34.932416 32.075157, 34.93384 32.071596, 34.933365 32.0659, 34.933365 32.06234, 34.933128 32.05878, 34.934314 32.053558, 34.936688 32.045725, 34.936925 32.041928, 34.936688 32.040266, 34.935739 32.037893, 34.934077 32.035282, 34.931941 32.031959, 34.929805 32.026737, 34.928143 32.021516, 34.924108 32.016057, 34.920311 32.013446, 34.918649 32.010598, 34.918412 32.007749, 34.918175 32.005613, 34.916276 32.002765, 34.91319 31.998018, 34.910817 31.993983, 34.909393 31.989948, 34.908443 31.9871, 34.907494 31.982828, 34.906782 31.978555, 34.905595 31.974283, 34.904883 31.971435, 34.904883 31.968112, 34.906307 31.963128, 34.907731 31.958143, 34.909393 31.954821, 34.911766 31.950786, 34.915089 31.9477, 34.916513 31.944615, 34.916988 31.940105, 34.916751 31.935595, 34.915564 31.931323, 34.913428 31.924202, 34.911054 31.92088, 34.908918 31.917082, 34.905358 31.914234, 34.901798 31.913047, 34.897288 31.911386, 34.895152 31.909724, 34.89088 31.907113, 34.88637 31.90023, 34.883522 31.896433, 34.88281 31.892872, 34.882572 31.890024, 34.881148 31.886464, 34.879961 31.883378, 34.877825 31.877919, 34.876164 31.873884, 34.875214 31.870324, 34.874265 31.862729, 34.87379 31.856558, 34.871892 31.851811, 34.869281 31.847776, 34.866195 31.84469, 34.864771 31.842554, 34.861211 31.83757, 34.858125 31.833772, 34.853131 31.828254, 34.842988 31.816759, 34.836226 31.809659, 34.832169 31.806278, 34.825745 31.802897, 34.82845 31.797487, 34.82845 31.797487, 34.83014 31.793092, 34.831493 31.789035, 34.831831 31.784978, 34.832507 31.778892, 34.831155 31.773144, 34.828788 31.769087, 34.827097 31.763001, 34.825407 31.75793, 34.823378 31.752182, 34.822702 31.746773, 34.82135 31.739673, 34.82135 31.739673, 34.818645 31.735954, 34.818645 31.730206, 34.819997 31.725473, 34.819659 31.718711, 34.819659 31.718711, 34.817969 31.713977, 34.815264 31.710935, 34.813912 31.706539, 34.811883 31.70113, 34.810193 31.695044, 34.808164 31.690649, 34.80636 31.686676, 34.803919 31.683929, 34.80224 31.683166, 34.799188 31.682861, 34.795525 31.68164, 34.793542 31.680419, 34.789879 31.67874, 34.785606 31.677825, 34.78347 31.677672, 34.781486 31.676451, 34.77996 31.675231, 34.777671 31.674468, 34.774771 31.673552, 34.773093 31.672484, 34.77233 31.669889, 34.77294 31.665311, 34.773093 31.662717, 34.771567 31.659207, 34.770193 31.656766, 34.769278 31.65295, 34.768667 31.649288, 34.76943 31.644863, 34.769888 31.641963, 34.770193 31.638758, 34.769888 31.634791, 34.768667 31.631433, 34.766989 31.62945, 34.762716 31.626397, 34.757222 31.623345, 34.754323 31.621819, 34.751576 31.620599, 34.749592 31.61831, 34.748829 31.61541, 34.748676 31.611595, 34.748981 31.608238, 34.749134 31.605491, 34.750355 31.603202, 34.751728 31.600455, 34.752186 31.598013, 34.752461 31.59382, 34.75229 31.584987, 34.76072 31.525476, 34.762248 31.503065, 34.76021 31.480144, 34.758682 31.464864, 34.756136 31.459771, 34.735253 31.417496, 34.722519 31.396104, 34.720482 31.393557, 34.718445 31.389992, 34.717935 31.387445, 34.718445 31.382352, 34.719463 31.379296, 34.720991 31.37624, 34.72201 31.373184, 34.726085 31.361469, 34.727104 31.357903, 34.727104 31.351791, 34.726594 31.324797, 34.727104 31.312572, 34.727104 31.310535, 34.728632 31.30646, 34.738818 31.28405, 34.739328 31.279466, 34.739328 31.276919, 34.7378 31.272844, 34.736272 31.269788, 34.735762 31.266732, 34.736272 31.260111, 34.73729 31.255527, 34.739837 31.250943, 34.740856 31.24534, 34.740856 31.242284, 34.740346 31.240247, 34.738818 31.2377, 34.738309 31.231588, 34.738818 31.226494, 34.740346 31.22191, 34.742384 31.212233, 34.744421 31.205102, 34.74544 31.203574, 34.749005 31.202556, 34.764794 31.197972, 34.76836 31.196953, 34.770397 31.195425, 34.770397 31.192369, 34.773453 31.177089, 34.775491 31.170467, 34.777019 31.16843, 34.781093 31.166393, 34.786696 31.165883, 34.795355 31.164865, 34.800957 31.162827, 34.805541 31.160281, 34.806051 31.156715, 34.808088 31.154678, 34.813691 31.15264, 34.818784 31.150603, 34.827443 31.147547, 34.832027 31.14551, 34.83763 31.144491, 34.84476 31.143982, 34.849854 31.140926, 34.856985 31.138379, 34.860041 31.13736, 34.862587 31.13736, 34.867681 31.13736, 34.871246 31.138379, 34.873793 31.138379, 34.877358 31.138379, 34.881433 31.135832, 34.883979 31.135832, 34.886526 31.135323, 34.890092 31.135832, 34.902825 31.134814, 34.9069 31.133795, 34.909446 31.132776, 34.91403 31.132267, 34.918614 31.133795, 34.921161 31.134304, 34.925745 31.133286, 34.928801 31.132776, 34.931857 31.132776, 34.933385 31.133795, 34.935423 31.135323, 34.93746 31.135323, 34.940007 31.134304, 34.945609 31.133286, 34.948665 31.133286, 34.951721 31.132776, 34.95274 31.130739, 34.957065 31.120057, 34.95793 31.118543, 34.959011 31.118327, 34.960741 31.11876, 34.969043 31.127425, 34.975525 31.13346, 34.978207 31.135025, 34.982901 31.136366, 34.988712 31.136366, 34.994076 31.135472, 34.999664 31.132789, 35.004581 31.12966, 35.011063 31.122731, 35.013082 31.118462, 35.013544 31.113379, 35.012389 31.107835, 35.006845 31.103907, 35.000145 31.098825, 34.992521 31.090739, 34.989056 31.086812, 34.988594 31.084732, 34.988825 31.081729, 34.991828 31.077108, 34.997373 31.072257, 35.002686 31.069254, 35.005227 31.066712, 35.004996 31.064402, 35.001069 31.058857, 34.99229 31.048461, 34.991597 31.045689, 34.99229 31.043148, 34.994138 31.040606, 34.998297 31.037603, 35.0013 31.035986, 35.00361 31.036679, 35.008462 31.039913, 35.011696 31.04361, 35.016086 31.047075, 35.018627 31.048461, 35.020937 31.048461, 35.024172 31.047537, 35.027868 31.044996, 35.030409 31.043379, 35.034799 31.042686, 35.036878 31.043841, 35.038495 31.045227, 35.039881 31.045689, 35.041729 31.044996, 35.042885 31.043841, 35.045426 31.0413, 35.049815 31.038989, 35.053743 31.037834, 35.05767 31.036217, 35.060211 31.035524, 35.065063 31.034831, 35.070608 31.034138, 35.079387 31.033445, 35.085393 31.0346, 35.091631 31.035293, 35.184734 31.03922, 35.191665 31.041069, 35.196516 31.041993, 35.19952 31.04361, 35.201368 31.046151, 35.202754 31.050079, 35.206682 31.061168, 35.211533 31.067405, 35.215461 31.073181, 35.218464 31.076877, 35.220543 31.079188, 35.223084 31.080805, 35.227474 31.082422, 35.234636 31.084039, 35.24018 31.084039, 35.24919 31.08427, 35.252425 31.085194, 35.254273 31.084963, 35.257276 31.083577, 35.258662 31.082884, 35.260279 31.082884, 35.262359 31.082653, 35.265131 31.08196, 35.266286 31.081036, 35.268134 31.07965, 35.269751 31.079188, 35.272986 31.078726, 35.278761 31.078264, 35.281996 31.078033, 35.283844 31.078033, 35.285461 31.078957, 35.286616 31.07965, 35.288465 31.079881, 35.293316 31.080112, 35.299092 31.07965, 35.302326 31.079881, 35.304405 31.079881, 35.306485 31.080112, 35.309488 31.081036, 35.312029 31.081498, 35.315957 31.081267, 35.321039 31.080343, 35.324736 31.078495, 35.328432 31.075953, 35.330511 31.074336, 35.333514 31.072719, 35.336287 31.071564, 35.338597 31.071333, 35.341369 31.071564, 35.343449 31.073181, 35.344604 31.073874, 35.347145 31.074105, 35.3483 31.073412, 35.351765 31.071795, 35.355231 31.070409, 35.360775 31.069254, 35.366551 31.06833, 35.36863 31.067636, 35.369092 31.06625, 35.368861 31.064633, 35.368399 31.062323, 35.368399 31.05932, 35.369323 31.051234, 35.371169 31.043425, 35.37082 31.04151, 35.368905 31.038375, 35.366293 31.034196, 35.363855 31.029842, 35.359849 31.026534, 35.358805 31.024096, 35.358282 31.02218, 35.357412 31.019916, 35.356367 31.015737, 35.355844 31.013125, 35.353755 31.009642, 35.351665 31.005985, 35.35062 31.003721, 35.348356 31.000239, 35.34766 30.998671, 35.348008 30.997627, 35.34853 30.997104, 35.354451 30.993447, 35.361243 30.98892, 35.363332 30.987526, 35.364029 30.986482, 35.364377 30.985263, 35.364551 30.974988, 35.3649 30.973421, 35.365248 30.972899, 35.367686 30.970113, 35.368731 30.968197, 35.369079 30.966107, 35.369775 30.964366, 35.371691 30.963669, 35.375 30.963495, 35.396767 30.966456, 35.409305 30.968371, 35.419928 30.969242, 35.429505 30.970287, 35.434904 30.971854, 35.439954 30.974814, 35.44446 30.980253, 35.4461 30.984761, 35.446714 30.997054, 35.446304 31.017134, 35.445895 31.02533, 35.44528 31.029223, 35.44528 31.032911, 35.44569 31.03619, 35.446509 31.039058, 35.449378 31.044795, 35.451427 31.048074, 35.453271 31.050122, 35.4545 31.051967, 35.454705 31.053811, 35.455115 31.05545, 35.456139 31.056884, 35.458188 31.058318, 35.47499 31.06467, 35.481752 31.067539, 35.484005 31.068563, 35.486259 31.069383, 35.488923 31.069588, 35.490562 31.069383, 35.493636 31.069383, 35.498963 31.069997, 35.502446 31.070612, 35.507159 31.073071, 35.511666 31.077169, 35.519452 31.08516, 35.52396 31.090897, 35.528058 31.098683, 35.530517 31.105035, 35.531336 31.109747, 35.530722 31.114255, 35.529287 31.117124, 35.527238 31.119377, 35.525394 31.120812, 35.521706 31.123475, 35.520477 31.125115, 35.519657 31.127368, 35.519862 31.129827, 35.520682 31.131261, 35.521501 31.132081, 35.52396 31.133925, 35.52437 31.135359, 35.524575 31.137613, 35.52519 31.140482), (35.10648 32.68755, 35.106104 32.691754, 35.10444 32.695267, 35.103331 32.699149, 35.101667 32.703772, 35.101297 32.708209, 35.101297 32.712092, 35.102037 32.71579, 35.102776 32.718009, 35.102961 32.720967, 35.101482 32.725774, 35.099263 32.731321, 35.097414 32.735204, 35.095565 32.739087, 35.088169 32.751105, 35.084102 32.75998, 35.080034 32.76793, 35.078185 32.773662, 35.077076 32.77736, 35.076151 32.782167, 35.075781 32.78568, 35.076151 32.787714, 35.075966 32.789933, 35.074672 32.791967, 35.072084 32.793631, 35.06894 32.79511, 35.065058 32.797883, 35.063024 32.799732, 35.061729 32.801026, 35.060435 32.802136, 35.059326 32.802691, 35.055813 32.803245, 35.051745 32.80343, 35.048602 32.80343, 35.045644 32.80306, 35.042131 32.80306, 35.040097 32.80306, 35.038618 32.80306), (35.212359 32.647713, 35.217623 32.649543, 35.223882 32.651054, 35.229062 32.652781, 35.233378 32.655586, 35.234241 32.657961, 35.233594 32.660335, 35.231867 32.66314, 35.228198 32.665299, 35.224961 32.668104, 35.22345 32.670262, 35.221076 32.672637, 35.21935 32.675226, 35.217191 32.67609, 35.213522 32.676953, 35.210501 32.677816, 35.208127 32.67868, 35.205537 32.68019, 35.203595 32.681485, 35.20381 32.683212, 35.204458 32.684291, 35.205753 32.686018, 35.2064 32.687528, 35.2064 32.689255, 35.2064 32.691629, 35.206184 32.693787, 35.206616 32.695945, 35.208343 32.697888, 35.210285 32.698535, 35.212659 32.698319, 35.214602 32.69724, 35.217191 32.696161, 35.219997 32.694219, 35.222803 32.692492, 35.22604 32.690981, 35.22863 32.69055, 35.230788 32.69055, 35.232731 32.691845, 35.234673 32.692924, 35.2364 32.693571, 35.23791 32.693356, 35.239421 32.692708, 35.241579 32.691845, 35.243306 32.691413, 35.246112 32.691413, 35.249565 32.691629, 35.254529 32.691629, 35.256255 32.691629), (35.035408 32.615023, 35.031875 32.616287, 35.027664 32.616755, 35.024388 32.616053, 35.021815 32.614884, 35.020177 32.61465, 35.017838 32.615117, 35.015498 32.616053, 35.011755 32.616521, 35.009181 32.614884, 35.007076 32.613948, 35.004502 32.613246, 35.002163 32.613012, 34.998186 32.613012, 34.993273 32.613246, 34.989529 32.614182, 34.982745 32.615117, 34.974322 32.615819, 34.966368 32.616287, 34.960519 32.616989, 34.957244 32.616989, 34.956308 32.616053, 34.95584 32.612778, 34.955606 32.609737, 34.954904 32.606929, 34.95467 32.605291, 34.952799 32.60459, 34.950927 32.60459, 34.941803 32.606461, 34.939229 32.606695, 34.938293 32.606695, 34.937358 32.605759, 34.936422 32.601314, 34.936188 32.59991, 34.935018 32.597571, 34.932679 32.594997, 34.928467 32.592424, 34.924022 32.591488, 34.918407 32.59102, 34.912091 32.590552, 34.907178 32.590552, 34.898287 32.590318, 34.893842 32.590084, 34.888227 32.589617, 34.884952 32.588213, 34.881677 32.585639, 34.877933 32.58213, 34.874424 32.576281, 34.869745 32.566221, 34.861557 32.545867, 34.858047 32.539316, 34.855708 32.536041, 34.853602 32.532766, 34.851029 32.529256, 34.84518 32.518027, 34.841203 32.50937, 34.839097 32.506095, 34.838863 32.503756, 34.838629 32.500714, 34.837459 32.496035, 34.835822 32.492292, 34.834652 32.487379, 34.833248 32.483402, 34.832546 32.480828, 34.832546 32.477319, 34.832546 32.471938, 34.832312 32.467961, 34.832078 32.463516, 34.831377 32.459304, 34.831143 32.456497, 34.831143 32.452754, 34.831377 32.450882, 34.831377 32.435675, 34.833014 32.420702, 34.833716 32.413917, 34.834418 32.40994, 34.835588 32.405261, 34.836524 32.401284, 34.836992 32.395435, 34.836758 32.390522, 34.835354 32.385609, 34.83395 32.379058, 34.833482 32.373911, 34.832312 32.370168, 34.830675 32.367595, 34.829271 32.364319, 34.829271 32.36081, 34.830207 32.358002, 34.830675 32.354259, 34.830909 32.350984, 34.830675 32.348176, 34.829739 32.344901, 34.825528 32.328758, 34.820147 32.307468, 34.817807 32.295069, 34.815234 32.283605, 34.81383 32.277288, 34.811491 32.270972, 34.808449 32.261146, 34.806811 32.25787, 34.805876 32.255765, 34.805876 32.253191, 34.805642 32.249448, 34.804706 32.246173, 34.802834 32.242429, 34.790201 32.215291, 34.787159 32.208272, 34.782948 32.19634, 34.77242 32.167096, 34.767741 32.152591, 34.760957 32.135279, 34.760255 32.1306, 34.760021 32.126622, 34.760255 32.123347, 34.761892 32.11937, 34.764232 32.115159, 34.767039 32.112819, 34.770315 32.110012, 34.775696 32.106736, 34.779439 32.105099, 34.782703 32.103706), (34.764232 32.115159, 34.758488 32.113528, 34.752896 32.112172, 34.74849 32.110138, 34.745608 32.106749, 34.743236 32.101834, 34.741541 32.094716, 34.740694 32.089463, 34.739169 32.084039, 34.737982 32.079803, 34.736626 32.075227, 34.735949 32.072176, 34.735101 32.066753, 34.734423 32.061669, 34.733068 32.057432, 34.730864 32.053195, 34.727475 32.046247, 34.720696 32.030994, 34.706799 32.00032, 34.690191 31.965578, 34.678497 31.940666, 34.677481 31.938293, 34.676803 31.936768, 34.654263 31.895416, 34.649009 31.886095, 34.647653 31.882706, 34.646975 31.880164, 34.646806 31.876436, 34.647314 31.872877, 34.64867 31.868979, 34.652399 31.864742, 34.653415 31.863386, 34.65511 31.861522, 34.656635 31.859658, 34.657652 31.857624, 34.65833 31.854065, 34.658839 31.851354, 34.659008 31.84915, 34.659177 31.84593, 34.659177 31.844914), (34.813912 31.706539, 34.808786 31.705738, 34.803774 31.705738, 34.800366 31.705738, 34.796958 31.706138, 34.792748 31.705738, 34.789941 31.705537, 34.786734 31.705337, 34.782925 31.705136, 34.780519 31.705337, 34.778715 31.705938, 34.777512 31.707341, 34.776109 31.709346, 34.775106 31.710749, 34.773503 31.711551, 34.771297 31.711351, 34.76829 31.710148, 34.765684 31.708945, 34.762477 31.708344, 34.760071 31.708344, 34.757665 31.709146, 34.756061 31.710549, 34.754057 31.712955, 34.754257 31.715962, 34.754658 31.71957, 34.754658 31.724382, 34.755059 31.726386), (34.813912 31.706539, 34.817406 31.707542, 34.820413 31.708143, 34.82342 31.708745, 34.825224 31.708143, 34.827029 31.707341, 34.827831 31.70674, 34.829234 31.705738, 34.831239 31.705738, 34.834446 31.706539, 34.836451 31.707742, 34.838456 31.709747, 34.84046 31.71095, 34.843868 31.712353, 34.847276 31.712754, 34.850083 31.712754, 34.851887 31.712153), (35.164501 31.769107, 35.158013 31.770105, 35.152523 31.771103, 35.148531 31.774098, 35.141544 31.776593, 35.137551 31.777591, 35.132561 31.777591, 35.128069 31.777591, 35.124076 31.776094, 35.121082 31.775096, 35.118587 31.775595, 35.117589 31.77809, 35.11659 31.780086, 35.114095 31.784079, 35.112374 31.786178, 35.11086 31.78838, 35.108796 31.790719, 35.10742 31.791132, 35.105906 31.79127, 35.103567 31.790719, 35.102053 31.789343, 35.100264 31.788655, 35.09875 31.788655, 35.097236 31.789481, 35.096411 31.79127, 35.096273 31.792646, 35.09531 31.793334, 35.092832 31.793609, 35.088153 31.793196, 35.082236 31.791683, 35.077695 31.790444, 35.073979 31.790169, 35.069162 31.790169, 35.065171 31.790306, 35.060768 31.791545, 35.058291 31.791958, 35.055813 31.792233, 35.053749 31.791958, 35.052235 31.79127, 35.050171 31.791132, 35.048244 31.791545, 35.046043 31.792784, 35.042327 31.795674, 35.03985 31.797325, 35.037786 31.798426, 35.035721 31.798701, 35.033382 31.798839, 35.030629 31.799252, 35.02829 31.800628, 35.027051 31.802279, 35.024574 31.805032, 35.02196 31.807096, 35.019345 31.808747, 35.017143 31.809022, 35.013427 31.809573, 35.008473 31.810399, 35.00517 31.811362, 35.000629 31.813151, 34.995675 31.814665, 34.992647 31.815628, 34.990583 31.815766, 34.98783 31.81549, 34.984941 31.814527, 34.982051 31.813289, 34.977922 31.810949, 34.975307 31.809848, 34.973243 31.809435, 34.970766 31.809573, 34.966775 31.810949, 34.961958 31.813151, 34.957417 31.815078, 34.955353 31.815628, 34.951637 31.81549, 34.946683 31.814665, 34.94283 31.813564, 34.939802 31.813013, 34.935536 31.813151, 34.929481 31.813564, 34.92549 31.813426, 34.920398 31.813426, 34.915306 31.813289, 34.908288 31.813013, 34.900031 31.813289, 34.896728 31.813701, 34.893975 31.814802, 34.89081 31.816591, 34.885856 31.818793, 34.882828 31.820858, 34.878838 31.821683, 34.875122 31.822096, 34.871406 31.822509, 34.868241 31.823335, 34.864525 31.825399, 34.862048 31.827188, 34.860122 31.82994, 34.858125 31.833772), (34.825745 31.802897, 34.824066 31.80338, 34.821864 31.803518, 34.817736 31.802692, 34.813882 31.801316, 34.808928 31.799527, 34.802322 31.797875, 34.797231 31.796224, 34.792552 31.795261, 34.789662 31.795123, 34.787184 31.795261, 34.784295 31.796086, 34.777964 31.798426, 34.77012 31.80283, 34.766542 31.805032, 34.765166 31.806132, 34.761588 31.807371, 34.758835 31.807646, 34.754019 31.808197, 34.749753 31.809022, 34.746863 31.810536, 34.744248 31.811224, 34.740395 31.813151, 34.732963 31.818656, 34.729385 31.820858, 34.727459 31.821683, 34.725257 31.821821, 34.720715 31.821821, 34.717413 31.821133, 34.712871 31.820582, 34.710532 31.820858, 34.709844 31.82127, 34.709431 31.822784, 34.710394 31.824436, 34.712871 31.827326, 34.716174 31.830766, 34.718376 31.833518, 34.71989 31.836271, 34.720578 31.838197, 34.720302 31.839298, 34.718789 31.840399, 34.715971 31.841331, 34.713992 31.842815, 34.711518 31.844794, 34.710528 31.846773, 34.710199 31.849082, 34.710528 31.852876, 34.711353 31.85535, 34.713167 31.859143, 34.715146 31.862606, 34.71894 31.870028, 34.722073 31.874976, 34.724382 31.878439, 34.725537 31.881243, 34.725537 31.883222, 34.725866 31.885201, 34.726361 31.886685, 34.72834 31.888664, 34.729495 31.889489, 34.731309 31.891633, 34.732463 31.893447, 34.734312 31.897319, 34.735743 31.899943, 34.737175 31.902328, 34.738129 31.904475, 34.738844 31.90686, 34.738606 31.909007, 34.739083 31.911869, 34.739798 31.914016, 34.741468 31.918309, 34.742183 31.921648, 34.742183 31.923557, 34.741706 31.925703, 34.740514 31.928327, 34.738844 31.930474, 34.735982 31.93262, 34.735028 31.935006, 34.735266 31.937629, 34.736697 31.939776, 34.73789 31.9424, 34.73789 31.944785, 34.734312 31.943831, 34.731211 31.9424, 34.72978 31.939776, 34.728826 31.937391, 34.727872 31.935244, 34.725725 31.933098, 34.723579 31.932382, 34.720716 31.933098, 34.718331 31.933813, 34.715469 31.93429, 34.712607 31.934529, 34.708552 31.934052, 34.70402 31.934052, 34.698772 31.933813, 34.693525 31.934052, 34.689232 31.93429, 34.685177 31.934529, 34.683269 31.934767, 34.680406 31.935483, 34.676803 31.936768), (34.715971 31.841331, 34.713463 31.839678, 34.709554 31.839287, 34.705059 31.839091, 34.701346 31.839091, 34.697827 31.839091, 34.694114 31.838896, 34.690791 31.839091, 34.68786 31.840069, 34.685514 31.842414, 34.684537 31.845737, 34.683951 31.848277, 34.683951 31.850427, 34.684146 31.853164, 34.684146 31.856291, 34.685319 31.858441, 34.686882 31.859809, 34.689619 31.8602, 34.695482 31.860395, 34.699977 31.859613, 34.7033 31.85805, 34.706623 31.856095, 34.710528 31.852876), (34.683951 31.848277, 34.681019 31.848473, 34.678087 31.848473, 34.676719 31.848082, 34.675742 31.846714, 34.675156 31.844759, 34.675156 31.843196, 34.67496 31.841632, 34.674569 31.840069, 34.673592 31.839287, 34.671833 31.838896, 34.669683 31.839287, 34.667924 31.840264, 34.666947 31.842219, 34.667142 31.844369, 34.667924 31.845932, 34.668901 31.847496, 34.668901 31.849255, 34.669097 31.850818, 34.66851 31.8516, 34.666361 31.852186, 34.66382 31.851991, 34.658839 31.851354), (34.68786 31.840069, 34.685319 31.837723, 34.684733 31.834987, 34.684733 31.832642, 34.684928 31.830687, 34.684928 31.827951, 34.684537 31.826192, 34.683169 31.825606, 34.680824 31.825019, 34.677501 31.825019, 34.675156 31.825215, 34.673397 31.825215, 34.671638 31.825019, 34.67066 31.824237, 34.669879 31.82326, 34.66812 31.823065, 34.666751 31.823456, 34.665188 31.82326, 34.663429 31.821892, 34.66167 31.819742, 34.660106 31.817201, 34.659129 31.814856, 34.659129 31.813292))</t>
  </si>
  <si>
    <t>P3659</t>
  </si>
  <si>
    <t>https://www.gem.wiki/Arish%E2%80%93Port_Said_Gas_Pipeline</t>
  </si>
  <si>
    <t>Port Said - Arish Gas Pipeline</t>
  </si>
  <si>
    <t>GASCO Pipeline; Egypt Gas Pipeline</t>
  </si>
  <si>
    <t>https://www.youm7.com/story/2011/2/5/%D8%A8%D8%A7%D9%84%D8%B5%D9%88%D8%B1-%D8%A7%D9%84%D8%AA%D9%81%D8%A7%D8%B5%D9%8A%D9%84-%D8%A7%D9%84%D9%83%D8%A7%D9%85%D9%84%D8%A9-%D9%84%D9%85%D8%B3%D8%A7%D8%B1-%D8%AE%D8%B7%D9%89-%D8%A7%D9%84%D8%BA%D8%A7%D8%B2-%D8%A7%D9%84%D8%B9%D8%B1%D8%A8%D9%89-%D9%88%D8%A7%D9%84%D8%A5%D8%B3%D8%B1%D8%A7%D8%A6%D9%8A%D9%84%D9%89-%D8%A8%D8%B3%D9%8A%D9%86%D8%A7%D8%A1-%D9%8A%D8%A8%D8%AF%D8%A3/346711</t>
  </si>
  <si>
    <t>El Gamil</t>
  </si>
  <si>
    <t xml:space="preserve">Northern Sinai </t>
  </si>
  <si>
    <t>LINESTRING (33.889558 31.142732, 33.866196 31.136288, 33.800459 31.117276, 33.78805 31.11272, 33.763576 31.10227, 33.723186 31.088579, 33.678004 31.074203, 33.639899 31.064436, 33.61166 31.059359, 33.588873 31.055602, 33.569142 31.053013, 33.541089 31.050927, 33.508855 31.04984, 33.485692 31.048889, 33.478625 31.048606, 33.472644 31.047026, 33.467155 31.044766, 33.459226 31.041535, 33.447497 31.037325, 33.430053 31.032212, 33.410505 31.028303, 33.361784 31.026197, 33.203536 31.026195, 33.184027 31.025468, 33.171788 31.025225, 33.164638 31.023408, 33.159791 31.020378, 33.152884 31.01844, 33.144402 31.019288, 33.138828 31.02365, 33.134451 31.027652, 33.126236 31.03792, 33.114598 31.052981, 33.111927 31.058307, 33.109806 31.06325, 33.107753 31.078995, 33.106958 31.087268, 33.105014 31.096109, 33.099538 31.107063, 33.092007 31.115962, 33.081054 31.121439, 33.070101 31.121439, 33.058245 31.118774, 33.048188 31.114532, 33.039948 31.108352, 33.026012 31.098658, 33.006867 31.089207, 32.969567 31.069379, 32.934838 31.052575, 32.910752 31.040532, 32.890027 31.03129, 32.868462 31.023448, 32.846336 31.017566, 32.817769 31.010285, 32.788056 31.004376, 32.764836 31.001883, 32.74075 31.001883, 32.719465 31.002163, 32.69874 31.004403, 32.657302 31.009168, 32.629283 31.014486, 32.606643 31.023544, 32.592267 31.033128, 32.585422 31.038605, 32.577891 31.042712, 32.574109 31.044453, 32.568307 31.044766, 32.519702 31.045451, 32.512494 31.045853, 32.503531 31.048654, 32.488408 31.054536, 32.472444 31.062938, 32.462921 31.067699, 32.450878 31.069659, 32.432394 31.069939, 32.408308 31.0705, 32.381418 31.074203, 32.373203 31.075572, 32.358143 31.07968, 32.342397 31.081049, 32.334867 31.081733, 32.330075 31.083102, 32.327648 31.086183, 32.326527 31.089824, 32.319122 31.23234, 32.316383 31.244662, 32.308853 31.254931, 32.296531 31.264515, 32.280101 31.273414, 32.263471 31.278062, 32.245501 31.281228, 32.233429 31.283084, 32.225224 31.284576, 32.211159 31.28724, 32.204267 31.287732, 32.199379 31.289466, 32.189737 31.293952, 32.177415 31.298744, 32.163039 31.307643, 32.134286 31.322019, 32.113065 31.330234, 32.094581 31.339134, 32.08089 31.347349, 32.065144 31.354879, 32.045976 31.360355, 32.022016 31.367886, 31.989841 31.373362, 31.957666 31.379524, 31.917276 31.389108, 31.872779 31.398692, 31.84608 31.40143, 31.822805 31.404168, 31.802267 31.406222, 31.759139 31.411699, 31.712588 31.418544)</t>
  </si>
  <si>
    <t>P3660</t>
  </si>
  <si>
    <t>Peat Lateral</t>
  </si>
  <si>
    <t>Peat and Scotia gas fields</t>
  </si>
  <si>
    <t>LINESTRING (150.120134 -26.932247, 150.121248 -26.926625, 150.129529 -26.922388, 150.131394 -26.920338, 150.132055 -26.920426, 150.137643 -26.913306, 150.141868 -26.899268, 150.142051 -26.896736, 150.142331 -26.892827, 150.142917 -26.89067, 150.145905 -26.882866, 150.150056 -26.869877, 150.154331 -26.856548, 150.154715 -26.844919, 150.155193 -26.83256, 150.155382 -26.829368, 150.155542 -26.827257, 150.161429 -26.8095, 150.162338 -26.806669, 150.163581 -26.79438, 150.166704 -26.787725, 150.164877 -26.786616, 150.172688 -26.769924, 150.175088 -26.767873, 150.163761 -26.752531, 150.162129 -26.75136, 150.158101 -26.748729, 150.154963 -26.746906, 150.152935 -26.745721, 150.153107 -26.742908, 150.153698 -26.740105, 150.154506 -26.735484, 150.155027 -26.732803, 150.156752 -26.722975, 150.157277 -26.712383, 150.157475 -26.708196, 150.159069 -26.70377, 150.15921 -26.695937, 150.152638 -26.6898, 150.152404 -26.689563, 150.151439 -26.683211, 150.151467 -26.682939, 150.15323 -26.675239, 150.153583 -26.672972, 150.157891 -26.64618, 150.1589 -26.639764, 150.159255 -26.638662, 150.161636 -26.62412, 150.164809 -26.607641, 150.168953 -26.604286, 150.167804 -26.599289, 150.160379 -26.591013, 150.149353 -26.568706, 150.148506 -26.567498, 150.147863 -26.566597, 150.148006 -26.565358, 150.147052 -26.562961, 150.146278 -26.561364, 150.145775 -26.559627, 150.143028 -26.552508, 150.141794 -26.545464, 150.140619 -26.539657, 150.140113 -26.536135, 150.140308 -26.535001, 150.134726 -26.50856, 150.134277 -26.50614, 150.134223 -26.505827, 150.144835 -26.439457, 150.145133 -26.439063, 150.148067 -26.436383, 150.147996 -26.434988, 150.148008 -26.432642, 150.147694 -26.432265, 150.146657 -26.431402, 150.145619 -26.429749, 150.144437 -26.396715, 150.145012 -26.396509, 150.148698 -26.395574, 150.148769 -26.395459, 150.156035 -26.35014, 150.155565 -26.349609, 150.158506 -26.331095, 150.120893 -26.289971, 150.121363 -26.287021, 150.120689 -26.284679, 150.120264 -26.279986, 150.120808 -26.278759, 150.1222 -26.263308, 150.12119 -26.259532, 150.124004 -26.249964, 150.116085 -26.240369, 150.119709 -26.23497, 150.113728 -26.224459, 150.113694 -26.217537, 150.111118 -26.215143, 150.110875 -26.213412, 150.110173 -26.212719, 150.107791 -26.175554, 150.106976 -26.162176, 150.107101 -26.155461, 150.107694 -26.146099, 150.104776 -26.135038, 150.104169 -26.119341, 150.1033 -26.11101, 150.101862 -26.080103, 150.099854 -26.051113, 150.090433 -26.043181, 150.094798 -26.03984, 150.094486 -26.038825, 150.094693 -26.033112, 150.092659 -26.032531, 150.093261 -26.009351, 150.096187 -26.002755, 150.088537 -26.001791, 150.094405 -25.96231, 150.090084 -25.958479, 150.075354 -25.94543, 150.07322 -25.944515)</t>
  </si>
  <si>
    <t>P3661</t>
  </si>
  <si>
    <t>Nifty Gas Lateral</t>
  </si>
  <si>
    <t>LINESTRING (121.853422 -21.50219, 121.85201 -21.506172, 121.845427 -21.518988, 121.838472 -21.532495, 121.838109 -21.532991, 121.820571 -21.556077, 121.818583 -21.559834, 121.811786 -21.568004, 121.799644 -21.578561, 121.798027 -21.580726, 121.785368 -21.582245, 121.778758 -21.584393, 121.776081 -21.585953, 121.772489 -21.592018, 121.770204 -21.594614, 121.769448 -21.595175, 121.769178 -21.595593, 121.768648 -21.596421, 121.7612 -21.607997, 121.740513 -21.617284, 121.737372 -21.619717, 121.722606 -21.625728, 121.721979 -21.628634, 121.719772 -21.634591, 121.718164 -21.640299, 121.716223 -21.64722, 121.713443 -21.653299, 121.710531 -21.663015, 121.710429 -21.670344, 121.711322 -21.678313, 121.718545 -21.686446, 121.718836 -21.68764, 121.717687 -21.696783, 121.713018 -21.708989, 121.712264 -21.710077, 121.710375 -21.710523, 121.699673 -21.706336, 121.681944 -21.700203, 121.636058 -21.68692, 121.634796 -21.687219, 121.609624 -21.681235, 121.592789 -21.674332, 121.57934 -21.670071, 121.579141 -21.669987, 121.578232 -21.669584, 121.578073 -21.669671)</t>
  </si>
  <si>
    <t>P3662</t>
  </si>
  <si>
    <t>https://www.gem.wiki/Neerabup_Pipeline</t>
  </si>
  <si>
    <t>Neerabup Pipeline</t>
  </si>
  <si>
    <t>LINESTRING (115.956742 -31.556791, 115.948918 -31.556701, 115.943715 -31.556036, 115.940647 -31.555509, 115.937973 -31.554773, 115.936468 -31.554391, 115.900734 -31.554361, 115.839092 -31.554295, 115.812531 -31.554272, 115.812423 -31.554368, 115.812389 -31.555843, 115.812909 -31.557314, 115.812839 -31.558189, 115.812843 -31.558251, 115.812956 -31.558543, 115.813529 -31.559292, 115.813784 -31.562642, 115.813133 -31.566235, 115.811112 -31.568062, 115.810372 -31.56831, 115.808983 -31.569075, 115.807021 -31.570649, 115.805051 -31.573595, 115.803644 -31.575005, 115.802547 -31.575588, 115.80125 -31.576613, 115.800781 -31.577275, 115.80055 -31.577723, 115.799979 -31.57882, 115.799076 -31.580124, 115.796867 -31.583297, 115.79577 -31.584492, 115.794117 -31.585918, 115.780396 -31.589331, 115.780153 -31.609612, 115.775419 -31.611501, 115.774341 -31.612545, 115.788816 -31.625096, 115.79678 -31.633996, 115.797484 -31.633609, 115.798663 -31.635171, 115.798992 -31.636513, 115.799257 -31.63879, 115.798499 -31.638964, 115.800855 -31.660037, 115.801045 -31.660863, 115.801357 -31.661651, 115.80229 -31.663412, 115.80324 -31.665205, 115.803616 -31.666237, 115.803913 -31.666845, 115.804409 -31.667512, 115.805428 -31.668698, 115.806188 -31.669645, 115.80619 -31.669781, 115.802719 -31.66982, 115.802594 -31.669989, 115.80293 -31.671405, 115.802998 -31.671849)</t>
  </si>
  <si>
    <t>P3663</t>
  </si>
  <si>
    <t>https://www.gem.wiki/Commonwealth_LNG_Pipeline</t>
  </si>
  <si>
    <t>Commonwealth LNG Pipeline</t>
  </si>
  <si>
    <t>P3664</t>
  </si>
  <si>
    <t>https://www.gem.wiki/Lake_Charles_LNG_Pipeline</t>
  </si>
  <si>
    <t>Lake Charles LNG Pipeline</t>
  </si>
  <si>
    <t>Pipeline Modifications Project</t>
  </si>
  <si>
    <t>Trunkline Gas Company LLC [100.00%]</t>
  </si>
  <si>
    <t>24, 42</t>
  </si>
  <si>
    <t>P3665</t>
  </si>
  <si>
    <t>https://www.gem.wiki/West_Delta_LNG_Pipeline</t>
  </si>
  <si>
    <t>West Delta LNG Pipeline</t>
  </si>
  <si>
    <t>P3666</t>
  </si>
  <si>
    <t>https://www.gem.wiki/Freeport_LNG_Terminal_Pipeline</t>
  </si>
  <si>
    <t>Freeport LNG Terminal Pipeline</t>
  </si>
  <si>
    <t>P3667</t>
  </si>
  <si>
    <t>Texas LNG Terminal</t>
  </si>
  <si>
    <t>P3669</t>
  </si>
  <si>
    <t>Appalachian Connector</t>
  </si>
  <si>
    <t>Western Marcellus Pipeline</t>
  </si>
  <si>
    <t>LINESTRING (-80.747731 39.98468, -80.688961 39.661713, -80.677441 39.362496, -80.713332 38.353906, -80.717512 38.024414, -80.696724 37.924938, -80.584351 37.734885, -80.47649 37.634952, -79.966662 37.313228, -79.745788 37.233225, -79.596698 37.141028, -79.368965 36.911793)</t>
  </si>
  <si>
    <t>P3682</t>
  </si>
  <si>
    <t>Midland Lateral Extension</t>
  </si>
  <si>
    <t>P3683</t>
  </si>
  <si>
    <t>Midland Lateral</t>
  </si>
  <si>
    <t>MULTILINESTRING ((-101.835111 31.861558, -101.805463 31.830969, -101.756102 31.819234), (-101.756102 31.819234, -101.750881 31.805222, -101.808083 31.750507, -101.814423 31.721615, -101.795678 31.636889, -101.795663 31.490458), (-101.724358 31.906523, -101.720883 31.828175, -101.756102 31.819234), (-101.795663 31.490458, -101.799095 31.39204, -101.786731 31.365887, -101.807383 31.178393), (-101.855967 31.481952, -101.795663 31.490458))</t>
  </si>
  <si>
    <t>P3714</t>
  </si>
  <si>
    <t>https://www.gem.wiki/Vladimir_Filanovsky_Gas_Pipeline</t>
  </si>
  <si>
    <t>Vladimir Filanovsky Gas Pipeline</t>
  </si>
  <si>
    <t>PJSC Lukoil [100.00%]</t>
  </si>
  <si>
    <t>PJSC Lukoil [unknown %]</t>
  </si>
  <si>
    <t>P3724</t>
  </si>
  <si>
    <t>AB Amber Grid [200.00%]</t>
  </si>
  <si>
    <t>EPSO-G [96.60%]; Other [3.40%]</t>
  </si>
  <si>
    <t>P3725</t>
  </si>
  <si>
    <t>P3854</t>
  </si>
  <si>
    <t>https://www.gem.wiki/Batangas_LNG_Terminal_Pipeline</t>
  </si>
  <si>
    <t>Batangas LNG Terminal Pipeline</t>
  </si>
  <si>
    <t>First Gen [80.00%]; Tokyo Gas [20.00%]</t>
  </si>
  <si>
    <t>P3855</t>
  </si>
  <si>
    <t>https://www.gem.wiki/Mozambique_LNG_Gas_Pipeline</t>
  </si>
  <si>
    <t>Mozambique LNG Gas Pipeline</t>
  </si>
  <si>
    <t>TotalEnergies SE [26.50%]; Mitsui Group [20.00%]; ENH [15.00%]; BPCL Group [10.00%]; India Ministry of Petroleum and Natural Gas [10.00%]; Oil and Natural Gas Corporation Limited [10.00%]; PTT Exploration and Production [8.50%]</t>
  </si>
  <si>
    <t>P3856</t>
  </si>
  <si>
    <t>Delta Lateral</t>
  </si>
  <si>
    <t>Dth/d</t>
  </si>
  <si>
    <t>Holden</t>
  </si>
  <si>
    <t>P3882</t>
  </si>
  <si>
    <t>https://www.gem.wiki/Matterhorn_Express_Gas_Pipeline</t>
  </si>
  <si>
    <t>Matterhorn Express Gas Pipeline</t>
  </si>
  <si>
    <t>Devon Energy Corporation [unknown %]; EnLink Midstream [unknown %]; MPLX [unknown %]; WhiteWater Midstream [unknown %]</t>
  </si>
  <si>
    <t>Devon Energy Corporation [unknown %]; EnLink Midstream [unknown %]; Marathon Petroleum [unknown %]; WhiteWater Midstream [unknown %]</t>
  </si>
  <si>
    <t>LINESTRING (-103.103260115343 31.29751125381856, -95.82466550116673 29.785681644785328)</t>
  </si>
  <si>
    <t>P3884</t>
  </si>
  <si>
    <t>P3885</t>
  </si>
  <si>
    <t>https://www.gem.wiki/Warrior_Gas_Pipeline</t>
  </si>
  <si>
    <t>Warrior Gas Pipeline</t>
  </si>
  <si>
    <t>P3886</t>
  </si>
  <si>
    <t>P3887</t>
  </si>
  <si>
    <t>Mainline Capacity Expansion</t>
  </si>
  <si>
    <t>P3891</t>
  </si>
  <si>
    <t>https://www.gem.wiki/Minor_Duct_Line_12_Inches</t>
  </si>
  <si>
    <t>Minor Duct Line 12 Inches</t>
  </si>
  <si>
    <t>Ducto Menor Linea 12 Plg</t>
  </si>
  <si>
    <t>https://www.gem.wiki/Ducto_Menor_Linea_12_Plg</t>
  </si>
  <si>
    <t>P3893</t>
  </si>
  <si>
    <t>https://www.gem.wiki/Paldiski_FSRU_Pipeline</t>
  </si>
  <si>
    <t>Paldiski FSRU Pipeline</t>
  </si>
  <si>
    <t>P3894</t>
  </si>
  <si>
    <t>Russia, China</t>
  </si>
  <si>
    <t>Expansion II: Capacity Upgrade</t>
  </si>
  <si>
    <t>Сахалин-Хабаровск-Владивосток</t>
  </si>
  <si>
    <t>P3895</t>
  </si>
  <si>
    <t>Expansion II: Pipeline Extension</t>
  </si>
  <si>
    <t>P3896</t>
  </si>
  <si>
    <t>https://www.gem.wiki/Kysyl-Syr-Amga-Ayan_Gas_Pipeline</t>
  </si>
  <si>
    <t>Kysyl-Syr-Amga-Ayan Gas Pipeline</t>
  </si>
  <si>
    <t>Globaltec LLC [unknown %]; Yatek PJSC [unknown %]</t>
  </si>
  <si>
    <t>A-Property [unknown %]; Zhejiang Provincial Energy Group Co Ltd [unknown %]</t>
  </si>
  <si>
    <t>Srednevilyuiskoye, Mastakhskoye, Tolonskoye, Tymtaidakhskoye gas condensate fields, and other licensed areas of YATEK PJSC</t>
  </si>
  <si>
    <t xml:space="preserve">Vilyuysky District </t>
  </si>
  <si>
    <t>Sakha Republic</t>
  </si>
  <si>
    <t>Ayan</t>
  </si>
  <si>
    <t>Кысыл-Сыр-Амга-Аян</t>
  </si>
  <si>
    <t>P3897</t>
  </si>
  <si>
    <t>https://www.gem.wiki/Hassi_R%27Mel-Skikda_Gas_Pipeline</t>
  </si>
  <si>
    <t>Hassi R'Mel-Skikda II Gas Pipeline</t>
  </si>
  <si>
    <t xml:space="preserve">GK2 </t>
  </si>
  <si>
    <t>https://www.offshore-technology.com/marketdata/rhourd-ennous-hassi-r-mel-i-gas-pipeline-algeria/https://sonatrach.com/transport-par-canalisations</t>
  </si>
  <si>
    <t xml:space="preserve">Hassi R'Mel </t>
  </si>
  <si>
    <t>LINESTRING (3.283 32.972, 6.947 36.88)</t>
  </si>
  <si>
    <t>P3898</t>
  </si>
  <si>
    <t>Pipeline I</t>
  </si>
  <si>
    <t>GZ1</t>
  </si>
  <si>
    <t>https://www.google.com/url?q=https://sonatrach.com/wp-content/uploads/2022/01/DESCRIPTION-DU-RESEAU-DE-TRANSPORT-PAR-CANALISATION-DES-HYDROCARBURES-TARIF-DE-TRANSPORT-ANNEE-2022.pdf&amp;sa=D&amp;source=editors&amp;ust=1657221422209511&amp;usg=AOvVaw1u4qi4TRdpkerfHLOzQmQb</t>
  </si>
  <si>
    <t>P3899</t>
  </si>
  <si>
    <t>Pipeline II</t>
  </si>
  <si>
    <t>GZ2</t>
  </si>
  <si>
    <t>P3900</t>
  </si>
  <si>
    <t>Pipeline III</t>
  </si>
  <si>
    <t>GZ3/RGZ3</t>
  </si>
  <si>
    <t>P3901</t>
  </si>
  <si>
    <t>Pipeline IV</t>
  </si>
  <si>
    <t>https://sonatrach.com/wp-content/uploads/2022/01/DESCRIPTION-DU-RESEAU-DE-TRANSPORT-PAR-CANALISATION-DES-HYDROCARBURES-TARIF-DE-TRANSPORT-ANNEE-2022.pdf,https://www.offshore-technology.com/marketdata/hassi-rmel-arzew-gas-iv-gas-pipeline-algeria/</t>
  </si>
  <si>
    <t>P3902</t>
  </si>
  <si>
    <t>https://www.gem.wiki/Medjedel-Bordj_M%C3%A9nail_Gas_Pipeline</t>
  </si>
  <si>
    <t>Medjedel-Bordj Ménail Gas Pipeline</t>
  </si>
  <si>
    <t>RGG1</t>
  </si>
  <si>
    <t xml:space="preserve">Medjedel </t>
  </si>
  <si>
    <t>M'Sila</t>
  </si>
  <si>
    <t>Bordj Ménail</t>
  </si>
  <si>
    <t>انبوب غاز مجدل- برج منايل</t>
  </si>
  <si>
    <t>LINESTRING (3.6353 35.0331, 3.723056 36.741667)</t>
  </si>
  <si>
    <t>P3903</t>
  </si>
  <si>
    <t>https://www.gem.wiki/Hassi_R%27Mel-El_Aricha_gas_pipeline</t>
  </si>
  <si>
    <t>Hassi R'Mel-El Aricha Gas Pipeline</t>
  </si>
  <si>
    <t xml:space="preserve">GPDF </t>
  </si>
  <si>
    <t xml:space="preserve"> انبوب غاز  حاسي رمل- العريشة</t>
  </si>
  <si>
    <t>LINESTRING (3.331794904 32.34731415, -1.2648 34.481)</t>
  </si>
  <si>
    <t>P3904</t>
  </si>
  <si>
    <t>https://www.gem.wiki/Tiguentourine/Hassi-Kifaf_Gas_Pipeline</t>
  </si>
  <si>
    <t>Tiguentourine/Hassi-Kifaf Gas Pipeline</t>
  </si>
  <si>
    <t>https://jazairhope.org/en/illizi-tiguentourine-hassi-kifaf-gas-pipeline-commissioned/</t>
  </si>
  <si>
    <t xml:space="preserve"> انبوب غاز تقنتورين-حاسي كيفاف</t>
  </si>
  <si>
    <t>P3905</t>
  </si>
  <si>
    <t>https://www.gem.wiki/Dandewala-Gamnewala-RSEB_Ramgarh_Gas_Pipeline</t>
  </si>
  <si>
    <t>Dandewala-Gamnewala-RSEB Ramgarh Gas Pipeline</t>
  </si>
  <si>
    <t>Dandewala</t>
  </si>
  <si>
    <t>LINESTRING (73.61274304318808 28.29842319573359, 70.50701 27.38168)</t>
  </si>
  <si>
    <t>P3906</t>
  </si>
  <si>
    <t>https://www.gem.wiki/Haridwar-Rishikesh-Dehradun_Gas_Pipeline</t>
  </si>
  <si>
    <t>Haridwar-Rishikesh-Dehradun Gas Pipeline</t>
  </si>
  <si>
    <t>Haridwar</t>
  </si>
  <si>
    <t xml:space="preserve">Uttarakhand </t>
  </si>
  <si>
    <t>Dehradun</t>
  </si>
  <si>
    <t>Uttarakhand</t>
  </si>
  <si>
    <t>LINESTRING (78.06854458857303 29.96006775326741, 78.05970406001093 30.319779047308096)</t>
  </si>
  <si>
    <t>P3908</t>
  </si>
  <si>
    <t>Osijek-Vukovar</t>
  </si>
  <si>
    <t>Osijek</t>
  </si>
  <si>
    <t>Slavonia</t>
  </si>
  <si>
    <t>LINESTRING (18.7378406 45.54176, 18.7545029 45.533489, 18.7530645 45.524019, 18.7785975 45.490215, 18.7865091 45.479546, 18.8283448 45.455931, 18.8422219 45.44159, 18.8654993 45.426754, 18.8818701 45.410383, 18.8972178 45.395035, 18.9036127 45.37892, 18.9084728 45.373548, 18.9151234 45.368433, 18.9161466 45.363317, 18.9171698 45.357178, 18.9274016 45.347969, 18.9378892 45.352062, 18.9534926 45.353596)</t>
  </si>
  <si>
    <t>P3909</t>
  </si>
  <si>
    <t>https://www.gem.wiki/Jamnagar_to_Dwarka_Gas_Pipeline</t>
  </si>
  <si>
    <t>Jamnagar to Dwarka Gas Pipeline</t>
  </si>
  <si>
    <t>Dwarka</t>
  </si>
  <si>
    <t>LINESTRING (70.04467776601201 22.493031604313636, 68.96295612173061 22.25537302904554)</t>
  </si>
  <si>
    <t>P3910</t>
  </si>
  <si>
    <t>https://www.gem.wiki/Chhara_to_Lonhtpur_Gas_Pipeline</t>
  </si>
  <si>
    <t>Chhara to Lonhtpur Gas Pipeline</t>
  </si>
  <si>
    <t xml:space="preserve">Chhara </t>
  </si>
  <si>
    <t>Lonhtpur</t>
  </si>
  <si>
    <t>Amreli</t>
  </si>
  <si>
    <t>LINESTRING (70.74343496190302 20.734410805682238, 71.22183967814296 21.669568743089386)</t>
  </si>
  <si>
    <t>P3911</t>
  </si>
  <si>
    <t>https://www.gem.wiki/Swan_LNG_Terminal_to_Hadala_Gas_Pipeline</t>
  </si>
  <si>
    <t>Swan LNG Terminal to Hadala Gas Pipeline</t>
  </si>
  <si>
    <t>Hadala</t>
  </si>
  <si>
    <t>LINESTRING (71.3667 20.8667, 70.76290726951738 22.442605455604305)</t>
  </si>
  <si>
    <t>P3912</t>
  </si>
  <si>
    <t>https://www.gem.wiki/Swan_LNG_Terminal_to_Dahej_LNG_Terminal_Gas_Pipeline</t>
  </si>
  <si>
    <t>Swan LNG Terminal to Dahej LNG Terminal Gas Pipeline</t>
  </si>
  <si>
    <t xml:space="preserve">Dahej </t>
  </si>
  <si>
    <t>LINESTRING (71.3667 20.8667, 72.536 21.6746)</t>
  </si>
  <si>
    <t>P3913</t>
  </si>
  <si>
    <t>https://www.gem.wiki/Bhatinda_-_Gurdaspur_Gas_Pipeline</t>
  </si>
  <si>
    <t>Bhatinda-Gurdaspur Gas Pipeline</t>
  </si>
  <si>
    <t>Gurdaspur</t>
  </si>
  <si>
    <t>LINESTRING (74.91954542108631 30.249094208246976, 75.42128950611638 32.06069384352522)</t>
  </si>
  <si>
    <t>P3914</t>
  </si>
  <si>
    <t>https://www.gem.wiki/Wilhelmshaven_LNG_Terminal_Pipeline</t>
  </si>
  <si>
    <t>Wilhelmshaven LNG Terminal Pipeline</t>
  </si>
  <si>
    <t>Open Grid Europe [400.00%]</t>
  </si>
  <si>
    <t>LINESTRING (8.133762415713916 53.57850066671449, 8.004451633141155 53.491274117821035, 7.885453980466836 53.46814076317929)</t>
  </si>
  <si>
    <t>P3915</t>
  </si>
  <si>
    <t>P3916</t>
  </si>
  <si>
    <t>Evroni-Negotino</t>
  </si>
  <si>
    <t>Gevgelija</t>
  </si>
  <si>
    <t>Negotino</t>
  </si>
  <si>
    <t>LINESTRING (22.498669776846285 41.14507728226009, 22.09272779824554 41.48237767886512)</t>
  </si>
  <si>
    <t>P3917</t>
  </si>
  <si>
    <t>https://www.gem.wiki/Khulna-Gopalgonj-Tekerhat_Gas_Transmission_Pipeline</t>
  </si>
  <si>
    <t>Khulna-Gopalgonj-Tekerhat Gas Transmission Pipeline</t>
  </si>
  <si>
    <t>Gopalgonj</t>
  </si>
  <si>
    <t>LINESTRING (89.49610667435584 22.896848511397998, 90.01419421153174 23.239275165634623)</t>
  </si>
  <si>
    <t>P3918</t>
  </si>
  <si>
    <t>https://www.gem.wiki/Payra-Barishal_Gas_Transmission_Pipeline</t>
  </si>
  <si>
    <t>Payra-Barishal Gas Transmission Pipeline</t>
  </si>
  <si>
    <t>Payra</t>
  </si>
  <si>
    <t>LINESTRING (90.27790896284154 21.98967843039942, 90.32770578823788 22.727354047098284)</t>
  </si>
  <si>
    <t>P3919</t>
  </si>
  <si>
    <t>https://www.gem.wiki/Bhola-Barishal_Gas_Transmission_Pipeline</t>
  </si>
  <si>
    <t xml:space="preserve">Bhola-Barishal Gas Transmission Pipeline </t>
  </si>
  <si>
    <t>LINESTRING (90.48552014589413 22.694522662260816, 90.35334088630917 22.706558290567592)</t>
  </si>
  <si>
    <t>P3920</t>
  </si>
  <si>
    <t>https://www.gem.wiki/Bakhrabad-Meghnaghat-Haripur_Gas_Transmission_Pipeline</t>
  </si>
  <si>
    <t>Bakhrabad-Meghnaghat-Haripur Gas Transmission Pipeline</t>
  </si>
  <si>
    <t xml:space="preserve">Haripur </t>
  </si>
  <si>
    <t>LINESTRING (90.92126577408621 23.503947044456773, 91.15644185932177 23.556199805641633)</t>
  </si>
  <si>
    <t>P3921</t>
  </si>
  <si>
    <t>https://www.gem.wiki/Southeast_Gateway_Gas_Pipeline</t>
  </si>
  <si>
    <t>Southeast Gateway Gas Pipeline</t>
  </si>
  <si>
    <t>TC Energía [85.00%]; Comisión Federal de Electricidad [15.00%]</t>
  </si>
  <si>
    <t>TC Energy [85.00%]; Comisión Federal de Electricidad [15.00%]</t>
  </si>
  <si>
    <t>Dos Bocas</t>
  </si>
  <si>
    <t>Gasoducto Southeast Gateway</t>
  </si>
  <si>
    <t>https://www.gem.wiki/Gasoducto_Southeast_Gateway</t>
  </si>
  <si>
    <t>MULTILINESTRING ((-97.380431 20.986512, -96.949746 21.21255111, -95.874131 19.650826, -94.35874 18.515492, -94.406895 18.119088), (-94.35874 18.515492, -93.198535 18.473399, -93.195856 18.432288))</t>
  </si>
  <si>
    <t>P3922</t>
  </si>
  <si>
    <t>https://www.gem.wiki/Sheberghan-Mazar-i-Sharif_Gas_Pipeline</t>
  </si>
  <si>
    <t>Sheberghan-Mazar-i-Sharif Gas Pipeline</t>
  </si>
  <si>
    <t>Sheberghan gas fields</t>
  </si>
  <si>
    <t>Sheberghan</t>
  </si>
  <si>
    <t>Jowzjan</t>
  </si>
  <si>
    <t>Mazar-i-Sharif</t>
  </si>
  <si>
    <t>Balkh</t>
  </si>
  <si>
    <t>LINESTRING (65.72639232078538 36.68286138336696, 66.18582516136111 36.85364290571017, 67.11558142534234 36.71219295591082)</t>
  </si>
  <si>
    <t>P3923</t>
  </si>
  <si>
    <t>https://www.gem.wiki/Ilizi-Hassi-Kifaf_Gas_Pipeline</t>
  </si>
  <si>
    <t>Ilizi-Hassi-Kifaf Gas Pipeline</t>
  </si>
  <si>
    <t>انبوب غاز  إليزي-حاسي كيفاف</t>
  </si>
  <si>
    <t>P3924</t>
  </si>
  <si>
    <t>https://www.gem.wiki/GR-4_Gas_Pipeline</t>
  </si>
  <si>
    <t>GR-4 Gas Pipeline</t>
  </si>
  <si>
    <t xml:space="preserve">انبوب الغاز (جي أر 4), خط أنابيب رورد النوس - حاسي الرمل </t>
  </si>
  <si>
    <t>P3928</t>
  </si>
  <si>
    <t>https://www.gem.wiki/Nubaria%E2%80%93Sadat_Gas_Pipeline</t>
  </si>
  <si>
    <t>Nubaria–Sadat Gas Pipeline</t>
  </si>
  <si>
    <t>Egyptian Natural Gas Holding Company  [100.00%]</t>
  </si>
  <si>
    <t xml:space="preserve">El Sadat </t>
  </si>
  <si>
    <t>Monufia</t>
  </si>
  <si>
    <t>خط غاز النوبارية - السادات</t>
  </si>
  <si>
    <t>LINESTRING (30.0667 30.66667, 30.5266 30.3811)</t>
  </si>
  <si>
    <t>P3929</t>
  </si>
  <si>
    <t>https://www.gem.wiki/El_Wasta%E2%80%93Beni_Suef_Gas_Pipeline</t>
  </si>
  <si>
    <t>El Wasta–Beni Suef Gas Pipeline</t>
  </si>
  <si>
    <t>El Wasta</t>
  </si>
  <si>
    <t>خط غاز الواسطي - بني سويف</t>
  </si>
  <si>
    <t>LINESTRING (31.203611 29.337222, 31.083333 29.066667)</t>
  </si>
  <si>
    <t>P3930</t>
  </si>
  <si>
    <t>https://www.gem.wiki/New_Administrative_Capital%E2%80%93Dahshur_Gas_Pipeline</t>
  </si>
  <si>
    <t>New Administrative Capital–Dahshur Gas Pipeline</t>
  </si>
  <si>
    <t>https://egy-map.com/project/%D8%A5%D9%86%D8%B4%D8%A7%D8%A1-%D8%AE%D8%B7-%D8%BA%D8%A7%D8%B2-%D8%A7%D9%84%D8%B9%D8%A7%D8%B5%D9%85%D8%A9-%D8%A7%D9%84%D8%AC%D8%AF%D9%8A%D8%AF%D8%A9---%D8%AF%D9%87%D8%B4%D9%88%D8%B1-%28-%D8%B3%D9%8A%D9%85%D9%8A%D9%86%D8%B2-%29</t>
  </si>
  <si>
    <t>خط غاز العاصمة الجديدة - دهشور</t>
  </si>
  <si>
    <t>LINESTRING (31.7545438 29.9082594, 31.208056 29.806389)</t>
  </si>
  <si>
    <t>P3931</t>
  </si>
  <si>
    <t>https://www.gem.wiki/Amriya%E2%80%93El_Alamein_Gas_Pipeline</t>
  </si>
  <si>
    <t>Amriya–El Alamein Gas Pipeline</t>
  </si>
  <si>
    <t>https://www.petroleum.gov.eg/ar-eg/gas-and-petrol/distribution-marketing-transporting/Documents/2020%D8%AE%D8%B7%D9%88%D8%B7_%D8%A7%D9%84%D8%B4%D8%A8%D9%83%D8%A9_%D8%A7%D9%84%D9%82%D9%88%D9%85%D9%8A%D8%A9_%D9%84%D9%84%D8%BA%D8%A7%D8%B2%D8%A7%D8%AA_%D8%A7%D9%84%D8%B7%D8%A8%D9%8A%D8%B9%D9%8A%D8%A9.pdf</t>
  </si>
  <si>
    <t>Amriya</t>
  </si>
  <si>
    <t>El Alamein</t>
  </si>
  <si>
    <t>خط غاز العامرية - العلمين</t>
  </si>
  <si>
    <t>LINESTRING (29.814974 31.006512, 29.5516 30.901, 28.855278 30.857222)</t>
  </si>
  <si>
    <t>P3932</t>
  </si>
  <si>
    <t>https://www.gem.wiki/Nooros%E2%80%93Abu_Madi%E2%80%93El_Gamil_Gas_Pipline</t>
  </si>
  <si>
    <t>Nooros–Abu Madi–El Gamil Gas Pipline</t>
  </si>
  <si>
    <t xml:space="preserve"> https://alborsaanews.com/2019/11/20/1267422, https://www.enppi.com/ar/projects-ar/%D9%85%D8%B4%D8%B1%D9%88%D8%B9-%D8%AE%D8%B7-%D8%A3%D9%86%D8%A7%D8%A8%D9%8A%D8%A8-%D9%86%D9%88%D8%B1%D8%B3-%D8%A7%D9%84%D8%AC%D9%85%D9%8A%D9%84/, http://www.petrojet.com.eg/project-details/30?lang=en</t>
  </si>
  <si>
    <t xml:space="preserve">Noors </t>
  </si>
  <si>
    <t>Belkas</t>
  </si>
  <si>
    <t>Dakahlia</t>
  </si>
  <si>
    <t>خط أنابيب "نورس – أبو ماضي- الجميل"</t>
  </si>
  <si>
    <t>LINESTRING (31.078333 31.558889, 31.3667 31.2333, 32.144692 31.249136)</t>
  </si>
  <si>
    <t>P3933</t>
  </si>
  <si>
    <t>Türkiye, Bulgaria, Romania</t>
  </si>
  <si>
    <t>https://www.gem.wiki/Trans-Balkan_Pipeline</t>
  </si>
  <si>
    <t>Trans-Balkan Gas Pipeline</t>
  </si>
  <si>
    <t>General Petroleum Company (GPC) [100.00%]</t>
  </si>
  <si>
    <t>Istanbul</t>
  </si>
  <si>
    <t>Tulcea</t>
  </si>
  <si>
    <t>LINESTRING (28.74355672693765 41.04572331461772, 27.791479142110344 41.4961071752509, 26.517852855106945 42.60152334266807, 26.88738739827785 42.80519428501746, 27.312352122924384 43.27782676042346, 28.328572116644363 43.43903376476859, 28.71658338697381 44.76575706837478, 28.58724629686399 45.17099362548806)</t>
  </si>
  <si>
    <t>P3934</t>
  </si>
  <si>
    <t>https://www.gem.wiki/Tarek%E2%80%93Ameryia_Gas_Pipeline</t>
  </si>
  <si>
    <t>Tarek–Ameryia Gas Pipeline</t>
  </si>
  <si>
    <t>Western Desert</t>
  </si>
  <si>
    <t>Ameryia</t>
  </si>
  <si>
    <t xml:space="preserve">Alexandria </t>
  </si>
  <si>
    <t>P3935</t>
  </si>
  <si>
    <t>https://www.gem.wiki/Salam%E2%80%93Matruh_Terminal_Gas_Pipeline</t>
  </si>
  <si>
    <t>Salam–Matruh Terminal Gas Pipeline</t>
  </si>
  <si>
    <t>https://egyptoil-gas.com/wp-content/uploads/2020/03/The-Western-Desert-Egypt%E2%80%99s-Giant-Petroleum-Reservoir-.pdf</t>
  </si>
  <si>
    <t xml:space="preserve">Salam </t>
  </si>
  <si>
    <t xml:space="preserve">Matruh Terminal </t>
  </si>
  <si>
    <t>LINESTRING (28.000111 27.000111, 27.222222 31.325)</t>
  </si>
  <si>
    <t>P3936</t>
  </si>
  <si>
    <t>https://www.gem.wiki/BED/AS%E2%80%93Ameryia_Gas_Pipeline</t>
  </si>
  <si>
    <t>BED/AS–Ameryia Gas Pipeline</t>
  </si>
  <si>
    <t xml:space="preserve">Abu Sennan </t>
  </si>
  <si>
    <t>Westren Desert</t>
  </si>
  <si>
    <t>LINESTRING (28.7517 29.7708, 29.814974 31.006512)</t>
  </si>
  <si>
    <t>P3937</t>
  </si>
  <si>
    <t>https://www.gem.wiki/Badr_El_Din_Spur_Gas_Pipelines</t>
  </si>
  <si>
    <t>Badr El Din Spur Gas Pipelines</t>
  </si>
  <si>
    <t>Badr El Din Spur (1)</t>
  </si>
  <si>
    <t>Badr El Din Field</t>
  </si>
  <si>
    <t>Abu Sennan</t>
  </si>
  <si>
    <t xml:space="preserve">Western Desert </t>
  </si>
  <si>
    <t xml:space="preserve">Matruh </t>
  </si>
  <si>
    <t>P3938</t>
  </si>
  <si>
    <t>Badr El Din Spur (2)</t>
  </si>
  <si>
    <t>P3939</t>
  </si>
  <si>
    <t>https://www.gem.wiki/Abu_Gharadig%E2%80%93Dahshour_(1)_Gas_Pipeline</t>
  </si>
  <si>
    <t>Abu Gharadig–Dahshour (1) Gas Pipeline</t>
  </si>
  <si>
    <t>Abu Gharadig</t>
  </si>
  <si>
    <t xml:space="preserve">Westren Desert </t>
  </si>
  <si>
    <t>خط غاز أبو الغراديق – دهشور</t>
  </si>
  <si>
    <t>LINESTRING (28.166667 30.083333, 31.208056 29.806389)</t>
  </si>
  <si>
    <t>P3940</t>
  </si>
  <si>
    <t>LINESTRING (-62.658756 -36.85316, -61.07707 -32.86922)</t>
  </si>
  <si>
    <t>P3941</t>
  </si>
  <si>
    <t>https://www.gem.wiki/Lewin_Brzeski-Nysa_Pipeline</t>
  </si>
  <si>
    <t>Lewin Brzeski-Nysa Pipeline</t>
  </si>
  <si>
    <t>500, 150, 100</t>
  </si>
  <si>
    <t>Lewin Brzeski</t>
  </si>
  <si>
    <t>Opolskie Voivodeship</t>
  </si>
  <si>
    <t>Nysa</t>
  </si>
  <si>
    <t>MULTILINESTRING ((17.61683712380357 50.74675805936722, 17.60297957899473 50.731410931917004, 17.526763082546115 50.72336995309384, 17.45458837000008 50.64837629290552, 17.429760268884248 50.64325040172223, 17.43842123438977 50.6395887085067, 17.382991055154417 50.59599265772262, 17.332907511040524 50.48886680212315), (17.43842123438977 50.6395887085067, 17.384351021541388 50.67448935534059, 17.38680071251762 50.68432039105279, 17.36557005739028 50.686907163434924, 17.366386621049024 50.70501057714047, 17.384351021541388 50.70966461129196))</t>
  </si>
  <si>
    <t>P3942</t>
  </si>
  <si>
    <t>Northern Lights 2021 Expansion Project</t>
  </si>
  <si>
    <t>12, 24</t>
  </si>
  <si>
    <t>P3943</t>
  </si>
  <si>
    <t>Northern Lights 2023 Expansion Project</t>
  </si>
  <si>
    <t>8, 20, 24, 30, 36</t>
  </si>
  <si>
    <t>P3944</t>
  </si>
  <si>
    <t>https://www.gem.wiki/Zhanazhol-Aktobe_Gas_Pipeline</t>
  </si>
  <si>
    <t>Zhanazhol-Aktobe Gas Pipeline</t>
  </si>
  <si>
    <t>QazaqGaz [100.00%]</t>
  </si>
  <si>
    <t>Samruk-Kazyna SWF JSC [100.00%]</t>
  </si>
  <si>
    <t>Zhanazhol</t>
  </si>
  <si>
    <t>Магистральный газопровод «Жанажол-Актобе»</t>
  </si>
  <si>
    <t>LINESTRING (57.4417 48.3175, 57.167 50.2839)</t>
  </si>
  <si>
    <t>P3945</t>
  </si>
  <si>
    <t>https://www.gem.wiki/Zhanazhol-KS13_Gas_Pipeline</t>
  </si>
  <si>
    <t>Zhanazhol-KS13 Gas Pipeline</t>
  </si>
  <si>
    <t>Taldyk</t>
  </si>
  <si>
    <t>Магистральный газопровод «Жанажол-КС 13»</t>
  </si>
  <si>
    <t>LINESTRING (57.4417 48.3175, 59.86077 49.07757)</t>
  </si>
  <si>
    <t>P3946</t>
  </si>
  <si>
    <t>https://www.gem.wiki/Kozhasai-KS12_Gas_Pipeline</t>
  </si>
  <si>
    <t>Kozhasai-KS12 Gas Pipeline</t>
  </si>
  <si>
    <t>Kozhasai</t>
  </si>
  <si>
    <t>KS12</t>
  </si>
  <si>
    <t>Магистральный газопровод «Кожасай-КС 12»</t>
  </si>
  <si>
    <t>LINESTRING (57.21974 48.20406, 59.61886 47.83133)</t>
  </si>
  <si>
    <t>P3947</t>
  </si>
  <si>
    <t>https://www.gem.wiki/Karachaganak-Uralsk_Gas_Pipeline</t>
  </si>
  <si>
    <t>Karachaganak-Uralsk Gas Pipeline</t>
  </si>
  <si>
    <t>Karachaganak</t>
  </si>
  <si>
    <t>Uralsk</t>
  </si>
  <si>
    <t>Магистральный газопровод «Карачаганак Уральск»</t>
  </si>
  <si>
    <t>LINESTRING (53.38823 51.45233, 51.48616 51.30723)</t>
  </si>
  <si>
    <t>P3948</t>
  </si>
  <si>
    <t>https://www.gem.wiki/Zhanaozen-Zhetybay-Aktau_Gas_Pipeline</t>
  </si>
  <si>
    <t>Zhanaozen-Zhetibay-Aktau Gas Pipeline</t>
  </si>
  <si>
    <t>326, 529, 530, 720</t>
  </si>
  <si>
    <t>Uzen</t>
  </si>
  <si>
    <t>Aktau</t>
  </si>
  <si>
    <t>Магистральный газопровод «Жанаозен-Жетыбай-Актау»/ «Узень-Жетыбай-Актау»</t>
  </si>
  <si>
    <t>LINESTRING (52.84349 43.35762, 52.17066 43.54285, 51.19745 43.6588)</t>
  </si>
  <si>
    <t>P3949</t>
  </si>
  <si>
    <t>https://www.gem.wiki/Siri%E2%80%93Asaluyeh_Gas_Pipeline</t>
  </si>
  <si>
    <t>Siri–Asaluyeh Gas Pipeline</t>
  </si>
  <si>
    <t>National Iranian Oil Company [100.00%]</t>
  </si>
  <si>
    <t>Siri Island</t>
  </si>
  <si>
    <t xml:space="preserve">Asaluyeh </t>
  </si>
  <si>
    <t>LINESTRING (54.5273 25.9143, 52.6146 27.4721)</t>
  </si>
  <si>
    <t>P3950</t>
  </si>
  <si>
    <t>https://www.gem.wiki/Salman%E2%80%93Siri_Gas_Pipeline</t>
  </si>
  <si>
    <t>Salman–Siri Gas Pipeline</t>
  </si>
  <si>
    <t>Salman Oil &amp;Gas Field</t>
  </si>
  <si>
    <t>Lavan Island</t>
  </si>
  <si>
    <t>LINESTRING (53.36684 26.800085, 54.5273 25.9143)</t>
  </si>
  <si>
    <t>P3951</t>
  </si>
  <si>
    <t>https://www.gem.wiki/Siri%E2%80%93Mobarak_Gas_Pipeline</t>
  </si>
  <si>
    <t>Siri–Mobarak Gas Pipeline</t>
  </si>
  <si>
    <t>Mobarak</t>
  </si>
  <si>
    <t>LINESTRING (54.5273 25.9143, 57.347288 25.843336)</t>
  </si>
  <si>
    <t>P3955</t>
  </si>
  <si>
    <t>https://www.gem.wiki/Kartaly-Rudny-Kostanai_Gas_Pipeline</t>
  </si>
  <si>
    <t>Kartaly-Rudny-Kostanai Gas Pipeline</t>
  </si>
  <si>
    <t>QazaqGaz [unknown %]</t>
  </si>
  <si>
    <t>Samruk-Kazyna SWF JSC [unknown %]</t>
  </si>
  <si>
    <t>700, 800</t>
  </si>
  <si>
    <t>unclear, could be Kazakhstani Karachaganak or Russian gas</t>
  </si>
  <si>
    <t>Kartaly</t>
  </si>
  <si>
    <t>Kostanai</t>
  </si>
  <si>
    <t>«Қарталы-Рудный-Қостанай» газ құбыры</t>
  </si>
  <si>
    <t>LINESTRING (60.63884 53.0533, 63.11283 52.97184, 63.63542 53.2198)</t>
  </si>
  <si>
    <t>P3956</t>
  </si>
  <si>
    <t>Kazakhstan, Uzbekistan</t>
  </si>
  <si>
    <t>https://www.gem.wiki/Gazli-Shymkent_Gas_Pipeline</t>
  </si>
  <si>
    <t>Gazli-Shymkent Gas Pipeline</t>
  </si>
  <si>
    <t>Gazly-Shymkent Gas Pipeline</t>
  </si>
  <si>
    <t>Магистральный газопровод «Газли-Шымкент»</t>
  </si>
  <si>
    <t>LINESTRING (63.4567 40.12745, 69.5901 42.34168)</t>
  </si>
  <si>
    <t>P3957</t>
  </si>
  <si>
    <t>https://www.gem.wiki/IGAT_1_Gas_Pipeline</t>
  </si>
  <si>
    <t>IGAT 1 Gas Pipeline</t>
  </si>
  <si>
    <t>Gilan</t>
  </si>
  <si>
    <t>LINESTRING (48.694 31.3273, 49.589 37.2774)</t>
  </si>
  <si>
    <t>P3958</t>
  </si>
  <si>
    <t>https://www.gem.wiki/Barents_Stream_Pipeline</t>
  </si>
  <si>
    <t>Barents Stream Pipeline</t>
  </si>
  <si>
    <t>Askeladd Field</t>
  </si>
  <si>
    <t>LINESTRING (19.807783 71.6045, 6.799053 65.106686)</t>
  </si>
  <si>
    <t>P3959</t>
  </si>
  <si>
    <t>https://www.gem.wiki/Cyprus-Turkey_Gas_Pipeline</t>
  </si>
  <si>
    <t>Vasilikos-Girne</t>
  </si>
  <si>
    <t>LINESTRING (33.315547326748835 35.33546960467277, 33.30989680897755 34.709981209290554)</t>
  </si>
  <si>
    <t>P3961</t>
  </si>
  <si>
    <t>https://www.gem.wiki/Madrakah%E2%80%93Al_Hawiyah_Gas_Pipeline</t>
  </si>
  <si>
    <t>Madrakah–Al Hawiyah Gas Pipeline</t>
  </si>
  <si>
    <t>Saudi Aramco [100.00%]</t>
  </si>
  <si>
    <t>Madrakah</t>
  </si>
  <si>
    <t>خط أنابيب التدفق الحر</t>
  </si>
  <si>
    <t>LINESTRING (39.9875 21.979722, 40.4975 21.441111)</t>
  </si>
  <si>
    <t>P3962</t>
  </si>
  <si>
    <t>https://www.gem.wiki/East%E2%80%93West_Gas_Pipeline_(Saudi_Arabia)</t>
  </si>
  <si>
    <t>East–West Gas Pipeline (Saudi Arabia)</t>
  </si>
  <si>
    <t>Abqaiq-Yanbu Gas Pipeline</t>
  </si>
  <si>
    <t>Al Nakheel</t>
  </si>
  <si>
    <t>خط أنابيب شرق-غرب</t>
  </si>
  <si>
    <t>LINESTRING (49.666111 25.935, 38.058194 24.088264)</t>
  </si>
  <si>
    <t>P3963</t>
  </si>
  <si>
    <t>https://www.gem.wiki/Amangeldy-KS5_Gas_Pipeline</t>
  </si>
  <si>
    <t>Amangeldy-KS5 Gas Pipeline</t>
  </si>
  <si>
    <t>Amangeldy</t>
  </si>
  <si>
    <t>KS5</t>
  </si>
  <si>
    <t>Taraz</t>
  </si>
  <si>
    <t>МГ «Амангельды-КС-5»</t>
  </si>
  <si>
    <t>LINESTRING (71.09717 43.70926, 71.39798 42.89837)</t>
  </si>
  <si>
    <t>P3964</t>
  </si>
  <si>
    <t>https://www.gem.wiki/Almaty-Taldykorgan_Gas_Pipeline</t>
  </si>
  <si>
    <t>Almaty-Taldykorgan Gas Pipeline</t>
  </si>
  <si>
    <t>Taldykorgan</t>
  </si>
  <si>
    <t>МГ «Алматы-Талдыкорган»</t>
  </si>
  <si>
    <t>LINESTRING (76.85124 43.22201, 78.38044 45.01771)</t>
  </si>
  <si>
    <t>P3965</t>
  </si>
  <si>
    <t>https://www.gem.wiki/Akshabulak-Kyzylorda_Gas_Pipeline</t>
  </si>
  <si>
    <t>Akshabulak-Kyzylorda Gas Pipeline</t>
  </si>
  <si>
    <t>Akshabulak</t>
  </si>
  <si>
    <t>Kyzylorda</t>
  </si>
  <si>
    <t>LINESTRING (65.71553 45.95635, 65.48226 44.84883)</t>
  </si>
  <si>
    <t>P3966</t>
  </si>
  <si>
    <t>East–West Gas Pipeline</t>
  </si>
  <si>
    <t xml:space="preserve">Expansion </t>
  </si>
  <si>
    <t>LINESTRING (38.244 23.97, 38.536 24.319, 39.134 24.291, 39.263 24.209, 39.585 24.171, 41.343 24.198, 43.589 24.355, 46.3 24.823, 46.812 24.674, 48.826 25.459, 49.03 25.542, 49.391 25.554, 49.64 25.922)</t>
  </si>
  <si>
    <t>P3967</t>
  </si>
  <si>
    <t>https://www.gem.wiki/Hungary-Austria_Interconnector_Gas_Pipeline</t>
  </si>
  <si>
    <t>Hungary-Austria Interconnector Gas Pipeline</t>
  </si>
  <si>
    <t>Austrian segment</t>
  </si>
  <si>
    <t>HAG</t>
  </si>
  <si>
    <t>Deutsch-Jahrndorf</t>
  </si>
  <si>
    <t>LINESTRING (16.875434753813963 48.30509935772989, 16.92761981196556 48.140411008875354, 17.11164080650013 47.99725238182634)</t>
  </si>
  <si>
    <t>P3968</t>
  </si>
  <si>
    <t>Austria, Hungary</t>
  </si>
  <si>
    <t>Hungarian Segment</t>
  </si>
  <si>
    <t>Mosonmagyarovar</t>
  </si>
  <si>
    <t>LINESTRING (17.11164080650013 47.99725238182634, 17.30258584300213 47.800319421928585, 17.619093528554814 47.64007248334957, 17.68108987933317 47.633476447456324, 17.805082580889895 47.688417971966885, 18.272233338785068 47.71718184226142, 18.469987224141455 47.73196274327818, 18.634782128605114 47.58767002423322, 18.802323614809833 47.652466082200974, 19.10994076980866 47.51722908215314)</t>
  </si>
  <si>
    <t>P3969</t>
  </si>
  <si>
    <t>Texas LNG Lateral Extension</t>
  </si>
  <si>
    <t>P3970</t>
  </si>
  <si>
    <t>Austria–Slovenia Interconnector Gas Pipeline</t>
  </si>
  <si>
    <t>Gas Connect Austria GmbH [unknown %]; Plinovodi d.o.o. [unknown %]</t>
  </si>
  <si>
    <t>Allianz [unknown %]; Other [unknown %]; SDH [unknown %]; Snam [unknown %]; Verbund [unknown %]</t>
  </si>
  <si>
    <t>LINESTRING (15.4688343627675 46.893970212618946, 15.476305753776504 46.87815444907477, 15.540163781156181 46.83636532785966, 15.567629599384004 46.81240409453456, 15.573122763029565 46.770093510786445, 15.651400344978846 46.73386805250243, 15.671999708649713 46.70656526516292)</t>
  </si>
  <si>
    <t>P3971</t>
  </si>
  <si>
    <t>https://www.gem.wiki/Zam%27yany-Bugrinskoye_Gas_Pipeline</t>
  </si>
  <si>
    <t>Zam'yany-Bugrinskoye Gas Pipeline</t>
  </si>
  <si>
    <t>Makat-North Caucasus pipeline</t>
  </si>
  <si>
    <t>Zam'yany compressor station</t>
  </si>
  <si>
    <t>Yenotayevsky District</t>
  </si>
  <si>
    <t>Astrakhan Oblast</t>
  </si>
  <si>
    <t>Bugrinskoye</t>
  </si>
  <si>
    <t>Газопровод-отвод с. Замьяны – ГСП «Бугринское» Енотаевского района Астраханской области</t>
  </si>
  <si>
    <t>LINESTRING (47.543492693100575 46.87783472526694, 46.681920091194435 47.59981570716185)</t>
  </si>
  <si>
    <t>P3972</t>
  </si>
  <si>
    <t>https://www.gem.wiki/Kharabali-Akhtubinsk_2-Akhtubinsk_1_Gas_Pipeline</t>
  </si>
  <si>
    <t>Kharabali-Akhtubinsk 2-Akhtubinsk 1 Gas Pipeline</t>
  </si>
  <si>
    <t xml:space="preserve">530, 325, 219, 159, 108
</t>
  </si>
  <si>
    <t>Kharabali gas distribution station</t>
  </si>
  <si>
    <t>Kharabalinsky District</t>
  </si>
  <si>
    <t>Akhtubinsk 1 gas distribution station</t>
  </si>
  <si>
    <t>Akhtubinsky District</t>
  </si>
  <si>
    <t>Газопровод-отвод – Харабали – Ахтубинск-2 – Ахтубинск-1 Харабалинского и Ахтубинского районов Астраханской области</t>
  </si>
  <si>
    <t>LINESTRING (47.25910931853844 47.41322030437161, 46.20431697614011 48.29363540964536)</t>
  </si>
  <si>
    <t>P3973</t>
  </si>
  <si>
    <t>https://www.gem.wiki/Puchezh-Yuryevets_Gas_Pipeline</t>
  </si>
  <si>
    <t>Puchezh-Yuryevets Gas Pipeline</t>
  </si>
  <si>
    <t>Puchezh gas distribution station</t>
  </si>
  <si>
    <t>Puchezhsky District</t>
  </si>
  <si>
    <t>Ivanovo Oblast</t>
  </si>
  <si>
    <t>Yuryevets gas distribution station</t>
  </si>
  <si>
    <t>Yuryevetsky District</t>
  </si>
  <si>
    <t>Газопровод-отвод Пучеж - ГРС «Юрьевец» Юрьевецкого района Ивановской области</t>
  </si>
  <si>
    <t>LINESTRING (43.17210960145473 56.98246851024064, 42.99701130728828 57.11912938846987, 42.956272678101406 57.2185211737888, 43.111048163139515 57.318013648216336)</t>
  </si>
  <si>
    <t>P3974</t>
  </si>
  <si>
    <t>https://www.gem.wiki/Palekh-Lukh_Gas_Pipeline</t>
  </si>
  <si>
    <t>Palekh-Lukh Gas Pipeline</t>
  </si>
  <si>
    <t>Palekh gas distribution station</t>
  </si>
  <si>
    <t>Palekhsky District</t>
  </si>
  <si>
    <t>Lukh gas distribution station</t>
  </si>
  <si>
    <t>Lukhsky District</t>
  </si>
  <si>
    <t>Газопровод-отвод Палех - ГРС «Лух» Ивановской области</t>
  </si>
  <si>
    <t>LINESTRING (41.86292809475648 56.79640672734285, 42.259766328193855 57.01250636039939)</t>
  </si>
  <si>
    <t>P3975</t>
  </si>
  <si>
    <t>https://www.gem.wiki/Mishkino-Yurgamysh-Kurgan_Gas_Pipeline</t>
  </si>
  <si>
    <t>Mishkino-Yurgamysh-Kurgan Gas Pipeline</t>
  </si>
  <si>
    <t>Mishkino</t>
  </si>
  <si>
    <t>Mishkinsky District</t>
  </si>
  <si>
    <t>Kurgan Oblast</t>
  </si>
  <si>
    <t>Kurgan</t>
  </si>
  <si>
    <t>Газопровод-отвод Мишкино – Юргамыш – Курган с отводом на Куртамыш</t>
  </si>
  <si>
    <t>LINESTRING (63.90218625067551 55.35243850157899, 64.46674364648167 55.37113849309845, 65.35251063606599 55.416722079520305)</t>
  </si>
  <si>
    <t>P3976</t>
  </si>
  <si>
    <t>Yurgamysh-Kurtamysh segment</t>
  </si>
  <si>
    <t>Yurgamysh</t>
  </si>
  <si>
    <t>Yurgamyshsky District</t>
  </si>
  <si>
    <t>Kurtamysh</t>
  </si>
  <si>
    <t>Kurtamyshsky District</t>
  </si>
  <si>
    <t>отвод на Куртамыш</t>
  </si>
  <si>
    <t>LINESTRING (64.46674364648167 55.37113849309845, 64.43203345740983 54.91152206856615)</t>
  </si>
  <si>
    <t>P3977</t>
  </si>
  <si>
    <t>https://www.gem.wiki/Shumikha-Almenevo_Gas_Pipelinee</t>
  </si>
  <si>
    <t>Shumikha-Almenevo Gas Pipeline</t>
  </si>
  <si>
    <t>Shumikha</t>
  </si>
  <si>
    <t>Shumikhinsky District</t>
  </si>
  <si>
    <t>Almenevo</t>
  </si>
  <si>
    <t>Almenevsky District</t>
  </si>
  <si>
    <t>Газопровод-отвод Шумиха-50 - ГРС «Альменево» Курганской области</t>
  </si>
  <si>
    <t>LINESTRING (63.29368005031329 55.229515677341624, 63.58414680471431 54.942895459093236)</t>
  </si>
  <si>
    <t>P3978</t>
  </si>
  <si>
    <t>https://www.gem.wiki/Vargashi-Lebyazhye_Gas_Pipeline</t>
  </si>
  <si>
    <t>Vargashi-Lebyazhye Gas Pipeline</t>
  </si>
  <si>
    <t>Vargashi</t>
  </si>
  <si>
    <t>Vargashinsky District</t>
  </si>
  <si>
    <t>Lebyazhye</t>
  </si>
  <si>
    <t>Lebyazhyevsky District</t>
  </si>
  <si>
    <t>Газопровод-отвод Варгаши - ГРС «Лебяжье» Курганской области</t>
  </si>
  <si>
    <t>LINESTRING (65.80915897516802 55.37632850982406, 66.49082166606621 55.273419024628616)</t>
  </si>
  <si>
    <t>P3979</t>
  </si>
  <si>
    <t>https://www.gem.wiki/Lebyazhye-Makushino_Gas_Pipelinee</t>
  </si>
  <si>
    <t>Lebyazhye-Makushino Gas Pipeline</t>
  </si>
  <si>
    <t>Makushino</t>
  </si>
  <si>
    <t>Makushinsky District</t>
  </si>
  <si>
    <t>Газопровод-отвод ГРС «Лебяжье» - ГРС «Макушино» Курганской области</t>
  </si>
  <si>
    <t>LINESTRING (66.49082166606621 55.273419024628616, 67.24865556455116 55.20460262115738)</t>
  </si>
  <si>
    <t>P3980</t>
  </si>
  <si>
    <t>https://www.gem.wiki/Andreevskaya-Ingaly-Bolsherechenskaya_Gas_Pipeline</t>
  </si>
  <si>
    <t>Andreevskaya-Ingaly-Bolsherechenskaya Gas Pipeline</t>
  </si>
  <si>
    <t>Andreevka</t>
  </si>
  <si>
    <t>Bolsherechye</t>
  </si>
  <si>
    <t>Bolsherechensky District</t>
  </si>
  <si>
    <t>Газопровод-отвод от ГРС «Андреевская» до ГРС «Ингалы» и ГРС «Большереченская»</t>
  </si>
  <si>
    <t>LINESTRING (73.82946073824517 55.71635982424566, 74.6297758241341 56.090727794541785)</t>
  </si>
  <si>
    <t>P3981</t>
  </si>
  <si>
    <t>https://www.gem.wiki/Bolsherechenskaya-Tarskaya_Gas_Pipeline</t>
  </si>
  <si>
    <t>Bolsherechenskaya-Tarskaya Gas Pipeline</t>
  </si>
  <si>
    <t>Tara</t>
  </si>
  <si>
    <t>Tarskiy District</t>
  </si>
  <si>
    <t>Газопровод-отвод от ГРС «Большереченская» до ГРС «Тарская» Тарского района Омской области</t>
  </si>
  <si>
    <t>LINESTRING (74.6297758241341 56.090727794541785, 74.36995897443025 56.907571614220586)</t>
  </si>
  <si>
    <t>P3982</t>
  </si>
  <si>
    <t>https://www.gem.wiki/Tyukalinsk-Valuevskaya-Nalimovskaya-Nazyvaevsk_Gas_Pipelinee</t>
  </si>
  <si>
    <t>Tyukalinsk-Valuevskaya-Nalimovskaya-Nazyvaevsk Gas Pipeline</t>
  </si>
  <si>
    <t>Tyukalinsk</t>
  </si>
  <si>
    <t>Nazyvaevsk</t>
  </si>
  <si>
    <t>Газопровод-отвод ГРС «Тюкалинск» - ГРС «Валуевская» - ГРС «Налимовская» - ГРС «Называевск»</t>
  </si>
  <si>
    <t>LINESTRING (72.19172693443909 55.863836536889174, 72.0206042598171 55.6954500065373, 71.82366121457083 55.63808099291176, 71.37776437112807 55.56547149889709)</t>
  </si>
  <si>
    <t>P3983</t>
  </si>
  <si>
    <t>Segment IV</t>
  </si>
  <si>
    <t>Uztransgaz [100.00%]</t>
  </si>
  <si>
    <t>Government of Uzbekistan [100.00%]</t>
  </si>
  <si>
    <t>P3984</t>
  </si>
  <si>
    <t>Segment III</t>
  </si>
  <si>
    <t>P3985</t>
  </si>
  <si>
    <t>https://www.gem.wiki/Mellitah-BU-Attifel_Gas_Pipeline</t>
  </si>
  <si>
    <t>Mellitah-BU-Attifel Gas Pipeline</t>
  </si>
  <si>
    <t xml:space="preserve">  Mellitah Port</t>
  </si>
  <si>
    <t>P3987</t>
  </si>
  <si>
    <t>https://www.gem.wiki/Intisar%E2%80%93Sarir_Gas_Pipeline</t>
  </si>
  <si>
    <t>Intisar–Sarir Gas Pipeline</t>
  </si>
  <si>
    <t>Intisar Oil field</t>
  </si>
  <si>
    <t>Sarir field</t>
  </si>
  <si>
    <t xml:space="preserve">Cyrenaica </t>
  </si>
  <si>
    <t>خط غاز انتصار– السرير</t>
  </si>
  <si>
    <t>LINESTRING (20.77713405899289 29.043247083185996, 19.13 28.22)</t>
  </si>
  <si>
    <t>P3988</t>
  </si>
  <si>
    <t>https://www.gem.wiki/Fargh%E2%80%93Sarir_Gas_Pipeline</t>
  </si>
  <si>
    <t xml:space="preserve">Fargh–Sarir Gas Pipeline </t>
  </si>
  <si>
    <t>Libyan National Oil Corporation [59.18%]; ConocoPhillips [16.33%]; Hess Corporation [8.16%]; TotalEnergies SE [unknown %]</t>
  </si>
  <si>
    <t>Libyan National Oil Corporation [59.18%]; ConocoPhillips [16.33%]; Hess Corporation [unknown %]; TotalEnergies SE [unknown %]</t>
  </si>
  <si>
    <t xml:space="preserve">  خط غاز الفارغ -السرير</t>
  </si>
  <si>
    <t>P3990</t>
  </si>
  <si>
    <t>https://www.gem.wiki/CS-12-Ust-Vym-Chasovo-Zelenets-Syktyvkar_Gas_Pipeline</t>
  </si>
  <si>
    <t>CS-12-Ust-Vym-Chasovo-Zelenets-Syktyvkar Gas Pipeline</t>
  </si>
  <si>
    <t>Ust-Vym</t>
  </si>
  <si>
    <t>Ust-Vymsky District</t>
  </si>
  <si>
    <t>Syktyvkar</t>
  </si>
  <si>
    <t>Syktyvdinsky District</t>
  </si>
  <si>
    <t>КС-12 - Усть-Вымь - Часово - Зеленец - Сыктывкар - Выльгорт; Газопровод-отвод и ГРС-2 Эжва Республика Коми</t>
  </si>
  <si>
    <t>LINESTRING (50.38380764694176 62.29908734057338, 50.658729492502005 62.014969402586615, 50.75008959070648 61.94857185497359, 50.78125339688975 61.648697213738565)</t>
  </si>
  <si>
    <t>P3991</t>
  </si>
  <si>
    <t>https://www.gem.wiki/Vylgort-Pazhga_Gas_Pipeline</t>
  </si>
  <si>
    <t>Vylgort-Pazhga Gas Pipeline</t>
  </si>
  <si>
    <t>Vylgort</t>
  </si>
  <si>
    <t>Pazhga</t>
  </si>
  <si>
    <t>Выльгорт - Пажга; Газопровод-отвод к ГРС «Пажга»</t>
  </si>
  <si>
    <t>LINESTRING (50.58178492205961 61.55150920649731, 50.579391279966565 61.39031342951018)</t>
  </si>
  <si>
    <t>P3992</t>
  </si>
  <si>
    <t>https://www.gem.wiki/Pazhga-Vizinga_Gas_Pipeline</t>
  </si>
  <si>
    <t>Pazhga-Vizinga Gas Pipeline</t>
  </si>
  <si>
    <t>Vizinga</t>
  </si>
  <si>
    <t>Газопровод-отвод ГРС Пажга - ГРС «Визинга»</t>
  </si>
  <si>
    <t>LINESTRING (50.579391279966565 61.39031342951018, 50.080783349110995 61.0659328537891)</t>
  </si>
  <si>
    <t>P3993</t>
  </si>
  <si>
    <t>Canacol Energy [100.00%]</t>
  </si>
  <si>
    <t>Mariquita</t>
  </si>
  <si>
    <t>Tolima</t>
  </si>
  <si>
    <t>Etapa 2</t>
  </si>
  <si>
    <t>LINESTRING (-75.580185 6.249318, -74.893101 5.197068)</t>
  </si>
  <si>
    <t>P3994</t>
  </si>
  <si>
    <t>Bogotá</t>
  </si>
  <si>
    <t>Cundinamarca</t>
  </si>
  <si>
    <t>Etapa 3</t>
  </si>
  <si>
    <t>LINESTRING (-74.893101 5.197068, -74.084475 4.605508)</t>
  </si>
  <si>
    <t>P3995</t>
  </si>
  <si>
    <t>https://www.gem.wiki/Addison_Natural_Gas_Pipeline</t>
  </si>
  <si>
    <t>Addison Natural Gas Pipeline</t>
  </si>
  <si>
    <t>Vermont Gas [100.00%]</t>
  </si>
  <si>
    <t>P3996</t>
  </si>
  <si>
    <t>https://www.gem.wiki/Zaterechny_Gas_Distribution_Station_Gas_Pipeline</t>
  </si>
  <si>
    <t>Zaterechny Gas Distribution Station Gas Pipeline</t>
  </si>
  <si>
    <t xml:space="preserve">South of Zaterechny gas distribution station </t>
  </si>
  <si>
    <t>Neftekumsky District</t>
  </si>
  <si>
    <t xml:space="preserve">Zaterechny gas distribution station </t>
  </si>
  <si>
    <t>Газопровод-отвод и АГРС «Затеречный» Нефтекумского городского округа Ставропольского края</t>
  </si>
  <si>
    <t>LINESTRING (45.1789611671423 44.73089423469437, 45.16426302166344 44.792352492694)</t>
  </si>
  <si>
    <t>P3997</t>
  </si>
  <si>
    <t>Connecting segment</t>
  </si>
  <si>
    <t>Zaterechny</t>
  </si>
  <si>
    <t>Подводящий газопровод от АГРС «Затеречный» к межпоселковому газопроводу на п. Затеречный Нефтекумского городского округа Ставропольского края</t>
  </si>
  <si>
    <t>LINESTRING (45.16426302166344 44.792352492694, 45.216643257302664 44.789114417556235)</t>
  </si>
  <si>
    <t>P3998</t>
  </si>
  <si>
    <t>https://www.gem.wiki/Zaterechny-Velichaevskoe_Gas_Pipelinee</t>
  </si>
  <si>
    <t>Zaterechny-Velichaevskoe Gas Pipeline</t>
  </si>
  <si>
    <t>Velichaevskoe</t>
  </si>
  <si>
    <t>Подводящий газопровод от АГРС «Затеречный» к межпоселковому газопроводу на с. Величаевское Левокумского района Ставропольского края</t>
  </si>
  <si>
    <t>LINESTRING (45.16426302166344 44.792352492694, 45.13198996378743 44.946675861293556)</t>
  </si>
  <si>
    <t>P3999</t>
  </si>
  <si>
    <t>Makat–North Caucasus looping project</t>
  </si>
  <si>
    <t>P4000</t>
  </si>
  <si>
    <t>https://www.gem.wiki/Augusta_Gas_Pipeline</t>
  </si>
  <si>
    <t>Augusta Gas Pipeline</t>
  </si>
  <si>
    <t>m3/h</t>
  </si>
  <si>
    <t>Wertingen</t>
  </si>
  <si>
    <t>Kotz</t>
  </si>
  <si>
    <t>LINESTRING (10.680610172497046 48.561386399739455, 10.64696454189481 48.5636585178386, 10.568686952330424 48.52547338669835, 10.508948791873392 48.51364834048541, 10.370933041851975 48.481342806021814, 10.280295832882684 48.42168278090197, 10.273429377657738 48.40664286590514)</t>
  </si>
  <si>
    <t>P4006</t>
  </si>
  <si>
    <t>https://www.gem.wiki/Qatargas_Ras_Laffan_Gas_Pipelines</t>
  </si>
  <si>
    <t>Qatargas Ras Laffan Gas Pipelines</t>
  </si>
  <si>
    <t>RL Pipeline 1</t>
  </si>
  <si>
    <t>P4007</t>
  </si>
  <si>
    <t>RL(2) Pipeline 1</t>
  </si>
  <si>
    <t>P4008</t>
  </si>
  <si>
    <t>https://www.gem.wiki/PS_Offshore_Gas_Pipelines</t>
  </si>
  <si>
    <t>PS Offshore Gas Pipelines</t>
  </si>
  <si>
    <t>PS-2 Offshore/PS-1 Offshore Gas Pipeline</t>
  </si>
  <si>
    <t xml:space="preserve">  انبوب غاز راس لفان (2)</t>
  </si>
  <si>
    <t>P4009</t>
  </si>
  <si>
    <t>PS-3 Offshore/PS-1 Offshore Gas Pipeline</t>
  </si>
  <si>
    <t>P4010</t>
  </si>
  <si>
    <t>Pipeline 2</t>
  </si>
  <si>
    <t>P4012</t>
  </si>
  <si>
    <t>Burmakino-Rybinsk Segment</t>
  </si>
  <si>
    <t>Mitino</t>
  </si>
  <si>
    <t>Yermakovo</t>
  </si>
  <si>
    <t>Реконструкция магистрального газопровода «Горький – Череповец» на участке ГИС «Бурмакино – Рыбинск-1»</t>
  </si>
  <si>
    <t>LINESTRING (40.27075549963855 57.334992272792505, 38.97319018629751 58.01810593744541)</t>
  </si>
  <si>
    <t>P4013</t>
  </si>
  <si>
    <t>https://www.gem.wiki/Borok-Breytovo_Gas_Pipeline</t>
  </si>
  <si>
    <t>Borok-Breytovo Gas Pipeline</t>
  </si>
  <si>
    <t>Borok</t>
  </si>
  <si>
    <t xml:space="preserve">Breytovo </t>
  </si>
  <si>
    <t>Газопровод-отвод Борок - ГРС «Брейтово»</t>
  </si>
  <si>
    <t>LINESTRING (38.240938721054 58.063867060240774, 37.875205211138244 58.28990070943435)</t>
  </si>
  <si>
    <t>P4014</t>
  </si>
  <si>
    <t>https://www.gem.wiki/Nawabshah-Karachi_Gas_Pipeline</t>
  </si>
  <si>
    <t>Nawabshah-Karachi Gas Pipeline</t>
  </si>
  <si>
    <t>KDN Pipeline</t>
  </si>
  <si>
    <t>LINESTRING (68.38753401407111 26.255398719825696, 66.98403070876702 24.862923819931765)</t>
  </si>
  <si>
    <t>P4015</t>
  </si>
  <si>
    <t>https://www.gem.wiki/Kadanwari-Malir-Karachi_Gas_Pipeline</t>
  </si>
  <si>
    <t>Kadanwari-Malir-Karachi Gas Pipeline</t>
  </si>
  <si>
    <t>24, 20</t>
  </si>
  <si>
    <t>Kadanwari</t>
  </si>
  <si>
    <t>LINESTRING (69.30593105239541 27.153139612961112, 67.33388531226164 25.036965664420602, 66.993309167726 24.922441347174676)</t>
  </si>
  <si>
    <t>P4016</t>
  </si>
  <si>
    <t>https://www.gem.wiki/Sindh_University_to_FJFC_Offtake_Loopline</t>
  </si>
  <si>
    <t>Sindh University to FJFC Offtake Loopline</t>
  </si>
  <si>
    <t>Jamshoro</t>
  </si>
  <si>
    <t>Gharo</t>
  </si>
  <si>
    <t>LINESTRING (68.26446826213491 25.420107272359154, 67.57851003699278 24.744624713304173)</t>
  </si>
  <si>
    <t>P4017</t>
  </si>
  <si>
    <t>https://www.gem.wiki/HQ2-Tando_Adam_Gas_Pipeline</t>
  </si>
  <si>
    <t>HQ2-Tando Adam Gas Pipeline</t>
  </si>
  <si>
    <t>Tando Adam</t>
  </si>
  <si>
    <t>LINESTRING (68.3965443392825 26.247709046343473, 68.66021619311654 25.775017655246188)</t>
  </si>
  <si>
    <t>P4018</t>
  </si>
  <si>
    <t>https://www.gem.wiki/Badin_Gas_Pipeline</t>
  </si>
  <si>
    <t>Badin Gas Pipeline</t>
  </si>
  <si>
    <t>Badin</t>
  </si>
  <si>
    <t>Hyderabad</t>
  </si>
  <si>
    <t>LINESTRING (68.84650842428222 24.645634730968368, 68.35624357105955 25.399729958109727)</t>
  </si>
  <si>
    <t>P4019</t>
  </si>
  <si>
    <t>https://www.gem.wiki/Dadu-Malir-Karachi_Gas_Pipeline</t>
  </si>
  <si>
    <t xml:space="preserve"> Dadu-Malir-Karachi Gas Pipeline</t>
  </si>
  <si>
    <t>20, 18</t>
  </si>
  <si>
    <t>Dadu</t>
  </si>
  <si>
    <t>LINESTRING (67.77541398243687 26.73825193456355, 67.33268261572623 25.035866963850488, 66.99485305300135 24.854070620564176)</t>
  </si>
  <si>
    <t>P4020</t>
  </si>
  <si>
    <t>https://www.gem.wiki/Bajara-Karachi_Loopline</t>
  </si>
  <si>
    <t>Bajara-Karachi Loopline</t>
  </si>
  <si>
    <t>LINESTRING (67.57541398243687 26.43825193456355, 67.13268261572622 24.85866963850488, 66.79485305300135 24.654070620564177)</t>
  </si>
  <si>
    <t>P4021</t>
  </si>
  <si>
    <t>https://www.gem.wiki/Quetta_Gas_Pipeline</t>
  </si>
  <si>
    <t>Quetta Gas Pipeline</t>
  </si>
  <si>
    <t>QPL, Jacobabad-Quetta Gas Pipeline</t>
  </si>
  <si>
    <t>12, 18, 20</t>
  </si>
  <si>
    <t>Jacobabad</t>
  </si>
  <si>
    <t>Quetta</t>
  </si>
  <si>
    <t>LINESTRING (68.44252617038465 28.29703391257988, 66.9868378106759 30.19490191024879)</t>
  </si>
  <si>
    <t>P4022</t>
  </si>
  <si>
    <t>https://www.gem.wiki/Zarghun-Quetta_Gas_Pipeline</t>
  </si>
  <si>
    <t>Zarghun-Quetta Gas Pipeline</t>
  </si>
  <si>
    <t>Zarghun</t>
  </si>
  <si>
    <t>LINESTRING (67.7607421028538 30.13564549222772, 66.95187375958167 30.262644936655313)</t>
  </si>
  <si>
    <t>P4023</t>
  </si>
  <si>
    <t>https://www.gem.wiki/Dadu-Sui_Gas_Pipeline</t>
  </si>
  <si>
    <t>Dadu-Sui Gas Pipeline</t>
  </si>
  <si>
    <t>Sui</t>
  </si>
  <si>
    <t>LINESTRING (67.76555316357684 26.734665448396193, 69.17729621431324 28.646096072182747)</t>
  </si>
  <si>
    <t>P4024</t>
  </si>
  <si>
    <t>https://www.gem.wiki/Hassan-Sui_Gas_Pipeline</t>
  </si>
  <si>
    <t>Hassan-Sui Gas Pipeline</t>
  </si>
  <si>
    <t>Hassan</t>
  </si>
  <si>
    <t>LINESTRING (69.20942399780158 27.975403188004147, 69.1792115978831 28.640381347801853)</t>
  </si>
  <si>
    <t>P4025</t>
  </si>
  <si>
    <t>https://www.gem.wiki/DOL%E2%80%93Ras_Laffan_Landfall_Gas_Pipelines</t>
  </si>
  <si>
    <t>DOL–Ras Laffan Landfall Gas Pipelines</t>
  </si>
  <si>
    <t>DOL1 and DOL2 Pipelines</t>
  </si>
  <si>
    <t>Dolphin Energy [100.00%]</t>
  </si>
  <si>
    <t>Mubadala Investment Company [100.00%]</t>
  </si>
  <si>
    <t>آنبوب غاز دولفين -قطر١</t>
  </si>
  <si>
    <t>LINESTRING (51.991 26.071, 51.538889 25.8575, 51.51 25.69)</t>
  </si>
  <si>
    <t>P4026</t>
  </si>
  <si>
    <t>https://www.gem.wiki/North_Field_B-PU%E2%80%93Ras_Laffan_Landfall_Gas_Pipelines</t>
  </si>
  <si>
    <t>North Field B-PU–Ras Laffan Gas Pipeline</t>
  </si>
  <si>
    <t>آنبوب غاز دولفين -قطر٢</t>
  </si>
  <si>
    <t>P4028</t>
  </si>
  <si>
    <t>Western Division Project</t>
  </si>
  <si>
    <t>8, 36</t>
  </si>
  <si>
    <t>P4029</t>
  </si>
  <si>
    <t>Phase VIII Expansion Project</t>
  </si>
  <si>
    <t>24, 30, 36, 42</t>
  </si>
  <si>
    <t>P4030</t>
  </si>
  <si>
    <t>Jacksonville Expansion Project</t>
  </si>
  <si>
    <t>P4031</t>
  </si>
  <si>
    <t>East Leg Expansion</t>
  </si>
  <si>
    <t>P4032</t>
  </si>
  <si>
    <t>Phase VII Phase 1</t>
  </si>
  <si>
    <t>P4033</t>
  </si>
  <si>
    <t>Turkey Point Lateral</t>
  </si>
  <si>
    <t>P4034</t>
  </si>
  <si>
    <t>Phase VI Project</t>
  </si>
  <si>
    <t>P4035</t>
  </si>
  <si>
    <t>Phase V Stage 4</t>
  </si>
  <si>
    <t>16, 24, 36</t>
  </si>
  <si>
    <t>P4036</t>
  </si>
  <si>
    <t>Phase V Stage 3</t>
  </si>
  <si>
    <t>P4037</t>
  </si>
  <si>
    <t>Phase V Stages 1-2</t>
  </si>
  <si>
    <t>P4038</t>
  </si>
  <si>
    <t>AE Cooperative Upgrade</t>
  </si>
  <si>
    <t>P4039</t>
  </si>
  <si>
    <t>Phase IV Project</t>
  </si>
  <si>
    <t>P4040</t>
  </si>
  <si>
    <t>Alabama Power Lateral</t>
  </si>
  <si>
    <t>P4041</t>
  </si>
  <si>
    <t>https://www.gem.wiki/North_Rumela-Al-Najaf_Gas_Pipeline</t>
  </si>
  <si>
    <t xml:space="preserve">North Rumela-Al-Najaf Gas Pipeline </t>
  </si>
  <si>
    <t>Al-Najaf</t>
  </si>
  <si>
    <t xml:space="preserve">Al-Najaf </t>
  </si>
  <si>
    <t xml:space="preserve"> انبوب غاز شمال الرميلة- النجف</t>
  </si>
  <si>
    <t>LINESTRING (47.407722 30.156111, 47.81 30.515, 47.15 31.833333, 45.283333 31.316667, 44.33 32)</t>
  </si>
  <si>
    <t>P4042</t>
  </si>
  <si>
    <t>https://www.gem.wiki/BRZ-WHPs-Ras_Laffan_Gas_Pipeline</t>
  </si>
  <si>
    <t>BRZ–WHPs–Ras Laffan Gas Pipeline</t>
  </si>
  <si>
    <t>آنبوب غاز برزان</t>
  </si>
  <si>
    <t>LINESTRING (51.991 26.071, 51.538889 25.8575)</t>
  </si>
  <si>
    <t>P4043</t>
  </si>
  <si>
    <t>Pearl-2 Gas Pipeline</t>
  </si>
  <si>
    <t>آنبوب غاز  اللؤلؤة - رأس لفان ٢</t>
  </si>
  <si>
    <t>P4044</t>
  </si>
  <si>
    <t>https://www.gem.wiki/North%E2%80%93South_Gas_Pipeline</t>
  </si>
  <si>
    <t>North-South Gas Pipeline</t>
  </si>
  <si>
    <t>Магистральный газопровод Север-Юг</t>
  </si>
  <si>
    <t>P4045</t>
  </si>
  <si>
    <t>Bulgaria, Greece</t>
  </si>
  <si>
    <t>https://www.gem.wiki/Kulata-Nea_Mesimvria_Gas_Pipeline</t>
  </si>
  <si>
    <t>Kulata-Nea Missivria Gas Pipeline</t>
  </si>
  <si>
    <t>Bulgartransgaz, MER JSC Skopje [unknown %]; DESFA S.A. [unknown %]</t>
  </si>
  <si>
    <t>Bulgartransgaz, MER JSC Skopje [unknown %]; Copelouzos Group [unknown %]; Enagás [unknown %]; Fluxys [unknown %]; Government of Greece [unknown %]; Snam [unknown %]</t>
  </si>
  <si>
    <t>Nea Missivria</t>
  </si>
  <si>
    <t>LINESTRING (23.364094680254198 41.39044322234046, 23.335255570171988 41.27598243616577, 23.013157150653782 40.81324362375868, 22.769820640353707 40.75817209201363)</t>
  </si>
  <si>
    <t>P4046</t>
  </si>
  <si>
    <t>https://www.gem.wiki/Skopje-Kyustendil_Gas_Pipeline</t>
  </si>
  <si>
    <t>Skopje-Kriva Palanka Gas Pipeline</t>
  </si>
  <si>
    <t>MER JSC Skopje [unknown %]</t>
  </si>
  <si>
    <t>Kriva Palanka</t>
  </si>
  <si>
    <t>LINESTRING (22.481513022233585 42.22192097263757, 22.378580307373273 42.22623553679213, 22.298953112858698 42.187393845197924, 22.00763410853707 42.1427683804489, 21.80565293220741 42.17875911510765, 21.698835963956142 42.15140802373227, 21.646398543178247 41.98849677319975)</t>
  </si>
  <si>
    <t>P4047</t>
  </si>
  <si>
    <t>https://www.gem.wiki/Khormor-Erbil_Gas_Pipeline</t>
  </si>
  <si>
    <t xml:space="preserve">Khormor-Erbil Gas Pipeline </t>
  </si>
  <si>
    <t>kurdistan regional government [100.00%]</t>
  </si>
  <si>
    <t>Khormor</t>
  </si>
  <si>
    <t xml:space="preserve">Kurdistan </t>
  </si>
  <si>
    <t xml:space="preserve"> انبوب غاز كورمور- أربيل</t>
  </si>
  <si>
    <t>LINESTRING (45.316667 35.516667, 44.009189 36.191189)</t>
  </si>
  <si>
    <t>P4048</t>
  </si>
  <si>
    <t xml:space="preserve">Turkmenistan </t>
  </si>
  <si>
    <t>https://www.gem.wiki/Dowletabat-Deryalyk_Gas_Pipeline</t>
  </si>
  <si>
    <t>Dowletabat-Deryalyk Gas Pipeline</t>
  </si>
  <si>
    <t>Turkmengaz [unknown %]</t>
  </si>
  <si>
    <t>1220, 1420</t>
  </si>
  <si>
    <t>Dauletabad</t>
  </si>
  <si>
    <t>Deryalyk</t>
  </si>
  <si>
    <t>Газопровод  «Довлетабад – Дерьялык»</t>
  </si>
  <si>
    <t>LINESTRING (61.86432 37.60924, 58.6425 42.25083)</t>
  </si>
  <si>
    <t>P4049</t>
  </si>
  <si>
    <t>https://www.gem.wiki/Naiyp-Deryalyk_Gas_Pipeline</t>
  </si>
  <si>
    <t>Naiyp-Deryalyk Gas Pipeline</t>
  </si>
  <si>
    <t>Naiyp</t>
  </si>
  <si>
    <t>P4050</t>
  </si>
  <si>
    <t>Sanford Project</t>
  </si>
  <si>
    <t>P4051</t>
  </si>
  <si>
    <t>East-West Project</t>
  </si>
  <si>
    <t>P4052</t>
  </si>
  <si>
    <t>https://www.gem.wiki/Klechovce-Negotino_Gas_Pipeline</t>
  </si>
  <si>
    <t>Klechovce-Negotino Gas Pipeline</t>
  </si>
  <si>
    <t>700, 500, 200</t>
  </si>
  <si>
    <t>Kratovo</t>
  </si>
  <si>
    <t>LINESTRING (22.06846400507024 42.16044369268605, 22.096179095684224 42.126193903935125, 22.08925032303073 42.10734862314552, 22.12389418729601 42.01818598547922, 22.246302504174437 41.84464702936881, 22.22089700444495 41.573951516201845, 22.08925032402853 41.50653199004381)</t>
  </si>
  <si>
    <t>P4053</t>
  </si>
  <si>
    <t>https://www.gem.wiki/Eribl-Duhok_Gas_Pipeline</t>
  </si>
  <si>
    <t>Erbil-Duhok Gas Pipeline</t>
  </si>
  <si>
    <t>Erinle</t>
  </si>
  <si>
    <t>Duhok</t>
  </si>
  <si>
    <t>انبوب غاز أربيل- دهوك</t>
  </si>
  <si>
    <t>LINESTRING (44.009189 36.191189, 43 36.866669)</t>
  </si>
  <si>
    <t>P4054</t>
  </si>
  <si>
    <t>https://www.gem.wiki/Taji-Duara_Gas_Pipeline</t>
  </si>
  <si>
    <t>Taji-Duara Gas Pipeline</t>
  </si>
  <si>
    <t>Dora</t>
  </si>
  <si>
    <t xml:space="preserve">Baghdad </t>
  </si>
  <si>
    <t>Al Rashid administrative district</t>
  </si>
  <si>
    <t>انبوب غاز تاجي- الدورة</t>
  </si>
  <si>
    <t>P4055</t>
  </si>
  <si>
    <t>https://www.gem.wiki/Negotino-Bitola_Gas_Pipeline</t>
  </si>
  <si>
    <t>Negotino-Bitola Gas Pipeline</t>
  </si>
  <si>
    <t>LINESTRING (22.09126860741222 41.49087191787696, 21.991213561169285 41.4219137589064, 21.89645648518489 41.43735852204139, 21.701449169390923 41.362159440546705, 21.619051712013185 41.36731283819993, 21.44739034247624 41.33741745076759, 21.39626775365718 41.19280860539626, 21.44707875311615 41.17021120613559, 21.322360845353224 41.02923642518614, 21.236905982626773 41.057107275744194)</t>
  </si>
  <si>
    <t>P4056</t>
  </si>
  <si>
    <t>https://www.gem.wiki/Novokuznetsk-Prokopyevsk_Gas_Pipeline</t>
  </si>
  <si>
    <t>Novokuznetsk-Prokopyevsk Gas Pipeline</t>
  </si>
  <si>
    <t>Prokopyevsk</t>
  </si>
  <si>
    <t>Газопровод-отвод и ГPC «Прокопьевск»</t>
  </si>
  <si>
    <t>LINESTRING (87.11183061512442 53.98001461386993, 86.7878452433691 53.88886959311005)</t>
  </si>
  <si>
    <t>P4057</t>
  </si>
  <si>
    <t>https://www.gem.wiki/Skopje-Tetolo-Gostivar_Gas_Pipeline</t>
  </si>
  <si>
    <t>Skopje-Tetolo-Gostivar Gas Pipeline</t>
  </si>
  <si>
    <t>500, 150</t>
  </si>
  <si>
    <t>Gostivar</t>
  </si>
  <si>
    <t>MULTILINESTRING ((21.42908711343607 41.996962416549515, 21.320597127888718 42.00818805718756, 21.30411763641317 41.98777632840448, 21.256052452942825 41.97756800894202, 21.18601461417175 41.97858891453773, 21.129709684963633 41.96837912210392, 21.034952608979243 41.98471400441573, 20.958048315426687 41.97246323547006, 20.93195578725707 41.93978299690264, 20.927835914388183 41.94999737159298, 20.885263894743023 41.87743987732689, 20.900370095262275 41.80275252125274), (21.034952608979243 41.98471400441573, 20.97315451594594 42.00614717892807))</t>
  </si>
  <si>
    <t>P4058</t>
  </si>
  <si>
    <t>https://www.gem.wiki/Eastern_Iraq_Gas_Pipeline</t>
  </si>
  <si>
    <t xml:space="preserve">Eastern Iraq Gas Pipeline </t>
  </si>
  <si>
    <t>P4059</t>
  </si>
  <si>
    <t>Mobile County Project</t>
  </si>
  <si>
    <t>P4060</t>
  </si>
  <si>
    <t>Southwest Alabama Project</t>
  </si>
  <si>
    <t>P4061</t>
  </si>
  <si>
    <t>https://www.gem.wiki/National_Gas_Pipeline</t>
  </si>
  <si>
    <t>National Gas Pipeline</t>
  </si>
  <si>
    <t>أنبوب الغاز الوطني</t>
  </si>
  <si>
    <t>LINESTRING (43.871163 34.192333, 44.5502 32.4682, 44.469167 31.690278, 45.283333 31.316667)</t>
  </si>
  <si>
    <t>P4062</t>
  </si>
  <si>
    <t>https://www.gem.wiki/Trans-Iraq-Hilla-Gas_Pipeline</t>
  </si>
  <si>
    <t>Trans-Iraq-Hilla-Gas Pipeline</t>
  </si>
  <si>
    <t>P4063</t>
  </si>
  <si>
    <t>https://www.gem.wiki/Zorkino-Balakovo_Gas_Pipeline</t>
  </si>
  <si>
    <t>Zorkino-Balakovo Gas Pipeline</t>
  </si>
  <si>
    <t>Zorkino</t>
  </si>
  <si>
    <t>Balakovo</t>
  </si>
  <si>
    <t>Газопровод-отвод с-з "Зоркино" - ГРС "Балаково"</t>
  </si>
  <si>
    <t>LINESTRING (47.1871196327772 51.90070914195121, 47.80771440001241 52.04300174124369)</t>
  </si>
  <si>
    <t>P4064</t>
  </si>
  <si>
    <t>https://www.gem.wiki/Trans-Iraqi-Najaf_PWR_St_Gas_Pipeline</t>
  </si>
  <si>
    <t>Trans-Iraqi-Najaf PWR St Gas Pipeline</t>
  </si>
  <si>
    <t>P4065</t>
  </si>
  <si>
    <t>https://www.gem.wiki/Trans-Iraqi-Dewania_Gas_Pipeline</t>
  </si>
  <si>
    <t>Trans-Iraqi-Dewania Gas Pipeline</t>
  </si>
  <si>
    <t>P4066</t>
  </si>
  <si>
    <t>https://www.gem.wiki/Trans-Iraqi-Daura_Gas_Pipeline</t>
  </si>
  <si>
    <t>Trans-Iraqi-Daura Gas Pipeline</t>
  </si>
  <si>
    <t>P4067</t>
  </si>
  <si>
    <t>https://www.gem.wiki/Al-Ahdab-Al-Zubaydia_PWR_St_Gas_Pipeline</t>
  </si>
  <si>
    <t>Al-Ahdab-Al-Zubaydia PWR St Gas Pipeline</t>
  </si>
  <si>
    <t>Al-Ahdab</t>
  </si>
  <si>
    <t>Wasit</t>
  </si>
  <si>
    <t>Al-Zubaydia</t>
  </si>
  <si>
    <t xml:space="preserve"> أنبوب غاز الأحدب -الزبيدية</t>
  </si>
  <si>
    <t>LINESTRING (45.824722 32.505556, 45.177269 32.758839)</t>
  </si>
  <si>
    <t>P4068</t>
  </si>
  <si>
    <t>https://www.gem.wiki/Mishraq_Cross_Road-Mousil_PWR_ST_Gas_Pipeline</t>
  </si>
  <si>
    <t>Mishraq Cross Road-Mousil PWR ST Gas Pipeline</t>
  </si>
  <si>
    <t>P4069</t>
  </si>
  <si>
    <t>https://www.gem.wiki/Williams_Gas_Pipeline</t>
  </si>
  <si>
    <t>Williams Gas Pipeline</t>
  </si>
  <si>
    <t>Northeast Supply Enhancement (NESE) Pipeline</t>
  </si>
  <si>
    <t>dth/day</t>
  </si>
  <si>
    <t>Rockaway</t>
  </si>
  <si>
    <t>P4070</t>
  </si>
  <si>
    <t>https://www.gem.wiki/North_Brooklyn_Pipeline</t>
  </si>
  <si>
    <t>North Brooklyn Pipeline</t>
  </si>
  <si>
    <t>Metropolitan Reliability Infrastructure (MRI) Pipeline</t>
  </si>
  <si>
    <t>Brownsville</t>
  </si>
  <si>
    <t>Brooklyn</t>
  </si>
  <si>
    <t>Greenpoint</t>
  </si>
  <si>
    <t>P4071</t>
  </si>
  <si>
    <t>https://www.gem.wiki/Ahangaran-Pungan_Gas_Pipeline</t>
  </si>
  <si>
    <t>Ahangaran-Pungan Gas Pipeline</t>
  </si>
  <si>
    <t>Ahangaran</t>
  </si>
  <si>
    <t>Pungan</t>
  </si>
  <si>
    <t>Ferghana Valley</t>
  </si>
  <si>
    <t>Газопровод Ахангаран-Пунган</t>
  </si>
  <si>
    <t>LINESTRING (69.63337 40.91869, 70.82686 40.73906)</t>
  </si>
  <si>
    <t>P4072</t>
  </si>
  <si>
    <t>P4073</t>
  </si>
  <si>
    <t>https://www.gem.wiki/Gazli-Nukus_Gas_Pipeline</t>
  </si>
  <si>
    <t>Gazli-Nukus Gas Pipeline</t>
  </si>
  <si>
    <t>Nukus</t>
  </si>
  <si>
    <t>LINESTRING (63.485626 40.153802, 59.61663 42.46189)</t>
  </si>
  <si>
    <t>P4074</t>
  </si>
  <si>
    <t>https://www.gem.wiki/Kandhkot_Gas_Pipeline</t>
  </si>
  <si>
    <t>Kandhkot Gas Pipeline</t>
  </si>
  <si>
    <t>Chachar</t>
  </si>
  <si>
    <t>Kandhkot</t>
  </si>
  <si>
    <t>LINESTRING (69.35506408982899 28.30198947961991, 69.18305939035612 28.2430281203949)</t>
  </si>
  <si>
    <t>P4075</t>
  </si>
  <si>
    <t>https://www.gem.wiki/Pir_Koh-_Sui_Gas_Pipeline</t>
  </si>
  <si>
    <t>Pir Koh- Sui Gas Pipeline</t>
  </si>
  <si>
    <t>Pir Koh</t>
  </si>
  <si>
    <t>LINESTRING (69.09959701602165 29.146568677767483, 68.813952486439 28.716288922184603)</t>
  </si>
  <si>
    <t>P4076</t>
  </si>
  <si>
    <t>https://www.gem.wiki/Vologda-20-Vytegra_Gas_Pipeline</t>
  </si>
  <si>
    <t>Vologda-20-Vytegra Gas Pipeline</t>
  </si>
  <si>
    <t>Stage I: Vologda-20-Kirillov Gas Pipeline</t>
  </si>
  <si>
    <t>200, 250, 500</t>
  </si>
  <si>
    <t>Chyobsara</t>
  </si>
  <si>
    <t>Kirillov</t>
  </si>
  <si>
    <t>Газопровод-отвод от ГРС Вологда-20 к городам Кириллов, Белозерск, Липин Бор, Вытегра Вологодской области</t>
  </si>
  <si>
    <t>1 этап. Газопровод-отвод от 0 км до ГРС «Кириллов»</t>
  </si>
  <si>
    <t>LINESTRING (38.830152998931204 59.193320335860776, 38.53313139877825 59.20786837830996, 38.38744740589316 59.856349234562785)</t>
  </si>
  <si>
    <t>P4077</t>
  </si>
  <si>
    <t>Stage II: Kirillov-Lipin Bor Gas Pipeline</t>
  </si>
  <si>
    <t>Lipin Bor</t>
  </si>
  <si>
    <t>2 этап. Газопровод-отвод от ГРС «Кириллов» до ГРС «Липин Бор»</t>
  </si>
  <si>
    <t>LINESTRING (38.38744740589316 59.856349234562785, 37.98999726995464 60.26036165100766)</t>
  </si>
  <si>
    <t>P4078</t>
  </si>
  <si>
    <t>Stage III: Lipin Bor-Vytegra Gas Pipeline</t>
  </si>
  <si>
    <t>200, 500</t>
  </si>
  <si>
    <t>Vytegra</t>
  </si>
  <si>
    <t>3 этап. Газопровод-отвод от ГРС «Липин Бор» до ГРС «Вытегра</t>
  </si>
  <si>
    <t>LINESTRING (37.98999726995464 60.26036165100766, 36.46218164945607 61.000572937971626)</t>
  </si>
  <si>
    <t>P4079</t>
  </si>
  <si>
    <t>https://www.gem.wiki/Sawan-_Qadirpur_Gas_Pipeline</t>
  </si>
  <si>
    <t>Sawan- Qadirpur Gas Pipeline</t>
  </si>
  <si>
    <t>Qadirpur</t>
  </si>
  <si>
    <t>LINESTRING (68.86445600936854 27.019128779629433, 69.37260494823494 28.05975163882603)</t>
  </si>
  <si>
    <t>P4080</t>
  </si>
  <si>
    <t>https://www.gem.wiki/Ustyuzhna_Gas_Pipeline</t>
  </si>
  <si>
    <t>Ustyuzhna Gas Pipeline</t>
  </si>
  <si>
    <t>Shiryevo</t>
  </si>
  <si>
    <t>Ustyuzhna</t>
  </si>
  <si>
    <t>Газопровод-отвод к г. Устюжна, Вологодская область</t>
  </si>
  <si>
    <t>LINESTRING (36.59043936731259 59.34388885252504, 36.41207148690366 58.842649486503035)</t>
  </si>
  <si>
    <t>P4081</t>
  </si>
  <si>
    <t>https://www.gem.wiki/Vologda-Cherepovets_Gas_Pipeline</t>
  </si>
  <si>
    <t>Vologda-Cherepovets Gas Pipeline</t>
  </si>
  <si>
    <t>Sheksna-Cherepovets Gas Pipeline</t>
  </si>
  <si>
    <t>Sheksna</t>
  </si>
  <si>
    <t>Газопровод-отвод Вологда - Череповец</t>
  </si>
  <si>
    <t>LINESTRING (38.53313139877825 59.20786837830996, 37.97690856158578 59.11932809657133)</t>
  </si>
  <si>
    <t>P4082</t>
  </si>
  <si>
    <t>https://www.gem.wiki/Paris-Taisnieres_Gas_Pipeline</t>
  </si>
  <si>
    <t>Paris-Taisnieres Gas Pipeline</t>
  </si>
  <si>
    <t>Fluxys Belgium NV [100.00%]</t>
  </si>
  <si>
    <t>Taisnieres son Hur</t>
  </si>
  <si>
    <t>LINESTRING (2.5321058006324555 49.01409391731938, 3.0234105629437487 49.24687930559364, 3.2752890269572434 49.85125559128787, 3.3832369401058844 50.29772243536705, 3.8270228052725175 50.29516840559309)</t>
  </si>
  <si>
    <t>P4083</t>
  </si>
  <si>
    <t>https://www.gem.wiki/Sokol-Kharovsk_Gas_Pipeline</t>
  </si>
  <si>
    <t>Sokol-Kharovsk Gas Pipeline</t>
  </si>
  <si>
    <t>Sokol</t>
  </si>
  <si>
    <t>Kharovsk</t>
  </si>
  <si>
    <t>Газопровод-отвод ГРС Сокол - ГРС Харовск</t>
  </si>
  <si>
    <t>LINESTRING (40.1592403609252 59.456811974082484, 40.202375088226646 59.943877261936485)</t>
  </si>
  <si>
    <t>P4084</t>
  </si>
  <si>
    <t>https://www.gem.wiki/Pitgam%E2%80%93Maldegem_Gas_Pipeline</t>
  </si>
  <si>
    <t>Pitgam-Hondschoote</t>
  </si>
  <si>
    <t>Pitgam</t>
  </si>
  <si>
    <t>Hondschoote</t>
  </si>
  <si>
    <t>LINESTRING (2.3325843220453355 50.92820403019994, 2.3725959423070586 50.93232124778784, 2.580819680403781 50.98067125840324)</t>
  </si>
  <si>
    <t>P4085</t>
  </si>
  <si>
    <t>https://www.gem.wiki/Olonets-Pitkyaranta_Gas_Pipeline</t>
  </si>
  <si>
    <t>Olonets-Pitkyaranta Gas Pipeline</t>
  </si>
  <si>
    <t>Olonets</t>
  </si>
  <si>
    <t>Republic of Karelia</t>
  </si>
  <si>
    <t>Pitkyaranta</t>
  </si>
  <si>
    <t>Газопровод-отвод Олонец - ГРС Питкяранта</t>
  </si>
  <si>
    <t>LINESTRING (32.966010502596696 60.972756276615875, 31.479580214585447 61.567092384453275)</t>
  </si>
  <si>
    <t>P4087</t>
  </si>
  <si>
    <t>https://www.gem.wiki/Qadirpur_Gas_Pipeline</t>
  </si>
  <si>
    <t>Qadirpur Gas Pipeline</t>
  </si>
  <si>
    <t>Bhong</t>
  </si>
  <si>
    <t>LINESTRING (69.37144908289882 28.063627363306416, 69.9111524367852 28.421727946575484)</t>
  </si>
  <si>
    <t>P4088</t>
  </si>
  <si>
    <t>https://www.gem.wiki/Qadirpur_Gas_Loopline</t>
  </si>
  <si>
    <t>Qadirpur Gas Loopline</t>
  </si>
  <si>
    <t>LINESTRING (70.37144908289882 28.33627363306416, 71.2111524367852 28.721727946575484)</t>
  </si>
  <si>
    <t>P4089</t>
  </si>
  <si>
    <t>https://www.gem.wiki/Qadirpur_Gas_Pipeline_(LNG_Phase_II)</t>
  </si>
  <si>
    <t>Qadirpur Gas Pipeline (LNG Phase II)</t>
  </si>
  <si>
    <t>LINESTRING (70.07144908289882 28.03627363306416, 71.0111524367852 28.521727946575485)</t>
  </si>
  <si>
    <t>P4090</t>
  </si>
  <si>
    <t>https://www.gem.wiki/Sui-Multan_Gas_Pipeline</t>
  </si>
  <si>
    <t>Sui-Multan Gas Pipeline</t>
  </si>
  <si>
    <t>Multan</t>
  </si>
  <si>
    <t>LINESTRING (69.16982605724321 28.63884006368162, 71.52526098564061 30.179084318794217)</t>
  </si>
  <si>
    <t>P4091</t>
  </si>
  <si>
    <t>https://www.gem.wiki/Sui-Multan_Gas_Loopline_I</t>
  </si>
  <si>
    <t>Sui-Multan Gas Loopline I</t>
  </si>
  <si>
    <t>LINESTRING (69.17620934973209 28.560377870663658, 71.60186049550721 30.074184851556513)</t>
  </si>
  <si>
    <t>P4092</t>
  </si>
  <si>
    <t>https://www.gem.wiki/Priozersk-Ikhala_Gas_Pipeline</t>
  </si>
  <si>
    <t>Priozersk-Ikhala Gas Pipeline</t>
  </si>
  <si>
    <t>Priozersk</t>
  </si>
  <si>
    <t>Ikhala</t>
  </si>
  <si>
    <t>Газопровод-отвод Приозерск - ГРС «Ихала»</t>
  </si>
  <si>
    <t>LINESTRING (30.144153122468527 61.04751198709189, 29.998920133542185 61.49452053283929)</t>
  </si>
  <si>
    <t>P4093</t>
  </si>
  <si>
    <t>https://www.gem.wiki/Ikhala-Sortavala_Gas_Pipeline</t>
  </si>
  <si>
    <t>Ikhala-Sortavala Gas Pipeline</t>
  </si>
  <si>
    <t>Sortavala</t>
  </si>
  <si>
    <t>Газопровод-отвод ГРС «Ихала» - ГРС «Сортавала»</t>
  </si>
  <si>
    <t>LINESTRING (29.998920133542185 61.49452053283929, 30.681423346833707 61.690790025313824)</t>
  </si>
  <si>
    <t>P4094</t>
  </si>
  <si>
    <t>https://www.gem.wiki/Volkhov-Segezha-Kostomuksha_Gas_Pipeline</t>
  </si>
  <si>
    <t>Volkhov-Segezha-Kostomuksha Gas Pipeline</t>
  </si>
  <si>
    <t>Stage I: Volkhov-Medvezhyegorsk Gas Pipeline</t>
  </si>
  <si>
    <t>Berezhki</t>
  </si>
  <si>
    <t>Medvezhyegorsk</t>
  </si>
  <si>
    <t>Газопровод Волхов - Сегежа - Костомукша 1-й этап</t>
  </si>
  <si>
    <t>LINESTRING (32.327404606269674 59.74482157123342, 34.4420364511333 62.9044668101096)</t>
  </si>
  <si>
    <t>P4095</t>
  </si>
  <si>
    <t>Stage II: Medvezhyegorsk-Segezha Gas Pipeline</t>
  </si>
  <si>
    <t>Segezha</t>
  </si>
  <si>
    <t>Газопровод Волхов - Сегежа - Костомукша 2-й этап</t>
  </si>
  <si>
    <t>LINESTRING (34.4420364511333 62.9044668101096, 34.321985522258935 63.735258605776615)</t>
  </si>
  <si>
    <t>P4096</t>
  </si>
  <si>
    <t>Stage III: Segezha-Kostomuksha Gas Pipeline</t>
  </si>
  <si>
    <t>Kostomuksha</t>
  </si>
  <si>
    <t>Газопровод Сегежа - Костомукша</t>
  </si>
  <si>
    <t>LINESTRING (34.321985522258935 63.735258605776615, 30.640441614042423 64.59073503512433)</t>
  </si>
  <si>
    <t>P4097</t>
  </si>
  <si>
    <t>https://www.gem.wiki/Sui-Multan_Gas_Loopline_II</t>
  </si>
  <si>
    <t>Sui-Multan Gas Loopline II</t>
  </si>
  <si>
    <t>LINESTRING (69.9166712784424 28.436961924656487, 71.51887769315174 30.173566073583846)</t>
  </si>
  <si>
    <t>P4098</t>
  </si>
  <si>
    <t>https://www.gem.wiki/Sui-Multan_Gas_Loopline_III</t>
  </si>
  <si>
    <t>Sui-Multan Gas Loopline III</t>
  </si>
  <si>
    <t>LINESTRING (69.96135432586456 28.335878020021212, 71.59547720301832 30.096278209767224)</t>
  </si>
  <si>
    <t>P4099</t>
  </si>
  <si>
    <t>https://www.gem.wiki/AV29-N2_RLNG_Pipeline</t>
  </si>
  <si>
    <t>AV29-N2 RLNG Pipeline</t>
  </si>
  <si>
    <t>Qadirpur Ran</t>
  </si>
  <si>
    <t>Mian Channu</t>
  </si>
  <si>
    <t>LINESTRING (71.67207676739991 30.28938428912291, 72.35720302137814 30.446165021775034)</t>
  </si>
  <si>
    <t>P4100</t>
  </si>
  <si>
    <t>https://www.gem.wiki/N2-Sahiwal_RLNG_Pipeline</t>
  </si>
  <si>
    <t>N2-Sahiwal RLNG Pipeline</t>
  </si>
  <si>
    <t>Sahiwal</t>
  </si>
  <si>
    <t>LINESTRING (72.35062865704307 30.434828750833997, 73.11325639164528 30.670728424045727)</t>
  </si>
  <si>
    <t>P4101</t>
  </si>
  <si>
    <t>https://www.gem.wiki/SV1-QV1_Gas_Pipeline</t>
  </si>
  <si>
    <t>SV1-QV1 Gas Pipeline</t>
  </si>
  <si>
    <t>LINESTRING (68.93643510918761 27.073379068593265, 69.36920087180548 28.063461410521448)</t>
  </si>
  <si>
    <t>P4102</t>
  </si>
  <si>
    <t>https://www.gem.wiki/AV22-Kot_Addu_Gas_Pipeline</t>
  </si>
  <si>
    <t>AV22-Kot Addu Gas Pipeline</t>
  </si>
  <si>
    <t>Ayazabad Qasba Maral</t>
  </si>
  <si>
    <t>Kot Addu</t>
  </si>
  <si>
    <t>LINESTRING (71.42192114983752 29.990613883413694, 70.95774379133589 30.468060602690382)</t>
  </si>
  <si>
    <t>P4103</t>
  </si>
  <si>
    <t>https://www.gem.wiki/D.G._Khan_Gas_Pipeline</t>
  </si>
  <si>
    <t>D.G. Khan Gas Pipeline</t>
  </si>
  <si>
    <t>D.G. Khan</t>
  </si>
  <si>
    <t>LINESTRING (70.64000333759964 30.052812905408388, 70.95774379133589 30.484729176668754)</t>
  </si>
  <si>
    <t>P4104</t>
  </si>
  <si>
    <t>https://www.gem.wiki/Dhodak-Kot_Addu_Gas_Pipeline</t>
  </si>
  <si>
    <t>Dhodak-Kot Addu Gas Pipeline</t>
  </si>
  <si>
    <t>Dhodak</t>
  </si>
  <si>
    <t>LINESTRING (70.57921819706802 30.800888745395422, 70.95498082061697 30.503775485281402)</t>
  </si>
  <si>
    <t>P4105</t>
  </si>
  <si>
    <t>https://www.gem.wiki/AV29-Sahiwal_Gas_Pipeline</t>
  </si>
  <si>
    <t>AV29-Sahiwal Gas Pipeline</t>
  </si>
  <si>
    <t>LINESTRING (71.6843348395736 30.262261268298396, 73.12434027184106 30.61797494648799)</t>
  </si>
  <si>
    <t>P4106</t>
  </si>
  <si>
    <t>https://www.gem.wiki/Sidhnai-Faisalabad_Gas_Pipeline</t>
  </si>
  <si>
    <t>Sidhnai-Faisalabad Gas Pipeline</t>
  </si>
  <si>
    <t>Abdul Hakīm</t>
  </si>
  <si>
    <t>Khanewal</t>
  </si>
  <si>
    <t>LINESTRING (72.13253278428664 30.549489769150863, 73.13228861168342 31.448816915296263)</t>
  </si>
  <si>
    <t>P4107</t>
  </si>
  <si>
    <t>https://www.gem.wiki/Sidhnai-Faisalabad_Gas_Pipeline_II</t>
  </si>
  <si>
    <t>Sidhnai-Faisalabad Gas Pipeline II</t>
  </si>
  <si>
    <t>24, 30, 36</t>
  </si>
  <si>
    <t>LINESTRING (72.18746442315458 30.56368071265735, 73.13503519362682 31.41366341655311)</t>
  </si>
  <si>
    <t>P4108</t>
  </si>
  <si>
    <t>https://www.gem.wiki/Sahiwal-Lahore_Gas_Pipeline_I</t>
  </si>
  <si>
    <t>Sahiwal-Lahore Gas Pipeline I</t>
  </si>
  <si>
    <t>LINESTRING (73.1148324612064 30.67364427937876, 74.361780663509 31.52499126546926)</t>
  </si>
  <si>
    <t>P4109</t>
  </si>
  <si>
    <t>https://www.gem.wiki/Mannovka-Ust-Luga_Gas_Pipeline</t>
  </si>
  <si>
    <t>Mannovka-Ust-Luga Gas Pipeline</t>
  </si>
  <si>
    <t>Mannovka</t>
  </si>
  <si>
    <t>Ust-Luga</t>
  </si>
  <si>
    <t>Газопровод-отвод и ГРС «Усть-Луга»</t>
  </si>
  <si>
    <t>LINESTRING (28.32989272463249 59.47194719554071, 28.24144398876831 59.57285956819344, 28.25590124772698 59.64265421891996, 28.268568590994402 59.65090034979418)</t>
  </si>
  <si>
    <t>P4110</t>
  </si>
  <si>
    <t>https://www.gem.wiki/Karasuk-Bagan-Kupino-Chistoozernoe-Chany_Gas_Pipeline</t>
  </si>
  <si>
    <t>Karasuk-Bagan-Kupino-Chistoozernoe-Chany Gas Pipeline</t>
  </si>
  <si>
    <t>Karasuk</t>
  </si>
  <si>
    <t>Chany</t>
  </si>
  <si>
    <t>Газопровод Карасук-Баган-Купино-Чистоозерное-Чаны</t>
  </si>
  <si>
    <t>LINESTRING (78.00961760129026 53.73874209663363, 77.67650047924027 54.09002708213388, 77.26883967335013 54.3598558256959, 76.58931184059828 54.69952184500358, 76.47631796253276 55.270067495278276)</t>
  </si>
  <si>
    <t>P4111</t>
  </si>
  <si>
    <t>https://www.gem.wiki/Bolshoy_Kamen-Vrangel_Gas_Pipeline</t>
  </si>
  <si>
    <t>Bolshoy Kamen-Vrangel Gas Pipeline</t>
  </si>
  <si>
    <t>325, 1020</t>
  </si>
  <si>
    <t>Bolshoy Kamen</t>
  </si>
  <si>
    <t>Kozmino</t>
  </si>
  <si>
    <t>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</si>
  <si>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LINESTRING (132.35378815413927 43.097269471804026, 132.9852386885768 42.851157919657695, 133.06599044578016 42.713485514500064)</t>
  </si>
  <si>
    <t>P4112</t>
  </si>
  <si>
    <t>https://www.gem.wiki/Kokshamary_Gas_Pipeline</t>
  </si>
  <si>
    <t>Kokshamary Gas Pipeline</t>
  </si>
  <si>
    <t>Melnichnye Pamyaly</t>
  </si>
  <si>
    <t>Mari El Republic</t>
  </si>
  <si>
    <t>Kokshamary</t>
  </si>
  <si>
    <t>Газопровод-отвод и ГРС «Кокшамары»</t>
  </si>
  <si>
    <t>LINESTRING (47.98810228131618 56.12265416727054, 47.76109517557406 56.15889025277797)</t>
  </si>
  <si>
    <t>P4113</t>
  </si>
  <si>
    <t>Belgium, Luxembourg</t>
  </si>
  <si>
    <t>https://www.gem.wiki/Warnant_Dreye-Petange_Gas_Pipeline</t>
  </si>
  <si>
    <t>Warnant Dreye-Petange Gas Pipeline</t>
  </si>
  <si>
    <t>Warnant Dreye</t>
  </si>
  <si>
    <t>Petange</t>
  </si>
  <si>
    <t>LINESTRING (5.219965451095604 50.59687186733385, 5.24936174520447 50.52009615423488, 5.25040291379836 50.47479069251998, 5.354923070629882 50.29568414850733, 5.315728011818062 50.22468794173979, 5.361455580431853 50.21632848954478, 5.387585619639732 49.98586920033267, 5.341858051025942 49.94805209201528, 5.676203614373635 49.66914556311691, 5.772333985687646 49.674478037598064, 5.874354586551256 49.55611611623073)</t>
  </si>
  <si>
    <t>P4114</t>
  </si>
  <si>
    <t>https://www.gem.wiki/Zandvliet-Wuustwezel_Gas_Pipeline</t>
  </si>
  <si>
    <t>Zandvliet-Wuustwezel Gas Pipeline</t>
  </si>
  <si>
    <t>Wuustwezel</t>
  </si>
  <si>
    <t>LINESTRING (4.307446141193912 51.35961180095683, 4.331696846584401 51.36213554407816, 4.3432448015322525 51.34807291861188, 4.350173574500964 51.318491266114854, 4.39636539429237 51.329676817664456, 4.415996917703718 51.32859446416033, 4.437360634357244 51.335809671626336, 4.462766135242517 51.35961180095683, 4.464498328484695 51.37763548688819, 4.476046283432547 51.383041209309575, 4.504916170548162 51.396372595543966, 4.544756615118251 51.39024784659528, 4.599032003373153 51.38664467006574)</t>
  </si>
  <si>
    <t>P4115</t>
  </si>
  <si>
    <t>https://www.gem.wiki/Brecht-Wuustwezel_Gas_Pipeline</t>
  </si>
  <si>
    <t>Brecht-Wuustwezel Gas Pipeline</t>
  </si>
  <si>
    <t>Brecht</t>
  </si>
  <si>
    <t>LINESTRING (4.601341594362723 51.388806610031274, 4.601918992110116 51.383041209800126, 4.627444743388557 51.35410914939661)</t>
  </si>
  <si>
    <t>P4116</t>
  </si>
  <si>
    <t>https://www.gem.wiki/Poppel-Brasschaat_Gas_Pipeline</t>
  </si>
  <si>
    <t>Poppel-Brasschaat Gas Pipeline</t>
  </si>
  <si>
    <t>Brasschaat</t>
  </si>
  <si>
    <t>LINESTRING (5.042924892469623 51.4481639186736, 4.758845200752471 51.34945929822976, 4.630662900831317 51.348738043408375, 4.587358069776873 51.315908938141085, 4.490932646138266 51.29027869388575)</t>
  </si>
  <si>
    <t>P4117</t>
  </si>
  <si>
    <t>https://www.gem.wiki/Berneau-Winseler_Gas_Pipeline</t>
  </si>
  <si>
    <t>Berneau-Winseler Gas Pipeline</t>
  </si>
  <si>
    <t>Winseler</t>
  </si>
  <si>
    <t>LINESTRING (5.730708705766621 50.74122368312587, 5.744566251704042 50.71637049550658, 5.730708705766621 50.63001300643465, 5.783829298526738 50.415631405376985, 5.737572863088471 50.3925560317542, 5.814477160139681 50.46254479216969, 5.866662218853003 50.376794302985914, 5.910607531453696 50.33123099071645, 5.866662218853003 50.18372748782762, 5.756798937351276 50.12741551264506, 5.836449816440028 49.98281324023879, 5.8886348751533495 49.968682366053216)</t>
  </si>
  <si>
    <t>P4118</t>
  </si>
  <si>
    <t>https://www.gem.wiki/Petange-Esch_sur_Alzette_Gas_Pipeline</t>
  </si>
  <si>
    <t>Petange-Esch sur Alzette Gas Pipeline</t>
  </si>
  <si>
    <t>Creos Luxembourg SA [100.00%]</t>
  </si>
  <si>
    <t>Encevo Group [100.00%]</t>
  </si>
  <si>
    <t>LINESTRING (5.876641166379355 49.55616009579973, 5.899987113698473 49.55805313058429, 5.9315728071302205 49.532101028926924, 5.965218437090123 49.526641536389405, 5.970196617033171 49.52285295875524, 5.964360130203392 49.52106999711031, 5.970368278410517 49.503459759859034)</t>
  </si>
  <si>
    <t>P4119</t>
  </si>
  <si>
    <t>https://www.gem.wiki/Esch_sur_Alzette-Remich_Gas_Pipeline</t>
  </si>
  <si>
    <t>Esch sur Alzette-Remich Gas Pipeline</t>
  </si>
  <si>
    <t>LINESTRING (5.970368278410517 49.503459759859034, 5.964581084072492 49.52272341686592, 6.021166063316965 49.533029761482084, 6.065336990992498 49.563374006804665, 6.087312126927748 49.57824150429383, 6.151403276888325 49.578054308975226, 6.159775544225517 49.57299976393941, 6.173089212855965 49.54242878938243, 6.179955667949823 49.53418534871142, 6.199181742212626 49.54331988886826, 6.249650187152483 49.54554756648355, 6.26132316081204 49.53797304818113, 6.324151224699005 49.55557085892834, 6.3334209390757135 49.555348141442394, 6.3447505899805785 49.546661367280585, 6.368096537299696 49.54465650770376)</t>
  </si>
  <si>
    <t>P4120</t>
  </si>
  <si>
    <t>https://www.gem.wiki/Leudelange-Mertert_Gas_Pipeline</t>
  </si>
  <si>
    <t>Leudelange-Mertert Gas Pipeline</t>
  </si>
  <si>
    <t>Leudelange</t>
  </si>
  <si>
    <t>Mertort</t>
  </si>
  <si>
    <t>LINESTRING (6.124680704396281 49.576501767841826, 6.112200430618998 49.569443665590356, 6.158540422026723 49.57328284454039, 6.197327198975921 49.577783566357894, 6.216924728381831 49.58903355509556, 6.218864010206461 49.595274376253066, 6.267959164081135 49.63042237030871, 6.27748871479508 49.63494181991215, 6.275538025925865 49.64228152968213, 6.301094916637033 49.66092704352942, 6.381934725436414 49.68946143260187, 6.406431637002031 49.691310306727324, 6.422088125135678 49.70748870089451, 6.443030813171945 49.712150968936406, 6.482169607206936 49.70104959503917)</t>
  </si>
  <si>
    <t>P4121</t>
  </si>
  <si>
    <t>https://www.gem.wiki/Winseler-Luedelange_Gas_Pipeline</t>
  </si>
  <si>
    <t>Winseler-Luedelange Gas Pipeline</t>
  </si>
  <si>
    <t>LINESTRING (6.065336990992498 49.563374006804665, 6.05644926223915 49.57970424001371, 6.058568813278312 49.61132191302779, 6.0641524277818295 49.62154565513019, 6.083901696484664 49.64261971498747, 6.095160952558819 49.64355444546164, 6.100357532285352 49.65140547297939, 6.115658572591255 49.66205841370791, 6.137022289244781 49.675511426770186, 6.140775374602833 49.70277972692863, 6.12587978341952 49.71215595818188, 6.110773582213032 49.75032530824103, 6.117671196239599 49.768904810599835, 6.08814543933601 49.77688688648197, 6.096529043399004 49.8369880799652, 6.084688192479359 49.838682046027394, 6.0540670527826235 49.848950360090846, 6.001806974366863 49.86737519717402, 5.985475699861937 49.885529946822125, 5.957712533367274 49.88894964296515, 5.95626551895906 49.90839230481821, 5.922199051862896 49.91508515532761, 5.904299721693726 49.94221886122334, 5.888132584766734 49.96636615544226)</t>
  </si>
  <si>
    <t>P4123</t>
  </si>
  <si>
    <t>https://www.gem.wiki/Taisnieres_sur_Hon-Mons</t>
  </si>
  <si>
    <t>Taisnieres sur Hon-Mons</t>
  </si>
  <si>
    <t>Fluxys Belgium NV [unknown %]; GRTGaz [unknown %]</t>
  </si>
  <si>
    <t>Fluxys [unknown %]; GRTGaz [unknown %]</t>
  </si>
  <si>
    <t>LINESTRING (3.9515777633361546 50.45320875709774, 3.9385127437322143 50.44904927202828, 3.944228689808938 50.426685774364984, 3.9246311604030284 50.41419922771398, 3.8658385721852966 50.32930764987417, 3.8405250967026623 50.3188810425273)</t>
  </si>
  <si>
    <t>P4124</t>
  </si>
  <si>
    <t>https://www.gem.wiki/Sahiwal-Akhtar_Abad_Gas_Pipeline</t>
  </si>
  <si>
    <t>Sahiwal-Akhtar Abad Gas Pipeline</t>
  </si>
  <si>
    <t>Akhtar Abad</t>
  </si>
  <si>
    <t>LINESTRING (73.10659271390867 30.673644279378788, 73.68612151635197 30.926079097032925)</t>
  </si>
  <si>
    <t>P4127</t>
  </si>
  <si>
    <t>https://www.gem.wiki/Mons-Berneau_Gas_Pipeline</t>
  </si>
  <si>
    <t>Mons-Berneau Gas Pipeline</t>
  </si>
  <si>
    <t>LINESTRING (3.9514631669201683 50.46382206233579, 4.151963655660824 50.5040176801893, 4.242686135132568 50.50751084505372, 4.2838848656957165 50.476058639581936, 4.459666116098483 50.476058639581936, 4.528330667037063 50.46207316010243, 4.794749124678757 50.49528191987301, 4.945811136743633 50.52672133034961, 5.2314556686481275 50.59128104945791, 5.308359965699338 50.587793595615025, 5.409983501088437 50.60871444390957, 5.495127544252277 50.65575235659056, 5.618723735941721 50.688824899581014, 5.725840435405908 50.735782647288836)</t>
  </si>
  <si>
    <t>P4128</t>
  </si>
  <si>
    <t>https://www.gem.wiki/Faisalabad-Malakwal_Gas_Pipeline</t>
  </si>
  <si>
    <t>Faisalabad-Malakwal Gas Pipeline</t>
  </si>
  <si>
    <t>Malakwal</t>
  </si>
  <si>
    <t>LINESTRING (73.13131197611644 31.450042213593907, 73.21096284863876 32.54709850682364)</t>
  </si>
  <si>
    <t>P4129</t>
  </si>
  <si>
    <t>https://www.gem.wiki/Faisalabad-Malakwal_Gas_Pipeline_II</t>
  </si>
  <si>
    <t>Faisalabad-Malakwal Gas Pipeline II</t>
  </si>
  <si>
    <t>LINESTRING (73.08187350351638 31.450042213593907, 73.16701753966093 32.551728847144965)</t>
  </si>
  <si>
    <t>P4130</t>
  </si>
  <si>
    <t>https://www.gem.wiki/Stomino-Nikitenki_Gas_Pipeline</t>
  </si>
  <si>
    <t>Stomino-Nikitenki Gas Pipeline</t>
  </si>
  <si>
    <t>Michurino-Nikitenki; CS Smolenskaya-Nikitenki</t>
  </si>
  <si>
    <t>Stomino-CS Smolenskaya</t>
  </si>
  <si>
    <t>Nikitenki</t>
  </si>
  <si>
    <t>Demidovsky District</t>
  </si>
  <si>
    <t>Газопровод-отвод к д. Никитино Демидовского района Смоленской области</t>
  </si>
  <si>
    <t>LINESTRING (31.92803028032537 54.8879926843032, 31.78438404004664 55.500839402977896)</t>
  </si>
  <si>
    <t>P4131</t>
  </si>
  <si>
    <t>https://www.gem.wiki/Selivanovo_Gas_Pipeline</t>
  </si>
  <si>
    <t>Selivanovo Gas Pipeline</t>
  </si>
  <si>
    <t>Vyazma</t>
  </si>
  <si>
    <t>Selivanovo</t>
  </si>
  <si>
    <t>Газопровод-отвод и ГРС «Селиваново» Вяземского района Смоленской области</t>
  </si>
  <si>
    <t>LINESTRING (34.16825303019599 55.24686335464609, 34.314963970479596 55.04752701574486)</t>
  </si>
  <si>
    <t>P4132</t>
  </si>
  <si>
    <t>https://www.gem.wiki/Smolenskaya_GRES-Zharkovskii_Gas_Pipeline</t>
  </si>
  <si>
    <t>Smolenskaya GRES-Zharkovskii Gas Pipeline</t>
  </si>
  <si>
    <t>Dobrino</t>
  </si>
  <si>
    <t>Zharkovskii</t>
  </si>
  <si>
    <t>Газопровод от ГРС «Смоленская ГРЭС» на территории Смоленской области до пгт Жарковский Жарковского района Тверской области</t>
  </si>
  <si>
    <t>LINESTRING (32.410634873995605 55.60840212179152, 32.27118928030772 55.8455096015282)</t>
  </si>
  <si>
    <t>P4133</t>
  </si>
  <si>
    <t>https://www.gem.wiki/Kot_Momin-Jauharabad_Gas_Pipeline</t>
  </si>
  <si>
    <t>Kot Momin-Jauharabad Gas Pipeline</t>
  </si>
  <si>
    <t>Kot Momin</t>
  </si>
  <si>
    <t>Jauharabad</t>
  </si>
  <si>
    <t>LINESTRING (73.02468271341513 32.18739800167478, 72.27025594051159 32.28915831206387)</t>
  </si>
  <si>
    <t>P4134</t>
  </si>
  <si>
    <t>https://www.gem.wiki/Jauharabad-Chashma_Gas_Pipeline</t>
  </si>
  <si>
    <t>Jauharabad-Chashma Gas Pipeline</t>
  </si>
  <si>
    <t>Chashma</t>
  </si>
  <si>
    <t>LINESTRING (72.2702558691973 32.29763319123505, 71.44815626284394 32.41619825552571)</t>
  </si>
  <si>
    <t>P4135</t>
  </si>
  <si>
    <t>https://www.gem.wiki/Faisalabad-Shahdara_Gas_Pipeline-I</t>
  </si>
  <si>
    <t>Faisalabad-Shahdara Gas Pipeline-I</t>
  </si>
  <si>
    <t>Shahdara</t>
  </si>
  <si>
    <t>LINESTRING (73.13496440790217 31.454794921352928, 74.27788337283248 31.62141740761688)</t>
  </si>
  <si>
    <t>P4136</t>
  </si>
  <si>
    <t>https://www.gem.wiki/Faisalabad-Shahdara_Gas_Pipeline-II</t>
  </si>
  <si>
    <t>Faisalabad-Shahdara Gas Pipeline-II</t>
  </si>
  <si>
    <t>P4137</t>
  </si>
  <si>
    <t>https://www.gem.wiki/Sheikhupura-Gujranwala_Gas_Pipeline</t>
  </si>
  <si>
    <t>Sheikhupura-Gujranwala Gas Pipeline</t>
  </si>
  <si>
    <t>Gujranwala</t>
  </si>
  <si>
    <t>LINESTRING (73.98370343098355 31.716921261525844, 74.20476941297258 32.189479513271564)</t>
  </si>
  <si>
    <t>P4138</t>
  </si>
  <si>
    <t>https://www.gem.wiki/MP_59.91-Nandipur_Power_Plant_Gas_Pipeline</t>
  </si>
  <si>
    <t>MP 59.91-Nandipur Power Plant Gas Pipeline</t>
  </si>
  <si>
    <t>Nandipur</t>
  </si>
  <si>
    <t>LINESTRING (74.27035407957656 32.24230573011896, 73.9073539568951 31.72094706530548)</t>
  </si>
  <si>
    <t>P4139</t>
  </si>
  <si>
    <t>https://www.gem.wiki/Shahdara-Gujranwala-Rahwali_Gas_Pipeline</t>
  </si>
  <si>
    <t>Shahdara-Gujranwala-Rahwali Gas Pipeline</t>
  </si>
  <si>
    <t>Rahwali</t>
  </si>
  <si>
    <t>LINESTRING (74.28402130635003 31.622225571593397, 74.1932834884009 32.188529801738774, 74.16975886888022 32.24539454459636)</t>
  </si>
  <si>
    <t>P4140</t>
  </si>
  <si>
    <t>https://www.gem.wiki/Sahiwal-Lahore_Gas_Pipeline-II</t>
  </si>
  <si>
    <t>Sahiwal-Lahore Gas Pipeline-II</t>
  </si>
  <si>
    <t>LINESTRING (72.9148324612064 30.47364427937876, 74.161780663509 31.32499126546926)</t>
  </si>
  <si>
    <t>P4141</t>
  </si>
  <si>
    <t>https://www.gem.wiki/Head_Balloki-MP_59.91_Gas_Pipeline</t>
  </si>
  <si>
    <t>Head Balloki-MP 59.91 Gas Pipeline</t>
  </si>
  <si>
    <t xml:space="preserve">Head Balloki </t>
  </si>
  <si>
    <t>LINESTRING (73.84442942746539 31.243844864306904, 73.98647531361296 31.7180562041374)</t>
  </si>
  <si>
    <t>P4142</t>
  </si>
  <si>
    <t>https://www.gem.wiki/Rzhev-Olenino-Zapadnaya_Dvina_Gas_Pipeline</t>
  </si>
  <si>
    <t>Rzhev-Olenino-Zapadnaya Dvina Gas Pipeline</t>
  </si>
  <si>
    <t>Rzhev</t>
  </si>
  <si>
    <t>Zapadnaya Dvina</t>
  </si>
  <si>
    <t xml:space="preserve">Газопровод-отвод г. Ржев - ГРС «Оленино», ГРС «Западная Двина» </t>
  </si>
  <si>
    <t>LINESTRING (34.32113236119664 56.24819328613735, 33.49978453539662 56.20970057062899, 32.81502628233453 56.284083123789934, 32.08978065059027 56.27369962384316)</t>
  </si>
  <si>
    <t>P4143</t>
  </si>
  <si>
    <t>Nikitino-Nelidovo Segment</t>
  </si>
  <si>
    <t>Nikitino</t>
  </si>
  <si>
    <t>Nelidovo</t>
  </si>
  <si>
    <t>Газопровод-отвод к г. Нелидово Тверской области и строительство ГРС «Нелидово»</t>
  </si>
  <si>
    <t>LINESTRING (32.81502628233453 56.284083123789934, 32.771656987063935 56.23798830960695)</t>
  </si>
  <si>
    <t>P4144</t>
  </si>
  <si>
    <t>https://www.gem.wiki/Alkhazurovo-Shatoi_Gas_Pipeline</t>
  </si>
  <si>
    <t>Alkhazurovo-Shatoi Gas Pipeline</t>
  </si>
  <si>
    <t>Alkhazurovo</t>
  </si>
  <si>
    <t>Chechen Republic</t>
  </si>
  <si>
    <t>Shatoi</t>
  </si>
  <si>
    <t>Газопровод-отвод Алхазурово - ГРС «Шатой»</t>
  </si>
  <si>
    <t>LINESTRING (45.646145862719024 43.05249152917186, 45.69163187404423 42.87926175169543)</t>
  </si>
  <si>
    <t>P4145</t>
  </si>
  <si>
    <t>P4146</t>
  </si>
  <si>
    <t>LINESTRING (73.04129 65.31859, 72.883339 65.382976, 72.736396 65.295074, 72.562675 65.261098, 72.055244 65.255912, 71.00605 65.051102, 71.007423 64.961511, 70.86615 64.85788, 70.736885 64.802245, 70.627021 64.6927, 70.583763 64.689169, 70.509605 64.606044, 70.36129 64.544569, 70.319404 64.515557, 70.184135 64.488294, 69.531135 64.416151, 69.379387 64.350972, 68.98002 64.29699, 68.803978 64.295194, 68.683815 64.299971, 68.457908 64.296687, 68.359718 64.266815, 67.973137 64.210268, 67.896919 64.224341, 67.517891 64.152105, 67.439613 64.149104, 67.322883 64.101339, 67.2192 64.086903, 67.175941 64.045057, 66.819572 63.913998, 66.712455 63.810897, 66.60472 63.7736, 66.469383 63.661646, 66.475563 63.639649, 66.389732 63.492874, 66.207084 63.433522, 66.077995 63.336388, 65.913887 63.290327, 65.845909 63.242954, 65.386543 63.104728, 65.349464 63.077315, 65.25196 63.049565, 65.14333 62.96722, 64.797363 62.963027, 64.716339 62.905852, 64.503479 62.876754, 64.412842 62.844806, 64.314308 62.781983, 64.2773 62.76384)</t>
  </si>
  <si>
    <t>P4147</t>
  </si>
  <si>
    <t>IV</t>
  </si>
  <si>
    <t>LINESTRING (73.04129 65.31859, 72.883339 65.382976, 72.736396 65.295074, 72.562675 65.261098, 72.055244 65.255912, 71.00605 65.051102, 71.007423 64.961511, 70.86615 64.85788, 70.736885 64.802245, 70.627021 64.6927, 70.583763 64.689169, 70.509605 64.606044, 70.36129 64.544569, 70.319404 64.515557, 70.184135 64.488294, 69.531135 64.416151, 69.379387 64.350972, 68.98002 64.29699, 68.803978 64.295194, 68.683815 64.299971, 68.457908 64.296687, 68.359718 64.266815, 67.973137 64.210268, 67.896919 64.224341, 67.517891 64.152105, 67.439613 64.149104, 67.322883 64.101339, 67.2192 64.086903, 67.175941 64.045057, 66.819572 63.913998, 66.712455 63.810897, 66.60472 63.7736, 66.469383 63.661646, 66.475563 63.639649, 66.389732 63.492874, 66.207084 63.433522, 66.077995 63.336388, 65.913887 63.290327, 65.845909 63.242954, 65.386543 63.104728, 65.349464 63.077315, 65.25196 63.049565, 65.14333 62.96722, 64.797363 62.963027, 64.716339 62.905852, 64.503479 62.876754, 64.412842 62.844806, 64.314308 62.781983, 64.2774 62.76384)</t>
  </si>
  <si>
    <t>P4148</t>
  </si>
  <si>
    <t>V</t>
  </si>
  <si>
    <t>LINESTRING (73.04129 65.31859, 72.883339 65.382976, 72.736396 65.295074, 72.562675 65.261098, 72.055244 65.255912, 71.00605 65.051102, 71.007423 64.961511, 70.86615 64.85788, 70.736885 64.802245, 70.627021 64.6927, 70.583763 64.689169, 70.509605 64.606044, 70.36129 64.544569, 70.319404 64.515557, 70.184135 64.488294, 69.531135 64.416151, 69.379387 64.350972, 68.98002 64.29699, 68.803978 64.295194, 68.683815 64.299971, 68.457908 64.296687, 68.359718 64.266815, 67.973137 64.210268, 67.896919 64.224341, 67.517891 64.152105, 67.439613 64.149104, 67.322883 64.101339, 67.2192 64.086903, 67.175941 64.045057, 66.819572 63.913998, 66.712455 63.810897, 66.60472 63.7736, 66.469383 63.661646, 66.475563 63.639649, 66.389732 63.492874, 66.207084 63.433522, 66.077995 63.336388, 65.913887 63.290327, 65.845909 63.242954, 65.386543 63.104728, 65.349464 63.077315, 65.25196 63.049565, 65.14333 62.96722, 64.797363 62.963027, 64.716339 62.905852, 64.503479 62.876754, 64.412842 62.844806, 64.314308 62.781983, 64.2775 62.76384)</t>
  </si>
  <si>
    <t>P4149</t>
  </si>
  <si>
    <t>https://www.gem.wiki/Bezhanitsy-Novorzhev_Gas_Pipeline</t>
  </si>
  <si>
    <t>Bezhanitsy-Novorzhev Gas Pipeline</t>
  </si>
  <si>
    <t>Bezhanitsy</t>
  </si>
  <si>
    <t>Pskov Oblast</t>
  </si>
  <si>
    <t>Novorzhev</t>
  </si>
  <si>
    <t>Газопровод-отвод Бежаницы - ГPC «Новоржев» Псковской области</t>
  </si>
  <si>
    <t>LINESTRING (29.839361827000705 56.98946940023426, 29.338100571398105 57.0267458462416)</t>
  </si>
  <si>
    <t>P4150</t>
  </si>
  <si>
    <t>https://www.gem.wiki/Novorzhev-Pushkinskiye_Gory_Gas_Pipeline</t>
  </si>
  <si>
    <t>Novorzhev-Pushkinskiye Gory Gas Pipeline</t>
  </si>
  <si>
    <t>Pushkinskiye Gory</t>
  </si>
  <si>
    <t>Газопровод-отвод ГPC «Новоржев» - ГРС «Пушкинские Горы» Псковской области</t>
  </si>
  <si>
    <t>LINESTRING (29.338100571398105 57.0267458462416, 28.92780136878894 57.01774556166545)</t>
  </si>
  <si>
    <t>P4151</t>
  </si>
  <si>
    <t>RL(2) Pipeline 2</t>
  </si>
  <si>
    <t>P4152</t>
  </si>
  <si>
    <t>RL(3) Pipeline 1</t>
  </si>
  <si>
    <t>P4153</t>
  </si>
  <si>
    <t>RL(3) Pipeline 2</t>
  </si>
  <si>
    <t>P4154</t>
  </si>
  <si>
    <t>https://www.gem.wiki/Qatargas_LNG_Terminals_Gas_Pipelines</t>
  </si>
  <si>
    <t>Qatargas LNG Terminals Gas Pipelines</t>
  </si>
  <si>
    <t>Qatargas 1 Pipeline</t>
  </si>
  <si>
    <t>P4155</t>
  </si>
  <si>
    <t>Qatargas 2 Pipeline 1</t>
  </si>
  <si>
    <t>LINESTRING (51.991 26.071, 51.53889 25.8575)</t>
  </si>
  <si>
    <t>P4156</t>
  </si>
  <si>
    <t>https://www.gem.wiki/Pushkinskiye_Gory-Opochka_Gas_Pipeline</t>
  </si>
  <si>
    <t>Pushkinskiye Gory-Opochka Gas Pipeline</t>
  </si>
  <si>
    <t>Opochka</t>
  </si>
  <si>
    <t>Газопровод-отвод ГРС «Пушкинские Горы» - ГРС «Опочка» Псковской области</t>
  </si>
  <si>
    <t>LINESTRING (28.92780136878894 57.01774556166545, 28.681594460649627 56.71306509665567)</t>
  </si>
  <si>
    <t>P4157</t>
  </si>
  <si>
    <t>https://www.gem.wiki/Phool_Nagar-Dawood_Hercules_Gas_Pipeline</t>
  </si>
  <si>
    <t>Phool Nagar-Dawood Hercules Gas Pipeline</t>
  </si>
  <si>
    <t>Phool Nagar</t>
  </si>
  <si>
    <t>Kasur</t>
  </si>
  <si>
    <t>LINESTRING (73.85770170009597 31.227425193890596, 74.08017482679624 31.695983864705603)</t>
  </si>
  <si>
    <t>P4158</t>
  </si>
  <si>
    <t>https://www.gem.wiki/Phool_Nagar-Dawood_Hercules_Gas_Loopline</t>
  </si>
  <si>
    <t>Phool Nagar-Dawood Hercules Gas Loopline</t>
  </si>
  <si>
    <t>LINESTRING (73.55770170009598 31.027425193890597, 73.88017482679624 31.495983864705604)</t>
  </si>
  <si>
    <t>P4159</t>
  </si>
  <si>
    <t>https://www.gem.wiki/Gujrat-Jhelum_Gas_Pipeline</t>
  </si>
  <si>
    <t>Gujrat-Jhelum Gas Pipeline</t>
  </si>
  <si>
    <t>Gujrat</t>
  </si>
  <si>
    <t>Jhelum</t>
  </si>
  <si>
    <t>LINESTRING (74.10508922828772 32.570619501250114, 73.72649502020737 32.939858280078845)</t>
  </si>
  <si>
    <t>P4160</t>
  </si>
  <si>
    <t>https://www.gem.wiki/Castillon-Chazelles_Gas_Pipeline</t>
  </si>
  <si>
    <t>Castillon-Chazelles Gas Pipeline</t>
  </si>
  <si>
    <t>LINESTRING (-0.0473760324007975 44.857720840027774, 0.1812618124619116 45.27297008540911, 0.3380420334441813 45.657814708001084)</t>
  </si>
  <si>
    <t>P4161</t>
  </si>
  <si>
    <t>https://www.gem.wiki/Dandot-Gali_Jagir-Wah_Gas_Pipeline_I</t>
  </si>
  <si>
    <t>Dandot-Gali Jagir-Wah Gas Pipeline I</t>
  </si>
  <si>
    <t>Dandot</t>
  </si>
  <si>
    <t>Chakwal</t>
  </si>
  <si>
    <t>Wah</t>
  </si>
  <si>
    <t>Rawalpindi</t>
  </si>
  <si>
    <t>LINESTRING (72.9647387474558 32.67599085758998, 72.63240234831095 33.435646862791685, 72.73677245713328 33.79246668310665)</t>
  </si>
  <si>
    <t>P4162</t>
  </si>
  <si>
    <t>https://www.gem.wiki/Dandot-Gali_Jagir-Wah_Gas_Pipeline_II</t>
  </si>
  <si>
    <t>Dandot-Gali Jagir-Wah Gas Pipeline II</t>
  </si>
  <si>
    <t>10, 30</t>
  </si>
  <si>
    <t>LINESTRING (72.7647387474558 32.47599085758998, 72.43240234831094 33.23564686279168, 72.53677245713328 33.59246668310665)</t>
  </si>
  <si>
    <t>P4163</t>
  </si>
  <si>
    <t>https://www.gem.wiki/Dakhni-Meyal-Dhulian_Gas_Pipeline</t>
  </si>
  <si>
    <t>Dakhni-Meyal-Dhulian Gas Pipeline</t>
  </si>
  <si>
    <t xml:space="preserve">Dakhni </t>
  </si>
  <si>
    <t>Attock</t>
  </si>
  <si>
    <t>Dhulian</t>
  </si>
  <si>
    <t>LINESTRING (71.96864354316493 33.4061939213072, 72.16548921031396 33.31651616901107, 72.34856944619384 33.211775409609736)</t>
  </si>
  <si>
    <t>P4164</t>
  </si>
  <si>
    <t>https://www.gem.wiki/Dhulian-Daud_Khel_Gas_Pipeline</t>
  </si>
  <si>
    <t>Dhulian-Daud Khel Gas Pipeline</t>
  </si>
  <si>
    <t>Daud Khel</t>
  </si>
  <si>
    <t>Mianwali</t>
  </si>
  <si>
    <t>LINESTRING (72.34049647251531 33.210251676092135, 71.59425982262633 32.90972539651018)</t>
  </si>
  <si>
    <t>P4165</t>
  </si>
  <si>
    <t>https://www.gem.wiki/Rawat-Murree_Gas_Pipeline</t>
  </si>
  <si>
    <t>Rawat-Murree Gas Pipeline</t>
  </si>
  <si>
    <t>Rawat</t>
  </si>
  <si>
    <t>Islamabad</t>
  </si>
  <si>
    <t>Murree</t>
  </si>
  <si>
    <t>LINESTRING (73.19588434157995 33.492061343202295, 73.39093885364399 33.91086877536279)</t>
  </si>
  <si>
    <t>P4166</t>
  </si>
  <si>
    <t>https://www.gem.wiki/Novosokolniki-Pustoshka_Gas_Pipeline</t>
  </si>
  <si>
    <t>Novosokolniki-Pustoshka Gas Pipeline</t>
  </si>
  <si>
    <t>Novosokolniki</t>
  </si>
  <si>
    <t>Pustoshka</t>
  </si>
  <si>
    <t>Газопровод-отвод ГРС Новосокольники - ГРС «Пустошка» Псковской области</t>
  </si>
  <si>
    <t>LINESTRING (30.152606368125348 56.329546511071115, 29.35787506395572 56.33305121116345)</t>
  </si>
  <si>
    <t>P4167</t>
  </si>
  <si>
    <t>https://www.gem.wiki/Pustoshka-Idritsa_Gas_Pipeline</t>
  </si>
  <si>
    <t>Pustoshka-Idritsa Gas Pipeline</t>
  </si>
  <si>
    <t>Idritsa</t>
  </si>
  <si>
    <t>Газопровод-отвод ГРС «Пустошка» - ГРС «Идрица» Псковской области</t>
  </si>
  <si>
    <t>LINESTRING (29.35787506395572 56.33305121116345, 28.875762510218134 56.34784067698042)</t>
  </si>
  <si>
    <t>P4168</t>
  </si>
  <si>
    <t>https://www.gem.wiki/Bayonne-Toulouse_Gas_Pipeline</t>
  </si>
  <si>
    <t>Bayonne-Toulouse Gas Pipeline</t>
  </si>
  <si>
    <t>LINESTRING (-1.484443301749822 43.49050131542903, -1.2049828174391746 43.56418190693703, -0.6645385750532953 43.43015025595366, -0.3573630013895264 43.32943129828175, -0.2857656872272944 43.324390958641175, -0.2534314163153191 43.18982763449408, 0.1184127557114297 43.21171440571511, 0.3147279719627102 43.090396678657754, 0.8274571610493403 43.13760440791701, 0.9152216106675596 43.13254817862628, 0.974272353177867 43.17466953113029, 1.276396349818165 43.340692466975284, 1.4329515258430254 43.60379630701264)</t>
  </si>
  <si>
    <t>P4169</t>
  </si>
  <si>
    <t>https://www.gem.wiki/Montauban-Aurillac-Saint_Affrique_Gas_Pipeline</t>
  </si>
  <si>
    <t>Montauban-Aurillac-Saint Affrique Gas Pipeline</t>
  </si>
  <si>
    <t>Montauban</t>
  </si>
  <si>
    <t>Saint Affrique</t>
  </si>
  <si>
    <t>MULTILINESTRING ((2.030299533606843 44.60777118948787, 2.0589930848070286 44.56762971118743, 2.2402674827912072 44.48538911531517, 2.3748499903855222 44.495185750969085, 2.5588709701573396 44.33431313691053, 2.973604820090839 44.23993846031527, 3.097201000534598 44.11781343280467, 2.8884607846740287 43.959859013122454), (1.348657761252526 44.0092717375628, 1.4240319540072996 44.093323458648136, 1.5348923114197872 44.16957743477992, 1.974869354900599 44.59050379985826, 2.030299533606843 44.60777118948787, 2.094968090692235 44.75064643709714, 2.446025889165114 44.929971392154286))</t>
  </si>
  <si>
    <t>P4170</t>
  </si>
  <si>
    <t>https://www.gem.wiki/Wah-Nowshera_Gas_Pipeline_I</t>
  </si>
  <si>
    <t>Wah-Nowshera Gas Pipeline I</t>
  </si>
  <si>
    <t>LINESTRING (72.72062854519868 33.78809900263521, 71.98447970684666 34.01433530000255)</t>
  </si>
  <si>
    <t>P4171</t>
  </si>
  <si>
    <t>https://www.gem.wiki/Pskov-Strugi_Krasnye_Gas_Pipeline</t>
  </si>
  <si>
    <t>Pskov-Strugi Krasnye Gas Pipeline</t>
  </si>
  <si>
    <t>Pskov</t>
  </si>
  <si>
    <t>Strugi Krasnye</t>
  </si>
  <si>
    <t>Газопровод-отвод Псков - ГРС «Струги Красные» Псковской области</t>
  </si>
  <si>
    <t>LINESTRING (28.40817890282489 57.81531197529225, 29.097126928999455 58.276123580320906)</t>
  </si>
  <si>
    <t>P4172</t>
  </si>
  <si>
    <t>https://www.gem.wiki/Gdov-Slantsy_Gas_Pipeline</t>
  </si>
  <si>
    <t>Gdov-Slantsy Gas Pipeline</t>
  </si>
  <si>
    <t>Gdov</t>
  </si>
  <si>
    <t>Slantsy</t>
  </si>
  <si>
    <t>Газопровод-отвод ГРС «Гдов» Псковской области - Сланцы Завод Ленинградской области</t>
  </si>
  <si>
    <t>LINESTRING (27.823149261149883 58.73871575947284, 28.096059644205212 59.109839769270295)</t>
  </si>
  <si>
    <t>P4173</t>
  </si>
  <si>
    <t>https://www.gem.wiki/Wah-Nowshera_Gas_Pipeline_II</t>
  </si>
  <si>
    <t>Wah-Nowshera Gas Pipeline II</t>
  </si>
  <si>
    <t>LINESTRING (72.52062854519868 33.58809900263521, 71.78447970684665 33.51433530000255)</t>
  </si>
  <si>
    <t>P4174</t>
  </si>
  <si>
    <t>https://www.gem.wiki/Mian_Channu-Hasilpur_Gas_Pipeline</t>
  </si>
  <si>
    <t>Mian Channu-Hasilpur Gas Pipeline</t>
  </si>
  <si>
    <t>Hasilpur</t>
  </si>
  <si>
    <t>Bahawalpur</t>
  </si>
  <si>
    <t>LINESTRING (72.35212539293019 30.444061466241624, 72.59356776646952 29.691843578153033)</t>
  </si>
  <si>
    <t>P4175</t>
  </si>
  <si>
    <t>https://www.gem.wiki/Haripur-Mansehra_Gas_Pipeline</t>
  </si>
  <si>
    <t>Haripur-Mansehra Gas Pipeline</t>
  </si>
  <si>
    <t>Mansehra</t>
  </si>
  <si>
    <t>LINESTRING (72.91027776212835 33.99727519419997, 73.19930142021305 34.33057519506699)</t>
  </si>
  <si>
    <t>P4176</t>
  </si>
  <si>
    <t>https://www.gem.wiki/Kohat-Nowshera_Gas_Pipeline</t>
  </si>
  <si>
    <t>Kohat-Nowshera Gas Pipeline</t>
  </si>
  <si>
    <t>Kohat</t>
  </si>
  <si>
    <t>LINESTRING (71.44857600862527 33.58822033645287, 71.98654666272336 34.014668945153836)</t>
  </si>
  <si>
    <t>P4177</t>
  </si>
  <si>
    <t>https://www.gem.wiki/Krapa-Manjiwala_Gas_Pipeline</t>
  </si>
  <si>
    <t>Krapa-Manjiwala Gas Pipeline</t>
  </si>
  <si>
    <t>Krapa</t>
  </si>
  <si>
    <t>Karak</t>
  </si>
  <si>
    <t>Kala Manjiwala</t>
  </si>
  <si>
    <t>Lakki Marwat</t>
  </si>
  <si>
    <t>LINESTRING (71.31077508060956 33.341070401646135, 70.83804909739702 32.761669199265626)</t>
  </si>
  <si>
    <t>P4178</t>
  </si>
  <si>
    <t>https://www.gem.wiki/Manjiwala-Pezu_Gas_Pipeline</t>
  </si>
  <si>
    <t>Manjiwala-Pezu Gas Pipeline</t>
  </si>
  <si>
    <t>Pezu</t>
  </si>
  <si>
    <t>LINESTRING (70.84479376405478 32.7717688747082, 70.75158669874601 32.30768579134547)</t>
  </si>
  <si>
    <t>P4179</t>
  </si>
  <si>
    <t>https://www.gem.wiki/Nowshera-Mardan-Takht_Bhai-Sakhakot_Gas_Pipeline</t>
  </si>
  <si>
    <t>Nowshera-Mardan-Takht Bhai-Sakhakot Gas Pipeline</t>
  </si>
  <si>
    <t>Sakhakot</t>
  </si>
  <si>
    <t>Malakand</t>
  </si>
  <si>
    <t>LINESTRING (71.98646031162484 34.01070023233834, 72.03933201148219 34.199458591665284, 71.93152867540942 34.28800673237402, 71.90612279123452 34.45802954087728)</t>
  </si>
  <si>
    <t>P4180</t>
  </si>
  <si>
    <t>https://www.gem.wiki/Mardan-Palai_Gas_Pipeline</t>
  </si>
  <si>
    <t>Mardan-Palai Gas Pipeline</t>
  </si>
  <si>
    <t>Mardan</t>
  </si>
  <si>
    <t>Palai</t>
  </si>
  <si>
    <t>Charsadda</t>
  </si>
  <si>
    <t>LINESTRING (72.03667636938157 34.2033478871706, 71.67962073398131 34.406406617910385)</t>
  </si>
  <si>
    <t>P4181</t>
  </si>
  <si>
    <t>https://www.gem.wiki/Sakhakot-Swat_Gas_Pipeline</t>
  </si>
  <si>
    <t>Sakhakot-Swat Gas Pipeline</t>
  </si>
  <si>
    <t>Swat</t>
  </si>
  <si>
    <t>LINESTRING (71.90484046142569 34.45850995768748, 72.3525332965814 34.80879263440494)</t>
  </si>
  <si>
    <t>P4182</t>
  </si>
  <si>
    <t>https://www.gem.wiki/Gurguri-Kohat_Gas_Pipeline</t>
  </si>
  <si>
    <t>Gurguri-Kohat Gas Pipeline</t>
  </si>
  <si>
    <t>Gurguri</t>
  </si>
  <si>
    <t>LINESTRING (70.7908436108161 33.299046641734776, 71.43903691815811 33.594680574776845)</t>
  </si>
  <si>
    <t>P4183</t>
  </si>
  <si>
    <t>Los Ramones II North</t>
  </si>
  <si>
    <t>IEnova [50.00%]; Brookfield Infrastructure Partners [45.00%]; Pemex [5.00%]</t>
  </si>
  <si>
    <t>Sempra Energy [50.00%]; Brookfield Infrastructure Partners [45.00%]; Pemex [5.00%]</t>
  </si>
  <si>
    <t>Villa Hidalgo</t>
  </si>
  <si>
    <t>San Luis Potosi</t>
  </si>
  <si>
    <t>Los Ramones II Norte</t>
  </si>
  <si>
    <t>LINESTRING (-99.459615 25.682706, -99.537665 24.511096, -100.680806 22.450203)</t>
  </si>
  <si>
    <t>P4184</t>
  </si>
  <si>
    <t>Los Ramones II South</t>
  </si>
  <si>
    <t>Engie [50.00%]; Brookfield Infrastructure Partners [45.00%]; Pemex [5.00%]</t>
  </si>
  <si>
    <t>Aposeo El Alto</t>
  </si>
  <si>
    <t>Los Ramones II Sur</t>
  </si>
  <si>
    <t>LINESTRING (-100.680806 22.450203, -100.52453 21.291918, -100.444319 20.822993, -100.6419696 20.4583418)</t>
  </si>
  <si>
    <t>P4185</t>
  </si>
  <si>
    <t>Phase 2 (Qua lboe Terminal–Cawthorne Channel) and Phase 3 (Oyigbo–Ajaokuta)</t>
  </si>
  <si>
    <t>Qua Iboe Terminal</t>
  </si>
  <si>
    <t>Cawthorne Channel</t>
  </si>
  <si>
    <t>Rivers State</t>
  </si>
  <si>
    <t>Oyigbo</t>
  </si>
  <si>
    <t>MULTILINESTRING ((8.009291 4.548843, 7.125106 4.886498), (7.125106 4.886498, 7.491902 5.52455, 7.54568 6.456281, 6.641063 7.537941, 7.401924 9.085473))</t>
  </si>
  <si>
    <t>P4186</t>
  </si>
  <si>
    <t>https://www.gem.wiki/Irun-Biriatou_Gas_Pipeline</t>
  </si>
  <si>
    <t>Irun-Biriatou Gas Pipeline</t>
  </si>
  <si>
    <t>Western Axis</t>
  </si>
  <si>
    <t>Irun</t>
  </si>
  <si>
    <t>LINESTRING (-1.7890571739042054 43.33828540955961, -1.7608963371551507 43.34146353374075, -1.7429316654359261 43.3342242310181)</t>
  </si>
  <si>
    <t>P4187</t>
  </si>
  <si>
    <t>https://www.gem.wiki/Barbaira-Amelie_les_Bains_Gas_Pipeline</t>
  </si>
  <si>
    <t>Barbaira-Amelie les Bains Gas Pipeline</t>
  </si>
  <si>
    <t>Eastern Axis</t>
  </si>
  <si>
    <t>Amelie-les-Bains</t>
  </si>
  <si>
    <t>LINESTRING (2.5007781360779706 43.16725342589237, 2.975244715325247 43.14968654599075, 2.9285810110967594 43.06830411607503, 2.97005985929986 42.98302059610646, 2.9596901472490846 42.92799732943572, 2.995984139426798 42.88432320615223, 2.920803727058679 42.84061814210676, 2.868955166804803 42.69026514472333, 2.85340059872864 42.54527743315268, 2.6693382098273815 42.47456914554794)</t>
  </si>
  <si>
    <t>P4188</t>
  </si>
  <si>
    <t>https://www.gem.wiki/Morelmaison-Rodersdorf_Gas_Pipeline</t>
  </si>
  <si>
    <t>Morelmaison-Rodersdorf Gas Pipeline</t>
  </si>
  <si>
    <t>GRTGaz [unknown %]; Gaznat [unknown %]</t>
  </si>
  <si>
    <t>LINESTRING (5.889598791190788 48.339135165802986, 6.045977262385071 48.08135208725994, 6.449269109149275 47.69501273677494, 6.737334713980849 47.58965175566571, 7.436922611428957 47.46738930791935)</t>
  </si>
  <si>
    <t>P4189</t>
  </si>
  <si>
    <t>https://www.gem.wiki/Langres-Lure_Gas_Pipeline</t>
  </si>
  <si>
    <t>Langres-Lure Gas Pipeline</t>
  </si>
  <si>
    <t>Lure</t>
  </si>
  <si>
    <t>LINESTRING (5.333508389354627 47.86997975582006, 6.638569204088589 47.42842784419994, 6.885482579658508 47.57854876190475)</t>
  </si>
  <si>
    <t>P4190</t>
  </si>
  <si>
    <t>https://www.gem.wiki/Martigny_le_Comte-Palleau_Gas_Pipeline</t>
  </si>
  <si>
    <t>Martigny le Comte-Palleau Gas Pipeline</t>
  </si>
  <si>
    <t>Martigny le Comte</t>
  </si>
  <si>
    <t>Palleau</t>
  </si>
  <si>
    <t>LINESTRING (4.336896461217914 46.53181905998241, 4.8615381626253305 46.75780855256563, 5.041045448405859 46.86530645032319, 5.029826243044575 46.95574497090951)</t>
  </si>
  <si>
    <t>P4191</t>
  </si>
  <si>
    <t>https://www.gem.wiki/Aouste-Troyes_Gas_Pipeline</t>
  </si>
  <si>
    <t>Aouste-Troyes Gas Pipeline</t>
  </si>
  <si>
    <t>Troyes</t>
  </si>
  <si>
    <t>LINESTRING (4.275764605787443 49.79038847372893, 4.175483397775405 48.75041642326151, 4.073562688879674 48.29248104901505)</t>
  </si>
  <si>
    <t>P4192</t>
  </si>
  <si>
    <t>https://www.gem.wiki/Dierrey_Saint_Julien-Paris_Gas_Pipeline</t>
  </si>
  <si>
    <t>Dierrey Saint Julien-Paris Gas Pipeline</t>
  </si>
  <si>
    <t>Dierrey Saint Julien</t>
  </si>
  <si>
    <t>LINESTRING (1.8739 48.844, 3.7893238911282787 48.3109053959922, 3.85383609338143 48.27785992745135)</t>
  </si>
  <si>
    <t>P4193</t>
  </si>
  <si>
    <t>https://www.gem.wiki/Annecy-La_Gabiule_Gas_Pipeline</t>
  </si>
  <si>
    <t>Annecy-La Gabiule Gas Pipeline</t>
  </si>
  <si>
    <t>La Gabiule</t>
  </si>
  <si>
    <t>LINESTRING (6.126054405356434 45.89956509825423, 6.206881483984256 46.25904957219383)</t>
  </si>
  <si>
    <t>P4194</t>
  </si>
  <si>
    <t>https://www.gem.wiki/Etrez-Vernier_Gas_Pipeline</t>
  </si>
  <si>
    <t>Etrez-Vernier Gas Pipeline</t>
  </si>
  <si>
    <t>Vernier</t>
  </si>
  <si>
    <t>LINESTRING (6.107115779721297 46.21389760335564, 6.1120631399470895 46.19041773679358, 5.998980625842274 46.18894991203277, 5.967882934463451 46.203137242761706, 5.206011430800676 46.23068243965375)</t>
  </si>
  <si>
    <t>P4195</t>
  </si>
  <si>
    <t>https://www.gem.wiki/F%C3%A9nix_Gas_Pipeline</t>
  </si>
  <si>
    <t>Fénix Gas Pipeline</t>
  </si>
  <si>
    <t>Fénix offshore gas field</t>
  </si>
  <si>
    <t>Fénix platform</t>
  </si>
  <si>
    <t>Gasoducto Fénix</t>
  </si>
  <si>
    <t>https://www.gem.wiki/Gasoducto_F%C3%A9nix</t>
  </si>
  <si>
    <t>LINESTRING (-67.268 -52.943, -68.352389 -52.897239, -68.564841 -52.73997)</t>
  </si>
  <si>
    <t>P4196</t>
  </si>
  <si>
    <t>Cartagena-Lorca</t>
  </si>
  <si>
    <t>Enagás [100.00%]</t>
  </si>
  <si>
    <t>30, 10</t>
  </si>
  <si>
    <t>Lorca</t>
  </si>
  <si>
    <t>LINESTRING (-0.9986826468159987 37.62042942707976, -1.3612369568038285 37.71221505632065, -1.702560608999578 37.67215360115375)</t>
  </si>
  <si>
    <t>P4197</t>
  </si>
  <si>
    <t>Orihuela-Totana</t>
  </si>
  <si>
    <t>Orihuela</t>
  </si>
  <si>
    <t>Totana</t>
  </si>
  <si>
    <t>MULTILINESTRING ((-0.9986826468159987 37.62042942707976, -1.3612369568038285 37.71221505632065, -1.702560608999578 37.67215360115375), (-0.9986826468159987 37.62042942707976, -0.9540990052655393 38.08500504384781))</t>
  </si>
  <si>
    <t>P4198</t>
  </si>
  <si>
    <t>Paterna-Teruel-Castillon</t>
  </si>
  <si>
    <t>Castellon de la Plana</t>
  </si>
  <si>
    <t>MULTILINESTRING ((-0.4421578195896516 39.50320356066116, -0.3570137726733448 39.7654912747597, -0.2746163079156287 39.96997417690622, -0.0521431530697949 39.98891591051941), (-0.2746163079156287 39.96997417690622, -0.4064522515279745 40.05832400417807, -0.7415352748760206 40.117160335622145, -0.9337960259773583 40.196928282953095, -1.1095772841271527 40.345717198871505))</t>
  </si>
  <si>
    <t>P4199</t>
  </si>
  <si>
    <t>Villamañán-Ponferrada</t>
  </si>
  <si>
    <t>Villamañán</t>
  </si>
  <si>
    <t>Ponferrada</t>
  </si>
  <si>
    <t>LINESTRING (-5.5848816867483055 42.326164188062236, -6.099407225188429 42.44725975792476, -6.261455553884459 42.44725975792476, -6.593791956803438 42.552559488009415)</t>
  </si>
  <si>
    <t>P4200</t>
  </si>
  <si>
    <t>La Robla-Guardo</t>
  </si>
  <si>
    <t>16, 12</t>
  </si>
  <si>
    <t>Guardo</t>
  </si>
  <si>
    <t>LINESTRING (-5.6258377762579075 42.80434033780169, -5.308164404471343 42.85951271269438, -5.052732293136922 42.758765171013756, -4.8522318186486135 42.784975317660965)</t>
  </si>
  <si>
    <t>P4201</t>
  </si>
  <si>
    <t>https://www.gem.wiki/Brunsb%C3%BCttel_LNG_Pipelines</t>
  </si>
  <si>
    <t>Brunsbüttel LNG Pipelines</t>
  </si>
  <si>
    <t>Pipeline 1 (Port to SH Netz)</t>
  </si>
  <si>
    <t>P4202</t>
  </si>
  <si>
    <t>Pipeline 2 (Brunsbüttel to Hetlingen)</t>
  </si>
  <si>
    <t>Hetlingen</t>
  </si>
  <si>
    <t>P4203</t>
  </si>
  <si>
    <t>36, 26</t>
  </si>
  <si>
    <t>P4204</t>
  </si>
  <si>
    <t>P4205</t>
  </si>
  <si>
    <t>https://www.gem.wiki/Castelnou-Villar_de_Arnedo-Haro_Gas_Pipeline</t>
  </si>
  <si>
    <t>Castelnou-Villar de Arnedo-Haro Gas Pipeline</t>
  </si>
  <si>
    <t>LINESTRING (-0.372444801800187 41.23634084674939, -0.9007032463713336 41.64689604203741, -1.6154059066912183 42.04331428001528, -1.716396491682761 42.17298853507088, -2.0698635391531606 42.31101529683677)</t>
  </si>
  <si>
    <t>P4206</t>
  </si>
  <si>
    <t>https://www.gem.wiki/Vergara-Irun_Gas_Pipeline</t>
  </si>
  <si>
    <t>Vergara-Irun Gas Pipeline</t>
  </si>
  <si>
    <t>Vergara</t>
  </si>
  <si>
    <t>LINESTRING (-2.4258982543989065 43.129215995622, -2.1745860099378405 43.05600823247721, -1.9534861664502354 43.28736595718261, -1.7914378339562147 43.33233363697181)</t>
  </si>
  <si>
    <t>P4207</t>
  </si>
  <si>
    <t>Capacity expansion only</t>
  </si>
  <si>
    <t>26, 24, 16</t>
  </si>
  <si>
    <t>P4208</t>
  </si>
  <si>
    <t>https://www.gem.wiki/Villapresente-Burgos_Gas_Pipeline</t>
  </si>
  <si>
    <t>Villapresente-Burgos Gas Pipeline</t>
  </si>
  <si>
    <t>LINESTRING (-4.116347199020313 43.36467297130204, -4.071266278899846 43.25942452512341, -4.041241597466002 43.14494256012022, -4.096671778574638 43.11123051354957, -4.129006050888009 42.91702573385513, -4.034312824827422 42.812069264238524, -4.037566955583699 42.72259287527433, -3.7927503223538896 42.60880753422921, -3.691128323654723 42.351602559596316)</t>
  </si>
  <si>
    <t>P4209</t>
  </si>
  <si>
    <t>https://www.gem.wiki/Elk-Antelope-Caution_Bay_Gas_Pipeline</t>
  </si>
  <si>
    <t>Elk-Antelope-Caution Bay Gas Pipeline</t>
  </si>
  <si>
    <t>Total [100.00%]</t>
  </si>
  <si>
    <t>Elk-Antelope</t>
  </si>
  <si>
    <t>Caution Bay</t>
  </si>
  <si>
    <t>P4210</t>
  </si>
  <si>
    <t>Stage IV: Vytegra-Pudozh Gas Pipeline</t>
  </si>
  <si>
    <t>Krasnoborsky</t>
  </si>
  <si>
    <t>Pudozhsky District</t>
  </si>
  <si>
    <t>LINESTRING (36.46218164945607 61.000572937971626, 36.34833 61.65528)</t>
  </si>
  <si>
    <t>P4211</t>
  </si>
  <si>
    <t>https://www.gem.wiki/Hajigabul-Gazakh-Saguramo_Pipeline</t>
  </si>
  <si>
    <t>Hajigabul-Gazakh-Saguramo Pipeline</t>
  </si>
  <si>
    <t>Haijigabul-Kazakhi-Saguramo</t>
  </si>
  <si>
    <t>Georgian Oil and Gas Corporation [unknown %]; SOCAR [unknown %]</t>
  </si>
  <si>
    <t>Georgian Oil &amp; Gas Corporation [unknown %]; SOCAR [unknown %]</t>
  </si>
  <si>
    <t>Hajigabul</t>
  </si>
  <si>
    <t>Saguramo</t>
  </si>
  <si>
    <t>LINESTRING (48.92025 40.03937, 45.35163 41.0971, 44.76125 41.90062)</t>
  </si>
  <si>
    <t>P4212</t>
  </si>
  <si>
    <t>Expansion (SCPX)</t>
  </si>
  <si>
    <t>Sangachal</t>
  </si>
  <si>
    <t>Intermediate Pigging (reciever) Station MX74</t>
  </si>
  <si>
    <t>P4213</t>
  </si>
  <si>
    <t>https://www.gem.wiki/Neft_Dashlary-Bahar_Gas_Pipeline</t>
  </si>
  <si>
    <t>Neft Dashlary-Bahar Gas Pipeline</t>
  </si>
  <si>
    <t>SOCAR [100.00%]</t>
  </si>
  <si>
    <t>LINESTRING (50.72046 40.28736, 47.72393 39.73077)</t>
  </si>
  <si>
    <t>P4214</t>
  </si>
  <si>
    <t>https://www.gem.wiki/Genser_Natural_Gas_Pipeline_Network</t>
  </si>
  <si>
    <t>Genser Natural Gas Pipeline</t>
  </si>
  <si>
    <t>Prestea -Tarkwa and Damang</t>
  </si>
  <si>
    <t>Genser Energy [100.00%]</t>
  </si>
  <si>
    <t>Genser Power USA, LLC [100.00%]</t>
  </si>
  <si>
    <t>Prestea</t>
  </si>
  <si>
    <t>P4215</t>
  </si>
  <si>
    <t>Prestea- Chirano</t>
  </si>
  <si>
    <t>P4216</t>
  </si>
  <si>
    <t>Prestea-Edikan and Wassa</t>
  </si>
  <si>
    <t>P4217</t>
  </si>
  <si>
    <t>https://www.gem.wiki/Bahar-Hovsan-Surakhani_Gas_Pipeline</t>
  </si>
  <si>
    <t>Bahar-Hovsan-Surakhani Gas Pipeline</t>
  </si>
  <si>
    <t>Bahar</t>
  </si>
  <si>
    <t>Surakhani</t>
  </si>
  <si>
    <t>LINESTRING (47.72393 39.73077, 50.0918 40.38025, 50.02088 40.38722)</t>
  </si>
  <si>
    <t>P4218</t>
  </si>
  <si>
    <t>https://www.gem.wiki/Lengo_Field_Gas_Pipeline</t>
  </si>
  <si>
    <t>Lengo Field Gas Pipeline</t>
  </si>
  <si>
    <t>Lengo gas field</t>
  </si>
  <si>
    <t>Lengo</t>
  </si>
  <si>
    <t>P4219</t>
  </si>
  <si>
    <t>https://www.gem.wiki/Zestaponi-Poti_Gas_Pipeline</t>
  </si>
  <si>
    <t>Zestaponi-Poti Gas Pipeline</t>
  </si>
  <si>
    <t>Georgian Oil and Gas Corporation [unknown %]</t>
  </si>
  <si>
    <t>Georgian Oil &amp; Gas Corporation [unknown %]</t>
  </si>
  <si>
    <t>Zestaponi</t>
  </si>
  <si>
    <t>Poti</t>
  </si>
  <si>
    <t>LINESTRING (43.03749 42.10833, 42.718 42.26624, 42.20298 42.2046, 42.06568 42.26963)</t>
  </si>
  <si>
    <t>P4220</t>
  </si>
  <si>
    <t>Puth Schinnen-Echt</t>
  </si>
  <si>
    <t>P4221</t>
  </si>
  <si>
    <t>https://www.gem.wiki/Eemshaven-Emden_Gas_Pipeline</t>
  </si>
  <si>
    <t>Eemshaven-Emden Gas Pipeline</t>
  </si>
  <si>
    <t>LINESTRING (6.793919 53.47004, 6.811157 53.469251, 6.825743 53.461357, 6.824417 53.451882, 6.815135 53.439246, 6.826406 53.422261, 6.833036 53.406454, 6.842318 53.40013, 6.867513 53.398548, 6.892707 53.386687, 6.916575 53.370867, 6.932487 53.366911, 6.965638 53.379569, 6.98818 53.381151, 7.039894 53.382733, 7.059785 53.379569)</t>
  </si>
  <si>
    <t>P4222</t>
  </si>
  <si>
    <t>https://www.gem.wiki/Laren-Vreden_Gas_Pipeline</t>
  </si>
  <si>
    <t>Laren-Vreden Gas Pipeline</t>
  </si>
  <si>
    <t>Laren</t>
  </si>
  <si>
    <t>Vreden</t>
  </si>
  <si>
    <t>LINESTRING (6.337769 52.165927, 6.367605 52.116285, 6.431253 52.095109, 6.49225 52.078813, 6.558551 52.05762, 6.60894 52.046204, 6.646068 52.028259, 6.677892 52.007041, 6.709717 51.998878, 6.765409 51.982547, 6.810494 51.976013, 6.837014 51.974379)</t>
  </si>
  <si>
    <t>P4223</t>
  </si>
  <si>
    <t>https://www.gem.wiki/Ommen-Groningen_Gas_Pipeline</t>
  </si>
  <si>
    <t>Ommen-Groningen Gas Pipeline</t>
  </si>
  <si>
    <t>LINESTRING (6.361638 52.488463, 6.370257 52.561475, 6.38418 52.589679, 6.39081 52.642413, 6.386169 52.672576, 6.39081 52.699503, 6.425286 52.741268, 6.433243 52.76374, 6.461089 52.77417, 6.470371 52.795824, 6.504847 52.818268, 6.543302 52.839098, 6.564518 52.857517, 6.585734 52.886331, 6.605624 52.931114, 6.609603 52.951092, 6.622863 52.964671, 6.658665 52.987028, 6.675903 53.000597, 6.678555 53.00698, 6.686511 53.023732, 6.705076 53.046059, 6.744856 53.063593, 6.785963 53.07873, 6.791267 53.107397)</t>
  </si>
  <si>
    <t>P4224</t>
  </si>
  <si>
    <t>https://www.gem.wiki/Ommen-Legden_Gas_Pipeline</t>
  </si>
  <si>
    <t>Ommen-Legden Gas Pipeline</t>
  </si>
  <si>
    <t>LINESTRING (6.361638 52.488463, 6.356334 52.462617, 6.376887 52.439181, 6.394788 52.431905, 6.409374 52.424629, 6.426612 52.408453, 6.457774 52.401577, 6.50551 52.385394, 6.522749 52.377704, 6.528716 52.358273, 6.532694 52.344098, 6.551258 52.33154, 6.574463 52.322626, 6.599657 52.315331, 6.627504 52.311683, 6.657339 52.309251, 6.700435 52.293845, 6.709717 52.286139, 6.732922 52.269508, 6.738889 52.260987, 6.742204 52.244345, 6.761431 52.228916, 6.791267 52.205763, 6.819776 52.192759, 6.8516 52.188695)</t>
  </si>
  <si>
    <t>P4225</t>
  </si>
  <si>
    <t>https://www.gem.wiki/Rjindik-Ommen_Gas_Pipeline</t>
  </si>
  <si>
    <t>Rjindik-Ommen Gas Pipeline</t>
  </si>
  <si>
    <t>Rjindik</t>
  </si>
  <si>
    <t>LINESTRING (6.380202 52.519134, 6.380202 52.519134, 6.341084 52.495325, 6.318542 52.494518, 6.287381 52.492096, 6.260198 52.485233, 6.235666 52.483618, 6.207157 52.477965, 6.193234 52.469484, 6.168039 52.468272, 6.140193 52.467868, 6.118977 52.460597, 6.109695 52.452921, 6.087816 52.451305, 6.074555 52.444839, 5.98969 52.440394, 5.937976 52.427863, 5.90814 52.411689, 5.873001 52.391058, 5.81996 52.361917, 5.769572 52.347339, 5.732443 52.348959, 5.695315 52.331135, 5.655535 52.326273, 5.589234 52.305197, 4.550964 52.287356)</t>
  </si>
  <si>
    <t>P4226</t>
  </si>
  <si>
    <t>https://www.gem.wiki/Scheemda-Emden_Gas_Pipeline</t>
  </si>
  <si>
    <t>Scheemda-Emden Gas Pipeline</t>
  </si>
  <si>
    <t>LINESTRING (6.894696 53.172622, 6.901989 53.194871, 6.931161 53.214727, 6.940443 53.253617, 6.953704 53.255997, 6.960334 53.291679, 6.962986 53.315451, 6.977572 53.347126, 7.009396 53.360581, 7.039894 53.382733, 7.059785 53.379569)</t>
  </si>
  <si>
    <t>P4227</t>
  </si>
  <si>
    <t>Gorinchem-Dussen</t>
  </si>
  <si>
    <t>LINESTRING (5.038274 51.829565, 5.0396 51.81891, 5.046231 51.811533, 5.046231 51.793493, 5.059491 51.785291, 5.059491 51.773806, 5.043579 51.750826, 5.059491 51.741795, 5.066121 51.722085, 5.038274 51.714691, 5.042253 51.691681, 5.043579 51.657145)</t>
  </si>
  <si>
    <t>P4228</t>
  </si>
  <si>
    <t>Pernis-Hook of Holland</t>
  </si>
  <si>
    <t>Hook of Holland</t>
  </si>
  <si>
    <t>LINESTRING (4.306314 51.851685, 4.299684 51.874614, 4.28112 51.894257, 4.250621 51.899167, 4.238687 51.903258, 4.222775 51.917982, 4.212167 51.927795, 4.222775 51.934336, 4.230731 51.935971, 4.242665 51.934336, 4.257251 51.941694, 4.271838 51.94905, 4.271838 51.96621, 4.271838 51.980914, 4.254599 51.99153, 4.207857 52.029686, 4.194929 52.027647, 4.171724 52.022751, 4.164762 52.015815, 4.158795 52.010714)</t>
  </si>
  <si>
    <t>P4229</t>
  </si>
  <si>
    <t>Aldeboarn-Scheemda</t>
  </si>
  <si>
    <t>LINESTRING (5.878968 53.061601, 5.953225 53.062398, 5.99831 53.046457, 6.085827 53.048052, 6.109695 53.063991, 6.122955 53.070366, 6.168039 53.079925, 6.205168 53.092668, 6.226384 53.103815, 6.274121 53.108591, 6.316553 53.102222, 6.353682 53.099038, 6.393462 53.103815, 6.41733 53.108591, 6.435895 53.102222, 6.512803 53.105407, 6.571148 53.105407, 6.640101 53.102222, 6.656013 53.111775, 6.711706 53.124508, 6.762094 53.130873, 6.780659 53.151554, 6.793919 53.18494, 6.853589 53.178185)</t>
  </si>
  <si>
    <t>P4231</t>
  </si>
  <si>
    <t>https://www.gem.wiki/Vale-Vani_Gas_Pipeline</t>
  </si>
  <si>
    <t>Vale-Vani Gas Pipeline</t>
  </si>
  <si>
    <t>Vale-Vani Interconnector</t>
  </si>
  <si>
    <t>500, 700, 800</t>
  </si>
  <si>
    <t>South Caucasus Gas Pipelilne</t>
  </si>
  <si>
    <t>Vale</t>
  </si>
  <si>
    <t>Vani</t>
  </si>
  <si>
    <t>ვალე-ვანი ვანი</t>
  </si>
  <si>
    <t>LINESTRING (42.87623 41.61379, 42.50448 42.08896)</t>
  </si>
  <si>
    <t>P4232</t>
  </si>
  <si>
    <t>https://www.gem.wiki/Rustavi-Poti_Gas_Pipeline</t>
  </si>
  <si>
    <t>Rustavi-Poti Gas Pipeline</t>
  </si>
  <si>
    <t>LINESTRING (45.04303 41.52256, 41.67137 42.15825)</t>
  </si>
  <si>
    <t>P4233</t>
  </si>
  <si>
    <t>https://www.gem.wiki/Saguramo-Kutaisi_Gas_Pipeline</t>
  </si>
  <si>
    <t>Saguramo-Kutaisi Gas Pipeline</t>
  </si>
  <si>
    <t>Saguramo Gas Metering Station</t>
  </si>
  <si>
    <t>Kutaisi</t>
  </si>
  <si>
    <t>LINESTRING (44.76125 41.90062, 44.10841 41.98541, 43.87919 42.02057, 43.58659 41.98376, 42.718 42.26624)</t>
  </si>
  <si>
    <t>P4234</t>
  </si>
  <si>
    <t>https://www.gem.wiki/Gomi-Khashuri-Bakuriani_Gas_Pipeline</t>
  </si>
  <si>
    <t>Gomi-Khashuri-Bakuriani Gas Pipeline</t>
  </si>
  <si>
    <t>300, 500</t>
  </si>
  <si>
    <t>Gomi</t>
  </si>
  <si>
    <t>Bakuriani</t>
  </si>
  <si>
    <t>LINESTRING (43.72684 42.02114, 43.58659 41.98376, 43.52918 41.75097)</t>
  </si>
  <si>
    <t>P4235</t>
  </si>
  <si>
    <t>https://www.gem.wiki/Kutaisi-Sukhumi_Gas_Pipeline</t>
  </si>
  <si>
    <t>Kutaisi-Sukhumi Gas Pipeline</t>
  </si>
  <si>
    <t>500, 700</t>
  </si>
  <si>
    <t>Sukhumi</t>
  </si>
  <si>
    <t>LINESTRING (42.718 42.26624, 42.20298 42.2046, 42.06568 42.26963, 41.67137 42.15825, 41.02341 43.00152)</t>
  </si>
  <si>
    <t>P4236</t>
  </si>
  <si>
    <t>https://www.gem.wiki/Gardabani-Navtlugi-Saguramo_Gas_Pipeline</t>
  </si>
  <si>
    <t>Gardabani-Navtlugi-Saguramo Gas Pipeline</t>
  </si>
  <si>
    <t>Gardabani</t>
  </si>
  <si>
    <t>LINESTRING (45.09132 41.45849, 45 41.64559, 44.76125 41.90062)</t>
  </si>
  <si>
    <t>P4237</t>
  </si>
  <si>
    <t>https://www.gem.wiki/Rustavi-Telavi-Zhinvali_Gas_Pipeline</t>
  </si>
  <si>
    <t>Rustavi-Telavi-Zhinvali Gas Pipeline</t>
  </si>
  <si>
    <t>200, 300, 500</t>
  </si>
  <si>
    <t>Zhinvali</t>
  </si>
  <si>
    <t>LINESTRING (45.04303 41.52256, 45.33507 41.72539, 45.7893 41.74388, 45.47769 41.9185, 45.20684 42.03852, 44.77101 42.11026)</t>
  </si>
  <si>
    <t>P4238</t>
  </si>
  <si>
    <t>https://www.gem.wiki/Tsiteli_Khidi-Akhalkalaki_Gas_Pipeline</t>
  </si>
  <si>
    <t>Tsiteli Khidi-Akhalkalaki Gas Pipeline</t>
  </si>
  <si>
    <t>Tsiteli Khidi</t>
  </si>
  <si>
    <t xml:space="preserve">Akhalkalaki </t>
  </si>
  <si>
    <t>LINESTRING (44.98545 41.52243, 43.48716 41.40251)</t>
  </si>
  <si>
    <t>P4239</t>
  </si>
  <si>
    <t>https://www.gem.wiki/Karadaghi-Tbilisi_Gas_Pipeline</t>
  </si>
  <si>
    <t xml:space="preserve">Karadaghi-Tbilisi Gas Pipeline
Pipeline </t>
  </si>
  <si>
    <t>500, 800</t>
  </si>
  <si>
    <t>Azeri-Georgian border</t>
  </si>
  <si>
    <t>LINESTRING (45.1348 41.38113, 45.09132 41.45849, 45.04303 41.52256, 44.82709 41.71513)</t>
  </si>
  <si>
    <t>P4240</t>
  </si>
  <si>
    <t>https://www.gem.wiki/The_Area_72-Rustavi_Gas_Pipeline</t>
  </si>
  <si>
    <t>The Area 72-Rustavi Gas Pipeline</t>
  </si>
  <si>
    <t>Area 72</t>
  </si>
  <si>
    <t>P4241</t>
  </si>
  <si>
    <t>https://www.gem.wiki/Tabatskuri-Bakuriani_Connector</t>
  </si>
  <si>
    <t>Tabatskuri-Bakuriani Connector</t>
  </si>
  <si>
    <t>Tabatskuri</t>
  </si>
  <si>
    <t>LINESTRING (43.62105 41.66661, 43.52918 41.75097)</t>
  </si>
  <si>
    <t>P4242</t>
  </si>
  <si>
    <t>https://www.gem.wiki/Khashuri-Zestaponi_Gas_Pipeline</t>
  </si>
  <si>
    <t>Khashuri-Zestaponi Gas Pipeline</t>
  </si>
  <si>
    <t>Khashuri</t>
  </si>
  <si>
    <t>LINESTRING (43.58659 41.98376, 43.03749 42.10833)</t>
  </si>
  <si>
    <t>P4243</t>
  </si>
  <si>
    <t>https://www.gem.wiki/Neu_Brandenberg-Rostock_Gas_Pipeline</t>
  </si>
  <si>
    <t>Neu Brandenberg-Rostock Gas Pipeline</t>
  </si>
  <si>
    <t>LINESTRING (13.127096 53.598647, 13.185886 53.727537, 13.197644 53.984135, 13.114235 54.062705, 12.886056 54.246032, 12.68617 54.246032, 12.503921 54.246032, 12.245244 54.218542, 11.977749 54.141127)</t>
  </si>
  <si>
    <t>P4244</t>
  </si>
  <si>
    <t>https://www.gem.wiki/Rostock-Schwerin_Gas_Pipeline</t>
  </si>
  <si>
    <t>Rostock-Schwerin Gas Pipeline</t>
  </si>
  <si>
    <t>LINESTRING (11.977749 54.141127, 11.921899 54.067018, 11.545642 54.032503, 11.251692 53.84216, 11.216418 53.706663)</t>
  </si>
  <si>
    <t>P4245</t>
  </si>
  <si>
    <t>https://www.gem.wiki/Bunde-Wardenburg_Gas_Pipeline</t>
  </si>
  <si>
    <t>Bunde-Wardenburg Gas Pipeline</t>
  </si>
  <si>
    <t>LINESTRING (7.316889 53.317877, 7.323811 53.277367, 7.440044 53.24982, 7.613297 53.213063, 7.753655 53.21175, 7.889626 53.214377, 8.043141 53.199928, 8.185691 53.182847, 8.240445 53.153377)</t>
  </si>
  <si>
    <t>P4246</t>
  </si>
  <si>
    <t>https://www.gem.wiki/Dusseldorf-Paffrath_Gas_Pipeline</t>
  </si>
  <si>
    <t>Dusseldorf-Paffrath Gas Pipeline</t>
  </si>
  <si>
    <t>Dusseldorf</t>
  </si>
  <si>
    <t>Paffrath</t>
  </si>
  <si>
    <t>LINESTRING (6.825257 51.489879, 6.837278 51.416774, 6.800269 51.333609, 6.800269 51.273452, 6.852081 51.194666, 6.919622 51.083369)</t>
  </si>
  <si>
    <t>P4247</t>
  </si>
  <si>
    <t>https://www.gem.wiki/Steinitz-Lauchhammer_Gas_Pipeline</t>
  </si>
  <si>
    <t>Steinitz-Lauchhammer Gas Pipeline</t>
  </si>
  <si>
    <t>Lauchhammer</t>
  </si>
  <si>
    <t>LINESTRING (11.053551 52.964348, 11.013527 52.73333, 11.034321 52.680836, 11.05858 52.596713, 11.08977 52.544054, 11.117495 52.499772, 11.328897 52.27345, 11.37395 52.24163, 11.377416 52.17367, 11.477919 52.090704, 11.48485 52.058753, 11.675458 51.984111, 12.001225 52.013983, 12.403236 51.994782, 12.777522 51.93072, 13.040908 51.832313, 13.075564 51.808749, 13.25231 51.737983, 13.293898 51.705779, 13.429056 51.658507, 13.543422 51.624096, 13.605802 51.587505)</t>
  </si>
  <si>
    <t>P4248</t>
  </si>
  <si>
    <t>https://www.gem.wiki/Kalle-Werne_Gas_Pipeline</t>
  </si>
  <si>
    <t>Kalle-Werne Gas Pipeline</t>
  </si>
  <si>
    <t>Kalle</t>
  </si>
  <si>
    <t>LINESTRING (6.83 52.66, 6.969902 52.611167, 7.004992 52.549866, 7.03681 52.501424, 7.048568 52.420828, 7.105873 52.376162, 7.193597 52.346699, 7.303251 52.231333, 7.474311 52.072552, 7.493774 51.91946, 7.485002 51.805696)</t>
  </si>
  <si>
    <t>P4249</t>
  </si>
  <si>
    <t>https://www.gem.wiki/Heidenau-Quarnstedt_Gas_Pipeline</t>
  </si>
  <si>
    <t>Heidenau-Quarnstedt Gas Pipeline</t>
  </si>
  <si>
    <t>Gasunie Deutschland Transport Services GmbH [unknown %]</t>
  </si>
  <si>
    <t>Quarnstedt</t>
  </si>
  <si>
    <t>LINESTRING (9.535388 53.443984, 9.414501 53.553268, 9.379227 53.616088, 9.496807 53.682296, 9.532082 53.755353, 9.555598 53.8595, 9.7845 53.939552)</t>
  </si>
  <si>
    <t>P4250</t>
  </si>
  <si>
    <t>https://www.gem.wiki/Vreden-Dusseldorf_Gas_Pipeline</t>
  </si>
  <si>
    <t>Vreden-Dusseldorf Gas Pipeline</t>
  </si>
  <si>
    <t>1000, 700</t>
  </si>
  <si>
    <t>LINESTRING (6.837014 51.974379, 6.831136 51.904824, 6.778225 51.879427, 6.681221 51.808602, 6.6871 51.719458, 6.669463 51.529671, 6.825257 51.489879)</t>
  </si>
  <si>
    <t>P4251</t>
  </si>
  <si>
    <t>https://www.gem.wiki/Scheinfeld-Lindau_Gas_Pipeline</t>
  </si>
  <si>
    <t>Scheinfeld-Lindau Gas Pipeline</t>
  </si>
  <si>
    <t>Terranets BW [unknown %]</t>
  </si>
  <si>
    <t>Energie Baden-Württemberg AG [unknown %]</t>
  </si>
  <si>
    <t>Scheinfeld</t>
  </si>
  <si>
    <t>LINESTRING (10.5164 49.6499, 10.384517 49.615089, 10.282744 49.5995, 10.195775 49.523886, 10.177271 49.472209, 10.08475 49.37592, 9.957072 49.269784, 9.873803 49.156159, 9.821992 48.894072, 9.799787 48.757632, 9.817851 48.693307, 9.62682 48.573137, 9.511123 48.321478, 9.385295 48.148926, 9.370491 48.000562, 9.400098 47.72247, 9.533328 47.572878, 9.621337 47.446406)</t>
  </si>
  <si>
    <t>P4252</t>
  </si>
  <si>
    <t>https://www.gem.wiki/Karlsruhe-Ulm_Gas_Pipeline</t>
  </si>
  <si>
    <t>Karlsruhe-Ulm Gas Pipeline</t>
  </si>
  <si>
    <t>LINESTRING (8.1401 49.0918, 8.23202 49.11006, 8.525893 48.937488, 8.828538 48.900019, 9.017143 48.706461, 9.324174 48.683299, 9.62682 48.573137, 9.85819 48.407443)</t>
  </si>
  <si>
    <t>P4253</t>
  </si>
  <si>
    <t>https://www.gem.wiki/JDA-Arthit_Gas_Pipeline</t>
  </si>
  <si>
    <t>JDA-Arthit Gas Pipeline</t>
  </si>
  <si>
    <t>JDA gas fields</t>
  </si>
  <si>
    <t>Gulf of Thailand</t>
  </si>
  <si>
    <t>Arthit field</t>
  </si>
  <si>
    <t>LINESTRING (102.67820531049385 11.0659027122881, 100.6017893748516 13.684034422382634)</t>
  </si>
  <si>
    <t>P4254</t>
  </si>
  <si>
    <t>https://www.gem.wiki/Bangpakong-South_Bangkok_Gas_Pipeline</t>
  </si>
  <si>
    <t>Bangpakong-South Bangkok Gas Pipeline</t>
  </si>
  <si>
    <t xml:space="preserve"> Bang pakong</t>
  </si>
  <si>
    <t>LINESTRING (101.02415339331642 13.5015081129183, 100.56135433887766 13.618988882081178)</t>
  </si>
  <si>
    <t>P4255</t>
  </si>
  <si>
    <t>https://www.gem.wiki/RA6-South_Bangkok_Gas_Pipeline</t>
  </si>
  <si>
    <t>RA6-South Bangkok Gas Pipeline</t>
  </si>
  <si>
    <t>LINESTRING (99.81827677806928 13.52852985383738, 100.56122718890424 13.624643874503935)</t>
  </si>
  <si>
    <t>P4256</t>
  </si>
  <si>
    <t>https://www.gem.wiki/Rayong-Kaeng_Khoi_Gas_Pipeline</t>
  </si>
  <si>
    <t>Rayong-Kaeng Khoi Gas Pipeline</t>
  </si>
  <si>
    <t>Fourth Pipeline</t>
  </si>
  <si>
    <t xml:space="preserve">Kaeng Khoi </t>
  </si>
  <si>
    <t>LINESTRING (101.14564620852366 12.69497801229334, 100.77833967426884 14.2408972133296, 100.99483921070862 14.605858209025051)</t>
  </si>
  <si>
    <t>P4257</t>
  </si>
  <si>
    <t>https://www.gem.wiki/Nakhon_Sawan_Gas_Pipeline</t>
  </si>
  <si>
    <t>Nakhon Sawan Gas Pipeline</t>
  </si>
  <si>
    <t>Nakhon Sawan</t>
  </si>
  <si>
    <t>LINESTRING (100.77707459885492 14.258826761756172, 100.1114414934736 15.707163929547518)</t>
  </si>
  <si>
    <t>P4258</t>
  </si>
  <si>
    <t>https://www.gem.wiki/Nakhon_Ratchasima_Gas_Pipeline</t>
  </si>
  <si>
    <t>Nakhon Ratchasima Gas Pipeline</t>
  </si>
  <si>
    <t>Kaeng Kho</t>
  </si>
  <si>
    <t>LINESTRING (100.99590615618115 14.578619569334702, 102.09425776374654 14.992815593699087)</t>
  </si>
  <si>
    <t>P4259</t>
  </si>
  <si>
    <t>Kumasi extension</t>
  </si>
  <si>
    <t>P4260</t>
  </si>
  <si>
    <t>https://www.gem.wiki/Rostock-Steinitz_Gas_Pipeline</t>
  </si>
  <si>
    <t>Rostock-Steinitz Gas Pipeline</t>
  </si>
  <si>
    <t>LINESTRING (11.977749 54.141127, 11.871927 53.992776, 11.871927 53.91667, 11.848411 53.809194, 11.813505 53.676202, 11.777863 53.534055, 11.73671 53.358986, 11.707315 53.204328, 11.625009 53.091498, 11.43688 53.031437, 11.225236 53.003143, 11.053551 52.964348)</t>
  </si>
  <si>
    <t>P4261</t>
  </si>
  <si>
    <t>https://www.gem.wiki/Steinitz-Brandov_Gas_Pipeline</t>
  </si>
  <si>
    <t>Steinitz-Brandov Gas Pipeline</t>
  </si>
  <si>
    <t>Brandov</t>
  </si>
  <si>
    <t>LINESTRING (11.053551 52.964348, 11.067582 52.717904, 11.131913 52.615051, 11.146533 52.519073, 11.245953 52.465661, 11.251801 52.433583, 11.444792 52.251365, 11.471109 52.179702, 11.544212 52.111514, 11.561756 51.974827, 11.661176 51.888282, 11.766444 51.797954, 11.766444 51.456697, 12.033056 51.299722, 12.36881 51.248513, 12.667069 51.142231, 12.801578 51.120211, 13.02381 51.032027, 13.281132 50.943674, 13.436203 50.853301, 13.418894 50.838871, 13.417595 50.819025, 13.385022 50.807744, 13.365525 50.785268, 13.351985 50.759001, 13.374732 50.737338, 13.43238 50.708259)</t>
  </si>
  <si>
    <t>P4262</t>
  </si>
  <si>
    <t>https://www.gem.wiki/Fustenwalde-Deutschneudorf_Gas_Pipeline</t>
  </si>
  <si>
    <t>Furstenwalde-Deutschneudorf Gas Pipeline</t>
  </si>
  <si>
    <t>Furstenwalde-Gublin</t>
  </si>
  <si>
    <t>Furstenwalde</t>
  </si>
  <si>
    <t>Gublin</t>
  </si>
  <si>
    <t>LINESTRING (13.860525 52.527717, 13.827601 52.406317, 13.90731 52.3894, 14.070194 52.35343, 14.229612 52.323785, 14.44448 52.264437, 14.541517 52.228365, 14.593501 52.168888, 14.652416 52.077394, 14.662813 52.051827)</t>
  </si>
  <si>
    <t>P4263</t>
  </si>
  <si>
    <t>Lasow-Deutschneudorf</t>
  </si>
  <si>
    <t>LINESTRING (14.936596 51.319176, 14.61776 51.288843, 14.527654 51.2715, 14.229612 51.241136, 13.987019 51.189035, 13.751358 51.106422, 13.654321 51.080303, 13.491229 51.027295, 13.419002 50.980664, 13.402821 50.922698, 13.436203 50.853301)</t>
  </si>
  <si>
    <t>P4264</t>
  </si>
  <si>
    <t>https://www.gem.wiki/Obermichelbach-Wolfsburg_Gas_Pipeline</t>
  </si>
  <si>
    <t>Obermichelbach-Wolfsburg Gas Pipeline</t>
  </si>
  <si>
    <t>Obermichelbach</t>
  </si>
  <si>
    <t>Wolfsburg</t>
  </si>
  <si>
    <t>LINESTRING (10.8292 49.5701, 10.785131 49.486035, 10.73332 49.389773, 10.73332 49.331926, 10.592688 49.216026, 10.540877 49.095008, 10.51127 48.922653, 10.609187 48.71073, 10.68061 48.561386, 10.799935 48.431483, 10.881353 48.274084, 11.066394 48.140901, 11.429075 48.012323, 11.636321 48.002419, 11.795776 48.00001)</t>
  </si>
  <si>
    <t>P4265</t>
  </si>
  <si>
    <t>https://www.gem.wiki/Karlsruhe-Basel_Gas_Pipeline</t>
  </si>
  <si>
    <t>Karlsruhe-Basel Gas Pipeline</t>
  </si>
  <si>
    <t>Basel</t>
  </si>
  <si>
    <t>LINESTRING (7.457 47.481, 7.318602 47.629255, 7.358078 47.853424, 7.498435 47.97102, 7.48089 48.161544, 7.551069 48.363021, 7.664286 48.617255, 7.809852 48.769377, 7.994071 48.858914, 8.12127 48.991481, 8.1401 49.0918)</t>
  </si>
  <si>
    <t>P4266</t>
  </si>
  <si>
    <t>Gublin-Lasow</t>
  </si>
  <si>
    <t>LINESTRING (14.662813 52.051827, 14.513792 51.883148, 14.38903 51.758902, 14.305856 51.673016, 14.33358 51.625709, 14.486067 51.530947, 14.638554 51.500754, 14.832628 51.405732, 14.936596 51.319176, 15.0308 51.2286)</t>
  </si>
  <si>
    <t>P4267</t>
  </si>
  <si>
    <t>https://www.gem.wiki/Ghazakh-Yerevan_Gas_Pipeline</t>
  </si>
  <si>
    <t>Ghazakh-Yerevan Gas Pipeline</t>
  </si>
  <si>
    <t>Gazakh-Yerevan Gas Pipeline</t>
  </si>
  <si>
    <t>CJSC Gazprom Armenia [100.00%]</t>
  </si>
  <si>
    <t>500, 700, 1000</t>
  </si>
  <si>
    <t>Gazakh</t>
  </si>
  <si>
    <t>Казах-Ереван</t>
  </si>
  <si>
    <t>LINESTRING (45.35163 41.0971, 44.5152 40.1872)</t>
  </si>
  <si>
    <t>P4268</t>
  </si>
  <si>
    <t>https://www.gem.wiki/Krasny_Most-Sevkar-Berd_Gas_Pipeline</t>
  </si>
  <si>
    <t>Krasny Most-Sevkar-Berd Gas Pipeline</t>
  </si>
  <si>
    <t>Kransy Most/ Qırmızı Körpü/ Tsiteli Khidi</t>
  </si>
  <si>
    <t>Berd</t>
  </si>
  <si>
    <t>Красный Мост — Сев Кар-Берд</t>
  </si>
  <si>
    <t>LINESTRING (45.0731 41.32955, 45.13826 41.01599, 45.39234 40.88377)</t>
  </si>
  <si>
    <t>P4269</t>
  </si>
  <si>
    <t>https://www.gem.wiki/Vanadzor-Gyumri_Gas_Pipeline</t>
  </si>
  <si>
    <t>Vanadzor-Gyumri Gas Pipeline</t>
  </si>
  <si>
    <t>Vanadzor</t>
  </si>
  <si>
    <t>Gyumri</t>
  </si>
  <si>
    <t>LINESTRING (44.49702 40.80739, 43.84649 40.7929)</t>
  </si>
  <si>
    <t>P4270</t>
  </si>
  <si>
    <t>https://www.gem.wiki/Krasny_Most-Alaverdi_Gas_Pipeline</t>
  </si>
  <si>
    <t>Krasny Most-Alaverdi Gas Pipeline</t>
  </si>
  <si>
    <t>Alaverdi</t>
  </si>
  <si>
    <t>P4271</t>
  </si>
  <si>
    <t>https://www.gem.wiki/Ilichevsk-Yerevan_Gas_Pipeline</t>
  </si>
  <si>
    <t>Ilichevsk-Yerevan Gas Pipeline</t>
  </si>
  <si>
    <t>Sarur</t>
  </si>
  <si>
    <t>Ильичевск-Ереван</t>
  </si>
  <si>
    <t>LINESTRING (44.98456 39.55363, 44.5152 40.1872)</t>
  </si>
  <si>
    <t>P4272</t>
  </si>
  <si>
    <t>https://www.gem.wiki/Yufutsu-Sapporo_Gas_Pipeline</t>
  </si>
  <si>
    <t>Yufutsu-Sapporo Gas Pipeline</t>
  </si>
  <si>
    <t>80-350</t>
  </si>
  <si>
    <t>Yufutsu Central Base</t>
  </si>
  <si>
    <t>Yufutsu</t>
  </si>
  <si>
    <t>Chitose</t>
  </si>
  <si>
    <t>LINESTRING (142.1765855057044 42.83612662678818, 141.65083481865102 42.82447798542685)</t>
  </si>
  <si>
    <t>P4273</t>
  </si>
  <si>
    <t>https://www.gem.wiki/Sciacca-Canicatti_Gas_Pipeline</t>
  </si>
  <si>
    <t>Sciacca-Canicatti Gas Pipeline</t>
  </si>
  <si>
    <t>LINESTRING (12.981012 37.601662, 13.044354 37.574283, 13.121133 37.539285, 13.215186 37.479903, 13.362985 37.426572, 13.464717 37.389979, 13.503106 37.386929, 13.547254 37.373202, 13.604838 37.389979, 13.645146 37.3671, 13.77567 37.365574, 13.863965 37.392267)</t>
  </si>
  <si>
    <t>P4274</t>
  </si>
  <si>
    <t>https://www.gem.wiki/Palmi-Maida_Gas_Pipeline</t>
  </si>
  <si>
    <t>Palmi-Maida Gas Pipeline</t>
  </si>
  <si>
    <t>Maida</t>
  </si>
  <si>
    <t>P4275</t>
  </si>
  <si>
    <t>https://www.gem.wiki/Montesano-Buccino_Gas_Pipeline</t>
  </si>
  <si>
    <t>Montesano-Buccino Gas Pipeline</t>
  </si>
  <si>
    <t>Buccino</t>
  </si>
  <si>
    <t>LINESTRING (15.286708 40.73048, 15.300924 40.70443, 15.361387 40.660762, 15.3873 40.630906, 15.42473 40.58063, 15.464079 40.536152, 15.52934 40.490914, 15.561012 40.443455, 15.588844 40.398155, 15.63875 40.349167, 15.679059 40.328684, 15.719787 40.312205)</t>
  </si>
  <si>
    <t>P4276</t>
  </si>
  <si>
    <t>https://www.gem.wiki/Buccino-Contrada-Melizzano_Gas_Pipeline</t>
  </si>
  <si>
    <t>Buccino-Contrada-Melizzano Gas Pipeline</t>
  </si>
  <si>
    <t>LINESTRING (15.232403 40.682645, 15.286708 40.73048, 15.27903 40.771195, 15.241201 40.791543, 15.176339 40.789363, 15.133151 40.81479, 15.063091 40.825685, 14.946003 40.89319, 14.905695 40.895366, 14.821238 40.857631, 14.74158 40.85255, 14.682077 40.890288, 14.632171 40.898268, 14.593782 40.93308, 14.581305 40.996129, 14.517003 41.035233, 14.514124 41.069249, 14.504527 41.119156, 14.496449 41.175045)</t>
  </si>
  <si>
    <t>P4278</t>
  </si>
  <si>
    <t>https://www.gem.wiki/Maenza-Gallese_Gas_Pipeline</t>
  </si>
  <si>
    <t>Maenza-Gallese Gas Pipeline</t>
  </si>
  <si>
    <t>LINESTRING (12.429266 42.363575, 12.52012 42.259483, 12.550832 42.207373, 12.617373 42.169447, 12.634009 42.13055, 12.690313 42.089729, 12.759414 42.028925, 12.927047 41.974721, 12.967995 41.932849, 12.975673 41.898569, 13.011503 41.837581, 13.02174 41.797527, 13.070367 41.732623, 13.078045 41.661919, 13.067807 41.621754, 13.16762 41.550928, 13.178017 41.522192)</t>
  </si>
  <si>
    <t>P4279</t>
  </si>
  <si>
    <t>https://www.gem.wiki/Celleno-Cetona_Gas_Pipeline</t>
  </si>
  <si>
    <t>Celleno-Cetona Gas Pipeline</t>
  </si>
  <si>
    <t>Celleno</t>
  </si>
  <si>
    <t>Cetano</t>
  </si>
  <si>
    <t>LINESTRING (11.922927 42.968651, 11.956838 42.919005, 12.000345 42.898385, 12.033616 42.870256, 12.036175 42.847744, 12.033616 42.838361, 12.002905 42.821469, 12.013142 42.793305, 12.015701 42.770765, 11.990108 42.729419, 12.02082 42.721899, 12.062088 42.717198, 12.074245 42.676758, 12.095359 42.643822, 12.12863 42.591912, 12.146385 42.55846)</t>
  </si>
  <si>
    <t>P4280</t>
  </si>
  <si>
    <t>https://www.gem.wiki/Cetona-Terranuova_Gas_Pipeline</t>
  </si>
  <si>
    <t>Cetona-Terranuova Gas Pipeline</t>
  </si>
  <si>
    <t>Cetona</t>
  </si>
  <si>
    <t>LINESTRING (11.587661 43.57809, 11.676916 43.518615, 11.690992 43.456412, 11.738339 43.418315, 11.757533 43.380195, 11.756254 43.322504, 11.76777 43.261962, 11.812558 43.219081, 11.84071 43.192965, 11.867582 43.152835, 11.914929 43.065955, 11.917489 43.006562, 11.915569 42.987376, 11.922927 42.968651)</t>
  </si>
  <si>
    <t>P4281</t>
  </si>
  <si>
    <t>https://www.gem.wiki/Terranuova-Minerbio_Gas_Pipeline</t>
  </si>
  <si>
    <t>Terranuova-Minerbio Gas Pipeline</t>
  </si>
  <si>
    <t>LINESTRING (11.508643 44.589285, 11.591819 44.556241, 11.663479 44.526143, 11.741538 44.482336, 11.754334 44.443979, 11.820876 44.377249, 11.864383 44.310443, 11.866943 44.267391, 11.857985 44.246312, 11.814477 44.23531, 11.774808 44.208716, 11.773529 44.169261, 11.756893 44.137127, 11.705708 44.071887, 11.619972 43.999211, 11.599497 43.950404, 11.617412 43.903401, 11.648124 43.872967, 11.62509 43.823133, 11.640446 43.784345, 11.628929 43.714092, 11.612294 43.684487, 11.613573 43.622454, 11.587661 43.57809)</t>
  </si>
  <si>
    <t>P4282</t>
  </si>
  <si>
    <t>https://www.gem.wiki/Minerbio-Castelbolognese_Gas_Pipeline</t>
  </si>
  <si>
    <t>Minerbio-Castelbolognese Gas Pipeline</t>
  </si>
  <si>
    <t>LINESTRING (11.508643 44.589285, 11.545752 44.55305, 11.617412 44.503788, 11.676276 44.483706, 11.709547 44.454484, 11.719784 44.410623, 11.758173 44.383194, 11.799122 44.353921, 11.801681 44.330127, 11.825994 44.308383)</t>
  </si>
  <si>
    <t>P4283</t>
  </si>
  <si>
    <t>https://www.gem.wiki/Minerbio%E2%80%93Parma_Gas_Pipeline</t>
  </si>
  <si>
    <t>Castelfranco-Parma</t>
  </si>
  <si>
    <t>Castelfranco</t>
  </si>
  <si>
    <t>LINESTRING (10.963835 44.569689, 10.915208 44.589741, 10.876819 44.61343, 10.820515 44.606142, 10.751414 44.607964, 10.669517 44.615252, 10.500604 44.67716, 10.418707 44.67898, 10.398233 44.695356, 10.307538 44.738377)</t>
  </si>
  <si>
    <t>P4284</t>
  </si>
  <si>
    <t>https://www.gem.wiki/Poggio_Renatico-Cortemaggiore_Gas_Pipeline</t>
  </si>
  <si>
    <t>Poggio Renatico-Cortemaggiore Gas Pipeline</t>
  </si>
  <si>
    <t>LINESTRING (11.44722 44.785794, 11.398913 44.793514, 11.323414 44.782616, 11.279906 44.775349, 11.208246 44.773532, 11.082841 44.76263, 10.999665 44.765356, 10.940801 44.754452, 10.862743 44.737184, 10.810278 44.738093, 10.73094 44.769898, 10.661839 44.80441, 10.601696 44.82075, 10.536434 44.822566, 10.439181 44.863395, 10.37136 44.868837, 10.327852 44.885159, 10.258751 44.904196, 10.196049 44.912352, 10.111593 44.946778, 10.062966 44.960362, 9.995145 44.963078, 9.954196 44.982994, 9.917407 44.985031)</t>
  </si>
  <si>
    <t>P4285</t>
  </si>
  <si>
    <t>https://www.gem.wiki/Minerbio-Zimella_Gas_Pipeline</t>
  </si>
  <si>
    <t>Minerbio-Zimella Gas Pipeline</t>
  </si>
  <si>
    <t>LINESTRING (11.508643 44.589285, 11.542233 44.659869, 11.535835 44.728094, 11.500965 44.747637, 11.44722 44.785794, 11.432184 44.810765, 11.396354 44.91054, 11.391235 44.99114, 11.366922 45.057166, 11.322135 45.14117, 11.327253 45.19981, 11.347728 45.233162, 11.323414 45.267396, 11.310618 45.288106, 11.328533 45.308809, 11.362763 45.315558)</t>
  </si>
  <si>
    <t>P4286</t>
  </si>
  <si>
    <t>https://www.gem.wiki/Parma-Cortemaggiore_Gas_Pipeline</t>
  </si>
  <si>
    <t>Parma-Cortemaggiore Gas Pipeline</t>
  </si>
  <si>
    <t>LINESTRING (9.917407 44.985031, 9.944119 44.974225, 9.962034 44.953401, 9.987627 44.925774, 9.995305 44.903119, 10.001703 44.879095, 10.015779 44.857329, 10.034334 44.845082, 10.088719 44.822849, 10.111753 44.808325, 10.138625 44.792889, 10.216683 44.787895, 10.272988 44.763368, 10.307538 44.738377)</t>
  </si>
  <si>
    <t>P4287</t>
  </si>
  <si>
    <t>https://www.gem.wiki/Maida_Saint_Eufemia-Castrovillari_Gas_PIpeline</t>
  </si>
  <si>
    <t>Maida Saint Eufemia-Castrovillari Gas PIpeline</t>
  </si>
  <si>
    <t>Saint Eufemia</t>
  </si>
  <si>
    <t>Castrovillari</t>
  </si>
  <si>
    <t>LINESTRING (16.418175 38.920136, 16.415913 38.981112, 16.396718 39.034808, 16.344253 39.064621, 16.295627 39.03282, 16.257237 39.02785, 16.203492 39.064621, 16.170222 39.116267, 16.161264 39.186723, 16.098562 39.227377, 16.094723 39.29277, 16.113917 39.34029, 16.194535 39.342269, 16.238043 39.337321, 16.267474 39.350186, 16.31994 39.415464, 16.325058 39.471792, 16.304584 39.488583, 16.305864 39.544851, 16.289228 39.577407, 16.24844 39.602738)</t>
  </si>
  <si>
    <t>P4288</t>
  </si>
  <si>
    <t>https://www.gem.wiki/Melizzano-Castrovillari_Gas_Pipeline</t>
  </si>
  <si>
    <t>Melizzano-Castrovillari Gas Pipeline</t>
  </si>
  <si>
    <t>LINESTRING (16.24844 39.602738, 16.227806 39.664147, 16.235483 39.71732, 16.200933 39.751762, 16.184298 39.797003, 16.142069 39.846144, 16.101121 39.875612, 16.044817 39.897214, 16.007707 39.946283, 15.988512 39.984532, 15.919412 40.02766, 15.879743 40.066844, 15.883582 40.095237, 15.907895 40.137317, 15.886141 40.188169, 15.865667 40.230191, 15.841353 40.270234, 15.78265 40.277739, 15.719787 40.312205, 15.640449 40.313181, 15.617416 40.331717, 15.60206 40.362926, 15.544476 40.436014, 15.520163 40.480802, 15.453622 40.52556, 15.420351 40.564455, 15.369165 40.624699, 15.333335 40.661596, 15.274472 40.704293, 15.236082 40.727571, 15.233523 40.762472, 15.241201 40.791543, 15.264234 40.81479, 15.256557 40.851582, 15.159304 40.890288, 15.113237 40.925104, 15.062051 40.969564, 15.021102 40.992749, 14.905934 40.988885, 14.829156 40.973429, 14.734462 41.015926, 14.665362 41.033303, 14.609057 41.056465, 14.534838 41.106622, 14.507966 41.155778, 14.496449 41.175045)</t>
  </si>
  <si>
    <t>P4289</t>
  </si>
  <si>
    <t>https://www.gem.wiki/Malborghetto-Camisano_Gas_Pipeline</t>
  </si>
  <si>
    <t>Malborghetto-Camisano Gas Pipeline</t>
  </si>
  <si>
    <t>Malborghetto</t>
  </si>
  <si>
    <t>Camisano</t>
  </si>
  <si>
    <t>LINESTRING (13.312939 46.473289, 13.293744 46.450591, 13.232322 46.417078, 13.23744 46.374716, 13.152984 46.33939, 13.152984 46.288126, 13.065968 46.309345, 13.042934 46.284589, 12.978952 46.188998, 12.971274 46.144686, 12.909852 46.103888, 12.907292 46.069275, 12.891937 46.020424, 12.822836 45.977756, 12.766532 45.936834, 12.696151 45.927489, 12.692792 45.886085, 12.649924 45.862029, 12.576984 45.839747, 12.514282 45.81255, 12.411911 45.771506, 12.303141 45.765258, 12.272429 45.767043, 12.214846 45.751866, 12.159181 45.718596, 12.110555 45.698937, 12.076004 45.678377, 12.012022 45.648865, 11.94932 45.613968, 11.890456 45.59651, 11.830313 45.576361, 11.784246 45.532903, 11.754814 45.504659)</t>
  </si>
  <si>
    <t>P4290</t>
  </si>
  <si>
    <t>https://www.gem.wiki/Pordenone-Istrana_Gas_Pipeline</t>
  </si>
  <si>
    <t>Pordenone-Istrana Gas Pipeline</t>
  </si>
  <si>
    <t>Pordenone</t>
  </si>
  <si>
    <t>Oderzo</t>
  </si>
  <si>
    <t>LINESTRING (12.036815 45.692122, 12.125431 45.730433, 12.181735 45.76258, 12.202209 45.797385, 12.294343 45.821468, 12.354487 45.832169, 12.424867 45.849107, 12.476053 45.874949, 12.568187 45.906123, 12.623212 45.914136, 12.66416 45.915026, 12.696151 45.927489)</t>
  </si>
  <si>
    <t>P4291</t>
  </si>
  <si>
    <t>https://www.gem.wiki/Flaibano-Gonars-Villesse_Gas_Pipeline</t>
  </si>
  <si>
    <t>Flaibano-Gonars-Villesse Gas Pipeline</t>
  </si>
  <si>
    <t>Flaibano</t>
  </si>
  <si>
    <t>Villesse</t>
  </si>
  <si>
    <t>LINESTRING (12.907292 46.069275, 12.930326 46.058398, 12.961037 46.086806, 13.041655 46.040414, 13.025019 46.011982, 13.008384 45.986203, 13.014142 45.97242, 13.05829 45.939059, 13.103078 45.951071, 13.142107 45.972864, 13.188814 45.95285, 13.218246 45.930604, 13.220165 45.913246, 13.211847 45.890316)</t>
  </si>
  <si>
    <t>P4292</t>
  </si>
  <si>
    <t>https://www.gem.wiki/Saint_Stefano_Di_Magra-Cortemaggiore_Gas_Pipline</t>
  </si>
  <si>
    <t>Saint Stefano Di Magra-Cortemaggiore Gas Pipline</t>
  </si>
  <si>
    <t>Saint Stefano Di Magra</t>
  </si>
  <si>
    <t>LINESTRING (9.899492 44.156409, 9.903331 44.196791, 9.916127 44.222473, 9.937881 44.245395, 9.946839 44.272889, 9.934042 44.312275, 9.890534 44.349804, 9.862382 44.398282, 9.847026 44.425704, 9.79968 44.448546, 9.767689 44.463161, 9.710105 44.475945, 9.702427 44.514282, 9.675554 44.536178, 9.680673 44.569005, 9.706266 44.593614, 9.706266 44.625499, 9.717782 44.660096, 9.740816 44.695583, 9.704986 44.749227, 9.702427 44.775576, 9.749774 44.827331, 9.785604 44.872691, 9.823993 44.903516, 9.87006 44.943382, 9.917407 44.985031)</t>
  </si>
  <si>
    <t>P4293</t>
  </si>
  <si>
    <t>https://www.gem.wiki/Sergnano-Mortara_Gas_Pipeline</t>
  </si>
  <si>
    <t>Sergnano-Mortara Gas Pipeline</t>
  </si>
  <si>
    <t>LINESTRING (8.72478 45.220883, 8.756131 45.223024, 8.8681 45.219869, 8.921845 45.248705, 8.996064 45.255912, 9.129147 45.257714, 9.241755 45.272124, 9.29806 45.290132, 9.387635 45.286531, 9.43882 45.32793, 9.426984 45.371546, 9.533514 45.399856, 9.635885 45.421416, 9.753612 45.416027, 9.858543 45.40884, 9.937881 45.405247)</t>
  </si>
  <si>
    <t>P4294</t>
  </si>
  <si>
    <t>https://www.gem.wiki/Cervignano-Rognano_Gas_Pipeline</t>
  </si>
  <si>
    <t>Cervignano-Rognano Gas Pipeline</t>
  </si>
  <si>
    <t>Rognano</t>
  </si>
  <si>
    <t>LINESTRING (9.098435 45.290582, 9.169136 45.294408, 9.230558 45.304309, 9.290702 45.322307, 9.375158 45.342997, 9.414507 45.359858, 9.426984 45.371546)</t>
  </si>
  <si>
    <t>P4295</t>
  </si>
  <si>
    <t>https://www.gem.wiki/Rognano-Mortara_Gas_Pipeline</t>
  </si>
  <si>
    <t>Rognano-Mortara Gas Pipeline</t>
  </si>
  <si>
    <t>LINESTRING (9.098435 45.290582, 9.003102 45.291482, 8.942959 45.293283, 8.855943 45.275276, 8.783003 45.238344, 8.756131 45.223024, 8.72478 45.220883)</t>
  </si>
  <si>
    <t>P4296</t>
  </si>
  <si>
    <t>https://www.gem.wiki/Passo_Gries-Masera_Gas_Pipeline</t>
  </si>
  <si>
    <t>Passo Gries-Masera Gas Pipeline</t>
  </si>
  <si>
    <t>Passo Gries</t>
  </si>
  <si>
    <t>LINESTRING (8.32873 46.115199, 8.335128 46.175487, 8.335128 46.228626, 8.335128 46.255177, 8.383755 46.301168, 8.417025 46.32945, 8.422144 46.352419, 8.419585 46.407152, 8.383755 46.445962)</t>
  </si>
  <si>
    <t>P4297</t>
  </si>
  <si>
    <t>https://www.gem.wiki/Veruno-Bizzarone_Gas_Pipeline</t>
  </si>
  <si>
    <t>Veruno-Bizzarone Gas Pipeline</t>
  </si>
  <si>
    <t>750, 600</t>
  </si>
  <si>
    <t>Veruno</t>
  </si>
  <si>
    <t>Bizzarone</t>
  </si>
  <si>
    <t>LINESTRING (8.548829 45.677036, 8.565464 45.694915, 8.617929 45.695809, 8.657598 45.68687, 8.708784 45.696703, 8.789402 45.754768, 8.839308 45.76191, 8.930162 45.76191, 8.955755 45.769052, 8.964713 45.794039, 8.964713 45.812773, 8.946798 45.827042)</t>
  </si>
  <si>
    <t>P4298</t>
  </si>
  <si>
    <t>P4299</t>
  </si>
  <si>
    <t>https://www.gem.wiki/Malborghetto-Flaibano_Gas_Pipeline</t>
  </si>
  <si>
    <t>Malborghetto-Flaibano Gas Pipeline</t>
  </si>
  <si>
    <t>LINESTRING (13.312939 46.473289, 13.255355 46.477695, 13.20161 46.453015, 13.188814 46.414211, 13.114594 46.370081, 13.117154 46.332985, 13.096679 46.281715, 13.025019 46.191434, 13.027579 46.141805, 12.961037 46.086806, 12.930326 46.058398)</t>
  </si>
  <si>
    <t>P4300</t>
  </si>
  <si>
    <t>https://www.gem.wiki/Villesse-Gorizia_Gas_Pipeline</t>
  </si>
  <si>
    <t>Villesse-Gorizia Gas Pipeline</t>
  </si>
  <si>
    <t>Villese</t>
  </si>
  <si>
    <t>LINESTRING (13.577825 45.892988, 13.499767 45.891206, 13.471615 45.889425, 13.430666 45.86448, 13.420429 45.854677, 13.370523 45.849329, 13.342371 45.860916, 13.298863 45.863589, 13.260474 45.863589, 13.236161 45.876063, 13.211847 45.890316)</t>
  </si>
  <si>
    <t>P4301</t>
  </si>
  <si>
    <t>https://www.gem.wiki/Palmi-Martirano_Gas_Pipeline</t>
  </si>
  <si>
    <t>Palmi-Martirano Gas Pipeline</t>
  </si>
  <si>
    <t>P4302</t>
  </si>
  <si>
    <t>https://www.gem.wiki/Enna-Montalbano_Gas_Pipeline</t>
  </si>
  <si>
    <t>Enna-Montalbano Gas Pipeline</t>
  </si>
  <si>
    <t>Enna</t>
  </si>
  <si>
    <t>LINESTRING (14.380801 37.547006, 14.472296 37.556263, 14.541396 37.606968, 14.610497 37.623187, 14.684716 37.657639, 14.694953 37.696125, 14.682157 37.726495, 14.682157 37.760899, 14.70775 37.801354, 14.769173 37.857954, 14.822918 37.874117, 14.876663 37.878158, 14.894578 37.890277, 14.904815 37.930661, 14.907374 37.956899, 14.950882 37.983127, 15.040457 37.997246)</t>
  </si>
  <si>
    <t>P4303</t>
  </si>
  <si>
    <t>https://www.gem.wiki/Tarvisio-Malborghetto_Gas_Pipeline</t>
  </si>
  <si>
    <t>Tarvisio-Malborghetto Gas Pipeline</t>
  </si>
  <si>
    <t>LINESTRING (13.663561 46.476814, 13.576546 46.450371, 13.527919 46.468001, 13.458818 46.469763, 13.312939 46.473289)</t>
  </si>
  <si>
    <t>P4304</t>
  </si>
  <si>
    <t>https://www.gem.wiki/Lauria-Tarsia_Gas_Pipeline</t>
  </si>
  <si>
    <t>Lauria-Tarsia Gas Pipeline</t>
  </si>
  <si>
    <t>LINESTRING (15.78265 40.277739, 15.705871 40.289454, 15.641889 40.29531, 15.600941 40.29531, 15.549755 40.353845, 15.503688 40.41233, 15.467858 40.47271, 15.401316 40.505799, 15.365486 40.562207, 15.321978 40.622453, 15.273352 40.663234, 15.232403 40.682645)</t>
  </si>
  <si>
    <t>P4305</t>
  </si>
  <si>
    <t>Pogigo Renatico</t>
  </si>
  <si>
    <t>P4306</t>
  </si>
  <si>
    <t>https://www.gem.wiki/Cavarzere-Minerbio_Gas_Pipeline</t>
  </si>
  <si>
    <t>Cavarzere-Minerbio Gas Pipeline</t>
  </si>
  <si>
    <t>Cavarzere</t>
  </si>
  <si>
    <t>LINESTRING (11.508643 44.589285, 11.51888 44.683984, 11.500965 44.747637, 11.485609 44.84752, 11.44722 44.921867, 11.439542 45.003356, 11.41139 45.084729, 11.380678 45.144329, 11.380678 45.221897, 11.373001 45.279553, 11.362763 45.315558, 11.362763 45.355138, 11.378119 45.369523, 11.429305 45.365927, 11.503524 45.382108, 11.577743 45.423437, 11.634048 45.482683, 11.674996 45.514972, 11.723623 45.559788, 11.785046 45.62963, 11.928366 45.683295, 11.98467 45.710108, 12.036815 45.692122)</t>
  </si>
  <si>
    <t>P4307</t>
  </si>
  <si>
    <t>Sannicandrio-Latiano</t>
  </si>
  <si>
    <t>LINESTRING (16.818841 41.011641, 16.862348 41.019365, 16.89306 41.011641, 16.926331 41.00971, 16.962161 40.982667, 16.977516 40.961411, 17.061973 40.911143, 17.136192 40.87245, 17.195056 40.810493, 17.241123 40.796932, 17.294868 40.777554, 17.343494 40.76011, 17.43051 40.758171, 17.520085 40.719388, 17.558474 40.719388, 17.596863 40.692227, 17.640371 40.690286, 17.663405 40.64758, 17.704353 40.612618, 17.714271 40.580433)</t>
  </si>
  <si>
    <t>P4308</t>
  </si>
  <si>
    <t>750, 650</t>
  </si>
  <si>
    <t>P4309</t>
  </si>
  <si>
    <t>https://www.gem.wiki/Sansepolcro-Terranuova_Gas_Pipeline</t>
  </si>
  <si>
    <t>Sansepolcro-Terranuova Gas Pipeline</t>
  </si>
  <si>
    <t>LINESTRING (11.587661 43.57809, 11.643965 43.570673, 11.736099 43.542853, 11.784726 43.524299, 11.864063 43.522443, 11.922927 43.542853, 11.981791 43.540998, 12.050891 43.544708, 12.089281 43.566964, 12.102077 43.583652)</t>
  </si>
  <si>
    <t>P4310</t>
  </si>
  <si>
    <t>https://www.gem.wiki/Istrana-Caldonazzo_Gas_Pipeline</t>
  </si>
  <si>
    <t>Istrana-Caldonazzo Gas Pipeline</t>
  </si>
  <si>
    <t>Caldonazzo</t>
  </si>
  <si>
    <t>LINESTRING (11.133387 46.013426, 11.221363 45.99076, 11.262631 45.979645, 11.334931 46.000983, 11.37652 46.025866, 11.434103 46.043189, 11.535835 46.040969, 11.636287 46.001427, 11.679795 45.96675, 11.725862 45.962302, 11.777048 45.978311, 11.829513 46.002316, 11.906292 46.004983, 11.942122 45.995205, 11.94852 45.96586, 11.94724 45.944509, 11.953638 45.92493, 11.958757 45.891986, 11.992028 45.86526, 11.995867 45.845653, 11.988189 45.804633, 11.98307 45.777866, 11.994587 45.743941, 12.036815 45.692122)</t>
  </si>
  <si>
    <t>P4311</t>
  </si>
  <si>
    <t>1020, 1420.00</t>
  </si>
  <si>
    <t>P4312</t>
  </si>
  <si>
    <t>https://www.gem.wiki/Caldonazzo-Trento_Gas_Pipeline</t>
  </si>
  <si>
    <t>Caldonazzo-Trento Gas Pipeline</t>
  </si>
  <si>
    <t>LINESTRING (11.111314 45.986314, 11.142025 45.975643, 11.186812 45.961413, 11.209846 45.967639, 11.221363 45.99076)</t>
  </si>
  <si>
    <t>P4313</t>
  </si>
  <si>
    <t>P4314</t>
  </si>
  <si>
    <t>https://www.gem.wiki/Mazara_del_Vallo-Gagliano_Gas_Pipeline</t>
  </si>
  <si>
    <t>Mazara del Vallo-Gagliano Gas Pipeline</t>
  </si>
  <si>
    <t>Mazara del Vallo</t>
  </si>
  <si>
    <t>Gagliano</t>
  </si>
  <si>
    <t>LINESTRING (12.507404 37.666629, 12.512522 37.690936, 12.548352 37.711185, 12.620012 37.711185, 12.760773 37.674732, 12.95272 37.658525, 13.039735 37.624073, 13.160022 37.567295, 13.193292 37.528742, 13.395476 37.44548, 13.45434 37.437352, 13.495288 37.406864, 13.533677 37.406864, 13.592541 37.423126, 13.641167 37.404831, 13.748657 37.406864, 13.866385 37.43532, 13.98923 37.47189, 14.053212 37.463765, 14.09672 37.429223, 14.122313 37.402798, 14.188855 37.404831, 14.2426 37.449544, 14.304022 37.482045, 14.365445 37.518593, 14.380801 37.547006)</t>
  </si>
  <si>
    <t>P4315</t>
  </si>
  <si>
    <t>https://www.gem.wiki/Gagliano-Messina_Gas_Pipeline</t>
  </si>
  <si>
    <t>Gagliano-Messina Gas Pipeline</t>
  </si>
  <si>
    <t>LINESTRING (15.612785 38.262741, 15.576881 38.254768, 15.560788 38.219071, 15.531412 38.194706, 15.475925 38.157501, 15.423701 38.1421, 15.374742 38.113857, 15.31599 38.098447, 15.293142 38.075326, 15.276822 38.038061, 15.234391 37.99949, 15.162583 37.980197, 15.12668 37.995632, 15.0798 37.995125, 15.066306 37.966409, 15.021779 37.95577, 14.959711 37.946194, 14.947567 37.923846, 14.951615 37.891908, 14.938121 37.864217, 14.912485 37.84504, 14.863909 37.840778, 14.845019 37.85889, 14.811286 37.842909, 14.797793 37.804539, 14.745169 37.785347, 14.718183 37.750148, 14.682157 37.726495, 14.649368 37.682903, 14.602142 37.648724, 14.534676 37.633766, 14.380801 37.547006)</t>
  </si>
  <si>
    <t>P4316</t>
  </si>
  <si>
    <t>https://www.gem.wiki/Mazara_del_Vallo-Menfi_Gas_Pipeline</t>
  </si>
  <si>
    <t>Mazara del Vallo-Menfi Gas Pipeline</t>
  </si>
  <si>
    <t>Menfi</t>
  </si>
  <si>
    <t>LINESTRING (12.507404 37.666629, 12.550588 37.683736, 12.588123 37.685027, 12.650139 37.673403, 12.694203 37.660484, 12.816602 37.633348, 12.876985 37.630763, 12.924313 37.624301, 12.950425 37.620423, 12.981012 37.601662)</t>
  </si>
  <si>
    <t>P4317</t>
  </si>
  <si>
    <t>https://www.gem.wiki/Camisano-Zimella_Gas_Pipeline</t>
  </si>
  <si>
    <t>Camisano-Zimella Gas Pipeline</t>
  </si>
  <si>
    <t>LINESTRING (11.754814 45.504659, 11.711338 45.444813, 11.672171 45.412171, 11.650139 45.391546, 11.635451 45.362313, 11.566907 45.329623, 11.532636 45.307246, 11.486124 45.290027, 11.422477 45.288305, 11.402893 45.290027, 11.380861 45.30122, 11.362763 45.315558)</t>
  </si>
  <si>
    <t>P4318</t>
  </si>
  <si>
    <t>https://www.gem.wiki/Zimella-Cervignano_Gas_Pipeline</t>
  </si>
  <si>
    <t>Zimella-Cervignano Gas Pipeline</t>
  </si>
  <si>
    <t>LINESTRING (11.362763 45.315558, 11.29151 45.329623, 11.181351 45.314132, 11.027128 45.319297, 10.954312 45.322314, 10.894929 45.327691, 10.752409 45.332245, 10.698424 45.348941, 10.521353 45.355011, 10.463049 45.367149, 10.331326 45.367149, 10.143459 45.400516, 10.007417 45.412644, 9.937881 45.405247)</t>
  </si>
  <si>
    <t>P4319</t>
  </si>
  <si>
    <t>https://www.gem.wiki/Tarvisio-Zimella_Gas_Pipeline</t>
  </si>
  <si>
    <t>Tarvisio-Zimella Gas Pipeline</t>
  </si>
  <si>
    <t>LINESTRING (13.663561 46.476814, 13.630555 46.496242, 13.581596 46.481073, 13.537532 46.494556, 13.451853 46.492871, 13.32211 46.502982, 13.280494 46.509722, 13.199711 46.487815, 13.180127 46.477701, 13.188814 46.414211, 13.114594 46.370081, 13.117154 46.332985, 13.033248 46.322389, 12.980616 46.276725, 12.934105 46.206463, 12.929209 46.165788, 12.887593 46.127628, 12.869233 46.083499, 12.793346 46.044433, 12.699099 45.995135, 12.675843 45.961112, 12.696151 45.927489, 12.617091 45.882778, 12.55834 45.869143, 12.47266 45.836748, 12.413909 45.811159, 12.345365 45.797507, 12.271926 45.792387, 12.181735 45.76258)</t>
  </si>
  <si>
    <t>P4320</t>
  </si>
  <si>
    <t>https://www.gem.wiki/Bernalda-Brindisi_Gas_Pipeline</t>
  </si>
  <si>
    <t>Bernalda-Brindisi Gas Pipeline</t>
  </si>
  <si>
    <t>LINESTRING (16.754996 40.370773, 16.743775 40.408818, 16.758463 40.433977, 16.793346 40.461921, 16.844754 40.501022, 16.890654 40.520565, 16.927373 40.524751, 16.967765 40.554052, 17.002649 40.559632, 17.030189 40.563816, 17.065272 40.575619, 17.090776 40.595888, 17.142184 40.625158, 17.200935 40.634911, 17.252343 40.629338, 17.292735 40.61819, 17.353322 40.597282, 17.42309 40.591706, 17.489185 40.590312, 17.599344 40.591706, 17.680127 40.594494, 17.751731 40.602858, 17.817826 40.601464, 17.874802 40.58912, 17.939 40.595844, 17.976633 40.610971, 17.976633 40.626094)</t>
  </si>
  <si>
    <t>P4321</t>
  </si>
  <si>
    <t>https://www.gem.wiki/Celleno-Gallese_Gas_Pipeline</t>
  </si>
  <si>
    <t>Celleno-Gallese Gas Pipeline</t>
  </si>
  <si>
    <t>LINESTRING (12.146385 42.55846, 12.175269 42.537313, 12.218644 42.511435, 12.246184 42.488593, 12.296444 42.464218, 12.34877 42.441866, 12.398341 42.413915, 12.422439 42.382392, 12.429266 42.363575)</t>
  </si>
  <si>
    <t>P4322</t>
  </si>
  <si>
    <t>Zadar-Split</t>
  </si>
  <si>
    <t>Zadar</t>
  </si>
  <si>
    <t>MULTILINESTRING ((15.406178 44.115725, 15.419928 44.108176, 15.441765 44.098302, 15.456323 44.100626, 15.467646 44.110498, 15.499998 44.127917, 15.529923 44.131981, 15.564701 44.123273, 15.608376 44.101206, 15.643154 44.068091, 15.670652 44.040191, 15.726054 44.004715, 15.779839 43.969218, 15.841307 43.936029, 15.880938 43.908649, 15.911672 43.881839, 15.944023 43.869013, 15.976375 43.856767, 16.003065 43.834601, 16.016005 43.804256, 16.034608 43.775063, 16.069386 43.745856, 16.093649 43.721312, 16.131662 43.707281, 16.161587 43.70085, 16.225482 43.693833, 16.274818 43.670437, 16.299082 43.650543, 16.314449 43.640593, 16.361358 43.628301, 16.431723 43.611321, 16.497235 43.599608, 16.570026 43.606636, 16.620171 43.608979), (16.314449 43.640593, 16.315257 43.632399, 16.29342 43.619519, 16.283715 43.607807, 16.283715 43.596679, 16.290185 43.576761, 16.295038 43.559767, 16.302251 43.552056))</t>
  </si>
  <si>
    <t>P4323</t>
  </si>
  <si>
    <t>https://www.gem.wiki/Donje_Mijoljac-Oroslavke_Gas_Pipeline</t>
  </si>
  <si>
    <t>Donje Mijoljac-Oroslavke Gas Pipeline</t>
  </si>
  <si>
    <t>Donje Mijoljac-Durdevac</t>
  </si>
  <si>
    <t>800, 200</t>
  </si>
  <si>
    <t>Donje Mijoljac</t>
  </si>
  <si>
    <t>Durdevac</t>
  </si>
  <si>
    <t>LINESTRING (18.1745 45.7376, 18.118858 45.725547, 17.995922 45.725547, 17.905337 45.726676, 17.784019 45.723288, 17.70314 45.725547, 17.623879 45.746998, 17.538147 45.786492, 17.486384 45.813557, 17.418446 45.840609, 17.361831 45.848497, 17.30198 45.869901, 17.246983 45.908182, 17.196838 45.945312, 17.119194 45.983541, 17.046403 46.02736, 16.996258 46.048694)</t>
  </si>
  <si>
    <t>P4324</t>
  </si>
  <si>
    <t>Durdevac-Ludbreg</t>
  </si>
  <si>
    <t>Ludbreg</t>
  </si>
  <si>
    <t>LINESTRING (16.996258 46.048694, 16.955819 46.07451, 16.897586 46.119378, 16.860381 46.147402, 16.842588 46.155246, 16.790826 46.165329, 16.72774 46.182131, 16.690536 46.210123, 16.658184 46.223554, 16.611274 46.231387)</t>
  </si>
  <si>
    <t>P4325</t>
  </si>
  <si>
    <t>Ludbreg-Oroslavke</t>
  </si>
  <si>
    <t>Oroslavke</t>
  </si>
  <si>
    <t>LINESTRING (16.611274 46.231387, 16.569217 46.221316, 16.543336 46.203406, 16.477015 46.18997, 16.396136 46.16645, 16.324963 46.146281, 16.242466 46.129468, 16.203645 46.102557, 16.189086 46.071143, 16.161587 46.041958, 16.077473 46.02399, 15.991742 46.016127, 15.949685 45.999275, 15.918 45.993)</t>
  </si>
  <si>
    <t>P4326</t>
  </si>
  <si>
    <t>Vodice-Gorizia</t>
  </si>
  <si>
    <t>LINESTRING (14.493846 46.189632, 14.472324 46.176072, 14.467547 46.155668, 14.470732 46.136359, 14.473121 46.115388, 14.476306 46.103795, 14.46675 46.08723, 14.456399 46.073422, 14.44764 46.058505, 14.430122 46.052427, 14.411808 46.047453, 14.386328 46.039715, 14.359255 46.033635, 14.34094 46.024789, 14.314664 46.016495, 14.291572 46.002116, 14.282017 45.983861, 14.278036 45.966706, 14.265295 45.956743, 14.239019 45.950099, 14.229463 45.941794, 14.223093 45.926288, 14.211149 45.910224, 14.189414 45.894765, 14.172132 45.890275, 14.150633 45.876972, 14.097283 45.860339, 14.063044 45.862002, 14.023231 45.869765, 13.998546 45.873091, 13.957937 45.864775, 13.937234 45.85923, 13.915735 45.867547, 13.883884 45.868656, 13.857607 45.871428, 13.832127 45.875309, 13.794703 45.877526, 13.774 45.892492, 13.757278 45.903575, 13.723039 45.904683, 13.691188 45.90967, 13.633655 45.928762)</t>
  </si>
  <si>
    <t>P4327</t>
  </si>
  <si>
    <t>https://www.gem.wiki/Adjovscina-Koper_Gas_Pipeline</t>
  </si>
  <si>
    <t>Adjovscina-Koper Gas Pipeline</t>
  </si>
  <si>
    <t>Adjovscina</t>
  </si>
  <si>
    <t>LINESTRING (13.957937 45.864775, 13.969881 45.848138, 13.9659 45.828722, 13.967492 45.808744, 13.952363 45.797642, 13.932456 45.778763, 13.922901 45.754879, 13.920512 45.728205, 13.922105 45.707079, 13.924494 45.681494, 13.933253 45.668141, 13.943604 45.644766, 13.934845 45.621938, 13.909365 45.607456, 13.872737 45.589071, 13.828942 45.567335, 13.776388 45.549494, 13.738964 45.538898)</t>
  </si>
  <si>
    <t>P4328</t>
  </si>
  <si>
    <t>https://www.gem.wiki/Rogatec-Cersak_Gas_Pipeline</t>
  </si>
  <si>
    <t>Rogatec-Cersak Gas Pipeline</t>
  </si>
  <si>
    <t>LINESTRING (15.712507 46.240269, 15.728831 46.269725, 15.738386 46.306041, 15.752719 46.372559, 15.747941 46.408258, 15.736793 46.432959, 15.721664 46.469167, 15.70972 46.522886, 15.711313 46.567794, 15.719276 46.6061, 15.724053 46.650939, 15.711313 46.678261, 15.693795 46.691371, 15.672 46.706565)</t>
  </si>
  <si>
    <t>P4329</t>
  </si>
  <si>
    <t>https://www.gem.wiki/Rogatec-Novo_Mesto_Gas_Pipeline</t>
  </si>
  <si>
    <t>Rogatec-Novo Mesto Gas Pipeline</t>
  </si>
  <si>
    <t>Novo Mesto</t>
  </si>
  <si>
    <t>LINESTRING (15.712507 46.240269, 15.666324 46.220439, 15.638057 46.215205, 15.622928 46.211348, 15.608595 46.191508, 15.604613 46.165044, 15.604613 46.142428, 15.604613 46.126978, 15.589484 46.109868, 15.581522 46.101587, 15.576744 46.088887, 15.576744 46.06624, 15.57754 46.047453, 15.570374 46.034187, 15.556838 46.022578, 15.543301 46.018707, 15.530561 45.983307, 15.508265 45.948992, 15.4796 45.919087, 15.454119 45.911332, 15.396788 45.908007, 15.36653 45.906899, 15.33468 45.889167, 15.306014 45.870319, 15.272571 45.860339, 15.256646 45.848138, 15.23435 45.835934, 15.204092 45.831496, 15.175825 45.822341, 15.157909 45.817069, 15.124466 45.794866)</t>
  </si>
  <si>
    <t>P4330</t>
  </si>
  <si>
    <t>https://www.gem.wiki/Vodice-Jesenice_Gas_Pipeline</t>
  </si>
  <si>
    <t>Vodice-Jesenice Gas Pipeline</t>
  </si>
  <si>
    <t>LINESTRING (14.493846 46.189632, 14.493541 46.189905, 14.436492 46.218511, 14.404642 46.248254, 14.374384 46.264771, 14.331385 46.272477, 14.305905 46.283484, 14.291572 46.30109, 14.282017 46.304391, 14.237426 46.320891, 14.205575 46.347281, 14.192835 46.36157, 14.178502 46.372559, 14.153022 46.386841, 14.137097 46.398923, 14.119579 46.415395, 14.082951 46.424177, 14.055878 46.432959)</t>
  </si>
  <si>
    <t>P4331</t>
  </si>
  <si>
    <t>Slovenia, Croatia</t>
  </si>
  <si>
    <t>https://www.gem.wiki/Kalce-Kastav_Gas_Pipeline</t>
  </si>
  <si>
    <t>Kalce-Kastav Gas Pipeline</t>
  </si>
  <si>
    <t>Kalce</t>
  </si>
  <si>
    <t>Kastav</t>
  </si>
  <si>
    <t>LINESTRING (14.189414 45.894765, 14.201992 45.874754, 14.214732 45.847028, 14.20677 45.812629, 14.193233 45.778208, 14.185271 45.742099, 14.190048 45.723202, 14.204381 45.699293, 14.218714 45.675931, 14.229861 45.652002, 14.244194 45.636415, 14.254546 45.625279, 14.252157 45.595757, 14.243398 45.582384, 14.237028 45.558415, 14.244991 45.536109, 14.255342 45.522164, 14.262508 45.478073, 14.273656 45.445681, 14.295952 45.424449, 14.3373 45.3616)</t>
  </si>
  <si>
    <t>P4332</t>
  </si>
  <si>
    <t>https://www.gem.wiki/Vodice-Tarvisio_Gas_Pipeline</t>
  </si>
  <si>
    <t>Vodice-Tarvisio Gas Pipeline</t>
  </si>
  <si>
    <t>LINESTRING (14.493846 46.189632, 14.436492 46.218511, 14.404642 46.248254, 14.374384 46.264771, 14.331385 46.272477, 14.305905 46.283484, 14.291572 46.30109, 14.237426 46.320891, 14.205575 46.347281, 14.192835 46.36157, 14.178502 46.372559, 14.153022 46.386841, 14.137097 46.398923, 14.119579 46.415395, 14.082951 46.424177, 14.055878 46.432959, 13.957539 46.453809, 13.855617 46.476844, 13.779175 46.48781, 13.710697 46.486714, 13.683624 46.486714, 13.583498 46.503218)</t>
  </si>
  <si>
    <t>P4333</t>
  </si>
  <si>
    <t>https://www.gem.wiki/Donje_Mijolac-Bata_Gas_Pipeline</t>
  </si>
  <si>
    <t>Donje Mijolac-Bata Gas Pipeline</t>
  </si>
  <si>
    <t>Donje Mijolac</t>
  </si>
  <si>
    <t>LINESTRING (18.176059 45.735374, 18.186006 45.794033, 18.200339 45.843978, 18.239356 45.907176, 18.272799 45.944286, 18.299872 45.980817, 18.329334 46.016772, 18.353222 46.033911, 18.463902 46.037228, 18.531585 46.046071, 18.602453 46.063201, 18.70119 46.069278, 18.772057 46.114008, 18.7741 46.1267)</t>
  </si>
  <si>
    <t>P4334</t>
  </si>
  <si>
    <t>https://www.gem.wiki/Vecses-Kecskemet_Gas_Pipeline</t>
  </si>
  <si>
    <t>Vecses-Kecskemet Gas Pipeline</t>
  </si>
  <si>
    <t>Vecses</t>
  </si>
  <si>
    <t>Kecskemet</t>
  </si>
  <si>
    <t>P4335</t>
  </si>
  <si>
    <t>Austria, Switzerland</t>
  </si>
  <si>
    <t>https://www.gem.wiki/Hoscht-St.Magrethen_Gas_Pipeline</t>
  </si>
  <si>
    <t>Hoscht-St.Magrethen Gas Pipeline</t>
  </si>
  <si>
    <t>Erdgas Ostschweitz AG [unknown %]; Gas Connect Austria GmbH [unknown %]</t>
  </si>
  <si>
    <t>Allianz [unknown %]; Erdgas Ostschweitz AG [unknown %]; Snam [unknown %]; Verbund [unknown %]</t>
  </si>
  <si>
    <t>Hoscht</t>
  </si>
  <si>
    <t>St.Magrethen</t>
  </si>
  <si>
    <t>LINESTRING (9.67421 47.491407, 9.658198 47.484332, 9.647001 47.464351, 9.624942 47.451442)</t>
  </si>
  <si>
    <t>P4337</t>
  </si>
  <si>
    <t>https://www.gem.wiki/Rankweil-Lienz_Gas_Pipeline</t>
  </si>
  <si>
    <t>Rankweil-Lienz Gas Pipeline</t>
  </si>
  <si>
    <t>Rankweil</t>
  </si>
  <si>
    <t>Lienz</t>
  </si>
  <si>
    <t>LINESTRING (9.626733 47.285204, 9.59594 47.284862, 9.548239 47.26982, 9.539393 47.272632, 9.528195 47.281558)</t>
  </si>
  <si>
    <t>P4338</t>
  </si>
  <si>
    <t>https://www.gem.wiki/Solothurn-Zurich_Gas_Pipeline</t>
  </si>
  <si>
    <t>Solothurn-Zurich Gas Pipeline</t>
  </si>
  <si>
    <t>Erdgas Ostschweitz AG [unknown %]</t>
  </si>
  <si>
    <t>Zurich</t>
  </si>
  <si>
    <t>LINESTRING (7.44636 47.134289, 7.4804 47.10503, 7.568188 47.10381, 7.695392 47.189106, 7.767056 47.198845, 7.836928 47.231703, 7.964131 47.271834, 8.055503 47.28885, 8.109251 47.316793, 8.152249 47.352005, 8.266911 47.353219, 8.419197 47.399322, 8.480111 47.415084)</t>
  </si>
  <si>
    <t>P4339</t>
  </si>
  <si>
    <t>https://www.gem.wiki/Zurich-Chur_Gas_Pipeline</t>
  </si>
  <si>
    <t>Zurich-Chur Gas Pipeline</t>
  </si>
  <si>
    <t>Chur</t>
  </si>
  <si>
    <t>LINESTRING (8.480111 47.415084, 8.515943 47.440538, 8.528484 47.461133, 8.564316 47.461133, 8.585815 47.472034, 8.63598 47.468401, 8.67002 47.491407, 8.682562 47.511983, 8.764975 47.513193, 8.811557 47.50109, 8.90472 47.503511, 9.003257 47.515613, 9.103587 47.521662, 9.173459 47.493828, 9.207499 47.461133, 9.220041 47.429631, 9.259456 47.427207, 9.295288 47.442961, 9.322162 47.444173, 9.388451 47.478089, 9.49953 47.476878, 9.54432 47.490196, 9.596276 47.463556, 9.624942 47.451442, 9.619567 47.430843, 9.632108 47.409022, 9.608817 47.379915, 9.583735 47.360501, 9.572985 47.327724, 9.54432 47.302216, 9.528195 47.281558, 9.512071 47.259676, 9.497738 47.240218, 9.478031 47.200063, 9.478031 47.17084, 9.506696 47.13307, 9.497738 47.089174, 9.472656 47.075755, 9.479822 47.04158, 9.519237 47.015934, 9.547903 46.97561, 9.551486 46.92302, 9.540736 46.880176)</t>
  </si>
  <si>
    <t>P4340</t>
  </si>
  <si>
    <t>https://www.gem.wiki/Gas_Interconnector_Bulgaria-Romania</t>
  </si>
  <si>
    <t>Gas Interconnector Bulgaria-Romania</t>
  </si>
  <si>
    <t>IBR</t>
  </si>
  <si>
    <t>LINESTRING (26.017 43.2993, 25.9946 43.361801, 25.99416 43.418289, 25.998191 43.455609, 26.020362 43.514105, 26.027416 43.582035, 26.006253 43.628009, 25.983074 43.660096, 25.981059 43.739512, 25.977028 43.786821, 26.009277 43.818096, 26.008269 43.866796, 25.9625 43.9046)</t>
  </si>
  <si>
    <t>P4341</t>
  </si>
  <si>
    <t>https://www.gem.wiki/Romanian_National_Transmission_System</t>
  </si>
  <si>
    <t>Romanian National Transmission System</t>
  </si>
  <si>
    <t>Silistea-Onesti</t>
  </si>
  <si>
    <t>Silistea</t>
  </si>
  <si>
    <t>LINESTRING (27.797066 45.300772, 27.934123 45.408415, 27.692258 45.628726, 27.434268 45.842557, 27.176278 46.005194, 26.886039 46.189683, 26.768 46.2658)</t>
  </si>
  <si>
    <t>P4342</t>
  </si>
  <si>
    <t>Onesti-Coroi</t>
  </si>
  <si>
    <t>Coroi</t>
  </si>
  <si>
    <t>LINESTRING (26.7684 46.2658, 26.438588 46.185497, 26.079821 46.121271, 25.821831 46.112888, 25.555779 46.149205, 25.197011 46.263585, 24.926928 46.36382, 24.761653 46.402751, 24.616534 46.402751)</t>
  </si>
  <si>
    <t>P4343</t>
  </si>
  <si>
    <t>Coroi-Jupa</t>
  </si>
  <si>
    <t>Jupa</t>
  </si>
  <si>
    <t>LINESTRING (24.616534 46.402751, 24.390793 46.366602, 24.2751 46.2516, 23.745818 46.15479, 23.520077 45.992593, 23.189527 45.858, 23.012159 45.762466, 22.989988 45.697748, 22.2106 45.5992)</t>
  </si>
  <si>
    <t>P4344</t>
  </si>
  <si>
    <t>Jupa-Podisor</t>
  </si>
  <si>
    <t>LINESTRING (22.2106 45.5992, 22.725 45.665, 22.85 45.6739, 23.01 45.6583, 23.155 45.6448, 23.267 45.5751, 23.383 45.4947, 23.425 45.2135, 23.456 45.1379, 23.456 44.9602, 23.614 44.9036, 23.983 44.8723, 24.096 44.8523, 24.524 44.7122, 25.066001 44.61045, 25.291742 44.528605, 25.687232 44.399852)</t>
  </si>
  <si>
    <t>P4345</t>
  </si>
  <si>
    <t>Coroi-Satu</t>
  </si>
  <si>
    <t>Satu</t>
  </si>
  <si>
    <t>LINESTRING (24.616534 46.402751, 24.390793 46.366602, 24.36963 46.592834, 24.305132 46.700759, 24.180168 46.811228, 24.083422 47.023244, 23.986676 47.0919, 23.922178 47.217996, 23.873805 47.253577, 23.889929 47.439307, 23.59566 47.637966, 23.551318 47.629817, 23.293328 47.779018, 23.1377 47.7867, 22.871261 47.796041)</t>
  </si>
  <si>
    <t>P4346</t>
  </si>
  <si>
    <t>Podisor-Silistea</t>
  </si>
  <si>
    <t>LINESTRING (25.687232 44.399852, 25.891367 44.432255, 26.242072 44.527169, 26.45572 44.647745, 26.625026 44.770933, 26.89914 44.988019, 27.274032 45.261062, 27.572333 45.314947, 27.797066 45.300772)</t>
  </si>
  <si>
    <t>P4347</t>
  </si>
  <si>
    <t>Coroi-Podisor</t>
  </si>
  <si>
    <t>LINESTRING (24.616534 46.402751, 24.798941 46.111491, 24.911811 46.010794, 24.968247 45.88747, 25.129491 45.763873, 25.282672 45.668177, 25.484227 45.544093, 25.572911 45.391432, 25.798652 45.005122, 25.919585 44.799543, 25.97602 44.679283, 25.97602 44.478293, 25.891367 44.432255, 25.687232 44.399852)</t>
  </si>
  <si>
    <t>P4348</t>
  </si>
  <si>
    <t>https://www.gem.wiki/Gormansten-Arklow_Gas_Pipeline</t>
  </si>
  <si>
    <t>Gormansten-Arklow Gas Pipeline</t>
  </si>
  <si>
    <t>Arklow</t>
  </si>
  <si>
    <t>LINESTRING (-6.22249 53.638742, -6.251309 53.563307, -6.240271 53.519221, -6.326161 53.44756, -6.323858 53.429725, -6.236338 53.364493, -6.208701 53.282641, -6.185669 53.235109, -6.038267 53.110863, -6.027903 53.01675, -6.048631 52.97239, -6.083179 52.919653, -6.101604 52.825122)</t>
  </si>
  <si>
    <t>P4349</t>
  </si>
  <si>
    <t>Onesti-Letcani</t>
  </si>
  <si>
    <t>LINESTRING (26.7684 46.2658, 26.742 46.3582, 26.748 46.4369, 26.782 46.5126, 26.783 46.617, 26.676 46.7358, 26.69 46.838, 26.729132 46.86445, 26.695 47.0755, 27.087 47.2418, 27.426 47.2093, 27.566925 47.16916)</t>
  </si>
  <si>
    <t>P4350</t>
  </si>
  <si>
    <t>https://www.gem.wiki/Karacabey-Izmit_Gas_Pipeline</t>
  </si>
  <si>
    <t>Karacabey-Izmit Gas Pipeline</t>
  </si>
  <si>
    <t>LINESTRING (28.343494 40.215294, 28.3429 40.1644, 28.262641 40.059962, 28.208221 39.923301, 28.138685 39.844424, 28.002636 39.767779, 27.942169 39.653816, 27.927053 39.548991, 27.87868 39.460348, 27.88775 39.362242, 27.87868 39.263999, 27.821236 39.170306, 27.79705 39.048317, 27.667047 38.890829, 27.443322 38.773073, 27.370325 38.731219, 27.292156 38.657483, 27.240759 38.536976, 27.210526 38.510958, 27.154972 38.444872)</t>
  </si>
  <si>
    <t>P4351</t>
  </si>
  <si>
    <t>https://www.gem.wiki/Duzce-Sungurlu_Gas_Pipeline</t>
  </si>
  <si>
    <t>Duzce-Sungurlu Gas Pipeline</t>
  </si>
  <si>
    <t>Duzce</t>
  </si>
  <si>
    <t>Sungurlu</t>
  </si>
  <si>
    <t>LINESTRING (34.247869 40.110308, 34.095947 40.241979, 33.891873 40.420019, 33.742219 40.485585, 33.694602 40.549365, 33.696869 40.6475, 33.5971 40.73862, 33.415701 40.764386, 33.216161 40.821036, 32.957668 40.814172, 32.798943 40.917059, 32.567659 40.865635, 32.259281 40.769538, 31.996252 40.783275, 31.842063 40.776407, 31.706013 40.697374, 31.297865 40.73862, 31.22077 40.821036, 31.194127 40.892638)</t>
  </si>
  <si>
    <t>P4352</t>
  </si>
  <si>
    <t>https://www.gem.wiki/Godas-Siirt_Gas_Pipeline</t>
  </si>
  <si>
    <t>Godas-Siirt Gas Pipeline</t>
  </si>
  <si>
    <t>Godas</t>
  </si>
  <si>
    <t>Siirt</t>
  </si>
  <si>
    <t>LINESTRING (37.784964 37.817048, 37.83951 37.724853, 37.978583 37.692962, 38.186184 37.648291, 38.284946 37.488534, 38.317195 37.458141, 38.538905 37.350869, 38.679993 37.371695, 38.756584 37.445341, 38.927905 37.560467, 39.206051 37.653079, 39.320937 37.672225, 39.510398 37.716882, 39.623269 37.793373, 39.744201 37.822036, 40.123124 37.834772, 40.47786 37.787001, 40.917249 37.812483, 41.17927 37.850689, 41.312297 37.907961, 41.634784 37.927041, 41.87665 37.90478, 41.985489 37.923861)</t>
  </si>
  <si>
    <t>P4353</t>
  </si>
  <si>
    <t>https://www.gem.wiki/Konya-Kirsehir_Gas_Pipeline</t>
  </si>
  <si>
    <t>Konya-Kirsehir Gas Pipeline</t>
  </si>
  <si>
    <t>Konya</t>
  </si>
  <si>
    <t>Kirsehir</t>
  </si>
  <si>
    <t>LINESTRING (32.832767 37.960209, 32.983555 38.063641, 33.183094 38.082681, 33.412866 38.182561, 33.715198 38.315522, 33.799851 38.410345, 33.908691 38.523968, 33.938924 38.679908, 34.05381 38.745961, 34.192883 38.892006, 34.380328 39.047143, 34.398468 39.136311, 34.322389 39.192063, 34.163972 39.282905)</t>
  </si>
  <si>
    <t>P4354</t>
  </si>
  <si>
    <t>https://www.gem.wiki/Sacarya-Baklan_Gas_Pipeline</t>
  </si>
  <si>
    <t>Sacarya-Baklan Gas Pipeline</t>
  </si>
  <si>
    <t>Sacarya</t>
  </si>
  <si>
    <t>Baklan</t>
  </si>
  <si>
    <t>LINESTRING (29.688514 38.055496, 29.648833 38.18375, 29.587611 38.395537, 29.483306 38.633279, 29.32685 38.787214, 29.390339 38.937289, 29.596681 39.111684, 29.816627 39.317231, 29.973084 39.478435, 29.993492 39.611323, 29.993492 39.768941, 30.050935 39.850227, 30.143146 39.922142, 30.162798 39.94996, 30.1143 39.978401, 30.043376 40.057648, 30.090238 40.249443, 30.188496 40.360113, 30.303382 40.447598, 30.388035 40.549903, 30.450013 40.650905, 30.45606 40.767785, 30.491206 40.830902)</t>
  </si>
  <si>
    <t>P4355</t>
  </si>
  <si>
    <t>https://www.gem.wiki/Sarikali-Karacabey_Gas_Pipeline</t>
  </si>
  <si>
    <t>Sarikali-Karacabey Gas Pipeline</t>
  </si>
  <si>
    <t>Sarikali</t>
  </si>
  <si>
    <t>LINESTRING (28.343494 40.215294, 28.218425 40.286929, 27.996715 40.308451, 27.756865 40.308451, 27.468642 40.308451, 27.261041 40.399073, 27.061501 40.537075, 26.936538 40.635038, 26.861962 40.711471, 26.68661 40.848831, 26.557615 40.917404, 26.456838 40.960036, 26.3856 40.9646)</t>
  </si>
  <si>
    <t>P4356</t>
  </si>
  <si>
    <t>Goleniów-Lwówek Gas Pipeline</t>
  </si>
  <si>
    <t>P4357</t>
  </si>
  <si>
    <t>https://www.gem.wiki/Odolanow-Latynia_Gas_Pipeline</t>
  </si>
  <si>
    <t>Odolanow-Latynia Gas Pipeline</t>
  </si>
  <si>
    <t>Latynia</t>
  </si>
  <si>
    <t>LINESTRING (17.685757 51.573096, 17.579111 51.570412, 17.532754 51.579181, 17.385619 51.594208, 17.252593 51.597965, 17.099411 51.597965, 16.924059 51.594208, 16.791033 51.586695, 16.770877 51.54911, 16.787002 51.492674, 16.80111 51.463802, 16.795064 51.421088, 16.760799 51.340577, 16.750722 51.280101, 16.762815 51.180394, 16.756768 51.13615)</t>
  </si>
  <si>
    <t>P4358</t>
  </si>
  <si>
    <t>https://www.gem.wiki/Pelczyce-Poznan_Gas_Pipeline</t>
  </si>
  <si>
    <t>Pelczyce-Poznan Gas Pipeline</t>
  </si>
  <si>
    <t>Pelczyce</t>
  </si>
  <si>
    <t>Poznan</t>
  </si>
  <si>
    <t>LINESTRING (15.261054 53.039456, 15.304819 53.081381, 15.395519 53.155171, 15.45397 53.203488, 15.492265 53.245722, 15.550716 53.272247, 15.703897 53.289118, 15.873203 53.295142, 15.965918 53.291528, 16.040494 53.32886, 16.145302 53.345709, 16.332748 53.318025, 16.467789 53.287913, 16.532287 53.280683, 16.592753 53.237278, 16.63508 53.181752, 16.717717 53.145501, 16.758028 53.104379, 16.774152 53.068062, 16.834619 53.020804, 16.899116 52.984417, 16.933381 52.940711, 16.959583 52.879936, 16.9878 52.783737, 17.016018 52.699541, 17.030127 52.650658, 17.034158 52.591925, 17.026096 52.535565, 17.032142 52.45826, 16.947489 52.401729)</t>
  </si>
  <si>
    <t>P4359</t>
  </si>
  <si>
    <t>https://www.gem.wiki/Poznan-Krobia_Gas_Pipeline</t>
  </si>
  <si>
    <t>Poznan-Krobia Gas Pipeline</t>
  </si>
  <si>
    <t>Krobia</t>
  </si>
  <si>
    <t>LINESTRING (17.032142 52.45826, 17.080516 52.395579, 17.098655 52.330347, 17.094624 52.268718, 17.064391 52.234168, 17.058344 52.187237, 17.06036 52.126646, 17.068422 52.063495, 17.09664 52.001496, 17.084547 51.936925, 17.0193 51.8172, 16.997634 51.785105)</t>
  </si>
  <si>
    <t>P4360</t>
  </si>
  <si>
    <t>https://www.gem.wiki/Stalowa_Wola-Pogorska_Wola_Gas_Pipeline</t>
  </si>
  <si>
    <t>Stalowa Wola-Pogorska Wola Gas Pipeline</t>
  </si>
  <si>
    <t>Stalowa Wola</t>
  </si>
  <si>
    <t>Pogorska Wola</t>
  </si>
  <si>
    <t>LINESTRING (22.050288 50.589802, 22.002228 50.624459, 21.930676 50.642357, 21.81579 50.65322, 21.741215 50.654498, 21.684779 50.641079, 21.58501 50.630213, 21.489271 50.630852, 21.380432 50.634048, 21.283686 50.627656, 21.160737 50.584164, 21.043836 50.523977, 20.997478 50.46243, 20.945074 50.427775, 20.904763 50.376387, 20.878561 50.33009, 20.886623 50.285036, 20.922903 50.256694, 20.932981 50.224467, 20.953436 50.191346, 21.060326 50.075087, 21.090307 50.042577, 21.124623 50.014402)</t>
  </si>
  <si>
    <t>P4361</t>
  </si>
  <si>
    <t>https://www.gem.wiki/High_Pressure_Pipeline_to_West_Macedonia</t>
  </si>
  <si>
    <t>High Pressure Pipeline to West Macedonia</t>
  </si>
  <si>
    <t>Trikala-Ptolemaida</t>
  </si>
  <si>
    <t>Trikala</t>
  </si>
  <si>
    <t>Ptolemaida</t>
  </si>
  <si>
    <t>LINESTRING (22.5579 40.598, 22.49688 40.592759, 22.45623 40.622992, 22.440105 40.647464, 22.375608 40.674985, 22.305064 40.685685, 22.210333 40.685685, 22.168007 40.682628, 22.139789 40.665813, 22.093431 40.665813, 22.006763 40.674985, 21.950328 40.676514, 21.895908 40.676514, 21.84955 40.670399, 21.7819 40.6547, 21.789084 40.626051, 21.7438 40.6135, 21.694353 40.586266, 21.643965 40.558708, 21.613731 40.544925, 21.5773 40.5432)</t>
  </si>
  <si>
    <t>P4362</t>
  </si>
  <si>
    <t>https://www.gem.wiki/Megalopoli-Patras_Gas_Pipeline</t>
  </si>
  <si>
    <t>Megalopoli-Patras Gas Pipeline</t>
  </si>
  <si>
    <t>Megalopoli</t>
  </si>
  <si>
    <t>Patras</t>
  </si>
  <si>
    <t>LINESTRING (22.1077 37.3562, 22.046066 37.356076, 21.991646 37.404925, 22.001724 37.447341, 22.000716 37.495331, 21.969475 37.5337, 21.924126 37.556073, 21.859628 37.603993, 21.807224 37.637519, 21.71854 37.682196, 21.680244 37.69655, 21.603654 37.726846, 21.557296 37.742786, 21.521016 37.750755, 21.490783 37.758722, 21.49683 37.782621, 21.537141 37.811289, 21.543187 37.836762, 21.5485 37.881, 21.59156 37.905178, 21.615747 37.933798, 21.625825 38.003712, 21.619778 38.052929, 21.603654 38.094183, 21.567374 38.136998, 21.559312 38.154434)</t>
  </si>
  <si>
    <t>P4363</t>
  </si>
  <si>
    <t>Perdika-Ioanna</t>
  </si>
  <si>
    <t>Perdika</t>
  </si>
  <si>
    <t>Ioanna</t>
  </si>
  <si>
    <t>LINESTRING (21.5773 40.5432, 21.531094 40.557943, 21.402099 40.56713, 21.313415 40.54416, 21.2563 40.5257, 21.228762 40.4844, 21.208607 40.446064, 21.192482 40.390055, 21.170311 40.328621, 21.144109 40.261748, 21.145117 40.220208, 21.141086 40.158619, 21.116899 40.127804, 21.04434 40.133968, 21.012091 40.146295, 20.895189 40.1617, 20.871003 40.149376, 20.871003 40.130886, 20.814567 40.118557, 20.75007 40.115474, 20.701697 40.078471, 20.669448 40.038362, 20.608981 39.975064, 20.596888 39.941075, 20.580764 39.902431, 20.568671 39.869953, 20.558593 39.832816, 20.598904 39.78327, 20.625106 39.763131, 20.667432 39.707333, 20.681541 39.67166, 20.721852 39.654592, 20.760147 39.646833)</t>
  </si>
  <si>
    <t>P4364</t>
  </si>
  <si>
    <t>https://www.gem.wiki/Thiva-Megalopoli_Gas_Pipeline</t>
  </si>
  <si>
    <t>Thiva-Megalopoli Gas Pipeline</t>
  </si>
  <si>
    <t>Thiva</t>
  </si>
  <si>
    <t>LINESTRING (22.1077 37.3562, 22.183627 37.378903, 22.242078 37.404524, 22.312622 37.450941, 22.393244 37.498929, 22.459757 37.494131, 22.528286 37.49573, 22.540379 37.508522, 22.592783 37.498929, 22.651234 37.514918, 22.679452 37.542091, 22.653249 37.551679, 22.639141 37.559668, 22.655265 37.588423, 22.645187 37.615569, 22.629063 37.647493, 22.641156 37.674618, 22.665343 37.695354, 22.7117 37.728839, 22.723794 37.770274, 22.741933 37.802132, 22.806431 37.84671, 22.83868 37.867398, 22.870928 37.884898, 22.911239 37.88967, 22.935426 37.915116, 22.96969 37.934195, 23.014032 37.934195, 23.090623 37.958037, 23.134965 37.989814, 23.167214 38.015225, 23.211556 38.034278, 23.276053 38.043802, 23.374815 38.040628, 23.443344 38.064435, 23.507841 38.088234, 23.527997 38.100924, 23.544121 38.16117, 23.525981 38.199195, 23.435281 38.245115, 23.358691 38.268855, 23.322411 38.297333, 23.32 38.326)</t>
  </si>
  <si>
    <t>P4365</t>
  </si>
  <si>
    <t>Gospodinci-Batajnica</t>
  </si>
  <si>
    <t>LINESTRING (20.27 44.9, 20.291576 44.953329, 20.264798 45.014426, 20.167188 45.179673, 20.153367 45.23992, 20.120543 45.309217, 19.989483 45.40563)</t>
  </si>
  <si>
    <t>P4366</t>
  </si>
  <si>
    <t>Batajnica-Paracin</t>
  </si>
  <si>
    <t>24,  18</t>
  </si>
  <si>
    <t>Paracin</t>
  </si>
  <si>
    <t>LINESTRING (21.45685 43.823125, 21.387745 44.001099, 21.249537 44.074374, 21.099234 44.246647, 21.042223 44.415948, 20.895376 44.444323, 20.800358 44.445557, 20.684608 44.508425, 20.589589 44.565071, 20.586134 44.605675, 20.613776 44.699078, 20.53085 44.724861, 20.384003 44.735907, 20.332175 44.760446, 20.280347 44.832776, 20.27 44.9, 20.27 44.9)</t>
  </si>
  <si>
    <t>P4367</t>
  </si>
  <si>
    <t>https://www.gem.wiki/Batajnica-Velika_Gas_Pipeline</t>
  </si>
  <si>
    <t>Batajnica-Velika Gas Pipeline</t>
  </si>
  <si>
    <t>Velika</t>
  </si>
  <si>
    <t>LINESTRING (20.291576 44.953329, 20.499609 44.954042, 20.626301 44.92143, 20.776027 44.879008, 20.821544 44.843914, 20.941878 44.715552, 20.941878 44.663148, 21.045534 44.574609, 21.042223 44.415948)</t>
  </si>
  <si>
    <t>P4368</t>
  </si>
  <si>
    <t>https://www.gem.wiki/Horgos-Gospodinci_Gas_Pipeline</t>
  </si>
  <si>
    <t>Horgos-Gospodinci Gas Pipeline</t>
  </si>
  <si>
    <t>LINESTRING (19.989483 45.40563, 19.984781 45.466038, 19.983629 45.550788, 19.977871 45.667615, 19.981326 45.739201, 19.993995 45.799456, 19.981326 45.910956, 19.942167 45.991033, 19.951381 46.070995, 19.94447 46.133285, 19.985782 46.175423)</t>
  </si>
  <si>
    <t>P4369</t>
  </si>
  <si>
    <t>https://www.gem.wiki/Pancevo-Horgos_Gas_Pipeline</t>
  </si>
  <si>
    <t>Pancevo-Horgos Gas Pipeline</t>
  </si>
  <si>
    <t>Pancevo-Elemir</t>
  </si>
  <si>
    <t>Pancevo</t>
  </si>
  <si>
    <t>Elemir</t>
  </si>
  <si>
    <t>LINESTRING (20.626301 44.92143, 20.704619 45.014324, 20.838221 45.051765, 20.898112 45.124948, 21.015589 45.185051, 21.061659 45.251577, 20.974127 45.292104, 20.868166 45.339078, 20.755296 45.350411, 20.633211 45.35203, 20.461 45.4051, 20.370614 45.449073, 20.263502 45.502375)</t>
  </si>
  <si>
    <t>P4370</t>
  </si>
  <si>
    <t>Elemir-Horgos</t>
  </si>
  <si>
    <t>30, 28</t>
  </si>
  <si>
    <t>LINESTRING (20.263502 45.502375, 20.499609 45.718298, 20.483485 45.848415, 20.338366 45.936593, 20.071162 45.910956, 20.036609 45.944602, 19.995147 45.95261, 19.969809 46.005435, 19.988236 46.102947, 19.985782 46.175423)</t>
  </si>
  <si>
    <t>P4371</t>
  </si>
  <si>
    <t>https://www.gem.wiki/Pojate-Leskovac_Gas_Pipeline</t>
  </si>
  <si>
    <t>Pojate-Leskovac Gas Pipeline</t>
  </si>
  <si>
    <t>Yugorosgas [unknown %]</t>
  </si>
  <si>
    <t>Gazprom [unknown %]; Srbijagas [unknown %]</t>
  </si>
  <si>
    <t>Pojate</t>
  </si>
  <si>
    <t>Leskovac</t>
  </si>
  <si>
    <t>LINESTRING (22.127163 43.051961, 22.06065 43.058904, 22.001047 43.079728, 21.969519 43.097707, 21.966495 43.171144, 21.923737 43.230334, 21.896856 43.278745, 21.893 43.3217, 21.871908 43.400028, 21.868453 43.435165, 21.809714 43.461504, 21.737155 43.583016, 21.61795 43.669303, 21.490106 43.751723, 21.45685 43.823125)</t>
  </si>
  <si>
    <t>P4372</t>
  </si>
  <si>
    <t>https://www.gem.wiki/Prahovo-Nis_Gas_Pipeline</t>
  </si>
  <si>
    <t>Prahovo-Nis Gas Pipeline</t>
  </si>
  <si>
    <t>20, 10</t>
  </si>
  <si>
    <t>Prahovo</t>
  </si>
  <si>
    <t>Nis</t>
  </si>
  <si>
    <t>LINESTRING (22.520339 44.318897, 22.474269 44.234786, 22.356791 44.229834, 22.271563 44.172036, 22.246224 43.958521, 22.319936 43.769192, 22.269259 43.647639, 22.202458 43.622632, 22.218582 43.443946, 22.140264 43.418854, 22.094194 43.387056, 21.932951 43.378686, 21.871908 43.400028)</t>
  </si>
  <si>
    <t>P4373</t>
  </si>
  <si>
    <t>Serbia, Kosovo</t>
  </si>
  <si>
    <t>https://www.gem.wiki/Serbia-Kosovo-Montenegro_Gas_Interconnector</t>
  </si>
  <si>
    <t>Serbia-Kosovo-Montenegro Gas Interconnector</t>
  </si>
  <si>
    <t>Serbia-Kosovo</t>
  </si>
  <si>
    <t>Muhazobi</t>
  </si>
  <si>
    <t>LINESTRING (21.871908 43.400028, 21.774011 43.355242, 21.437702 43.331789, 21.327135 43.261376, 21.313314 43.167364, 21.281065 43.093397, 21.19814 42.992388, 21.193533 42.793252)</t>
  </si>
  <si>
    <t>P4374</t>
  </si>
  <si>
    <t>Montenegro</t>
  </si>
  <si>
    <t>Kosovo, Montenegro</t>
  </si>
  <si>
    <t>Kosovo-Montenegro</t>
  </si>
  <si>
    <t>Perellace</t>
  </si>
  <si>
    <t>Krcevo</t>
  </si>
  <si>
    <t>LINESTRING (21.19814 42.992388, 20.824976 42.941821, 20.484061 42.908087, 20.161573 42.860828, 19.885156 42.793252)</t>
  </si>
  <si>
    <t>P4375</t>
  </si>
  <si>
    <t>Qatargas 2 Pipeline 2</t>
  </si>
  <si>
    <t>P4376</t>
  </si>
  <si>
    <t>Qatargas 3 Pipeline</t>
  </si>
  <si>
    <t>P4377</t>
  </si>
  <si>
    <t>Qatargas 4 Pipeline</t>
  </si>
  <si>
    <t>P4379</t>
  </si>
  <si>
    <t>https://www.gem.wiki/ADCC_Pipeline</t>
  </si>
  <si>
    <t>ADCC Pipeline</t>
  </si>
  <si>
    <t>Cheniere Energy [unknown %]; Whistler Pipeline LLC [unknown %]</t>
  </si>
  <si>
    <t>Cheniere Energy [unknown %]; Marathon Petroleum [unknown %]; Stonepeak Infrastructure Fund III [unknown %]; West Texas Gas [unknown %]; WhiteWater Midstream [unknown %]</t>
  </si>
  <si>
    <t>P4380</t>
  </si>
  <si>
    <t>P4381</t>
  </si>
  <si>
    <t>Columbia to Eastover Pipeline</t>
  </si>
  <si>
    <t>P4382</t>
  </si>
  <si>
    <t>Transco to Charleston Project</t>
  </si>
  <si>
    <t>P4388</t>
  </si>
  <si>
    <t>https://www.gem.wiki/Le_Havre%E2%80%93Paris_Gas_Pipeline</t>
  </si>
  <si>
    <t>Hydrogen Ready Expansion</t>
  </si>
  <si>
    <t>P4389</t>
  </si>
  <si>
    <t>P4390</t>
  </si>
  <si>
    <t>P4391</t>
  </si>
  <si>
    <t>P4392</t>
  </si>
  <si>
    <t>P4393</t>
  </si>
  <si>
    <t>https://www.gem.wiki/Puth_Schinnen%E2%80%93Bemelen_Gas_Pipeline</t>
  </si>
  <si>
    <t>P4394</t>
  </si>
  <si>
    <t>https://www.gem.wiki/Echt%E2%80%93Puth_Schinnen_Gas_Pipeline</t>
  </si>
  <si>
    <t>Puth Schninnen</t>
  </si>
  <si>
    <t>P4395</t>
  </si>
  <si>
    <t>https://www.gem.wiki/Westerschelde_Oost%E2%80%93Wijngaarden_Gas_Pipeline</t>
  </si>
  <si>
    <t>P4399</t>
  </si>
  <si>
    <t>Hungary, Serbia</t>
  </si>
  <si>
    <t>P4400</t>
  </si>
  <si>
    <t>P4401</t>
  </si>
  <si>
    <t>https://www.gem.wiki/Petrich%E2%80%93Dubnitza_Gas_Pipeline</t>
  </si>
  <si>
    <t>P4402</t>
  </si>
  <si>
    <t>https://www.gem.wiki/Sofia-Thessaloniki_Gas_Pipeline</t>
  </si>
  <si>
    <t>Sofia-Thessaloniki Gas Pipeline</t>
  </si>
  <si>
    <t>Bulgartransgaz [unknown %]; DESFA S.A. [unknown %]</t>
  </si>
  <si>
    <t>Bulgarian Energy Holding [unknown %]; Copelouzos Group [unknown %]; Enagás [unknown %]; Fluxys [unknown %]; Government of Greece [unknown %]; Snam [unknown %]</t>
  </si>
  <si>
    <t>Sofia</t>
  </si>
  <si>
    <t>P4403</t>
  </si>
  <si>
    <t>https://www.gem.wiki/Karperi%E2%80%93Ampelia_Gas_Pipeline</t>
  </si>
  <si>
    <t>Karperi</t>
  </si>
  <si>
    <t>P4404</t>
  </si>
  <si>
    <t>Kulata-Nea Mesimvria</t>
  </si>
  <si>
    <t>Nea Mesimvria</t>
  </si>
  <si>
    <t>P4405</t>
  </si>
  <si>
    <t>https://www.gem.wiki/Ampelia%E2%80%93Bralos_Gas_Pipeline</t>
  </si>
  <si>
    <t>P4406</t>
  </si>
  <si>
    <t>https://www.gem.wiki/Bralos%E2%80%93Aliartos_Gas_Pipeline</t>
  </si>
  <si>
    <t>P4407</t>
  </si>
  <si>
    <t>P4408</t>
  </si>
  <si>
    <t>P4409</t>
  </si>
  <si>
    <t>P4410</t>
  </si>
  <si>
    <t>https://www.gem.wiki/Istrana%E2%80%93Mira_Gas_Pipeline</t>
  </si>
  <si>
    <t>P4411</t>
  </si>
  <si>
    <t>https://www.gem.wiki/Minerbio%E2%80%93Ravenna_Terra_Gas_Pipeline</t>
  </si>
  <si>
    <t>Minberbio</t>
  </si>
  <si>
    <t>P4412</t>
  </si>
  <si>
    <t>https://www.gem.wiki/Melizzano%E2%80%93Benevento_Gas_Pipeline</t>
  </si>
  <si>
    <t>P4414</t>
  </si>
  <si>
    <t>https://www.gem.wiki/Benevento%E2%80%93Biccari_Gas_Pipeline</t>
  </si>
  <si>
    <t>P4415</t>
  </si>
  <si>
    <t>https://www.gem.wiki/Hill_Lake_Pipeline</t>
  </si>
  <si>
    <t>Hill Lake Pipeline</t>
  </si>
  <si>
    <t>P4416</t>
  </si>
  <si>
    <t>https://www.gem.wiki/Worsham%E2%80%93Steed_Pipeline</t>
  </si>
  <si>
    <t>Worsham–Steed Pipeline</t>
  </si>
  <si>
    <t>P4419</t>
  </si>
  <si>
    <t>P4420</t>
  </si>
  <si>
    <t>Moore–Dorchester Optimization Project</t>
  </si>
  <si>
    <t>P4421</t>
  </si>
  <si>
    <t>https://www.gem.wiki/Helsinki%E2%80%93Siuntio_Gas_Pipeline</t>
  </si>
  <si>
    <t>New offshore production</t>
  </si>
  <si>
    <t>P4422</t>
  </si>
  <si>
    <t>https://www.gem.wiki/Mantsala%E2%80%93Helsinki_Gas_Pipeline</t>
  </si>
  <si>
    <t>P4423</t>
  </si>
  <si>
    <t>https://www.gem.wiki/Mantsala%E2%80%93Kyroskoski_Gas_Pipeline</t>
  </si>
  <si>
    <t>P4424</t>
  </si>
  <si>
    <t>https://www.gem.wiki/Imatra%E2%80%93Mantsala_Gas_Pipeline</t>
  </si>
  <si>
    <t>P4425</t>
  </si>
  <si>
    <t>https://www.gem.wiki/Green_Hysland_Pipeline</t>
  </si>
  <si>
    <t>Green Hysland Pipeline</t>
  </si>
  <si>
    <t>Cas Tresorer</t>
  </si>
  <si>
    <t>Lloseta</t>
  </si>
  <si>
    <t>P4426</t>
  </si>
  <si>
    <t>https://www.gem.wiki/Estonia-Latvia_Interconnection_Gas_Pipeline</t>
  </si>
  <si>
    <t>P4428</t>
  </si>
  <si>
    <t>https://www.gem.wiki/Bielefeld-Magdeburg_Gas_Pipeline</t>
  </si>
  <si>
    <t>Bielefeld-Magdeburg Gas Pipeline</t>
  </si>
  <si>
    <t>Bielefeld</t>
  </si>
  <si>
    <t>LINESTRING (8.6992 52.0586, 8.892152 52.113188, 9.372393 52.09595, 9.787146 52.092118, 10.251794 52.113188, 10.716443 52.151473, 11.18421 52.189725, 11.328897 52.27345, 11.405141 52.347608)</t>
  </si>
  <si>
    <t>P4429</t>
  </si>
  <si>
    <t>https://www.gem.wiki/Bunde-Quendorf_Gas_Pipeline</t>
  </si>
  <si>
    <t>Bunde-Quendorf Gas Pipeline</t>
  </si>
  <si>
    <t>Quendorf</t>
  </si>
  <si>
    <t>LINESTRING (7.193597 52.346699, 7.186362 52.564748, 7.08969 52.689679, 7.033927 52.730429, 7.077217 52.90839, 7.164533 53.045465, 7.205 53.2019, 7.240123 53.229017, 7.323811 53.277367)</t>
  </si>
  <si>
    <t>P4430</t>
  </si>
  <si>
    <t>https://www.gem.wiki/Dubnitza-Nikolaevo_Gas_Pipeline</t>
  </si>
  <si>
    <t>Dubnitza-Nikolaevo Gas Pipeline</t>
  </si>
  <si>
    <t>Nikolaevo</t>
  </si>
  <si>
    <t>LINESTRING (26.017 43.2993, 25.300087 43.256884, 24.925924 43.049882, 24.18984 43.061927, 23.799825 42.870998, 23.772359 42.715811, 23.332906 42.697654, 23.041768 42.614841, 22.951567 42.523153, 22.907909 42.375888, 23.068509 42.262824)</t>
  </si>
  <si>
    <t>P4432</t>
  </si>
  <si>
    <t>https://www.gem.wiki/Gagliano-Syracuse_Gas_Pipeline</t>
  </si>
  <si>
    <t>Gagliano-Syracuse Gas Pipeline</t>
  </si>
  <si>
    <t>LINESTRING (15.264306 37.071926, 15.127095 37.112969, 15.017949 37.194989, 14.91504 37.271956, 14.837079 37.368675, 14.830842 37.460319, 14.749763 37.527123, 14.646854 37.549378, 14.528353 37.52465, 14.444155 37.50981, 14.380801 37.547006)</t>
  </si>
  <si>
    <t>P4446</t>
  </si>
  <si>
    <t>Virginia Electrification Project</t>
  </si>
  <si>
    <t>P4447</t>
  </si>
  <si>
    <t>Northern Loop Project</t>
  </si>
  <si>
    <t>P4448</t>
  </si>
  <si>
    <t>Mainline 100 and Mainline 200 Replacement Project</t>
  </si>
  <si>
    <t>P4449</t>
  </si>
  <si>
    <t>https://www.gem.wiki/DTE_Michigan_Lateral_Gas_Pipeline</t>
  </si>
  <si>
    <t>DTE Michigan Lateral Gas Pipeline</t>
  </si>
  <si>
    <t>DTE Michigan Lateral Co [100.00%]</t>
  </si>
  <si>
    <t>DTE Energy [100.00%]</t>
  </si>
  <si>
    <t>P4450</t>
  </si>
  <si>
    <t>Rogers City Connector</t>
  </si>
  <si>
    <t>P4451</t>
  </si>
  <si>
    <t>Norwalk Manistee Connector</t>
  </si>
  <si>
    <t>P4452</t>
  </si>
  <si>
    <t>Morgantown Connector Project</t>
  </si>
  <si>
    <t>P4453</t>
  </si>
  <si>
    <t>Modernization Project</t>
  </si>
  <si>
    <t>P4454</t>
  </si>
  <si>
    <t>https://www.gem.wiki/Ohio_Valley_Connector_Expansion_Project_(OVCX)</t>
  </si>
  <si>
    <t>Ohio Valley Connector Expansion Project (OVCX)</t>
  </si>
  <si>
    <t>Equitrans LP [100.00%]</t>
  </si>
  <si>
    <t>Equitrans Midstream Corporation [unknown %]</t>
  </si>
  <si>
    <t>P4455</t>
  </si>
  <si>
    <t>https://www.gem.wiki/Crow_Creek_Pipeline</t>
  </si>
  <si>
    <t>Crow Creek Pipeline</t>
  </si>
  <si>
    <t>Lower Valley Energy [100.00%]</t>
  </si>
  <si>
    <t>P4456</t>
  </si>
  <si>
    <t>Greene Interconnect Project</t>
  </si>
  <si>
    <t>P4457</t>
  </si>
  <si>
    <t>https://www.gem.wiki/Lowman_Pipeline</t>
  </si>
  <si>
    <t>Lowman Pipeline</t>
  </si>
  <si>
    <t>NextEra Energy Resources LLC [100.00%]</t>
  </si>
  <si>
    <t>NextEra Energy [100.00%]</t>
  </si>
  <si>
    <t>P4458</t>
  </si>
  <si>
    <t>A-Line Replacement Project</t>
  </si>
  <si>
    <t>P4459</t>
  </si>
  <si>
    <t>Lake City 1st Branch Line Abandonment and Capacity Replacement Project</t>
  </si>
  <si>
    <t>P4460</t>
  </si>
  <si>
    <t>C-Line Replacement Project</t>
  </si>
  <si>
    <t>P4461</t>
  </si>
  <si>
    <t>South Sioux City to Sioux Falls A-line Replacement Project</t>
  </si>
  <si>
    <t>South Dakota</t>
  </si>
  <si>
    <t>P4462</t>
  </si>
  <si>
    <t>https://www.gem.wiki/Rozwad%C3%B3w-Strachocina_Gas_Pipeline</t>
  </si>
  <si>
    <t>Rozwadów-Strachocina Gas Pipeline</t>
  </si>
  <si>
    <t>Gaz-System [100.00%]</t>
  </si>
  <si>
    <t>LINESTRING (22.44453636712676 51.81677065726418, 22.065508075582862 49.60857988056038)</t>
  </si>
  <si>
    <t>P4463</t>
  </si>
  <si>
    <t>P4464</t>
  </si>
  <si>
    <t>Spain, Italy</t>
  </si>
  <si>
    <t>https://www.gem.wiki/Spain-Italy_Offshore_Interconnector</t>
  </si>
  <si>
    <t>Spain-Italy Offshore Interconnector</t>
  </si>
  <si>
    <t>Snam Rete Gas S.p.A [100.00%]</t>
  </si>
  <si>
    <t>P4465</t>
  </si>
  <si>
    <t>https://www.gem.wiki/Rupcha-Vetrino_Gas_Pipeline</t>
  </si>
  <si>
    <t>Rupcha-Vetrino Gas Pipeline</t>
  </si>
  <si>
    <t>Bulgartransgaz [100.00%]</t>
  </si>
  <si>
    <t>Bulgarian Energy Holding [100.00%]</t>
  </si>
  <si>
    <t>Rupcha</t>
  </si>
  <si>
    <t>Vetrino</t>
  </si>
  <si>
    <t>LINESTRING (27.082137411092955 42.89940105215425, 27.423956891711534 43.31756185197135)</t>
  </si>
  <si>
    <t>P4466</t>
  </si>
  <si>
    <t>Türkiye, Georgia</t>
  </si>
  <si>
    <t>P4478</t>
  </si>
  <si>
    <t>https://www.gem.wiki/Ningxia_Gas_Pipeline_Network</t>
  </si>
  <si>
    <t>Ningxia Gas Pipeline Network</t>
  </si>
  <si>
    <t>Hangjinqi-Yinchuan Gas Pipeline</t>
  </si>
  <si>
    <t>Ningxia Hanas Gas Group Co., Ltd. [300.00%]</t>
  </si>
  <si>
    <t>Tonglian Capital Management Co., Ltd. [51.00%]; Ningxia Master Energy Group Co., Ltd. [48.40%]; other [0.60%]</t>
  </si>
  <si>
    <t>Changqing Oil&amp;Gas Field (Ordos Dongsheng Gas Field)</t>
  </si>
  <si>
    <t>Hanggin</t>
  </si>
  <si>
    <t>Yinchuan</t>
  </si>
  <si>
    <t>宁夏输气管网</t>
  </si>
  <si>
    <t>LINESTRING (108.810472 39.61288, 107.270398 39.201772, 106.695724 38.80532, 106.353957 38.54564, 106.329356 38.468798, 106.110757 38.456894)</t>
  </si>
  <si>
    <t>P4479</t>
  </si>
  <si>
    <t>Yinchuan-Shizuishan parallel gas pipeline</t>
  </si>
  <si>
    <t>Yinshi (Helan County) Natural Gas Co., Ltd. [300.00%]</t>
  </si>
  <si>
    <t>Ningxia Masite (Group) Cashmere Products Co., Ltd. [70.00%]; Ningxia Master Energy Group Co., Ltd. [29.70%]; other [0.30%]</t>
  </si>
  <si>
    <t>610/273</t>
  </si>
  <si>
    <t>LINESTRING (106.110757 38.456894, 106.67360395307347 39.19773484018571)</t>
  </si>
  <si>
    <t>P4480</t>
  </si>
  <si>
    <t>Yinchuan-Wuzhong gas pipeline</t>
  </si>
  <si>
    <t>Yinwu (Yongning County) Natural Gas Co., Ltd. [300.00%]</t>
  </si>
  <si>
    <t>Wuzhong</t>
  </si>
  <si>
    <t>LINESTRING (106.110757 38.456894, 106.18381622808245 37.830824707527505)</t>
  </si>
  <si>
    <t>P4481</t>
  </si>
  <si>
    <t>Yanchi-Yinchuan gas pipeline</t>
  </si>
  <si>
    <t>Yanchi</t>
  </si>
  <si>
    <t>LINESTRING (106.110757 38.456894, 107.35866637242964 37.79567106469245)</t>
  </si>
  <si>
    <t>P4482</t>
  </si>
  <si>
    <t>https://www.gem.wiki/China%E2%80%93Russia_East_Pipeline</t>
  </si>
  <si>
    <t>China–Russia East Pipeline</t>
  </si>
  <si>
    <t>National Pipe Network Group North Pipeline Co., Ltd. [100.00%]</t>
  </si>
  <si>
    <t>National Petroleum and Natural Gas Pipeline Network Group Co., Ltd. [100.00%]</t>
  </si>
  <si>
    <t>Changling</t>
  </si>
  <si>
    <t>Yongqing</t>
  </si>
  <si>
    <t>中俄东线天然气管道</t>
  </si>
  <si>
    <t>LINESTRING (123.644593 43.35972, 123.485958 43.01, 123.482845 42.692, 123.21549 42.202526, 123.009965 41.939341, 122.783013 41.748038, 121.588552 41.209804, 121.038195 40.946362, 120.407741 40.39688, 119.736811 40.123637, 119.535858 40.037061, 118.104915 39.755959, 116.926286 39.473163, 116.555529 39.30201, 116.51979 39.297164)</t>
  </si>
  <si>
    <t>P4483</t>
  </si>
  <si>
    <t>P4484</t>
  </si>
  <si>
    <t>Heihe</t>
  </si>
  <si>
    <t>LINESTRING (127.529918 50.24344, 127.36687 50.196359, 126.659306 48.69307, 125.989514 47.168844, 125.279008 46.043012, 124.872457 45.662499, 124.330183 44.574754, 123.882838 44.247906, 123.911035 43.957154, 123.644593 43.35972)</t>
  </si>
  <si>
    <t>P4485</t>
  </si>
  <si>
    <t>Changling-Changchun Branch</t>
  </si>
  <si>
    <t>low</t>
  </si>
  <si>
    <t>Dehui</t>
  </si>
  <si>
    <t>LINESTRING (124.330183 44.574754, 125.413804 44.148949)</t>
  </si>
  <si>
    <t>P4486</t>
  </si>
  <si>
    <t>Construction Project Management Branch of China National Petroleum Pipeline Network Group Co., Ltd. [100.00%]</t>
  </si>
  <si>
    <t>Baihe</t>
  </si>
  <si>
    <t>MULTILINESTRING ((116.51979 39.297164, 115.429023 38.301166, 116.2313 37.312918, 116.681208 36.498398, 116.9239 36.197698, 117.485926 35.67347, 118.5942 35.216156, 119.001141 34.484422, 119.895192 33.472684, 120.112919 33.142031, 120.209131 32.138724, 120.952551 32.262236, 121.066638 31.721365, 120.861347 31.304153, 121.131321 31.266851), (124.330183 44.574754, 125.413804 44.148949))</t>
  </si>
  <si>
    <t>P4487</t>
  </si>
  <si>
    <t>Myanmar, China</t>
  </si>
  <si>
    <t>https://www.gem.wiki/Sino-Myanmar_Gas_Pipeline</t>
  </si>
  <si>
    <t>Sino-Myanmar Gas Pipeline</t>
  </si>
  <si>
    <t>Nanning-Qinzhou Branch Pipeline</t>
  </si>
  <si>
    <t>National Pipe Network Group Southwest Pipeline Co., Ltd. [100.00%]</t>
  </si>
  <si>
    <t>Qinzhou</t>
  </si>
  <si>
    <t>中缅油气管道</t>
  </si>
  <si>
    <t>LINESTRING (108.36726144232057 22.820186692631165, 108.65565254239038 21.984768153446822)</t>
  </si>
  <si>
    <t>P4488</t>
  </si>
  <si>
    <t>Xincheng-Guilin Branch Pipeline</t>
  </si>
  <si>
    <t>Xincheng</t>
  </si>
  <si>
    <t>Laibin</t>
  </si>
  <si>
    <t>LINESTRING (108.64801779764755 24.066515465220537, 110.16068994655508 25.224121724481726)</t>
  </si>
  <si>
    <t>P4489</t>
  </si>
  <si>
    <t>Trunk line (Burma segment)</t>
  </si>
  <si>
    <t>Shwe Gas Pipeline</t>
  </si>
  <si>
    <t>Myanmar's offshore fields</t>
  </si>
  <si>
    <t>Kyaukpyu</t>
  </si>
  <si>
    <t>Rakhine</t>
  </si>
  <si>
    <t>Yes</t>
  </si>
  <si>
    <t>MULTILINESTRING ((92.7566054 19.9400628, 93.54954 19.435582, 94.0007214 19.4849918, 94.0240244 19.7824828, 94.5444584 19.9607118, 94.8671384 20.2186568, 95.0881954 20.2366958, 95.1082134 20.8413628, 96.1177104 21.6107277, 97.2820364 22.6195236, 97.7351764 22.9652956, 97.663659 23.831042, 97.661966 23.859479, 99.166813 25.095283, 100.25414 25.594274, 101.538772 25.031191, 102.379107 24.915962, 105.954651 26.239047, 106.545778 26.311371, 107.508143 26.249259, 108.07571 24.685683, 109.245257 23.748081, 109.505153 23.121435), (101.538772 25.031191, 101.679539 26.566427))</t>
  </si>
  <si>
    <t>P4490</t>
  </si>
  <si>
    <t>Trunk line (China segment)</t>
  </si>
  <si>
    <t>P4491</t>
  </si>
  <si>
    <t>https://www.gem.wiki/Yunnan_Gas_Pipeline_Network</t>
  </si>
  <si>
    <t>Kunming East Branch</t>
  </si>
  <si>
    <t>Yunnan Petro-China Kunlun Gas Co., Ltd. [500.00%]</t>
  </si>
  <si>
    <t>Kunlun Energy Co., Ltd. [51.00%]; Kunming Gas (Group) Holding Co., Ltd. [20.00%]; Yunnan Investment Holding Group Co., Ltd. [20.00%]; Yunnan Chang'an Investment Co., Ltd. [8.10%]; other [0.90%]</t>
  </si>
  <si>
    <t>中缅输气管道</t>
  </si>
  <si>
    <t>LINESTRING (103.113013 25.466146, 102.888867 24.933764)</t>
  </si>
  <si>
    <t>P4492</t>
  </si>
  <si>
    <t>Kunming West Branch</t>
  </si>
  <si>
    <t>LINESTRING (102.368138 24.906802, 102.609723 24.99177)</t>
  </si>
  <si>
    <t>P4493</t>
  </si>
  <si>
    <t>Lufeng–Yuxi Branch Pipeline</t>
  </si>
  <si>
    <t>Lufeng</t>
  </si>
  <si>
    <t>Chuxiong</t>
  </si>
  <si>
    <t>LINESTRING (101.976389 25.1475, 102.527 24.347)</t>
  </si>
  <si>
    <t>P4494</t>
  </si>
  <si>
    <t>Midu–Dali–Lijiang Branch Pipeline</t>
  </si>
  <si>
    <t>Midu</t>
  </si>
  <si>
    <t>Lijiang</t>
  </si>
  <si>
    <t>LINESTRING (100.493056 25.342778, 100.2676 25.6065, 100.2259 26.8552)</t>
  </si>
  <si>
    <t>P4495</t>
  </si>
  <si>
    <t>Panzhihua-Liangshan Gas Pipeline</t>
  </si>
  <si>
    <t>Miyi County</t>
  </si>
  <si>
    <t>Xichang</t>
  </si>
  <si>
    <t>LINESTRING (101.9640731412208 26.69491302557884, 102.11015360742664 26.88982126406892, 102.19222276837459 27.412469232024204, 102.19902962816303 27.88867767035012)</t>
  </si>
  <si>
    <t>P4496</t>
  </si>
  <si>
    <t>https://www.gem.wiki/Zhongwei-Guiyang_Connecting_Pipeline</t>
  </si>
  <si>
    <t>Zhongwei-Guiyang Connecting Gas Pipeline</t>
  </si>
  <si>
    <t>Trunk line</t>
  </si>
  <si>
    <t>West-East Gas Pipeline 2/Sino-Myanmar Gas Pipeline</t>
  </si>
  <si>
    <t>中贵联络线</t>
  </si>
  <si>
    <t>LINESTRING (105.147714 37.459796, 106.223081 36.007314, 105.848106 32.427166, 106.053578 31.357051, 106.300149 30.346809, 106.040075 29.903573, 106.934188 27.729828, 106.545545 26.311174)</t>
  </si>
  <si>
    <t>P4497</t>
  </si>
  <si>
    <t>Longlan Branch</t>
  </si>
  <si>
    <t>中贵输气联络线</t>
  </si>
  <si>
    <t>P4498</t>
  </si>
  <si>
    <t>Longxi Branch</t>
  </si>
  <si>
    <t>P4499</t>
  </si>
  <si>
    <t>Tianshui Branch</t>
  </si>
  <si>
    <t>P4500</t>
  </si>
  <si>
    <t>Yunnan Gas Pipeline Network</t>
  </si>
  <si>
    <t>Baoshan–Nujiang Branch</t>
  </si>
  <si>
    <t>云南输气管网</t>
  </si>
  <si>
    <t>LINESTRING (99.232895 25.214914, 98.867061 25.802525)</t>
  </si>
  <si>
    <t>P4501</t>
  </si>
  <si>
    <t>Dali–Lincang Branch (Phase I)</t>
  </si>
  <si>
    <t>Lincang Nengxun Natural Gas Pipeline Co., Ltd. [300.00%]</t>
  </si>
  <si>
    <t>Chongqing ASUS Energy Technology Co., Ltd. [86.00%]; Chongqing Huiyong Enterprise Management Consulting Service Co., Ltd. [9.00%]; other [5.00%]</t>
  </si>
  <si>
    <t>LINESTRING (100.532572 25.056722, 99.992686 24.533503)</t>
  </si>
  <si>
    <t>P4502</t>
  </si>
  <si>
    <t>Fumin–Changshui Branch</t>
  </si>
  <si>
    <t>Yunnan Natural Gas Co., Ltd. [200.00%]</t>
  </si>
  <si>
    <t>Yunnan Energy Investment Co., Ltd. [52.50%]; Yunnan Yunneng Chuangyi Equity Investment Fund Partnership (Limited Partnership) [47.50%]</t>
  </si>
  <si>
    <t>LINESTRING (102.46596 25.33923, 102.691143 25.160826, 102.995975 25.144315)</t>
  </si>
  <si>
    <t>P4503</t>
  </si>
  <si>
    <t>Kaiyuan–Mengzi Branch</t>
  </si>
  <si>
    <t>Honghe Nengtou Natural Gas Industry Development Co., Ltd. [200.00%]</t>
  </si>
  <si>
    <t>LINESTRING (103.272688 23.728627, 103.811686 23.427942)</t>
  </si>
  <si>
    <t>P4504</t>
  </si>
  <si>
    <t>Lijiang–Diqing Branch</t>
  </si>
  <si>
    <t>Yunnan Cangran Energy Development Co., Ltd. [300.00%]</t>
  </si>
  <si>
    <t>Yunnan Cangran Energy Development Co., Ltd. [40.00%]; Tibet Zidi Venture Capital Management Co., Ltd. [36.00%]; 布诺索朗晋美 [24.00%]</t>
  </si>
  <si>
    <t>LINESTRING (100.244269 26.882871, 99.817024 27.545033)</t>
  </si>
  <si>
    <t>P4505</t>
  </si>
  <si>
    <t>Lincang Fengqing–Lincang Shuangjiang Branch (Phase II)</t>
  </si>
  <si>
    <t>LINESTRING (99.992686 24.533503, 99.831443 23.483678)</t>
  </si>
  <si>
    <t>P4506</t>
  </si>
  <si>
    <t>Lubiao-Yimen Branch</t>
  </si>
  <si>
    <t>Yuxi Nengtou Natural Gas Industry Development Co., Ltd. [200.00%]</t>
  </si>
  <si>
    <t>P4507</t>
  </si>
  <si>
    <t>Luxi-Shizong-Luoping Branch</t>
  </si>
  <si>
    <t>LINESTRING (103.674925 24.653186, 104.0130526448295 24.83212856541199, 103.66189173151822 24.651568156340023)</t>
  </si>
  <si>
    <t>P4508</t>
  </si>
  <si>
    <t>Luxi–Mile–Kaiyuan Branch</t>
  </si>
  <si>
    <t>LINESTRING (103.674925 24.653186, 103.433018 24.394939, 103.272688 23.728627)</t>
  </si>
  <si>
    <t>P4509</t>
  </si>
  <si>
    <t>Mengzi–Wenshan Branch</t>
  </si>
  <si>
    <t>LINESTRING (103.811686 23.427942, 103.871045 23.613333)</t>
  </si>
  <si>
    <t>P4510</t>
  </si>
  <si>
    <t>Pu'er–Banna Branch</t>
  </si>
  <si>
    <t>Pu'er</t>
  </si>
  <si>
    <t>Jinghong</t>
  </si>
  <si>
    <t>Xishuang Banna</t>
  </si>
  <si>
    <t>LINESTRING (100.984044 22.785258, 100.787448 22.013212)</t>
  </si>
  <si>
    <t>P4511</t>
  </si>
  <si>
    <t>Qujing–Zhaotong Branch</t>
  </si>
  <si>
    <t>Qujing Nengtou Natural Gas Industry Development Co., Ltd. [200.00%]</t>
  </si>
  <si>
    <t>LINESTRING (103.709036 25.550432, 104.093694 25.729674, 103.772002 27.397599)</t>
  </si>
  <si>
    <t>P4512</t>
  </si>
  <si>
    <t>Shuifu–Zhaotong Branch</t>
  </si>
  <si>
    <t>Yunnan Zhongcheng Gas Transmission and Distribution Co., Ltd. [500.00%]</t>
  </si>
  <si>
    <t>Sichuan Xintianchao Investment Co., Ltd. [45.90%]; 成都成实实业（集团）有限责任公司 [24.50%]; Sichuan Guided Wave Pipeline Inspection Co., Ltd. [17.70%]; Yunnan Beidou Investment Co., Ltd. [10.00%]; other [2.00%]</t>
  </si>
  <si>
    <t>LINESTRING (104.421909 28.632936, 103.772002 27.397599)</t>
  </si>
  <si>
    <t>P4513</t>
  </si>
  <si>
    <t>South Loop pipeline (Wenshan-Honghe-Pu'er, Baoshan-Lincang)</t>
  </si>
  <si>
    <t>P4514</t>
  </si>
  <si>
    <t>Weixin–Zhenxiong–Yiliang–Zhaoyang Fracking Gas Pipeline</t>
  </si>
  <si>
    <t>LINESTRING (105.039685 27.844142, 104.852117 27.442357, 104.054619 27.62438, 103.772002 27.397599)</t>
  </si>
  <si>
    <t>P4515</t>
  </si>
  <si>
    <t>Wenshan–Yanshan Branch</t>
  </si>
  <si>
    <t>Yunnan Natural Gas Wenshan Co., Ltd. [200.00%]</t>
  </si>
  <si>
    <t>LINESTRING (103.871045 23.613333, 104.326191 23.619913)</t>
  </si>
  <si>
    <t>P4516</t>
  </si>
  <si>
    <t>Yanjin–Daguan–Shaoyang Fracking Gas Pipeline</t>
  </si>
  <si>
    <t>LINESTRING (103.932171 28.143815, 103.891281 27.747682, 103.772002 27.397599)</t>
  </si>
  <si>
    <t>P4517</t>
  </si>
  <si>
    <t>Yuguopu–Laozhaixiang Branch (Wenshan Aluminum Smelter Pipeline)</t>
  </si>
  <si>
    <t>LINESTRING (103.326201 23.461887, 103.789762 23.399517)</t>
  </si>
  <si>
    <t>P4518</t>
  </si>
  <si>
    <t>Yuxi–Pu'er Branch</t>
  </si>
  <si>
    <t>LINESTRING (102.521786 24.428958, 102.225199 24.377366, 100.984044 22.785258)</t>
  </si>
  <si>
    <t>P4519</t>
  </si>
  <si>
    <t>Zhanyi–Luliang Branch</t>
  </si>
  <si>
    <t>LINESTRING (104.093694 25.729674, 103.687298 24.832673)</t>
  </si>
  <si>
    <t>P4520</t>
  </si>
  <si>
    <t>Tengchong Branch</t>
  </si>
  <si>
    <t>Tengchong</t>
  </si>
  <si>
    <t>LINESTRING (98.73009214789765 24.648699009145812, 98.63378246729555 24.746914076293645, 98.58887675362566 24.846881532702646, 98.55494332826514 24.952332993519725, 98.52003273881454 24.968734033152987, 98.46185 24.927678, 98.455503 24.927875)</t>
  </si>
  <si>
    <t>P4521</t>
  </si>
  <si>
    <t>https://www.gem.wiki/Hebei-Nanjing_Connecting_Pipeline</t>
  </si>
  <si>
    <t>Hebei-Nanjing Connecting Gas Pipeline</t>
  </si>
  <si>
    <t>West-East Gas Pipeline 1</t>
  </si>
  <si>
    <t>Anping</t>
  </si>
  <si>
    <t>Hengshui</t>
  </si>
  <si>
    <t>冀宁输气联络</t>
  </si>
  <si>
    <t>LINESTRING (119.087956 32.257451, 119.113755 33.631253, 118.19251 33.915439, 117.975417 34.298979, 117.25242 34.782436, 117.127351 35.094705, 116.908014 35.551475, 116.92396 36.1983, 116.82381 36.936466, 116.246672 37.457455, 115.42929 38.300838)</t>
  </si>
  <si>
    <t>P4522</t>
  </si>
  <si>
    <t>Hebei–Nanjing Connecting Gas Pipeline</t>
  </si>
  <si>
    <t>Jiangdu-Taizhou-Rudong Branch</t>
  </si>
  <si>
    <t>West To East Gas Transmission Branch of National Petroleum Pipeline Network Group Co., Ltd. [100.00%]</t>
  </si>
  <si>
    <t>Jiangdu</t>
  </si>
  <si>
    <t>冀宁输气联络线</t>
  </si>
  <si>
    <t>LINESTRING (119.5624814261907 32.43115845346485, 121.1801922443889 32.33244920354117)</t>
  </si>
  <si>
    <t>P4523</t>
  </si>
  <si>
    <t>Pizhou-Lianyungang Branch</t>
  </si>
  <si>
    <t>Qingning Gas pipeline</t>
  </si>
  <si>
    <t>Pizhou</t>
  </si>
  <si>
    <t>LINESTRING (118.061212 34.307681, 119.001141 34.484422)</t>
  </si>
  <si>
    <t>P4524</t>
  </si>
  <si>
    <t>Pizhou–Xuzhou Branch</t>
  </si>
  <si>
    <t>West-East Pipeline II</t>
  </si>
  <si>
    <t>LINESTRING (117.89 34.398, 117.284 34.204)</t>
  </si>
  <si>
    <t>P4525</t>
  </si>
  <si>
    <t>Qingshan Town</t>
  </si>
  <si>
    <t>P4526</t>
  </si>
  <si>
    <t>https://www.gem.wiki/Inner_Mongolia_Gas_Pipeline_Network</t>
  </si>
  <si>
    <t>Inner Mongolia Gas Pipeline Network</t>
  </si>
  <si>
    <t>Hulunbuir Segment</t>
  </si>
  <si>
    <t>Longjiang</t>
  </si>
  <si>
    <t>Manzhouli</t>
  </si>
  <si>
    <t>内蒙古输气管网</t>
  </si>
  <si>
    <t>LINESTRING (127.36687 50.196359, 119.7711 49.2072)</t>
  </si>
  <si>
    <t>P4527</t>
  </si>
  <si>
    <t>Angsu-Aolezhaoqi Gas Pipeline</t>
  </si>
  <si>
    <t>Changqing Sulige No.4 Gas processing plant</t>
  </si>
  <si>
    <t>Angsu Town,Otuoke Front Banner</t>
  </si>
  <si>
    <t>Otuoke Front Banner Industrial Park</t>
  </si>
  <si>
    <t>P4528</t>
  </si>
  <si>
    <t>https://www.gem.wiki/Chahar_Right_Front_Banner%E2%80%93Huade_Gas_Pipeline</t>
  </si>
  <si>
    <t>Chahar Right Front Banner–Huade Gas Pipeline</t>
  </si>
  <si>
    <t>Inner Mongolia West Natural Gas Pipeline Operation Co., Ltd. [400.00%]</t>
  </si>
  <si>
    <t>Ordos State Owned Assets Investment Holding Group Co., Ltd. [43.20%]; China National Petroleum Corporation [42.00%]; Baotou Shenyin Industry Group Co., Ltd. [10.00%]; other [4.80%]</t>
  </si>
  <si>
    <t>Chahar Right Front Banner</t>
  </si>
  <si>
    <t>Ulanqab</t>
  </si>
  <si>
    <t>Huade</t>
  </si>
  <si>
    <t>P4529</t>
  </si>
  <si>
    <t>Changqing Gas Field-Mengxi Gas Pipeline</t>
  </si>
  <si>
    <t>Otog Qi Changmeng Ranqi Co., Ltd. [200.00%]</t>
  </si>
  <si>
    <t>中国燃气控股有限公司 [65.00%]; Inner Mongolia Erdos Investment Holding Group Co., Ltd. [35.00%]</t>
  </si>
  <si>
    <t>LINESTRING (108.662242 38.373932, 108.381155 38.816344, 107.948498 39.072437, 107.733364 39.243312, 107.280584 39.189514, 107.221659 39.337708, 107.017594 39.372422)</t>
  </si>
  <si>
    <t>P4530</t>
  </si>
  <si>
    <t>Changqing Gas Field-Uxin Chemical Industry Park Gas Pipeline</t>
  </si>
  <si>
    <t>Wushen Zhongran Natural Gas Co., Ltd. [100.00%]</t>
  </si>
  <si>
    <t>中国燃气控股有限公司 [100.00%]</t>
  </si>
  <si>
    <t>LINESTRING (108.662242 38.373932, 108.857801 38.60629, 109.08325 38.735527, 108.9646 39.244183)</t>
  </si>
  <si>
    <t>P4531</t>
  </si>
  <si>
    <t>Changqing Gas Field-Wuhai-Linhe Gas Pipeline</t>
  </si>
  <si>
    <t>LINESTRING (108.662242 38.373932, 106.82614 39.650423, 106.381205 38.318106)</t>
  </si>
  <si>
    <t>P4532</t>
  </si>
  <si>
    <t>Chayou Rear Banner-Chayou Middle Banner-Siziwang Banner Gas Pipeline</t>
  </si>
  <si>
    <t>Chayou Front Banner-Huade Gas Pipeline</t>
  </si>
  <si>
    <t>Chayou Rear Banner</t>
  </si>
  <si>
    <t>Siziwang Banner</t>
  </si>
  <si>
    <t>P4533</t>
  </si>
  <si>
    <t>Dadong Gas Pipeline</t>
  </si>
  <si>
    <t>China Petroleum &amp; Chemical Co., Ltd. of North Branch [100.00%]</t>
  </si>
  <si>
    <t>Daniudi Gas Field</t>
  </si>
  <si>
    <t>Dongsheng</t>
  </si>
  <si>
    <t>P4534</t>
  </si>
  <si>
    <t>https://www.gem.wiki/Dalu-Horinger_gas_pipeline</t>
  </si>
  <si>
    <t>Dalu-Horinger Gas Pipeline</t>
  </si>
  <si>
    <t>Inner Mongolia Xinsheng Natural Gas Pipeline Co., Ltd. [200.00%]</t>
  </si>
  <si>
    <t>Inner Mongolia Xinsheng Investment Group Co., Ltd. [60.00%]; Inner Mongolia Xinsheng Natural Gas Pipeline Co., Ltd. [40.00%]</t>
  </si>
  <si>
    <t>Changqing Gas Field</t>
  </si>
  <si>
    <t>Dalu Town, Jungar</t>
  </si>
  <si>
    <t>Shengle Town, Horinger</t>
  </si>
  <si>
    <t>Hohhot</t>
  </si>
  <si>
    <t>MULTILINESTRING ((111.261788 39.953825, 111.349512 40.206286, 111.617541 40.069087, 111.948851 39.80553), (111.617541 40.069087, 111.792012 40.467108))</t>
  </si>
  <si>
    <t>P4535</t>
  </si>
  <si>
    <t>Daniudi-Hangin Banner Gas Pipeline</t>
  </si>
  <si>
    <t>North China Petroleum BUREAU of SINOPEC [100.00%]</t>
  </si>
  <si>
    <t>China Petrochemical Corporation [100.00%]</t>
  </si>
  <si>
    <t>LINESTRING (109.584559 38.902, 108.748206 39.816694)</t>
  </si>
  <si>
    <t>P4536</t>
  </si>
  <si>
    <t>Dongsheng-Hanggin Gas Pipline</t>
  </si>
  <si>
    <t>P4537</t>
  </si>
  <si>
    <t>Duolun County Gas Pipeline</t>
  </si>
  <si>
    <t>Datang-Hexigten Coal Gasification Transmission Pipeline</t>
  </si>
  <si>
    <t>Hexigten Banner</t>
  </si>
  <si>
    <t>Duolun County</t>
  </si>
  <si>
    <t>Xilin Gol League</t>
  </si>
  <si>
    <t>P4538</t>
  </si>
  <si>
    <t>Ganqika-Yilongyong Gas Pipeline</t>
  </si>
  <si>
    <t>Shuangsheng-Tongliao Gas Pipeline</t>
  </si>
  <si>
    <t>Ganqika, Kezuo Rear Banner</t>
  </si>
  <si>
    <t>Tongliao</t>
  </si>
  <si>
    <t>Yilongyong Town, Naiman Banner</t>
  </si>
  <si>
    <t>P4539</t>
  </si>
  <si>
    <t>Guyang-Bayan Obo (Baiyun Ebo) Gas Pipeline</t>
  </si>
  <si>
    <t>Guyang</t>
  </si>
  <si>
    <t>Bayan Obo(Baiyun Ebo)</t>
  </si>
  <si>
    <t>P4540</t>
  </si>
  <si>
    <t>Hangjin Rear Banner–Urad Rear Banner Gas Pipeline</t>
  </si>
  <si>
    <t>Baotou-Linhe Gas pipeline</t>
  </si>
  <si>
    <t>Hangjinhou Banner</t>
  </si>
  <si>
    <t>Bayannaoer City</t>
  </si>
  <si>
    <t>Wulatehou Banner</t>
  </si>
  <si>
    <t>P4541</t>
  </si>
  <si>
    <t>Hexigten BannerXilinhot Gas Pipeline</t>
  </si>
  <si>
    <t>Xilinhot City</t>
  </si>
  <si>
    <t>P4542</t>
  </si>
  <si>
    <t>Maladi-Shanghai Temple Gas Pipeline</t>
  </si>
  <si>
    <t>Etuokeqian Shiding Natural Gas Operation Co., Ltd. [400.00%]</t>
  </si>
  <si>
    <t>Beijing Yuanjing Dingtai Investment Co., Ltd. [57.00%]; Etuokeqian Shiding Natural Gas Operation Co., Ltd. [30.00%]; Ningxia Shengyuan Natural Gas Pipeline Co., Ltd. [10.00%]; other [3.00%]</t>
  </si>
  <si>
    <t>LINESTRING (108.022735 38.349889, 106.6782 38.35016)</t>
  </si>
  <si>
    <t>P4543</t>
  </si>
  <si>
    <t>Malian Lake-Zhongwei Gas Pipeline</t>
  </si>
  <si>
    <t>P4544</t>
  </si>
  <si>
    <t>Tongliao Longshengfeng Natural Gas Co., Ltd. [200.00%]</t>
  </si>
  <si>
    <t>Shuifa Energas Gas Co., Ltd. [51.00%]; Tongliao Longshengfeng Natural Gas Co., Ltd. [49.00%]</t>
  </si>
  <si>
    <t>LINESTRING (119.814646 43.663907, 122.154968 43.705442)</t>
  </si>
  <si>
    <t>P4545</t>
  </si>
  <si>
    <t>Siziwang Banner-Wuchuan Gas Pipeline</t>
  </si>
  <si>
    <t>Wuchuan</t>
  </si>
  <si>
    <t>P4546</t>
  </si>
  <si>
    <t>Sumitu Erhetu Gacha-Ulan Town Gas Pipeline</t>
  </si>
  <si>
    <t>Erhetu Gacha, Sumitu, Ortoke Banner</t>
  </si>
  <si>
    <t>Ulan Town, Ortoke Banner</t>
  </si>
  <si>
    <t>P4547</t>
  </si>
  <si>
    <t>Tongliao Horqin District–Chifeng Hexigten Banner Gas Pipeline</t>
  </si>
  <si>
    <t>Tongliao-Holininger Gas Pipeline</t>
  </si>
  <si>
    <t>Horqin District</t>
  </si>
  <si>
    <t>P4548</t>
  </si>
  <si>
    <t>Wuyuan-Urad Middle Banner Gas Pipeline</t>
  </si>
  <si>
    <t>Wuyuan</t>
  </si>
  <si>
    <t>Bayannaoer</t>
  </si>
  <si>
    <t>Urad Middle Banner</t>
  </si>
  <si>
    <t>P4549</t>
  </si>
  <si>
    <t>Xiang Gendalai-Bayanhot Gas Pipeline</t>
  </si>
  <si>
    <t>LINESTRING (105.694968 38.378482, 105.659338 38.533251, 105.636059 38.848245)</t>
  </si>
  <si>
    <t>P4550</t>
  </si>
  <si>
    <t>https://www.gem.wiki/Baotou-Linhe_Gas_pipeline</t>
  </si>
  <si>
    <t>Baotou-Linhe Gas Pipeline</t>
  </si>
  <si>
    <t>Linhe</t>
  </si>
  <si>
    <t>LINESTRING (109.79761 40.668264, 107.441267 40.752779)</t>
  </si>
  <si>
    <t>P4551</t>
  </si>
  <si>
    <t>https://www.gem.wiki/Fu%27antun%E2%80%93Kailu%E2%80%93Naiman_Gas_Pipeline</t>
  </si>
  <si>
    <t>Fu'antun–Kailu–Naiman Gas Pipeline</t>
  </si>
  <si>
    <t>LINESTRING (121.89848996909242 46.1159683444706, 121.319 43.601, 120.666667 42.85)</t>
  </si>
  <si>
    <t>P4552</t>
  </si>
  <si>
    <t>https://www.gem.wiki/Sumitu-Dongsheng-Junger_gas_pipeline</t>
  </si>
  <si>
    <t>Sumitu-Dongsheng-Junger Gas Pipeline</t>
  </si>
  <si>
    <t>Junggar</t>
  </si>
  <si>
    <t>LINESTRING (108.393015 38.615227, 109.973494 39.850417, 111.23811 40.048593, 109.973494 39.850417, 109.960067 40.368019)</t>
  </si>
  <si>
    <t>P4553</t>
  </si>
  <si>
    <t>https://www.gem.wiki/Tongliao-Holingol_Gas_Pipeline</t>
  </si>
  <si>
    <t>Huolinguole Mintong Natural Gas Co., Ltd. [100.00%]</t>
  </si>
  <si>
    <t>[[Harbin-Shenyang Gas Pipeline]]</t>
  </si>
  <si>
    <t>Holingol</t>
  </si>
  <si>
    <t>LINESTRING (122.155165 43.705318, 122.073036 43.880839, 119.660109 45.496066)</t>
  </si>
  <si>
    <t>P4554</t>
  </si>
  <si>
    <t>https://www.gem.wiki/Changqing-Huhhot_Parallel_Pipeline</t>
  </si>
  <si>
    <t>Changqing-Huhhot Parallel Pipeline</t>
  </si>
  <si>
    <t>Inner Mongolia Western Natural Gas Co., Ltd. [400.00%]</t>
  </si>
  <si>
    <t>Wulantaolegai, Uxin</t>
  </si>
  <si>
    <t>Huhhot</t>
  </si>
  <si>
    <t>LINESTRING (108.809239 38.161961, 110.438359 40.491612, 111.748407 40.840762)</t>
  </si>
  <si>
    <t>P4555</t>
  </si>
  <si>
    <t>https://www.gem.wiki/Changqing-Huhhot_Pipeline</t>
  </si>
  <si>
    <t>Changqing-Huhhot Gas Pipeline</t>
  </si>
  <si>
    <t>Nalinhe Town, Uxin</t>
  </si>
  <si>
    <t>LINESTRING (108.812103 38.608933, 111.748407 40.840762)</t>
  </si>
  <si>
    <t>P4556</t>
  </si>
  <si>
    <t>https://www.gem.wiki/Jilin_Gas_Pipeline_Network</t>
  </si>
  <si>
    <t>Jilin Gas Pipeline Network</t>
  </si>
  <si>
    <t>Dehui–Fuyu Gas Pipeline</t>
  </si>
  <si>
    <t>Fuyu</t>
  </si>
  <si>
    <t>Songyuan</t>
  </si>
  <si>
    <t>吉林输气管网</t>
  </si>
  <si>
    <t>LINESTRING (125.725406 44.536521, 126.008608 44.98198)</t>
  </si>
  <si>
    <t>P4557</t>
  </si>
  <si>
    <t>Jilin–Yanji Gas Pipeline</t>
  </si>
  <si>
    <t>Yanji</t>
  </si>
  <si>
    <t>LINESTRING (126.534559 43.942919, 129.463066 42.978879)</t>
  </si>
  <si>
    <t>P4558</t>
  </si>
  <si>
    <t>Meihekou–Huadian Gas Pipeline</t>
  </si>
  <si>
    <t>LINESTRING (125.717935 42.569386, 126.713855 42.982606)</t>
  </si>
  <si>
    <t>P4559</t>
  </si>
  <si>
    <t>Overseas Natural Gas Landing Path (Russia Coastal Region-Jilin Hunchun)</t>
  </si>
  <si>
    <t>Hunchun</t>
  </si>
  <si>
    <t>LINESTRING (130.324333 42.855767, 130.460782 42.770581)</t>
  </si>
  <si>
    <t>P4560</t>
  </si>
  <si>
    <t>Songyuan–Baicheng–Ulanhot Gas Pipeline</t>
  </si>
  <si>
    <t>Qianguo County</t>
  </si>
  <si>
    <t>Wulanhot</t>
  </si>
  <si>
    <t>LINESTRING (124.786273 45.195823, 122.862874 45.636504, 122.14117 46.091979)</t>
  </si>
  <si>
    <t>P4561</t>
  </si>
  <si>
    <t>Yanji–Hunchun Gas Pipeline</t>
  </si>
  <si>
    <t>LINESTRING (129.463066 42.978879, 130.324333 42.855767)</t>
  </si>
  <si>
    <t>P4562</t>
  </si>
  <si>
    <t>Changling-Changchun-Jilin Gas Pipeline</t>
  </si>
  <si>
    <t>LINESTRING (124.330183 44.574754, 125.413804 44.148949, 126.534559 43.942919)</t>
  </si>
  <si>
    <t>P4563</t>
  </si>
  <si>
    <t>Siping-Baishan Gas Pipeline</t>
  </si>
  <si>
    <t>Harbin-Shenyang Pipeline</t>
  </si>
  <si>
    <t>Baishan</t>
  </si>
  <si>
    <t>LINESTRING (124.373502 43.247527, 124.373688 43.24741, 125.081617 42.897233, 125.710964 42.557619, 125.963853 41.782537, 126.382164 41.908483)</t>
  </si>
  <si>
    <t>P4564</t>
  </si>
  <si>
    <t>Baish-Jingyu-Fusong gas pipeline</t>
  </si>
  <si>
    <t>Fusong</t>
  </si>
  <si>
    <t>LINESTRING (126.382164 41.908483, 126.81323055686192 42.38867670750665, 127.25153996705359 42.33301289079951)</t>
  </si>
  <si>
    <t>P4565</t>
  </si>
  <si>
    <t>Baish-Linjiang gas pipeline</t>
  </si>
  <si>
    <t>Linjiang</t>
  </si>
  <si>
    <t>LINESTRING (126.382164 41.908483, 126.9035194193188 41.814818440246356)</t>
  </si>
  <si>
    <t>P4566</t>
  </si>
  <si>
    <t>https://www.gem.wiki/Hohhot-Zhangjiakou-Yanqing_Gas_Pipeline</t>
  </si>
  <si>
    <t>Hohot-Zhangjiakou-Yanqing Gas Pipeline</t>
  </si>
  <si>
    <t>Jining–Yanqing Segment</t>
  </si>
  <si>
    <t>Saihan</t>
  </si>
  <si>
    <t>Yanqing</t>
  </si>
  <si>
    <t>呼张延输气管道 (呼和浩特-张家口-延庆)</t>
  </si>
  <si>
    <t>LINESTRING (111.733556 40.683851, 112.19391 40.922272, 113.378938 40.957598, 114.900897 40.62296, 115.980539 40.510484)</t>
  </si>
  <si>
    <t>P4567</t>
  </si>
  <si>
    <t>Saihan–Jining Segment</t>
  </si>
  <si>
    <t>P4568</t>
  </si>
  <si>
    <t>https://www.gem.wiki/CNPC_Sichuan_%26_Chongqing_Gas_Pipeline_Network</t>
  </si>
  <si>
    <t>CNPC Sichuan &amp; Chongqing Gas Pipeline Network</t>
  </si>
  <si>
    <t>Multiple gas fields in Sichuan Basin</t>
  </si>
  <si>
    <t>四川输气管网中石油川渝外输管网（北外环，北干线，北内环，西部管网，南干线，东部管网）</t>
  </si>
  <si>
    <t>MULTILINESTRING ((104.8929977 31.7866993, 104.9520035 31.2919006, 104.5439987 31.1716995, 104.4029999 30.8929005, 104.3539963 30.3642998, 104.3280029 29.9057007, 104.3259964 29.7525005, 104.487999 29.6266003, 104.6159973 29.5209007, 104.7429962 29.2360992, 105.177002 28.6679001, 105.2519989 28.6539001, 105.2519989 28.6257992, 105.8460007 28.6716003, 105.9869995 28.7203007, 106.2409973 29.0013008, 106.2799988 29.2213001, 106.4990005 29.6159, 107.0820007 29.8630009, 107.2200012 30.1823006, 107.5630035 30.5685005, 107.8339996 30.8526993, 108.038002 31.0356998, 108.0569992 31.3456993, 106.8730011 31.4081993, 106.0920029 31.3318005, 105.5270004 31.1928005, 105.1080017 31.0674, 104.4899979 31.0559006), (108.0559998 31.3451996, 108.3899994 30.7787991, 108.1210022 30.3234005, 107.5699997 30.5788994, 106.9199982 30.7677994, 106.8730011 31.4120007), (107.2220001 30.1854992, 106.9199982 30.7672005, 106.8840027 30.6917992, 106.5770035 30.4601994, 105.7050018 30.3239002, 104.3550034 30.3684006, 104.1139984 30.4181995, 104.1139984 30.5214005, 104.2419968 30.6334991, 104.2809982 30.8973999, 104.4039993 30.8943005, 105.435997 30.8647995, 105.7610016 30.7695999, 106.9189987 30.7900009), (104.1139984 30.4204998, 104.1139984 30.2968998, 104.3300018 29.9232006), (104.4710007 28.6079006, 104.6080017 28.6648998, 104.9069977 28.5741997, 105.1809998 28.6648998, 105.552002 28.7891006, 105.8190002 28.7555008, 106.0839996 29.0116005, 106.2549973 29.0907993, 106.6340027 29.2872009, 107.0240021 29.5818996, 107.0810013 29.8623009))</t>
  </si>
  <si>
    <t>P4569</t>
  </si>
  <si>
    <t>Naxi-Anbian Gas Pipeline</t>
  </si>
  <si>
    <t>China National Petroleum Corporation Southwest Oil and Gas Field Branch [100.00%]</t>
  </si>
  <si>
    <t>Naxi</t>
  </si>
  <si>
    <t>Anbian</t>
  </si>
  <si>
    <t>P4570</t>
  </si>
  <si>
    <t>https://www.gem.wiki/Weiyuan-Leshan_Gas_Pipeline</t>
  </si>
  <si>
    <t>Weiyuan-Leshan Gas Pipeline</t>
  </si>
  <si>
    <t>Sichuan PetroChina Natural Gas Pipeline Co., Ltd. [400.00%]</t>
  </si>
  <si>
    <t>Chengdu Mega-center Construction Investment Management Group Co., Ltd. [45.00%]; PetroChina Company Limited [45.00%]; Guolian Zhongrong (Chengdu) Equity Investment Fund Partnership (Limited Partnership) [5.10%]; other [4.90%]</t>
  </si>
  <si>
    <t>Sichuan Basin Fracking Gas Field</t>
  </si>
  <si>
    <t>Weiyuan</t>
  </si>
  <si>
    <t>Jiajiang</t>
  </si>
  <si>
    <t>LINESTRING (104.634079 29.45083, 103.629761 29.704378)</t>
  </si>
  <si>
    <t>P4572</t>
  </si>
  <si>
    <t>https://www.gem.wiki/Tianjin_Nangang_LNG_Transport_pipeline_(Nangang-Beijing)</t>
  </si>
  <si>
    <t>Tianjin Gas Pipeline Network</t>
  </si>
  <si>
    <t>Tianjin Nangang LNG Transport Pipeline (Nangang-Beijing)</t>
  </si>
  <si>
    <t>Beijing Gas Group Co., Ltd. [100.00%]</t>
  </si>
  <si>
    <t>Tianjin Nangang LNG</t>
  </si>
  <si>
    <t>Daxing</t>
  </si>
  <si>
    <t>天津输气管网</t>
  </si>
  <si>
    <t>LINESTRING (117.714095 38.738256, 117.091654 38.79484, 116.946275 38.764233, 116.674562 39.305859, 116.601945 39.468417, 116.673414 39.641752)</t>
  </si>
  <si>
    <t>P4573</t>
  </si>
  <si>
    <t>https://www.gem.wiki/Dagang%E2%80%93Yongqing_Gas_Pipelines_(1%E2%80%933)</t>
  </si>
  <si>
    <t>Dagang–Yongqing Gas Pipelines 1</t>
  </si>
  <si>
    <t>Petrochina Beijing Gas Pipeline Co., Ltd. [200.00%]</t>
  </si>
  <si>
    <t>National Petroleum and Natural Gas Pipeline Network Group Co., Ltd. [60.00%]; Beijing Gas Group Co., Ltd. [40.00%]</t>
  </si>
  <si>
    <t>Shaan-Jing Gas Pipeline 2, Shaan-Jing Gas Pipeline 3</t>
  </si>
  <si>
    <t>Dagang</t>
  </si>
  <si>
    <t>LINESTRING (116.518753 39.295781, 116.458628 39.096086, 116.930553 38.779099, 117.239099 38.826566, 117.549985 38.752138)</t>
  </si>
  <si>
    <t>P4574</t>
  </si>
  <si>
    <t>Dagang–Yongqing Gas Pipelines 2</t>
  </si>
  <si>
    <t>P4575</t>
  </si>
  <si>
    <t>Dagang–Yongqing Gas Pipelines 3</t>
  </si>
  <si>
    <t>P4576</t>
  </si>
  <si>
    <t>https://www.gem.wiki/Tianjin_Gas_Pipeline_Network</t>
  </si>
  <si>
    <t>Dagang–Cangzhou 529 Gas Pipeline</t>
  </si>
  <si>
    <t>PetroChina Dagang Oilfield Branch [100.00%]</t>
  </si>
  <si>
    <t>Dagang Oil/Gas Field</t>
  </si>
  <si>
    <t>LINESTRING (116.518753 39.295781, 117.002744 38.319473)</t>
  </si>
  <si>
    <t>P4577</t>
  </si>
  <si>
    <t>Dagang–Cangzhou 406 Gas Pipeline</t>
  </si>
  <si>
    <t>P4578</t>
  </si>
  <si>
    <t>https://www.gem.wiki/Tianjin_LNG_Terminal_Transport_Pipeline</t>
  </si>
  <si>
    <t>Tianjin LNG Terminal Transport Pipeline</t>
  </si>
  <si>
    <t>National Pipe Network Group Tianjin Natural Gas Pipeline Co., Ltd. [100.00%]</t>
  </si>
  <si>
    <t>Tianjin LNG Terminal</t>
  </si>
  <si>
    <t>Tianjin Port</t>
  </si>
  <si>
    <t>Binhai District</t>
  </si>
  <si>
    <t>Tangshan/Cangzhou</t>
  </si>
  <si>
    <t>LINESTRING (117.709045 38.745837, 117.549993 38.752153, 116.947444 38.777992, 116.943492 39.422038, 117.002744 38.319473, 116.947444 38.777992, 117.312465 38.041477, 117.339356 37.757364, 117.777065 37.33959, 117.81639 37.012677)</t>
  </si>
  <si>
    <t>P4579</t>
  </si>
  <si>
    <t>https://www.gem.wiki/Tianjin_LNG_Terminal_Transport_Pipeline_Parallel_Line</t>
  </si>
  <si>
    <t>Tianjin LNG Terminal Transport Pipeline Parallel Line</t>
  </si>
  <si>
    <t>Huanghua/Cangzhou</t>
  </si>
  <si>
    <t>LINESTRING (117.709045 38.745837, 117.549993 38.752153, 117.191976 38.545502, 117.002744 38.319473)</t>
  </si>
  <si>
    <t>P4580</t>
  </si>
  <si>
    <t>https://www.gem.wiki/Anhui_Gas_Pipeline_Network</t>
  </si>
  <si>
    <t>Anhui Gas Pipeline Network</t>
  </si>
  <si>
    <t>Bengbu–Hefei Gas Pipeline</t>
  </si>
  <si>
    <t>Anhui Province Natural Gas Development Co., Ltd. [100.00%]</t>
  </si>
  <si>
    <t>安徽输气管网</t>
  </si>
  <si>
    <t>LINESTRING (117.150191 32.936861, 117.175385 32.899071, 117.19428 32.870728, 117.205302 32.859706, 117.200578 32.845535, 117.181683 32.834512, 117.170661 32.825065, 117.17381 32.815617, 117.175385 32.798297, 117.181683 32.7857, 117.202153 32.747909, 117.17381 32.72429, 117.134445 32.703821, 117.121848 32.692798, 117.110826 32.670754, 117.110826 32.642411, 117.123423 32.615643, 117.124998 32.573129, 117.126572 32.538487, 117.113975 32.503846, 117.09508 32.478653, 117.109252 32.451884, 117.11555 32.436138, 117.124998 32.412519, 117.129721 32.396773, 117.147042 32.362132, 117.147042 32.322767, 117.140744 32.29285, 117.129721 32.261358, 117.129721 32.228291, 117.123423 32.196799, 117.118699 32.154285, 117.123423 32.125942, 117.15649 32.11492, 117.197429 32.105472, 117.244667 32.088152, 117.307651 32.081853, 117.345442 32.077129, 117.395829 32.072406, 117.422597 32.070831, 117.461962 32.064533, 117.496603 32.047212, 117.5092 32.023593, 117.512349 32.010996, 117.512349 31.971631, 117.513924 31.938565, 117.512349 31.902349)</t>
  </si>
  <si>
    <t>P4581</t>
  </si>
  <si>
    <t>Changfeng–Jinzhai Gas Transmission Line</t>
  </si>
  <si>
    <t>LINESTRING (115.865783 31.686887, 115.891998 31.737374, 115.911415 31.768442, 115.9386 31.832521, 115.989087 31.835434, 116.026952 31.825725, 116.063845 31.824754, 116.104623 31.822812, 116.1454 31.823783, 116.18909 31.822812, 116.233751 31.822812, 116.282296 31.818929, 116.318219 31.817958, 116.353171 31.8199, 116.399774 31.8199, 116.433755 31.825725, 116.4823 31.823783, 116.510456 31.826696, 116.551233 31.829608, 116.596865 31.833492, 116.663857 31.846114, 116.732333 31.856803, 116.786597 31.879147, 116.824102 31.894309, 116.871982 31.898299, 116.890336 31.891915, 116.931033 31.894309, 116.955771 31.903087, 116.975721 31.911865, 117.012429 31.924632, 117.023601 31.926228, 117.033177 31.926228, 117.032379 31.975704, 117.034773 32.00922, 117.060308 32.037947, 117.081854 32.058695, 117.116168 32.075453, 117.160057 32.081039, 117.199159 32.083433, 117.224336 32.083369, 117.244739 32.088133)</t>
  </si>
  <si>
    <t>P4582</t>
  </si>
  <si>
    <t>Chaohu–Jiangbei District Gas Pipeline</t>
  </si>
  <si>
    <t>LINESTRING (117.919054 31.60633, 117.964521 31.655077, 117.994051 31.678514, 118.023112 31.693044, 118.065766 31.698669, 118.107483 31.704762, 118.146856 31.706637, 118.190916 31.707106, 118.228414 31.707106, 118.270599 31.707575, 118.295911 31.701012, 118.320284 31.695856)</t>
  </si>
  <si>
    <t>P4583</t>
  </si>
  <si>
    <t>Eastern North-South Backbone Gas Pipeline (Huaibei–Chuzhou)</t>
  </si>
  <si>
    <t>East Vertical Line of Main Gas Transmission Network (Huaibei–Chuzhou)</t>
  </si>
  <si>
    <t>LINESTRING (116.798309 33.87081, 116.829966 33.825787, 116.847553 33.816642, 116.867954 33.810311, 116.893279 33.789206, 116.920715 33.761771, 116.937598 33.728003, 116.945337 33.706195, 116.959406 33.661173, 117.019202 33.661173, 117.056487 33.661173, 117.102917 33.659062, 117.13387 33.655545, 117.175376 33.640068, 117.240096 33.600673, 117.274567 33.587307, 117.311851 33.575348, 117.353357 33.569016, 117.394862 33.563388, 117.470135 33.559871, 117.518675 33.559168, 117.592541 33.557761, 117.640819 33.553943, 117.728643 33.542766, 117.761377 33.534782, 117.804491 33.522806, 117.834032 33.506838, 117.855588 33.482087, 117.869161 33.449353, 117.875548 33.402248, 117.873951 33.368715, 117.876347 33.297657, 117.876347 33.264125, 117.875548 33.228197, 117.873153 33.192269, 117.867564 33.169115, 117.845209 33.139575, 117.818064 33.106042, 117.794112 33.080493, 117.795708 33.050154, 117.801297 33.038977, 117.844411 33.038977, 117.881935 33.036581, 117.918128 33.019918, 117.925999 32.991061, 117.928185 32.952147, 117.929669 32.925886, 117.930748 32.861703, 117.929669 32.818554, 117.929669 32.791047, 117.931287 32.752213, 117.940456 32.743584, 117.975514 32.73819, 118.000864 32.731718, 118.029989 32.714458, 118.045594 32.700166, 118.066429 32.680217, 118.094357 32.670464, 118.120069 32.651845, 118.150214 32.626577, 118.153317 32.611504, 118.16307 32.586679, 118.181246 32.558308, 118.195875 32.533926, 118.226827 32.486636, 118.251604 32.459673, 118.26545 32.427245, 118.283304 32.405383, 118.298971 32.39846, 118.316825 32.385343, 118.330989 32.342829, 118.36695 32.358043, 118.386313 32.384323, 118.404294 32.439734)</t>
  </si>
  <si>
    <t>P4584</t>
  </si>
  <si>
    <t>Fuyang–Suzhou Gas Transmission Line</t>
  </si>
  <si>
    <t>LINESTRING (115.872829 32.940769, 115.884197 32.962557, 115.913565 32.991925, 115.933459 33.026977, 115.961879 33.067712, 115.982721 33.085712, 116.049035 33.113185, 116.12198 33.129289, 116.200609 33.138763, 116.265028 33.1435, 116.31429 33.160552, 116.376815 33.185183, 116.395761 33.206024, 116.442181 33.224971, 116.488601 33.239181, 116.541652 33.253391, 116.564388 33.262864, 116.589966 33.290337, 116.61365 33.318758, 116.622358 33.355492, 116.637515 33.388649, 116.674462 33.425596, 116.705724 33.454963, 116.726565 33.472963, 116.759722 33.482436, 116.782458 33.490962, 116.816563 33.52033, 116.855404 33.572433, 116.862982 33.588538, 116.901823 33.621695, 116.942559 33.643484, 116.959436 33.661159)</t>
  </si>
  <si>
    <t>P4585</t>
  </si>
  <si>
    <t>Huzhou–Xuancheng Gas Pipeline</t>
  </si>
  <si>
    <t>Huzhou</t>
  </si>
  <si>
    <t>LINESTRING (120.08357985260062 30.899343374926005, 118.75049411456652 30.947085013705603)</t>
  </si>
  <si>
    <t>P4586</t>
  </si>
  <si>
    <t>Lu'an–Huoqiu–Yingshang Gas Transmission Trunkline</t>
  </si>
  <si>
    <t>Yingshang</t>
  </si>
  <si>
    <t>Buyang</t>
  </si>
  <si>
    <t>MULTILINESTRING ((116.338456 32.636448, 116.393299 32.625084, 116.435791 32.621131, 116.471859 32.612732, 116.513362 32.59198, 116.529667 32.572217, 116.538067 32.541583, 116.544994 32.502761, 116.55341 32.465491, 116.554612 32.455272, 116.567837 32.406579, 116.567863 32.354984, 116.570177 32.32104, 116.570949 32.291724, 116.578663 32.251608, 116.579435 32.214578, 116.584835 32.186034, 116.59255 32.15209, 116.607148 32.123468, 116.61288 32.094283, 116.618613 32.063014, 116.635811 32.031744, 116.637451 31.991164, 116.639212 31.965463, 116.634987 31.945747, 116.636043 31.9292, 116.633665 31.891118, 116.628457 31.858563, 116.624014 31.838607), (116.554646 32.455274, 116.525569 32.439409, 116.501858 32.428372, 116.486733 32.423058, 116.467519 32.41202, 116.451985 32.405888, 116.428684 32.400574, 116.41274 32.39853, 116.394753 32.396486, 116.375949 32.392398, 116.319535 32.391171))</t>
  </si>
  <si>
    <t>P4587</t>
  </si>
  <si>
    <t>Lujiang–Guichi Gas Pipeline</t>
  </si>
  <si>
    <t>LINESTRING (117.297465 31.274256, 117.292372 31.243696, 117.245684 31.198706, 117.266057 31.1656, 117.288976 31.129099, 117.310198 31.104482, 117.329722 31.07562, 117.337362 31.058643, 117.352641 31.034875, 117.400178 31.006013, 117.440924 30.98564, 117.474879 30.958476, 117.492705 30.934708, 117.520825 30.912171, 117.536373 30.886073, 117.538039 30.877744, 117.545812 30.858865, 117.555252 30.82666, 117.557473 30.812778, 117.556918 30.797786, 117.559139 30.787236, 117.565802 30.76558, 117.574131 30.750033, 117.596342 30.726156, 117.592467 30.681063, 117.580088 30.639801)</t>
  </si>
  <si>
    <t>P4588</t>
  </si>
  <si>
    <t>Lujiang–Wuwei Gas Transmission Line</t>
  </si>
  <si>
    <t>LINESTRING (117.297444 31.274201, 117.315449 31.302806, 117.32726 31.312086, 117.345822 31.320523, 117.363539 31.325164, 117.393913 31.330648, 117.421755 31.338241, 117.443691 31.339085, 117.477017 31.339507, 117.50739 31.337819, 117.552106 31.337819, 117.58037 31.345834, 117.613274 31.381691, 117.63057 31.404049, 117.663052 31.430204, 117.681614 31.413752, 117.709034 31.399409, 117.714096 31.395612, 117.729704 31.382535, 117.736876 31.36777, 117.752062 31.351318, 117.765562 31.341616, 117.788342 31.337819, 117.828536 31.323914, 117.844001 31.312316, 117.873173 31.313019, 117.922731 31.312667, 117.969845 31.311958, 118.033276 31.311958)</t>
  </si>
  <si>
    <t>P4589</t>
  </si>
  <si>
    <t>Middle North–South Backbone Gas Pipeline (Suzhou–Huangshan)</t>
  </si>
  <si>
    <t>Vertical Line of Backbone Network (Suzhou–Huangshan)</t>
  </si>
  <si>
    <t>LINESTRING (116.959476 33.661203, 116.968765 33.602119, 116.980971 33.541899, 116.982599 33.497954, 116.983413 33.474354, 116.993992 33.444244, 117.006199 33.405996, 117.033054 33.3767, 117.063978 33.360424, 117.106295 33.338451, 117.179536 33.319734, 117.207205 33.307527, 117.215343 33.259514, 117.216157 33.226962, 117.208832 33.209873, 117.205577 33.191156, 117.202322 33.158604, 117.198253 33.121983, 117.194184 33.10408, 117.177908 33.093501, 117.173839 33.081294, 117.165702 33.054439, 117.163114 33.028997, 117.161442 33.01339, 117.156982 32.997783, 117.15754 32.978832, 117.152523 32.966012, 117.152523 32.94706, 117.150249 32.936838, 117.194135 32.870896, 117.205301 32.859705, 117.2006 32.845547, 117.181683 32.834512, 117.170663 32.825063, 117.17381 32.815629, 117.175348 32.798425, 117.17623 32.796555, 117.181836 32.785371, 117.20215 32.747909, 117.173867 32.724348, 117.134622 32.703684, 117.122064 32.693019, 117.110735 32.670952, 117.111008 32.642298, 117.123834 32.615554, 117.124653 32.592084, 117.126654 32.538321, 117.114155 32.504149, 117.095207 32.47865, 117.109646 32.451195, 117.116232 32.434318, 117.119525 32.426909, 117.124464 32.413943, 117.12961 32.396656, 117.147309 32.361668, 117.147263 32.322525, 117.140813 32.292575, 117.12975 32.261383, 117.129562 32.227272, 117.123317 32.196651, 117.118759 32.154425, 117.123381 32.12597, 117.156545 32.114957, 117.197563 32.105401, 117.244418 32.088091, 117.310345 32.081451, 117.338329 32.07742, 117.362992 32.075523, 117.415019 32.070885, 117.423205 32.070885, 117.461993 32.064258, 117.496298 32.0473, 117.509358 32.022936, 117.512627 32.009805, 117.51228 31.975874, 117.513319 31.951984, 117.514358 31.94125, 117.512495 31.902243, 117.53136 31.861994, 117.559578 31.828796, 117.590564 31.80777, 117.628189 31.79781, 117.659174 31.784531, 117.701779 31.777891, 117.734425 31.775678, 117.776476 31.759078, 117.798609 31.739713, 117.815208 31.718133, 117.825721 31.706514, 117.845087 31.692128, 117.867772 31.653396, 117.919063 31.606305, 117.964605 31.654717, 117.993512 31.678155, 118.024241 31.692738, 118.064692 31.698379, 118.096792 31.703006, 118.107348 31.704741, 118.134242 31.705898, 118.148367 31.706717, 118.270575 31.707468, 118.29588 31.701027, 118.320279 31.695868, 118.320478 31.638829, 118.319199 31.505338, 118.334505 31.489319, 118.361486 31.481265, 118.388869 31.479252, 118.390077 31.457104, 118.414641 31.428029, 118.425481 31.395479, 118.42189 31.308778, 118.398291 31.28877, 118.378283 31.233364, 118.37777 31.219, 118.375592 31.030281, 118.359941 31.013651, 118.354071 31.003869, 118.346245 30.993108, 118.346245 30.961804, 118.335485 30.952022, 118.344289 30.90311, 118.359941 30.879632, 118.453851 30.877676, 118.506676 30.863981, 118.556566 30.881589, 118.62113 30.875719, 118.711128 30.866915, 118.746442 30.825141, 118.782372 30.75108, 118.802903 30.720283, 118.800703 30.667488, 118.8403 30.640357, 118.857898 30.620559, 118.865964 30.60956, 118.871097 30.594161, 118.883777 30.544036, 118.884502 30.512859, 118.898278 30.499083, 118.887402 30.479507, 118.870001 30.462105, 118.883777 30.426578, 118.880877 30.409177, 118.841724 30.378, 118.822148 30.359148, 118.78227 30.330871, 118.753268 30.297519, 118.71919 30.270692, 118.701854 30.248592, 118.688963 30.239282, 118.676072 30.230688, 118.6596 30.218513, 118.645277 30.201325, 118.619853 30.176617, 118.611975 30.170172, 118.60732 30.154774, 118.600158 30.13114, 118.580527 30.10813, 118.57291 30.09389, 118.554365 30.078987, 118.520917 30.072033, 118.497072 30.048851, 118.476346 30.021327, 118.45539 29.983042, 118.434031 29.947175, 118.405015 29.922592, 118.386477 29.901233, 118.36407 29.902203, 118.308565 29.864827, 118.287975 29.852741)</t>
  </si>
  <si>
    <t>P4590</t>
  </si>
  <si>
    <t>Northeast Anhui Natural Gas Pipeline Phase I (Tianchang–Fengyang)</t>
  </si>
  <si>
    <t>Qingdao-Nanjing Gas Pipeline</t>
  </si>
  <si>
    <t>LINESTRING (117.623058 32.888228, 117.672433 32.836878, 117.720821 32.823053, 117.771184 32.781578, 117.843272 32.782565, 117.89956 32.767752, 117.921285 32.75294, 117.94045 32.743584, 117.975948 32.738005, 118.000753 32.731803, 118.029821 32.71475, 118.066642 32.680255, 118.094243 32.670632, 118.119265 32.652593, 118.150363 32.626558, 118.153199 32.611652, 118.163184 32.586525, 118.199591 32.527681, 118.219741 32.497567, 118.226826 32.486053, 118.251405 32.459924, 118.265615 32.427507, 118.283276 32.4048, 118.300249 32.39769, 118.316993 32.384845, 118.330966 32.342549, 118.367163 32.358069, 118.386433 32.384156, 118.404437 32.439745, 118.442049 32.507913, 118.471469 32.564682, 118.501718 32.596174, 118.530724 32.618965, 118.561894 32.631746, 118.595205 32.642663, 118.638625 32.670034)</t>
  </si>
  <si>
    <t>P4591</t>
  </si>
  <si>
    <t>Northeast Anhui Natural Gas Pipeline Phase II (Chuzhou–Ma'anshan)</t>
  </si>
  <si>
    <t>Tianchang</t>
  </si>
  <si>
    <t>Chuzhou</t>
  </si>
  <si>
    <t>He County</t>
  </si>
  <si>
    <t>LINESTRING (118.330984 32.342745, 118.347833 32.277649, 118.351065 32.245334, 118.358335 32.203324, 118.367222 32.17424, 118.347025 32.148388, 118.322789 32.130614, 118.305015 32.097491, 118.295321 32.061136, 118.283202 32.030437, 118.273508 31.999737, 118.268206 31.968948, 118.273141 31.934408, 118.287943 31.904802, 118.298709 31.869364, 118.310821 31.838861, 118.323546 31.822855, 118.322053 31.793986, 118.323546 31.75815, 118.324542 31.728286, 118.32029 31.695841)</t>
  </si>
  <si>
    <t>P4592</t>
  </si>
  <si>
    <t>Suzhou–Bengbu Gas Pipeline</t>
  </si>
  <si>
    <t>LINESTRING (116.959434 33.661159, 116.968482 33.603298, 116.975889 33.567322, 116.98118 33.542721, 116.983296 33.474472, 116.992831 33.44752, 117.005756 33.405806, 117.033348 33.376566, 117.106411 33.338452, 117.180734 33.319542, 117.207241 33.307484, 117.215282 33.259396, 117.216152 33.227003, 117.208888 33.209825, 117.20559 33.191806, 117.198405 33.122533, 117.194352 33.104109, 117.178051 33.093524, 117.165752 33.054497, 117.161614 33.013426, 117.156921 32.998052, 117.157599 32.97869, 117.152561 32.966096, 117.152532 32.947138, 117.150242 32.936857)</t>
  </si>
  <si>
    <t>P4593</t>
  </si>
  <si>
    <t>Suzhou–Huaibei–Xiao County–Dangshan Gas Pipeline</t>
  </si>
  <si>
    <t>Yongqiao</t>
  </si>
  <si>
    <t>Dangshan</t>
  </si>
  <si>
    <t>LINESTRING (116.387369 34.428982, 116.441402 34.408719, 116.473331 34.378018, 116.500348 34.356528, 116.528592 34.341177, 116.570346 34.334423, 116.620081 34.336265, 116.653852 34.338721, 116.693763 34.328283, 116.717709 34.304951, 116.742884 34.27732, 116.776041 34.253987, 116.811654 34.238023, 116.853407 34.236181, 116.89209 34.235567, 116.927703 34.219602, 116.941419 34.181191, 116.967671 34.161076, 116.974148 34.095276, 116.983694 34.082662, 116.982671 34.071752, 116.972444 34.063911, 116.980803 34.025271, 116.985235 33.961517, 117.02376 33.943107, 117.043312 33.936823, 117.041913 33.911115, 117.026163 33.898248, 117.003979 33.888266, 116.987563 33.880723, 116.973587 33.872737, 116.962258 33.839085, 116.961853 33.761729, 116.961448 33.694499, 116.959455 33.66118)</t>
  </si>
  <si>
    <t>P4594</t>
  </si>
  <si>
    <t>Western North–South Backbone Gas Pipeline (Bozhou–Chizhou)</t>
  </si>
  <si>
    <t>West Vertical Line of Backbone Network (Bozhou–Chizhou)</t>
  </si>
  <si>
    <t>Jiaocheng</t>
  </si>
  <si>
    <t>Bozhou</t>
  </si>
  <si>
    <t>Guichi</t>
  </si>
  <si>
    <t>LINESTRING (115.743553 33.757323, 115.719725 33.711972, 115.704352 33.67354, 115.695897 33.63626, 115.683098 33.605843, 115.675705 33.579439, 115.673065 33.533495, 115.671481 33.494417, 115.665143 33.460619, 115.660391 33.42999, 115.646202 33.390916, 115.623467 33.36571, 115.614571 33.345941, 115.612594 33.325677, 115.609134 33.318758, 115.608146 33.301459, 115.599744 33.293552, 115.603728 33.284811, 115.610976 33.256475, 115.618225 33.24, 115.649856 33.222208, 115.688772 33.213267, 115.711012 33.174639, 115.730912 33.143033, 115.741447 33.111428, 115.759805 33.074124, 115.790118 33.0504, 115.80857 33.025359, 115.836906 32.994387, 115.849427 32.98582, 115.86656 32.975276, 115.937071 32.973958, 115.972656 32.971322, 116.039251 32.915362, 116.057703 32.858689, 116.075495 32.83892, 116.113716 32.81256, 116.139416 32.803994, 116.169974 32.79808, 116.200305 32.763415, 116.211679 32.755291, 116.227386 32.739584, 116.240386 32.728209, 116.246885 32.724418, 116.285341 32.722252, 116.292382 32.709252, 116.296715 32.694628, 116.304839 32.674047, 116.31513 32.659423, 116.325963 32.647507, 116.338465 32.636449, 116.393915 32.624909, 116.435435 32.621107, 116.471999 32.612742, 116.513285 32.592099, 116.528863 32.572639, 116.538662 32.541282, 116.543888 32.509926, 116.54944 32.484776, 116.553528 32.465516, 116.554831 32.454912, 116.568039 32.40673, 116.568027 32.353437, 116.570162 32.323245, 116.571077 32.291834, 116.579006 32.250968, 116.57958 32.214648, 116.585005 32.184809, 116.5926 32.152258, 116.607519 32.123504, 116.617225 32.072603, 116.618116 32.06257, 116.63573 32.031579, 116.639878 31.96558, 116.634931 31.946618, 116.63658 31.92848, 116.634107 31.890967, 116.62916 31.857577, 116.624197 31.838488, 116.618239 31.795331, 116.619728 31.748414, 116.621962 31.723467, 116.633357 31.684461, 116.64221 31.643297, 116.6608 31.616739, 116.679175 31.591207, 116.701601 31.564296, 116.725523 31.536188, 116.755448 31.510054, 116.785571 31.486916, 116.812638 31.466398, 116.872536 31.4265, 116.895693 31.415191, 116.947392 31.399573, 116.975934 31.376417, 117.007707 31.351644, 117.038942 31.33118, 117.080409 31.320948, 117.126722 31.319332, 117.167112 31.316101, 117.203732 31.306946, 117.222042 31.288636, 117.253741 31.271218, 117.295689 31.263619, 117.293676 31.243137, 117.246299 31.199227, 117.259117 31.177738, 117.2889 31.129481, 117.307608 31.107455, 117.320597 31.089627, 117.326455 31.079949, 117.331804 31.072053, 117.337152 31.058046, 117.352942 31.034615, 117.402277 31.00423, 117.442082 30.985408, 117.473865 30.959488, 117.491453 30.935728, 117.522001 30.911351, 117.536812 30.886049, 117.538047 30.876483, 117.546512 30.85561, 117.5576 30.821554, 117.558392 30.81205, 117.556412 30.797399, 117.565124 30.766511, 117.576212 30.747107, 117.596415 30.725819, 117.592357 30.679566, 117.580007 30.639949)</t>
  </si>
  <si>
    <t>P4595</t>
  </si>
  <si>
    <t>Xuancheng–Huangshan Gas Pipeline</t>
  </si>
  <si>
    <t>Xuanhuang Line</t>
  </si>
  <si>
    <t>Sichuan-Shanghai Gas Pipeline</t>
  </si>
  <si>
    <t>Huangshan</t>
  </si>
  <si>
    <t>LINESTRING (118.592226 30.878216, 118.712051 30.866925, 118.747064 30.82483, 118.782471 30.750476, 118.803278 30.720227, 118.800656 30.667365, 118.840497 30.640118, 118.85882 30.619582, 118.866075 30.609621, 118.871178 30.594116, 118.881986 30.551165, 118.884091 30.543585, 118.884372 30.512845, 118.898206 30.4991, 118.887517 30.479541, 118.870153 30.462176, 118.883769 30.426324, 118.881166 30.408523, 118.840556 30.377236, 118.823733 30.359423, 118.794704 30.339961, 118.782499 30.331385, 118.754667 30.297507, 118.719924 30.271651, 118.702552 30.248219, 118.659728 30.219131, 118.64276 30.198527, 118.620944 30.177519, 118.61246 30.170247, 118.601148 30.131463, 118.591155 30.119044, 118.582588 30.110477, 118.573069 30.093343, 118.55546 30.078113, 118.520716 30.07145, 118.505961 30.05622, 118.495491 30.045273, 118.474549 30.019572, 118.434094 29.946277, 118.412201 29.928667, 118.406013 29.922956, 118.386024 29.901538, 118.363179 29.902014, 118.312661 29.867156, 118.287821 29.852622)</t>
  </si>
  <si>
    <t>P4596</t>
  </si>
  <si>
    <t>Yangzhou–Chuzhou Gas Pipeline</t>
  </si>
  <si>
    <t>LINESTRING (119.41456312053172 32.39998612974148, 118.10310916953061 33.08020050192161)</t>
  </si>
  <si>
    <t>P4597</t>
  </si>
  <si>
    <t>Yaoli-Zhouji Gas Pipeline</t>
  </si>
  <si>
    <t>Yaoli</t>
  </si>
  <si>
    <t>Wangjieliuxiang</t>
  </si>
  <si>
    <t>LINESTRING (116.04894276691584 31.86964605023409, 116.05195972460544 32.54203121496237)</t>
  </si>
  <si>
    <t>P4598</t>
  </si>
  <si>
    <t>Yingshang–Bengbu Gas Transmission Line</t>
  </si>
  <si>
    <t>LINESTRING (117.150164 32.936705, 117.19527 32.869257, 117.205387 32.859702, 117.200891 32.845088, 117.181921 32.83455, 117.170399 32.824854, 117.174692 32.814713, 117.175428 32.796328, 117.20227 32.747792, 117.176163 32.741174, 117.121376 32.744483, 117.081297 32.748895, 117.005567 32.748132, 116.96033 32.74342, 116.927344 32.738707, 116.883991 32.736822, 116.779379 32.737765, 116.744509 32.73211, 116.707753 32.731168, 116.667228 32.727398, 116.624818 32.711376, 116.594659 32.691585, 116.563558 32.679333, 116.52586 32.668966, 116.49099 32.653887, 116.456119 32.640692, 116.430673 32.631268, 116.373183 32.63598, 116.33869 32.636336)</t>
  </si>
  <si>
    <t>P4599</t>
  </si>
  <si>
    <t>Jin'an-Yeji-Jinzhai-Connecting Gas  Pipeline</t>
  </si>
  <si>
    <t>Huaihe Energy Holding Group Co., Ltd. [100.00%]</t>
  </si>
  <si>
    <t>Lu'an District</t>
  </si>
  <si>
    <t>Jinzhai County</t>
  </si>
  <si>
    <t>LINESTRING (116.68429315397368 31.436452187102944, 115.91342410942781 31.85147537550431, 115.92370763320068 31.74304831515198)</t>
  </si>
  <si>
    <t>P4600</t>
  </si>
  <si>
    <t>Guzhen-Lingbi-Sixian Gas Pipeline</t>
  </si>
  <si>
    <t>Guzhen</t>
  </si>
  <si>
    <t>Bengbu</t>
  </si>
  <si>
    <t>Sixian</t>
  </si>
  <si>
    <t>LINESTRING (116.31227624216169 32.014174055015054, 117.48083596319785 34.001479282552964, 118.08273702940429 33.65343397480444)</t>
  </si>
  <si>
    <t>P4601</t>
  </si>
  <si>
    <t>Hefei Lubei-Chizhou Maya Gas Pipeline</t>
  </si>
  <si>
    <t>合肥燃气集团有限公司 [100.00%]</t>
  </si>
  <si>
    <t>Lubei</t>
  </si>
  <si>
    <t>Hefei</t>
  </si>
  <si>
    <t>Maheng</t>
  </si>
  <si>
    <t>P4602</t>
  </si>
  <si>
    <t>Hefei-Yeji Connecting Gas Pipeline</t>
  </si>
  <si>
    <t>Changfeng</t>
  </si>
  <si>
    <t>Yeji</t>
  </si>
  <si>
    <t>LINESTRING (117.512349 31.902349, 115.91342410942781 31.85147537550431)</t>
  </si>
  <si>
    <t>P4603</t>
  </si>
  <si>
    <t>Tongcheng-Zongyang Branch</t>
  </si>
  <si>
    <t>Sichuan–Shanghai Gas Pipeline</t>
  </si>
  <si>
    <t>Tongcheng</t>
  </si>
  <si>
    <t>Zongyang</t>
  </si>
  <si>
    <t>LINESTRING (117.00201223202815 31.03406054293623, 117.4200205422203 30.755469354260704)</t>
  </si>
  <si>
    <t>P4604</t>
  </si>
  <si>
    <t>https://www.gem.wiki/Shandong_LNG_Terminal_Transport_Pipeline</t>
  </si>
  <si>
    <t>Shandong Gas Pipeline Network</t>
  </si>
  <si>
    <t>Shandong LNG Terminal Transport Pipeline</t>
  </si>
  <si>
    <t>Qingdao LNG imported gasification</t>
  </si>
  <si>
    <t>Dongjiakou</t>
  </si>
  <si>
    <t>Laixi</t>
  </si>
  <si>
    <t>山东输气管网</t>
  </si>
  <si>
    <t>LINESTRING (119.756718 35.589155, 119.73956 35.676095, 119.836704 36.107223, 119.950784 36.63635, 120.53057 36.902062)</t>
  </si>
  <si>
    <t>P4605</t>
  </si>
  <si>
    <t>https://www.gem.wiki/Shandong_LNG_Terminal_Transport_Pipeline_Phase_II</t>
  </si>
  <si>
    <t>Shandong LNG Terminal Transport Pipeline Phase II</t>
  </si>
  <si>
    <t>MULTILINESTRING ((119.403239 35.40432, 118.5942 35.216156), (120.49254 36.840223, 118.5942 35.216156))</t>
  </si>
  <si>
    <t>P4606</t>
  </si>
  <si>
    <t>https://www.gem.wiki/Sishui%E2%80%93Jining_Gas_Pipeline</t>
  </si>
  <si>
    <t>China–Russia East Pipeline II Sishui–Jining Gas Pipeline</t>
  </si>
  <si>
    <t>Jining PetroChina Kunlun Energy Co., Ltd. [300.00%]</t>
  </si>
  <si>
    <t>Kunlun Energy Co., Ltd. [60.00%]; Shandong Jingshan Petrochemicals Co., Ltd. [39.80%]; other [0.20%]</t>
  </si>
  <si>
    <t>Sishui</t>
  </si>
  <si>
    <t>Jining</t>
  </si>
  <si>
    <t>MULTILINESTRING ((117.221073 35.656833, 117.005433 35.604058, 116.824939 35.539131, 116.575939 35.453774, 116.472922 35.672434), (117.005433 35.604058, 117.020759 35.39816, 117.156252 34.827623))</t>
  </si>
  <si>
    <t>P4607</t>
  </si>
  <si>
    <t>https://www.gem.wiki/Tai%27an-Qingdao-Weihai_Gas_Pipeline</t>
  </si>
  <si>
    <t>Tai'an-Qingdao-Weihai Gas Pipeline Zibo Branch</t>
  </si>
  <si>
    <t>Petrochina Shandong Natural Gas Pipeline Limited [200.00%]</t>
  </si>
  <si>
    <t>National Petroleum and Natural Gas Pipeline Network Group Co., Ltd. [70.00%]; other [30.00%]</t>
  </si>
  <si>
    <t>[[West-East Gas Pipeline 2]]</t>
  </si>
  <si>
    <t>LINESTRING (117.839582 36.461499, 118.354022 37.110027)</t>
  </si>
  <si>
    <t>P4608</t>
  </si>
  <si>
    <t>https://www.gem.wiki/Jiaozhou-Laizhou_gas_pipeline</t>
  </si>
  <si>
    <t>Jiaozhou-Laizhou Gas Pipeline</t>
  </si>
  <si>
    <t>Jiaozhou</t>
  </si>
  <si>
    <t>Laizhou</t>
  </si>
  <si>
    <t>LINESTRING (120.0110016 36.2338982, 119.8150024 36.2416992, 119.7050018 36.3219986, 119.9430008 36.7815018, 119.961998 36.9178009, 119.9499969 37.0332985, 119.9369965 37.1077003, 119.9049988 37.1819992, 119.7279968 37.2919998)</t>
  </si>
  <si>
    <t>P4609</t>
  </si>
  <si>
    <t>https://www.gem.wiki/Jiaozhou-Rizhao_gas_pipeline</t>
  </si>
  <si>
    <t>Jiaozhou-Rizhao Gas Pipeline</t>
  </si>
  <si>
    <t>LINESTRING (119.988243 36.396385, 119.403239 35.40432)</t>
  </si>
  <si>
    <t>P4610</t>
  </si>
  <si>
    <t>https://www.gem.wiki/Jinan-Linzi_gas_pipeline</t>
  </si>
  <si>
    <t>Jinan-Linzi Gas Pipeline</t>
  </si>
  <si>
    <t>Shandong Natural Gas Pipeline Co., Ltd. [300.00%]</t>
  </si>
  <si>
    <t>China Petroleum &amp; Chemical Corporation [65.00%]; Shandong Luxin Investment Holdings Group Co., Ltd. [31.60%]; other [3.40%]</t>
  </si>
  <si>
    <t>Linzi</t>
  </si>
  <si>
    <t>LINESTRING (116.82381 36.936466, 118.260076 36.869972)</t>
  </si>
  <si>
    <t>P4611</t>
  </si>
  <si>
    <t>https://www.gem.wiki/Jinan-Linzi_Gas_Pipeline_2</t>
  </si>
  <si>
    <t>Jinan-Linzi Gas Pipeline 2</t>
  </si>
  <si>
    <t>Jian</t>
  </si>
  <si>
    <t>P4612</t>
  </si>
  <si>
    <t>https://www.gem.wiki/Linzi-Qingdao_gas_pipeline</t>
  </si>
  <si>
    <t>Linzi-Qingdao Gas Pipeline</t>
  </si>
  <si>
    <t>[[Yulin-Jinan Pipeline]]</t>
  </si>
  <si>
    <t>Zhangqiu</t>
  </si>
  <si>
    <t>LINESTRING (118.260076 36.869972, 119.950784 36.63635)</t>
  </si>
  <si>
    <t>P4613</t>
  </si>
  <si>
    <t>https://www.gem.wiki/Qihe-Pingdu_Gas_Pipeline_2</t>
  </si>
  <si>
    <t>Qihe-Pingdu Gas Pipeline 2</t>
  </si>
  <si>
    <t>Qihe</t>
  </si>
  <si>
    <t>Pingdu</t>
  </si>
  <si>
    <t>LINESTRING (116.82381 36.936466, 119.950784 36.63635)</t>
  </si>
  <si>
    <t>P4614</t>
  </si>
  <si>
    <t>https://www.gem.wiki/Shandong_Gas_Pipeline_Network_East_trunk</t>
  </si>
  <si>
    <t>Shandong Gas Pipeline Network East Trunk</t>
  </si>
  <si>
    <t>Shandong Southeast Pipeline Natural Gas Co., Ltd. [300.00%]</t>
  </si>
  <si>
    <t>China Petroleum &amp; Chemical Corporation [50.00%]; Shandong Luxin Investment Holdings Group Co., Ltd. [45.20%]; other [4.80%]</t>
  </si>
  <si>
    <t>Qingdao LNG, Longkou LNG</t>
  </si>
  <si>
    <t>P4615</t>
  </si>
  <si>
    <t>https://www.gem.wiki/Shandong_Gas_Pipeline_Network_North_Trunk</t>
  </si>
  <si>
    <t>Shandong Gas Pipeline Network North Trunk</t>
  </si>
  <si>
    <t>Longkou LNG</t>
  </si>
  <si>
    <t>MULTILINESTRING ((120.34577 37.562147, 120.877752 37.628137, 121.346608 37.340395), (120.877752 37.628137, 120.278433 37.400035, 120.078124 37.226907, 119.167488 36.960176, 118.375495 37.271018, 118.032563 37.554692, 117.769052 37.377368, 117.227016 37.362533, 116.421108 37.286907, 116.266084 37.283839))</t>
  </si>
  <si>
    <t>P4616</t>
  </si>
  <si>
    <t>https://www.gem.wiki/Shandong_Gas_Pipeline_Network_South_Trunk</t>
  </si>
  <si>
    <t>Shandong Gas Pipeline Network South Trunk</t>
  </si>
  <si>
    <t>Lanshan</t>
  </si>
  <si>
    <t>Heze</t>
  </si>
  <si>
    <t>LINESTRING (119.182339 35.184393, 119.047009 35.157273, 116.431303 35.343809, 116.091735 35.459747, 115.943677 35.473353, 115.358165 35.495311)</t>
  </si>
  <si>
    <t>P4617</t>
  </si>
  <si>
    <t>https://www.gem.wiki/Shandong_Gas_Pipeline_Network_West_Trunk</t>
  </si>
  <si>
    <t>Shandong Gas Pipeline Network West Trunk</t>
  </si>
  <si>
    <t>yuncheng</t>
  </si>
  <si>
    <t>MULTILINESTRING ((116.272905 37.295567, 116.122675 37.183014, 116.144155 36.577643, 116.174955 36.313043, 116.300361 36.206098, 116.371075 36.007387, 116.390698 35.541026), (116.174955 36.313043, 115.904559 36.209068))</t>
  </si>
  <si>
    <t>P4618</t>
  </si>
  <si>
    <t>Tai'an-Qingdao-Weihai Gas Pipeline</t>
  </si>
  <si>
    <t>Weihai</t>
  </si>
  <si>
    <t>LINESTRING (116.9239 36.197698, 117.839582 36.461499, 119.950784 36.63635, 121.94356 37.330404)</t>
  </si>
  <si>
    <t>P4619</t>
  </si>
  <si>
    <t>https://www.gem.wiki/Xuanzhangtun-Jining_gas_pipeline</t>
  </si>
  <si>
    <t>Xuanzhangtun-Jining Gas Pipeline</t>
  </si>
  <si>
    <t>LINESTRING (116.490249 35.4217704, 116.8010849 36.9374392)</t>
  </si>
  <si>
    <t>P4620</t>
  </si>
  <si>
    <t>https://www.gem.wiki/Yantai_LNG_Terminal_Transport_Pipeline</t>
  </si>
  <si>
    <t>Yantai LNG Terminal Transport Pipeline</t>
  </si>
  <si>
    <t>Yantai LNG imported gasification</t>
  </si>
  <si>
    <t>LINESTRING (121.080172 37.711187, 120.877752 37.628137, 119.96706 37.157193, 119.167488 36.960176, 117.816286 37.01264, 116.82381 36.936466)</t>
  </si>
  <si>
    <t>P4621</t>
  </si>
  <si>
    <t>https://www.gem.wiki/Duanshi%E2%80%93Jinchen%E2%80%93Bo%27ai_Gas_Pipeline</t>
  </si>
  <si>
    <t>Shanxi Gas Pipeline Network</t>
  </si>
  <si>
    <t>Duanshi–Jincheng–Bo'ai Gas Pipeline</t>
  </si>
  <si>
    <t>Shanxi Tongyu Coalbed Methane Transportation and Distribution Ltd [500.00%]</t>
  </si>
  <si>
    <t>Ningbo Meishan Free Trade Port Tongqiao Equity Investment Partnership (limited Partnership) [47.90%]; 三峡国际能源投资有限公司 [20.40%]; AVIC Industry-Finance Holdings Co., Ltd. [15.50%]; other [9.50%]; 中国海洋石油有限公司 [6.60%]</t>
  </si>
  <si>
    <t>Duanshi</t>
  </si>
  <si>
    <t>Qinshui</t>
  </si>
  <si>
    <t>Bo'ai</t>
  </si>
  <si>
    <t>Jiaozuo</t>
  </si>
  <si>
    <t>山西输气管网</t>
  </si>
  <si>
    <t>LINESTRING (112.5183184675677 35.6689263282523, 112.852 35.491, 113.066667 35.175)</t>
  </si>
  <si>
    <t>P4622</t>
  </si>
  <si>
    <t>https://www.gem.wiki/Shanxi_Natural_Gas_Pipeline_Network</t>
  </si>
  <si>
    <t>Ji County-Yanchang gas pipeline Phase I</t>
  </si>
  <si>
    <t>Qinjin Natural Gas Co., Ltd. [300.00%]</t>
  </si>
  <si>
    <t>ShaanXi Provincial Natural Gas Co., Ltd. [49.00%]; Shanxi Guoxin Energy Corporation Limited [26.00%]; National Petroleum and Natural Gas Pipeline Network Group Co., Ltd. [25.00%]</t>
  </si>
  <si>
    <t>Ji County</t>
  </si>
  <si>
    <t>Yanchang</t>
  </si>
  <si>
    <t>P4623</t>
  </si>
  <si>
    <t>Dayu–Xinzhou–Yuanping Pipeline</t>
  </si>
  <si>
    <t>Shanxi Guoxin Energy Corporation Limited [100.00%]</t>
  </si>
  <si>
    <t>LINESTRING (112.72490104968733 38.177490105338485, 112.734 38.416, 112.711 38.731)</t>
  </si>
  <si>
    <t>P4624</t>
  </si>
  <si>
    <t>Dinxiang–Wutai Transport Pipeline</t>
  </si>
  <si>
    <t>LINESTRING (113.001667 38.524444, 113.2553 38.7283)</t>
  </si>
  <si>
    <t>P4625</t>
  </si>
  <si>
    <t>Duanshi–Zhangzi Project Pipeline</t>
  </si>
  <si>
    <t>Shanxi NATURAL Gas Limited Company [100.00%]</t>
  </si>
  <si>
    <t>LINESTRING (112.51815977407104 35.668576047393614, 112.876944 36.123889)</t>
  </si>
  <si>
    <t>P4626</t>
  </si>
  <si>
    <t>Hongtong–Anze–Changzi Pipeline</t>
  </si>
  <si>
    <t>LINESTRING (111.675 36.2537, 112.248611 36.148889, 113.117 36.195)</t>
  </si>
  <si>
    <t>P4627</t>
  </si>
  <si>
    <t>Huairen–Yuanping Pipeline</t>
  </si>
  <si>
    <t>LINESTRING (113.1 39.8279, 112.711 38.731)</t>
  </si>
  <si>
    <t>P4628</t>
  </si>
  <si>
    <t>Huairen–Zuoyun–Youyu Pipeline</t>
  </si>
  <si>
    <t>LINESTRING (113.1 39.8279, 112.703 40.013, 112.467 39.989)</t>
  </si>
  <si>
    <t>P4629</t>
  </si>
  <si>
    <t>Jincheng–Houma Pipeline</t>
  </si>
  <si>
    <t>LINESTRING (112.852 35.491, 111.372 35.6191)</t>
  </si>
  <si>
    <t>P4630</t>
  </si>
  <si>
    <t>Jinshatan–Datong Pipeline</t>
  </si>
  <si>
    <t>LINESTRING (112.85601810418598 39.663756974156286, 113.367 40.097)</t>
  </si>
  <si>
    <t>P4631</t>
  </si>
  <si>
    <t>Lan County–Taiyuan Transport Pipeline</t>
  </si>
  <si>
    <t>LINESTRING (111.671111 38.279444, 112.5497 37.8704)</t>
  </si>
  <si>
    <t>P4632</t>
  </si>
  <si>
    <t>Lanxian–Puming Pipeline</t>
  </si>
  <si>
    <t>LINESTRING (111.671111 38.279444, 111.56767413438727 38.26375448382786)</t>
  </si>
  <si>
    <t>P4633</t>
  </si>
  <si>
    <t>Licheng–Shahe Pipeline</t>
  </si>
  <si>
    <t>Shanxi Gemeng International Energy Group Co., Ltd. [200.00%]</t>
  </si>
  <si>
    <t>Shanxi State-Owned Capital Investment and Operation Co., Ltd. [90.00%]; Shanxi Gemeng International Energy Group Co., Ltd. [10.00%]</t>
  </si>
  <si>
    <t>LINESTRING (113.416667 36.666667, 113.56746027272224 39.25678494464503)</t>
  </si>
  <si>
    <t>P4634</t>
  </si>
  <si>
    <t>Linfen-Houma Double-Track Pipeline</t>
  </si>
  <si>
    <t>LINESTRING (111.519 36.088, 111.372 35.6191)</t>
  </si>
  <si>
    <t>P4635</t>
  </si>
  <si>
    <t>Linfen–Changzhi Transport Pipeline</t>
  </si>
  <si>
    <t>Shanxi Guohua Energy Co., Ltd. [200.00%]</t>
  </si>
  <si>
    <t>Shanxi Guoxin Energy Corporation Limited [51.00%]; National Petroleum and Natural Gas Pipeline Network Group Co., Ltd. [49.00%]</t>
  </si>
  <si>
    <t>LINESTRING (111.519 36.088, 113.117 36.195)</t>
  </si>
  <si>
    <t>P4636</t>
  </si>
  <si>
    <t>Linfen–Hejin Pipeline</t>
  </si>
  <si>
    <t>LINESTRING (111.519 36.088, 110.712 35.596)</t>
  </si>
  <si>
    <t>P4637</t>
  </si>
  <si>
    <t>Linfen–Hongtong–Huozhou Pipeline</t>
  </si>
  <si>
    <t>LINESTRING (111.519 36.088, 111.675 36.2537, 111.7551 36.569)</t>
  </si>
  <si>
    <t>P4638</t>
  </si>
  <si>
    <t>Shenchi–Wuzhai–Kelan Pipeline</t>
  </si>
  <si>
    <t>LINESTRING (112.210278 39.091667, 111.847 38.9108, 111.579167 38.744722)</t>
  </si>
  <si>
    <t>P4639</t>
  </si>
  <si>
    <t>Taiyuan–Heshun–Changzhi Transport Pipeline</t>
  </si>
  <si>
    <t>LINESTRING (112.5497 37.8704, 113.305 37.2891, 113.117 36.195)</t>
  </si>
  <si>
    <t>P4640</t>
  </si>
  <si>
    <t>Taiyuan–Pingyao Pipeline</t>
  </si>
  <si>
    <t>LINESTRING (112.5497 37.8704, 112.15 37.2)</t>
  </si>
  <si>
    <t>P4641</t>
  </si>
  <si>
    <t>Taiyuan–Qingxu Pipeline</t>
  </si>
  <si>
    <t>LINESTRING (112.5497 37.8704, 112.358611 37.607222)</t>
  </si>
  <si>
    <t>P4642</t>
  </si>
  <si>
    <t>Xiaoyi–Lingshi–Huozhou Pipeline</t>
  </si>
  <si>
    <t>LINESTRING (111.516667 36.083333, 111.776389 36.848889, 111.7551 36.569)</t>
  </si>
  <si>
    <t>P4643</t>
  </si>
  <si>
    <t>Xinjiang–Houma–Yuncheng Pipeline</t>
  </si>
  <si>
    <t>LINESTRING (111.225 35.616389, 111.372 35.6191, 111.007 35.0267)</t>
  </si>
  <si>
    <t>P4644</t>
  </si>
  <si>
    <t>https://www.gem.wiki/Salt_Lake%E2%80%93Pinglu%E2%80%93Sanmenxia_Natural_Gas_Pipeline</t>
  </si>
  <si>
    <t>Yanhu–Pinglu-Sanmenxia Gas Pipeline</t>
  </si>
  <si>
    <t>Yanhu</t>
  </si>
  <si>
    <t>Yunchen</t>
  </si>
  <si>
    <t>Sanmenxia</t>
  </si>
  <si>
    <t>LINESTRING (110.998333 35.015, 111.194 34.8296, 111.2004 34.7732)</t>
  </si>
  <si>
    <t>P4645</t>
  </si>
  <si>
    <t>Yuanping–Daixian–Fanshi Pipeline</t>
  </si>
  <si>
    <t>LINESTRING (112.711 38.731, 112.943056 39.063611, 113.266 39.189)</t>
  </si>
  <si>
    <t>P4646</t>
  </si>
  <si>
    <t>Yuci–Qingxu Pipeline</t>
  </si>
  <si>
    <t>LINESTRING (112.85 37.616667, 112.358611 37.607222)</t>
  </si>
  <si>
    <t>P4647</t>
  </si>
  <si>
    <t>Yuxian–Yangquan Suburbs–Pingding Niangzi Guan Natural Gas Pipeline</t>
  </si>
  <si>
    <t>LINESTRING (113.4123 38.0856, 113.5804 37.8571, 113.868333 37.960278)</t>
  </si>
  <si>
    <t>P4648</t>
  </si>
  <si>
    <t>https://www.gem.wiki/Sichuan%E2%80%93Shanghai_Gas_Pipeline</t>
  </si>
  <si>
    <t>Dantu–Jiangyin Branch</t>
  </si>
  <si>
    <t>National Pipe Network Group Sichuan East Natural Gas Transmission Pipeline Co., Ltd. [300.00%]</t>
  </si>
  <si>
    <t>National Petroleum and Natural Gas Pipeline Network Group Co., Ltd. [50.00%]; China Life Insurance Company Limited [43.90%]; State Development and Investment Corporation [6.10%]</t>
  </si>
  <si>
    <t>Dantu Shangdang</t>
  </si>
  <si>
    <t>Jiangyin Gushan</t>
  </si>
  <si>
    <t>川气东送输气管道</t>
  </si>
  <si>
    <t>LINESTRING (119.429 33.216, 120.1626 33.3482, 120.73202402601922 33.27345941577425)</t>
  </si>
  <si>
    <t>P4649</t>
  </si>
  <si>
    <t>Huangmei-Jiujiang branch</t>
  </si>
  <si>
    <t>Huangmei</t>
  </si>
  <si>
    <t>P4650</t>
  </si>
  <si>
    <t>Jiangsu segment Jinyi segment</t>
  </si>
  <si>
    <t>Jiangsu Natural Gas Co., Ltd. [200.00%]</t>
  </si>
  <si>
    <t>Jiangsu Guoxin Investment Group Limited [51.00%]; National Petroleum and Natural Gas Pipeline Network Group Co., Ltd. [49.00%]</t>
  </si>
  <si>
    <t>金坛薛埠分输站—宜兴高塍分输站</t>
  </si>
  <si>
    <t>P4651</t>
  </si>
  <si>
    <t>Jiangsu segment Shengze-Bacheng gas pipeline</t>
  </si>
  <si>
    <t>盛泽首站-巴城分输站</t>
  </si>
  <si>
    <t>P4652</t>
  </si>
  <si>
    <t>Jiangsu segment Yushan-Kunshan gas pipeline</t>
  </si>
  <si>
    <t>常熟虞山分输站—昆山巴城分输站</t>
  </si>
  <si>
    <t>P4653</t>
  </si>
  <si>
    <t>Liangping-Changshou branch</t>
  </si>
  <si>
    <t>Liangping</t>
  </si>
  <si>
    <t>P4654</t>
  </si>
  <si>
    <t>Puguang-Dazhou Chemical Industrial Zone branch</t>
  </si>
  <si>
    <t>Puguang</t>
  </si>
  <si>
    <t>Natural Gas Chemical Industrial Zone</t>
  </si>
  <si>
    <t>LINESTRING (107.72890169620119 31.52384763409736, 107.45437579859784 31.14530446850698)</t>
  </si>
  <si>
    <t>P4655</t>
  </si>
  <si>
    <t>Suqian-Nanjing branch</t>
  </si>
  <si>
    <t>Shizi Town</t>
  </si>
  <si>
    <t>Suqian</t>
  </si>
  <si>
    <t>P4656</t>
  </si>
  <si>
    <t>Wuhan Petro Chemical Plant branch</t>
  </si>
  <si>
    <t>P4657</t>
  </si>
  <si>
    <t>Sichuan–East Gas Transmission Pipeline</t>
  </si>
  <si>
    <t>Pugang gas field</t>
  </si>
  <si>
    <t>Qingpu District</t>
  </si>
  <si>
    <t>MULTILINESTRING ((115.0128325 35.7625622, 111.2684464 30.6967334), (111.2684464 30.6967334, 107.7859754 30.6635054, 107.7366234 31.2560813), (111.2684464 30.6967334, 115.9266904 30.0803014, 115.5917534 30.3849233, 120.7366014 30.7318574, 121.4578744 31.2310573), (107.7859754 30.6635054, 107.0578354 29.8560273), (115.9266904 30.0803014, 115.8971234 29.6200904), (115.5917534 30.3849233, 119.5301414 31.7430483, 118.7586044 32.0070063), (120.7366014 30.7318574, 120.6019844 31.2670213))</t>
  </si>
  <si>
    <t>P4658</t>
  </si>
  <si>
    <t>https://www.gem.wiki/Sichuan%E2%80%93Shanghai_Gas_Pipeline#Susong_Branch_.E5.B7.9D.E6.B0.94.E4.B8.9C.E9.80.81.E5.AE.89.E5.BE.BD.E6.AE.B5-.E5.AE.BF.E6.9D.BE.E6.94.AF.E7.BA.BF</t>
  </si>
  <si>
    <t>Susong Branch</t>
  </si>
  <si>
    <t>Anhui Huishang Great Wall Energy Co., Ltd. [300.00%]</t>
  </si>
  <si>
    <t>China Petroleum &amp; Chemical Corporation [50.00%]; Anhui Huishang Group Co., Ltd. [30.50%]; Anhui State-owned Capital Operation Holding Group Co., Ltd. [19.50%]</t>
  </si>
  <si>
    <t>Susong</t>
  </si>
  <si>
    <t>P4659</t>
  </si>
  <si>
    <t>https://www.gem.wiki/Sichuan%E2%80%93Shanghai_Parallel_Gas_Pipeline</t>
  </si>
  <si>
    <t>Sichuan–Shanghai Parallel Gas Pipeline</t>
  </si>
  <si>
    <t>Wuhu Branch (Xuancheng–Ma'anshan)</t>
  </si>
  <si>
    <t>川气东送二线输气管道</t>
  </si>
  <si>
    <t>LINESTRING (118.755919 30.92808, 118.511413 31.646598)</t>
  </si>
  <si>
    <t>P4660</t>
  </si>
  <si>
    <t>Anhui North Supply Pipeline (Lixin–Huaibei, Lixin–Bengbu)</t>
  </si>
  <si>
    <t>Lixin</t>
  </si>
  <si>
    <t>Huaibei/Bengbu</t>
  </si>
  <si>
    <t>MULTILINESTRING ((116.221499 33.153247, 116.532692 33.273819, 116.74643 33.866995), (116.532692 33.273819, 117.227649 33.021321))</t>
  </si>
  <si>
    <t>P4661</t>
  </si>
  <si>
    <t>Anqing–Boyang Pipeline</t>
  </si>
  <si>
    <t>Boyang</t>
  </si>
  <si>
    <t>LINESTRING (116.839864 30.710557, 117.0256 30.09962, 116.696314 29.022269)</t>
  </si>
  <si>
    <t>P4662</t>
  </si>
  <si>
    <t>Lu'an–Lixin–Bozhou Pipeline</t>
  </si>
  <si>
    <t>LINESTRING (117.040995 32.624563, 116.720815 32.714965, 116.414406 32.742163, 116.221499 33.153247, 116.161042 33.502338, 115.785304 33.875307)</t>
  </si>
  <si>
    <t>P4663</t>
  </si>
  <si>
    <t>Qiangjiang–Wenzhou Segment</t>
  </si>
  <si>
    <t>1016, 1219</t>
  </si>
  <si>
    <t>Weiyuan/Lu County</t>
  </si>
  <si>
    <t>Neijinag/Luzhou</t>
  </si>
  <si>
    <t>Qianjiang</t>
  </si>
  <si>
    <t>LINESTRING (113.427828 30.338497, 114.906 30.447128, 115.94651 30.06427, 116.839864 30.710557, 118.755919 30.92808, 119.65536 30.663288, 120.514058 28.103556)</t>
  </si>
  <si>
    <t>P4664</t>
  </si>
  <si>
    <t>Weiyuan–Qiangjiang Segment</t>
  </si>
  <si>
    <t>1016/1219</t>
  </si>
  <si>
    <t>Baihe Town</t>
  </si>
  <si>
    <t>LINESTRING (107.726454 31.531068, 107.740776 31.236845, 107.729308 30.672091, 108.906124 30.277461, 109.508167 30.381715, 111.448581 30.494023, 112.926686 30.268317, 114.255459 30.257835, 115.866327 30.095755, 116.885809 30.671793, 118.662906 30.911181, 119.135262 30.973881, 120.330015 30.813187, 121.039919 31.004288, 107.726454 31.531068, 107.740776 31.236845, 107.729308 30.672091, 108.906124 30.277461, 109.508167 30.381715, 111.448581 30.494023, 112.926686 30.268317)</t>
  </si>
  <si>
    <t>P4665</t>
  </si>
  <si>
    <t>Wenzhou–Fuding Pipeline</t>
  </si>
  <si>
    <t>Wenzhou</t>
  </si>
  <si>
    <t>Fuding</t>
  </si>
  <si>
    <t>LINESTRING (120.514058 28.103556, 120.5369416 28.1620381, 120.5273068 28.1399256, 120.5279585 28.1121437, 120.5077885 28.090713, 120.49077 28.0796825, 120.4850972 28.0673914, 120.5167209 28.0408981, 120.5148311 28.0224942, 120.5108609 28.0145537, 120.5090963 27.979704, 120.4843927 27.9501479, 120.4768934 27.9170628, 120.442926 27.8958883, 120.4534294 27.870122, 120.4490047 27.8541615, 120.4475825 27.8228726, 120.4303483 27.785436, 120.4261987 27.7702211, 120.380554 27.7199658, 120.3658002 27.7208879, 120.363956 27.7112057, 120.3630338 27.7001403, 120.3538127 27.6872307, 120.356118 27.6747821, 120.3685665 27.6604893, 120.372716 27.6383585, 120.3685665 27.6231436, 120.3348784 27.6098938, 120.3238322 27.5945252, 120.3238322 27.5839593, 120.3276744 27.5671499, 120.3252731 27.5556235, 120.3675367 27.5340114, 120.3641748 27.5186428, 120.3579313 27.5143204, 120.3444838 27.5109585, 120.3406416 27.5095177, 120.3444838 27.4893465, 120.3488062 27.4797411, 120.3406416 27.4696555, 120.3396811 27.4547671, 120.316148 27.4427604, 120.2964569 27.4408393, 120.2719633 27.4350761, 120.2412261 27.4355564, 120.2256788 27.4125675, 120.2300209 27.404278, 120.217784 27.3944094, 120.2051522 27.3861199, 120.1976522 27.3742776, 120.1996259 27.3592775, 120.2063365 27.3549353)</t>
  </si>
  <si>
    <t>P4666</t>
  </si>
  <si>
    <t>Zaoyang–Hefei–Xuancheng Connecting Pipeline</t>
  </si>
  <si>
    <t>Zaoyang</t>
  </si>
  <si>
    <t>LINESTRING (112.973379 32.331229, 113.475128 32.373224, 113.65381 32.288539, 114.060366 32.181767, 116.28118 32.364527, 117.040995 32.624563, 117.283905 32.036707, 118.755919 30.92808)</t>
  </si>
  <si>
    <t>P4667</t>
  </si>
  <si>
    <t>Yinhui-Shitai Branch</t>
  </si>
  <si>
    <t>Guichi District</t>
  </si>
  <si>
    <t>Shitai County</t>
  </si>
  <si>
    <t>川气东送二线输气管道; http://218.23.178.250:8077/HpUploadFile/812384a4-212d-48ed-b511-9c3a5baf0dd6.pdf</t>
  </si>
  <si>
    <t>P4668</t>
  </si>
  <si>
    <t>Badong Branch</t>
  </si>
  <si>
    <t>Dazhiping Town, Badong</t>
  </si>
  <si>
    <t>Enshi</t>
  </si>
  <si>
    <t>Badong County</t>
  </si>
  <si>
    <t>LINESTRING (110.13840176899119 30.667130165470034, 110.36825010815191 31.031016872827635)</t>
  </si>
  <si>
    <t>P4669</t>
  </si>
  <si>
    <t>https://www.gem.wiki/Sichuan_%26_Chongqing_Grand_Loop_Line</t>
  </si>
  <si>
    <t>Sichuan &amp; Chongqing Grand Loop Line</t>
  </si>
  <si>
    <t>Sichuan Natural Gas Pipeline Investment Co., Ltd. [300.00%]</t>
  </si>
  <si>
    <t>China Petroleum &amp; Chemical Corporation [69.40%]; Sichuan Development Holding Co., Ltd. [26.00%]; other [4.60%]</t>
  </si>
  <si>
    <t>川渝大环线</t>
  </si>
  <si>
    <t>MULTILINESTRING ((107.729531 31.531108, 106.055957 31.816676, 104.408768 31.183638, 104.071865 30.49069, 104.648308 29.511791, 105.916451 29.334781), (106.055957 31.816676, 106.07827 30.807006), (106.055957 31.816676, 105.840242 32.449895), (106.75517 31.839642, 106.619943 30.467651))</t>
  </si>
  <si>
    <t>P4670</t>
  </si>
  <si>
    <t>https://www.gem.wiki/Yuanba-Deyang_Gas_Pipeline</t>
  </si>
  <si>
    <t>Yuanba-Deyang Gas Pipeline</t>
  </si>
  <si>
    <t>Yuanba Natural Gas Field</t>
  </si>
  <si>
    <t>Zhongtu Town, Cangxi</t>
  </si>
  <si>
    <t>Guangyuan</t>
  </si>
  <si>
    <t>Xiaoquan Town, Luojiang</t>
  </si>
  <si>
    <t>LINESTRING (106.091494 31.783718, 106.069041 31.578165, 104.772692 31.507056, 104.738197 31.74701, 104.308189 31.247891)</t>
  </si>
  <si>
    <t>P4671</t>
  </si>
  <si>
    <t>Yuanba-Langzhong-Nanchong Gas Pipeline</t>
  </si>
  <si>
    <t>Langzhong</t>
  </si>
  <si>
    <t>Nanchong</t>
  </si>
  <si>
    <t>Jialing District</t>
  </si>
  <si>
    <t>LINESTRING (106.070476 31.575507, 106.0085 31.539315, 106.051207 31.363726, 105.895138 31.003388, 106.084536 30.812117, 106.059705 30.753276)</t>
  </si>
  <si>
    <t>P4672</t>
  </si>
  <si>
    <t>Zhongjiang-Longquanyi Gas Pipeline</t>
  </si>
  <si>
    <t>104cm/d</t>
  </si>
  <si>
    <t>P4673</t>
  </si>
  <si>
    <t>Puguang-Yuanba gas pipeline</t>
  </si>
  <si>
    <t>P4674</t>
  </si>
  <si>
    <t>Yuanba-Guangyuan gas pipeline</t>
  </si>
  <si>
    <t>P4675</t>
  </si>
  <si>
    <t>Zhongjiang-Luojiang gas pipeline</t>
  </si>
  <si>
    <t>P4676</t>
  </si>
  <si>
    <t>Xinchang-Sanyi-Tianfu New District</t>
  </si>
  <si>
    <t>P4677</t>
  </si>
  <si>
    <t>Weiyuan-Tianfu New District Gas Pipeline</t>
  </si>
  <si>
    <t>Shuangliu</t>
  </si>
  <si>
    <t>LINESTRING (104.634079 29.45083, 104.003811 30.378575)</t>
  </si>
  <si>
    <t>P4678</t>
  </si>
  <si>
    <t>Yongchuan-Weiyuan Gas Pipeline</t>
  </si>
  <si>
    <t>P4679</t>
  </si>
  <si>
    <t>https://www.gem.wiki/Guangdong_Gas_Pipeline_Network_Phase_I</t>
  </si>
  <si>
    <t>Guangdong Gas Pipeline Network Phase I</t>
  </si>
  <si>
    <t>Aotou-Guangzhou Pipeline</t>
  </si>
  <si>
    <t>Guang Dong Natural Gas Grid Co., Ltd. [300.00%]</t>
  </si>
  <si>
    <t>National Petroleum and Natural Gas Pipeline Network Group Co., Ltd. [72.00%]; Guangdong Hengjian Investment Holding Co., Ltd. [21.30%]; China Huaneng Group [6.70%]</t>
  </si>
  <si>
    <t>West-East Pipeline II/Sichuan-Shanghai Gas Pipeline/Dapeng LNG Terminal Import LNG</t>
  </si>
  <si>
    <t>广东省输气管网一期管道工程</t>
  </si>
  <si>
    <t>LINESTRING (113.4172032 23.677031, 113.4218898 23.632646, 113.425198 23.615002, 113.4381551 23.591018, 113.4442201 23.575304, 113.4444958 23.553525, 113.4444958 23.527335, 113.4461388 23.501189, 113.4409064 23.479052, 113.4344664 23.459732, 113.4227407 23.43399)</t>
  </si>
  <si>
    <t>P4680</t>
  </si>
  <si>
    <t>Guangzhou-Huizhou Pipeline</t>
  </si>
  <si>
    <t>LINESTRING (113.422737 23.433992, 113.463678 23.4221762, 113.496598 23.4157257, 113.54709 23.4074958, 113.597137 23.3810266, 113.627165 23.3630097, 113.643847 23.3458826, 113.660205 23.3123204, 113.694256 23.2802726, 113.745933 23.2293966, 113.766764 23.2169781, 113.804019 23.2121709, 113.896558 23.2101679, 113.929807 23.2117703, 113.972671 23.2193817, 114.016737 23.2101679, 114.10444 23.1909133, 114.168849 23.1698272, 114.186868 23.1613927, 114.194919 23.1196039, 114.196452 23.0992846, 114.196836 23.0854828, 114.213705 23.0659302, 114.25023 23.0226144, 114.267561 23.0172575, 114.311046 23.0011869, 114.339091 22.992679, 114.359573 22.9923639, 114.399277 22.9923639, 114.451901 23.0210388, 114.472193 23.0258167)</t>
  </si>
  <si>
    <t>P4681</t>
  </si>
  <si>
    <t>Guangzhou-Zhaoqing Pipeline</t>
  </si>
  <si>
    <t>LINESTRING (113.377175 23.7202433, 113.311362 23.6532386, 113.280686 23.6447176, 113.209962 23.6285277, 113.186955 23.6259714, 113.117083 23.5833665, 113.033578 23.5279801, 112.96541 23.4674812, 112.961149 23.4461787, 112.960297 23.4359535, 112.959445 23.4172074, 112.950072 23.361821, 112.924509 23.3064346, 112.90065 23.2996178, 112.869123 23.3038783, 112.82737 23.3243286, 112.768887 23.351376, 112.717781 23.2119004, 112.697552 23.0756189, 112.629411 23.0415486, 112.582233 23.0362581)</t>
  </si>
  <si>
    <t>P4682</t>
  </si>
  <si>
    <t>Shaoguan Branch, Qingyuan Branch, Dongguan Branch</t>
  </si>
  <si>
    <t>450, 600</t>
  </si>
  <si>
    <t>MULTILINESTRING ((114.1421 24.938649, 114.097293 24.9355853, 114.075081 24.9329046, 114.062827 24.9336705, 114.027594 24.9447764, 113.985469 24.948606, 113.955981 24.9512867, 113.936832 24.948989, 113.884367 24.938649, 113.827306 24.938649, 113.811819 24.9291133, 113.794202 24.9233689, 113.768927 24.8980934, 113.738673 24.863244, 113.712249 24.8414152, 113.674155 24.8248646, 113.653717 24.8212426, 113.636384 24.8142575, 113.628881 24.8080485, 113.605339 24.7925259), (114.196845 23.085498, 114.15779 23.0234851, 114.147825 22.981003, 114.1473 22.9175421, 114.1473 22.8771578), (113.11932 23.5847184, 113.100659 23.6046832, 113.085186 23.6242049, 113.068701 23.6483538, 113.058434 23.6667186, 113.055542 23.6758286, 113.054964 23.688843))</t>
  </si>
  <si>
    <t>P4683</t>
  </si>
  <si>
    <t>https://www.gem.wiki/Guangdong_Gas_Pipeline_Network_Phase_II</t>
  </si>
  <si>
    <t>Guangdong Gas Pipeline Network Phase II</t>
  </si>
  <si>
    <t>Fengma-Liudong</t>
  </si>
  <si>
    <t>广东省输气管网二期管道工程</t>
  </si>
  <si>
    <t>LINESTRING (113.491868 22.709512, 113.491466 22.850985)</t>
  </si>
  <si>
    <t>P4684</t>
  </si>
  <si>
    <t>Gaoming-Zhaoqing</t>
  </si>
  <si>
    <t>LINESTRING (112.5820288 23.0361046, 112.6323042 22.9768053, 112.6611804 22.9430305, 112.7029477 22.8857938, 112.7265099 22.8637933)</t>
  </si>
  <si>
    <t>P4685</t>
  </si>
  <si>
    <t>Liwan Offshore Gas Pipeline</t>
  </si>
  <si>
    <t>Liwan Offshore Gas Field</t>
  </si>
  <si>
    <t>LINESTRING (113.5582463 21.860461, 113.5692552 21.801901, 113.7169603 21.6970089)</t>
  </si>
  <si>
    <t>P4686</t>
  </si>
  <si>
    <t>Zhuhai LNG Transport Pipeline (Gaolan-Gaoming)</t>
  </si>
  <si>
    <t>Zhuhai LNG Terminal imported LNG</t>
  </si>
  <si>
    <t>LINESTRING (112.9403956 22.6576921, 112.9494906 22.618102, 112.9612606 22.5763719, 112.9880107 22.5132418, 113.0088758 22.4501116, 113.0361608 22.3971465, 113.0511409 22.3596964, 113.0595316 22.2567387, 113.0708851 22.2321395, 113.0935921 22.2160554, 113.1333293 22.1942945, 113.1380599 22.1924023, 113.1711742 22.1734798, 113.1645513 22.1422577, 113.161713 22.0911671, 113.1749587 22.052376, 113.1834738 22.0116927, 113.1995579 22.0012853, 113.2042885 21.9539792, 113.2487563 21.9095114, 113.2534869 21.8593668)</t>
  </si>
  <si>
    <t>P4687</t>
  </si>
  <si>
    <t>https://www.gem.wiki/Chaozhou_LNG_Terminal_Transport_Pipeline</t>
  </si>
  <si>
    <t>Guangdong East Gas Pipeline Network</t>
  </si>
  <si>
    <t>Chaozhou LNG Terminal Transport Pipeline</t>
  </si>
  <si>
    <t>Chaozhou LNG Terminal (Huafeng and Huaying) Transport Pipeline</t>
  </si>
  <si>
    <t>Chaozhou LNG Terminal (Huafeng &amp; Huaying) Import LNG</t>
  </si>
  <si>
    <t>Raoping</t>
  </si>
  <si>
    <t>Chaozhou</t>
  </si>
  <si>
    <t>Lianhua Town</t>
  </si>
  <si>
    <t>Shantou</t>
  </si>
  <si>
    <t>广东粤东天然气主干管网</t>
  </si>
  <si>
    <t>LINESTRING (116.798256 23.596439, 116.7958518 23.6041259, 116.7966615 23.6096673, 116.7988375 23.6148544, 116.7999003 23.6153099, 116.8041512 23.6166003, 116.8074406 23.6185487, 116.8119445 23.6210031, 116.8134121 23.624419, 116.8127542 23.6283157, 116.8165029 23.6330399, 116.8216724 23.6381526, 116.8227517 23.6412202, 116.8318924 23.6481449, 116.8347819 23.6530156, 116.8385794 23.6572259, 116.840148 23.6621793, 116.8400654 23.6702697, 116.8403956 23.6712603, 116.8469175 23.6762137, 116.849972 23.6767916, 116.8540172 23.6792682, 116.8572369 23.6800112, 116.8696642 23.6865039, 116.8766814 23.6898061, 116.8805615 23.69187, 116.8861753 23.6931083, 116.8910461 23.6951722, 116.8931099 23.697814, 116.899219 23.6990523, 116.9038421 23.7021069, 116.9085478 23.7075555, 116.9203376 23.7097829, 116.9232082 23.7132277, 116.9265094 23.71495, 116.9303847 23.7178206, 116.9351212 23.7201171, 116.9530625 23.7189689, 116.9644015 23.721696, 116.9698556 23.7126535, 116.9760274 23.7107876, 116.9800463 23.7107876, 116.9790416 23.7067688, 116.9811945 23.7031805, 116.9846393 23.7023193, 116.9919593 23.7044723, 116.9984182 23.7027499, 117.0012888 23.7013146, 117.004303 23.7004534, 117.0136325 23.6987311, 117.0222443 23.698157, 117.0407902 23.6902145, 117.0488039 23.6891381, 117.057057 23.6833968, 117.0629178 23.6784929, 117.0668649 23.6755027, 117.0665061 23.6700006, 117.0643531 23.6630633, 117.0636876 23.66033, 117.0642335 23.6573823, 117.0679453 23.6547622, 117.0718209 23.6515963, 117.0787168 23.6430934, 117.0812186 23.6413193, 117.0858584 23.638954, 117.0894974 23.635224, 117.0926384 23.6325454, 117.0981737 23.6294748, 117.1015676 23.6280607, 117.1041534 23.6272526, 117.1062543 23.6272122, 117.109527 23.6253941, 117.1129209 23.6233335, 117.116436 23.6202224, 117.1180117 23.617677, 117.1205964 23.6136231, 117.1218893 23.6120877, 117.1239499 23.6105928, 117.1226613 23.6074172, 117.1216189 23.6027263, 117.1221401 23.5960546, 117.119951 23.5933443, 117.1226613 23.5915722, 117.1237821 23.5899922, 117.1237821 23.5896793, 117.12567 23.588295)</t>
  </si>
  <si>
    <t>P4688</t>
  </si>
  <si>
    <t>https://www.gem.wiki/Guangdong_East_Gas_Pipeline_Network</t>
  </si>
  <si>
    <t>Haifeng–Huilai Connecting Pipeline</t>
  </si>
  <si>
    <t>Guangdong Provincial Natural Gas Network Phase III, 广东省天然气管网三期工程</t>
  </si>
  <si>
    <t>Haifeng</t>
  </si>
  <si>
    <t>Shanwei</t>
  </si>
  <si>
    <t>Huilai</t>
  </si>
  <si>
    <t>LINESTRING (116.495589 23.516086, 116.4714698 23.529979, 116.4520779 23.543003, 116.4333595 23.552546, 116.4093251 23.5687, 116.3896247 23.57855, 116.3675603 23.591947, 116.3403738 23.612829, 116.3234315 23.624255, 116.295063 23.645532, 116.2666945 23.671142, 116.2493582 23.68375, 116.2237477 23.705815, 116.2016833 23.738517, 116.1897706 23.758708, 116.173392 23.78028, 116.1438305 23.813437, 116.1282508 23.832213, 116.1138695 23.850589, 116.0966919 23.870163, 116.0807127 23.888939, 116.0643341 23.928487, 116.0561561 23.946921, 116.0436956 23.969133, 116.0409868 23.984302, 116.0442373 23.994054, 116.053989 24.017891, 116.0588649 24.029268, 116.0664495 24.047146, 116.0756594 24.072067, 116.0837858 24.093196, 116.094621 24.118117, 116.1016639 24.138704, 116.1097903 24.15604, 116.1233343 24.17771, 116.1325442 24.200464, 116.1435186 24.223778, 116.1523173 24.240022, 116.1550246 24.260778)</t>
  </si>
  <si>
    <t>P4689</t>
  </si>
  <si>
    <t>Huizhou–Haifeng Pipeline</t>
  </si>
  <si>
    <t>LINESTRING (114.4711871 23.024708, 114.5325964 23.002943, 114.5528071 22.997501, 114.6285971 22.97457, 114.6523058 22.967185, 114.6760144 22.957469, 114.6950591 22.94542, 114.7125491 22.928319, 114.7588005 22.889063, 114.8248738 22.891784, 114.8465362 22.89177, 114.8756152 22.889764, 114.8951683 22.873721, 114.9107105 22.859181, 114.9322691 22.843639, 114.9518222 22.842636, 114.9693699 22.839127, 115.0024598 22.834113, 115.0240184 22.831105, 115.0736533 22.820075, 115.1072446 22.830102, 115.1303072 22.839127, 115.1628958 22.849154, 115.1854571 22.874723, 115.1997202 22.891796, 115.2182984 22.918702, 115.2560956 22.93664, 115.2753145 22.946249, 115.3067053 22.962906, 115.3393774 22.973796, 115.3642218 22.979891)</t>
  </si>
  <si>
    <t>P4690</t>
  </si>
  <si>
    <t>Huizhou–Heyuan Branch</t>
  </si>
  <si>
    <t>West-East Pipeline II, Huizhou LNG Terminal imported LNG.</t>
  </si>
  <si>
    <t>Boluo</t>
  </si>
  <si>
    <t>Yuancheng</t>
  </si>
  <si>
    <t>LINESTRING (114.4711904 23.024694, 114.4450041 23.018465, 114.4025375 22.995266, 114.3604641 22.993299, 114.3400172 22.992513, 114.2621618 23.018072, 114.253118 23.019251, 114.194923 23.085704, 114.1992483 23.095141, 114.1870588 23.162379, 114.2051465 23.164739, 114.2262022 23.172462, 114.2480375 23.177773, 114.2710531 23.184855, 114.2922982 23.194297, 114.3182645 23.207871, 114.3442308 23.216723, 114.3530829 23.223804, 114.3873112 23.223804, 114.4097367 23.229116, 114.4309818 23.230296, 114.4410142 23.242689, 114.4469157 23.268065, 114.4545875 23.290491, 114.4629483 23.31433, 114.4653089 23.345018, 114.4670793 23.366853, 114.4694399 23.393409, 114.4747511 23.415835, 114.4771117 23.43531, 114.498947 23.453014, 114.5184217 23.472489, 114.536126 23.483701, 114.5615022 23.512618, 114.5780262 23.529142, 114.5976254 23.555416, 114.6112067 23.578698, 114.6243031 23.601495, 114.6427349 23.626718, 114.6441901 23.64515, 114.6483556 23.662828, 114.6518568 23.682489, 114.6580512 23.70565)</t>
  </si>
  <si>
    <t>P4691</t>
  </si>
  <si>
    <t>Jieyang LNG Terminal Transport Pipeline</t>
  </si>
  <si>
    <t>Guangdong Provincial Natural Gas Network Phase III, 广东省天然气管网三期工程, Guangdong East LNG Terminal Transport Pipeline</t>
  </si>
  <si>
    <t>Jieyang LNG Terminal Import LNG</t>
  </si>
  <si>
    <t>Fuyang</t>
  </si>
  <si>
    <t>LINESTRING (116.371427 22.934479, 116.59555509566151 23.589207766599007)</t>
  </si>
  <si>
    <t>P4692</t>
  </si>
  <si>
    <t>Jieyang–Meizhou Branch</t>
  </si>
  <si>
    <t>Jieyang LNG Terminal Transport Pipeline, West-East Pipeline II</t>
  </si>
  <si>
    <t>Mei County</t>
  </si>
  <si>
    <t>Meizhou</t>
  </si>
  <si>
    <t>P4693</t>
  </si>
  <si>
    <t>https://www.gem.wiki/Guangdong_North_Gas_Pipeline_Network</t>
  </si>
  <si>
    <t>Guangdong North Gas Pipeline Network</t>
  </si>
  <si>
    <t>Shaoguan-Guangzhou pipeine</t>
  </si>
  <si>
    <t>323.9, 610, 914</t>
  </si>
  <si>
    <t>广东粤北天然气主干管网</t>
  </si>
  <si>
    <t>LINESTRING (114.1425919 24.9368273, 114.1390495 24.9031741, 114.1248797 24.8340963, 114.1071674 24.7402214, 114.1053962 24.6764573, 114.1000826 24.6463465, 114.0929977 24.6180069, 114.0841415 24.5436155, 114.0611156 24.421401, 114.0451746 24.3859765, 114.0186062 24.3487808, 113.9495285 24.2974153, 113.9229601 24.2708469, 113.9176464 24.263762, 113.9123327 24.2602196, 113.9070191 24.2602196, 113.8485687 24.1734295, 113.7688636 24.0618424, 113.7192693 24.0104769, 113.701557 23.9963071, 113.6767599 23.9697387, 113.6625901 23.9591114, 113.6129958 23.9360855, 113.5704864 23.9077459, 113.5510029 23.8918048, 113.5315195 23.8864912, 113.5191209 23.8740926, 113.4677554 23.8262695, 113.4535856 23.7873026, 113.4323309 23.7129112)</t>
  </si>
  <si>
    <t>P4694</t>
  </si>
  <si>
    <t>https://www.gem.wiki/Guangdong_West_Gas_Pipeline_Network</t>
  </si>
  <si>
    <t>Guangdong West Gas Pipeline Network</t>
  </si>
  <si>
    <t>Maoming–Yangjiang Pipeline</t>
  </si>
  <si>
    <t>Gongguan</t>
  </si>
  <si>
    <t>Yangdong District, Hongfeng</t>
  </si>
  <si>
    <t>广东粤西天然气主干管网</t>
  </si>
  <si>
    <t>LINESTRING (110.8597702 21.7149648, 110.9064678 21.706209, 110.9259252 21.7003718, 110.945869 21.6935617, 110.9609484 21.6823738, 110.9760279 21.6638893, 110.9872158 21.6527013, 111.0013224 21.6522149, 111.0528844 21.6527013, 111.1132022 21.6522149, 111.1326595 21.654647, 111.1676828 21.6565928, 111.1861672 21.6585385, 111.2124347 21.6590249, 111.2503765 21.6599978, 111.2691217 21.6623395, 111.2911611 21.6645884, 111.3383885 21.6627892, 111.3554803 21.663239, 111.3856159 21.6645884, 111.4090047 21.675833, 111.4296948 21.6852785, 111.4791711 21.7172132, 111.4980621 21.7307067, 111.5488877 21.7612921, 111.5934164 21.7891787, 111.6153906 21.8007788, 111.6607707 21.8234689, 111.7393132 21.8548858, 111.8108741 21.882812, 111.8562541 21.9037567, 111.8841804 21.9037806)</t>
  </si>
  <si>
    <t>P4695</t>
  </si>
  <si>
    <t>Yangjiang LNG Terminal Transport Pipeline</t>
  </si>
  <si>
    <t>Guangdong Yangjiang Hailingwan LNG Co., Ltd. [300.00%]</t>
  </si>
  <si>
    <t>太平洋能源有限公司 [50.00%]; Guangdong Hengjian Investment Holding Co., Ltd. [38.00%]; China Huaneng Group [12.00%]</t>
  </si>
  <si>
    <t>Hailing Bay, first station</t>
  </si>
  <si>
    <t>Jiangcheng District, Shuangjie Town</t>
  </si>
  <si>
    <t>LINESTRING (111.831709 21.674822, 111.819421 21.709243, 111.868517 21.761255, 111.84892 21.860531, 111.882062 21.908658, 111.848389 21.936756)</t>
  </si>
  <si>
    <t>P4696</t>
  </si>
  <si>
    <t>Yangjiang–Jiangmen Pipeline</t>
  </si>
  <si>
    <t>Shuangshui Town</t>
  </si>
  <si>
    <t>Jiangmen</t>
  </si>
  <si>
    <t>LINESTRING (111.8841837 21.9037837, 111.9289695 21.907724, 111.94987 21.9096241, 111.9836908 21.9134242, 112.0357521 21.9350847, 112.0783132 21.9628254, 112.0980736 21.9730857, 112.1364546 22.0019664, 112.153935 22.0179268, 112.1812957 22.0331271, 112.1904159 22.0578277, 112.2007818 22.0786093, 112.2261235 22.1235705, 112.2408381 22.1448249, 112.2678148 22.1816113, 112.2996964 22.2167628, 112.3135935 22.2396521, 112.3430226 22.2797084, 112.3577372 22.3009628, 112.3699994 22.3189473, 112.4084207 22.3320269, 112.432945 22.3410192, 112.4697315 22.3549162, 112.4852635 22.3549162, 112.5097878 22.3573687, 112.5465742 22.3671784, 112.5710985 22.3737182, 112.5988927 22.3827104, 112.6201471 22.3900677, 112.6446714 22.3957901, 112.6863627 22.4137745, 112.7296889 22.4415687, 112.7493083 22.4562833, 112.7730151 22.4783552, 112.7836423 22.4799901, 112.8040792 22.4947047, 112.8326909 22.5208639, 112.8455096 22.5483363, 112.8631769 22.5689482, 112.879372 22.5895601, 112.8926225 22.610172, 112.9073453 22.6293117, 112.9235403 22.6484513, 112.9426799 22.6602295)</t>
  </si>
  <si>
    <t>P4697</t>
  </si>
  <si>
    <t>Zhanjiang–Donghai Island Pipeline</t>
  </si>
  <si>
    <t>Donghai Island</t>
  </si>
  <si>
    <t>LINESTRING (110.276363 21.3721169, 110.2843359 21.3493373, 110.3002816 21.2866935, 110.3025595 21.2673309, 110.3082544 21.2411344, 110.3139493 21.2149379, 110.3219222 21.1682398, 110.3276171 21.1443212, 110.3264781 21.1158468, 110.3390069 21.10104, 110.3572305 21.0816774, 110.3743152 21.0611758, 110.3891219 21.0395352, 110.4016507 21.0292844, 110.4335421 21.0224505, 110.4574606 21.0156167, 110.489352 21.0076438, 110.5166875 21.0053659)</t>
  </si>
  <si>
    <t>P4698</t>
  </si>
  <si>
    <t>Zhanjiang–Xvwen Pipeline</t>
  </si>
  <si>
    <t>Xvwen County</t>
  </si>
  <si>
    <t>LINESTRING (110.2738393 21.3738818, 110.2404925 21.3342825, 110.2300717 21.3176091, 110.2029774 21.2842624, 110.186304 21.2592523, 110.1571256 21.2154847, 110.1487889 21.1988113, 110.1154422 21.1362861, 110.1029372 21.1133602, 110.0800113 21.0675084, 110.0716746 21.0424984, 110.0612537 21.0195725, 110.052917 21.0008149, 110.0362436 20.965384, 110.027907 20.9424581, 110.0154019 20.9007747, 110.0028969 20.8632596, 110.0028969 20.8382495, 109.9966444 20.8153236, 109.9945602 20.7923977, 109.9883077 20.7465459, 109.9883077 20.72362, 109.9966444 20.6652632, 109.9966444 20.6381689, 109.9966444 20.6194114, 110.0133177 20.5839805, 110.0216544 20.5610546, 110.0445803 20.5068661, 110.052917 20.481856, 110.0716746 20.4422567, 110.0779271 20.421415, 110.0862638 20.3818158, 110.0946005 20.3526373, 110.1154422 20.3130381)</t>
  </si>
  <si>
    <t>P4699</t>
  </si>
  <si>
    <t>Zhaoqing–Yunfu Pipeline</t>
  </si>
  <si>
    <t>LINESTRING (112.5938592 23.0216767, 112.5605125 23.000835, 112.5563441 22.9904141, 112.4896506 22.9820775, 112.4625564 22.9841616, 112.4187888 22.98833, 112.4021154 22.9820775, 112.3750212 22.9716566, 112.3270852 22.9633199, 112.3062435 22.9612357, 112.2728967 22.9633199, 112.2124557 22.9654041, 112.1582672 22.9654041, 112.1249205 22.9695724, 112.070732 22.9716566, 112.0478061 22.9737408)</t>
  </si>
  <si>
    <t>P4700</t>
  </si>
  <si>
    <t>Guangdong Gas Pipeline Network</t>
  </si>
  <si>
    <t>Heyuan-Dongyuan Gas Pipeline</t>
  </si>
  <si>
    <t>Pingwei village, Puqian Town, Yuancheng District</t>
  </si>
  <si>
    <t>Reshui Village, xiantang Town, Dongyuan county</t>
  </si>
  <si>
    <t>广东输气管网</t>
  </si>
  <si>
    <t>P4701</t>
  </si>
  <si>
    <t>Heyun-Lianzhou-Lianshan Gas Pipeline</t>
  </si>
  <si>
    <t>300/200</t>
  </si>
  <si>
    <t>Heyun, Longjing Town</t>
  </si>
  <si>
    <t>Qingyuan</t>
  </si>
  <si>
    <t>Shixi Village, Jitian Town</t>
  </si>
  <si>
    <t>P4702</t>
  </si>
  <si>
    <t>Maoming-Yun'an Gas Pipeline（Maoming-Xinyi)</t>
  </si>
  <si>
    <t>Guangdong West Gas Pipeline Network, Maoming-Yangjiang pipeline</t>
  </si>
  <si>
    <t>Xinyi</t>
  </si>
  <si>
    <t>P4703</t>
  </si>
  <si>
    <t>Maoming-Yun'an Gas Pipeline（Yun'an-Luoding)</t>
  </si>
  <si>
    <t>Yuedian Yunhe pipeline</t>
  </si>
  <si>
    <t>Yun'an</t>
  </si>
  <si>
    <t>Luoding</t>
  </si>
  <si>
    <t>P4704</t>
  </si>
  <si>
    <t>Meizhou-Jiaoling-Pingyuan Gas Pipeline</t>
  </si>
  <si>
    <t>Guangdong East Gas Pipeline Network, Jieyang-Meizhou Branch</t>
  </si>
  <si>
    <t>Jiaoling, Pingyuan</t>
  </si>
  <si>
    <t>P4705</t>
  </si>
  <si>
    <t>Meizhou-Wuhua-Xingning Gas Pipeline</t>
  </si>
  <si>
    <t>Shejiang, Mei County</t>
  </si>
  <si>
    <t>Xingning</t>
  </si>
  <si>
    <t>P4706</t>
  </si>
  <si>
    <t>Jieyang-Dananhai Gas Pipeline</t>
  </si>
  <si>
    <t>Jieyang PetroChina Kunlun Gas Co., Ltd. [300.00%]</t>
  </si>
  <si>
    <t>Kunlun Energy Co., Ltd. [51.00%]; China Petroleum Engineering Corporation [26.00%]; Guizhou Nongjin Investment Co., Ltd. [23.00%]</t>
  </si>
  <si>
    <t>Dananhai</t>
  </si>
  <si>
    <t>P4707</t>
  </si>
  <si>
    <t>Qinghe Gas Pipeline（Qingyuan-Heyun)</t>
  </si>
  <si>
    <t>Guangdong Gas Pipeline Network Phase I, Qingyuan Branch</t>
  </si>
  <si>
    <t>Heyun Town, Qingxin District</t>
  </si>
  <si>
    <t>P4708</t>
  </si>
  <si>
    <t>Xingning-Heping-Lianping Gas Pipeline</t>
  </si>
  <si>
    <t>300，200</t>
  </si>
  <si>
    <t>Heping County, Lianping County</t>
  </si>
  <si>
    <t>P4709</t>
  </si>
  <si>
    <t>Zhu Zhong Jiang Gas Pipeline</t>
  </si>
  <si>
    <t>800/400</t>
  </si>
  <si>
    <t>Shuangshui</t>
  </si>
  <si>
    <t>Zhongshan</t>
  </si>
  <si>
    <t>P4710</t>
  </si>
  <si>
    <t>https://www.gem.wiki/Huizhou_LNG_Terminal_Transport_Pipeline</t>
  </si>
  <si>
    <t>Huizhou LNG Terminal Transport Pipeline</t>
  </si>
  <si>
    <t>Guangdong Energy Group Huizhou Natural Gas Development Co., Ltd. [200.00%]</t>
  </si>
  <si>
    <t>Guangdong Hengjian Investment Holding Co., Ltd. [76.00%]; China Huaneng Group [24.00%]</t>
  </si>
  <si>
    <t>Pinghai Town</t>
  </si>
  <si>
    <t>Huidong County</t>
  </si>
  <si>
    <t>Dayawan</t>
  </si>
  <si>
    <t>MULTILINESTRING ((114.741899 22.611085, 114.749251 22.608474, 114.751816 22.608295, 114.753409 22.607818, 114.755082 22.606882, 114.756299 22.606555, 114.757212 22.607116, 114.759037 22.609223, 114.760305 22.610205, 114.761116 22.610627, 114.761775 22.610393, 114.762535 22.609597, 114.764697 22.607164, 114.766459 22.605459, 114.768306 22.60453, 114.770068 22.60267, 114.771579 22.601276, 114.772837 22.599959, 114.773593 22.598951, 114.7746 22.597634, 114.775691 22.597092, 114.777873 22.597092, 114.779971 22.597634, 114.78123 22.598564, 114.782908 22.599959, 114.784587 22.600656, 114.787188 22.601895, 114.789286 22.602205, 114.791804 22.602438, 114.793147 22.603058, 114.794825 22.603445, 114.796504 22.605149, 114.798014 22.607319, 114.799273 22.609643, 114.799651 22.61162, 114.799804 22.611884, 114.800113 22.612062, 114.802584 22.612442, 114.803914 22.613112, 114.80464 22.615121, 114.804277 22.617799, 114.802947 22.620478, 114.802584 22.623045, 114.802101 22.625835, 114.801375 22.629183, 114.800892 22.63108, 114.800529 22.634204, 114.802101 22.63532, 114.805486 22.636324, 114.807904 22.63744, 114.808267 22.640788, 114.808267 22.643243, 114.811652 22.645251, 114.814554 22.648041, 114.8154 22.650161, 114.814796 22.652169, 114.812378 22.654289, 114.812136 22.655963, 114.813399 22.6577, 114.815713 22.659302, 114.818607 22.661438, 114.820487 22.663574, 114.82338 22.665443, 114.826274 22.667045, 114.829746 22.668647, 114.832928 22.669982, 114.836834 22.671717, 114.838715 22.673719, 114.840162 22.675721, 114.842766 22.67719, 114.84508 22.678925, 114.845948 22.681328, 114.846961 22.684264, 114.847395 22.686533, 114.84829 22.688454, 114.848841 22.689603, 114.848986 22.692806, 114.848986 22.69721, 114.848697 22.700413, 114.847395 22.703483, 114.845803 22.705218, 114.843055 22.706419, 114.840451 22.707887, 114.837124 22.709221, 114.834086 22.710422, 114.830903 22.712024, 114.827142 22.713358, 114.824944 22.714092, 114.824215 22.714621, 114.824004 22.715082, 114.823636 22.717957, 114.823236 22.721365, 114.822802 22.723366, 114.821934 22.725501, 114.821355 22.72857, 114.820921 22.732173, 114.820342 22.735642, 114.819619 22.739244, 114.818751 22.741913, 114.81716 22.744314, 114.816147 22.746982, 114.815424 22.750585, 114.814845 22.754587, 114.816147 22.756988, 114.818173 22.759789, 114.819908 22.761524, 114.821644 22.762991, 114.824972 22.763925, 114.827286 22.764859, 114.829746 22.76686, 114.831626 22.770594, 114.832639 22.773662, 114.833073 22.77593, 114.833362 22.777531, 114.834954 22.779531, 114.836834 22.781265, 114.837413 22.783266, 114.837268 22.7862, 114.837268 22.788468, 114.839583 22.789268, 114.841464 22.790735, 114.84291 22.793002, 114.843634 22.795136, 114.845088 22.796899, 114.846863 22.798769, 114.848511 22.800756, 114.850666 22.802275, 114.852441 22.803678, 114.854089 22.804963, 114.855611 22.807885, 114.856625 22.810339, 114.857893 22.813027, 114.857132 22.816182, 114.855611 22.818519, 114.854596 22.82109, 114.853836 22.823077, 114.851934 22.824128, 114.848764 22.824829, 114.848004 22.826465, 114.846356 22.827751, 114.844327 22.829737, 114.842425 22.832425, 114.840397 22.834762, 114.838368 22.835696, 114.836213 22.836865, 114.833678 22.838617, 114.830888 22.84072, 114.828353 22.841538, 114.824676 22.842356, 114.821253 22.843291, 114.818084 22.843992, 114.816182 22.845277, 114.815802 22.847497, 114.814534 22.849133, 114.814407 22.85182, 114.812632 22.853572, 114.810857 22.854507, 114.810477 22.856259, 114.809589 22.858128, 114.808575 22.860465, 114.808322 22.862451, 114.806673 22.86432, 114.805532 22.866072, 114.803884 22.868642, 114.802616 22.871446, 114.80249 22.874132, 114.802743 22.875651, 114.802441 22.877343, 114.801268 22.878655, 114.799341 22.87989, 114.796577 22.881356, 114.794567 22.882745, 114.793059 22.883517, 114.791719 22.884289, 114.790043 22.883671, 114.788703 22.881896, 114.787363 22.880199, 114.786358 22.877961, 114.785352 22.876108, 114.784766 22.874951, 114.783426 22.874719, 114.781834 22.87441, 114.78108 22.872172, 114.780159 22.869934, 114.77974 22.867001, 114.779656 22.863451, 114.779238 22.860749, 114.778316 22.858356, 114.777814 22.856427, 114.777562 22.854574, 114.777395 22.853571, 114.775887 22.853648, 114.774463 22.853725, 114.773123 22.853262, 114.772704 22.852181, 114.772268 22.850648, 114.772004 22.848864, 114.770684 22.847891, 114.768748 22.846674, 114.766812 22.845053, 114.763884 22.842348, 114.762067 22.840442, 114.760894 22.838949, 114.759497 22.837662, 114.758045 22.836014, 114.757151 22.834367, 114.755922 22.832874, 114.75447 22.831227, 114.753967 22.829373, 114.754302 22.828241, 114.754582 22.827159, 114.753297 22.825872, 114.752627 22.824534, 114.751398 22.823556, 114.749834 22.822474, 114.748605 22.821959, 114.746985 22.821651, 114.745533 22.821187, 114.744583 22.82026, 114.743689 22.819385, 114.742846 22.818561, 114.741908 22.817325, 114.740366 22.816646, 114.739293 22.815966, 114.738354 22.815224, 114.737148 22.814792, 114.735807 22.81473, 114.734265 22.814606, 114.732991 22.81405, 114.73212 22.813556, 114.730444 22.813185, 114.728835 22.812443, 114.727494 22.81232, 114.725952 22.812196, 114.724946 22.811455, 114.723874 22.810898, 114.722265 22.810219, 114.720589 22.809972, 114.719181 22.810095, 114.717974 22.810837, 114.717035 22.811146, 114.715695 22.811146, 114.714086 22.810589, 114.712611 22.809786, 114.710935 22.809106, 114.709527 22.808921, 114.707113 22.808859, 114.704298 22.808859, 114.701683 22.809168, 114.699136 22.809539, 114.695985 22.810157, 114.693504 22.810528, 114.6927 22.810837, 114.692029 22.811393, 114.691627 22.812505, 114.69156 22.81405, 114.69156 22.815224, 114.690755 22.816028, 114.690822 22.817511, 114.690487 22.819179, 114.689817 22.821095, 114.689348 22.822701, 114.688476 22.823814, 114.686934 22.824926, 114.684588 22.825729, 114.682509 22.826594, 114.681303 22.827027, 114.678889 22.827459, 114.677079 22.827645, 114.6748 22.827706, 114.672453 22.826841, 114.670777 22.825729, 114.669571 22.825049, 114.66823 22.825049, 114.66709 22.825729, 114.666151 22.825976, 114.665079 22.825729, 114.66347 22.824617, 114.661861 22.823566, 114.660453 22.822331, 114.65938 22.821156, 114.657972 22.820106, 114.656498 22.818438, 114.655224 22.817016, 114.653816 22.815286, 114.653481 22.813927, 114.653347 22.812443, 114.652743 22.81164, 114.651939 22.810837, 114.650933 22.809724, 114.650263 22.808797, 114.649391 22.80787, 114.648252 22.807191, 114.646911 22.807129, 114.645235 22.807747, 114.644443 22.808132, 114.643848 22.808223, 114.643121 22.807949, 114.642923 22.807157, 114.642725 22.805878, 114.642461 22.804965, 114.641767 22.804082, 114.640776 22.802589, 114.639785 22.801523, 114.638893 22.801006, 114.638067 22.800488, 114.637142 22.799788, 114.63625 22.798661, 114.63549 22.797747, 114.634268 22.796864, 114.633211 22.795889, 114.632715 22.795128, 114.632055 22.794184, 114.63146 22.792874, 114.631328 22.792052, 114.630733 22.791077, 114.629808 22.790042, 114.629048 22.788946, 114.628388 22.788123, 114.628322 22.786783, 114.628024 22.785808, 114.627099 22.784986, 114.626307 22.784011, 114.625051 22.782945, 114.624258 22.78194, 114.623267 22.780874, 114.621946 22.779991, 114.620691 22.778742, 114.619435 22.777798, 114.618312 22.77661, 114.617321 22.775757, 114.616637 22.774618, 114.616098 22.773482, 114.614866 22.773269, 114.613866 22.772702, 114.613327 22.771921, 114.611634 22.771992, 114.60894 22.771921, 114.606631 22.771424, 114.604014 22.770927, 114.601397 22.770714, 114.60018 22.77034, 114.599549 22.769437, 114.599087 22.768017, 114.598164 22.767237, 114.596163 22.766243, 114.594931 22.765604, 114.593853 22.764894, 114.592391 22.764824, 114.590621 22.764256, 114.58962 22.76312, 114.588773 22.762339, 114.587542 22.761914, 114.586002 22.761133, 114.584463 22.76021, 114.58377 22.7595, 114.582616 22.759145, 114.580537 22.758649, 114.578998 22.75801, 114.57692 22.758152, 114.575534 22.758223, 114.574534 22.756945, 114.572917 22.756235, 114.572148 22.755029, 114.57107 22.754106, 114.569762 22.753112, 114.568222 22.752757, 114.566991 22.752331, 114.565913 22.751409, 114.563912 22.751267, 114.562372 22.751125, 114.561218 22.749989, 114.560888 22.749078, 114.560602 22.748569, 114.560129 22.748357, 114.559217 22.748143, 114.557523 22.748072, 114.557523 22.748072, 114.557046 22.748007, 114.556699 22.74771, 114.556427 22.747321, 114.556446 22.746866, 114.557021 22.74611, 114.557677 22.745446, 114.557914 22.744898, 114.557908 22.74431, 114.557369 22.743316, 114.557138 22.74211, 114.556773 22.741188, 114.556599 22.740051, 114.557138 22.738489, 114.557357 22.737334, 114.558191 22.735197, 114.558469 22.734342, 114.558515 22.732248, 114.558839 22.73118, 114.559164 22.729897, 114.560091 22.728572, 114.56111 22.727418, 114.56213 22.726136, 114.56352 22.725409, 114.564586 22.724683, 114.566161 22.72417, 114.567505 22.723785, 114.569683 22.723486, 114.571768 22.723486, 114.574503 22.723614, 114.576727 22.723742, 114.57821 22.723785, 114.580249 22.723785), (114.613327 22.771921, 114.614077 22.770596, 114.614587 22.769708, 114.615266 22.768611, 114.61572 22.767724, 114.616116 22.766732, 114.616739 22.765374, 114.617248 22.764069, 114.617758 22.76292, 114.618268 22.762137, 114.618777 22.761405, 114.619061 22.760674, 114.619174 22.7601, 114.618834 22.75963, 114.618098 22.759578, 114.617475 22.759473, 114.616626 22.759212, 114.61555 22.758795, 114.61453 22.758272, 114.613511 22.757698, 114.612605 22.757124, 114.611925 22.756654), (114.746985 22.821651, 114.746401 22.82285, 114.745341 22.823961, 114.743895 22.825027, 114.742449 22.826182, 114.741052 22.82747, 114.739317 22.828802, 114.737341 22.830046, 114.736521 22.830757, 114.735124 22.831379, 114.733148 22.831512, 114.731557 22.830579, 114.729726 22.830224, 114.728376 22.83009, 114.726352 22.830313, 114.723702 22.830801, 114.721533 22.831645, 114.719653 22.833155, 114.718415 22.834654, 114.71766 22.836234, 114.717111 22.837625, 114.716014 22.839712, 114.715191 22.840723, 114.713544 22.842051, 114.711898 22.843062, 114.710183 22.844263, 114.708331 22.845401, 114.706204 22.846918, 114.704146 22.848183, 114.702568 22.849637, 114.701814 22.851154, 114.701128 22.852418, 114.70003 22.853493, 114.698315 22.854188, 114.696532 22.854504, 114.694954 22.854568, 114.693856 22.854757, 114.692965 22.855263, 114.692347 22.856401, 114.69221 22.858423, 114.69221 22.860193, 114.691798 22.861584, 114.691112 22.862911, 114.690975 22.864365, 114.690769 22.866135, 114.690358 22.867842, 114.689603 22.8686, 114.688437 22.869106, 114.686242 22.869359, 114.683841 22.869927, 114.682126 22.870117, 114.681097 22.87037, 114.680205 22.871697, 114.679794 22.873657, 114.678627 22.875679, 114.677667 22.87707, 114.676432 22.878334, 114.67458 22.879282, 114.672865 22.879977, 114.671013 22.880735, 114.669229 22.880988, 114.667309 22.881178, 114.666348 22.88162, 114.664839 22.882758, 114.663742 22.883959, 114.66333 22.885096, 114.663261 22.886107, 114.662781 22.887308, 114.661821 22.888193, 114.66038 22.888951, 114.658665 22.889583, 114.65695 22.890405, 114.654755 22.891416, 114.652766 22.892301, 114.651051 22.893249, 114.649885 22.893944, 114.648444 22.894323, 114.646935 22.895208, 114.645769 22.895587, 114.644259 22.895587, 114.641859 22.895397, 114.640281 22.895144, 114.63884 22.895081, 114.637331 22.895271, 114.63589 22.896092, 114.634861 22.897546, 114.634107 22.898557, 114.632941 22.899252, 114.631843 22.899694, 114.629854 22.899821, 114.628207 22.9002, 114.626287 22.900326, 114.624572 22.900326, 114.623543 22.900326, 114.622514 22.900642, 114.621347 22.901148, 114.619084 22.901843, 114.617643 22.902096, 114.615585 22.902538, 114.614762 22.902854, 114.614007 22.903359))</t>
  </si>
  <si>
    <t>P4711</t>
  </si>
  <si>
    <t>https://www.gem.wiki/Shante_Gas_Power_Station_Gas_Supply_Pipeline</t>
  </si>
  <si>
    <t>Shante Gas Power Station Gas Supply Pipeline</t>
  </si>
  <si>
    <t>Chaozhou LNG Terminal (Huafeng &amp; Huaying) Transport Pipeline</t>
  </si>
  <si>
    <t>Lianhua</t>
  </si>
  <si>
    <t>LINESTRING (116.798256 23.596439, 116.724765 23.417656)</t>
  </si>
  <si>
    <t>P4712</t>
  </si>
  <si>
    <t>https://www.gem.wiki/Shenzhen_LNG_Peak-shaving_Gas_Pipeline</t>
  </si>
  <si>
    <t>Shenzhen LNG Peaking-shaving Gas Pipeline</t>
  </si>
  <si>
    <t>Diefu LNG Terminal</t>
  </si>
  <si>
    <t>Diefu, Dapeng District</t>
  </si>
  <si>
    <t>Shenzhen</t>
  </si>
  <si>
    <t>Qingxi Town</t>
  </si>
  <si>
    <t>MULTILINESTRING ((114.437068 22.577723, 114.443908 22.592363), (114.443908 22.592363, 114.385133 22.617736, 114.094835 22.88955))</t>
  </si>
  <si>
    <t>P4713</t>
  </si>
  <si>
    <t>Zhongke Branch</t>
  </si>
  <si>
    <t>P4714</t>
  </si>
  <si>
    <t>https://www.gem.wiki/Guangdong_Dapeng_LNG_Terminal_Transport_Pipeline</t>
  </si>
  <si>
    <t>Guangdong Dapeng LNG Terminal Transport pipeline</t>
  </si>
  <si>
    <t>Guangdong Dapeng LNG Terminal Transport Pipeline</t>
  </si>
  <si>
    <t>GUANG DONG DAPENG LNG Company Limited [600.00%]</t>
  </si>
  <si>
    <t>China National Offshore Oil Corp. [33.00%]; other [21.00%]; 广东投资有限公司 [15.00%]; 珠江三角洲投资有限公司 [15.00%]; Shenzhen Gas Corporation Ltd. [10.00%]; Guangzhou Development Group Incorporated [6.00%]</t>
  </si>
  <si>
    <t>[[Guangdong Dapeng LNG Terminal ]]</t>
  </si>
  <si>
    <t>Dapeng</t>
  </si>
  <si>
    <t>Foshan</t>
  </si>
  <si>
    <t>MULTILINESTRING ((114.4850006 22.5457993, 114.4599991 22.5695992, 114.4380035 22.5683994, 114.427002 22.5853004, 114.4369965 22.6047001, 114.4300003 22.6172009, 114.4120026 22.6172009, 114.3949966 22.6333008, 114.3880005 22.6511002, 114.3880005 22.6590996, 114.3679962 22.6800995, 114.3669968 22.6889, 114.3379974 22.7119007, 114.3339996 22.7220001, 114.3119965 22.7311993, 114.3069992 22.7369003, 114.2900009 22.7299995, 114.2659988 22.7429008, 114.2480011 22.7514, 114.2320023 22.7537994, 114.2249985 22.7674999, 114.2099991 22.7621994, 114.1539993 22.7893009, 114.137001 22.7880001, 114.1149979 22.8050003, 114.0899963 22.8055992, 114.0790024 22.8110008, 114.0660019 22.8078995, 114.0569992 22.8160992, 114.0289993 22.8220997, 114.0210037 22.8213005, 114.0159988 22.8176994, 114.0019989 22.8183994, 114 22.8092003, 113.9929962 22.8069, 113.987999 22.8115005, 113.987999 22.8213005, 113.9729996 22.8160992, 113.9589996 22.8174, 113.935997 22.8071003, 113.901001 22.8307991, 113.8889999 22.8491001, 113.8349991 22.8764992, 113.836998 22.8915997, 113.8550034 22.9062996, 113.8470001 22.9241009, 113.848999 22.9319, 113.8460007 22.9456997, 113.8280029 22.9452, 113.8030014 22.9589005, 113.7829971 22.9477997, 113.7720032 22.9601002, 113.7669983 22.9827003, 113.7490005 22.9995995, 113.7289963 22.9932003, 113.7149963 23.0046005, 113.7300034 23.0153999, 113.7149963 23.0230007, 113.7020035 23.0224991, 113.6699982 23.0072002, 113.6520004 23.0072002, 113.6429977 23.0125008, 113.6299973 23.0042992, 113.612999 23.0084, 113.598999 23.0037003, 113.5970001 22.9925995, 113.5650024 22.9944, 113.5179977 22.9850006, 113.5220032 22.9654007, 113.5039978 22.9668007, 113.4869995 22.9405003, 113.4789963 22.934, 113.4749985 22.9109001, 113.4570007 22.9008999, 113.4349976 22.8966007, 113.3980026 22.8827991, 113.3690033 22.8789997, 113.3479996 22.8768997, 113.3379974 22.8696003, 113.3290024 22.8719006, 113.3190002 22.8854008, 113.2990036 22.8938999, 113.2890015 22.8901005, 113.2720032 22.8988991, 113.2570038 22.8973999, 113.2549973 22.8848, 113.2259979 22.8859997, 113.2080002 22.8780994, 113.1800003 22.8680992, 113.1760025 22.8446999, 113.1809998 22.8388004, 113.1800003 22.8150997, 113.1689987 22.8104, 113.1439972 22.8162994, 113.1240005 22.8314991, 113.0960007 22.8306007, 113.0830002 22.8306007, 113.0770035 22.8335991, 113.0339966 22.8327999, 113.0350037 22.8498993, 113.026001 22.8735008, 113.0270004 22.8896999), (113.5699997 22.7418995, 113.5559998 22.7523994, 113.5419998 22.7497005, 113.5100021 22.7693996, 113.5080032 22.7831001, 113.4940033 22.7900009, 113.4769974 22.8036995, 113.4940033 22.8271008, 113.4639969 22.8645992, 113.4690018 22.8810997, 113.4540024 22.8948994, 113.4540024 22.9004993), (114.4980011 22.9076996, 114.5189972 22.8967991, 114.5199966 22.8875008, 114.5339966 22.8885994, 114.5490036 22.8819008, 114.5469971 22.8733997, 114.5540009 22.8588009, 114.5339966 22.8390999, 114.5110016 22.8110008, 114.5250015 22.8094997, 114.5390015 22.7959995, 114.5569992 22.7842999, 114.5390015 22.7810993, 114.5169983 22.7658005, 114.5289993 22.7432995, 114.5179977 22.7108002), (114.612999 22.7141991, 114.5999985 22.7238998, 114.5879974 22.7168999, 114.5530014 22.7063007, 114.5419998 22.7047997, 114.5179977 22.7106991, 114.5149994 22.7126007, 114.5110016 22.7084999, 114.5110016 22.7000008, 114.5059967 22.6952, 114.5039978 22.6882, 114.4840012 22.6867008, 114.4670029 22.6793995, 114.4469986 22.6786003, 114.4459991 22.6664009, 114.4369965 22.6571007, 114.4079971 22.6543007, 114.3909988 22.6441002, 114.3820038 22.6399002, 114.3639984 22.6401005, 114.3470001 22.6263008, 114.3389969 22.6259003, 114.3310013 22.6303997, 114.3130035 22.6298008, 114.3010025 22.6263008, 114.2509995 22.6264992, 114.2490005 22.6245995, 114.2369995 22.6242008, 114.2249985 22.6177998, 114.2190018 22.6175995, 114.2099991 22.6060009, 114.197998 22.6051998, 114.1910019 22.5981998, 114.1880035 22.5960999, 114.1760025 22.5942001, 114.1549988 22.6145, 114.1480026 22.6147003, 114.137001 22.6072998, 114.1289978 22.6086006, 114.1240005 22.6110001, 114.1110001 22.6119995, 114.1050034 22.6091995, 114.086998 22.5953007, 114.0749969 22.5855999, 114.0650024 22.5790005, 114.052002 22.5683002, 114.0270004 22.5718994, 114.0169983 22.5687008, 114.0090027 22.5706997, 114.0029984 22.5690002, 113.9950027 22.5662003, 113.973999 22.5646, 113.9609985 22.5543995, 113.9530029 22.5527992, 113.9520035 22.5398998, 113.913002 22.5387001, 113.9059982 22.5349998, 113.9049988 22.5133991, 113.8840027 22.4951992, 113.8669968 22.4951992, 113.862999 22.5049, 113.8420029 22.507), (114.612999 22.7141991, 114.5999985 22.7238998, 114.5879974 22.7168999, 114.5530014 22.7063007, 114.5419998 22.7047997, 114.5179977 22.7106991, 114.5149994 22.7126007, 114.5110016 22.7084999, 114.5110016 22.7000008, 114.5059967 22.6952, 114.5039978 22.6882, 114.4840012 22.6867008, 114.4670029 22.6793995, 114.4469986 22.6786003, 114.4459991 22.6664009, 114.4369965 22.6571007, 114.4079971 22.6543007, 114.3909988 22.6441002, 114.3820038 22.6399002, 114.3639984 22.6401005, 114.3470001 22.6263008, 114.3389969 22.6259003, 114.3310013 22.6303997, 114.3130035 22.6298008, 114.3010025 22.6263008, 114.2509995 22.6264992, 114.2490005 22.6245995, 114.2369995 22.6242008, 114.2249985 22.6177998, 114.2190018 22.6175995, 114.2099991 22.6060009, 114.197998 22.6051998, 114.1910019 22.5981998, 114.1880035 22.5960999, 114.1760025 22.5942001, 114.1549988 22.6145, 114.1480026 22.6147003, 114.137001 22.6072998, 114.1289978 22.6086006, 114.1240005 22.6110001, 114.1110001 22.6119995, 114.1050034 22.6091995, 114.086998 22.5953007, 114.0749969 22.5855999, 114.0650024 22.5790005, 114.052002 22.5683002, 114.0270004 22.5718994, 114.0169983 22.5687008, 114.0090027 22.5706997, 114.0029984 22.5690002, 113.9950027 22.5662003, 113.973999 22.5646, 113.9609985 22.5543995, 113.9530029 22.5527992, 113.9520035 22.5398998, 113.913002 22.5387001, 113.9059982 22.5349998, 113.9049988 22.5133991, 113.8840027 22.4951992, 113.8669968 22.4951992, 113.862999 22.5049, 113.8420029 22.507))</t>
  </si>
  <si>
    <t>P4715</t>
  </si>
  <si>
    <t>https://www.gem.wiki/Guangxi_LNG_Terminal_Transport_Pipeline</t>
  </si>
  <si>
    <t>Guangxi LNG Terminal Transport Pipeline</t>
  </si>
  <si>
    <t>Beihai-Maoming Branch</t>
  </si>
  <si>
    <t>Guangxi Natural Gas Pipeline Co., Ltd. [200.00%]</t>
  </si>
  <si>
    <t>National Petroleum and Natural Gas Pipeline Network Group Co., Ltd. [65.00%]; Guangxi Investment Group Co., Ltd. [35.00%]</t>
  </si>
  <si>
    <t>广西北海LNG外输管道</t>
  </si>
  <si>
    <t>P4716</t>
  </si>
  <si>
    <t>Guigang Branch</t>
  </si>
  <si>
    <t>P4717</t>
  </si>
  <si>
    <t>Guigang-Yulin Branch</t>
  </si>
  <si>
    <t>P4718</t>
  </si>
  <si>
    <t>Liuzhou Branch</t>
  </si>
  <si>
    <t>P4719</t>
  </si>
  <si>
    <t>Liuzhou-Guilin Branch</t>
  </si>
  <si>
    <t>P4720</t>
  </si>
  <si>
    <t>Qinzhou-Fangchenggang Branch</t>
  </si>
  <si>
    <t>P4721</t>
  </si>
  <si>
    <t>Hechi</t>
  </si>
  <si>
    <t>MULTILINESTRING ((109.531165 21.448169, 109.480631 21.708429, 108.677505 21.952529, 108.442389 22.818682, 109.505153 23.121435, 109.245257 23.748081, 108.07571 24.685683), (109.245257 23.748081, 109.491988 24.305269, 110.149043 25.244796), (109.531165 21.448169, 109.480631 21.708429, 110.348055 21.287194, 110.872411 21.679397), (109.505153 23.121435, 109.245257 23.748081, 109.505153 23.121435, 110.127019 22.662151), (108.677505 21.952529, 108.347655 21.580319))</t>
  </si>
  <si>
    <t>P4722</t>
  </si>
  <si>
    <t>Guangxi LNG Terminal Transport Parallel Pipeline</t>
  </si>
  <si>
    <t>广西北海LNG外输管道复线</t>
  </si>
  <si>
    <t>P4723</t>
  </si>
  <si>
    <t>Baise-Wenshan Branch</t>
  </si>
  <si>
    <t>West-East Gas Pipeline 2 Guangzhou-Nanning Branch, Baise branch pipeline(Nanning-Baise)</t>
  </si>
  <si>
    <t>Baise</t>
  </si>
  <si>
    <t>Wenshan</t>
  </si>
  <si>
    <t>广西天然气支线管网项目</t>
  </si>
  <si>
    <t>P4724</t>
  </si>
  <si>
    <t>https://www.gem.wiki/Guangxi_Gas_Pipeline_Network</t>
  </si>
  <si>
    <t>Guangxi Gas Pipeline Network</t>
  </si>
  <si>
    <t>Baise-Tianlin Branch</t>
  </si>
  <si>
    <t>Guangxi Guangtou Natural Gas Pipeline Network Co., Ltd. [300.00%]</t>
  </si>
  <si>
    <t>Guangxi Investment Group Co., Ltd. [75.50%]; （香港）中国燃气控股有限公司 [17.70%]; other [6.80%]</t>
  </si>
  <si>
    <t>Tianlin</t>
  </si>
  <si>
    <t>LINESTRING (106.6178373 23.8831361, 106.2387575 24.2815567)</t>
  </si>
  <si>
    <t>P4725</t>
  </si>
  <si>
    <t>Fusui-Chongzuo Branch</t>
  </si>
  <si>
    <t>LINESTRING (107.88947 22.636416, 107.391411 22.38191)</t>
  </si>
  <si>
    <t>P4726</t>
  </si>
  <si>
    <t>Guilin-Lingchuan-Xing'an Branch</t>
  </si>
  <si>
    <t>LINESTRING (110.1791234 25.2289771, 110.3242378 25.4126375, 110.6771984 25.6129256)</t>
  </si>
  <si>
    <t>P4727</t>
  </si>
  <si>
    <t>Guilin-Yangshuo-Lipu Branch</t>
  </si>
  <si>
    <t>Nanning Oil and Gas Transportation Branch of State Pipe Network Group Southwest Pipeline Co., Ltd. [100.00%]</t>
  </si>
  <si>
    <t>Guangxi LNG Terminal Transport Pipeline, Liuzhou-Guilin Branch</t>
  </si>
  <si>
    <t>LNG Guilin Station</t>
  </si>
  <si>
    <t>LNG Lipu Station</t>
  </si>
  <si>
    <t>LINESTRING (110.1789907 25.2288694, 110.5156765 24.9452827, 110.5513477 24.8805113, 110.5485315 24.8016591, 110.5291746 24.7301771, 110.4418253 24.5089861)</t>
  </si>
  <si>
    <t>P4728</t>
  </si>
  <si>
    <t>Hepu-Bobai-Pubei Branch Pipeline</t>
  </si>
  <si>
    <t>Guangxi Gas Group Co., Ltd. [300.00%]</t>
  </si>
  <si>
    <t>China Petroleum &amp; Chemical Corporation [55.00%]; Guangxi Investment Group Co., Ltd. [35.70%]; other [9.30%]</t>
  </si>
  <si>
    <t>355.6, 273.1</t>
  </si>
  <si>
    <t>Bobai</t>
  </si>
  <si>
    <t>Pubei</t>
  </si>
  <si>
    <t>LINESTRING (109.5920465 21.7981163, 109.729266 21.9756944, 109.8315079 22.1425103, 109.7050508 22.1909407, 109.5678313 22.2608957)</t>
  </si>
  <si>
    <t>P4729</t>
  </si>
  <si>
    <t>Laibin Branch (Wuxuan-Xiangzhou-Jinxiu Segment)</t>
  </si>
  <si>
    <t>LINESTRING (109.6759116 23.585992, 109.4949368 23.8105753, 109.7020767 23.9719264)</t>
  </si>
  <si>
    <t>P4730</t>
  </si>
  <si>
    <t>Tiandong-Debao-Jingxi Branch Pipeline</t>
  </si>
  <si>
    <t>LINESTRING (107.120758 23.582508, 106.614983 23.317925, 106.430329 23.137851)</t>
  </si>
  <si>
    <t>P4731</t>
  </si>
  <si>
    <t>Wuzhou-Cexi pipleline</t>
  </si>
  <si>
    <t>Longwei District, Dapo Town</t>
  </si>
  <si>
    <t>Daye Town Sihui Village</t>
  </si>
  <si>
    <t>Cenxi</t>
  </si>
  <si>
    <t>P4732</t>
  </si>
  <si>
    <t>Nanning-Pingxiang Branch Pipeline(Nanning-Chongzuo Segment)</t>
  </si>
  <si>
    <t>Wuwei, Mu Village, Jiangxi Town, Jiangnan District</t>
  </si>
  <si>
    <t>Busong Village, Jiangzhou Town, Jiangzhou District</t>
  </si>
  <si>
    <t>Chongzuo</t>
  </si>
  <si>
    <t>P4733</t>
  </si>
  <si>
    <t>https://www.gem.wiki/Zhongxian-Wuhan_Pipeline</t>
  </si>
  <si>
    <t>Zhongxian-Wuhan Gas Pipeline</t>
  </si>
  <si>
    <t>Jingzhou-Xiangfan branch</t>
  </si>
  <si>
    <t>忠武联络线（忠县-武汉）</t>
  </si>
  <si>
    <t>P4734</t>
  </si>
  <si>
    <t>Qianjiang-Xiangtan branch</t>
  </si>
  <si>
    <t>P4735</t>
  </si>
  <si>
    <t>Wuhan-Huangshi branch</t>
  </si>
  <si>
    <t>P4736</t>
  </si>
  <si>
    <t>Sichuan and Chongqing gas fields</t>
  </si>
  <si>
    <t>Zhong County</t>
  </si>
  <si>
    <t>MULTILINESTRING ((107.8977934 30.3559444, 109.467732 30.280778, 111.407793 30.602339, 112.303378 30.329658, 112.888008 30.397135, 113.424651 30.348951, 114.2335614 30.5514354), (114.2335614 30.5514354, 115.02171 30.208746), (112.888008 30.397135, 113.147695 29.358585, 112.977986 27.862056), (112.303378 30.329658, 112.214765 31.018849, 112.167706 32.052539))</t>
  </si>
  <si>
    <t>P4737</t>
  </si>
  <si>
    <t>https://www.gem.wiki/Zungharia_Basin_Rim_Gas_Pipeline_Network</t>
  </si>
  <si>
    <t>Zungharia Basin Rim Gas Pipeline Network</t>
  </si>
  <si>
    <t>Karamay-Ürümqi New Gas Pipeline</t>
  </si>
  <si>
    <t>Kewu New Gas Pipeline</t>
  </si>
  <si>
    <t>中国石油天然气股份有限公司新疆油田油气储运分公司 [100.00%]</t>
  </si>
  <si>
    <t>Karamay Oil Field</t>
  </si>
  <si>
    <t>Jinlong Town</t>
  </si>
  <si>
    <t>Wangjiagou</t>
  </si>
  <si>
    <t>新疆环准噶尔盆地天然气输送管网</t>
  </si>
  <si>
    <t>LINESTRING (84.88878223689429 45.58021671446052, 87.6066369743315 43.82928258718333)</t>
  </si>
  <si>
    <t>P4738</t>
  </si>
  <si>
    <t>Cainan-Shixi-Karamay gas pipeline</t>
  </si>
  <si>
    <t>彩南－石西－克拉玛依输气管道</t>
  </si>
  <si>
    <t>P4739</t>
  </si>
  <si>
    <t>Ürümqi-Cainan gas pipeline</t>
  </si>
  <si>
    <t>乌鲁木齐－彩南输气管道</t>
  </si>
  <si>
    <t>P4740</t>
  </si>
  <si>
    <t>彩南－石西－克拉玛依、克拉玛依－乌鲁木齐、乌鲁木齐－彩南</t>
  </si>
  <si>
    <t>P4741</t>
  </si>
  <si>
    <t>https://www.gem.wiki/Lunan-Kuche_Gas_Pipeline_(Zhong%27an_Xinzi)</t>
  </si>
  <si>
    <t>Lunan-Kuche gas Pipeline (Zhong'an Xinzi)</t>
  </si>
  <si>
    <t>Zhongan Xinzi (Xinjiang) Gas Co., Ltd. [300.00%]</t>
  </si>
  <si>
    <t>Beijing Zhengdao Jiye Investment Management Center (Limited Partnership) [89.10%]; Xinjiang Bayingolin Investment Company [10.00%]; other [0.90%]</t>
  </si>
  <si>
    <t>Sebei 1 Gas Field</t>
  </si>
  <si>
    <t>Lunnan</t>
  </si>
  <si>
    <t>Bayingol</t>
  </si>
  <si>
    <t>Korla</t>
  </si>
  <si>
    <t>新疆输气管网</t>
  </si>
  <si>
    <t>LINESTRING (84.240066 41.476463, 86.202757 41.70194)</t>
  </si>
  <si>
    <t>P4742</t>
  </si>
  <si>
    <t>https://www.gem.wiki/Lunan-Kuche_Pipeline</t>
  </si>
  <si>
    <t>Lunan-Kuche Gas Pipeline</t>
  </si>
  <si>
    <t>China Petroleum West Pipeline Co., Ltd. [100.00%]</t>
  </si>
  <si>
    <t>LINESTRING (84.240066 41.476463, 86.175382 41.724711)</t>
  </si>
  <si>
    <t>P4743</t>
  </si>
  <si>
    <t>https://www.gem.wiki/Shanshan-Wulumuqi_Pipeline</t>
  </si>
  <si>
    <t>Shanshan-Urmuqi Gas Pipeline</t>
  </si>
  <si>
    <t>Shanshan</t>
  </si>
  <si>
    <t>LINESTRING (90.254327 42.927879, 88.869202 43.099652, 87.362546 43.879149, 87.729435 43.967094)</t>
  </si>
  <si>
    <t>P4744</t>
  </si>
  <si>
    <t>https://www.gem.wiki/Lunan-Turpan_Gas_Pipeline</t>
  </si>
  <si>
    <t>Lunan-Turpan Gas Pipeline</t>
  </si>
  <si>
    <t>Turpan</t>
  </si>
  <si>
    <t>LINESTRING (84.240066 41.476463, 88.167977 42.244282, 88.847569 43.162187)</t>
  </si>
  <si>
    <t>P4745</t>
  </si>
  <si>
    <t>https://www.gem.wiki/Tarim_Basin_Rim_Gas_Pipeline_Network</t>
  </si>
  <si>
    <t>Tarim Basin Rim Gas Pipeline Network</t>
  </si>
  <si>
    <t>Talimu Oilfield Company [100.00%]</t>
  </si>
  <si>
    <t>P4746</t>
  </si>
  <si>
    <t>https://www.gem.wiki/Xinjiang_Coal-to-Gas_Pipeline_Project</t>
  </si>
  <si>
    <t>Xinjiang Coal-to-Gas Pipeline</t>
  </si>
  <si>
    <t>Qianjiang-Chenzhou segment</t>
  </si>
  <si>
    <t>State Pipe Network Group Xinjiang Coal To Natural Gas Export Pipeline Co., Ltd. [200.00%]</t>
  </si>
  <si>
    <t>National Petroleum and Natural Gas Pipeline Network Group Co., Ltd. [93.20%]; other [6.80%]</t>
  </si>
  <si>
    <t>Chenzhou</t>
  </si>
  <si>
    <t>新粤浙煤制气外输管道 (新疆煤制气外输管道)</t>
  </si>
  <si>
    <t>P4747</t>
  </si>
  <si>
    <t>Xinjiang Zhundong multiple Coal gasification Projects. Ili coal gasification project in future term. Conventional natural gas in northwest region by Sinopec. Coalbed gas. Fracking.</t>
  </si>
  <si>
    <t>Mulei</t>
  </si>
  <si>
    <t>MULTILINESTRING ((83.836014 41.786238, 86.080334 41.816934, 88.201965 42.241547, 90.149571 44.024475), (89.225305 44.824471, 90.149571 44.024475), (83.352513 44.560878, 85.393499 44.604844, 90.149571 44.024475, 91.475539 43.489336, 95.43846 41.074326, 99.779234 39.290377, 105.147714 37.459796, 105.59322 37.399784, 106.894193 35.567659, 107.828842 35.001968, 110.103662 34.556083, 110.396572 34.521767, 112.039949 34.515025, 112.973379 32.331229, 112.733716 30.997893, 112.907841 30.495667, 113.203544 29.549186, 113.327925 27.775227, 112.85965 26.833469, 112.951532 25.718334, 113.175553 25.439704, 113.667615 24.821935), (112.039949 34.515025, 112.590335 34.906104, 113.09606 35.113101, 115.112268 35.435801, 115.595635 35.419759, 117.0197 35.724007, 118.312792 35.235669), (116.838249 36.795333, 115.112268 35.435801), (113.327925 27.775227, 113.908937 27.707385, 115.022065 27.831309, 116.231004 28.078278, 117.98244 28.511841, 118.601423 28.717145), (116.231004 28.078278, 118.113737 26.573189), (112.85965 26.833469, 111.669925 26.295614, 110.127437 25.163027))</t>
  </si>
  <si>
    <t>P4748</t>
  </si>
  <si>
    <t>Ili Branch</t>
  </si>
  <si>
    <t>P4749</t>
  </si>
  <si>
    <t>Zhundong Branch</t>
  </si>
  <si>
    <t>P4750</t>
  </si>
  <si>
    <t>Nanjiang Branch</t>
  </si>
  <si>
    <t>P4751</t>
  </si>
  <si>
    <t>Henan-Shandong Branch</t>
  </si>
  <si>
    <t>1219/610</t>
  </si>
  <si>
    <t>P4752</t>
  </si>
  <si>
    <t>Jiangxi-Fujian-Zhejiang Branch</t>
  </si>
  <si>
    <t>1016/813</t>
  </si>
  <si>
    <t>Nanping</t>
  </si>
  <si>
    <t>P4753</t>
  </si>
  <si>
    <t>Guangxi Branch</t>
  </si>
  <si>
    <t>Nan County Hongshan Town</t>
  </si>
  <si>
    <t>Lingui District Sitang Town</t>
  </si>
  <si>
    <t>P4754</t>
  </si>
  <si>
    <t>https://www.gem.wiki/Anping-Jinan_gas_pipeline</t>
  </si>
  <si>
    <t>Yu-ji Pipeline Network</t>
  </si>
  <si>
    <t>Anping-Jinan Gas Pipeline</t>
  </si>
  <si>
    <t>Sinopec Yu Ji Pipeline Company Limited [100.00%]</t>
  </si>
  <si>
    <t>Heibei</t>
  </si>
  <si>
    <t>榆济输气管网</t>
  </si>
  <si>
    <t>LINESTRING (115.447451 38.283375, 116.82381 36.936466)</t>
  </si>
  <si>
    <t>P4755</t>
  </si>
  <si>
    <t>https://www.gem.wiki/Puyang-Jinan_gas_pipline</t>
  </si>
  <si>
    <t>Puyang-Jinan Gas Pipline</t>
  </si>
  <si>
    <t>Puyang</t>
  </si>
  <si>
    <t>LINESTRING (115.23477 35.732924, 116.82381 36.936466)</t>
  </si>
  <si>
    <t>P4756</t>
  </si>
  <si>
    <t>https://www.gem.wiki/Yulin-Jinan_Pipeline</t>
  </si>
  <si>
    <t>Yulin-Jinan Gas Pipeline</t>
  </si>
  <si>
    <t>Xuanzhangtun</t>
  </si>
  <si>
    <t>LINESTRING (109.543413 38.276825, 111.000639 37.979558, 112.289013 37.308015, 113.244874 36.389581, 114.352048 36.007301, 115.207864 35.728449, 115.70789 36.283801, 116.82381 36.936466)</t>
  </si>
  <si>
    <t>P4757</t>
  </si>
  <si>
    <t>https://www.gem.wiki/Jiangsu_Coastal_Gas_Pipeline</t>
  </si>
  <si>
    <t>Jiangsu Coastal Gas Pipeline</t>
  </si>
  <si>
    <t>Jintan-Jiangning gas pipeline</t>
  </si>
  <si>
    <t>PetroChina Natural Gas Sales Jiangsu Branch [100.00%]</t>
  </si>
  <si>
    <t>Jintan</t>
  </si>
  <si>
    <t>Jiangning</t>
  </si>
  <si>
    <t>江苏沿海输气管道</t>
  </si>
  <si>
    <t>P4758</t>
  </si>
  <si>
    <t>Baoying–Yancheng–Dafeng Port Branch Pipeline</t>
  </si>
  <si>
    <t>Jiangsu Datong Piped Natural Gas Corporation Limited [500.00%]</t>
  </si>
  <si>
    <t>ENN Energy Holdings Limited [51.00%]; Yancheng City Asset Investment Group Co., Ltd. [20.00%]; China Resources Gas (Hong Kong) Investment Co., Ltd. [19.00%]; Jiangsu Yanchenggang Holding Group Co., Ltd. [5.90%]; other [4.10%]</t>
  </si>
  <si>
    <t>Baoying</t>
  </si>
  <si>
    <t>Dafeng Port</t>
  </si>
  <si>
    <t>LINESTRING (119.429 33.216, 120.1626 33.3482, 120.73697168131271 33.25763093697857)</t>
  </si>
  <si>
    <t>P4759</t>
  </si>
  <si>
    <t>Dafeng–Yancheng–Xuyi Pipeline</t>
  </si>
  <si>
    <t>LINESTRING (120.6555394 33.178115, 120.6336648 33.180127, 120.6146888 33.195037, 120.5721282 33.242206, 120.5189953 33.241664, 120.5143868 33.2582, 120.4945975 33.269857, 120.3918558 33.266333, 120.2886449 33.269215, 120.2426036 33.268683, 120.1133087 33.266848, 120.1019434 33.258543, 119.9305897 33.257231, 119.8081935 33.252431, 119.6895937 33.242326, 119.5705067 33.231323, 119.4598845 33.213773, 119.3662811 33.194626, 119.3508578 33.190904, 119.3492623 33.180799, 119.3375619 33.174417, 119.3208033 33.169799, 119.2857402 33.180978, 119.2706503 33.182415, 119.2415485 33.199661, 119.2005903 33.196786, 119.1973568 33.178822, 119.167445 33.159393, 119.1520893 33.156735, 119.1435256 33.140493, 119.1089022 33.139606, 119.0837524 33.125594, 119.0524949 33.098289, 119.0332946 33.071325, 118.9686749 33.090598, 118.9426264 33.102565, 118.8987939 33.098973, 118.877237 33.107595, 118.8652048 33.096854, 118.8369337 33.068583, 118.7946133 33.062016, 118.7583257 33.063812, 118.7488897 33.049197, 118.6842703 33.047581, 118.6592302 33.030619, 118.6511528 33.005579, 118.6382212 32.994247, 118.6205032 32.998086, 118.6104629 32.981845, 118.5983556 32.981549, 118.5791611 32.971214, 118.5670538 32.959992, 118.5413626 32.949361, 118.5277788 32.945523, 118.5097655 32.934006)</t>
  </si>
  <si>
    <t>P4760</t>
  </si>
  <si>
    <t>Ganyu–Taicang Major Pipeline</t>
  </si>
  <si>
    <t>Jiangsu Coastal Gas Pipeline Co., Ltd. [400.00%]</t>
  </si>
  <si>
    <t>Jiangsu Guoxin Investment Group Limited [51.00%]; Xuzhou Coal MINING Group Corp. [38.00%]; Jiangsu Yanhai Development Group Co., Ltd. [10.00%]; other [1.00%]</t>
  </si>
  <si>
    <t>813, 1219</t>
  </si>
  <si>
    <t>Ganyu</t>
  </si>
  <si>
    <t>Taicang</t>
  </si>
  <si>
    <t>LINESTRING (119.2944135 35.074292, 119.1972653 35.067043, 119.1479662 35.061243, 119.1189667 35.032243, 119.104467 35.016293, 119.0769175 34.977144, 119.0856173 34.922045, 119.0595178 34.852446, 119.0279804 34.759359, 119.0753167 34.755348, 119.0745143 34.724058, 119.0809328 34.666291, 119.0953744 34.655861, 119.0873513 34.625373, 119.0913629 34.546747, 119.1041998 34.519469, 119.109816 34.495399, 119.1483269 34.455284, 119.1892447 34.444854, 119.2149186 34.420784, 119.2373833 34.389494, 119.2494179 34.365425, 119.2538143 34.336256, 119.3252091 34.3311, 119.360439 34.32568, 119.403257 34.325138, 119.418975 34.28232, 119.425479 34.262266, 119.437945 34.223784, 119.4471589 34.203188, 119.4558309 34.180966, 119.4612509 34.163622, 119.4677549 34.121346, 119.4715489 34.077444, 119.4730812 34.042166, 119.4931674 34.039848, 119.5181464 34.020534, 119.5410653 34.016157, 119.5644992 34.018217, 119.5792412 33.992091, 119.5862523 33.982435, 119.601862 33.981905, 119.6116511 33.980583, 119.639289 33.956207, 119.7308715 33.944259, 119.7593431 33.930024, 119.8607732 33.917567, 119.9070396 33.857065, 119.9319523 33.801901, 119.949747 33.785886, 120.1276947 33.780548, 120.14371 33.775209, 120.14371 33.746737, 120.1686226 33.725384, 120.2255659 33.70403, 120.3092012 33.702251, 120.4106314 33.659543, 120.4494127 33.540807, 120.526731 33.454117, 120.5735905 33.426001, 120.5923343 33.343997, 120.6110781 33.269022, 120.6185573 33.225959, 120.6553944 33.178058, 120.6808722 33.119823, 120.7245485 33.04066, 120.7454767 33.030651, 120.7600355 32.996074, 120.7718645 32.970596, 120.8264599 32.956947, 120.8383954 32.92227, 120.8349184 32.853889, 120.8210104 32.822596, 120.8279644 32.780872, 120.8279644 32.737989, 120.8326004 32.704378, 120.8407134 32.630202, 120.8503582 32.594194, 120.8666552 32.548069, 120.8884121 32.539071, 120.9461824 32.52821, 121.0870861 32.464417, 121.16358 32.445293, 121.288752 32.420954, 121.3096139 32.370538, 121.3096139 32.30969, 121.3200449 32.24015, 121.3426454 32.201903, 121.3843694 32.163656, 121.4313089 32.151487, 121.4191394 32.090639, 121.3304759 32.085424, 121.2522435 32.080208, 121.208781 32.014145, 121.2000885 32.003714, 121.149672 32.000237, 121.146195 31.949821, 121.0992556 31.934174, 121.0957786 31.850726)</t>
  </si>
  <si>
    <t>P4761</t>
  </si>
  <si>
    <t>Rudong-Changshu-Taicang Gas Pipeline</t>
  </si>
  <si>
    <t>Energy Island LNG</t>
  </si>
  <si>
    <t>P4762</t>
  </si>
  <si>
    <t>Rudong-Yancheng-Binhai Gas Pipeline</t>
  </si>
  <si>
    <t>P4763</t>
  </si>
  <si>
    <t>Hai'an–Xinghua–Gaoyou Pipeline</t>
  </si>
  <si>
    <t>Hai'an</t>
  </si>
  <si>
    <t>LINESTRING (120.8498633 32.596049, 120.8453006 32.595772, 120.8433369 32.596723, 120.8376686 32.599328, 120.8271746 32.596417, 120.8254894 32.598409, 120.8247234 32.60109, 120.8211999 32.602085, 120.8129272 32.602239, 120.8106292 32.602622, 120.8091739 32.606145, 120.8002486 32.607563, 120.7896924 32.607718, 120.7882788 32.608613, 120.7875895 32.610911, 120.7856745 32.611447, 120.7840659 32.613821, 120.778321 32.616962, 120.777172 32.620103, 120.7624343 32.619763, 120.7494021 32.621022, 120.7480799 32.625996, 120.7439323 32.626021, 120.7066277 32.633482, 120.7015407 32.648743, 120.6906884 32.654169, 120.6872971 32.66129, 120.6449055 32.670108, 120.6211662 32.675873, 120.5964095 32.687065, 120.5591049 32.692491, 120.5326525 32.707752, 120.516035 32.71216, 120.4892435 32.710126, 120.4804261 32.737595, 120.4596351 32.759339, 120.4499041 32.754213, 120.4244692 32.758282, 120.3878428 32.746074, 120.3732568 32.760654, 120.3472615 32.76574, 120.2995092 32.766023, 120.2766221 32.767718, 120.2624942 32.766588, 120.2497791 32.768001, 120.2472361 32.778738, 120.2308477 32.779303, 120.2201105 32.771957, 120.1968014 32.773172, 120.1697126 32.778267, 120.1346284 32.780151, 120.1023697 32.793572, 120.0675209 32.799694, 120.0418553 32.802285, 120.006893 32.814946, 119.9314646 32.832743, 119.8693591 32.840597, 119.8608227 32.855484, 119.793268 32.852324, 119.7805529 32.84479, 119.7438204 32.842906, 119.5395651 32.819653)</t>
  </si>
  <si>
    <t>P4764</t>
  </si>
  <si>
    <t>Lianshui Gas Pipeline</t>
  </si>
  <si>
    <t>Lianyungang–Suqian–Xuzhou Pipeline</t>
  </si>
  <si>
    <t>Shuyang</t>
  </si>
  <si>
    <t>Lianshui</t>
  </si>
  <si>
    <t>P4765</t>
  </si>
  <si>
    <t>LINESTRING (119.4716747 34.077577, 119.4554122 34.075267, 119.4234861 34.07271, 119.4017292 34.064899, 119.3777408 34.061552, 119.3743936 34.050953, 119.3509631 34.03868, 119.3147016 34.047048, 119.2801138 34.048721, 119.2550097 34.050395, 119.2405051 34.062668, 119.1947598 34.060994, 119.1847182 34.067131, 119.1635192 34.066015, 119.1367415 34.072152, 119.1127531 34.073825, 119.0882069 34.067131, 119.0642185 34.071594, 119.0391403 34.082225, 119.002961 34.082602, 118.954722 34.078457, 118.92608 34.102953, 118.909121 34.119158, 118.9000762 34.139886, 118.877841 34.154207, 118.8650275 34.161368, 118.8744492 34.180211, 118.874826 34.194532, 118.8394005 34.196416, 118.7850148 34.223313, 118.7181208 34.240901, 118.6958228 34.236504, 118.6792097 34.249091, 118.635524 34.277645, 118.6063167 34.283298, 118.5780516 34.292092, 118.5259183 34.289893, 118.4907821 34.289819, 118.4639855 34.274228, 118.4298808 34.279587, 118.397725 34.289575, 118.3755569 34.284459, 118.3563121 34.275689, 118.326508 34.293147, 118.307944 34.330776, 118.1412344 34.316655, 118.0649715 34.293776, 118.0056559 34.294623, 117.9463403 34.258187, 117.8814299 34.25164, 117.7887303 34.247171, 117.6952878 34.239215, 117.6242808 34.231022, 117.5662462 34.238532, 117.5150393 34.253553, 117.4318437 34.275802, 117.4092116 34.30476, 117.3685757 34.329336, 117.2712403 34.370704, 117.1860718 34.395038, 117.1222626 34.393303, 117.1019681 34.424667, 117.0650691 34.449113, 117.0166392 34.466178, 117.0041858 34.488779, 116.9663643 34.523372, 116.9446862 34.558426, 116.9276204 34.5861, 116.8989591 34.60454, 116.8471068 34.628783, 116.827578 34.644271, 116.7322058 34.764574)</t>
  </si>
  <si>
    <t>P4766</t>
  </si>
  <si>
    <t>Nantong Branch</t>
  </si>
  <si>
    <t>LINESTRING (120.849967 32.5957043, 120.848065 32.5936069, 120.816712 32.5746016, 120.802302 32.5622504, 120.796127 32.5581334, 120.788089 32.5534282, 120.779658 32.5483308, 120.777698 32.5468605, 120.758804 32.5465103, 120.754394 32.546537, 120.74803 32.5452471, 120.737367 32.5425812, 120.710905 32.5406195, 120.691518 32.5376091, 120.674016 32.5356485, 120.660629 32.5323549, 120.625656 32.5315793, 120.62045 32.5293481, 120.611631 32.5296668, 120.611419 32.5240358, 120.610521 32.5179716, 120.596595 32.5157091, 120.581707 32.5141851, 120.573032 32.5052755, 120.573853 32.4956626, 120.564545 32.4926169, 120.554329 32.4876276, 120.544429 32.4812128, 120.536063 32.4747466, 120.516076 32.4728408, 120.49504 32.4730341, 120.473242 32.471816, 120.453445 32.4749123, 120.444734 32.4767146, 120.426261 32.4767146, 120.423708 32.480169, 120.420554 32.4897811, 120.408429 32.4894726, 120.403114 32.4930155, 120.398272 32.492425, 120.396307 32.4974772)</t>
  </si>
  <si>
    <t>P4767</t>
  </si>
  <si>
    <t>Qidong–Haimen Gas Pipeline</t>
  </si>
  <si>
    <t>Qidong LNG</t>
  </si>
  <si>
    <t>Haimen</t>
  </si>
  <si>
    <t>P4768</t>
  </si>
  <si>
    <t>Qidong–Tongzhou Gas Pipeline</t>
  </si>
  <si>
    <t>Jiangsu Huadian Huahui Energy Co., Ltd. [600.00%]</t>
  </si>
  <si>
    <t>Guanghui Energy Co., Ltd. [33.70%]; China Huadian Group Corporation [28.80%]; other [10.40%]; Nantong Urban Construction Group Co., Ltd. [10.00%]; Xuzhou Congwei New Energy Technology Co., Ltd. [9.90%]; PetroChina Company Limited [7.20%]</t>
  </si>
  <si>
    <t>West-East Pipeline II &amp; Jiangsu Qidong LNG terminal imported LNG</t>
  </si>
  <si>
    <t>Tongzhou District</t>
  </si>
  <si>
    <t>LINESTRING (121.703 31.87, 121.0751 32.0642)</t>
  </si>
  <si>
    <t>P4769</t>
  </si>
  <si>
    <t>Rugao Gas Pipeline</t>
  </si>
  <si>
    <t>P4770</t>
  </si>
  <si>
    <t>Xinghua–Yangzhou Pipeline</t>
  </si>
  <si>
    <t>Xinghua</t>
  </si>
  <si>
    <t>Yizheng</t>
  </si>
  <si>
    <t>LINESTRING (119.924231 32.8334239, 119.921093 32.8182233, 119.917465 32.8044937, 119.917269 32.7964521, 119.920113 32.7914507, 119.914575 32.7798615, 119.914656 32.7689799, 119.917719 32.7597911, 119.915948 32.7469915, 119.908753 32.7359219, 119.905571 32.7260976, 119.913323 32.7154951, 119.909467 32.7049789, 119.901931 32.696566, 119.892466 32.6823692, 119.877042 32.6674714, 119.861582 32.6617184, 119.853031 32.6587079, 119.845564 32.6563788, 119.842597 32.6464908, 119.839433 32.6369982, 119.807198 32.623946, 119.79909 32.6118825, 119.786631 32.6081251, 119.777732 32.6075318, 119.775161 32.6004124, 119.772392 32.5952706, 119.765866 32.5925019, 119.759845 32.5766658, 119.753629 32.5481936, 119.745413 32.5449388, 119.73948 32.5370284, 119.727615 32.5383468, 119.723494 32.5289531, 119.717397 32.5277995, 119.71476 32.5126378, 119.704656 32.5102194, 119.667833 32.4929183, 119.646853 32.4834042, 119.639535 32.4763296, 119.636364 32.469255, 119.630753 32.4663276, 119.645146 32.4480313, 119.653928 32.4246119, 119.654172 32.4111946, 119.638315 32.4087551, 119.628801 32.399241, 119.617579 32.3875313, 119.60221 32.3824084, 119.564886 32.3772854, 119.539179 32.3606518, 119.511125 32.3533332, 119.454565 32.3601691, 119.43672 32.3519483, 119.413461 32.3523493, 119.36554 32.346334, 119.327953 32.3409604, 119.272332 32.3386185, 119.237719 32.3310925, 119.219666 32.3323122, 119.185025 32.3237739, 119.169169 32.3342638, 119.151116 32.3410945, 119.128917 32.3408505)</t>
  </si>
  <si>
    <t>P4771</t>
  </si>
  <si>
    <t>Yanweigang Gas Pipeline</t>
  </si>
  <si>
    <t>Yanweigang</t>
  </si>
  <si>
    <t>P4772</t>
  </si>
  <si>
    <t>Zhaoji Gas Storage-Liuzhuang Gas Staorage Pipeline</t>
  </si>
  <si>
    <t>Xuzhou–Suqian–Huai'an–Yancheng Pipeline</t>
  </si>
  <si>
    <t>Siyang</t>
  </si>
  <si>
    <t>Jinhu</t>
  </si>
  <si>
    <t>P4773</t>
  </si>
  <si>
    <t>LINESTRING (117.9158255 34.250755, 117.9142942 34.23391, 117.8966842 34.230082, 117.8943873 34.214769, 117.9012781 34.194097, 117.8974499 34.162705, 117.8844338 34.143563, 117.8637612 34.140501, 117.8635076 34.045059, 117.8670285 33.98579, 117.9081063 33.96349, 117.9538786 33.967011, 118.0002378 33.945299, 118.0536389 33.942365, 118.1076268 33.915371, 118.1393154 33.910089, 118.1938901 33.86197, 118.2408361 33.847886, 118.2895426 33.840844, 118.3094947 33.825586, 118.3576143 33.827934, 118.3814163 33.813995, 118.4091329 33.811224, 118.4541722 33.806373, 118.5296998 33.77935, 118.6682824 33.777271, 118.7244084 33.764799, 118.7687549 33.74609, 118.8650698 33.738468, 118.9696997 33.723224, 119.00781 33.698972, 119.0965251 33.697286, 119.1286762 33.665135, 119.1417376 33.648054, 119.1859455 33.642026, 119.1959928 33.623941, 119.2974699 33.544568)</t>
  </si>
  <si>
    <t>P4774</t>
  </si>
  <si>
    <t>Huai'an–Jianhu–Yancheng Pipeline</t>
  </si>
  <si>
    <t>P4775</t>
  </si>
  <si>
    <t>https://www.gem.wiki/Binhai_LNG_Transport_pipeline_(Binhai-Xuyi,_Tianchang-Hefei)</t>
  </si>
  <si>
    <t>Binhai LNG Transport Pipeline (Binhai-Xuyi, Tianchang-Hefei)</t>
  </si>
  <si>
    <t>National Pipe Network Group Jiangsu Natural Gas Pipeline Co., Ltd. [300.00%]</t>
  </si>
  <si>
    <t>National Petroleum and Natural Gas Pipeline Network Group Co., Ltd. [76.00%]; Huaihe Energy Holding Group Co., Ltd. [19.90%]; other [4.10%]</t>
  </si>
  <si>
    <t>[[Yancheng LNG Terminal]]</t>
  </si>
  <si>
    <t>MULTILINESTRING ((120.268185 34.274036, 119.824345 33.924165, 119.038198 33.326267, 118.611479 33.104815, 118.893442 32.689381, 118.458206 32.449768, 118.292421 32.069713, 117.493076 31.876201), (119.824345 33.924165, 119.844087 33.765925))</t>
  </si>
  <si>
    <t>P4776</t>
  </si>
  <si>
    <t>https://www.gem.wiki/Jiangxi_Natural_Gas_Pipeline_Network</t>
  </si>
  <si>
    <t>Jiangxi Natural Gas Pipeline Network</t>
  </si>
  <si>
    <t>Phase I, Fengcheng-Fuzhou</t>
  </si>
  <si>
    <t>Jiangxi Natural Gas Pipeline Co., Ltd. [300.00%]</t>
  </si>
  <si>
    <t>Jiangxi Provincial Investment Group Corp. [48.60%]; National Petroleum and Natural Gas Pipeline Network Group Co., Ltd. [46.00%]; Jiangxi Financial Investment Group Co., Ltd. [5.40%]</t>
  </si>
  <si>
    <t>江西省天然气管网</t>
  </si>
  <si>
    <t>LINESTRING (115.8243916 28.0444519, 115.8738958 28.0364557, 115.9196788 28.0257731, 115.9486746 28.0234839, 115.9646986 28.0189056, 116.0112446 28.0288252, 116.0822081 28.0395079, 116.1203606 28.0471384, 116.1829306 28.0494276, 116.2264243 28.0692668, 116.2821269 28.0707929, 116.361484 28.0830017, 116.4156604 28.0891061, 116.4347868 28.0905164)</t>
  </si>
  <si>
    <t>P4777</t>
  </si>
  <si>
    <t>P4778</t>
  </si>
  <si>
    <t>Phase I, Gao'an-Xinyu</t>
  </si>
  <si>
    <t>Gao'an</t>
  </si>
  <si>
    <t>jiangxi</t>
  </si>
  <si>
    <t>LINESTRING (115.3980799 28.270806, 115.3460692 28.2227335, 115.252226 28.1685353, 115.2080644 28.1454509, 115.1448332 28.1063077, 115.0826995 28.0633189, 115.049662 28.0428273, 115.0249884 28.0202447, 115.0074242 27.9855344, 114.9898599 27.9562606, 114.9735503 27.935769)</t>
  </si>
  <si>
    <t>P4779</t>
  </si>
  <si>
    <t>Phase I, Jiujiang-Jingdezhen</t>
  </si>
  <si>
    <t>Lushan</t>
  </si>
  <si>
    <t>Jingdezhen</t>
  </si>
  <si>
    <t>LINESTRING (116.0545736 29.6788509, 116.1717418 29.6738294, 116.258781 29.6386789, 116.2855623 29.5516397, 116.3407988 29.4227547, 116.3859922 29.3859304, 116.4864221 29.35078, 116.5650921 29.330694, 116.6437622 29.3173033, 116.7241061 29.3055865, 116.8228622 29.3055865, 116.8881416 29.2838267, 116.9249659 29.2536978, 116.9802023 29.2336118, 117.0019621 29.2252426, 117.0287434 29.211852)</t>
  </si>
  <si>
    <t>P4780</t>
  </si>
  <si>
    <t>Phase I, Jiujiang-Nanchang</t>
  </si>
  <si>
    <t>LINESTRING (116.0545924 29.6788497, 116.0436908 29.5019079, 116.0046986 29.4597327, 115.9601362 29.4263109, 115.9036373 29.3857272, 115.8988628 29.346735, 115.8614621 29.3164962, 115.8511173 29.2910319, 115.7898438 29.2679549, 115.7222044 29.2440822, 115.6991274 29.2218009, 115.6991274 29.201907, 115.6781427 29.1411529, 115.6555599 29.0816164, 115.6329771 29.0159209, 115.6196327 28.9204571, 115.6062883 28.8732385, 115.6165532 28.8362848, 115.5929439 28.7859867, 115.500658 28.6452232)</t>
  </si>
  <si>
    <t>P4781</t>
  </si>
  <si>
    <t>Phase I, Jiujiang-Shahe</t>
  </si>
  <si>
    <t>LINESTRING (116.0545719 29.6788495, 116.0219874 29.6329562, 115.9827884 29.5937572, 115.9563891 29.5745577, 115.9243899 29.5721577, 115.9123902 29.5729577)</t>
  </si>
  <si>
    <t>P4782</t>
  </si>
  <si>
    <t>Phase I, Nanchang-Fengcheng</t>
  </si>
  <si>
    <t>LINESTRING (115.5007151 28.6451467, 115.5194061 28.6029805, 115.5417485 28.5706225, 115.5486823 28.5451985, 115.551764 28.5313308, 115.5502232 28.4958912, 115.5355851 28.4743192, 115.5063089 28.4542881, 115.4716397 28.4180781, 115.4492973 28.392654, 115.4277253 28.3618369, 115.4046125 28.3356424, 115.3953674 28.3210043, 115.3915153 28.3048254, 115.3922857 28.2924985, 115.3930561 28.2832534, 115.3953674 28.2786309, 115.3959828 28.275492, 115.3984553 28.270057, 115.3994317 28.2687755, 115.4192525 28.2624389, 115.4470085 28.2615435, 115.483718 28.2615435, 115.5123694 28.2579621, 115.5302765 28.2516946, 115.5732535 28.2382643, 115.5956374 28.2311015, 115.6180213 28.2060315, 115.6395098 28.1809616, 115.6583122 28.1603684, 115.6798008 28.1281357, 115.6968125 28.0967982, 115.7084521 28.0842633, 115.730867 28.0636578, 115.7485288 28.0533551, 115.7801729 28.0467319, 115.8140247 28.0445242, 115.8243274 28.0445242)</t>
  </si>
  <si>
    <t>P4783</t>
  </si>
  <si>
    <t>Phase I, Tiannan-Shanggao</t>
  </si>
  <si>
    <t>LINESTRING (114.9038971 28.2052488, 114.9296987 28.1948721, 114.9563417 28.1850562, 114.9855088 28.1629005, 115.0051405 28.1471951, 115.0516956 28.1340138)</t>
  </si>
  <si>
    <t>P4784</t>
  </si>
  <si>
    <t>Phase I, Yongxiu-Wuning-Xiushui-Tonggu-Yifeng Branch</t>
  </si>
  <si>
    <t>LINESTRING (115.6873268 29.1675418, 115.6797552 29.1454497, 115.6639157 29.1033619, 115.6613512 29.0970261, 115.6604461 29.0946124, 115.6581833 29.0882766, 115.6485287 29.0608215, 115.6459642 29.0537314, 115.6419008 29.0429619, 115.577067 29.075446, 115.5444833 29.100121, 115.5125323 29.122898, 115.4704582 29.1317557, 115.4301624 29.1448878, 115.3879017 29.1538942, 115.3449482 29.1656717, 115.3054586 29.1767565, 115.2666619 29.1906125, 115.2230155 29.1933837, 115.1779836 29.1954621, 115.1378012 29.2016973, 115.0796061 29.2086253, 115.031803 29.1885341, 115.0137902 29.1725997, 114.9846926 29.1448878, 114.9481207 29.1365024, 114.9044743 29.1226464, 114.8670632 29.1115616, 114.8254952 29.0942416, 114.7901625 29.0734576, 114.7520585 29.0547521, 114.722961 29.0395105, 114.6758506 29.0221905, 114.6488315 29.0104129, 114.6169627 28.9979425, 114.574702 28.9556818, 114.5525324 28.930741, 114.5303628 28.9044147, 114.5033437 28.8670035, 114.4784029 28.8413699, 114.4652397 28.7921812, 114.4624685 28.7644692, 114.4520266 28.7300029, 114.4387021 28.6885488, 114.4342606 28.653757, 114.4275983 28.6145237, 114.4253776 28.5582647, 114.4187515 28.5091301, 114.4162178 28.4761918, 114.4206518 28.4407198, 114.4193849 28.4020806, 114.4231855 28.3596408, 114.4326869 28.3292362, 114.4339538 28.2886967, 114.4358541 28.2494241, 114.4396547 28.2126852, 114.4402881 28.1765797, 114.4434552 28.1404742, 114.4483325 28.0789782, 114.4460777 28.0413983, 114.4483325 28.0083281, 114.4490841 27.961729, 114.4513388 27.9294104, 114.4445745 27.8895757, 114.4430713 27.8444799)</t>
  </si>
  <si>
    <t>P4785</t>
  </si>
  <si>
    <t>Phase II, Ganzhou South Branch (Dayu-Xinfeng Segment)</t>
  </si>
  <si>
    <t>LINESTRING (117.0474963 29.0464586, 117.0893878 29.033569, 117.1331206 29.0160758, 117.1708689 29.0008844, 117.2122999 28.9852327, 117.2482069 28.9718827, 117.3025276 28.9635965, 117.3365932 28.9599137, 117.3812467 28.9553103, 117.4212967 28.9543896, 117.4691726 28.9493258, 117.5336209 28.9507068, 117.5672261 28.9737241, 117.59899 28.9935189, 117.6358176 29.0160758, 117.6602159 29.0409345, 117.688297 29.0745397, 117.716378 29.1063035, 117.7366332 29.1343846, 117.7633332 29.1624656, 117.7927953 29.2218502)</t>
  </si>
  <si>
    <t>P4786</t>
  </si>
  <si>
    <t>Phase II, Ganzhou South Branch (Huichang-Xunwu Segment)</t>
  </si>
  <si>
    <t>MULTILINESTRING ((114.7629383 24.9594111, 114.7250261 24.9189507, 114.6969173 24.8904094, 114.6679436 24.8709495, 114.6368077 24.8540842, 114.60005 24.8311647, 114.5736709 24.8069478, 114.5330212 24.767163), (114.3029506 25.435528, 114.3447007 25.4656809, 114.3779462 25.4896485, 114.433613 25.5058847, 114.4815483 25.5143894, 114.5178864 25.5167088, 114.5573171 25.5244403, 114.6222617 25.4973801, 114.6578267 25.4881022, 114.7011231 25.4780513, 114.7351417 25.4734124, 114.7823039 25.4594957, 114.8124568 25.4486716, 114.880485 25.4308705), (114.8804526 25.4308933, 114.8927948 25.355891, 114.9022887 25.3150669, 114.9127321 25.2761417, 114.9117827 25.2429128, 114.9165297 25.2058864, 114.9184285 25.1669611, 114.9174791 25.1242383, 114.9018247 25.0882065, 114.8713301 25.0560178, 114.8493062 25.0306056, 114.8154233 24.9984168, 114.7629048 24.9594515, 114.7815404 24.918792, 114.8188116 24.8967681, 114.8442238 24.8798267, 114.8798008 24.859497, 114.9306251 24.8459438, 114.9746729 24.8391672, 114.9966968 24.8374731, 115.0644626 24.8374731, 115.1271459 24.8527204, 115.1474757 24.8866033, 115.1711937 24.918792, 115.1932176 24.9492866, 115.2067707 24.9713105, 115.2423478 25.000111, 115.2745365 25.0153583, 115.315196 25.0322997, 115.3406082 25.0560178, 115.3727969 25.0712651, 115.3931267 25.0882065, 115.396515 25.1153128, 115.4066798 25.1779962, 115.4100681 25.2237381, 115.4253154 25.2728683, 115.4422569 25.3186102, 115.4659749 25.374517, 115.5083285 25.3999291, 115.5472938 25.4253413, 115.5981182 25.4507535, 115.6591074 25.4863305, 115.6794371 25.5134368, 115.7302615 25.5591788, 115.7522854 25.5913675, 115.7658385 25.5981441, 115.8098863 25.6608274, 115.842075 25.7235108, 115.8810404 25.7573937, 115.9030642 25.7777234, 115.9403354 25.796359, 115.9877715 25.8200771, 116.0369017 25.8844546), (115.8058231 25.6550053, 115.8120622 25.6200078, 115.8046126 25.5864845, 115.7965422 25.5461323, 115.7928173 25.5138505, 115.7847469 25.4766023, 115.7804013 25.4343877, 115.7748141 25.4014852, 115.7665284 25.3660705, 115.7632369 25.3272312, 115.7619204 25.2877337, 115.7579706 25.250211, 115.7553374 25.2126883, 115.756654 25.1777987, 115.7619204 25.1363263, 115.767845 25.1020951, 115.7744279 25.0658889, 115.7888085 25.0225078))</t>
  </si>
  <si>
    <t>P4787</t>
  </si>
  <si>
    <t>Phase II, Ganzhou South Branch (Longnan-Quannan Segment)</t>
  </si>
  <si>
    <t>Sichuan-Shanghai gas pipeline/West-East gas pipeline II</t>
  </si>
  <si>
    <t>LINESTRING (114.8804526 25.4308933, 114.8927948 25.355891, 114.9022887 25.3150669, 114.9127321 25.2761417, 114.9117827 25.2429128, 114.9165297 25.2058864, 114.9184285 25.1669611, 114.9174791 25.1242383, 114.9018247 25.0882065, 114.8713301 25.0560178, 114.8493062 25.0306056, 114.8154233 24.9984168, 114.7629048 24.9594515, 114.7815404 24.918792, 114.8188116 24.8967681, 114.8442238 24.8798267, 114.8798008 24.859497, 114.9306251 24.8459438, 114.9746729 24.8391672, 114.9966968 24.8374731, 115.0644626 24.8374731, 115.1271459 24.8527204, 115.1474757 24.8866033, 115.1711937 24.918792, 115.1932176 24.9492866, 115.2067707 24.9713105, 115.2423478 25.000111, 115.2745365 25.0153583, 115.315196 25.0322997, 115.3406082 25.0560178, 115.3727969 25.0712651, 115.3931267 25.0882065, 115.396515 25.1153128, 115.4066798 25.1779962, 115.4100681 25.2237381, 115.4253154 25.2728683, 115.4422569 25.3186102, 115.4659749 25.374517, 115.5083285 25.3999291, 115.5472938 25.4253413, 115.5981182 25.4507535, 115.6591074 25.4863305, 115.6794371 25.5134368, 115.7302615 25.5591788, 115.7522854 25.5913675, 115.7658385 25.5981441, 115.8098863 25.6608274, 115.842075 25.7235108, 115.8810404 25.7573937, 115.9030642 25.7777234, 115.9403354 25.796359, 115.9877715 25.8200771, 116.0369017 25.8844546)</t>
  </si>
  <si>
    <t>P4788</t>
  </si>
  <si>
    <t>Phase II, Ganzhou South Branch (Xinfeng-Ruijin Segment)</t>
  </si>
  <si>
    <t>LINESTRING (114.7629383 24.9594111, 114.7250261 24.9189507, 114.6969173 24.8904094, 114.6679436 24.8709495, 114.6368077 24.8540842, 114.60005 24.8311647, 114.5736709 24.8069478, 114.5330212 24.767163)</t>
  </si>
  <si>
    <t>P4789</t>
  </si>
  <si>
    <t>https://www.gem.wiki/Jinggangshan_Branch_Line,_Jiangxi_Gas_Pipeline_Network</t>
  </si>
  <si>
    <t>Phase II, Jinggangshan Branch</t>
  </si>
  <si>
    <t>West-East Gas Pipeline 2, West-East Gas Pipeline 3, Sichuan-Shanghai Gas Pipeline</t>
  </si>
  <si>
    <t>Jizhou</t>
  </si>
  <si>
    <t>Ji'an</t>
  </si>
  <si>
    <t>Jinggangshan</t>
  </si>
  <si>
    <t>LINESTRING (115.001444 27.149344, 114.892871 27.020345, 114.243009 26.961531, 114.267105 26.744513)</t>
  </si>
  <si>
    <t>P4790</t>
  </si>
  <si>
    <t>Phase II, Jingkai District-Jishui-Yongfeng-Le'an-Yihuang Gas Pipeline</t>
  </si>
  <si>
    <t>LINESTRING (115.0109749 27.1022496, 115.0514006 27.119172, 115.0824249 27.1379746, 115.1215971 27.157404, 115.1610826 27.1768334, 115.2090293 27.1743264, 115.2435008 27.1862347, 115.2773456 27.212245, 115.3105635 27.2316744, 115.3494223 27.2529841, 115.3977161 27.2687835, 115.4376978 27.2653069, 115.4776794 27.2783444, 115.5193994 27.2861669, 115.6045777 27.3148494, 115.6767186 27.3374477, 115.7392985 27.3530927, 115.7740652 27.3635227, 115.8227385 27.3878593, 115.9070477 27.4139343, 115.9878802 27.4321868, 116.0278618 27.4469627, 116.0669743 27.4608693, 116.1026101 27.4782527, 116.1512835 27.4912902, 116.1843118 27.4982435, 116.2277701 27.5156268, 116.2844707 27.5230896)</t>
  </si>
  <si>
    <t>P4791</t>
  </si>
  <si>
    <t>Phase II, Leping-Dexing-Wuyuan</t>
  </si>
  <si>
    <t>P4792</t>
  </si>
  <si>
    <t>Phase II, Yudu-Ningdu-Guangchang-Nanfeng Gas Pipeline</t>
  </si>
  <si>
    <t>LINESTRING (115.625196 26.229617, 115.6767781 26.2492327, 115.7290867 26.2586773, 115.7632327 26.272481, 115.8039171 26.2782931, 115.8467812 26.2855581, 115.8729355 26.3015413, 115.8969103 26.3247896, 115.9245176 26.3545765, 115.9528515 26.3792778, 115.9739202 26.4076116, 116.0015275 26.436672, 116.0465711 26.4889806, 116.0894351 26.518041, 116.125034 26.5340241, 116.163539 26.5500073, 116.2042235 26.5696231, 116.2289248 26.5870593, 116.2545767 26.6273577, 116.2624274 26.6619007, 116.2734183 26.6948735, 116.2875496 26.7309866, 116.3001106 26.7686699, 116.3142419 26.8000726, 116.3362237 26.8691585, 116.3446327 26.9087668, 116.3564087 26.9545624, 116.3642594 26.9728806, 116.3747269 27.0226015, 116.3917367 27.0644718, 116.4231394 27.1063421, 116.4493083 27.1377448, 116.4676266 27.1639137, 116.4898702 27.1979333, 116.5055715 27.2384951, 116.5278151 27.2895245)</t>
  </si>
  <si>
    <t>P4793</t>
  </si>
  <si>
    <t>Fengcheng-Yujiang Gas Pipeline</t>
  </si>
  <si>
    <t>Fengcheng</t>
  </si>
  <si>
    <t>Yujiang</t>
  </si>
  <si>
    <t>Yingtan</t>
  </si>
  <si>
    <t>江西省天然气管网（西气东输二线）</t>
  </si>
  <si>
    <t>P4794</t>
  </si>
  <si>
    <t>Jiujiang-Gao'an Gas Pipeline</t>
  </si>
  <si>
    <t>P4795</t>
  </si>
  <si>
    <t>Linchuan-Lichuan Branch</t>
  </si>
  <si>
    <t>Linchuan</t>
  </si>
  <si>
    <t>Lichuan</t>
  </si>
  <si>
    <t>P4796</t>
  </si>
  <si>
    <t>Yugan-Jingdezhen Gas Pipeline</t>
  </si>
  <si>
    <t>Yugan</t>
  </si>
  <si>
    <t>P4797</t>
  </si>
  <si>
    <t>Yujiang-Yingtan Branch</t>
  </si>
  <si>
    <t>P4798</t>
  </si>
  <si>
    <t>https://www.gem.wiki/Xintian_Tangshan_LNG_Terminal_Transport_Pipeline</t>
  </si>
  <si>
    <t>Hebei Gas pipeline Network</t>
  </si>
  <si>
    <t>Xintian Tangshan LNG Terminal Transport Pipeline</t>
  </si>
  <si>
    <t>Caofeidian Xintian LNG Co., Ltd. [200.00%]</t>
  </si>
  <si>
    <t>China Suntien Green Energy Corporation Limited [51.00%]; Hebei Construction &amp; Investment Group Co., Ltd. [49.00%]</t>
  </si>
  <si>
    <t>Tangshan Xintian LNG imported liquefied gas</t>
  </si>
  <si>
    <t>Caofeidian Xintian LNG Terminal</t>
  </si>
  <si>
    <t>河北输气管网</t>
  </si>
  <si>
    <t>LINESTRING (118.538973 38.936478, 117.336417 39.720564, 116.521956 39.298733)</t>
  </si>
  <si>
    <t>P4799</t>
  </si>
  <si>
    <t>https://www.gem.wiki/Tangshan_LNG_Terminal_Transport_Pipeline</t>
  </si>
  <si>
    <t>Hebei Gas Pipeline Network</t>
  </si>
  <si>
    <t>Tangshan LNG Terminal Transport Pipeline</t>
  </si>
  <si>
    <t>Tangshan LNG imported liquefied gas</t>
  </si>
  <si>
    <t>Caofeidian LNG Terminal</t>
  </si>
  <si>
    <t>P4802</t>
  </si>
  <si>
    <t>https://gem.wiki/Yongqing–Baoding_Gas_Pipeline</t>
  </si>
  <si>
    <t>Yongqing–Baoding Parallel Gas Pipeline</t>
  </si>
  <si>
    <t>Hebei Kunlun Energy Co., Ltd. [200.00%]</t>
  </si>
  <si>
    <t>Kunlun Energy Co., Ltd. [55.00%]; Baoding Guokong Group Co., Ltd. [45.00%]</t>
  </si>
  <si>
    <t>508/711</t>
  </si>
  <si>
    <t>Baoding</t>
  </si>
  <si>
    <t>LINESTRING (116.5 39.316667, 115.464 38.874)</t>
  </si>
  <si>
    <t>P4803</t>
  </si>
  <si>
    <t>https://www.gem.wiki/Cangzhou-Zibo_gas_pipeline</t>
  </si>
  <si>
    <t>Cangzhou-Zibo Gas Pipeline</t>
  </si>
  <si>
    <t>Shaanxi-Gansu-Ningxia Basin</t>
  </si>
  <si>
    <t>LINESTRING (116.857183 38.258788, 118.354022 37.110027)</t>
  </si>
  <si>
    <t>P4805</t>
  </si>
  <si>
    <t>https://www.gem.wiki/Qinhuangdao-Fengnan_Gas_Pipeline</t>
  </si>
  <si>
    <t>Qinhuangdao-Fengnan Gas Pipeline</t>
  </si>
  <si>
    <t>Hebei NATURAL Gas Company Limited [300.00%]</t>
  </si>
  <si>
    <t>China Suntien Green Energy Corporation Limited [55.00%]; 香港中华煤气（河北）有限公司 [43.00%]; other [2.00%]</t>
  </si>
  <si>
    <t>Yongqing-Tangshan-Qinhuangdao Pipeline, [[Tangshan LNG Terminal]]</t>
  </si>
  <si>
    <t>Fengnan</t>
  </si>
  <si>
    <t>LINESTRING (119.535858 40.037061, 119.021325 39.473668, 118.464147 39.083092, 118.541145 38.938745)</t>
  </si>
  <si>
    <t>P4806</t>
  </si>
  <si>
    <t>Qinhuangdao-Fengnan Gas Pipeline phase II Tangshan segment</t>
  </si>
  <si>
    <t>P4807</t>
  </si>
  <si>
    <t>https://www.gem.wiki/Ying_County-Zhangjiakou_Pipeline</t>
  </si>
  <si>
    <t>Ying County–Zhangjiakou Gas Pipeline</t>
  </si>
  <si>
    <t>Zhangjiakou Yingzhang Natural Gas Co., Ltd. [100.00%]</t>
  </si>
  <si>
    <t>Jinhong Holding Group Co., Ltd. [100.00%]</t>
  </si>
  <si>
    <t>Shaan-Jing Pipeline</t>
  </si>
  <si>
    <t>Ying County</t>
  </si>
  <si>
    <t>Shuozhou</t>
  </si>
  <si>
    <t>LINESTRING (113.203268 39.554038, 114.900897 40.62296)</t>
  </si>
  <si>
    <t>P4808</t>
  </si>
  <si>
    <t>https://www.gem.wiki/Beijing%E2%80%93Shijiazhuang%E2%80%93Handan_Gas_Pipeline</t>
  </si>
  <si>
    <t>Beijing–Shijiazhuang–Handan Gas Pipeline</t>
  </si>
  <si>
    <t>Zhuozhou</t>
  </si>
  <si>
    <t>LINESTRING (115.823177 39.408243, 115.82127565561375 39.39145574793229, 115.79742269847624 39.37667454705632, 115.80674755707415 39.37007410154334, 115.78926451918325 39.34936628795384, 115.70216372489615 39.28555884900039, 115.701233 38.909225, 115.585809 38.768242, 114.5304 38.0377, 114.487 36.601)</t>
  </si>
  <si>
    <t>P4809</t>
  </si>
  <si>
    <t>https://www.gem.wiki/Beijing%E2%80%93Shijiazhuang%E2%80%93Handan_Parallel_Gas_Pipeline</t>
  </si>
  <si>
    <t>Beijing–Shijiazhuang–Handan Parallel Gas Pipeline</t>
  </si>
  <si>
    <t>LINESTRING (115.823177 39.408243, 115.82127565561375 39.39145574793229, 115.79742269847624 39.37667454705632, 115.80674755707415 39.37007410154334, 115.78926451918325 39.34936628795384, 115.70216372489615 39.28555884900039, 115.701233 38.909225, 115.585809 38.768242)</t>
  </si>
  <si>
    <t>P4810</t>
  </si>
  <si>
    <t>https://www.gem.wiki/Henan_North_gas_pipeline_(Bo%27ai-Anyang)</t>
  </si>
  <si>
    <t>Henan Gas Pipeline Network</t>
  </si>
  <si>
    <t>Bo'ai-Zhongzhou Aluminum Smelter gas pipeline</t>
  </si>
  <si>
    <t>Jiaozuo Zhongneng Natural Gas Development Co., Ltd. [400.00%]</t>
  </si>
  <si>
    <t>ENN Energy Holdings Limited [38.20%]; Henan Provincial Investment Company [33.80%]; Jiaozuo Huanghe Group Company [25.00%]; other [3.00%]</t>
  </si>
  <si>
    <t>Xiuwu</t>
  </si>
  <si>
    <t>河南输气管网</t>
  </si>
  <si>
    <t>LINESTRING (113.02476927137414 35.11993783614369, 113.44675639018082 35.371426549150456)</t>
  </si>
  <si>
    <t>P4811</t>
  </si>
  <si>
    <t>Henan North Gas Pipeline (Bo'ai-Anyang)</t>
  </si>
  <si>
    <t>Henan Ancai Energy Co., Ltd. [200.00%]</t>
  </si>
  <si>
    <t>Henan Ancai HI-TECH Co., Ltd. [88.20%]; other [11.80%]</t>
  </si>
  <si>
    <t>LINESTRING (113.002866 35.130335, 114.335735 35.985629)</t>
  </si>
  <si>
    <t>P4812</t>
  </si>
  <si>
    <t>https://www.gem.wiki/Henan_South_gas_pipeline_(Xuedian-Zhumadian)</t>
  </si>
  <si>
    <t>Henan South Gas Pipeline (Xuedian-Zhumadian)</t>
  </si>
  <si>
    <t>Henan Lantian Gas Co., Ltd. [100.00%]</t>
  </si>
  <si>
    <t>[[West-East Pipeline 1]]</t>
  </si>
  <si>
    <t>Xuedian</t>
  </si>
  <si>
    <t>Zhumadian</t>
  </si>
  <si>
    <t>MULTILINESTRING ((112.9560013 35.1120987, 113.2890015 34.8272018, 113.4560013 34.6744003, 113.5149994 34.6080017, 113.6330032 34.5388985, 113.7570038 34.4902992, 113.7659988 34.4132004, 113.8199997 34.3282013, 113.8339996 34.2588997, 113.8539963 34.1599998, 113.8550034 34.0409012, 113.8899994 33.9578018, 113.9319992 33.794899, 113.9300003 33.6823997, 113.9639969 33.6096001, 113.9779968 33.5550003, 113.9820023 33.3958015, 113.9840012 33.1865005, 113.9840012 33.1581993, 114.0139999 33.1232986, 114.0429993 33.0649986, 114.0449982 32.9967003), (113.9840012 33.198101, 114.2519989 33.2680016), (112.9189987 32.7160988, 114.0469971 32.9935989, 114.336998 33.0236015, 114.6380005 32.9836006, 114.7799988 32.9099007, 114.9589996 32.7764015), (112.9189987 32.7160988, 114.0469971 32.9935989, 114.336998 33.0236015, 114.6380005 32.9836006, 114.7799988 32.9099007, 114.9589996 32.7764015), (113.8519974 34.1702003, 113.7959976 34.1682014), (113.8310013 34.2677994, 113.7139969 34.2341995))</t>
  </si>
  <si>
    <t>P4813</t>
  </si>
  <si>
    <t>https://www.gem.wiki/Henan_Gas_Pipeline_Network</t>
  </si>
  <si>
    <t>Kaifeng–Zhoukou Gas Pipeline</t>
  </si>
  <si>
    <t>Henan Natural Gas Pipeline Network Kaizhou Co., Ltd. [100.00%]</t>
  </si>
  <si>
    <t>Henan Provincial Investment Company [100.00%]</t>
  </si>
  <si>
    <t>LINESTRING (114.796954 33.803408, 114.828205 33.842268, 114.838631 33.865771, 114.838631 33.897922, 114.834163 33.95354, 114.832341 33.993836, 114.837982 34.040595, 114.840802 34.077984, 114.82952 34.106014, 114.809775 34.145708, 114.795672 34.19705, 114.778748 34.260017, 114.764645 34.311288, 114.756183 34.371841, 114.756183 34.423045, 114.756183 34.476542, 114.756183 34.523033, 114.759004 34.569499, 114.759004 34.602009, 114.685667 34.608974, 114.612331 34.615938, 114.510787 34.632186, 114.443092 34.639148, 114.430099 34.640351, 114.423329 34.643693, 114.421975 34.648149, 114.419267 34.655946, 114.419267 34.663742, 114.417069 34.692421, 114.40828 34.724935, 114.390702 34.759241, 114.38166 34.785868)</t>
  </si>
  <si>
    <t>P4814</t>
  </si>
  <si>
    <t>https://www.gem.wiki/Nanyang-Zhumadian_gas_pipeline</t>
  </si>
  <si>
    <t>Nanyang-Zhumadian Gas Pipeline</t>
  </si>
  <si>
    <t>[[West-East Pipeline 2]]</t>
  </si>
  <si>
    <t>LINESTRING (112.9189987 32.7159996, 112.8740005 32.7416, 112.7519989 32.793499, 112.612999 32.9600983, 112.5270004 33.0251999, 112.2529984 33.0591011)</t>
  </si>
  <si>
    <t>P4815</t>
  </si>
  <si>
    <t>Nanyang–Xinyang Gas Pipeline</t>
  </si>
  <si>
    <t>Henan Natural Gas Pipeline Network Co., Ltd. [100.00%]</t>
  </si>
  <si>
    <t>Shihe District, Ziyang City</t>
  </si>
  <si>
    <t>Gushi county</t>
  </si>
  <si>
    <t>LINESTRING (114.045296 32.173545, 114.045296 32.173545, 114.003492 32.202573, 113.965094 32.238306, 113.919017 32.283764, 113.87294 32.335688, 113.826126 32.381506, 113.794903 32.411636, 113.76591 32.436109, 113.734687 32.456812, 113.694544 32.469983, 113.661091 32.475628, 113.623177 32.473747, 113.585263 32.469983, 113.54735 32.462457, 113.507206 32.449284, 113.475983 32.441756, 113.449221 32.434227, 113.422458 32.430462, 113.393466 32.430462, 113.366703 32.432344, 113.342171 32.441756, 113.319869 32.453048, 113.286416 32.473747, 113.252962 32.496322, 113.203898 32.526413, 113.139222 32.564013, 113.085697 32.597839, 113.038862 32.62414, 112.985337 32.654188, 112.90728 32.697365, 112.849295 32.738645, 112.798 32.764904, 112.748935 32.783656, 112.724403 32.809902, 112.708792 32.843635, 112.668648 32.894211, 112.610662 32.952244, 112.55898 33.002739, 112.497388 33.032865, 112.440929 33.045773)</t>
  </si>
  <si>
    <t>P4816</t>
  </si>
  <si>
    <t>Pingdingshan–Wugang–Luohe Gas Pipeline</t>
  </si>
  <si>
    <t>Henan Tianlun Gas Pipeline Network Co., Ltd. [300.00%]</t>
  </si>
  <si>
    <t>天伦新能源有限公司 [90.00%]; Luohe City Development Investment Co., Ltd. [9.80%]; other [0.20%]</t>
  </si>
  <si>
    <t>Pingdingshan</t>
  </si>
  <si>
    <t>Luohe</t>
  </si>
  <si>
    <t>LINESTRING (113.967944 33.521936, 113.911025 33.510863, 113.869285 33.507699, 113.825648 33.499789, 113.774421 33.495042, 113.711811 33.485548, 113.660584 33.472888, 113.609357 33.464975, 113.580898 33.452312, 113.556233 33.420646, 113.533466 33.390553, 113.514493 33.354111, 113.50311 33.333507, 113.482239 33.336677, 113.410163 33.430114, 113.367696 33.527522, 113.325229 33.62924, 113.298687 33.75291)</t>
  </si>
  <si>
    <t>P4817</t>
  </si>
  <si>
    <t>Puyang–Hebi Gas Pipeline</t>
  </si>
  <si>
    <t>Henan Natural Gas Pipeline Network Puhe Co., Ltd. [300.00%]</t>
  </si>
  <si>
    <t>Henan Provincial Investment Company [70.00%]; Puyang State Owned Capital Operation Group Co., Ltd. [27.00%]; other [3.00%]</t>
  </si>
  <si>
    <t>LINESTRING (115.042627 35.709021, 114.97967 35.714178, 114.926113 35.723131, 114.837901 35.743589, 114.767017 35.762764, 114.700858 35.781935, 114.625248 35.799823, 114.560664 35.817708, 114.48978 35.833034, 114.442524 35.84708, 114.335587 35.878889, 114.229118 35.90189, 114.168786 35.919136)</t>
  </si>
  <si>
    <t>P4818</t>
  </si>
  <si>
    <t>Qingfeng–Xuedian Gas Pipeline</t>
  </si>
  <si>
    <t>中原油田储气库群</t>
  </si>
  <si>
    <t>LINESTRING (115.092838 35.888409, 115.081906 35.85227, 115.070105 35.80084, 115.061254 35.760152, 115.045633 35.712074, 115.024077 35.655413, 115.004165 35.611902, 114.976193 35.545392, 114.957468 35.504752, 114.932501 35.451382, 114.907534 35.405608, 114.879446 35.367443, 114.854479 35.319075, 114.820149 35.270678, 114.804545 35.232449, 114.807666 35.201853, 114.801424 35.168694, 114.779578 35.135522, 114.770215 35.104889, 114.75149 35.04359, 114.732765 34.992472, 114.717161 34.941322, 114.701372 34.907341, 114.685584 34.88468, 114.667822 34.868489, 114.640193 34.850676, 114.608616 34.836099, 114.57704 34.831239, 114.507526 34.818256, 114.442839 34.803695, 114.38166 34.785868, 114.304692 34.761551, 114.25338 34.742093, 114.1922 34.727497, 114.127073 34.712897, 114.071814 34.706408, 114.028397 34.701541, 113.998794 34.698296, 113.965244 34.68856, 113.921826 34.667461, 113.882355 34.64311, 113.848805 34.617128, 113.813281 34.59926, 113.798194 34.574343, 113.789483 34.545646, 113.795709 34.512944)</t>
  </si>
  <si>
    <t>P4819</t>
  </si>
  <si>
    <t>Yichuan-Yanshi gas pipeline</t>
  </si>
  <si>
    <t>Henan Gas (Group) Co., Ltd. [100.00%]</t>
  </si>
  <si>
    <t>Henan Province Energy Chemical Group Co., Ltd. [100.00%]</t>
  </si>
  <si>
    <t>洛阳市伊川小庄村—偃师顾县镇</t>
  </si>
  <si>
    <t>Gu County</t>
  </si>
  <si>
    <t>Yanshi</t>
  </si>
  <si>
    <t>LINESTRING (112.42655643939369 34.423415353329816, 112.74546183567094 34.72793287518608)</t>
  </si>
  <si>
    <t>P4820</t>
  </si>
  <si>
    <t>Shangqiu–Yongcheng Gas Pipeline</t>
  </si>
  <si>
    <t>Henan Zhongyuan Petroleum and NATURAL Gas Shangqiu Co., Ltd. [600.00%]</t>
  </si>
  <si>
    <t>Henan Provincial Investment Company [52.00%]; Henan Tianyigui Trading Co., Ltd. [12.00%]; Henan Zhenyi Real Estate Co., Ltd. [12.00%]; Henan Zhihe Industrial Co., Ltd. [12.00%]; Zonch Internationaltrading Co.,ltd. Henan PROVINCE [10.80%]; other [1.20%]</t>
  </si>
  <si>
    <t>Shangqiu</t>
  </si>
  <si>
    <t>LINESTRING (115.654176 34.415202, 115.704523 34.366731, 115.763262 34.345949, 115.822 34.321697, 115.876543 34.311301, 115.947868 34.290506, 116.03178 34.26277, 116.082127 34.238494, 116.145061 34.193391, 116.187017 34.14132, 116.228973 34.099639, 116.254146 34.054463, 116.304493 34.005784, 116.329667 33.970996, 116.342254 33.953596)</t>
  </si>
  <si>
    <t>P4821</t>
  </si>
  <si>
    <t>https://www.gem.wiki/West-_East_Pipeline_II_Yudong_Branch</t>
  </si>
  <si>
    <t>West- East Pipeline II Yudong Branch</t>
  </si>
  <si>
    <t>Henan Wuzhou Energy Development Co., Ltd. [100.00%]</t>
  </si>
  <si>
    <t>中国五洲（集团）有限公司 [100.00%]</t>
  </si>
  <si>
    <t>Kaifeng</t>
  </si>
  <si>
    <t>LINESTRING (113.578329 34.801334, 114.277377 34.639586)</t>
  </si>
  <si>
    <t>P4822</t>
  </si>
  <si>
    <t>Xinyang–Gushi Gas Pipeline</t>
  </si>
  <si>
    <t>Xinyang Hongchang Piping Fuel Gas Engineering Co., Ltd. [400.00%]</t>
  </si>
  <si>
    <t>Xinyang Shihe District Shanshan Wood Industry Products Co., Ltd. [45.40%]; Xinyang Hongchang Real Estate Development Co., Ltd. [39.60%]; Xinyang Hongchang Agricultural Development Co., Ltd. [14.30%]; other [0.70%]</t>
  </si>
  <si>
    <t>Zhoukou-Wuhan Connecting Pipeline</t>
  </si>
  <si>
    <t>Gushi</t>
  </si>
  <si>
    <t>LINESTRING (114.045296 32.173545, 114.087066 32.142343, 114.138664 32.13194, 114.197634 32.134021, 114.283631 32.150664, 114.369629 32.163145, 114.423684 32.175624, 114.482654 32.181863, 114.529338 32.177704, 114.568651 32.165225, 114.625164 32.13194, 114.676762 32.100724, 114.755388 32.079907, 114.819272 32.069497, 114.870871 32.07158, 114.917555 32.098643, 114.954411 32.136101, 114.991267 32.171465, 115.020752 32.186022, 115.096921 32.188102, 115.158348 32.186022, 115.200118 32.179784, 115.266459 32.179784, 115.372113 32.181863, 115.492509 32.188102, 115.573592 32.198498, 115.649761 32.208894)</t>
  </si>
  <si>
    <t>P4823</t>
  </si>
  <si>
    <t>https://www.gem.wiki/West-East_Pipeline_2_Xuedian-Bo%27ai_Branch</t>
  </si>
  <si>
    <t>Xuedian-Bo'ai Branch</t>
  </si>
  <si>
    <t>Nanle, Xinzheng</t>
  </si>
  <si>
    <t>LINESTRING (113.79579 34.507281, 113.002866 35.130335)</t>
  </si>
  <si>
    <t>P4824</t>
  </si>
  <si>
    <t>Yichuan-Mengjin gas pipeline</t>
  </si>
  <si>
    <t>Luoyang Zongheng Pipeline Gas Co., Ltd. [200.00%]</t>
  </si>
  <si>
    <t>Zhongcheng New Energy Technology (Shenzhen) Co., Ltd. [90.00%]; Beijing Zhongshunxi Trading Co., Ltd. [10.00%]</t>
  </si>
  <si>
    <t>P4825</t>
  </si>
  <si>
    <t>Yichuan-Xuedian Gas Pipeline</t>
  </si>
  <si>
    <t>Yichuan</t>
  </si>
  <si>
    <t>P4826</t>
  </si>
  <si>
    <t>Sanmenxia-Xin'an-Yichuan Gas Pipeline</t>
  </si>
  <si>
    <t>Henan Natural Gas Pipeline Network Sanyi Co., Ltd. [100.00%]</t>
  </si>
  <si>
    <t>P4827</t>
  </si>
  <si>
    <t>Zhenping-Dengzhou Gas Pipeline</t>
  </si>
  <si>
    <t>Henan Natural Gas Pipeline Network Zhendeng Co., Ltd. [100.00%]</t>
  </si>
  <si>
    <t>Zhenping</t>
  </si>
  <si>
    <t>Dengzhou, Zhanglou Town, Sihou village.</t>
  </si>
  <si>
    <t>LINESTRING (112.2328470817144 33.031695180479296, 112.16133677043572 32.76227877903847)</t>
  </si>
  <si>
    <t>P4828</t>
  </si>
  <si>
    <t>Zhumadian-Xinyang Gas Pipeline</t>
  </si>
  <si>
    <t>P4829</t>
  </si>
  <si>
    <t>Zhoukou–Luohe Gas Pipeline</t>
  </si>
  <si>
    <t>Henan Tianrun Pipeline Sales Co., Ltd. [700.00%]</t>
  </si>
  <si>
    <t>Kunlun Energy Co., Ltd. [26.00%]; 海峡能源有限公司 [25.00%]; Zhoukou Xunchi Trading Co., Ltd. [20.10%]; Henan Provincial Investment Company [14.00%]; Henan Bainian Rongyu Industrial Co., Ltd. [8.00%]; National Petroleum and Natural Gas Pipeline Network Group Co., Ltd. [6.00%]; other [0.90%]</t>
  </si>
  <si>
    <t>LINESTRING (114.796954 33.803408, 114.755693 33.766538, 114.710075 33.714015, 114.65744 33.677521, 114.624105 33.626404, 114.589014 33.572333, 114.513571 33.551865, 114.460935 33.53578, 114.329348 33.532855, 114.203023 33.522617, 114.087226 33.522617, 114.032836 33.524079, 113.967944 33.521936)</t>
  </si>
  <si>
    <t>P4830</t>
  </si>
  <si>
    <t>Zhoukou–Zhecheng Gas Pipeline</t>
  </si>
  <si>
    <t>Henan Natural Gas Pipeline Network Zhouzhe Co., Ltd. [100.00%]</t>
  </si>
  <si>
    <t>LINESTRING (114.796954 33.803408, 114.846079 33.834845, 115.341694 34.127335)</t>
  </si>
  <si>
    <t>P4831</t>
  </si>
  <si>
    <t>https://www.gem.wiki/Anyang-Luoyang_gas_pipeline</t>
  </si>
  <si>
    <t>Anyang-Luoyang Gas Pipeline</t>
  </si>
  <si>
    <t>LINESTRING (114.335735 35.985629, 112.324226 34.34418)</t>
  </si>
  <si>
    <t>P4832</t>
  </si>
  <si>
    <t>https://www.gem.wiki/Yima-Zhengzhou_gas_pipeline</t>
  </si>
  <si>
    <t>Yima-Zhengzhou Gas Pipeline</t>
  </si>
  <si>
    <t>Yima</t>
  </si>
  <si>
    <t>LINESTRING (111.811319 34.754772, 113.578329 34.801334)</t>
  </si>
  <si>
    <t>P4833</t>
  </si>
  <si>
    <t>https://www.gem.wiki/Puyang%E2%80%93Fan_County%E2%80%93Taiqian_Gas_Pipeline</t>
  </si>
  <si>
    <t>Puyang–Fan County–Taiqian Gas Pipeline</t>
  </si>
  <si>
    <t>Zhongyuan Natural Gas Co., Ltd. of National Pipe Network Group [300.00%]</t>
  </si>
  <si>
    <t>National Petroleum and Natural Gas Pipeline Network Group Co., Ltd. [65.00%]; Henan Provincial Investment Company [30.00%]; other [5.00%]</t>
  </si>
  <si>
    <t>[[Yulin-Jinan Gas Pipeline]]</t>
  </si>
  <si>
    <t>LINESTRING (115.23477 35.732924, 115.775415 35.958513)</t>
  </si>
  <si>
    <t>P4834</t>
  </si>
  <si>
    <t>https://www.gem.wiki/Zhongyuan-Kaifeng_Gas_Pipeline</t>
  </si>
  <si>
    <t>Zhongyuan-Kaifeng Gas Pipeline</t>
  </si>
  <si>
    <t>Zhongyuan Gas/Oil Field</t>
  </si>
  <si>
    <t>Nanle</t>
  </si>
  <si>
    <t>LINESTRING (115.27831 36.04849, 114.277377 34.639586)</t>
  </si>
  <si>
    <t>P4835</t>
  </si>
  <si>
    <t>https://www.gem.wiki/Zhejiang_Natural_Gas_Pipeline_Network</t>
  </si>
  <si>
    <t>Zhejiang Natural Gas Pipeline Network</t>
  </si>
  <si>
    <t>Hangzhou-Jiaxing Gas Pipeline</t>
  </si>
  <si>
    <t>Zhejiang Provincial Natural Gas Development Co., Ltd. [300.00%]</t>
  </si>
  <si>
    <t>National Petroleum and Natural Gas Pipeline Network Group Co., Ltd. [60.00%]; Zhejiang Provincial Energy Group Co., Ltd. [36.00%]; other [4.00%]</t>
  </si>
  <si>
    <t>Hangzhou</t>
  </si>
  <si>
    <t>浙江输气管网</t>
  </si>
  <si>
    <t>LINESTRING (120.6561855 30.7856306, 120.6814298 30.7288308, 120.7547962 30.6759754, 120.6569744 30.6057645, 120.5662525 30.5323981, 120.3737643 30.415643, 120.3433606 30.2896579)</t>
  </si>
  <si>
    <t>P4836</t>
  </si>
  <si>
    <t>Hangzhou-Ningbo Double Line Natural Gas Pipeline</t>
  </si>
  <si>
    <t>Zhenhai</t>
  </si>
  <si>
    <t>Xiaoshan</t>
  </si>
  <si>
    <t>LINESTRING (120.3218321 30.1739468, 120.3863668 30.1497396, 120.5031171 30.1360042, 120.6061321 30.0827798, 120.772673 30.0467246, 120.8482173 30.0398569, 120.9083094 30.0432907, 121.0061737 30.0432907, 121.183016 29.9883494, 121.2276559 29.9728972, 121.34784 29.9402758, 121.5882083 29.9368419)</t>
  </si>
  <si>
    <t>P4837</t>
  </si>
  <si>
    <t>Lishui-Longyou Pipeline</t>
  </si>
  <si>
    <t>406, 813</t>
  </si>
  <si>
    <t>LINESTRING (120.075636 28.754771, 119.303001 28.606322)</t>
  </si>
  <si>
    <t>P4838</t>
  </si>
  <si>
    <t>Qushan LNG Transport Pipeline</t>
  </si>
  <si>
    <t>Qushan LNG Terminal imported LNG</t>
  </si>
  <si>
    <t>LINESTRING (122.351978 30.427224, 121.858699 29.740845)</t>
  </si>
  <si>
    <t>P4839</t>
  </si>
  <si>
    <t>Shangyu-Xinchang Gas Pipeline</t>
  </si>
  <si>
    <t>Shangyu</t>
  </si>
  <si>
    <t>Shaoxing</t>
  </si>
  <si>
    <t>Xinchang</t>
  </si>
  <si>
    <t>LINESTRING (120.9014449 30.042779, 120.884209 29.9651563, 120.8628062 29.9062987, 120.8770747 29.7439944, 120.8788583 29.6708683, 120.9307242 29.5351932, 120.9472966 29.483564)</t>
  </si>
  <si>
    <t>P4840</t>
  </si>
  <si>
    <t>Taizhou-Jinhua-Quzhou Natural Gas Pipeline</t>
  </si>
  <si>
    <t>LINESTRING (118.9078894 28.962824, 119.6605451 29.1019705, 121.2291049 28.6434197)</t>
  </si>
  <si>
    <t>P4841</t>
  </si>
  <si>
    <t>Xiaoshan-Yiwu Natural Gas Pipeline</t>
  </si>
  <si>
    <t>606, 813</t>
  </si>
  <si>
    <t>Yiwu</t>
  </si>
  <si>
    <t>LINESTRING (120.3219485 30.1738967, 120.2873111 30.0945195, 120.2699925 30.0541093, 120.2483442 29.9963805, 120.1848424 29.8910253, 120.1773377 29.7058889, 120.1520524 29.6511042, 120.1309814 29.5899982, 120.000341 29.3455742)</t>
  </si>
  <si>
    <t>P4842</t>
  </si>
  <si>
    <t>Yongshao Gas Pipeline (East and West Sections)</t>
  </si>
  <si>
    <t>LINESTRING (122.091771 29.893989, 121.858699 29.740845, 120.901842 29.498199, 120.120315 29.664354)</t>
  </si>
  <si>
    <t>P4843</t>
  </si>
  <si>
    <t>P4844</t>
  </si>
  <si>
    <t>Yunhe-Jingning-Wencheng-Taishun Natural Gas County to County Pipeline Project</t>
  </si>
  <si>
    <t>LINESTRING (119.575707 28.092324, 119.640521 27.983732, 119.722134 27.565664, 120.077106 27.785536)</t>
  </si>
  <si>
    <t>P4845</t>
  </si>
  <si>
    <t>Zhoushan LNG Underwater Transport Pipeline</t>
  </si>
  <si>
    <t>ENN (Zhoushan) Natural Gas Pipelines Co., Ltd. [200.00%]</t>
  </si>
  <si>
    <t>ENN Natural Gas Co., Ltd. [90.00%]; Prism Energy International Pte.Ltd [10.00%]</t>
  </si>
  <si>
    <t>LINESTRING (122.282508 30.100617, 121.884377 29.921361)</t>
  </si>
  <si>
    <t>P4846</t>
  </si>
  <si>
    <t>Changzhou-Huzhou Gas Pipeline</t>
  </si>
  <si>
    <t>West-East pipeline I</t>
  </si>
  <si>
    <t>LINESTRING (119.898809 31.827233, 119.801347 31.373211, 119.885114 31.023414)</t>
  </si>
  <si>
    <t>P4847</t>
  </si>
  <si>
    <t>Chunxiao-Ningbo Offshore Gas Pipeline</t>
  </si>
  <si>
    <t>CNOOC Limited [unknown %]</t>
  </si>
  <si>
    <t>offshore Chunxiao Oil&amp;Gas Field</t>
  </si>
  <si>
    <t>East Sea</t>
  </si>
  <si>
    <t>Beilun</t>
  </si>
  <si>
    <t>LINESTRING (121.889249 29.753771, 126.2689 27.6779)</t>
  </si>
  <si>
    <t>P4848</t>
  </si>
  <si>
    <t>Hangzhou-Huzhou Gas Pipeline</t>
  </si>
  <si>
    <t>LINESTRING (120.370857 30.345977, 119.885114 31.023414)</t>
  </si>
  <si>
    <t>P4849</t>
  </si>
  <si>
    <t>Hangzhou-Ningbo Gas Pipeline</t>
  </si>
  <si>
    <t>LINESTRING (120.370857 30.345977, 121.858699 29.740845)</t>
  </si>
  <si>
    <t>P4850</t>
  </si>
  <si>
    <t>Jinhua-Lishui-Wenzhou Gas Pipeline</t>
  </si>
  <si>
    <t>Jinhua</t>
  </si>
  <si>
    <t>LINESTRING (120.481612 28.094426, 120.075636 28.754771, 119.702258 29.162606)</t>
  </si>
  <si>
    <t>P4851</t>
  </si>
  <si>
    <t>Ningbo-Taizhou-Wenzhou Gas Pipeline</t>
  </si>
  <si>
    <t>Chunxiao Offshore oil&amp;gas filed</t>
  </si>
  <si>
    <t>Chunxiao</t>
  </si>
  <si>
    <t>Lucheng</t>
  </si>
  <si>
    <t>MULTILINESTRING ((121.858699 29.740845, 121.444011 29.292608, 121.326145 29.08149, 121.475147 28.385822, 121.004451 28.074607, 120.404663 27.494571), (121.004451 28.074607, 120.481612 28.094426))</t>
  </si>
  <si>
    <t>P4852</t>
  </si>
  <si>
    <t>Sanmen-Shengzhou Gas Pipeline</t>
  </si>
  <si>
    <t>Sanmen</t>
  </si>
  <si>
    <t>Shengzhou</t>
  </si>
  <si>
    <t>LINESTRING (121.43092 29.110923, 121.183673 29.080402, 120.928302 29.296996, 120.856023 29.618478)</t>
  </si>
  <si>
    <t>P4853</t>
  </si>
  <si>
    <t>Yunhe-Longquan Gas Pipeline</t>
  </si>
  <si>
    <t>Yunhe</t>
  </si>
  <si>
    <t>Longquan</t>
  </si>
  <si>
    <t>MULTILINESTRING ((119.73348 28.297242, 119.680089 28.248483, 119.639163 28.21045, 119.637357 28.208705, 119.440895 28.134429, 119.345507 28.061685), (119.639163 28.21045, 119.792362 28.203583))</t>
  </si>
  <si>
    <t>P4854</t>
  </si>
  <si>
    <t>Qingyuan Branch</t>
  </si>
  <si>
    <t>LINESTRING (119.15647807370296 28.071863090976276, 119.06179364579775 27.62864296906103)</t>
  </si>
  <si>
    <t>P4855</t>
  </si>
  <si>
    <t>Yueqing-Wenzhou Gas Pipeline</t>
  </si>
  <si>
    <t>Yueqing</t>
  </si>
  <si>
    <t>LINESTRING (120.95704804207297 28.099048815159456, 120.481612 28.094426)</t>
  </si>
  <si>
    <t>P4857</t>
  </si>
  <si>
    <t>https://www.gem.wiki/Hainan_Gas_Pipeline_Network</t>
  </si>
  <si>
    <t>Hainan Gas Pipeline Network</t>
  </si>
  <si>
    <t>Hainan LNG Pararell Pipeline</t>
  </si>
  <si>
    <t>CNOOC Hainan Gas Co., Ltd. [300.00%]</t>
  </si>
  <si>
    <t>National Petroleum and Natural Gas Pipeline Network Group Co., Ltd. [65.00%]; National Energy Investment Group Co., Ltd. [22.90%]; Hainan Development Holding Co., Ltd. [12.10%]</t>
  </si>
  <si>
    <t>Hainan LNG terminal imported LNG</t>
  </si>
  <si>
    <t>Yangpu</t>
  </si>
  <si>
    <t>Danzhou</t>
  </si>
  <si>
    <t>Chengmai</t>
  </si>
  <si>
    <t>Haikou</t>
  </si>
  <si>
    <t>海南环岛输气管道</t>
  </si>
  <si>
    <t>LINESTRING (109.180655 19.722623, 110.030335 19.959946)</t>
  </si>
  <si>
    <t>P4858</t>
  </si>
  <si>
    <t>Hainan Middle Gas Pipeline</t>
  </si>
  <si>
    <t>中石油昆仑燃气有限公司海南分公司 [100.00%]</t>
  </si>
  <si>
    <t>offshore oil&amp;gas field</t>
  </si>
  <si>
    <t>Wencheng</t>
  </si>
  <si>
    <t>Wenchang</t>
  </si>
  <si>
    <t>LINESTRING (109.944809 19.922078, 110.10061 19.380701, 109.944809 19.922078, 110.194825 20.042002, 109.944809 19.922078, 110.742314 19.538089, 109.944809 19.922078, 110.107405 19.37677, 110.742314 19.538089, 110.389196 18.807863, 110.012972 18.508096)</t>
  </si>
  <si>
    <t>P4859</t>
  </si>
  <si>
    <t>Hainan Island Loop Pipeline (west)</t>
  </si>
  <si>
    <t>National Pipe Network Group Hainan Pipe Network Co., Ltd. [200.00%]</t>
  </si>
  <si>
    <t>National Petroleum and Natural Gas Pipeline Network Group Co., Ltd. [55.00%]; Hainan Development Holding Co., Ltd. [45.00%]</t>
  </si>
  <si>
    <t>offshore oil&amp;gas field/LNG Terminal</t>
  </si>
  <si>
    <t>Yachou District</t>
  </si>
  <si>
    <t>Wechang</t>
  </si>
  <si>
    <t>MULTILINESTRING ((109.148628 18.309515, 108.63798 19.061647, 109.180055 19.739203, 110.197253 20.041758, 110.742314 19.538089), (108.63798 19.061647, 107.912961 18.854285), (109.117774 17.289356, 109.148628 18.309515))</t>
  </si>
  <si>
    <t>P4860</t>
  </si>
  <si>
    <t>Wenchang-Qionghai-Sanya Gas Pipeline</t>
  </si>
  <si>
    <t>Yazhou District</t>
  </si>
  <si>
    <t>LINESTRING (110.742314 19.538089, 110.461768 19.249807, 110.389196 18.807863, 110.012972 18.508096, 109.518529 18.227402, 109.148628 18.309515)</t>
  </si>
  <si>
    <t>P4861</t>
  </si>
  <si>
    <t>https://www.gem.wiki/Sebei-Xining-Lanzhou_Gas_Pipeline</t>
  </si>
  <si>
    <t>Sebei-Xining-Lanzhou Gas Pipeline</t>
  </si>
  <si>
    <t>Sebei, Qaidam Basin</t>
  </si>
  <si>
    <t>Qaidam Basin</t>
  </si>
  <si>
    <t>涩宁兰输气管道（涩北-西宁-兰州）</t>
  </si>
  <si>
    <t>LINESTRING (94.165981 37.350374, 95.497236 37.450395, 97.355222 37.314571, 98.470852 36.910872, 99.455664 36.68665, 100.973197 36.398028, 101.59062 36.420921, 101.67866 36.457201, 101.790715 36.45405, 102.809053 36.050053, 103.583904 36.105148)</t>
  </si>
  <si>
    <t>P4862</t>
  </si>
  <si>
    <t>https://www.gem.wiki/Sebei-Xining-Lanzhou_parallel_Gas_Pipeline</t>
  </si>
  <si>
    <t>Sebei-Xining-Lanzhou Parallel Gas Pipeline</t>
  </si>
  <si>
    <t>Sebei 1 Gas Field（青海柴达木盆地涩北一号气田）</t>
  </si>
  <si>
    <t>Sebei</t>
  </si>
  <si>
    <t>涩宁兰输气管道复线（涩北-西宁-兰州）</t>
  </si>
  <si>
    <t>LINESTRING (94.163561 37.348229, 97.355222 37.314571, 98.25078 36.98391, 100.973197 36.398028, 101.59062 36.420921, 101.790715 36.45405, 102.809053 36.050053, 103.583904 36.105148)</t>
  </si>
  <si>
    <t>P4863</t>
  </si>
  <si>
    <t>https://www.gem.wiki/Hubei_Gas_Pipeline_Network</t>
  </si>
  <si>
    <t>Hubei Gas Pipeline Network</t>
  </si>
  <si>
    <t>Enshi–Xuan'en–Xianfeng Gas Pipeline</t>
  </si>
  <si>
    <t>Enshi Minsheng Natural Gas (Group) Co., Ltd. [400.00%]</t>
  </si>
  <si>
    <t>Minsheng Energy Group [45.70%]; 其他股东 [44.80%]; Chongqing Fangqi Gas Appliance Sales Ltd. [7.50%]; other [2.00%]</t>
  </si>
  <si>
    <t>湖北输气管网</t>
  </si>
  <si>
    <t>LINESTRING (109.4796 30.2951, 109.491 29.987, 109.1397 29.6652)</t>
  </si>
  <si>
    <t>P4864</t>
  </si>
  <si>
    <t>Huanggang–Daye Gas Pipeline</t>
  </si>
  <si>
    <t>Huanggang</t>
  </si>
  <si>
    <t>LINESTRING (114.8724 30.4537, 114.9804 30.0961)</t>
  </si>
  <si>
    <t>P4865</t>
  </si>
  <si>
    <t>Huanggang–Macheng Gas Pipeline</t>
  </si>
  <si>
    <t>Macheng</t>
  </si>
  <si>
    <t>LINESTRING (114.8724 30.4537, 115.008 31.173)</t>
  </si>
  <si>
    <t>P4866</t>
  </si>
  <si>
    <t>Jingzhou–Shishou Gas Pipeline</t>
  </si>
  <si>
    <t>Shishou</t>
  </si>
  <si>
    <t>LINESTRING (112.2414 30.3363, 112.4254 29.7209)</t>
  </si>
  <si>
    <t>P4867</t>
  </si>
  <si>
    <t>Shiyan–Zhushan–Zhuxi Gas Pipeline</t>
  </si>
  <si>
    <t>Hubei Tongxiang Natural Gas Co., Ltd. [200.00%]</t>
  </si>
  <si>
    <t>Shanghai Zhongman Investment Holding Co., Ltd. [57.00%]; Tongxiang Energy Group Co., Ltd. [43.00%]</t>
  </si>
  <si>
    <t>LINESTRING (110.7987 32.629, 110.2287 32.2249, 109.7153 32.3183)</t>
  </si>
  <si>
    <t>P4868</t>
  </si>
  <si>
    <t>Wuchang–Yichang Gas Pipeline</t>
  </si>
  <si>
    <t>Hubei Natural Gas Development Co., Ltd. [200.00%]</t>
  </si>
  <si>
    <t>Hubei Energy Group Co., Ltd. [51.00%]; National Petroleum and Natural Gas Pipeline Network Group Co., Ltd. [49.00%]</t>
  </si>
  <si>
    <t>LINESTRING (114.3404 30.5619, 111.287 30.692)</t>
  </si>
  <si>
    <t>P4869</t>
  </si>
  <si>
    <t>Wuhan–Chibi Gas Pipeline</t>
  </si>
  <si>
    <t>LINESTRING (114.3046 30.5934, 113.9 29.716667)</t>
  </si>
  <si>
    <t>P4870</t>
  </si>
  <si>
    <t>Wuhan–Xiaogan Gas Pipeline</t>
  </si>
  <si>
    <t>LINESTRING (114.3046 30.5934, 113.957 30.918)</t>
  </si>
  <si>
    <t>P4871</t>
  </si>
  <si>
    <t>Xiaogan-Dawu Gas Pipeline</t>
  </si>
  <si>
    <t>LINESTRING (113.957 30.918, 114.316667 31.616667)</t>
  </si>
  <si>
    <t>P4872</t>
  </si>
  <si>
    <t>Xiaogan–Jingmen–Qianjiang Gas Pipeline</t>
  </si>
  <si>
    <t>LINESTRING (113.957 30.918, 112.199 31.0354, 112.9003 30.4019)</t>
  </si>
  <si>
    <t>P4873</t>
  </si>
  <si>
    <t>Xiaochang</t>
  </si>
  <si>
    <t>Yangzhai</t>
  </si>
  <si>
    <t>P4874</t>
  </si>
  <si>
    <t>Zaoyang-Shiyan gas pipeline</t>
  </si>
  <si>
    <t>1.2/0.5</t>
  </si>
  <si>
    <t>P4875</t>
  </si>
  <si>
    <t>Xianning South Three-County gas pipeline</t>
  </si>
  <si>
    <t>P4876</t>
  </si>
  <si>
    <t>https://www.gem.wiki/Hunan_Gas_Pipeline_Network</t>
  </si>
  <si>
    <t>Hunan Gas Pipeline Network</t>
  </si>
  <si>
    <t>Changde Five Counties and One City Gas Pipeline</t>
  </si>
  <si>
    <t>Hunan Xianggan Three Gorges Gas Investment Co., Ltd. [100.00%]</t>
  </si>
  <si>
    <t>南海能源投资有限公司 [100.00%]</t>
  </si>
  <si>
    <t>Changde</t>
  </si>
  <si>
    <t>湖南输气管网</t>
  </si>
  <si>
    <t>LINESTRING (111.7015498 29.031982, 111.463676 28.943539, 111.620627 29.450623, 111.42996 29.574483, 111.764226 29.629382, 111.8608 29.63645, 112.17405 29.395004)</t>
  </si>
  <si>
    <t>P4877</t>
  </si>
  <si>
    <t>Changsha–Changde Gas Pipeline</t>
  </si>
  <si>
    <t>Changde Huayou Qiran Natural Gas Transmission and Distribution Co., Ltd. [400.00%]</t>
  </si>
  <si>
    <t>Kunlun Energy Co., Ltd. [45.90%]; Hunan Xiangtou Holding Group Co., Ltd. [25.90%]; China Resources Gas (Hong Kong) Investment Co., Ltd. [23.40%]; other [4.70%]</t>
  </si>
  <si>
    <t>LINESTRING (112.9372648 28.2275472, 112.7875881 28.4708924, 112.5750012 28.4905407, 112.353296 28.5549043, 112.2333433 28.6447196, 112.1164831 28.7046157, 111.7487013 28.9996495, 111.7015498 29.031982)</t>
  </si>
  <si>
    <t>P4878</t>
  </si>
  <si>
    <t>Changsha–Liuyang Gas Pipeline</t>
  </si>
  <si>
    <t>Hunan Natural Gas Co., Ltd. [300.00%]</t>
  </si>
  <si>
    <t>Kunlun Energy Co., Ltd. [60.00%]; Hunan Xiangtou Holding Group Co., Ltd. [33.80%]; other [6.20%]</t>
  </si>
  <si>
    <t>Changsha</t>
  </si>
  <si>
    <t>Liuyang</t>
  </si>
  <si>
    <t>LINESTRING (112.937571 28.2272411, 113.1086935 28.2427744, 113.2259351 28.2357027, 113.3806041 28.1563316, 113.4723047 28.1138597, 113.5977898 28.1109639, 113.6425789 28.1635835)</t>
  </si>
  <si>
    <t>P4879</t>
  </si>
  <si>
    <t>Changsha–Yiyang Gas Pipeline</t>
  </si>
  <si>
    <t>Yiyang</t>
  </si>
  <si>
    <t>LINESTRING (112.9373878 28.2273679, 112.7870107 28.4698675, 112.5760666 28.4896435, 112.3547804 28.5541621)</t>
  </si>
  <si>
    <t>P4880</t>
  </si>
  <si>
    <t>Greater Western Hunan Gas Pipeline (Fenghuang Border to Guizhou)</t>
  </si>
  <si>
    <t>Hunan Daxiangxi Natural Gas Pipeline Network Investment and Development Co., Ltd. [600.00%]</t>
  </si>
  <si>
    <t>Hunan Xiangtou Holding Group Co., Ltd. [30.20%]; National Petroleum and Natural Gas Pipeline Network Group Co., Ltd. [29.30%]; other [20.00%]; China Petroleum &amp; Chemical Corporation [8.90%]; China Yangtze Power Co., Ltd. [5.80%]; Chongqing Fuling Industrial Development Group Co., Ltd. [5.80%]</t>
  </si>
  <si>
    <t>LINESTRING (109.5998318 27.9477195, 109.4453799 27.9265568, 109.3333257 27.9007602, 109.2621258 27.8413372, 109.1897487 27.7328057)</t>
  </si>
  <si>
    <t>P4881</t>
  </si>
  <si>
    <t>Greater Western Hunan Gas Pipeline (Huayuan–Huaihua)</t>
  </si>
  <si>
    <t>LINESTRING (109.9943755 27.5659359, 109.9218646 27.6600237, 109.8623095 27.780701, 109.8189665 27.8587861, 109.6813112 27.8940429, 109.6002052 27.947898, 109.6011517 28.1273428, 109.6333345 28.1988601, 109.672669 28.2489222, 109.7280949 28.2954084, 109.619031 28.306136, 109.5528775 28.3526223, 109.5028154 28.438443, 109.4724205 28.5421431, 109.4844816 28.5711749)</t>
  </si>
  <si>
    <t>P4882</t>
  </si>
  <si>
    <t>Greater Western Hunan Gas Pipeline (Huayuan–Zhangjiajie)</t>
  </si>
  <si>
    <t>LINESTRING (109.4844821 28.5713107, 109.5709392 28.6415058, 109.6358228 28.6836801, 109.6542065 28.7031452, 109.7180087 28.7831683, 109.7893806 28.8642728, 109.826148 28.9388889, 109.8434503 28.9962028)</t>
  </si>
  <si>
    <t>P4883</t>
  </si>
  <si>
    <t>Greater Western Hunan Gas Pipeline (Longshan–Huayuan)</t>
  </si>
  <si>
    <t>LINESTRING (109.4297241 29.474204, 109.4844694 28.5711381)</t>
  </si>
  <si>
    <t>P4884</t>
  </si>
  <si>
    <t>Greater Western Hunan Gas Pipeline (Mayang–Chengxi–Xupu-Anhua) (Mayang–Chenxi Segment)</t>
  </si>
  <si>
    <t>LINESTRING (109.8189907 27.8586647, 109.9315742 27.8778551, 110.0855235 27.8893693, 110.1567411 27.8991777, 110.2342259 27.890687, 110.2827073 27.873264, 110.3622471 27.8528109, 110.4364842 27.8611437, 110.4993585 27.8755366, 110.5614753 27.9058375, 110.594428 27.9074118)</t>
  </si>
  <si>
    <t>P4885</t>
  </si>
  <si>
    <t>Guiyang-Linwu Gas Pipeline</t>
  </si>
  <si>
    <t>Hunan Natural Gas Pipeline Network Co., Ltd. [400.00%]</t>
  </si>
  <si>
    <t>Hunan Xiangtou Holding Group Co., Ltd. [46.50%]; National Petroleum and Natural Gas Pipeline Network Group Co., Ltd. [45.00%]; Hunan Xingxiang Investment Holding Group Co., Ltd. [5.20%]; other [3.40%]</t>
  </si>
  <si>
    <t>400/250</t>
  </si>
  <si>
    <t>Linwu</t>
  </si>
  <si>
    <t>P4886</t>
  </si>
  <si>
    <t>Guiyang–Chenzhou–Zixing</t>
  </si>
  <si>
    <t>LINESTRING (112.7334454 25.752491, 112.828596 25.768957, 112.8766452 25.7747423, 112.9262272 25.7819982, 112.9679486 25.7826029, 113.0175306 25.773533, 113.0356703 25.8370221, 113.0798104 25.8599991, 113.1244007 25.8659288, 113.1537367 25.8846712, 113.2026933 25.9355032, 113.2394378 25.9755034)</t>
  </si>
  <si>
    <t>P4887</t>
  </si>
  <si>
    <t>Hengdong-Dapu Gas Pipeline</t>
  </si>
  <si>
    <t>Hunan Xiangtou Natural Gas Investment Co., Ltd. [400.00%]</t>
  </si>
  <si>
    <t>Hunan Xiangtou Holding Group Co., Ltd. [84.50%]; Hunan Xingxiang Investment Holding Group Co., Ltd. [9.40%]; Hunan Caixin Financial Holding Group Co., Ltd. [5.10%]; other [1.00%]</t>
  </si>
  <si>
    <t>300/250</t>
  </si>
  <si>
    <t>Hengdong</t>
  </si>
  <si>
    <t>Dapu</t>
  </si>
  <si>
    <t>P4888</t>
  </si>
  <si>
    <t>Hengyang–Yanling Pipeline (phase1)</t>
  </si>
  <si>
    <t>LINESTRING (112.5733456 26.8917494, 112.8093951 26.8359179, 113.0893181 26.7950123, 113.1695253 26.7877936, 113.3418521 26.8130639, 113.4356084 26.8212166, 113.488601 26.7947203, 113.4987919 26.7580331, 113.5538228 26.7519185, 113.5721664 26.6133223, 113.6536936 26.5195661, 113.7774362 26.4919454)</t>
  </si>
  <si>
    <t>P4889</t>
  </si>
  <si>
    <t>Hengyang–Yanling Pipeline (phase2)</t>
  </si>
  <si>
    <t>Shentan Town, Liling</t>
  </si>
  <si>
    <t>Zhuzhou</t>
  </si>
  <si>
    <t>You County</t>
  </si>
  <si>
    <t>P4890</t>
  </si>
  <si>
    <t>Huaihua-Zhijiang-Zhongfang-Hongjiang Gas Pipeline</t>
  </si>
  <si>
    <t>P4891</t>
  </si>
  <si>
    <t>Huarong–Nan County–Anxiang Gas Pipeline</t>
  </si>
  <si>
    <t>LINESTRING (112.5402672 29.5311975, 112.5434517 29.4739394, 112.3967721 29.3594657, 112.2799533 29.3751573, 112.17405 29.395004)</t>
  </si>
  <si>
    <t>P4892</t>
  </si>
  <si>
    <t>Lianyuan–Xinhua Gas Pipeline</t>
  </si>
  <si>
    <t>219, 273.1</t>
  </si>
  <si>
    <t>LINESTRING (111.6647448 27.6917357, 111.3266454 27.7264069)</t>
  </si>
  <si>
    <t>P4893</t>
  </si>
  <si>
    <t>Miluo–Pingjiang Gas Pipeline</t>
  </si>
  <si>
    <t>LINESTRING (113.0682721 28.8061595, 113.286847 28.7841035, 113.428202 28.7690757, 113.5490575 28.7087829, 113.5820006 28.7022512)</t>
  </si>
  <si>
    <t>P4894</t>
  </si>
  <si>
    <t>Miluo–Xiangyin–Quyuan Gas Pipeline</t>
  </si>
  <si>
    <t>LINESTRING (113.1458501 28.7208239, 113.1442929 28.7186549, 113.1443207 28.7154014, 113.1440148 28.7127875, 113.1417624 28.7105073, 113.1362565 28.7102292, 113.1325859 28.7122036, 113.1273581 28.7123148, 113.1240768 28.7101458, 113.1196453 28.7095758, 113.1186151 28.7089381, 113.1166038 28.7057004, 113.1139057 28.7055041, 113.1063019 28.7021683, 113.1033095 28.6966249, 113.0966378 28.689757, 113.0955586 28.6883344, 113.0924274 28.6810319, 113.0840636 28.6770491, 113.0758326 28.6745267, 113.0743722 28.6714733, 113.0710533 28.6684198, 113.0637516 28.6688181, 113.059636 28.6651009, 113.0529981 28.6640388, 113.0496791 28.6627112, 113.0464929 28.6613836, 113.0451653 28.6632422, 113.0450326 28.6657647, 113.0373326 28.6653664, 113.0284378 28.6661629, 113.0248533 28.6690836, 113.0208705 28.674925, 113.0187464 28.6759871, 113.0135688 28.675456, 113.0102498 28.6762526, 113.008524 28.6778457, 112.994186 28.678244, 112.9886102 28.6762526, 112.986486 28.6759871, 112.9854239 28.6750578, 112.9822377 28.675456, 112.9778787 28.6744663, 112.9703925 28.6755812, 112.9616321 28.6765369, 112.9519161 28.674307, 112.9422 28.6735106, 112.9394923 28.6733513, 112.9367845 28.6751034, 112.9332804 28.6747848, 112.932484 28.6757405, 112.9321654 28.6784483, 112.9328025 28.6824303, 112.9348732 28.6846602, 112.9372624 28.6864123, 112.9404479 28.6894386, 112.9407665 28.6929427, 112.9412443 28.6956505, 112.9455449 28.7021809, 112.9409258 28.713012, 112.938218 28.7166754, 112.9383773 28.7249579, 112.939333 28.727825, 112.9383773 28.7381781, 112.939333 28.7394524, 112.9386959 28.7424787, 112.9414036 28.7456643, 112.9429964 28.7501241, 112.9428371 28.7541061, 112.9428371 28.7612737, 112.9431557 28.7647778, 112.9423593 28.7738568, 112.9422 28.7772017, 112.943315 28.7829357, 112.9407665 28.7865992, 112.9410851 28.7915368, 112.9429964 28.7944039, 112.9412201 28.7987056, 112.9404449 28.8031628, 112.9402511 28.810333, 112.9383132 28.8120771, 112.9418014 28.817697, 112.9406387 28.8211853, 112.9315305 28.8310686, 112.9299802 28.8337816, 112.9293989 28.8378512, 112.9257168 28.838045)</t>
  </si>
  <si>
    <t>P4895</t>
  </si>
  <si>
    <t>Shaodong-Shuangfeng Gas Pipeline</t>
  </si>
  <si>
    <t>Shaodong</t>
  </si>
  <si>
    <t>Shaoyang</t>
  </si>
  <si>
    <t>Shuangfeng</t>
  </si>
  <si>
    <t>P4896</t>
  </si>
  <si>
    <t>Shaoyang–Dongkou–Xinning Gas Pipeline</t>
  </si>
  <si>
    <t>Xinning</t>
  </si>
  <si>
    <t>LINESTRING (111.4680014 27.2378745, 111.2972021 27.2264401, 111.1444157 27.1571643, 111.0366586 27.1144398, 110.9741838 27.0250772, 110.9227806 26.9048726, 110.6689274 26.7467086, 110.662642 26.6764068, 110.7651894 26.5289071, 110.8382369 26.4670977, 110.8568615 26.435989)</t>
  </si>
  <si>
    <t>P4897</t>
  </si>
  <si>
    <t>Tuqiao-Yongxing, Anren-Yongxing Gas Pipeline</t>
  </si>
  <si>
    <t>Anren</t>
  </si>
  <si>
    <t>Rucheng</t>
  </si>
  <si>
    <t>LINESTRING (113.26966009285458 26.70944003595303, 113.11733715645529 26.1286998532185, 113.71932103430989 25.588590682933873)</t>
  </si>
  <si>
    <t>P4898</t>
  </si>
  <si>
    <t>Xiangtan–Hengyang Gas Pipeline</t>
  </si>
  <si>
    <t>Xiangheng Natural Gas Transmission Branch of PetroChina Jinhong Natural Gas Transmission Co., Ltd. [100.00%]</t>
  </si>
  <si>
    <t>LINESTRING (112.9509179 27.8290745, 112.8440374 27.5174534, 112.7456352 27.2363043, 112.5734314 26.8918966)</t>
  </si>
  <si>
    <t>P4899</t>
  </si>
  <si>
    <t>Xiangtan–Liling Gas Pipeline</t>
  </si>
  <si>
    <t>Hunan Zhongyou Gas Co., Ltd. [600.00%]</t>
  </si>
  <si>
    <t>昆仑能源有限公司（KUNLUN ENERGY COMPANY LIMITED） [29.40%]; Guangxi Diheng Investment Co., Ltd. [17.80%]; 中大工业集团有限公司（ZHONGDA INDUSTRIAL GROUP INC.） [15.60%]; 恒泰金融集团有限公司（ALTA FINANCIAL HOLDINGS LIMITED） [15.00%]; Beijing Diheng Real Estate Operation Development Co., Ltd. [12.20%]; Beijing Haoheyuan Technology Co., Ltd. [10.00%]</t>
  </si>
  <si>
    <t>Liling</t>
  </si>
  <si>
    <t>LINESTRING (112.9513315 27.8287052, 113.1661794 27.8314749, 113.3311731 27.7535282, 113.4969287 27.6470516)</t>
  </si>
  <si>
    <t>P4900</t>
  </si>
  <si>
    <t>Xiangtan–Loudi–Shaoyang Gas Pipeline</t>
  </si>
  <si>
    <t>Hunan PetroChina Kunlun Xiangloushao Natural Gas Transmission and Distribution Co., Ltd. [600.00%]</t>
  </si>
  <si>
    <t>Kunlun Energy Co., Ltd. [24.00%]; Century Golden Resources Investment Group Co., Ltd. [20.00%]; Shanghai Jinsheng Investment Co., Ltd. [15.30%]; other [15.20%]; Hunan Xiangtou Holding Group Co., Ltd. [13.50%]; Shanghai Rendutong Investment Co., Ltd. [12.00%]</t>
  </si>
  <si>
    <t>LINESTRING (112.9510288 27.8287341, 112.6553923 27.8401889, 112.2798634 27.7974727, 111.9918292 27.7025675, 111.6647445 27.6917245, 111.6456404 27.6536865, 111.481717 27.41001, 111.4679411 27.2380123)</t>
  </si>
  <si>
    <t>P4901</t>
  </si>
  <si>
    <t>Yiyang–Taojiang–Anhua Gas Pipeline</t>
  </si>
  <si>
    <t>LINESTRING (112.3544877 28.5543173, 112.2157726 28.5387812, 112.1567797 28.5185024, 112.0188106 28.5197531, 111.971595 28.4734454, 111.7745605 28.4471136, 111.6561065 28.4222895, 111.5013651 28.370709, 111.2131714 28.3735938)</t>
  </si>
  <si>
    <t>P4902</t>
  </si>
  <si>
    <t>Yongzhou–Shaoyang</t>
  </si>
  <si>
    <t>LINESTRING (111.6141422 26.4201437, 111.6032034 26.2198997, 111.6098411 26.1048469, 111.6579696 25.9612201, 111.6171509 25.8750741, 111.6034025 25.7740527, 111.584476 25.6666462, 111.5812463 25.5579129, 111.599761 25.5260406)</t>
  </si>
  <si>
    <t>P4903</t>
  </si>
  <si>
    <t>Yongzhou–Shuangpai–Dao County Gas Pipeline</t>
  </si>
  <si>
    <t>P4904</t>
  </si>
  <si>
    <t>Yuelin Gas Pipeline(Yueyang-Linxiang)</t>
  </si>
  <si>
    <t>西气东输忠武线潜湘支线</t>
  </si>
  <si>
    <t>Jianjun village, Yunxi District</t>
  </si>
  <si>
    <t>Linxiang</t>
  </si>
  <si>
    <t>P4905</t>
  </si>
  <si>
    <t>Zhuzhou-Ningxiang Gas Pipeline</t>
  </si>
  <si>
    <t>P4906</t>
  </si>
  <si>
    <t>https://www.gem.wiki/Huarong-Nanxian-Anxiang_Gas_Pipeline</t>
  </si>
  <si>
    <t>Huarong-Nanxian-Anxiang Gas Pipeline</t>
  </si>
  <si>
    <t>LINESTRING (112.428092 29.69337, 112.48652 29.515123, 112.398206 29.340434, 112.12822 29.406806)</t>
  </si>
  <si>
    <t>P4907</t>
  </si>
  <si>
    <t>https://www.gem.wiki/Changqing-Lanzhou_Gas_Pipeline</t>
  </si>
  <si>
    <t>Gansu Gas Pipeline Network</t>
  </si>
  <si>
    <t>Changqing-Lanzhou gas pipeline</t>
  </si>
  <si>
    <t>Gansu Investment Natural Gas Co., Ltd. [400.00%]</t>
  </si>
  <si>
    <t>Gansu Provincial State-owned Assets Investment Group Co., Ltd. [33.60%]; Gansu Energy Chemical Investment Group Co., Ltd. [30.00%]; 庆阳市国有资产管理局 [27.60%]; other [8.80%]</t>
  </si>
  <si>
    <t>Changqingqiao</t>
  </si>
  <si>
    <t>Qingyang</t>
  </si>
  <si>
    <t>甘肃输气管网</t>
  </si>
  <si>
    <t>LINESTRING (107.75205103627232 35.32674892457473, 103.583904 36.105148)</t>
  </si>
  <si>
    <t>P4908</t>
  </si>
  <si>
    <t>https://www.gem.wiki/Lanzhou-Dingxi_Gas_Pipeline</t>
  </si>
  <si>
    <t>Lanzhou-Dingxi Gas Pipeline</t>
  </si>
  <si>
    <t>273/508</t>
  </si>
  <si>
    <t>Anding</t>
  </si>
  <si>
    <t>Dingxi</t>
  </si>
  <si>
    <t>Xigu</t>
  </si>
  <si>
    <t>LINESTRING (103.583904 36.105148, 104.580915 35.61567)</t>
  </si>
  <si>
    <t>P4909</t>
  </si>
  <si>
    <t>https://www.gem.wiki/Changqing-Yinchuan_Pipeline</t>
  </si>
  <si>
    <t>Changqing-Yinchuan Gas Pipeline</t>
  </si>
  <si>
    <t>Jingbian</t>
  </si>
  <si>
    <t>Changqing</t>
  </si>
  <si>
    <t>LINESTRING (106.110757 38.456894, 106.266118 38.274706, 106.342327 38.098539, 106.830367 38.121103, 107.406995 37.799834, 108.926356 37.655418)</t>
  </si>
  <si>
    <t>P4910</t>
  </si>
  <si>
    <t>https://www.gem.wiki/Gulang-Hekou_Connecting_Gas_Pipeline</t>
  </si>
  <si>
    <t>Gulang-Hekou Connecting Gas Pipeline</t>
  </si>
  <si>
    <t>National Pipe Network Group Gansu Natural Gas Pipe Network Co., Ltd. [500.00%]</t>
  </si>
  <si>
    <t>National Petroleum and Natural Gas Pipeline Network Group Co., Ltd. [60.00%]; Gansu Construction Investment (Holdings) Group Co., Ltd. [19.00%]; Gansu Provincial State-owned Assets Investment Group Co., Ltd. [7.30%]; Gansu Energy Chemical Investment Group Co., Ltd. [7.20%]; other [6.40%]</t>
  </si>
  <si>
    <t>West-East Pipeline II/Jieyang LNG Terminal Import LNG</t>
  </si>
  <si>
    <t>LINESTRING (102.638 37.929, 103.8268 36.0606)</t>
  </si>
  <si>
    <t>P4911</t>
  </si>
  <si>
    <t>https://www.gem.wiki/Gannan_Gas_Supply_Pipeline</t>
  </si>
  <si>
    <t>Linxia-Hezuo Main Line and Xiahe Branch</t>
  </si>
  <si>
    <t>114.3, 219.1</t>
  </si>
  <si>
    <t>Linxia Hui</t>
  </si>
  <si>
    <t>Hezuo</t>
  </si>
  <si>
    <t>MULTILINESTRING ((103.2104 35.6018, 103.0407 35.4787, 102.5218 35.2025, 102.9103 35.0002), (102.5218 35.2025, 102.82551381995832 35.24290261015692))</t>
  </si>
  <si>
    <t>P4912</t>
  </si>
  <si>
    <t>https://www.gem.wiki/Fujian_LNG_Terminal_Transport_pipeline</t>
  </si>
  <si>
    <t>Fujian LNG Terminal Transport Pipeline</t>
  </si>
  <si>
    <t>National Pipe Network Group Fujian Pipe Network Co., Ltd. [200.00%]</t>
  </si>
  <si>
    <t>National Petroleum and Natural Gas Pipeline Network Group Co., Ltd. [60.00%]; Fujian Province Investment Development Group Co., Ltd. [40.00%]</t>
  </si>
  <si>
    <t>[[Fujian LNG Terminal]] imported LNG</t>
  </si>
  <si>
    <t>Cangshan/Longan</t>
  </si>
  <si>
    <t>Fuzhou/Zhangzhou</t>
  </si>
  <si>
    <t>福建海西天然气管网一期工程</t>
  </si>
  <si>
    <t>LINESTRING (118.995617 25.218078, 119.315334 26.030269, 118.995617 25.218078, 117.711547 24.501859)</t>
  </si>
  <si>
    <t>P4913</t>
  </si>
  <si>
    <t>https://www.gem.wiki/Strait_West_Natural_Gas_Pipeline_Network_Phase_II</t>
  </si>
  <si>
    <t>Strait West Natural Gas Pipeline Network Phase II</t>
  </si>
  <si>
    <t>Fuzhou–Fuding Gas Pipeline</t>
  </si>
  <si>
    <t>Fujian LNG Terminal Transport pipeline &amp; West-East III</t>
  </si>
  <si>
    <t>Qingkou</t>
  </si>
  <si>
    <t>福建海西天然气管网二期工程</t>
  </si>
  <si>
    <t>LINESTRING (119.39714 25.937853, 119.4448979 25.936034, 119.4658204 25.940582, 119.4926558 25.956956, 119.4985687 25.962414, 119.5204009 25.982427, 119.5490556 26.019269, 119.5654298 26.022453, 119.5772556 26.032005, 119.587262 26.038827, 119.5895362 26.046559, 119.5696887 26.081909, 119.5633886 26.088997, 119.5602386 26.096872, 119.5626011 26.106322, 119.5460633 26.122072, 119.5586635 26.137823, 119.5633886 26.147273, 119.5641761 26.150423, 119.5484258 26.160661, 119.528738 26.177198, 119.5192878 26.183498, 119.4948749 26.203186, 119.4759745 26.230749, 119.472037 26.27485, 119.4948749 26.296113, 119.4956624 26.320526, 119.4767621 26.345726, 119.475187 26.391402, 119.5074751 26.412665, 119.5074751 26.452041, 119.4854247 26.462278, 119.4846372 26.467791, 119.4972374 26.495354, 119.5232254 26.509529, 119.5531509 26.52843, 119.5484258 26.567018, 119.5295255 26.618994, 119.5161378 26.641832, 119.5051126 26.684357, 119.5090501 26.69302, 119.5350381 26.704045, 119.5358256 26.751296, 119.5440198 26.764481, 119.5595544 26.775485, 119.5621435 26.790372, 119.5712053 26.80979, 119.5873871 26.858336, 119.6100416 26.918532, 119.6404634 26.952837, 119.6488779 26.965783, 119.6495252 26.977434, 119.6527615 26.985848, 119.6540956 27.034189, 119.6680808 27.050039, 119.6662161 27.061227, 119.6596897 27.083603, 119.68766 27.109709, 119.6960511 27.116235, 119.7025775 27.13395, 119.7333448 27.171243, 119.7687739 27.197349, 119.7948795 27.202943, 119.8489554 27.209469, 119.8741287 27.222522, 119.8909109 27.245831, 119.9058284 27.252357, 119.9487162 27.251425, 119.9897393 27.23744, 119.9990628 27.238372, 120.0344918 27.251425, 120.054071 27.254222, 120.0680562 27.273801, 120.0764473 27.285922, 120.1184027 27.287786, 120.1323879 27.29338, 120.1687493 27.299907, 120.1780727 27.301771, 120.1818021 27.305501, 120.1827344 27.314824, 120.1939226 27.345592, 120.2079077 27.35305, 120.2246899 27.364238, 120.2340133 27.375427, 120.235878 27.389412, 120.2610513 27.399667)</t>
  </si>
  <si>
    <t>P4914</t>
  </si>
  <si>
    <t>Fuzhou–Sanming Gas Pipeline</t>
  </si>
  <si>
    <t>Lianjiang</t>
  </si>
  <si>
    <t>Sanyuan</t>
  </si>
  <si>
    <t>LINESTRING (117.571011 26.251487, 117.609249 26.280455, 117.628947 26.296677, 117.652143 26.307626, 117.675296 26.317534, 117.699629 26.319852, 117.705423 26.33955, 117.70774 26.363883, 117.712089 26.374913, 117.722804 26.390534, 117.742502 26.416026, 117.766835 26.429931, 117.783046 26.437306, 117.801597 26.446153, 117.837518 26.443835, 117.86012 26.43486, 117.876024 26.428743, 117.888258 26.432413, 117.904724 26.451947, 117.925581 26.463534, 117.941803 26.465851, 117.957779 26.472313, 117.987185 26.470261, 117.994024 26.457267, 118.009451 26.47201, 118.030651 26.470642, 118.061976 26.491008, 118.087075 26.49859, 118.104604 26.499537, 118.116728 26.502452, 118.129516 26.495978, 118.13531 26.471645, 118.149215 26.456581, 118.166596 26.442677, 118.179342 26.425296, 118.183976 26.418343, 118.194405 26.414867, 118.205992 26.40328, 118.216421 26.388217, 118.226849 26.366201, 118.229167 26.356931, 118.246548 26.354614, 118.255817 26.337233, 118.256976 26.323328, 118.263928 26.308265, 118.276674 26.296677, 118.28942 26.279296, 118.305643 26.274662, 118.320706 26.279296, 118.338087 26.268868, 118.347357 26.258439, 118.35315 26.248011, 118.387309 26.248314, 118.404134 26.250328, 118.444139 26.257605, 118.473051 26.26217, 118.491311 26.269779, 118.503484 26.288039, 118.512614 26.292604, 118.524787 26.28956, 118.552177 26.28043, 118.567394 26.2713, 118.590219 26.2713, 118.60087 26.275865, 118.61 26.266735, 118.608479 26.246954, 118.608479 26.230216, 118.622174 26.224129, 118.629782 26.208912, 118.638912 26.195217, 118.651085 26.187609, 118.654578 26.175292, 118.66371 26.173263, 118.685018 26.183409, 118.722603 26.184566, 118.73782 26.170871, 118.757601 26.157176, 118.766731 26.152611, 118.781948 26.158698, 118.794121 26.167828, 118.801701 26.176307, 118.808043 26.177575, 118.813877 26.174277, 118.827598 26.164784, 118.842814 26.160219, 118.870204 26.170871, 118.889986 26.173914, 118.894551 26.186087, 118.929549 26.187609, 118.959982 26.184566, 118.991937 26.183044, 119.019327 26.181522, 119.036065 26.167828, 119.046717 26.160219, 119.069542 26.158698, 119.07715 26.161741, 119.110626 26.187609, 119.144103 26.186087, 119.174536 26.172393, 119.194318 26.172393, 119.223229 26.183044, 119.246054 26.183044, 119.276487 26.178479, 119.311485 26.180001, 119.358657 26.176958, 119.405828 26.184566, 119.43474 26.189131, 119.460608 26.190652, 119.494875 26.203186, 119.494875 26.203186)</t>
  </si>
  <si>
    <t>P4915</t>
  </si>
  <si>
    <t>Quanzhou–Dehua Branch</t>
  </si>
  <si>
    <t>Nan'an</t>
  </si>
  <si>
    <t>Dehua</t>
  </si>
  <si>
    <t>LINESTRING (118.2840954 25.520311, 118.2369333 25.514415, 118.2172824 25.490834, 118.2487238 25.453498, 118.2447936 25.433847, 118.2035268 25.390615, 118.1937014 25.353278, 118.2035268 25.337557, 118.2487238 25.337557, 118.2919557 25.357208, 118.2919557 25.317907, 118.3037462 25.290395, 118.3194669 25.27271, 118.3233971 25.249129, 118.3175018 25.219652, 118.2998161 25.203932, 118.2624794 25.201967, 118.2408635 25.196071, 118.207457 25.170525, 118.207457 25.119433, 118.2271079 25.070306, 118.2703398 25.06048, 118.3096415 25.029039, 118.3489432 25.019214, 118.3921751 24.977947, 118.4059307 24.968121, 118.4550579 24.966156, 118.4786389 24.94454, 118.5061501 24.92882, 118.549382 24.920959, 118.572963 24.905239, 118.5847536 24.891483, 118.5965441 24.879692)</t>
  </si>
  <si>
    <t>P4916</t>
  </si>
  <si>
    <t>Zhangzhou–Longyan Gas Pipeline</t>
  </si>
  <si>
    <t>Zhangzhou LNG Terminal Transport pipeline &amp; West-East III</t>
  </si>
  <si>
    <t>LINESTRING (117.6609993 24.525552, 117.6645925 24.567951, 117.6298583 24.586636, 117.5958427 24.619933, 117.4823147 24.657007, 117.4153497 24.753064, 117.3372209 24.809274, 117.3141589 24.81504, 117.2433253 24.882579, 117.1782573 24.93035, 117.1617844 24.968238, 117.1016583 25.002007, 117.0431794 25.062134, 117.0687124 25.117318, 116.9922467 25.143696)</t>
  </si>
  <si>
    <t>P4917</t>
  </si>
  <si>
    <t>Zhangzhou–Zhao'an Gas Pipeline</t>
  </si>
  <si>
    <t>Zhao'an</t>
  </si>
  <si>
    <t>LINESTRING (117.1518599 23.753343, 117.2202263 23.737257, 117.2577607 23.711787, 117.3006572 23.776131, 117.3770666 23.825731, 117.3904718 23.95308, 117.4159416 23.967825, 117.4856485 23.945037, 117.5768036 23.990614, 117.6331052 24.063002, 117.6867259 24.158179, 117.739006 24.221183, 117.7443681 24.357916, 117.6987905 24.477221, 117.6612561 24.52548)</t>
  </si>
  <si>
    <t>P4918</t>
  </si>
  <si>
    <t>Zhangzhou LNG Connecting Gas Pipeline</t>
  </si>
  <si>
    <t>Zhangzhou LNG</t>
  </si>
  <si>
    <t>Chengxi</t>
  </si>
  <si>
    <t>P4920</t>
  </si>
  <si>
    <t>https://www.gem.wiki/Fujian_Fuqing_LNG_Export_Pipeline_Network</t>
  </si>
  <si>
    <t>Fujian Fuqing LNG Export Pipeline Network</t>
  </si>
  <si>
    <t>Fujian Fuqing LNG terminal import LNG</t>
  </si>
  <si>
    <t>Fuqing</t>
  </si>
  <si>
    <t>LINESTRING (119.609841 25.34777, 119.291468 25.766546)</t>
  </si>
  <si>
    <t>P4921</t>
  </si>
  <si>
    <t>https://www.gem.wiki/CNOOC_Coal_Gasification_Transmission_Pipeline</t>
  </si>
  <si>
    <t>CNOOC Coal Gasification Transmission Pipeline</t>
  </si>
  <si>
    <t>Langfang Branch</t>
  </si>
  <si>
    <t>National Pipe Network Group North China Natural Gas Pipeline Co., Ltd. [600.00%]</t>
  </si>
  <si>
    <t>National Petroleum and Natural Gas Pipeline Network Group Co., Ltd. [46.00%]; China Suntien Green Energy Corporation Limited [18.70%]; 香港中华煤气（河北）有限公司 [14.60%]; Beijing Gas Group Co., Ltd. [10.00%]; Linyi Aode Fuel Gas Co., Ltd. [9.80%]; other [0.90%]</t>
  </si>
  <si>
    <t>中海油蒙西煤制气外输管道 (杭锦旗-黄骅)</t>
  </si>
  <si>
    <t>P4922</t>
  </si>
  <si>
    <t>Tianjin Lingang-Qijiawu Connecting Pipeline</t>
  </si>
  <si>
    <t>P4923</t>
  </si>
  <si>
    <t>1016/914</t>
  </si>
  <si>
    <t>Shanxi Datong Coal Gasification Facility, Xinmeng Energy Ordos Coal Gasification Facility, Hebei Construction&amp;Investment Group Coal Gasification Facility, Beijing Enterprises Clean Energy Group Coal Gasification Facility, Tianjin Gasification Facility</t>
  </si>
  <si>
    <t>MULTILINESTRING ((108.947179 39.901433, 110.040137 40.277102, 111.305254 40.193666, 112.420628 39.97377, 113.166454 39.569453, 114.2353 39.445957, 115.899317 39.034135, 116.475234 38.865063, 116.965063 38.933206, 117.191976 38.545502, 117.370874 38.342561), (117.191976 38.545502, 117.695509 38.997741), (116.475234 38.865063, 116.521956 39.298733, 116.675042 39.489631))</t>
  </si>
  <si>
    <t>P4924</t>
  </si>
  <si>
    <t>https://www.gem.wiki/Dingyuan-Hefei_Parallel_Line</t>
  </si>
  <si>
    <t>Dingyuan-Hefei Parallel Gas Pipeline</t>
  </si>
  <si>
    <t>Dingyuan</t>
  </si>
  <si>
    <t>Luoji</t>
  </si>
  <si>
    <t>西气东输一线</t>
  </si>
  <si>
    <t>LINESTRING (117.643907 32.490193, 117.52283 31.93137, 117.245948 32.102468)</t>
  </si>
  <si>
    <t>P4925</t>
  </si>
  <si>
    <t>https://www.gem.wiki/Lanzhou-Yinchuan_connecting_Pipeline</t>
  </si>
  <si>
    <t>Lanzhou-Yinchuan Connecting Gas Pipeline</t>
  </si>
  <si>
    <t>Selan</t>
  </si>
  <si>
    <t>LINESTRING (103.583904 36.105148, 104.51256 37.455732, 105.968445 38.21689, 106.110757 38.456894)</t>
  </si>
  <si>
    <t>P4926</t>
  </si>
  <si>
    <t>https://www.gem.wiki/Nanjing-Wuhu_gas_pipeline</t>
  </si>
  <si>
    <t>Nanjing-Wuhu Gas Pipeline</t>
  </si>
  <si>
    <t>LINESTRING (119.093929 32.213577, 117.724665 31.414052)</t>
  </si>
  <si>
    <t>P4927</t>
  </si>
  <si>
    <t>https://www.gem.wiki/West-East_Gas_Pipeline_1</t>
  </si>
  <si>
    <t>WEPP I</t>
  </si>
  <si>
    <t>Tarim Basin</t>
  </si>
  <si>
    <t>LINESTRING (84.2161 41.475422, 95.430766 41.078315, 95.775346 40.560655, 102.571561 37.943141, 105.147203 37.459851, 105.669839 37.552241, 106.61435 37.420167, 108.926356 37.655418, 113.18778 36.307903, 113.718787 34.829377, 117.018852 32.523638, 118.891525 32.201279, 121.139422 31.25252)</t>
  </si>
  <si>
    <t>P4928</t>
  </si>
  <si>
    <t>https://www.gem.wiki/West-East_Gas_Pipeline_3</t>
  </si>
  <si>
    <t>West-East Gas Pipeline 3</t>
  </si>
  <si>
    <t>East Section (Ji'an–Fuzhou)</t>
  </si>
  <si>
    <t>WEPP III</t>
  </si>
  <si>
    <t>National Pipe Network Group United Pipeline Co., Ltd. [300.00%]</t>
  </si>
  <si>
    <t>National Petroleum and Natural Gas Pipeline Network Group Co., Ltd. [72.30%]; other [22.40%]; Beijing Guolian Energy Industrial Investment Fund (L.P.) [5.30%]</t>
  </si>
  <si>
    <t>Khorgas</t>
  </si>
  <si>
    <t>西气东输三线</t>
  </si>
  <si>
    <t>LINESTRING (114.970112 27.106776, 117.649381 24.504678, 119.269629 26.088333)</t>
  </si>
  <si>
    <t>P4929</t>
  </si>
  <si>
    <t>Fujian–Guangdong Branch Phase I (Guangzhou–Chaozhou)</t>
  </si>
  <si>
    <t>Zengcheng</t>
  </si>
  <si>
    <t>LINESTRING (113.857539 23.313949, 113.887523 23.371399, 114.410641 23.435765, 114.599483 23.566121, 116.089731 23.568454, 116.223925 23.649556, 116.432428 23.770793, 116.486029 23.879776)</t>
  </si>
  <si>
    <t>P4930</t>
  </si>
  <si>
    <t>Fujian–Guangdong Branch Phase II (Chaozhou–Zhangzhou)</t>
  </si>
  <si>
    <t>Shiting Town</t>
  </si>
  <si>
    <t>LINESTRING (116.486029 23.879776, 116.94196 24.203586, 117.533902 24.572062, 117.593104 24.637091)</t>
  </si>
  <si>
    <t>P4931</t>
  </si>
  <si>
    <t>Middle Section (Zhongwei–Ji'an)</t>
  </si>
  <si>
    <t>LINESTRING (105.147203 37.459851, 105.669839 37.552241, 106.61435 37.420167, 108.926356 37.655418, 108.8773525 34.4761062, 112.380172 34.690683, 113.26779 33.729279, 112.783381 32.103546, 113.153417 27.860252, 114.970112 27.106776)</t>
  </si>
  <si>
    <t>P4932</t>
  </si>
  <si>
    <t>West Section (Khorgos–Zhongwei)</t>
  </si>
  <si>
    <t>LINESTRING (80.3899585 44.2117431, 84.851222 44.372805, 87.646346 43.873206, 93.521731 42.902703, 95.488382 41.102206, 94.574444 40.14126, 102.571561 37.943141, 105.147203 37.459851)</t>
  </si>
  <si>
    <t>P4933</t>
  </si>
  <si>
    <t>Yining-Khorgas Branch</t>
  </si>
  <si>
    <t>Yining</t>
  </si>
  <si>
    <t>Ili</t>
  </si>
  <si>
    <t>P4934</t>
  </si>
  <si>
    <t>P4935</t>
  </si>
  <si>
    <t>Zhongwei-Jingbian Connecting Gas Pipeline</t>
  </si>
  <si>
    <t>West-East Gas Pipeline3</t>
  </si>
  <si>
    <t>LINESTRING (105.147203 37.459851, 105.669839 37.552241, 106.61435 37.420167, 108.926356 37.655418)</t>
  </si>
  <si>
    <t>P4936</t>
  </si>
  <si>
    <t>Changsha branch</t>
  </si>
  <si>
    <t>望城末站</t>
  </si>
  <si>
    <t>P4937</t>
  </si>
  <si>
    <t>Xiantao-Qianjiang Connecting pipeline</t>
  </si>
  <si>
    <t>P4938</t>
  </si>
  <si>
    <t>https://www.gem.wiki/West-East_Gas_Pipeline_2</t>
  </si>
  <si>
    <t>West-East Gas Pipeline 2</t>
  </si>
  <si>
    <t>Taixing-Furong Gas Pipeline</t>
  </si>
  <si>
    <t>Jingjiang</t>
  </si>
  <si>
    <t>Furong</t>
  </si>
  <si>
    <t>西气东输二线</t>
  </si>
  <si>
    <t>P4939</t>
  </si>
  <si>
    <t>West-East Gas Pipeline  Nanchang-Shanghai Branch</t>
  </si>
  <si>
    <t>Huai'an Gas Storage- Liuzhuang Gas Storage Branch</t>
  </si>
  <si>
    <t>LiuZhuang</t>
  </si>
  <si>
    <t>P4940</t>
  </si>
  <si>
    <t>https://www.gem.wiki/West-East_Gas_Pipeline_2_Guangzhou-Nanning_Branch</t>
  </si>
  <si>
    <t>Baise Branch Pipeline</t>
  </si>
  <si>
    <t>LINESTRING (108.587763 22.74391, 106.717865 23.825752)</t>
  </si>
  <si>
    <t>P4941</t>
  </si>
  <si>
    <t>Wuzhou–Hezhou Branch Pipeline</t>
  </si>
  <si>
    <t>LINESTRING (111.279 23.4767, 111.5672 24.4042)</t>
  </si>
  <si>
    <t>P4942</t>
  </si>
  <si>
    <t>Yulin–Guigang Branch Pipeline</t>
  </si>
  <si>
    <t>LINESTRING (110.181 22.654, 109.599 23.112)</t>
  </si>
  <si>
    <t>P4943</t>
  </si>
  <si>
    <t>Jiaxing-Luzhi Pipeline</t>
  </si>
  <si>
    <t>Luzhi</t>
  </si>
  <si>
    <t>P4944</t>
  </si>
  <si>
    <t>https://www.gem.wiki/West-East_Gas_Pipeline_2_Nanchang-Shanghai_Branch</t>
  </si>
  <si>
    <t>Nanchang-Shanghai Branch</t>
  </si>
  <si>
    <t>Dongyang Town, Anyi County</t>
  </si>
  <si>
    <t>Jinshanwei Town, Jinshan District</t>
  </si>
  <si>
    <t>LINESTRING (115.500411 28.514698, 116.081573 28.672188, 116.82589 28.208641, 117.966665 28.475184, 117.989966 28.45509, 118.51367 28.889487, 118.8632 28.989227, 119.642571 29.133876, 120.034513 29.340729, 120.331273 30.189365, 120.699544 30.497438, 120.932077 30.545057, 120.983912 30.701795, 121.262169 30.700106, 121.144346 31.241703)</t>
  </si>
  <si>
    <t>P4945</t>
  </si>
  <si>
    <t>https://www.gem.wiki/West-East_Gas_Pipeline_2_Pingdingshan-Tai%27an_Branch</t>
  </si>
  <si>
    <t>Pingdingshan-Tai'an Branch</t>
  </si>
  <si>
    <t>LINESTRING (113.044414 33.78512, 113.795709 34.512944, 113.903009 34.609488, 114.277377 34.639586, 115.587102 35.055318, 116.120999 35.463463, 116.525452 35.686813, 116.92396 36.1983)</t>
  </si>
  <si>
    <t>P4946</t>
  </si>
  <si>
    <t>https://www.gem.wiki/West-East_Gas_Pipeline_2_Zhangshu-Xiangtan_Branch</t>
  </si>
  <si>
    <t>Zhangshu-Xiangtan Branch</t>
  </si>
  <si>
    <t>Zhangshu</t>
  </si>
  <si>
    <t>LINESTRING (115.505061 28.081008, 114.909796 27.839428, 114.401943 27.827894, 113.862655 27.671099, 112.969978 27.796634)</t>
  </si>
  <si>
    <t>P4947</t>
  </si>
  <si>
    <t>WEPP II</t>
  </si>
  <si>
    <t>MULTILINESTRING ((80.3899585 44.2117431, 84.851222 44.372805, 87.646346 43.873206, 88.847569 43.162187, 93.521731 42.902703, 95.430766 41.078315, 95.775346 40.560655, 102.571561 37.943141, 105.147203 37.459851, 108.8773525 34.4761062, 112.380172 34.690683, 113.044414 33.78512, 112.783381 32.103546, 114.416204 30.7065, 116.081573 28.672188, 115.505061 28.081008, 114.944112 25.827854, 113.414081 23.62671, 114.043939 22.513834, 114.128846 22.208255), (115.500411 28.514698, 116.081573 28.672188, 116.82589 28.208641, 117.966665 28.475184, 117.989966 28.45509, 118.51367 28.889487, 118.8632 28.989227, 119.642571 29.133876, 120.034513 29.340729, 120.331273 30.189365, 120.699544 30.497438, 120.932077 30.545057, 120.983912 30.701795, 121.262169 30.700106, 121.139422 31.25252), (115.505061 28.081008, 114.909796 27.839428, 114.401943 27.827894, 113.862655 27.671099, 112.969978 27.796634), (113.414081 23.62671, 113.043901 23.665671, 112.47485 23.099881, 112.056689 22.949836, 111.208825 23.404001, 110.71651 23.382216, 109.482892 23.124714, 108.587763 22.74391), (113.044414 33.78512, 113.795709 34.512944, 113.903009 34.609488, 114.277377 34.639586, 115.587102 35.055318, 116.120999 35.463463, 116.525452 35.686813, 116.92396 36.1983), (105.147203 37.459851, 105.669839 37.552241, 106.61435 37.420167, 108.926356 37.655418), (84.240066 41.476463, 88.167977 42.244282, 88.847569 43.162187))</t>
  </si>
  <si>
    <t>P4948</t>
  </si>
  <si>
    <t>Guangzhou-Nanning Branch</t>
  </si>
  <si>
    <t>Aotou Town</t>
  </si>
  <si>
    <t>Conghua</t>
  </si>
  <si>
    <t>Yongning District</t>
  </si>
  <si>
    <t>LINESTRING (113.414081 23.62671, 113.043901 23.665671, 112.47485 23.099881, 112.056689 22.949836, 111.208825 23.404001, 110.71651 23.382216, 109.482892 23.124714, 108.587763 22.74391)</t>
  </si>
  <si>
    <t>P4949</t>
  </si>
  <si>
    <t>Guangzhou-Dachan Island Branch</t>
  </si>
  <si>
    <t>15/8</t>
  </si>
  <si>
    <t>Dachan Island</t>
  </si>
  <si>
    <t>P4950</t>
  </si>
  <si>
    <t>https://www.gem.wiki/West-East_Gas_Pipeline_5</t>
  </si>
  <si>
    <t>West-East Gas Pipeline 5</t>
  </si>
  <si>
    <t>WEPP X</t>
  </si>
  <si>
    <t>Ulugqat</t>
  </si>
  <si>
    <t>西气东输五线</t>
  </si>
  <si>
    <t>LINESTRING (73.9261698 39.69572899, 73.961375 39.713521, 73.963847 39.7217, 73.966049 39.73508, 74.104074 39.81921, 74.125575 39.81004, 74.178477 39.771003, 74.334102 39.818408, 74.43006039 39.81218, 75.007944 39.755618, 75.216457 39.718585, 75.825847 39.619643, 80.267932 41.198581, 86.28945 41.823572, 86.851276 42.270036, 88.656956 42.417257, 90.456341 43.075619, 93.452883 42.658485, 95.490663 41.093996, 100.416921 38.917789, 102.611396 37.908647, 105.147714 37.459796)</t>
  </si>
  <si>
    <t>P4951</t>
  </si>
  <si>
    <t>https://www.gem.wiki/West-East_Gas_Pipeline_4</t>
  </si>
  <si>
    <t>West-East Gas Pipeline 4</t>
  </si>
  <si>
    <t>WEPP IV</t>
  </si>
  <si>
    <t>西气东输四线</t>
  </si>
  <si>
    <t>P4952</t>
  </si>
  <si>
    <t>P4953</t>
  </si>
  <si>
    <t>https://www.gem.wiki/Guizhou_Gas_Pipeline_Network</t>
  </si>
  <si>
    <t>Guizhou Gas Pipeline Network</t>
  </si>
  <si>
    <t>Kaili-Tongren Gas Pipeline</t>
  </si>
  <si>
    <t>Guizhou Three Gorges Kaitong Energy Co., Ltd. [400.00%]</t>
  </si>
  <si>
    <t>Chongqing Three Gorges Gas (Group) Co., Ltd. [44.10%]; Qiandongnan Development Investment (Group) Co., Ltd. [25.50%]; Guizhou Ecological and Environmental Protection Development Equity Investment Fund Partnership(L.P.) [22.70%]; other [7.70%]</t>
  </si>
  <si>
    <t>贵州天然气管网</t>
  </si>
  <si>
    <t>P4954</t>
  </si>
  <si>
    <t>Dushan Branch Pipeline (possible duplicate)</t>
  </si>
  <si>
    <t>P4955</t>
  </si>
  <si>
    <t>Dushan-Pingtang-Luodian Branch Pipeline</t>
  </si>
  <si>
    <t>P4956</t>
  </si>
  <si>
    <t>Jinsha-Qianxi-Nayong Branch Pipeline</t>
  </si>
  <si>
    <t>Guizhou Kunlun Natural Gas Co., Ltd. [600.00%]</t>
  </si>
  <si>
    <t>Chengdu Poly Tianxiang Investment Consulting Co., Ltd. [30.50%]; AVIC Industry-Finance Holdings Co., Ltd. [21.70%]; Tibet Bluestone Investment Co., Ltd. [21.40%]; other [10.50%]; Shenzhen Qianhai Qingshi Investment Co., Ltd. [10.40%]; 华侨银行有限公司 [5.50%]</t>
  </si>
  <si>
    <t>457/219</t>
  </si>
  <si>
    <t>P4957</t>
  </si>
  <si>
    <t>Main Line Zunyi-Bijie</t>
  </si>
  <si>
    <t>National Pipe Network Group Guizhou Pipe Network Co., Ltd. [200.00%]</t>
  </si>
  <si>
    <t>National Petroleum and Natural Gas Pipeline Network Group Co., Ltd. [60.00%]; Guizhou Gas Group Corporation Ltd. [40.00%]</t>
  </si>
  <si>
    <t>P4958</t>
  </si>
  <si>
    <t>Main Line Zunyi-Meitan-Sinan-Tongren</t>
  </si>
  <si>
    <t>P4959</t>
  </si>
  <si>
    <t>Main Line Zunyi-Xishui</t>
  </si>
  <si>
    <t>P4960</t>
  </si>
  <si>
    <t>Main Line Zunyi-Zheng'an</t>
  </si>
  <si>
    <t>P4961</t>
  </si>
  <si>
    <t>Qianbei Pipeline Network Zhengan-Wuchuan</t>
  </si>
  <si>
    <t>P4962</t>
  </si>
  <si>
    <t>Qianbei Pipeline Network Zhengan-Xishui</t>
  </si>
  <si>
    <t>P4963</t>
  </si>
  <si>
    <t>Sino-Myanmar Fuquan Branch Pipeline</t>
  </si>
  <si>
    <t>Guiyang Oil and Gas Transportation Branch of State Pipe Network Group Southwest Pipeline Co., Ltd. [100.00%]</t>
  </si>
  <si>
    <t>P4964</t>
  </si>
  <si>
    <t>Sino-Myanmar Libo Branch Pipeline</t>
  </si>
  <si>
    <t>610/323</t>
  </si>
  <si>
    <t>P4965</t>
  </si>
  <si>
    <t>Dejiang-Sinan-Yuqing-Huangping-#50 valve chamber gas pipeline</t>
  </si>
  <si>
    <t>Dejiang</t>
  </si>
  <si>
    <t>Tongren</t>
  </si>
  <si>
    <t>Huangping</t>
  </si>
  <si>
    <t>P4966</t>
  </si>
  <si>
    <t>Duyun-Kaili Gas Pipeline</t>
  </si>
  <si>
    <t>Duyun</t>
  </si>
  <si>
    <t>Qiannan</t>
  </si>
  <si>
    <t>Kaili</t>
  </si>
  <si>
    <t>LINESTRING (107.49126978698742 26.235155286622884, 107.75691699221389 26.49967604044757)</t>
  </si>
  <si>
    <t>P4967</t>
  </si>
  <si>
    <t>Huangying-Luolong-Zhennan gas pipeline</t>
  </si>
  <si>
    <t>Huangying Town</t>
  </si>
  <si>
    <t>Wulong</t>
  </si>
  <si>
    <t>Wuchuan County, Zhennan Town</t>
  </si>
  <si>
    <t>P4968</t>
  </si>
  <si>
    <t>Xinzhou-Suiyang-Zheng'an gas pipeline</t>
  </si>
  <si>
    <t>Xinzhou</t>
  </si>
  <si>
    <t>Zheng'an</t>
  </si>
  <si>
    <t>P4969</t>
  </si>
  <si>
    <t>Xishui-Bijie Gas Pipeline</t>
  </si>
  <si>
    <t>Xishui</t>
  </si>
  <si>
    <t>Bijie</t>
  </si>
  <si>
    <t>P4970</t>
  </si>
  <si>
    <t>Yuping-Xinhuang Gas Pipeline</t>
  </si>
  <si>
    <t>Yuping</t>
  </si>
  <si>
    <t>Xinhuang</t>
  </si>
  <si>
    <t>Huaihua</t>
  </si>
  <si>
    <t>P4971</t>
  </si>
  <si>
    <t>Zheng'an-Daozhen-Dalian gas pipeline</t>
  </si>
  <si>
    <t>Guizhou Wujiang Energy Group Co., Ltd. [400.00%]</t>
  </si>
  <si>
    <t>Guizhou Wujiang Energy Group Co., Ltd. [79.80%]; Guizhou Financial Holding Group Group Co., Ltd. (Guizhou Guimin Investment Group Co., Ltd.) [7.90%]; Guizhou Xingyi Sunshine Asset Management Group Co., Ltd. [7.90%]; other [4.50%]</t>
  </si>
  <si>
    <t>Zunyi LNG</t>
  </si>
  <si>
    <t>P4972</t>
  </si>
  <si>
    <t>Zheng'an-Weng'an-Fuquan-#45 valve chamber pipeline</t>
  </si>
  <si>
    <t>610/406.4</t>
  </si>
  <si>
    <t>P4973</t>
  </si>
  <si>
    <t>Xiuwen-Kaiyang Gas Pipeline</t>
  </si>
  <si>
    <t>Kaiyang Shida Natural Gas Co., Ltd. [500.00%]</t>
  </si>
  <si>
    <t>Kunlun Energy Co., Ltd. [35.00%]; Guolian Zhongrong (Chengdu) Equity Investment Fund Partnership (Limited Partnership) [17.80%]; China National Petroleum Corporation [17.10%]; Kaiyang Shida Natural Gas Co., Ltd. [16.20%]; Guizhou Shida Energy Co., Ltd. [13.80%]</t>
  </si>
  <si>
    <t>P4974</t>
  </si>
  <si>
    <t>Yangmanshao-Tianzhu Gas Pipeline</t>
  </si>
  <si>
    <t>Guizhou Dongli Energy Investment Co., Ltd. [300.00%]</t>
  </si>
  <si>
    <t>Qiandongnan Development Investment (Group) Co., Ltd. [50.00%]; Guizhou Ecological and Environmental Protection Development Equity Investment Fund Partnership(L.P.) [44.40%]; Qiandongnan Jinyuan Industrial Development Co., Ltd. [5.60%]</t>
  </si>
  <si>
    <t>P4975</t>
  </si>
  <si>
    <t>Hezhang-Weining Gas Pipeline</t>
  </si>
  <si>
    <t>P4976</t>
  </si>
  <si>
    <t>Wuchuan-Dejiang Gas Pipeline</t>
  </si>
  <si>
    <t>Tongren Energy Investment Group Co., Ltd. [400.00%]</t>
  </si>
  <si>
    <t>Guizhou Tongren Urban Transportation Development and Investment Group Co., Ltd. [45.90%]; Guizhou Ecological and Environmental Protection Development Equity Investment Fund Partnership(L.P.) [40.00%]; Tongren Wulingshan High Tech Industry Development Group Co., Ltd. [9.00%]; Guizhou Financial Holding Group Co., Ltd. (Guizhou Guimin Investment Group Co., Ltd.) [5.10%]</t>
  </si>
  <si>
    <t>P4977</t>
  </si>
  <si>
    <t>Meitan-Suiyang-Zheng'an Gas Pipeline</t>
  </si>
  <si>
    <t>700/600/500</t>
  </si>
  <si>
    <t>Meitan</t>
  </si>
  <si>
    <t>P4978</t>
  </si>
  <si>
    <t>Sino-Myanmar Fuquan Branch Pipeline 47# Valve Chamber-Dushan-Sandu Gas Pipeline</t>
  </si>
  <si>
    <t>Sino-Myanmar Fuquan Branch Pipeline 47# Valve Chamber</t>
  </si>
  <si>
    <t>Sandu</t>
  </si>
  <si>
    <t>P4979</t>
  </si>
  <si>
    <t>Yuping-Jiangkou Gas Pipeline</t>
  </si>
  <si>
    <t>Jiangkou</t>
  </si>
  <si>
    <t>P4980</t>
  </si>
  <si>
    <t>Kaili-Huangping Gas Pipeline</t>
  </si>
  <si>
    <t>Qian Dongnan</t>
  </si>
  <si>
    <t>P4981</t>
  </si>
  <si>
    <t>Tianzhu-Congjiang Gas Pipeline(Tianzhu-Liping Segment)</t>
  </si>
  <si>
    <t>Tianzhu</t>
  </si>
  <si>
    <t>Liping</t>
  </si>
  <si>
    <t>P4982</t>
  </si>
  <si>
    <t>Tianzhu-Congjiang Gas Pipeline(Liping-Congjiang Segment)</t>
  </si>
  <si>
    <t>Congjiang</t>
  </si>
  <si>
    <t>P4983</t>
  </si>
  <si>
    <t>Qian Xinan Gas Pipeline Network Phase 2</t>
  </si>
  <si>
    <t>Qianxinan Sunshine Natural Gas Development Co., Ltd. [400.00%]</t>
  </si>
  <si>
    <t>Sichuan Chunxiao Energy Co., Ltd. [60.00%]; Guizhou Jinzhou Electric Power Group Co., Ltd. [20.40%]; Guizhou Xingyi Sunshine Asset Management Group Co., Ltd. [18.50%]; other [1.10%]</t>
  </si>
  <si>
    <t>406/273/114</t>
  </si>
  <si>
    <t>P4984</t>
  </si>
  <si>
    <t>Ala-Wanshan Gas Pipeline</t>
  </si>
  <si>
    <t>Ala</t>
  </si>
  <si>
    <t>Wanshan</t>
  </si>
  <si>
    <t>P4985</t>
  </si>
  <si>
    <t>Jiangkou-Sinan Gas Pipeline</t>
  </si>
  <si>
    <t>Sinan</t>
  </si>
  <si>
    <t>P4986</t>
  </si>
  <si>
    <t>Houba-Yanhe Gas Pipeline</t>
  </si>
  <si>
    <t>Houba</t>
  </si>
  <si>
    <t>Yanhe</t>
  </si>
  <si>
    <t>P4987</t>
  </si>
  <si>
    <t>Chishui-Xishui Gas Pipeline</t>
  </si>
  <si>
    <t>Chishui</t>
  </si>
  <si>
    <t>P4988</t>
  </si>
  <si>
    <t>Zhenning-Ziyun Gas Pipeline</t>
  </si>
  <si>
    <t>Zhenning</t>
  </si>
  <si>
    <t>Anshun</t>
  </si>
  <si>
    <t>Ziyun</t>
  </si>
  <si>
    <t>P4989</t>
  </si>
  <si>
    <t>Sino-Myanmar Fuquan Branch Pipeline 47# Valve Chamber-Pingtang-Luodian Gas Pipeline</t>
  </si>
  <si>
    <t>Luodian</t>
  </si>
  <si>
    <t>P4990</t>
  </si>
  <si>
    <t>Anlong-Wangmo Gas Pipeline</t>
  </si>
  <si>
    <t>Anlong</t>
  </si>
  <si>
    <t>Qian Xinan</t>
  </si>
  <si>
    <t>Wangmo</t>
  </si>
  <si>
    <t>P4991</t>
  </si>
  <si>
    <t>Wangmo-Luodian Gas Pipeline</t>
  </si>
  <si>
    <t>P4992</t>
  </si>
  <si>
    <t>Luoxiang-Rongjiang Gas Pipeline</t>
  </si>
  <si>
    <t>Luoxiang</t>
  </si>
  <si>
    <t>Rongjiang</t>
  </si>
  <si>
    <t>P4993</t>
  </si>
  <si>
    <t>Rongjiang-Leishan Gas Pipeline</t>
  </si>
  <si>
    <t>Leishan</t>
  </si>
  <si>
    <t>P4994</t>
  </si>
  <si>
    <t>https://www.gem.wiki/Liaoning_Gas_Pipeline_Network</t>
  </si>
  <si>
    <t>Liaoning Gas Pipeline Network</t>
  </si>
  <si>
    <t>Changtu-Tongliao Gas Pipeline</t>
  </si>
  <si>
    <t>Changtu</t>
  </si>
  <si>
    <t>Tongliao Economic Zone</t>
  </si>
  <si>
    <t>辽宁输气管网</t>
  </si>
  <si>
    <t>P4995</t>
  </si>
  <si>
    <t>Dalian-Shenyang Gas Pipeline</t>
  </si>
  <si>
    <t>Dalian LNG imported gas</t>
  </si>
  <si>
    <t>Shenyang</t>
  </si>
  <si>
    <t>MULTILINESTRING ((121.885695 38.961018, 121.79763 39.075442, 121.99621 39.313222, 122.017378 39.746051, 122.23151 40.183006, 122.710926 40.575341, 122.575972 40.828736, 122.970702 41.484665, 123.009965 41.939341), (122.970702 41.484665, 123.78424 41.800228), (121.79763 39.075442, 121.632087 38.964858))</t>
  </si>
  <si>
    <t>P4996</t>
  </si>
  <si>
    <t>Dalian-Shenyang Gas Pipeline Fushun Branch</t>
  </si>
  <si>
    <t>Dengta</t>
  </si>
  <si>
    <t>Fushun County</t>
  </si>
  <si>
    <t>P4997</t>
  </si>
  <si>
    <t>Jianping-Chifeng Gas Pipeline</t>
  </si>
  <si>
    <t>Chifeng Zhongran Clean Energy Co., Ltd. [500.00%]</t>
  </si>
  <si>
    <t>（香港）中国燃气控股有限公司 [56.00%]; Inner Mongolia Xinheshengtai Energy Development Co., Ltd. [20.00%]; 中国燃气控股有限公司 [14.00%]; Liaoning Xinzheng Zhongran Oil and Gas Clean Energy Co., Ltd. [5.90%]; other [4.10%]</t>
  </si>
  <si>
    <t>Jianping</t>
  </si>
  <si>
    <t>Hongshan District</t>
  </si>
  <si>
    <t>Chinfeng</t>
  </si>
  <si>
    <t>LINESTRING (119.721011 41.398684, 119.334502 41.621396, 119.359402 42.080316, 119.22001 42.221067, 118.952639 42.214121)</t>
  </si>
  <si>
    <t>P4998</t>
  </si>
  <si>
    <t>Xianrendao-Dashiqiao Gas Pipeline</t>
  </si>
  <si>
    <t>Cnooc Yingkou Natural Gas Co., Ltd. [100.00%]</t>
  </si>
  <si>
    <t>China National Offshore Oil Corp. [100.00%]</t>
  </si>
  <si>
    <t>Xianrendao</t>
  </si>
  <si>
    <t>Dashiqiao</t>
  </si>
  <si>
    <t>Yinkou</t>
  </si>
  <si>
    <t>P4999</t>
  </si>
  <si>
    <t>Yingkou-Panjin Gas Pipeline</t>
  </si>
  <si>
    <t>Dalian Oil and Gas Transportation Branch of National Pipe Network Group North Pipeline Co., Ltd. [100.00%]</t>
  </si>
  <si>
    <t>P5000</t>
  </si>
  <si>
    <t>Zhuanghe-Dandong gas pipeline</t>
  </si>
  <si>
    <t>Liaoneng (Dandong) Natural Gas Pipeline Co., Ltd. [600.00%]</t>
  </si>
  <si>
    <t>Liaoning Energy Industry Holding Group Co., Ltd. [43.50%]; Guoneng Anshu (Beijing) Petrochemical Co., Ltd. [20.00%]; Liaoning Energy Investment (Group) Co., Ltd. [10.90%]; other [10.60%]; Dandong City Construction and Cultural Tourism Group Co., Ltd. [10.00%]; Jilin Qianyuan Energy Development Co., Ltd. [5.00%]</t>
  </si>
  <si>
    <t>P5001</t>
  </si>
  <si>
    <t>Pulandian-Dandong gas pipeline</t>
  </si>
  <si>
    <t>Dalian Natural Gas High Pressure Pipeline Co., Ltd. [100.00%]</t>
  </si>
  <si>
    <t>Dalian Urban Construction Investment Group Co., Ltd. [100.00%]</t>
  </si>
  <si>
    <t>P5002</t>
  </si>
  <si>
    <t>Fuxin-Shenyang gas pipeline</t>
  </si>
  <si>
    <t>Liaoning Datang International Fuxin COAL-TO-SNG Co., Ltd. [400.00%]</t>
  </si>
  <si>
    <t>China Datang Corporation [31.50%]; China Guoxin Holding Co., Ltd. [31.50%]; China Chengtong HOLDINGS Group Limatet [27.00%]; other [10.00%]</t>
  </si>
  <si>
    <t>Datang Coal Gasification Plant</t>
  </si>
  <si>
    <t>Fuxin</t>
  </si>
  <si>
    <t>MULTILINESTRING ((121.6679993 41.9919014, 121.723999 42.0200996, 121.7460022 42.0267982, 121.7590027 42.0186996, 121.7710037 42.0061989, 121.8610001 41.985199, 121.8990021 41.9938011, 121.9749985 41.9511986, 121.9860001 41.9253998, 122.0319977 41.9124985, 122.0589981 41.8861008, 122.2580032 41.8252983, 122.3990021 41.8284988, 122.5240021 41.8135986, 122.6050034 41.7985992, 122.7779999 41.7310982, 122.8010025 41.7243004, 122.8619995 41.7198982, 122.8990021 41.7251015), (122.8990021 41.7251015, 122.9199982 41.7254982, 122.9670029 41.719799, 123.0110016 41.7612, 123.0490036 41.7607002, 123.0950012 41.8128014, 123.1480026 41.8464012, 123.189003 41.8415985), (122.8980026 41.7248001, 122.8960037 41.7014999, 122.9000015 41.644001, 123.0279999 41.5833015, 123.0309982 41.5609016, 123.0370026 41.5498009, 123.0569992 41.5303993, 123.0820007 41.519001, 123.0930023 41.5158997, 123.0960007 41.4928017, 123.0899963 41.4477997, 123.163002 41.4048004, 123.2220001 41.4085007, 123.237999 41.3776016))</t>
  </si>
  <si>
    <t>P5003</t>
  </si>
  <si>
    <t>Qinhuangdao-Shenyang Gas Pipeline Chaoyang Branch</t>
  </si>
  <si>
    <t>辽河油田燃气集团公司 [100.00%]</t>
  </si>
  <si>
    <t>Tanghezi</t>
  </si>
  <si>
    <t>LINESTRING (121.038195 40.946362, 120.41195154686542 41.67925533977111)</t>
  </si>
  <si>
    <t>P5004</t>
  </si>
  <si>
    <t>Qinhuangdao-Shenyang Gas Pipeline</t>
  </si>
  <si>
    <t>West-East Gas Pipeline 2/ Changqing Gas Field</t>
  </si>
  <si>
    <t>LINESTRING (123.009965 41.939341, 122.783013 41.748038, 121.588552 41.209804, 121.038195 40.946362, 120.407741 40.39688, 119.736811 40.123637, 119.535858 40.037061)</t>
  </si>
  <si>
    <t>P5005</t>
  </si>
  <si>
    <t>https://www.gem.wiki/Ordos-Anping-Cangzhou_Gas_Pipeline</t>
  </si>
  <si>
    <t>Ordos-Anping-Cangzhou Gas Pipeline</t>
  </si>
  <si>
    <t>Huaxing-Shenmu Branch</t>
  </si>
  <si>
    <t>Otog Banner</t>
  </si>
  <si>
    <t>Shenmu</t>
  </si>
  <si>
    <t>鄂安沧输气管道</t>
  </si>
  <si>
    <t>P5006</t>
  </si>
  <si>
    <t>Jungger-Shenmu Branch</t>
  </si>
  <si>
    <t>Jungger Banner</t>
  </si>
  <si>
    <t>P5007</t>
  </si>
  <si>
    <t>Duguitala-Shenmu Branch</t>
  </si>
  <si>
    <t>Hanggin Banner</t>
  </si>
  <si>
    <t>P5008</t>
  </si>
  <si>
    <t>Anping-Baoding Branch</t>
  </si>
  <si>
    <t>安平-保定</t>
  </si>
  <si>
    <t>P5009</t>
  </si>
  <si>
    <t>Anping-Puyang Branch</t>
  </si>
  <si>
    <t>安平-濮阳</t>
  </si>
  <si>
    <t>P5010</t>
  </si>
  <si>
    <t>National Pipe Network Group Hebei Construction Investment Natural Gas Co., Ltd. [200.00%]</t>
  </si>
  <si>
    <t>Hebei Construction &amp; Investment Group Co., Ltd. [50.00%]; National Petroleum and Natural Gas Pipeline Network Group Co., Ltd. [50.00%]</t>
  </si>
  <si>
    <t>Tianjin LNG terminal, Shandong LNG terminal, Daniudi natural gas field, Dongsheng natural gas field, Coalbed gas in Shaanxi and Shanxi, Ordos coal gasification project, Yangquan Coal Group coal gasification project</t>
  </si>
  <si>
    <t>尔林兔 Town, Shenmu County</t>
  </si>
  <si>
    <t>Cang County, 旧州镇, Qingyuan, 文留镇, Puyang, Dagang</t>
  </si>
  <si>
    <t>Cangzhou, Baoding, Puyang, Tianjin</t>
  </si>
  <si>
    <t>Heibei, Henan, Tianjin</t>
  </si>
  <si>
    <t>鄂安沧输气管道（鄂尔多斯-安平-沧州）</t>
  </si>
  <si>
    <t>MULTILINESTRING ((109.947011 39.051613, 111.294155 38.376019, 111.653371 38.354969, 114.343815 38.19832, 115.406109 38.277149, 117.019294 38.2073, 117.734577 38.974963), (115.406109 38.277149, 115.251727 35.63242), (115.406109 38.277149, 115.609888 38.76333), (108.916892 40.469967, 109.947011 39.051613), (111.265492 39.960332, 109.947011 39.051613), (106.655208 38.363773, 109.947011 39.051613))</t>
  </si>
  <si>
    <t>P5011</t>
  </si>
  <si>
    <t>沧州-鹿泉</t>
  </si>
  <si>
    <t>Luquan</t>
  </si>
  <si>
    <t>鄂安沧输气管道一期工程主干线</t>
  </si>
  <si>
    <t>P5012</t>
  </si>
  <si>
    <t>https://www.gem.wiki/Chongqing_Gas_Pipeline_Network</t>
  </si>
  <si>
    <t>Chongqing Gas Pipeline Network</t>
  </si>
  <si>
    <t>Longmen-Zhong County pipeline 龙忠线（龙门-忠县）</t>
  </si>
  <si>
    <t>重庆输气管网</t>
  </si>
  <si>
    <t>P5013</t>
  </si>
  <si>
    <t>Da County-Wolonghe pipeline 达卧线（达县柳垭-卧龙河）</t>
  </si>
  <si>
    <t>P5014</t>
  </si>
  <si>
    <t>Ba County-Chongqing gas pipeline</t>
  </si>
  <si>
    <t>P5015</t>
  </si>
  <si>
    <t>Wolonghe-Chongqing gas pipeline</t>
  </si>
  <si>
    <t>P5016</t>
  </si>
  <si>
    <t>Dongsheng-Dayou Gas Pipeline</t>
  </si>
  <si>
    <t>Chongqing Yuqian Natural Gas Co., Ltd. [400.00%]</t>
  </si>
  <si>
    <t>other [40.60%]; Chongqing Yuqian Natural Gas Co., Ltd. [31.40%]; Chongqing Nanchuan District State-owned Financial Development Center [15.30%]; Hengtong Logistic Co., Ltd. [12.80%]</t>
  </si>
  <si>
    <t>P5017</t>
  </si>
  <si>
    <t>Wanyuan-Chengkou gas pipeline</t>
  </si>
  <si>
    <t>Chongqing Gas Group Corporation Ltd. [100.00%]</t>
  </si>
  <si>
    <t>P5018</t>
  </si>
  <si>
    <t>Fuling Baitao-Shizhu Wangchang segment</t>
  </si>
  <si>
    <t>P5019</t>
  </si>
  <si>
    <t>Nanchuan-Fuling Gas Pipeline</t>
  </si>
  <si>
    <t>National Pipe Network Group Chongqing Natural Gas Pipeline Co., Ltd. [300.00%]</t>
  </si>
  <si>
    <t>National Petroleum and Natural Gas Pipeline Network Group Co., Ltd. [51.00%]; Chongqing Gas Group Corporation Ltd. [29.00%]; Chongqing Fuling Industrial Development Group Co., Ltd. [20.00%]</t>
  </si>
  <si>
    <t>南川区水江镇东水江增压站至武隆仙女山镇继光村西南老场阀井</t>
  </si>
  <si>
    <t>Fuling</t>
  </si>
  <si>
    <t>LINESTRING (107.100434 29.145043, 107.380817 29.70296)</t>
  </si>
  <si>
    <t>P5020</t>
  </si>
  <si>
    <t>Changshou-Fuling-Nanchuan gas pipeline</t>
  </si>
  <si>
    <t>Chongqing Changnan Natural Gas Transmission and Distribution Co., Ltd. [300.00%]</t>
  </si>
  <si>
    <t>Chongqing Gas Group Corporation Ltd. [51.00%]; （香港）中国燃气控股有限公司 [39.20%]; 中国燃气控股有限公司 [9.80%]</t>
  </si>
  <si>
    <t>500/450/300</t>
  </si>
  <si>
    <t>Nanchuan</t>
  </si>
  <si>
    <t>P5021</t>
  </si>
  <si>
    <t>Fengjie-Wuxi gas pipeline</t>
  </si>
  <si>
    <t>Fengjie</t>
  </si>
  <si>
    <t>P5022</t>
  </si>
  <si>
    <t>Yun-Fengjie-Wushan parallel pipeline</t>
  </si>
  <si>
    <t>Chongqing Yunyang County Natural Gas Co., Ltd. [100.00%]</t>
  </si>
  <si>
    <t>329/219</t>
  </si>
  <si>
    <t>P5023</t>
  </si>
  <si>
    <t>Wanyuan-Chengkou</t>
  </si>
  <si>
    <t>P5024</t>
  </si>
  <si>
    <t>Yongchuan-Jiangjin shale gas pipeline</t>
  </si>
  <si>
    <t>P5025</t>
  </si>
  <si>
    <t>https://www.gem.wiki/Western_Chongqing_Natural_Gas_Pipeline_Network</t>
  </si>
  <si>
    <t>Jiangjin–Nanchuan Segment</t>
  </si>
  <si>
    <t>Jiangjin–Nanchuan Gas Pipeline</t>
  </si>
  <si>
    <t>Chongqing Yuxi Natural Gas Pipeline Co., Ltd. [700.00%]</t>
  </si>
  <si>
    <t>Chongqing Gas Group Corporation Ltd. [32.00%]; China Petroleum &amp; Chemical Corporation [25.00%]; Guolian Zhongrong (Chengdu) Equity Investment Fund Partnership (Limited Partnership) [12.80%]; China National Petroleum Corporation [12.20%]; Chongqing Development Investment Co., Ltd. [8.50%]; Chongqing Liangjiang New Area Management Committee [8.50%]; other [1.00%]</t>
  </si>
  <si>
    <t>Jiangjin</t>
  </si>
  <si>
    <t>LINESTRING (106.26312447319633 29.30073855090337, 107.08103864512532 29.541053867138398)</t>
  </si>
  <si>
    <t>P5026</t>
  </si>
  <si>
    <t>Laisu–Sanhe Segment</t>
  </si>
  <si>
    <t>Laisu–Sanhe Branch</t>
  </si>
  <si>
    <t>LINESTRING (105.78738967213282 29.27407071227471, 106.10226578411705 29.34962181331349)</t>
  </si>
  <si>
    <t>P5027</t>
  </si>
  <si>
    <t>Nanchuan–Liangjiang New Area Gas Pipeline</t>
  </si>
  <si>
    <t>LINESTRING (107.09444505892465 29.592893879188267, 106.56691221177475 29.64268647647032)</t>
  </si>
  <si>
    <t>P5028</t>
  </si>
  <si>
    <t>Shuijiang–Dazu–Zhong County Gas Pipeline</t>
  </si>
  <si>
    <t>Shuijiang–Dazu–Zhong County Major Gas Pipeline and 11 Branches</t>
  </si>
  <si>
    <t>Sichuan basin gas field</t>
  </si>
  <si>
    <t>Shuijiang</t>
  </si>
  <si>
    <t>Zhongzhou</t>
  </si>
  <si>
    <t>LINESTRING (107.309239 29.281248, 108.055907 30.349413)</t>
  </si>
  <si>
    <t>P5029</t>
  </si>
  <si>
    <t>https://www.gem.wiki/Yongqing-Tangshan-Qinhuangdao_Pipeline</t>
  </si>
  <si>
    <t>Shaan-Jing Gas Pipeline 2</t>
  </si>
  <si>
    <t>Yongqing-Tangshan-Qinhuangdao Gas Pipeline</t>
  </si>
  <si>
    <t>Branch of Shaan-Jing Gas Pipeline 2</t>
  </si>
  <si>
    <t>Funing</t>
  </si>
  <si>
    <t>陕京二线</t>
  </si>
  <si>
    <t>LINESTRING (116.51979 39.297164, 116.926286 39.473163, 118.104915 39.755959, 119.517938 40.026728)</t>
  </si>
  <si>
    <t>P5030</t>
  </si>
  <si>
    <t>https://www.gem.wiki/Baodi-Xianghe-Xiji_gas_pipeline</t>
  </si>
  <si>
    <t>Shaan-Jing Gas Pipeline 4</t>
  </si>
  <si>
    <t>Baodi-Xianghe-Xiji Gas Pipeline</t>
  </si>
  <si>
    <t>Shaan-Jing Gas Pipeline 2, Tangshan LNG</t>
  </si>
  <si>
    <t>Baodi</t>
  </si>
  <si>
    <t>Xiji</t>
  </si>
  <si>
    <t>Tongzhou</t>
  </si>
  <si>
    <t>陕京4线</t>
  </si>
  <si>
    <t>LINESTRING (117.283852 39.581151, 117.073281 39.807754, 116.810907 39.795992)</t>
  </si>
  <si>
    <t>P5031</t>
  </si>
  <si>
    <t>https://www.gem.wiki/Miyun-Mafang-Xianghe_gas_pipeline</t>
  </si>
  <si>
    <t>Miyun-Mafang-Xianghe Gas Pipeline</t>
  </si>
  <si>
    <t>Datang-Hexigten Coal Gasification Plant, Tangshan LNG</t>
  </si>
  <si>
    <t>Miyun</t>
  </si>
  <si>
    <t>Xianghe</t>
  </si>
  <si>
    <t>LINESTRING (116.523928 40.233411, 117.070131 40.089986, 117.073281 39.807754)</t>
  </si>
  <si>
    <t>P5032</t>
  </si>
  <si>
    <t>https://www.gem.wiki/Shaan-Jing_Gas_Pipeline_4_Zhangjiakou_Branches</t>
  </si>
  <si>
    <t>Zhangjiakou Branches</t>
  </si>
  <si>
    <t>P5033</t>
  </si>
  <si>
    <t>https://www.gem.wiki/Shaan-Jing_Pipeline</t>
  </si>
  <si>
    <t>Shaan-Jing Gas Pipeline 1</t>
  </si>
  <si>
    <t>Changqing gas field</t>
  </si>
  <si>
    <t>Yamenkou terminal</t>
  </si>
  <si>
    <t>Shijingshan</t>
  </si>
  <si>
    <t>陕京1线</t>
  </si>
  <si>
    <t>LINESTRING (108.926356 37.655418, 109.099817 37.938904, 109.543413 38.276825, 110.280659 39.041133, 110.743159 39.291712, 112.31287 39.255294, 113.183034 39.545606, 113.64145 39.669871, 114.228709 39.437046, 115.973736 39.477376, 116.213974 39.884447)</t>
  </si>
  <si>
    <t>P5034</t>
  </si>
  <si>
    <t>https://www.gem.wiki/Shaan-Jing_Gas_Pipeline_2</t>
  </si>
  <si>
    <t>Jingbhian</t>
  </si>
  <si>
    <t>陕京2线</t>
  </si>
  <si>
    <t>LINESTRING (108.926356 37.655418, 109.099817 37.938904, 109.543413 38.276825, 111.103015 38.449707, 111.934499 38.371467, 112.643086 38.021922, 113.399957 38.066377, 115.310102 38.436492, 116.374129 39.097792, 116.521899 39.298515, 116.673414 39.641752, 116.810907 39.795992)</t>
  </si>
  <si>
    <t>P5035</t>
  </si>
  <si>
    <t>https://www.gem.wiki/Shaan-Jing_Gas_Pipeline_3</t>
  </si>
  <si>
    <t>Shaan-Jing Gas Pipeline 3</t>
  </si>
  <si>
    <t>Xishatun</t>
  </si>
  <si>
    <t>Changping</t>
  </si>
  <si>
    <t>陕京3线</t>
  </si>
  <si>
    <t>LINESTRING (109.543413 38.276825, 111.093916 38.161303, 111.688265 38.299458, 111.934499 38.371467, 112.643086 38.021922, 113.399957 38.066377, 115.310102 38.436492, 116.374129 39.097792, 116.521899 39.298515, 115.973736 39.477376, 116.24763 40.174674)</t>
  </si>
  <si>
    <t>P5036</t>
  </si>
  <si>
    <t>https://www.gem.wiki/Shaan-Jing_Gas_Pipeline_4</t>
  </si>
  <si>
    <t>West-East Gas Pipeline 1&amp;2, Datang Coal Gasfication Project</t>
  </si>
  <si>
    <t>Gaoliying</t>
  </si>
  <si>
    <t>Shunyi</t>
  </si>
  <si>
    <t>LINESTRING (108.926356 37.655418, 108.851865 37.875172, 109.412275 39.635508, 111.353632 40.204938, 113.166566 40.769412, 113.757843 40.812381, 114.900897 40.62296, 116.523928 40.233411, 116.24763 40.174674)</t>
  </si>
  <si>
    <t>P5037</t>
  </si>
  <si>
    <t>https://www.gem.wiki/Shaanxi_Gas_Pipeline_Network</t>
  </si>
  <si>
    <t>Shaanxi Gas Pipeline Network</t>
  </si>
  <si>
    <t>Baoji-Hanzhong gas pipeline</t>
  </si>
  <si>
    <t>ShaanXi Provincial Natural Gas Co., Ltd. [100.00%]</t>
  </si>
  <si>
    <t>Changqing Oil/gas field</t>
  </si>
  <si>
    <t>Baoji</t>
  </si>
  <si>
    <t>陕西输气管网</t>
  </si>
  <si>
    <t>LINESTRING (107.203691 34.338659, 107.099243 33.075399)</t>
  </si>
  <si>
    <t>P5038</t>
  </si>
  <si>
    <t>Guanzhong Loop Gas pipeline</t>
  </si>
  <si>
    <t>LINESTRING (109.3990021 34.5603981, 108.8519974 34.5280991, 108.7070007 34.5382004, 108.5009995 34.4916992, 108.4570007 34.5542984, 108.4100037 34.4996986, 108.2480011 34.5280991, 108.1399994 34.4734993, 108.0250015 34.4714012, 107.8600006 34.3965988, 107.7720032 34.2811012, 107.8359985 34.2262993, 108.0049973 34.1694984, 108.223999 34.1431007, 108.4049988 34.1268005, 108.5889969 34.1125984, 108.8619995 34.1450996, 108.9820023 34.1166992, 109.2890015 34.1553001, 109.4280014 34.2384987, 109.4499969 34.2993011, 109.4459991 34.4147987, 109.4089966 34.4572983, 109.4140015 34.5217018, 109.3990021 34.5592003)</t>
  </si>
  <si>
    <t>P5039</t>
  </si>
  <si>
    <t>Hanzhong-Ankang gas pipeline</t>
  </si>
  <si>
    <t>Hantai</t>
  </si>
  <si>
    <t>Hanbin</t>
  </si>
  <si>
    <t>Ankang</t>
  </si>
  <si>
    <t>LINESTRING (107.099243 33.075399, 107.339783 33.123836, 107.773428 33.010112, 108.265515 33.01613, 108.504141 32.866386, 108.996494 32.704079)</t>
  </si>
  <si>
    <t>P5040</t>
  </si>
  <si>
    <t>Jingbian-Xi'an Gas Pipeline 1</t>
  </si>
  <si>
    <t>Xi'an</t>
  </si>
  <si>
    <t>LINESTRING (108.926356 37.655418, 109.110813 37.067896, 109.321082 36.852568, 109.479665 36.59218, 109.347403 36.290399, 109.380463 35.996353, 108.988251 34.918973, 108.970607 34.552661, 108.696568 34.363742)</t>
  </si>
  <si>
    <t>P5041</t>
  </si>
  <si>
    <t>Jingbian-Xi'an Gas Pipeline 2</t>
  </si>
  <si>
    <t>P5042</t>
  </si>
  <si>
    <t>Jingbian-Xi'an Gas Pipeline 3</t>
  </si>
  <si>
    <t>P5043</t>
  </si>
  <si>
    <t>Mei County-Long County gas pipeline</t>
  </si>
  <si>
    <t>Long County</t>
  </si>
  <si>
    <t>P5044</t>
  </si>
  <si>
    <t>North  Segment</t>
  </si>
  <si>
    <t>Yan'an</t>
  </si>
  <si>
    <t>Zhidan</t>
  </si>
  <si>
    <t>P5045</t>
  </si>
  <si>
    <t>South Segment</t>
  </si>
  <si>
    <t>P5046</t>
  </si>
  <si>
    <t>Xi'an-Shangluo Gas Pipeline</t>
  </si>
  <si>
    <t>Shangluo</t>
  </si>
  <si>
    <t>P5047</t>
  </si>
  <si>
    <t>Xi'an-Weinan Gas Pipeline</t>
  </si>
  <si>
    <t>P5048</t>
  </si>
  <si>
    <t>Xianyang-Baoji Gas Pipeline</t>
  </si>
  <si>
    <t>Xianyang</t>
  </si>
  <si>
    <t>LINESTRING (108.813656 34.634387, 107.203691 34.338659)</t>
  </si>
  <si>
    <t>P5049</t>
  </si>
  <si>
    <t>Xi'an-Ankang gas pipeline</t>
  </si>
  <si>
    <t>P5050</t>
  </si>
  <si>
    <t>Ningqiang-Hanzhong gas pipeline</t>
  </si>
  <si>
    <t>Ningqiang Xuri New Energy Co., Ltd. [500.00%]</t>
  </si>
  <si>
    <t>State Grid Corporation of China [48.70%]; Shaanxi Xuri New Energy Co., Ltd. [21.80%]; State Grid Shaanxi Electric Power Co., Ltd. [19.30%]; Xi'an Huachang Energy Technology Co., Ltd. [10.00%]; other [0.20%]</t>
  </si>
  <si>
    <t>Ningqiang</t>
  </si>
  <si>
    <t>P5051</t>
  </si>
  <si>
    <t>Xianyang-Baoji Parallel Gas Pipeline</t>
  </si>
  <si>
    <t>P5052</t>
  </si>
  <si>
    <t>https://www.gem.wiki/Yulin%E2%80%93Xi%27an_Gas_Pipeline</t>
  </si>
  <si>
    <t>Yulin–Xi'an Gas Pipeline</t>
  </si>
  <si>
    <t>Yulin Gas Field</t>
  </si>
  <si>
    <t>Yuheng</t>
  </si>
  <si>
    <t>Lintong</t>
  </si>
  <si>
    <t>LINESTRING (109.567 38.581, 109.2177 34.3754)</t>
  </si>
  <si>
    <t>P5053</t>
  </si>
  <si>
    <t>Mian County-Kang County gas pipeline</t>
  </si>
  <si>
    <t>Mian County</t>
  </si>
  <si>
    <t>Kang County</t>
  </si>
  <si>
    <t>Longnan</t>
  </si>
  <si>
    <t>P5054</t>
  </si>
  <si>
    <t>Hanzhong-Mian County gas pipeline</t>
  </si>
  <si>
    <t>P5055</t>
  </si>
  <si>
    <t>Hancheng-Chengcheng coal bed methane pipeline</t>
  </si>
  <si>
    <t>Shaanxi Meineng Clean Energy Corp.,ltd. [100.00%]</t>
  </si>
  <si>
    <t>Huangbaiyuan</t>
  </si>
  <si>
    <t>Chengcheng County</t>
  </si>
  <si>
    <t>P5056</t>
  </si>
  <si>
    <t>Tongchuan-Baishui-Tongguan gas pipeline</t>
  </si>
  <si>
    <t>Tongchuan</t>
  </si>
  <si>
    <t>Tongguan</t>
  </si>
  <si>
    <t>P5057</t>
  </si>
  <si>
    <t>https://www.gem.wiki/Qingdao-Nanjing_Pipeline</t>
  </si>
  <si>
    <t>Gaoyou-Tianchang Branch</t>
  </si>
  <si>
    <t>青宁输气管道</t>
  </si>
  <si>
    <t>P5058</t>
  </si>
  <si>
    <t>Qingdao LNG Terminal</t>
  </si>
  <si>
    <t>Dongjiakou Port</t>
  </si>
  <si>
    <t>青宁输气管道（青岛-南京）</t>
  </si>
  <si>
    <t>LINESTRING (119.760056 35.58415, 119.752847 35.699264, 119.259188 35.092104, 118.96095 34.309948, 119.210369 33.534039, 119.374198 33.246002, 119.513596 32.906271, 119.486918 32.729708, 119.309361 32.648764, 119.087956 32.257451)</t>
  </si>
  <si>
    <t>P5059</t>
  </si>
  <si>
    <t>https://www.gem.wiki/Budongquan%E2%80%93Yushu_Gas_Pipeline</t>
  </si>
  <si>
    <t>Qinghai Gas Pipeline Network</t>
  </si>
  <si>
    <t>Budongquan-Yushu Gas Pipeline</t>
  </si>
  <si>
    <t>Budongquan</t>
  </si>
  <si>
    <t>Yushu</t>
  </si>
  <si>
    <t>青海输气管网</t>
  </si>
  <si>
    <t>LINESTRING (93.911554 35.519982, 96.958822 33.0119)</t>
  </si>
  <si>
    <t>P5061</t>
  </si>
  <si>
    <t>https://www.gem.wiki/Heilongjiang_Natural_Gas_Pipeline_Network</t>
  </si>
  <si>
    <t>Heilongjiang Natural Gas Pipeline Network</t>
  </si>
  <si>
    <t>Daqing–Harbin Branch</t>
  </si>
  <si>
    <t>黑龙江输气管网</t>
  </si>
  <si>
    <t>LINESTRING (125.104 46.589, 126.6409 45.7576)</t>
  </si>
  <si>
    <t>P5062</t>
  </si>
  <si>
    <t>Mingshui–Harbin Branch</t>
  </si>
  <si>
    <t>Mingshui</t>
  </si>
  <si>
    <t>Suihua</t>
  </si>
  <si>
    <t>LINESTRING (125.90922674292158 47.17511897946902, 126.59148411621062 46.012668906624874)</t>
  </si>
  <si>
    <t>P5063</t>
  </si>
  <si>
    <t>Harbin North Branch</t>
  </si>
  <si>
    <t>Heilongjiang Branch of PetroChina Kunlun Gas Co., Ltd. [100.00%]</t>
  </si>
  <si>
    <t>P5064</t>
  </si>
  <si>
    <t>Nenjiang Branch</t>
  </si>
  <si>
    <t>508/219.1</t>
  </si>
  <si>
    <t>Nenjiang</t>
  </si>
  <si>
    <t>P5065</t>
  </si>
  <si>
    <t>Kesan-Qiqihar gas pipeline</t>
  </si>
  <si>
    <t>508/406.4</t>
  </si>
  <si>
    <t>Kedong</t>
  </si>
  <si>
    <t>P5066</t>
  </si>
  <si>
    <t>Daqing-Qiqihar Gas Pipeline</t>
  </si>
  <si>
    <t>Daqing Oilfield Co., Ltd. [100.00%]</t>
  </si>
  <si>
    <t>Daqing Oil&amp;Gas Field</t>
  </si>
  <si>
    <t>LINESTRING (124.892795 46.394708, 123.830264 47.136599)</t>
  </si>
  <si>
    <t>P5067</t>
  </si>
  <si>
    <t>Daqing–Harbin Gas Pipeline</t>
  </si>
  <si>
    <t>Daqing Oil &amp; Gas Field</t>
  </si>
  <si>
    <t>P5068</t>
  </si>
  <si>
    <t>Harbin–Jiamusi Gas Pipeline</t>
  </si>
  <si>
    <t>Heilongjiang Natuial Gas Pipeline Network Co., Ltd. [600.00%]</t>
  </si>
  <si>
    <t>Beijing Gas Group Co., Ltd. [30.00%]; ShaanXi Provincial Natural Gas Co., Ltd. [20.00%]; （香港）中国燃气控股有限公司 [20.00%]; ENN Energy Holdings Limited [15.00%]; Heilongjiang Chenneng Investment Group Co., Ltd. [10.00%]; other [5.00%]</t>
  </si>
  <si>
    <t>LINESTRING (126.6409 45.7576, 130.319 46.8)</t>
  </si>
  <si>
    <t>P5069</t>
  </si>
  <si>
    <t>Harbin–Mudanjiang Gas Pipeline</t>
  </si>
  <si>
    <t>LINESTRING (126.6409 45.7576, 129.6329 44.5514)</t>
  </si>
  <si>
    <t>P5070</t>
  </si>
  <si>
    <t>Hegang-Luobei Gas Pipeline</t>
  </si>
  <si>
    <t>https://www.hlj.gov.cn/n200/2020/1213/c35-11012253.html</t>
  </si>
  <si>
    <t>P5071</t>
  </si>
  <si>
    <t>Hulin-Suibin Gas Pipeline</t>
  </si>
  <si>
    <t>P5072</t>
  </si>
  <si>
    <t>Jiamusi-Shuangyashan Gas Pipeline</t>
  </si>
  <si>
    <t>P5073</t>
  </si>
  <si>
    <t>Keshan-Qiqihar Gas Pipeline</t>
  </si>
  <si>
    <t>P5074</t>
  </si>
  <si>
    <t>Linkou-Dongning Gas Pipeline</t>
  </si>
  <si>
    <t>P5075</t>
  </si>
  <si>
    <t>Linkou-Jixi Gas Pipeline</t>
  </si>
  <si>
    <t>P5076</t>
  </si>
  <si>
    <t>Qitaihe-Jiamusi Gas Pipeline</t>
  </si>
  <si>
    <t>P5077</t>
  </si>
  <si>
    <t>Qitaihe-Mudanjiang Gas Pipeline</t>
  </si>
  <si>
    <t>P5078</t>
  </si>
  <si>
    <t>Suihua-Yichun Gas Pipeline</t>
  </si>
  <si>
    <t>P5079</t>
  </si>
  <si>
    <t>Wudalianchi-Nenjiang Gas Pipeline</t>
  </si>
  <si>
    <t>P5080</t>
  </si>
  <si>
    <t>Yilan-Fangzheng-Yanshou-Shangzhi-Wuchang Gas Pipeline</t>
  </si>
  <si>
    <t>P5081</t>
  </si>
  <si>
    <t>Hulan-Bayan-Mulan-Tonghe Gas Pipeline</t>
  </si>
  <si>
    <t>P5082</t>
  </si>
  <si>
    <t>Bayan-Bin County Gas Pipeline</t>
  </si>
  <si>
    <t>P5083</t>
  </si>
  <si>
    <t>https://www.gem.wiki/Pinghu-Shanghai_Offshore_Gas_Pipeline</t>
  </si>
  <si>
    <t>Pinghu-Shanghai Offshore Gas Pipeline</t>
  </si>
  <si>
    <t>Shanghai Petroleum Co., Ltd. [300.00%]</t>
  </si>
  <si>
    <t>Shenergy Company Limited [40.00%]; China Petroleum &amp; Chemical Corporation [30.00%]; 中国海洋石油有限公司 [30.00%]</t>
  </si>
  <si>
    <t>offshore Pinghu Oil&amp;Gas Field</t>
  </si>
  <si>
    <t>Xingang Town</t>
  </si>
  <si>
    <t>Nanhui County</t>
  </si>
  <si>
    <t>平湖-上海海上输气管道</t>
  </si>
  <si>
    <t>LINESTRING (121.871103 30.996338, 126.309621 28.119337)</t>
  </si>
  <si>
    <t>P5084</t>
  </si>
  <si>
    <t>https://www.gem.wiki/Zhoukou-Wuhan_Connecting_Gas_Pipeline</t>
  </si>
  <si>
    <t>Huaiyang (淮阳分输站)</t>
  </si>
  <si>
    <t>Wuhan (武汉分输站)</t>
  </si>
  <si>
    <t>淮武输气联络线 （周口-武汉）</t>
  </si>
  <si>
    <t>LINESTRING (114.821452 33.698053, 114.882473 32.063994, 114.848939 31.990865, 114.069458 30.411802)</t>
  </si>
  <si>
    <t>P5085</t>
  </si>
  <si>
    <t>https://www.gem.wiki/Chongqing-Guizhou-Guangxi_Gas_Pipeline</t>
  </si>
  <si>
    <t>Chongqing-Guizhou-Guangxi Gas Pipeline</t>
  </si>
  <si>
    <t>Multiple gas fields in Sichuan Basin&amp;Beihai LNG Terminal</t>
  </si>
  <si>
    <t>渝桂输气管道（重庆-贵州-广西）</t>
  </si>
  <si>
    <t>LINESTRING (107.378182 29.689579, 106.934188 27.729828, 106.545545 26.311174, 107.531372 25.81555, 108.083067 24.688127, 109.491988 24.305269, 109.245257 23.748081, 108.587763 22.74391, 108.677505 21.952529, 108.347655 21.580319)</t>
  </si>
  <si>
    <t>P5086</t>
  </si>
  <si>
    <t>P5087</t>
  </si>
  <si>
    <t>P5088</t>
  </si>
  <si>
    <t>P5089</t>
  </si>
  <si>
    <t>P5090</t>
  </si>
  <si>
    <t>https://www.gem.wiki/Puyang%E2%80%93Cangzhou_Gas_Pipeline</t>
  </si>
  <si>
    <t>Puyang–Cangzhou Gas Pipeline</t>
  </si>
  <si>
    <t>中沧输气管道 (青吴线) (濮阳-沧州)</t>
  </si>
  <si>
    <t>LINESTRING (115.23477 35.732924, 117.002744 38.319473)</t>
  </si>
  <si>
    <t>P5091</t>
  </si>
  <si>
    <t>https://www.gem.wiki/Prokopyevsky_%E2%80%93_Toutunhe_Pipeline</t>
  </si>
  <si>
    <t>Prokopyevsky-Toutunhe Pipeline</t>
  </si>
  <si>
    <t>Prokopyevsky District</t>
  </si>
  <si>
    <t>Toutunhe</t>
  </si>
  <si>
    <t>中俄天然气管道西线</t>
  </si>
  <si>
    <t>LINESTRING (86.94444686 53.79742175, 87.40949857 44.01739435)</t>
  </si>
  <si>
    <t>P5092</t>
  </si>
  <si>
    <t>https://www.gem.wiki/Harbin-Shenyang_Pipeline</t>
  </si>
  <si>
    <t>Harbin-Shenyang Gas Pipeline</t>
  </si>
  <si>
    <t>West-East Gas Pipeline 2/ Changqing Gas Field/Russa-China East Line Domestic Extension</t>
  </si>
  <si>
    <t>哈沈输气管道（沈阳-长春段）</t>
  </si>
  <si>
    <t>LINESTRING (126.588894 45.455285, 125.413804 44.148949, 124.373688 43.24741, 123.21549 42.202526, 123.009965 41.939341, 123.441572 41.681725)</t>
  </si>
  <si>
    <t>P5093</t>
  </si>
  <si>
    <t>https://www.gem.wiki/Datang_Hexigten_Coal_Gasification_Transmission_Pipeline</t>
  </si>
  <si>
    <t>Datang Hexigten Coal Gasfication Plant</t>
  </si>
  <si>
    <t>Hexigten</t>
  </si>
  <si>
    <t>大唐克什克腾煤制气输气管道（克什克腾旗-北京煤制气管道）</t>
  </si>
  <si>
    <t>LINESTRING (116.782143 43.069251, 116.563563 42.21149, 117.103505 41.562308, 117.368954 40.997918, 117.218177 40.71502, 116.986617 40.346241, 116.523928 40.233411)</t>
  </si>
  <si>
    <t>P5096</t>
  </si>
  <si>
    <t>https://www.gem.wiki/Hainan_Haikou%E2%80%93Guangdong_Xvwen_Pipeline</t>
  </si>
  <si>
    <t>Hainan Haikou–Guangdong Xvwen Pipeline</t>
  </si>
  <si>
    <t>Xvwen</t>
  </si>
  <si>
    <t>琼粤输气管道（海口-徐闻）</t>
  </si>
  <si>
    <t>LINESTRING (110.362444 21.266637, 110.197253 20.041758)</t>
  </si>
  <si>
    <t>P5097</t>
  </si>
  <si>
    <t>https://www.gem.wiki/Shenmu-Anping_Coalbed_Gas_Pipeline</t>
  </si>
  <si>
    <t>Shenmu-Anping Coalbed Gas Pipeline</t>
  </si>
  <si>
    <t>Shaanxi-Shanxi Segment</t>
  </si>
  <si>
    <t>China United Coalbed Methane Corp., Ltd. [100.00%]</t>
  </si>
  <si>
    <t>中国海洋石油有限公司 [100.00%]</t>
  </si>
  <si>
    <t>Shanxi Xing County Coalbed Field</t>
  </si>
  <si>
    <t>Kangning</t>
  </si>
  <si>
    <t>Lüliang</t>
  </si>
  <si>
    <t>神安煤层气输气管道 (神木-安平)</t>
  </si>
  <si>
    <t>LINESTRING (111.078255 38.335616, 111.07578 38.334737, 111.074673 38.334411, 111.072914 38.334346, 111.068811 38.334737, 111.06697 38.334839, 111.064466 38.334711, 111.061907 38.334281, 111.05852 38.333109, 111.054092 38.331936, 111.050314 38.330959, 111.048621 38.330373, 111.047189 38.330151, 111.04595 38.330243, 111.044713 38.331024, 111.042759 38.332783, 111.041001 38.334411, 111.036507 38.337928, 111.033836 38.339361, 111.022463 38.345244, 111.020921 38.346336, 111.020279 38.347042, 111.020215 38.348327, 111.02055 38.349586, 111.021527 38.353885, 111.022569 38.356946, 111.023676 38.359291, 111.033706 38.373749, 111.034087 38.374337, 111.034162 38.375312, 111.033445 38.3762, 111.031361 38.380393, 111.031005 38.383136, 111.031166 38.385408, 111.017163 38.396903, 111.016512 38.40055, 111.015398 38.402082, 111.013646 38.402374, 111.01052 38.403025, 111.007785 38.403937, 111.006742 38.4055, 111.006482 38.409147, 111.000229 38.416833, 110.999448 38.421001, 110.992284 38.428686, 110.988636 38.435329, 110.983947 38.441973, 110.9803 38.447444, 110.979649 38.449788, 110.979388 38.452524, 110.980691 38.455389, 110.981993 38.457864, 110.98564 38.461251, 110.988115 38.464898, 110.988506 38.467373, 110.988376 38.469718, 110.987782 38.471509, 110.986552 38.472974, 110.984859 38.474277, 110.982514 38.474407, 110.978726 38.47427, 110.976658 38.474052, 110.975668 38.474361, 110.974959 38.475579, 110.974568 38.479227, 110.973136 38.482483, 110.971182 38.48613, 110.968316 38.488736, 110.966232 38.490429, 110.966102 38.492383, 110.966232 38.496291, 110.966623 38.50098, 110.966386 38.506453, 110.965841 38.510098, 110.96519 38.513615, 110.963366 38.514527, 110.959719 38.516872, 110.955941 38.520779, 110.95529 38.523906, 110.949428 38.532372, 110.947214 38.535238, 110.946432 38.545789, 110.942785 38.553084, 110.94539 38.559336, 110.94539 38.56637, 110.942134 38.571841, 110.938617 38.574316, 110.93536 38.576791, 110.934449 38.578093, 110.9351 38.579787, 110.93894 38.588202, 110.938487 38.59659, 110.938483 38.598331, 110.939919 38.604666, 110.939986 38.605781, 110.939659 38.60649, 110.938096 38.607011, 110.936522 38.607676, 110.935477 38.60859, 110.932536 38.608917, 110.930772 38.609963, 110.929726 38.612054, 110.927936 38.615999, 110.926112 38.61665, 110.923377 38.617562, 110.913868 38.617823, 110.91022 38.61639, 110.908136 38.614827, 110.902926 38.61157, 110.901102 38.610919, 110.899018 38.61144, 110.894068 38.615348, 110.893026 38.61678, 110.893026 38.621209, 110.892114 38.622251, 110.889249 38.622772, 110.885813 38.62264, 110.881435 38.621987, 110.877579 38.621333, 110.874139 38.621209, 110.870849 38.62068, 110.867886 38.620558, 110.862546 38.621209, 110.85981 38.622512, 110.857596 38.624205, 110.854079 38.625117, 110.851343 38.625117, 110.848478 38.624987, 110.845742 38.624335, 110.842746 38.625768, 110.837536 38.628113, 110.832846 38.628504, 110.829199 38.629155, 110.825422 38.632151, 110.821905 38.634626, 110.8094 38.642963, 110.809139 38.649085, 110.806404 38.652992, 110.804841 38.655858, 110.80471 38.659245, 110.80458 38.663022, 110.803929 38.665237, 110.802105 38.667451, 110.800282 38.670447, 110.798458 38.672531, 110.798067 38.675527, 110.798328 38.678523, 110.796374 38.681128, 110.794029 38.683213, 110.792336 38.685688, 110.788949 38.688162, 110.787125 38.690507, 110.786214 38.69181, 110.786344 38.693243, 110.787777 38.694285, 110.78934 38.695457, 110.790642 38.69715, 110.792987 38.701058, 110.793769 38.701579)</t>
  </si>
  <si>
    <t>P5098</t>
  </si>
  <si>
    <t>Shanxi–Hebei Segment</t>
  </si>
  <si>
    <t>LINESTRING (111.078255 38.335616, 111.097273 38.345516, 111.100659 38.3476, 111.104828 38.349163, 111.108475 38.349163, 111.112383 38.347079, 111.118375 38.343953, 111.12111 38.343627, 111.123324 38.344213, 111.125409 38.346297, 111.12593 38.350205, 111.129274 38.359049, 111.140117 38.368224, 111.14104 38.371568, 111.140951 38.37573, 111.10759 38.428274, 111.106912 38.431747, 111.109258 38.434112, 111.123436 38.43995, 111.125637 38.440716, 111.13138 38.436614, 111.157631 38.435793, 111.167314 38.437407, 111.195556 38.420462, 111.230478 38.426812, 111.230478 38.441892, 111.243749 38.444234, 111.248433 38.450479, 111.248433 38.476241, 111.273415 38.494196, 111.304641 38.49888, 111.316351 38.512932, 111.335087 38.512932, 111.346797 38.524642, 111.406909 38.516055, 111.426426 38.491854, 111.445942 38.506687, 111.467801 38.502784, 111.494344 38.505906, 111.516983 38.497319, 111.523228 38.49888, 111.532596 38.514494, 111.538842 38.52152, 111.541964 38.535572, 111.557578 38.536352, 111.563043 38.54494, 111.613005 38.558992, 111.627057 38.560553, 111.637987 38.565237, 111.652039 38.565237, 111.66531 38.573825, 111.675459 38.572263, 111.691072 38.581631, 111.704343 38.587096, 111.707466 38.611297, 111.716054 38.614419, 111.730106 38.6152, 111.738693 38.608174, 111.753526 38.600367, 111.771481 38.596464, 111.78163 38.587877, 111.803488 38.587877, 111.812856 38.582412, 111.842522 38.583193, 111.858916 38.600367, 111.866722 38.602709, 111.897169 38.602709, 111.909659 38.598025, 111.931518 38.597245, 111.947131 38.605051, 111.954157 38.605051, 111.976016 38.589438, 111.993191 38.587877, 112.018953 38.569141, 112.030663 38.567579, 112.056425 38.573044, 112.094678 38.573825, 112.103265 38.573044, 112.134492 38.564456, 112.20319 38.558992, 112.246908 38.576947, 112.261741 38.579289, 112.289064 38.578509, 112.303116 38.579289, 112.317949 38.590219, 112.320291 38.601148, 112.333562 38.602709, 112.357763 38.611297, 112.38977 38.611297, 112.409287 38.637839, 112.42412 38.645646, 112.435049 38.644865, 112.452224 38.630813, 112.466276 38.625349, 112.474863 38.617542, 112.499064 38.618323, 112.509212 38.612858, 112.545904 38.611297, 112.563859 38.595683, 112.592744 38.597245, 112.603673 38.59178, 112.605235 38.577728, 112.603673 38.562895, 112.591963 38.547282, 112.581815 38.526984, 112.584937 38.51059, 112.589621 38.496538, 112.595867 38.48639, 112.608357 38.47546, 112.619287 38.46297, 112.618506 38.441111, 112.622409 38.426278, 112.627093 38.419252, 112.634119 38.406762, 112.635681 38.402078, 112.643487 38.398955, 112.659101 38.397394, 112.666127 38.391929, 112.687985 38.367728, 112.697353 38.342747, 112.696573 38.329475, 112.692669 38.312301, 112.687205 38.292784, 112.687985 38.280293, 112.69345 38.273267, 112.698915 38.266241, 112.703599 38.263899, 112.716089 38.261557, 112.729361 38.256093, 112.737167 38.250628, 112.742632 38.237357, 112.748097 38.231111, 112.753562 38.227989, 112.765272 38.226427, 112.788692 38.221743, 112.803524 38.217059, 112.819918 38.214717, 112.83319 38.20613, 112.839435 38.20613, 112.867539 38.220962, 112.876907 38.224085, 112.887836 38.222524, 112.895643 38.21862, 112.910476 38.207691, 112.924528 38.192078, 112.93858 38.190516, 112.951851 38.179587, 112.976052 38.179587, 112.988543 38.174122, 113.005717 38.169438, 113.048654 38.166316, 113.074416 38.149922, 113.085345 38.149922, 113.108766 38.155386, 113.126721 38.163193, 113.140773 38.163974, 113.164974 38.161632, 113.17278 38.161632, 113.206349 38.189736, 113.213375 38.192858, 113.21962 38.193639, 113.222743 38.20613, 113.23133 38.210033, 113.243821 38.212375, 113.256312 38.210814, 113.292223 38.211594, 113.305494 38.224085, 113.317948 38.267951, 113.336292 38.280459, 113.352134 38.281292, 113.379649 38.286295, 113.396325 38.286295, 113.406331 38.282126, 113.431345 38.272954, 113.443018 38.272954, 113.455526 38.26545, 113.497216 38.25878, 113.525565 38.240436, 113.551413 38.238768, 113.567255 38.237101, 113.606444 38.243771, 113.618117 38.251275, 113.634793 38.252109, 113.65147 38.256278, 113.669813 38.272954, 113.73485 38.272954, 113.750692 38.278791, 113.759864 38.277957, 113.769036 38.27212, 113.778208 38.261281, 113.785712 38.259613, 113.798219 38.260447, 113.809892 38.260447, 113.815729 38.253777, 113.820732 38.244605, 113.828236 38.235433, 113.836574 38.232932, 113.851583 38.232098, 113.862422 38.232098, 113.869926 38.231264, 113.874095 38.227095, 113.881599 38.222092, 113.897442 38.217089, 113.910783 38.217089, 113.933295 38.222926, 113.945802 38.219591, 113.964146 38.225427, 113.989994 38.23043, 114.005003 38.226261, 114.021679 38.23043, 114.086715 38.228763, 114.105893 38.22376, 114.122569 38.215422, 114.146749 38.197078, 114.171763 38.182903, 114.229296 38.186239, 114.264316 38.177901, 114.299335 38.176233, 114.314344 38.180402, 114.32435 38.187072, 114.345195 38.187906, 114.375212 38.179568, 114.387719 38.176233, 114.395223 38.177067, 114.399392 38.184571, 114.395223 38.208751, 114.399392 38.211253, 114.461093 38.224594, 114.467764 38.225427, 114.487775 38.215422, 114.506953 38.210419, 114.536136 38.211253, 114.552812 38.204582, 114.568654 38.210419, 114.579494 38.217089, 114.588665 38.222926, 114.597837 38.22376, 114.604508 38.215422, 114.610344 38.198746, 114.62035 38.193743, 114.631189 38.192075, 114.685387 38.203749, 114.695392 38.204582, 114.708733 38.19958, 114.762097 38.170396, 114.775438 38.165394, 114.802953 38.167895, 114.835472 38.173732, 114.849646 38.173732, 114.883832 38.196244, 114.895505 38.202915, 114.907179 38.202081, 114.925522 38.203749, 114.945534 38.210419, 114.96221 38.213754, 114.976384 38.213754, 115.000565 38.212087, 115.013072 38.207918, 115.018075 38.207084, 115.024745 38.207084, 115.038086 38.216256, 115.048092 38.22376, 115.0631 38.226261, 115.075607 38.23043, 115.100621 38.231264, 115.132306 38.232098, 115.145647 38.238768, 115.158154 38.236267, 115.177331 38.227095, 115.19234 38.226261, 115.225692 38.224594, 115.259878 38.225427, 115.274886 38.222092, 115.292396 38.227929, 115.312408 38.242104, 115.332419 38.252943, 115.354562 38.262962, 115.374246 38.272804, 115.386548 38.273624, 115.393441 38.276181, 115.39861 38.284797, 115.406365 38.304613)</t>
  </si>
  <si>
    <t>P5099</t>
  </si>
  <si>
    <t>https://www.gem.wiki/Jiangsu%E2%80%93Henan%E2%80%93Anhui_Provinces_Connection_Line_(Binhai%E2%80%93Shangqiu)</t>
  </si>
  <si>
    <t>Jiangsu–Henan–Anhui Provinces Connection Line (Binhai–Shangqiu)</t>
  </si>
  <si>
    <t>苏豫皖三省联络线 (滨海-徐州-宿州/淮北-商丘)</t>
  </si>
  <si>
    <t>LINESTRING (119.997 34.096, 116.964 33.648, 115.656 34.415)</t>
  </si>
  <si>
    <t>P5100</t>
  </si>
  <si>
    <t>https://www.gem.wiki/Tibet_Natural_Gas_Pipeline</t>
  </si>
  <si>
    <t>Tibet Natural Gas Pipeline</t>
  </si>
  <si>
    <t>PetroChina Kunlun Gas Company Limited [100.00%]</t>
  </si>
  <si>
    <t>Kunlun Energy Co., Ltd. [100.00%]</t>
  </si>
  <si>
    <t>Sebei Gas Field</t>
  </si>
  <si>
    <t>Golmud</t>
  </si>
  <si>
    <t>Lhasa</t>
  </si>
  <si>
    <t>Tibet</t>
  </si>
  <si>
    <t>青藏天然气管道</t>
  </si>
  <si>
    <t>LINESTRING (94.163561 37.348229, 94.964776 36.524214, 90.942328 29.661223)</t>
  </si>
  <si>
    <t>P5101</t>
  </si>
  <si>
    <t>Kalama Lateral Project</t>
  </si>
  <si>
    <t>Technology Type</t>
  </si>
  <si>
    <t>Value Proposal</t>
  </si>
  <si>
    <t>Value Creation</t>
  </si>
  <si>
    <t>Value Capture</t>
  </si>
  <si>
    <t>Methane Reformation with Capture</t>
  </si>
  <si>
    <t>Combing Gas Partial Oxidation (SGP) and ADIP ULTRA technologies to create blue hydrogen technology. Over 30 licenses for gas and residue gasification are now operating with SGP; 100 installed worldwide</t>
  </si>
  <si>
    <t>SGP technology uses a direct firing oxygen-base ystem in a reactor with a refractory lining. It is a non-catalytic process that produces high-pressure steam fro mwaste heat rather than consuming it and emits no direct CO2. It requires little to no feed gas pre-processing. ADIP ULTRA is a non-corrosive, high carrying capacity solvent for capturing Co2 from high-pressure process tream. The plant will have a pacity up to 720 MW in the UK</t>
  </si>
  <si>
    <t>Revenue stream is expected by mass sales of blue hydrogen to decarbonize heavy industry, transport, heating and power in the region of the plant. Claim SGP has 22% less lelveized cost than ATR and much less than SMR technologies. Claim that CO2 removal (per stack) is increased by 25-40% thanks to ULTRA tech. Expect to capture around 1.6M tonnes of CO2 per year through CCS</t>
  </si>
  <si>
    <t>Johnson Matthey</t>
  </si>
  <si>
    <t>Offering blue hydrogen at scale thanks to their LCH technology. Incorporating it at the NyNet North West hydrogen project in the UK</t>
  </si>
  <si>
    <t xml:space="preserve">Producing LCH at scale while capturing 98% of CO2 emissions. </t>
  </si>
  <si>
    <t>Targeting EUR 200M sales of all hydrogen technologies including blue and green hydrogen, and fuel cells by end of 2024/2025. Once operational facility is expected to remove 600K tonnes of CO2 per year</t>
  </si>
  <si>
    <t>TOYO Engineering</t>
  </si>
  <si>
    <t>Prominent actor in the area of licensing, design and construction of SMR plants. Their products account for more than 10% of blue hydrogen produced in the world by SMR</t>
  </si>
  <si>
    <t>Develop SMR technologies with high efficiency for producing crude gas (syngas) consisting of hdyrogen and carbon monoxide formed to produce blue hydrogen. Their steam reformers are used in ammonia, methanol, refinery, hydrogen production, and fuel cell power facilities.</t>
  </si>
  <si>
    <t>Revenue stream is generated by sales of SMR plants. Extra value is captured by size reduction, saving of fuel extension of tube life, and throughput increase</t>
  </si>
  <si>
    <t>Catalysts</t>
  </si>
  <si>
    <t>Sigma-Aldrich</t>
  </si>
  <si>
    <t>Provide homo and heterogeneous catalysts for sectors such as pharmaceuticals, agrochemicals, industrial chemicals, or custom manfuacturing</t>
  </si>
  <si>
    <t xml:space="preserve">Iridium, nickel, palladium, rhodium, or ruthenium are common hydrogenation catalysts used to initiate the chemical reaction between hydrogen and another substance. </t>
  </si>
  <si>
    <t>Revenue stream through bulk sales of catalysts. A large supply-chain promises global availability. Furthermore, in addition to their product portfolio, they offer fustom catalyst synthesis depending on the customers' requests</t>
  </si>
  <si>
    <t>Heraeus</t>
  </si>
  <si>
    <t>Company offers chemical process catalysts with a wide spectrum of homogeneous and heterogenuous cataylsts</t>
  </si>
  <si>
    <t>They are delivering electrocatalysts for PEM electrolyzers and PEM fuel cells. They provide customers with a complete loop of their precious metals needs by recovering precious metals from a catalyst-coated membrane. They use platinum in different PEM fuel cell catalysts, increasing performance and reducing costs. Anode is protected because of cell reversal tolerance.</t>
  </si>
  <si>
    <t>Revenue by sales of catalysts. Further value is captured by providing customers up to three times higher catlayst performance while reudcing the precious metal loading in the catalyst-coated membrane 50-90%. Leads to more efficient use of iridium, allowing icnreasing performance and reducing costs, large scale application due to savings in precious metal content, less CAPEX</t>
  </si>
  <si>
    <t>Honeywell</t>
  </si>
  <si>
    <t>Offer PEM and Anion Exchange Membrane electrolysers. Also piloting a new catalyst-coated membrane technology.</t>
  </si>
  <si>
    <t>Develop, manufacture and deliver membranes and catalysts for gas processing, refining, steel, petrohemicals, and battery and power applications. In collaobration with ZoneFlow Reactor Technologies, they are in the process of commercializing a new technology called ZoneFlow Reactor -&gt; A structured catalyst module that replaces conventional catalyst pllets in an SMR tubes providing better heat transfer and pressure drop performance</t>
  </si>
  <si>
    <t>Revenue stream through sales of catalysts for a wide range of applications. Further value is aimed to be captured by achieving a 25% reduction in electrolyzer stack cost and further efficiency increases in catalyst design.</t>
  </si>
  <si>
    <t>Electrolytic Hydrogen</t>
  </si>
  <si>
    <t>Siemens</t>
  </si>
  <si>
    <t>Siemens Gamesa and Siemens Energy have started joint work to produce green hydrogen at an offshore wind turbine. Also trials a land wind turbine-fed electrolyser system for on and off grid generation</t>
  </si>
  <si>
    <t>Testing a modular approach to see hydrogen production at variable renewable generation rates. Also monitoring performance in harsh weather. Trials aim to demonstrate a dependable, efficient dpeloyment of modular offshore wind-to-hydrogen</t>
  </si>
  <si>
    <t>Revenue stream from generation of green hydrogen. Over next 5 years, Siemens plan to invest around EUR 120M in the development of modular offshore wind-to-hydrogen systems with a full scale demo ready in 2025/26</t>
  </si>
  <si>
    <t>SPA</t>
  </si>
  <si>
    <t>REPSOL</t>
  </si>
  <si>
    <t>With Enagas they are planning to offer green hydrogen produced from the direct use of solar energy, called pho electrcatalysis (does not deploy actual electrolyzer)</t>
  </si>
  <si>
    <t>Technology receives solar radiation and generates electrical charges that cause the separation by using its photoactive material. Aim to have 1.9 GW of installed capacity by 2030</t>
  </si>
  <si>
    <t>Expected revenue stream through sales of green hydrogen. Extra value will be created via increased efficiency. They plan to invest around EUR 2.549B by 2030. They expect business to be viable by 2030</t>
  </si>
  <si>
    <t>SWI</t>
  </si>
  <si>
    <t>They offer procurement, production and logistics of green hydrogen, mainly produced from hydro. Also provide marketing and sale support</t>
  </si>
  <si>
    <t>Their first green hydrogen demo project produces 300 tonnes of hydrogen per year at a hydro plant with a 2-MW electrolyzer. The hydrogen is transported to filling stations after being stored in custom-made containers</t>
  </si>
  <si>
    <t>Targeted customers are heavy commercial vehicles. The sales of green hydrogen generate revenue. Their existing production capacity can supply up to 40-50 trucks per year. Capture environmental value as well</t>
  </si>
  <si>
    <t>SGH2</t>
  </si>
  <si>
    <t>Offer the production of green hydrogen from any sort of waste ranging from paper, plastics, tires, textiles</t>
  </si>
  <si>
    <t>Company utilizes a plasma-enhanced thermal catalytic conversion process optimized with oxygen-enriched gas. At high temperatures, the waste feedstock disintegrates into its molecular compounds. These molecules bind into very high-quality hydrogen-rich biosyngas, which are then used to produce hydrogen. They are launching a generation plant in California to produce 3,800 tonnes a year (would be largest in world)</t>
  </si>
  <si>
    <t>Mass production promises economy of scale with a cost of US$2 per kg. This has parity with cheapest brown hydrogen production India.</t>
  </si>
  <si>
    <t>Electrolyzer</t>
  </si>
  <si>
    <t>Ostermeier H2ydrogen Solutions</t>
  </si>
  <si>
    <t>They offer modular electrolyzers in 1.2m X 1m X 2m sizes for residential and commercial use (1-5 kW)</t>
  </si>
  <si>
    <t>Consists of the elecrolysis frame module, the electrolysis module, the water purification module, the electrolysis power module, the water purification module, the electrolysis power module, the fuel cell and the cooling module. Tap water can be used in hydrogen generation at homes and commercial facilities. The produced hydrogen can then be stored in the fuel cell module to be converted to power whenever needed</t>
  </si>
  <si>
    <t>Revenue stream through sales of modular design of electrolyzers. They are planning to produce about 10 electorlyzers in 2022 and 20 more in 2023. The water purification systems adds value because tap water can be used.</t>
  </si>
  <si>
    <t>Next Hydrogen</t>
  </si>
  <si>
    <t>The company provides scalable Alkaline electrolyzer cell design to generate electrolytic hydrogen at MW scales</t>
  </si>
  <si>
    <t>In their portfolio, they have 3 pre-assembled product types and ready to drip in at customers' sites. They have 4 demos planned, 4 with Canadian Tire and proof of concept with Hyundai and Kia. They claim that their electrolyzers can capture the entire intermittent power generation output range</t>
  </si>
  <si>
    <t>Revenue is generated by sales of alkaline elctrolyzers. Further value is aimed by installing MW systems and signficant economies of scale to drive down costs</t>
  </si>
  <si>
    <t>Nel Hydrogen</t>
  </si>
  <si>
    <t>The company is an actor in the design, manufacturing, and sales of Alkaline and PEM electrolyzers. They have more than 3,500 electrolyzers installed and operating globally</t>
  </si>
  <si>
    <t>Their electrolyzers could be scaled to match numerous applications. Atmospheric Alkaline Electrolyzer claims to be the world's most energy-efficient electrolyzer featuring a cell stack power consumption as low as 3.8 kWh/Nm^3. Depending on modular size it can produce up to 8 tonnes of hydrogen per day</t>
  </si>
  <si>
    <t>Revenue is generated by the sales of a wide range of electrolyzer portfolios. On-site renewable generation eliminates hydrogen delivery and storage. Product range satisfies many customers</t>
  </si>
  <si>
    <t>Enapter</t>
  </si>
  <si>
    <t>Company offers Anion Exchange Membrane electrolyzers and an energy management software system, especially for labs, backup power, and residential storage units</t>
  </si>
  <si>
    <t>AEM utilizes a semipermeable membrane designed to conduct anions. Stell can be utilized for the bipolar plates instead of titanium because the atmosphere is less corrosive. AEM may operate with less pure water, allows for tap and rainwater input</t>
  </si>
  <si>
    <t>AEM electrolyzers are yet to be commercialized. Their value comes from being built with relatively less costly materials and being safer to handle when compared to other types of electrolyzers</t>
  </si>
  <si>
    <t>Casale</t>
  </si>
  <si>
    <t>Company licenses technology designs and constructs ammonia production plants, as well as increasing capacity the existing plants or switching from grey to blue or green ammonia and green methanol. Offer simple plant construction, operation and maintenance</t>
  </si>
  <si>
    <t>They deliver ammonia production plants of various sizes. Natural gas is first de-sulphurized on a typical blue ammonia plant and then fed into a steam reformer. After co2 removal, any remaining carbon oxides are converted back to methane by reaction with hydrogen. The final synthesis gas is cooled and fed to the ammonia synthesis section. Through revamping they deliver 100% super capacity and 30% moderate capacity increases at existing ammonia plants</t>
  </si>
  <si>
    <t>Revenue stream through sales of ammonia plant facilities, ammonia, and capacity increases. Further value is captured by promising longer operating life in comparison with traditional designs. Stable operations at even 20% of the design load. Increased efficiency is achieved by the utilization 100% of the catalyst volume for reaction. Environmental value captured by reduced NOX emissions below the limit specified by the EU for new plants (140mg/Nm3)</t>
  </si>
  <si>
    <t>KBR</t>
  </si>
  <si>
    <t>They offer plants to produce ammonia and fertilizer from various sources (nitric acid, ammonium nitrate, and urea ammonium nitrate production technologies are provided)</t>
  </si>
  <si>
    <t>The company offer both green ammonia with K-Green technology and blue ammonia with PurifierPlus process. They also deliver a portfolio of hydrogen generated from natural gas, heavy naphtha and other feedstocks through their SMR. Ammonia can be used directly in fuel cell and ICEs</t>
  </si>
  <si>
    <t>Revenue stream through the sales of green and blue ammonia and hydrogen generation plants. Their Purifier technology captures extra monetary value by reducing operational and capital expenditures. Further reduction in expenses because of their joint ammonia and methanol production with Johnson Matthey</t>
  </si>
  <si>
    <t>NET</t>
  </si>
  <si>
    <t>Stamicarbon</t>
  </si>
  <si>
    <t>A green hydrogen ammonia producer. They provide technical licenses and engineering and specifications for the construction of compact green ammonia plants with predetermined capacity. They also offer help to customers with project planning, finance, and feasibility studies in green ammonia production</t>
  </si>
  <si>
    <t>They deliver modular designs depending on the customers' specifications. In particular, small-scale green ammonia plants are delivered. Their products can be used as a renewable feedstock for fertilizer plants to manufacture the necessary nitrogen fertilizers by using renewable energy sources like solar and wind.</t>
  </si>
  <si>
    <t>Revenue is generated through the sales of green ammonia plants and increased capacities. The extra revenue is created by selling software for operator training simulators. Further value is captured by saving energy and producing safely and cost-effectively through reduced CAPEX. Environmental value captured by reducing waste and emissions.</t>
  </si>
  <si>
    <t>YARA</t>
  </si>
  <si>
    <t>The world's leading ammonia producer. They can transport ammonia via sea, road, or rail. They supply ammonia in compressed liquid and cryogenic forms. Excel in logistics, shipping, and storage ammonia.</t>
  </si>
  <si>
    <t>Hydrogen is produced via SMR. With over 300 terminals and warehouses around the world, they can ship and deliver more than 20M tons of chemical nitrogen products and nitrates a year. They have a fleet of 11 ammonia carriers and 18 marine ammonia terminals with 580 kilotons of storage capacity. Together with ENGIE, they will install a PV-powered green ammonia plant with battery back-up with a 10 MW electrolyzer. Together with JERA, they plan to supply ammonia and optimize logistics to Japan</t>
  </si>
  <si>
    <t>Revenue stream through mass sales of ammonia thanks to an extensive logistics network. Environmental value is captured by the abatement of NoX and hydrogen sulphide reducing SOX emissions in the maritime sector</t>
  </si>
  <si>
    <t>Blending</t>
  </si>
  <si>
    <t>Enbridge</t>
  </si>
  <si>
    <t>Offer a Power-to-Gas service which is capable of producing nearly 400K kg of hydrogen per day. Also running 2 green hydrogen blending trials in Canada.</t>
  </si>
  <si>
    <t>The first trial started with injecting 2% of hydrogen volume into the gas network to feed about 3,600 customers. This pilot produces about 18K of hydrogen per year. The second aims to install a 20 MW electrolyzer plant to feed green hydrogen through a dedicated 15 km pipeline to connect this facility to the main gas network. Aim to inject up to 15% of hydrogen volume.</t>
  </si>
  <si>
    <t>Potential revenue is expected from green hydrogen sales. Environmental value captured by emissions reduction. First pilot yielded an abatement of 117 tonnes of CO2e</t>
  </si>
  <si>
    <t>HyBlend</t>
  </si>
  <si>
    <t>An initiative by DOE to research and test hydrogen blending in natural gas pipelines. They are working on research and development for materials compatibility, techno-economic, and LCA</t>
  </si>
  <si>
    <t>The conditions on how the blending limits will be decided will depend on the design and condition of existing pipeline materials as well as the design and condition of pipeline infrastructure equipment and applications that use natural gas. Aim to develop tools for risk analysis, opportunities and cost analysis, and LCA emissions analysis</t>
  </si>
  <si>
    <t>Potential revenue stream through sales of low-carbon hydrogen through the natural gas network. Value through decreasing GHGs and increasing supply security</t>
  </si>
  <si>
    <t>National Grid</t>
  </si>
  <si>
    <t>A theoretical exploration and a pilot project, HyGrid, aims to decarbonize the gas network in Long Island to heat around 800 homes and fuel 10 municipal vehicles by blending green hydrogen into the distribution system. Further trials in the UK</t>
  </si>
  <si>
    <t>Hydrogen blending in heating and transportation is trialled. UK trials are exploring injections of 2,5, and 20% between 2 terminals. They also trial deblending as certain customers might ask for debelndingas they only use natural gas and inject the remaining hydrogen back into the network.</t>
  </si>
  <si>
    <t>Potential revenue stream by using low-carbon hydrogen in the national gas network, increased hydrogen storage. Further value is proposed by delivering a hydrogen mix for fuel-sensitive customers that require specific gas mixtures with a certain ratio. Environmental value through decarbonization and emissions reductions.</t>
  </si>
  <si>
    <t>SNAM</t>
  </si>
  <si>
    <t>An energy company that trialled a 5% volume of hydrogen blending into its existing gas network to feed two industrial customers in Italy for about a month in 2019. They replicated the same trail with 10% later in 2019.</t>
  </si>
  <si>
    <t>Using the existing infrastructure, they are working on the standardization and compatibility of injecting hydrogen into their gas network. 2 successful trials with 5 and 10% of volume injection have been followed by the replacement and development of assets to standards which are compatible with hydrogen.</t>
  </si>
  <si>
    <t>The revenue stream is expected by selling hydrogen to a wide range of customers. They aim to create additional value by employing their existing hydrogen storage, transport and distribution infrastructure.</t>
  </si>
  <si>
    <t>GER</t>
  </si>
  <si>
    <t>Storage</t>
  </si>
  <si>
    <t>GKN Hydrogen</t>
  </si>
  <si>
    <t>Company offers decentralized and small-scale metal hydride hydrogen storage systems to be used for a long time. Their storage capacities range from 10 kg to 250 kg</t>
  </si>
  <si>
    <t>The metal hydride systems operate at low temperatures and low pressures. The modular products can be deployed as backup systems, seasonal storage, and in commercial buildings, microgrids, and maritime transport. They also provide digital management software for users to remotely monitor and control the operations.</t>
  </si>
  <si>
    <t>Revenue through sales of a range of modular storage units. Further value is captured by the software management tool. Environmental value is generated by using 100% recyclable metals in the production, emitting only water during the operation and lasting for decades without any losses. They claim that their storage unit has 99% capacity after 3,500 cycles.</t>
  </si>
  <si>
    <t>They provide vacuum-insulated cryogenic tanks to store liquid hydrogen from 200 to 7,000 kg</t>
  </si>
  <si>
    <t>To get the same amount of energy, four or five times less room is needed for liquid hydrogen than compressed gas. Therefore, storing this gas in liquid form in the tanks has space and efficiency benefits. Horizontal/vertical designs available and they come with active cooling systems.</t>
  </si>
  <si>
    <t>The cryogenic tank technology is old and mature. It provides safe and efficient storage of liquid hydrogen. The liquid hydrogen could be used in many applications.</t>
  </si>
  <si>
    <t>Steelhead Composites</t>
  </si>
  <si>
    <t>The company offers aluminum or polymeric pressure vessels with capacities from 6 to 270 liters to store compressed gas hydrogen with pressure options ranging from 350, 500, and 700 bar. For example, a modular 90 liter vessel can store 2 kg of compressed hydrogen.</t>
  </si>
  <si>
    <t>Hydrogen Cube gas storage systems can be deployed for medium and large-scale purposes. A modular design is possible by connecting multiple pressure vessels to customers' preferences. These are swappable modules meaning that whenever empty, new vessels can be connected easily. Empty cubes are returned for refilling. Company claims pressure vessels are cheaper and lighter options when compared with batteries to supply same energy.</t>
  </si>
  <si>
    <t>The revenue stream is generated in 3 ways: 1) Distributed grid model, where the company bills customers at per kWh rate for electricity and owns the cubes and fuel cells 2) Module replacement model, where the company bills customers per kg of hydrogen used and owns the cubes, and customer buy fuel cells 3) Customer-owned model, where the company bills customers at a fixed cost for swapping cubes with filled cubes and customers' own cubes and fuel cells.</t>
  </si>
  <si>
    <t>Hydrogen Pipelines</t>
  </si>
  <si>
    <t>The company has the largest hydrogen pipeline network, a total of 1,100 km worldwide, including the Gulf system linking 22 hydrogne plants with a daily capacity of more than 1 billion cubic feet per day</t>
  </si>
  <si>
    <t>Project aims at reaching economies of scale and thus driving down costs, supporting the future growth of hydrogen use in the region.</t>
  </si>
  <si>
    <t>The pipeline coupled with the hydrogen production plants promises the refinery and petrochemical customers' continuity of supply in case a disruption with the traditional energy networks takes place. Value is created by building, woning, and operating the pipelines.</t>
  </si>
  <si>
    <t>German Gas Transmission System Operators</t>
  </si>
  <si>
    <t>A consortium of German gas transmission system operators will initiate the H2-Startnetz 2030 project, which aims to construct a 1,200 km long hydrogen grid in Germany. Only 100 km of this network will be newly built hydrogen pipelines, whereas the rest will be existing natural gas network repurposed.</t>
  </si>
  <si>
    <t>The company is taking part in the rededication of an existing natural gas pipeline to be used for hydrogen transport in the Ruhr area. This planned grid has a length of 130 km, of which 118 km is repurposed gas pipelines and 12 km will be new hydrogen pipelines.</t>
  </si>
  <si>
    <t>Value is aimed to be captured by supplying green hydrogen in large volumes to the large customers in the industrial areas in Germany. Security of supply via a dedicated pipeline network and decarbonization of the heavy industrial processes are further value. Revenue from the transmission of hydrogen</t>
  </si>
  <si>
    <t>Smartpipe Technologies</t>
  </si>
  <si>
    <t>Start-up offers a pipeline replacenet technolgy that pulls a composite internal pipeline liner through an existing pipeline to increase structural integrity and allow for better monitoring.</t>
  </si>
  <si>
    <t xml:space="preserve">It is a non-intrusive trenchless pipeline replacement technology and inserted in the exsting pipelines. Smartpipe can also be laid as a fully structural, stand-alone high-pressure pipeline. </t>
  </si>
  <si>
    <t>Revenue through sales of their technology as a low-cost way to repurpose pipelines for hydrogen. The pipelines can be manufactured inserted at a speed of 1 mile per day. It can meet the hydrogen transport standards in the United States</t>
  </si>
  <si>
    <t>JAP</t>
  </si>
  <si>
    <t>Maritime</t>
  </si>
  <si>
    <t>The company offers various hydrogen storage and transportation solutions. Together with Iwatani Corp, Shell, and Electric Power Development, they launched Suiso Frontier, the world's first liquefied hydrogen carrier with a capacity of 1,250 m3</t>
  </si>
  <si>
    <t>The vessel is certified by the International Maritime Org and can carry 75 tonnes of liquefied hydrogen in one trip. The liquefied hydrogen is produced by cooling gaseous hydrogen to minus 253 degrees C, reducing its volume to 1/800. In early 2022, the ship carried a liquified hydrogen cargo from Australia to Kobe, Japan. For the pilot phase, carbon credits were purchased for the CO2 produced, and a CCS system will be implemented for the commercial phase to export and transport blue hydrogen in the future.</t>
  </si>
  <si>
    <t>Revenue stream is expected from carrying hydrogen as cargo over long distances</t>
  </si>
  <si>
    <t>Koreas Shipbuilding &amp; Offshore Engineering</t>
  </si>
  <si>
    <t>They are planning to pilot a concept ship with a capacity of 20K cubic metres to transport liquified hydrogen overseas</t>
  </si>
  <si>
    <t>The company is preparing for the hydrogen shipping trial in 2025. The cargo size, 20,000 cubic metres, is expected to increase over time. Around 20 ships with a 20,000 cubic meters capacity are expected to be built in the decade starting in 2030. Depending on the market demand, another 200 vessels with 170,000 cubic metres capacity are expected to be built after 2040</t>
  </si>
  <si>
    <t>The future revenue stream is expected from sales of large-scale liquid hydrogen carriers. Extra value captured by capturing the leaked hydrogen from tanks and turn it as a fuel to generate power with hydrogen fuel cells.</t>
  </si>
  <si>
    <t>Cement</t>
  </si>
  <si>
    <t>HeidelbergCement</t>
  </si>
  <si>
    <t>The company trialled the use of hydrogen in commercial-scale cement manufacture at the Ribblesdale plant in the UK</t>
  </si>
  <si>
    <t>As a commercial demo, hydrogen is used in the kiln process instead of coal. In addition to hydrogen, the fuel mix also included biomass and plasma energy. This fuel consists of 39% hydrogen, 12% meat and bone meal, and 49% glycerine. The company claims 180K tonnes of CO2 could be avoided at the same plant each year by just using this fuel mix</t>
  </si>
  <si>
    <t xml:space="preserve">UK BEIS funded trial as part of its Industrial Fuel Switching Competition programme, which had a budget of EUR 3.2M. </t>
  </si>
  <si>
    <t>CEMEX</t>
  </si>
  <si>
    <t>The company is using hydrogen commercially as part of its fuel mix in all of its plants in Europe and is now extending to all plants in the rest of the world.</t>
  </si>
  <si>
    <t>The company successfully used hydrogen in the fuel mix at the Alicante Cement Plant in Spain in July 2019 and then extended this to all its European plants in 2020. The company recently invested in a Briths start-up, HiiROC, a clean hydrogen production start-up that uses thermal plasma electrolysis to convert biomethane, flare gas, or natural gas into hydrogen.</t>
  </si>
  <si>
    <t>Using hydrogen in the fuel mix is a part of a US$40M investment program. The technology is now integrated into almost all of their plants globally.</t>
  </si>
  <si>
    <t>Fuel Cells</t>
  </si>
  <si>
    <t>Ballard</t>
  </si>
  <si>
    <t>They offer fuel cells and cmmercialize them for different use areas such as buses, trucks, trains, ships, backup power at critical infrastructure, and grid-scale renewable energy storage</t>
  </si>
  <si>
    <t>The company promises high fuel efficiency, low noise and vibration, compact size, quick response to changes in electrical demand, and modular design with its products. Together with the vertical integration of Membrane Electrode Assembly and stack design, the company can provide fuel cell solutions for a wide range of customers from 5 kW to 200 kW.</t>
  </si>
  <si>
    <t>Revenue is generated by the sales of fuel cells. The company has already delivered 850M of fuel cell stacks, modules, and systems to its customers. The modular design makes it possible to reach a range of customers with different use requirements from transport to stationary power solutions</t>
  </si>
  <si>
    <t xml:space="preserve">The company provides hydrogen and fuel cell solutions through its end-to-end green hydrogen ecosystem, including production, transportation, storage and handling, dispensing, and usage of hydrogen to various markets </t>
  </si>
  <si>
    <t xml:space="preserve">ProGen is a fuel cell engine designed for use in motive and stationery products. GenDrive is offered for material handling applications, and Gen Sure is a backup power solution for low and high-power stationary applications. </t>
  </si>
  <si>
    <t>Revenue through the sale of fuel cells. They are expanding their customer base toward on-road vehicles, robotics, and data centres</t>
  </si>
  <si>
    <t>FuelCell Energy</t>
  </si>
  <si>
    <t>The company provides on-site power plants that use natural gas or renewable biogas as input and then reform it inside a fuel cell into hydrogen which then electrochemically reacts with air to generate power and heat</t>
  </si>
  <si>
    <t>The product SureSource enables on-site and large-scale hydrogen generation to either power transportation or industrial application or provide excess hydrogen for other uses. The most trivial advantage is to produce and consume hydrogen in urban locations. A typical 1.4 MW module emits 445kg/MWh of CO2</t>
  </si>
  <si>
    <t>Revenue is generated by the sales of SureSource, which produces hydrogen and then clean water and electricity in urban locations. SureSource is commercially used as a part of a 2.3MW project with Toyota motor Corporation in California</t>
  </si>
  <si>
    <t>HyAxiom</t>
  </si>
  <si>
    <t>They provide single-fuel cell applications for commercial buildings and multi fuel cell installations for data centers, industrial facilities, and microgrids.</t>
  </si>
  <si>
    <t>They have a range of scalable and modular products that can fit various needs. PureCell Model 400 Hydrogen is a hydrogen energy solution generating 460 kW of clean energy and water. This system also produces 1.7M BTU/hr of usable heat and is able to run off of green hydrogen.</t>
  </si>
  <si>
    <t>Revenue through sales of PureCell Model 400 Hydrogen fuel cell as a clean and reiable power and heat source. 50% electricity and 35% heat comprises a total of 85% overall efficiency.</t>
  </si>
  <si>
    <t>They offer hydrogen for atmosphere control to prevent oxidation, improving efficiency in cutting, polishing, heat treating, and melting and softening applications in the glass industry.</t>
  </si>
  <si>
    <t xml:space="preserve">Their hydrogen can be used to supplement or replace air-fuel combustion applications for increasing heat transfer and achieving more efficient glass cutting and efficient glass cutting and polishing, annealing, tempering, strengthening, toughening, faster melting, and preventing negative reactions like the formation of glass defects </t>
  </si>
  <si>
    <t>Hydrogen sales through bulk deliveries or pipelines, on-site generation plants and storage systems. For the glass industry, further value is captured via improved efficiency in cutting, polishing, etc.</t>
  </si>
  <si>
    <t>HyGear</t>
  </si>
  <si>
    <t>They offer on-site small-scale hydrogen generators to glass manufacturers. They provide products for gas recovery of the polluted gas mixtures from the tin bath in the float glass production. They also offer on-site nitrogen generation necessary for float glass production.</t>
  </si>
  <si>
    <t>Hy GEN is a small-scale SMR-type hydrogen generator that can be installed at the customer's site. Hy REC mix recovers a portion of hydrogen and nitrogen from the output gas and reuses this reductive gas mixture in the manufacturing as input. In the process of making floatt glass, this reductive gas mixture of hydrogen and nitrogen is required over the tin bath to stop the glass from oxidizing</t>
  </si>
  <si>
    <t xml:space="preserve">A revenue stream is generated by the sales of products as Hy GEN and Hy.RECmix. Electrolytic hydrogen generation is also available for customers through Hy.GEN-E. This means further reductions in emissions also improve supply by being on-site self-sufficient energy generation. </t>
  </si>
  <si>
    <t>Pilkington</t>
  </si>
  <si>
    <t>They conducted the first trial of using hydrogen in the architectural glass production process in the world in 2021.</t>
  </si>
  <si>
    <t>By switching from natural gas to hydrogen, they trialled running the float furnace to heat it around 1,600 degrees C. This three-week trial on the float glass line made use of around 60 road tankers of hydrogen. This was a part of UK's HyNET Industrial Fuel Switching Initiative, which aims to cut 10 Mt of carbon per year by 2030.</t>
  </si>
  <si>
    <t>Expected value captured from the use of hydrogen as fuel. Being a government supported trial project, they received EUR 5.3M funding through Energy Innovation Programme in 2020.</t>
  </si>
  <si>
    <t>Certification</t>
  </si>
  <si>
    <t>TUV Rheinland</t>
  </si>
  <si>
    <t>The company offers testing and carbon-neutral hydrogen certifications, including green hydrogen and green ammonia certificates.</t>
  </si>
  <si>
    <t>Standard H2.21 is a Carbon Neutral Hydrogen certification. The status is issued if Corporate Carbon Footprint, which is measured by the amount of GHGs emitted resulting from the operation of a company per time period or Product Carbon Footprint, which is measured by the amount of GHGs associated with a product's life cycle</t>
  </si>
  <si>
    <t>Revenue is generated by standardization and certification sales. The hydrogen customers capture further value by acquiring an independent and internationally recognized verification of the climate neutrality of hydrogen.</t>
  </si>
  <si>
    <t>CertifHy</t>
  </si>
  <si>
    <t>They provide hydrogen certification schemes across Europe that constitute a basis for customers to track hydrogen flows and their environmental impacts.</t>
  </si>
  <si>
    <t>CertifiHy certification enables customers to track hydrogen's origin and environmental attributes. According to the European Renewable Energy Directive, they are developing an EU Voluntary Scheme for the certification of hydrogen as Renewable Fuel of Non-Biological Origin. CertifyHy GO scheme grants a tradable value to renewable and non-renewable hydrogen.</t>
  </si>
  <si>
    <t xml:space="preserve">The scheme has been initiated at the request of the European Commission and is financed by the Clean Hydrogen Partnership. Current certifications are given in Europe; however, they are planning to expand globally. The cost of certification varies depending on customer's profile. The certificate expires automatically 12 months after the end of the production period for the related production batch. </t>
  </si>
  <si>
    <t>Intertek</t>
  </si>
  <si>
    <t>They provide testing and certification of hydrogen refuelling stations, hydrogen fuel components and systems, including dispensing compression, and storage systems, electrolyzers, chiller, reformers, and stationary fuel cell systems.</t>
  </si>
  <si>
    <t>The company offers Atmosphere Explosibles (ATEX), International Electrotechnical Commission for Explosive Atmospheres and Electrical Testing Labs certifications. ATEX is a mandatory certification for all products to be sold across Europe. IECEx means that products must og through a monitored process by the International Electrotechnical Commission to ensure that they meet the minimum safety requirements around the world. ETL means that the products have been test to set safety standards in North America.</t>
  </si>
  <si>
    <t xml:space="preserve">The company's certifications ensure the customers access potential markets in Asia, Europe, and North America </t>
  </si>
  <si>
    <t>Fueling Stations and Transport</t>
  </si>
  <si>
    <t>HTEC</t>
  </si>
  <si>
    <t>They construct and operate hydrogen fuel staitons for fuel cell transport units in Canada and United States</t>
  </si>
  <si>
    <t>The company is actively running 4 stations as businesses with 2 more in late-stage development and 8 in early stage development. The fuel station in California has its own electrolyzer with a capacity to proudce 40 kg of hydrogen per day. They also offer modular hydrogen storage systems for transportation and ground storage.</t>
  </si>
  <si>
    <t xml:space="preserve">A revenue stream is generated by the sales of hydrogen as fuel at the stations. On-site green h2 generation and storage units add further value to the business. </t>
  </si>
  <si>
    <t>They offer a full project lifecycle for the hydrogen fuel stations from planning and design throughbuild and commissioning to service and maintenance</t>
  </si>
  <si>
    <t>The company has already built more than 200 hydrogen refueling stations worldwide. They deliver both gaseous and liquid refueling with their Ionic Compressor and the Cryo Pump technologies. They also developed FuelBox, an all-in-one transportable hydrogen refueling station with an intermediate H2 storage tank and dispenser. This unit is 12 m^2, ready-to-run and can be deployed anywhere depending on the need.</t>
  </si>
  <si>
    <t>A revenue stream is generated by sales of project lifecycle services as well as fuel stations. Offering both liquid and gaseous solutions and portable units adds value.</t>
  </si>
  <si>
    <t>ZeroAvia</t>
  </si>
  <si>
    <t>The company provides zero-emission powertrain and hydrogen-electric engines for aviation.</t>
  </si>
  <si>
    <t>They replace conventional aircraft engines with hydrogen-electric powertrains. They trialed hydrogen-fueled flights from 20-seat regional trips to over 100-seat long-distance flights. Green hydrogen stored in tanks is converted to electricity in flight using a fuel cell, which then power the electric motors.</t>
  </si>
  <si>
    <t>Revenue is generated by the sales of hydrogen-electric powertrains. The company claims that hydrogen-electric powertrains offer 90% lower life cycle emissions compared to turbines, 60% lower powertrain operating costs compared to turbines, and 75% lower hourly maintenance costs</t>
  </si>
  <si>
    <t>Alstom</t>
  </si>
  <si>
    <t>Coradia iLint is a commercial hydrogen-powered passenger train trialled in Germany in 2018. The train has travelled more than 200K km since.</t>
  </si>
  <si>
    <t>The train is powerd by hydrogen fuel cells. Together with Linde, Alstom built the world's first hydrogen filling station for passenger trains in Germany. A total of 14 hydrogen fuel cell trains will be built and put on rails in Germany in 2022</t>
  </si>
  <si>
    <t>Revenue through sales of hydrogen trains.</t>
  </si>
  <si>
    <t>CHI</t>
  </si>
  <si>
    <t>New Times Shipbuilding</t>
  </si>
  <si>
    <t>The company delivered the wrold's first ammonia-ready ship Kriti Future. The ship is running on conventional fuel, but is convertible to ammonia.</t>
  </si>
  <si>
    <t>The Iriti Futures receives the American Bureau of Shipping's classification of Ammonia Ready Class 1. According to regulations, anhydrous ammonia is extremely harmful to aquatic life, so relief or direct discharge to seawater is to be avoided</t>
  </si>
  <si>
    <t>Value is captured by the use of ammonia as a high-density and low-carbon shipping fuel in maritime operations</t>
  </si>
  <si>
    <t>Hyundai</t>
  </si>
  <si>
    <t>They offer several hydrogen-powered road transport vehicles.</t>
  </si>
  <si>
    <t>NEXO series cars make use of fuel cells with a 5-minute fill-up time and 413 miles of range. XCIENT is a hydrogen-powered fuel cell truck. The truck's fuel cell delivers 180 kW of power and a driving range of 400 km. XCIENT fuel cell does not require urea and engine oil which makes it superior to diesel</t>
  </si>
  <si>
    <t xml:space="preserve">The revenue is generated by the sales of hydrogen cars and trucks. Renting is also offered in some countries. Company claims that its second-generation fuel cell technology has the highest system efficiency in the world, consuming 1kg of hydrogen per 100km </t>
  </si>
  <si>
    <t>Heating</t>
  </si>
  <si>
    <t>Panasonic</t>
  </si>
  <si>
    <t>They offer H2 KIBOU hydrogen fuel cell, which can produce 5kW of power and uses waste heat for heating hot water</t>
  </si>
  <si>
    <t>Generators total energy efficiency, including heat recovery, can reach 95%. Company also offer ENE-FARM for residential use. This household fuel cell cogeneration system is claimed to achieve a total efficiency of 97%.</t>
  </si>
  <si>
    <t>A revenue stream is generated by the sales of hydrogen fuel cell systems for combined heat and power purposes to commercial and residential customers.</t>
  </si>
  <si>
    <t>Heatlie</t>
  </si>
  <si>
    <t>The company offers hydrogen-fueled barbeque</t>
  </si>
  <si>
    <t>Claim the hydrogen barbeque consumes roughly half as much fuel as natural gas and LPG while creating equal heat output</t>
  </si>
  <si>
    <t>Value is created by increased heating efficiency achieved by hydrogen use. They claim the product reduces emissions (though source of hydrogen is not provided).</t>
  </si>
  <si>
    <t>Worcester Bosch</t>
  </si>
  <si>
    <t>They offer hydrogen boiler for home heating</t>
  </si>
  <si>
    <t>The company's all boilers are now hydrogen-blend ready, meaning they can run on a blend of 80% gas and 20% hydrogen.</t>
  </si>
  <si>
    <t>The hydrogen boilers are safer in terms of not emitting CO, meaning there is no chance of a leaks.</t>
  </si>
  <si>
    <t>Refining</t>
  </si>
  <si>
    <t>Aramco</t>
  </si>
  <si>
    <t>They use blue hydrogen in hydrotreating, hydrocracking, and hydroisomerization processes to produce gasoline, jet fuel, diesel, kerosene, and other end-products</t>
  </si>
  <si>
    <t>They are building a hydrogen plant with Air Products in Neom to produce 240K tonnes of both blue and green hydrogen by 2025. They also created a joint venture to produce an air separation unit, gasification, and power plant at Jazan. The Jazan Refinery is to process 400,000 barrels of crude oil per day, and the joint venture will supply hydrogen for this refinery.</t>
  </si>
  <si>
    <t>Neom project has a budget of $5B and the joint venture at Jazan is $15B</t>
  </si>
  <si>
    <t>ExxonMobil</t>
  </si>
  <si>
    <t>The company is planning to use hydrogen as fuel at one of its refineries in Texas</t>
  </si>
  <si>
    <t>They are constructing hydrogen production, CCS at its integrated refining and petrochemical site in Texas. To produce 1 billion cubic feet of blue h2 per day.The CCS will be able to sore up to 10 Mt of Co2 per year</t>
  </si>
  <si>
    <t xml:space="preserve">45Q offers value for carbon capture. </t>
  </si>
  <si>
    <t>They will be using green hydrogen in Shell's Rhineland refinery</t>
  </si>
  <si>
    <t>10 MW of electrolyzer is being built on-site to produce 1,300 tonnes of green hydrogen per year. ITM Power will produce the hydrogen, and Shell will operate the plant</t>
  </si>
  <si>
    <t>The REFHYNE project is a part of the Clean Refinery Hydrogen for Europe, funded by the European Commission</t>
  </si>
  <si>
    <t>Steel</t>
  </si>
  <si>
    <t>They trialed the first commercial use of hydrogen in steel manufacturing at one of their palnts</t>
  </si>
  <si>
    <t>Instead of using LPG, in collaboration with Linde, they used hydrogen to heat steel furances before rolling.</t>
  </si>
  <si>
    <t xml:space="preserve">The environmental value will mitigate 20,00 tonnes of CO2 each year. </t>
  </si>
  <si>
    <t>ArcelorMittal</t>
  </si>
  <si>
    <t>The company successfully tests using green hydrogen in the production of DRI at one of their steel plants in Canada</t>
  </si>
  <si>
    <t>The y wanted to evaluateate the ability to replace the use of natural gas with green hydrogen in the iron ore reduction process. Replaces 6.8% of natural gas over the course of 24 hours, resulting in a noticeable drop in Co2 emissions. Green hydrogen generated by an electrolyzer and then shipped to the steel mill</t>
  </si>
  <si>
    <t>Want to continue to increase the hydrogen content in DRI. The environmental value is cutting several hundred thousand tonnes of CO2 per year.</t>
  </si>
  <si>
    <t>SSAB</t>
  </si>
  <si>
    <t>The steel manufacturer developed a pilot plant, HYBRIT</t>
  </si>
  <si>
    <t>The blast furnaces process traditionally uses coal and coke to eliminate oxygen from iron ore and produce iron. In the HYBRIT process, hydrogen gas is intended to take the place of coa land coke as sustainable substitutes. Hydrogen will first be produced through electrolysis of water using fossil-free electricity. Solid iron is subsequently melted down in a EAF. Fossil-free pellets trial is already completed. Hydrogen-based reduction and smelting trials and hydrogen storage installations are still ongoing</t>
  </si>
  <si>
    <t>By 2026, SSAB aims to offer commercially viable fossil-free steel to the market. The plant in Sweden produced the world's first fossil-free sponge iron</t>
  </si>
  <si>
    <t>Methanex</t>
  </si>
  <si>
    <t>They are the largest methanol producer in the world. They have porduction facilities in Canada, Chile, Egypt, New Zealand, Trinidad, and United States</t>
  </si>
  <si>
    <t>The process of SMR and converting and stilling the resulting synthetic gas mixture to obtain pure methanol is the predominant way that methanol is manufactured. Now working to produce methanol from excess hydrogen from SMRs coupled with access to natural gas. this Gismar 3 project has a budget of $1.25-$1.3B USD</t>
  </si>
  <si>
    <t>Revenue is generated by mass sales of methanol on a global scale thanks to a vast and reliable supply chain. Geimsar 3 will produce low-carbon methanol by utilizing excess hydrogen from other production plants. This plant will emit 40% less CO2</t>
  </si>
  <si>
    <t>Enerkem</t>
  </si>
  <si>
    <t>The company produces sustainable methanol from solid waste. They created and patented a method for chemically extracting and reusing carbon from non-recyclable garbage.</t>
  </si>
  <si>
    <t>The waste feedstock is first separated and processed. The carbon-rich wastes are converted into synthesis gas, which is purified before being treated with catalysts to make biofuels and commercial chemicals. A new plant to be operational by 2026 is expected to process some 400K tonnes of non-recyclable solid waster per year and produce close to 240K tonnes of methanol</t>
  </si>
  <si>
    <t>The sale of renewable methanol generates revenue. Further value is captured by licensing the technology, supplying equipment/modules, and participating in the plant equity in addition to the technology and equipment provision</t>
  </si>
  <si>
    <t>Proman</t>
  </si>
  <si>
    <t>As the second largest methanol producer in the world, the company started a joint venture with Stena Bulk to operate methanol-powered ships</t>
  </si>
  <si>
    <t>The joint venture now operating 3 methanol-powered ships, and they announced to build 3 more vessels. Each vessel epected to burn some 12,500 tonnes of methanol per annum. The use of methanol as a fuel is claimed to eliminate Sox and PM, cut NOX by 60%, and reduce Co2 emissions by up to 15%</t>
  </si>
  <si>
    <t>Revenue is generated by mass sales of methanol worldwide. Capturing further value through methanol run vessels</t>
  </si>
  <si>
    <t>Hy2Gen</t>
  </si>
  <si>
    <t>The company offers renewable bio-methanol produced in a large-scale anaerobic digester that converts organic waste to biogas.</t>
  </si>
  <si>
    <t>They use ATR to convert non-conventional short-chain hydrocarbons into syngas, followed by conversion to methanol. The green CO2 is recovered from biogas plants, flue gas or exhaust gas. Renewable electricity such as hydro or wind is used to produce the hydrogen.</t>
  </si>
  <si>
    <t>Revenue generated by sales of renewable methanol, e-methanol, primarily as a transport fuel</t>
  </si>
  <si>
    <t>Row Labels</t>
  </si>
  <si>
    <t>#N/A</t>
  </si>
  <si>
    <t>Grand Total</t>
  </si>
  <si>
    <t>Release Date</t>
  </si>
  <si>
    <t>Target in Mt by 2030 (lower bound)</t>
  </si>
  <si>
    <t>Target in Mt by 2030 (upper bound)</t>
  </si>
  <si>
    <t>Average 2030 production Targets</t>
  </si>
  <si>
    <t>Funding Sources</t>
  </si>
  <si>
    <t>Pubic Investment Committed/Projected Costs</t>
  </si>
  <si>
    <t>Public Investment USD (low)</t>
  </si>
  <si>
    <t>Public Investment USD (high)</t>
  </si>
  <si>
    <t>Public Investment (average)</t>
  </si>
  <si>
    <t>Regulatory Landscape</t>
  </si>
  <si>
    <t>Hub?</t>
  </si>
  <si>
    <t>Electrolysis from renewables?</t>
  </si>
  <si>
    <t>Gas w/ CCS</t>
  </si>
  <si>
    <t>Coal w/ CCS</t>
  </si>
  <si>
    <t>Oil w/ CCS</t>
  </si>
  <si>
    <t>By-Product H2</t>
  </si>
  <si>
    <t>Electrolysis from Nuclear</t>
  </si>
  <si>
    <t>Biomass</t>
  </si>
  <si>
    <t>LDV FCEV</t>
  </si>
  <si>
    <t>MDV FCEV</t>
  </si>
  <si>
    <t>HDV FCEV</t>
  </si>
  <si>
    <t>Rail Transport</t>
  </si>
  <si>
    <t>Maritime Transport</t>
  </si>
  <si>
    <t>Aviation Transport</t>
  </si>
  <si>
    <t>Refueling Stations</t>
  </si>
  <si>
    <t>Iron and Steel</t>
  </si>
  <si>
    <t>Power Generation and Back-up</t>
  </si>
  <si>
    <t>Residential and Commercial Heating</t>
  </si>
  <si>
    <t>Public</t>
  </si>
  <si>
    <t>$1.4B AUD (by 2030)</t>
  </si>
  <si>
    <t>No regulation</t>
  </si>
  <si>
    <t>https://www.dcceew.gov.au/energy/publications/australias-national-hydrogen-strategy#:~:text=The%20Australian%20Government%20will%20be,the%20decarbonization%20of%20Australian%20industries.</t>
  </si>
  <si>
    <t>Public and Private</t>
  </si>
  <si>
    <t>€2.5-8B (by 2030)</t>
  </si>
  <si>
    <t>https://www.bmk.gv.at/themen/energie/energieversorgung/wasserstoff/strategie.html</t>
  </si>
  <si>
    <t>€2.1-9.6B (by 2030)</t>
  </si>
  <si>
    <t>Limited regulation</t>
  </si>
  <si>
    <t>https://www.allenovery.com/en-gb/germany/news-and-insights/publications/the-belgian-federal-hydrogen-vision-and-strategy#:~:text=The%20Belgian%20federal%20hydrogen%20strategy%20envisages%20the%20exclusive,in%20a%20low-carbon%20manner%20will%20also%20be%20</t>
  </si>
  <si>
    <t>$1.5 B CAN (by 2030)</t>
  </si>
  <si>
    <t>https://www.nrcan.gc.ca/sites/nrcan/files/environment/hydrogen/NRCan_Hydrogen%20Strategy%20for%20Canada%20Dec%2015%202200%20clean_low_accessible.pdf</t>
  </si>
  <si>
    <t>$50 M USD (by 2030)</t>
  </si>
  <si>
    <t>$140M/yr until 2040</t>
  </si>
  <si>
    <t>https://ptx-hub.org/colombia/#:~:text=The%20National%20Hydrogen%20Strategy%20and,on%20long%2Dhaul%20heavy%20duty.</t>
  </si>
  <si>
    <t>€.8-2.6B (by 2030)</t>
  </si>
  <si>
    <t>https://www.mpo.cz/assets/cz/prumysl/strategicke-projekty/2021/9/Hydrogen-Strategy_CZ_2021-09-09.pdf</t>
  </si>
  <si>
    <t>€.7-2.6B (by 2030)</t>
  </si>
  <si>
    <t xml:space="preserve">https://ens.dk/sites/ens.dk/files/ptx/strategy_ptx.pdf </t>
  </si>
  <si>
    <t>€7.3-25.1B (by 2030)</t>
  </si>
  <si>
    <t>Limited Regulation</t>
  </si>
  <si>
    <t>https://www.tresor.economie.gouv.fr/Articles/4a1ac560-a021-4358-a466-f5430928a1db/files/7d2fd0e2-8a3d-4ce8-bbb3-94cbd5b9c3d1</t>
  </si>
  <si>
    <t>€16.2-60.7B (by 2030)</t>
  </si>
  <si>
    <t>Intermediate Regulation</t>
  </si>
  <si>
    <t>https://www.bmwk.de/Redaktion/EN/Publikationen/Energie/the-national-hydrogen-strategy.pdf?__blob=publicationFile&amp;v=6</t>
  </si>
  <si>
    <t>€1.3-3.4B (by 2030)</t>
  </si>
  <si>
    <t>Beginning Stages</t>
  </si>
  <si>
    <t>https://www.climate-laws.org/document/national-hydrogen-strategy_573e</t>
  </si>
  <si>
    <t>https://www.india.gov.in/spotlight/national-green-hydrogen-mission#:~:text=The%20National%20Green%20Hydrogen%20Mission,Green%20Hydrogen%20and%20its%20derivatives</t>
  </si>
  <si>
    <t>€10B</t>
  </si>
  <si>
    <t>https://www.cesi.it/app/uploads/2021/10/CESI-Studies-Italian-Hydrogen-Strategy-1.pdf</t>
  </si>
  <si>
    <t>$18B (by 2031)</t>
  </si>
  <si>
    <t>Strong Regulation</t>
  </si>
  <si>
    <t>https://www.hydrogenenergysupplychain.com/wp-content/uploads/2021/07/0312_002b.pdf</t>
  </si>
  <si>
    <t>https://gh2.org/countries/morocco</t>
  </si>
  <si>
    <t>€3.9-15.2B (by 2030)</t>
  </si>
  <si>
    <t>https://www.government.nl/documents/publications/2020/04/06/government-strategy-on-hydrogen</t>
  </si>
  <si>
    <t>https://www.mbie.govt.nz/building-and-energy/energy-and-natural-resources/energy-strategies-for-new-zealand/hydrogen-in-new-zealand/#:~:text=Growing%20New%20Zealand's%20hydrogen%20industry,cent%20renewable%20electricity%20by%202030.</t>
  </si>
  <si>
    <t>€18.4M (2021)</t>
  </si>
  <si>
    <t xml:space="preserve">https://www.regjeringen.no/contentassets/8ffd54808d7e42e8bce81340b13b6b7d/hydrogenstrategien-engelsk.pdf </t>
  </si>
  <si>
    <t>$34B (by 2040)</t>
  </si>
  <si>
    <t>https://gaspathways.com/oman-unveils-green-hydrogen-strategy-1364</t>
  </si>
  <si>
    <t>https://www.energia.gob.pa/wp-content/uploads/2023/04/Resolución-No.-MIPRE-2023-0015577-de-28-de-abril-de-2023-Consulta-Pública-de-la-versión-preliminar-de-la-ENHIVE.pdf</t>
  </si>
  <si>
    <t>$10M USD</t>
  </si>
  <si>
    <t xml:space="preserve">https://www.ssme.gov.py/vmme/pdf/H2/DIGITAL_ENG_H2%20Propuesta_de_Innovacion.pdf </t>
  </si>
  <si>
    <t>€3-7.5B (by 2030)</t>
  </si>
  <si>
    <t>https://www.allenovery.com/en-gb/global/news-and-insights/publications/polish-hydrogen-strategy#:~:text=The%20Strategy%20sets%20out%20the,energy%2C%20transport%20and%20industry%20sectors.</t>
  </si>
  <si>
    <t>€1.1-7.3B (by 2030)</t>
  </si>
  <si>
    <t>.5-1.2B USD</t>
  </si>
  <si>
    <t xml:space="preserve">https://www.dst.gov.za/images/South_African_Hydrogen_Society_RoadmapV1.pdf </t>
  </si>
  <si>
    <t>$40.34B USD (by 2030)</t>
  </si>
  <si>
    <t>€6.2-21B (by 2030)</t>
  </si>
  <si>
    <t xml:space="preserve">https://www.wfw.com/articles/the-spanish-hydrogen-strategy/ </t>
  </si>
  <si>
    <t>€2.5-6.8B (by 2030)</t>
  </si>
  <si>
    <t>€7-26B (by 2030)</t>
  </si>
  <si>
    <t xml:space="preserve">https://www.gub.uy/ministerio-industria-energia-mineria/politicas-y-gestion/national-green-hydrogen-strategy </t>
  </si>
  <si>
    <t>Sum of Target in Mt by 2030 (lower bound)</t>
  </si>
  <si>
    <t>Sum of Target in Mt by 2030 (upper bound)</t>
  </si>
  <si>
    <t>Sum of Gas w/ CCS</t>
  </si>
  <si>
    <t>Plant</t>
  </si>
  <si>
    <t>Hydrogen (kg/day)</t>
  </si>
  <si>
    <t>Hydrogen (t/yr)</t>
  </si>
  <si>
    <t>Energy Source</t>
  </si>
  <si>
    <t>Energy Capacity (MW)</t>
  </si>
  <si>
    <t>CO2 removed (tons/yr)</t>
  </si>
  <si>
    <t>Cost</t>
  </si>
  <si>
    <t>Cost (USD)</t>
  </si>
  <si>
    <t>End Use</t>
  </si>
  <si>
    <t>End Use Location</t>
  </si>
  <si>
    <t>Operational, Under Construction, or at FID?</t>
  </si>
  <si>
    <t>Demand Project?</t>
  </si>
  <si>
    <t>Midstream Project?</t>
  </si>
  <si>
    <t>Solar</t>
  </si>
  <si>
    <t>Iberdrola</t>
  </si>
  <si>
    <t>https://www.iberdrola.com/about-us/what-we-do/green-hydrogen/puertollano-green-hydrogen-plant</t>
  </si>
  <si>
    <t>Holland Hydrogen I</t>
  </si>
  <si>
    <t>Tweede Maasvlalkte</t>
  </si>
  <si>
    <t>PEM Electrolysis</t>
  </si>
  <si>
    <t>Offshore Wind</t>
  </si>
  <si>
    <t>Shell Energy and Chemicals Port of Rooterdam</t>
  </si>
  <si>
    <t>https://www.shell.com/media/news-and-media-releases/2021/shell-starts-up-europes-largest-pem-green-hydrogen-electrolyser.html</t>
  </si>
  <si>
    <t>Onshore Wind</t>
  </si>
  <si>
    <t>Beijing,Tianjin,Hebei</t>
  </si>
  <si>
    <t>https://www.shell.com/media/news-and-media-releases/2022/shell-starts-up-hydrogen-electrolyser-in-china-with-20mw-product.html#:~:text=The%20electrolyser%20is%20located%20at,Construction%20Investment%20Holding%20Group%20Co.</t>
  </si>
  <si>
    <t>Baofeng Project</t>
  </si>
  <si>
    <t>Ningxing</t>
  </si>
  <si>
    <t>Alkaline Electrolysis</t>
  </si>
  <si>
    <t>Baofeng Energy Group</t>
  </si>
  <si>
    <t>https://www.upstreamonline.com/hydrogen/baofeng-energy-brings-worlds-largest-green-hydrogen-project-on-line-in-china/2-1-1161221</t>
  </si>
  <si>
    <t>Kuqa Project</t>
  </si>
  <si>
    <t>Kuqa</t>
  </si>
  <si>
    <t>Sinopec Tahe Refining and Chemical Plant</t>
  </si>
  <si>
    <t>Sinpoec</t>
  </si>
  <si>
    <t>https://www.prnewswire.com/news-releases/sinopec-lands-worlds-largest-photovoltaic-green-hydrogen-production-project-in-kuqa-xinjiang-301433733.html</t>
  </si>
  <si>
    <t>Inner Mongolia Erdos Wind-Solar Green Hydrogen Project</t>
  </si>
  <si>
    <t>Ordos City</t>
  </si>
  <si>
    <t>Wind and Solar (63%/37%)</t>
  </si>
  <si>
    <t>Ordos Coal deep processing demonstration</t>
  </si>
  <si>
    <t>https://www.prnewswire.com/news-releases/sinopec-launches-the-worlds-largest-green-hydrogen-coal-chemical-project-in-inner-mongolia-301752585.html</t>
  </si>
  <si>
    <t>Becancour Air Liquide Project</t>
  </si>
  <si>
    <t>Grid</t>
  </si>
  <si>
    <t>Northeast Market (~10,000 vehicles)</t>
  </si>
  <si>
    <t>https://www.airliquide.com/group/press-releases-news/2021-01-26/air-liquide-inaugurates-worlds-largest-low-carbon-hydrogen-membrane-based-production-unit-canada</t>
  </si>
  <si>
    <t>Donaldsonville Green Hydrogen Project</t>
  </si>
  <si>
    <t>Donalsonville, Louisiana</t>
  </si>
  <si>
    <t>Donaldsonville Ammonia Plant</t>
  </si>
  <si>
    <t>CF Industries</t>
  </si>
  <si>
    <t>https://www.cfindustries.com/newsroom/2021/donaldsonville-electrolyzer</t>
  </si>
  <si>
    <t>St. Gabriel Hydrogen Plant</t>
  </si>
  <si>
    <t>St Gabriel, Louisiana</t>
  </si>
  <si>
    <t>Buyers across the country</t>
  </si>
  <si>
    <t>https://www.theadvocate.com/baton_rouge/news/business/green-hydrogen-coming-to-olin-s-st-gabriel-facility-through-joint-venture/article_5cc7b88c-cb1e-11ec-bfef-1fe442f5c60f.html</t>
  </si>
  <si>
    <t>Sauk Valley Hydrogen Plant</t>
  </si>
  <si>
    <t>Nelson Township, Illinois</t>
  </si>
  <si>
    <t>Power Generation</t>
  </si>
  <si>
    <t>Invergy Nelson Energy Center</t>
  </si>
  <si>
    <t>Invergy</t>
  </si>
  <si>
    <t>https://invenergy.com/news/invenergy-launches-first-green-hydrogen-project-deploying-ohmium-international-solution-accelerating-clean-energy-transition</t>
  </si>
  <si>
    <t>Peachtree Hydrogen Plant</t>
  </si>
  <si>
    <t>Kingsland, Georgia</t>
  </si>
  <si>
    <t>https://renewablesnow.com/news/another-plug-green-hydrogen-plant-enters-construction-in-georgia-801169/</t>
  </si>
  <si>
    <t>Camden County Hydrogen Plant</t>
  </si>
  <si>
    <t>https://www.globenewswire.com/news-release/2021/06/10/2245349/9619/en/Plug-Power-Announces-Green-Hydrogen-Plant-in-Camden-County-Georgia.html</t>
  </si>
  <si>
    <t>Casa Grande Green Hydrogen Plant</t>
  </si>
  <si>
    <t>Casa Grande, Arizona</t>
  </si>
  <si>
    <t>Renewables</t>
  </si>
  <si>
    <t>Buyers in California</t>
  </si>
  <si>
    <t>https://www.prnewswire.com/news-releases/air-products-to-build-green-liquid-hydrogen-production-facility-in-arizona-301498218.html</t>
  </si>
  <si>
    <t>Neom Hydrogen Project</t>
  </si>
  <si>
    <t>Neom Development</t>
  </si>
  <si>
    <t>Wind and Solar</t>
  </si>
  <si>
    <t>1.2 million tons/year of ammonia</t>
  </si>
  <si>
    <t>Acwa Power and Air Products</t>
  </si>
  <si>
    <t>https://energy-utilities.com/saudi-arabia-s-5bn-green-hydrogenbased-ammonia-news111872.html</t>
  </si>
  <si>
    <t>Yuri Hydrogen Project</t>
  </si>
  <si>
    <t>Produce Ammonia for Yara</t>
  </si>
  <si>
    <t>Engie</t>
  </si>
  <si>
    <t>https://renewablesnow.com/news/engie-takes-fid-on-aussie-green-h2-project-for-yara-798156/</t>
  </si>
  <si>
    <t>Sun HQ Hydrogen Hub</t>
  </si>
  <si>
    <t>5 procured Hyzon Trucks</t>
  </si>
  <si>
    <t>Ark Energy</t>
  </si>
  <si>
    <t>https://research.csiro.au/hyresource/sun-metals-hydrogen-queensland-sunhq-project/</t>
  </si>
  <si>
    <t>Hydrogen Park Murray Valley</t>
  </si>
  <si>
    <t>AUD 44,000,000</t>
  </si>
  <si>
    <t>30,000 residential and business connections in Wodonga and Albury</t>
  </si>
  <si>
    <t>Australian Gas Infrastructure Group</t>
  </si>
  <si>
    <t>https://research.csiro.au/hyresource/hydrogen-park-murray-valley/</t>
  </si>
  <si>
    <t>CSIRO Hydrogen Refueling Station</t>
  </si>
  <si>
    <t>AUD 2,300,000</t>
  </si>
  <si>
    <t>Refueling station on campus of Swinburne University of Technology</t>
  </si>
  <si>
    <t>Swinburne University of Technology</t>
  </si>
  <si>
    <t>https://research.csiro.au/hyresource/swinburne-university-of-technology-victorian-hydrogen-hub-csiro-hydrogen-refuelling-station/</t>
  </si>
  <si>
    <t>Toyota Ecopark Hydrogen Demonstration</t>
  </si>
  <si>
    <t>Eletrolysis</t>
  </si>
  <si>
    <t>AUD 7,370,000</t>
  </si>
  <si>
    <t>Transportation and Power Generation</t>
  </si>
  <si>
    <t>Used to supply electricity through fuel cells to the Altona facilities</t>
  </si>
  <si>
    <t>Toyota</t>
  </si>
  <si>
    <t>https://research.csiro.au/hyresource/toyota-ecopark-hydrogen-demonstration-toyota-hydrogen-centre/</t>
  </si>
  <si>
    <t>Truganina HRS</t>
  </si>
  <si>
    <t>Could be used for local buses, microgrid applications, etc</t>
  </si>
  <si>
    <t>Hydrogen Fuels Australia</t>
  </si>
  <si>
    <t>https://research.csiro.au/hyresource/hydrogen-fuels-australia-truganina-hrs/</t>
  </si>
  <si>
    <t>Geelong New Energies Service Station Project</t>
  </si>
  <si>
    <t>AUD $43,300,000</t>
  </si>
  <si>
    <t>Charging stations, deploying 15 HFCEVs</t>
  </si>
  <si>
    <t>Viva Energy Australia</t>
  </si>
  <si>
    <t>https://research.csiro.au/hyresource/geelong-new-energies-service-station-project/</t>
  </si>
  <si>
    <t>Hydrogen Park South Australia</t>
  </si>
  <si>
    <t>Adelaide</t>
  </si>
  <si>
    <t>AUD $14,500,000</t>
  </si>
  <si>
    <t>Blending/Argon and Welding Gases.</t>
  </si>
  <si>
    <t xml:space="preserve">Will supply 700 properties in the suburb of Mitchell Park/offtake agreement with BOC to sell them excess hydrogen </t>
  </si>
  <si>
    <t>https://research.csiro.au/hyresource/hydrogen-park-south-australia/</t>
  </si>
  <si>
    <t>Denham Hydrogen Demonstration Plant</t>
  </si>
  <si>
    <t>Denham</t>
  </si>
  <si>
    <t>AUD $9,300,000</t>
  </si>
  <si>
    <t>Microgrid in Denham</t>
  </si>
  <si>
    <t>Horizon Power</t>
  </si>
  <si>
    <t>https://research.csiro.au/hyresource/denham-hydrogen-demonstration-plant/</t>
  </si>
  <si>
    <t>Hazer Commercial Demonstration Plant</t>
  </si>
  <si>
    <t>Waste Biogas</t>
  </si>
  <si>
    <t>AUD $25,000,000</t>
  </si>
  <si>
    <t>Converts methane into hydrogen and graphite</t>
  </si>
  <si>
    <t>Hazer Group</t>
  </si>
  <si>
    <t>https://research.csiro.au/hyresource/hazer-commercial-demonstration-plant/</t>
  </si>
  <si>
    <t>Refueling Station</t>
  </si>
  <si>
    <t>AUD $1,00,000</t>
  </si>
  <si>
    <t>Onsite production for refueling stations</t>
  </si>
  <si>
    <t>ATCO Gas and Fortescue Metals</t>
  </si>
  <si>
    <t>https://research.csiro.au/hyresource/hydrogen-refueller-station-project/</t>
  </si>
  <si>
    <t>ATCO Hydrogen Blending Project</t>
  </si>
  <si>
    <t>AUD $2600000</t>
  </si>
  <si>
    <t>City of Cockburn will have about 2-10% blended hydrogen in homes</t>
  </si>
  <si>
    <t>ATCO Gas</t>
  </si>
  <si>
    <t>https://research.csiro.au/hyresource/atco-hydrogen-blending-project/</t>
  </si>
  <si>
    <t>Clean Energy Innovation Hub</t>
  </si>
  <si>
    <t>AUD $3,530,000</t>
  </si>
  <si>
    <t>https://research.csiro.au/hyresource/clean-energy-innovation-hub/</t>
  </si>
  <si>
    <t>Christmas Creek Renewable Hydrogen Mobility Project</t>
  </si>
  <si>
    <t>Christmas Creek</t>
  </si>
  <si>
    <t>AUD $32,000,000</t>
  </si>
  <si>
    <t>10 mining coaches (heavy duty vehicles)</t>
  </si>
  <si>
    <t>Fortescue Future Industries</t>
  </si>
  <si>
    <t>https://research.csiro.au/hyresource/christmas-creek-renewable-hydrogen-mobility-project/</t>
  </si>
  <si>
    <t>Green Hydrogen and Battery Energy Storage System</t>
  </si>
  <si>
    <t>AUD $12,500,000</t>
  </si>
  <si>
    <t>Shipping via metal hydride to Indonesia</t>
  </si>
  <si>
    <t>Marubeni Corporation</t>
  </si>
  <si>
    <t>https://research.csiro.au/hyresource/green-hydrogen-and-battery-energy-storage-system/</t>
  </si>
  <si>
    <t>Western Sydney Green Gas Project</t>
  </si>
  <si>
    <t>Western Sydney Parklands</t>
  </si>
  <si>
    <t>AUD $15,000,000</t>
  </si>
  <si>
    <t>Blending, Transportation,</t>
  </si>
  <si>
    <t>injecting up to 2 percent hydrogen into Sydney secondary gas distribution network</t>
  </si>
  <si>
    <t>Jemena</t>
  </si>
  <si>
    <t>https://research.csiro.au/hyresource/western-sydney-green-gas-project/</t>
  </si>
  <si>
    <t>Tallawarra B Dual Fuel Capable Gas/Hydrogen Power Plant</t>
  </si>
  <si>
    <t>Koonawarra</t>
  </si>
  <si>
    <t>Gas Turbine</t>
  </si>
  <si>
    <t>Natural Gas Plant</t>
  </si>
  <si>
    <t>AUD $83,000,000</t>
  </si>
  <si>
    <t>Peaking plant with ability to blend natural gas</t>
  </si>
  <si>
    <t>EnergyAustralia</t>
  </si>
  <si>
    <t>https://research.csiro.au/hyresource/tallawarra-b-dual-fuel-capable-gas-hydrogen-power-plant/</t>
  </si>
  <si>
    <t>Port Kembla Hydrogen Reuelling Facility</t>
  </si>
  <si>
    <t>To fuel 2 Hymax-450 fcev prime mover trucks</t>
  </si>
  <si>
    <t>Coregas</t>
  </si>
  <si>
    <t>https://research.csiro.au/hyresource/port-kembla-hydrogen-refuelling-facility/</t>
  </si>
  <si>
    <t>Renewable Hydrogen Refueling Project</t>
  </si>
  <si>
    <t>AUD $5,540,000</t>
  </si>
  <si>
    <t>To supply hydrogen refueling for BOC's existing customers</t>
  </si>
  <si>
    <t>BOC Limited</t>
  </si>
  <si>
    <t>https://research.csiro.au/hyresource/renewable-hydrogen-production-and-refuelling-project/</t>
  </si>
  <si>
    <t>Sir Samuel Griffith Centre</t>
  </si>
  <si>
    <t>Powers 2 30Kw PEM fuel cells</t>
  </si>
  <si>
    <t>Griffith University</t>
  </si>
  <si>
    <t>https://research.csiro.au/hyresource/sir-samuel-griffith-centre/</t>
  </si>
  <si>
    <t>Kogan Creek Renewable Hydrogen Demo Plant</t>
  </si>
  <si>
    <t>Brigalow</t>
  </si>
  <si>
    <t>Power Generation and Transportation</t>
  </si>
  <si>
    <t>Off-takers from heavy transport and haulage market in Western Downs region</t>
  </si>
  <si>
    <t>CS Energy and Senex Energy</t>
  </si>
  <si>
    <t>https://research.csiro.au/hyresource/kogan-creek-renewable-hydrogen-demonstration-plant/</t>
  </si>
  <si>
    <t>APA Renewable Methane Demo Project</t>
  </si>
  <si>
    <t>Anion Exchange Membrane Electrolysis</t>
  </si>
  <si>
    <t>AUD $2,260,000</t>
  </si>
  <si>
    <t>Proof of concept that h2 can be converted into renewable methane by extracting co2 from the atmosphere</t>
  </si>
  <si>
    <t>APA Group</t>
  </si>
  <si>
    <t>https://research.csiro.au/hyresource/apa-renewable-methane-demonstration-project/</t>
  </si>
  <si>
    <t>Sumitomo Green Hydrogen Production and Rio Tinto Decarbonization Production Pilot</t>
  </si>
  <si>
    <t>Gladstone Central</t>
  </si>
  <si>
    <t>Rio Tinto owns Yarwun alumina refinery, wants to see if hydrogen can partially decarbonize it</t>
  </si>
  <si>
    <t>Sumitomo Corporation</t>
  </si>
  <si>
    <t>https://research.csiro.au/hyresource/sumitomo-green-hydrogen-production-and-rio-tinto-decarbonisation-production-pilot-project/</t>
  </si>
  <si>
    <t>Hydrogen Park Gladstone</t>
  </si>
  <si>
    <t>South Gladstone</t>
  </si>
  <si>
    <t>AUD $4,200,000</t>
  </si>
  <si>
    <t>Will be blended up to 10% to supply around 770 resdiential and business customers on Gladstone's netowrk</t>
  </si>
  <si>
    <t>https://research.csiro.au/hyresource/hydrogen-park-gladstone/</t>
  </si>
  <si>
    <t>ActewAGL Hydrogen Refueling Station</t>
  </si>
  <si>
    <t>Canberra</t>
  </si>
  <si>
    <t>AUD $600,000</t>
  </si>
  <si>
    <t>Evoenergy, Canberra Institue of Technology</t>
  </si>
  <si>
    <t>https://research.csiro.au/hyresource/actewagl-hydrogen-refuelling-station/</t>
  </si>
  <si>
    <t>Cyrstal Brook Energy Park</t>
  </si>
  <si>
    <t>Crystal Brook</t>
  </si>
  <si>
    <t>Export to Asia</t>
  </si>
  <si>
    <t>Neonen</t>
  </si>
  <si>
    <t>https://reneweconomy.com.au/neoen-plans-worlds-biggest-solar-wind-powered-hydrogen-hub-in-s-a-53674/</t>
  </si>
  <si>
    <t>Manilla Hydrogen Energy Storage System</t>
  </si>
  <si>
    <t>Manilla</t>
  </si>
  <si>
    <t>AUD $7,300,000</t>
  </si>
  <si>
    <t>Community-based solar farm and renewable energy storage facilities near Manilla</t>
  </si>
  <si>
    <t>Manilla Community Renewable Energy Inc. Providence Asset Group</t>
  </si>
  <si>
    <t>https://research.csiro.au/hyresource/manilla-solar-phase-2-hydrogen-energy-storage-system/</t>
  </si>
  <si>
    <t>Great Southern Project</t>
  </si>
  <si>
    <t>AUD $5,500,000</t>
  </si>
  <si>
    <t>Renewable hydrogen to replace diesel in heavy duty trucking</t>
  </si>
  <si>
    <t>LINE Hydrogen</t>
  </si>
  <si>
    <t>https://research.csiro.au/hyresource/great-southern-project/</t>
  </si>
  <si>
    <t>Sojitz Queensland Project</t>
  </si>
  <si>
    <t>Will fuel Republic of Palau fuel cells</t>
  </si>
  <si>
    <t>Sojitz</t>
  </si>
  <si>
    <t>https://www.sojitz.com/en/news/2022/01/20220112.php</t>
  </si>
  <si>
    <t>ITM-Optimal Agreement</t>
  </si>
  <si>
    <t>Microgrid</t>
  </si>
  <si>
    <t>Optimal and ITM</t>
  </si>
  <si>
    <t>https://www.sharecast.com/news/aim-bulletin/itm-power-enters-partnership-with-australias-optimal-group--7775227.html</t>
  </si>
  <si>
    <t>Montgomery County Bus Depot</t>
  </si>
  <si>
    <t>Montgomery County</t>
  </si>
  <si>
    <t>for 13 buses</t>
  </si>
  <si>
    <t>AlphaStruxure</t>
  </si>
  <si>
    <t>https://www.canarymedia.com/articles/public-transit/this-east-coast-bus-depot-will-make-its-own-carbon-free-fuel</t>
  </si>
  <si>
    <t>Cavendish NextGen Hydrogen Hub</t>
  </si>
  <si>
    <t>Fort Drum</t>
  </si>
  <si>
    <t>Blending for power generation in gas turbines</t>
  </si>
  <si>
    <t>Flordia Power &amp; Light</t>
  </si>
  <si>
    <t>https://cbs12.com/news/local/fpl-green-energy-okeechobee-next-gen-hydrogen-hub</t>
  </si>
  <si>
    <t>Coffeyville Fertilizer Plant</t>
  </si>
  <si>
    <t>Coffeyville, Kansas</t>
  </si>
  <si>
    <t>CCS w/ EOR</t>
  </si>
  <si>
    <t>Petroleum</t>
  </si>
  <si>
    <t>Coffeyville plant produces UAN fertilizers</t>
  </si>
  <si>
    <t>Coffeyville Resources</t>
  </si>
  <si>
    <t>https://energyfuturesinitiative.org/reports/the-hydrogen-transition-framework/</t>
  </si>
  <si>
    <t>Douglas PUD Industrial Area</t>
  </si>
  <si>
    <t>East Wenatchee, Washington</t>
  </si>
  <si>
    <t>Hydro</t>
  </si>
  <si>
    <t>Douglas County PUD</t>
  </si>
  <si>
    <t>https://www.wenatcheeworld.com/news/the-power-of-h-douglas-county-pud-prepares-to-produce-hydrogen-as-fuel/article_bb4e1af0-d4b3-11ed-ad01-1b81af41fb2f.html</t>
  </si>
  <si>
    <t>H2 SilverSTARS</t>
  </si>
  <si>
    <t>Thousand Palms, CA</t>
  </si>
  <si>
    <t>CCS w/ RNG</t>
  </si>
  <si>
    <t>Natural Gas</t>
  </si>
  <si>
    <t>Will fuel fleet of 17 buses</t>
  </si>
  <si>
    <t>SunLine Transit Agency</t>
  </si>
  <si>
    <t>https://www.sunline.org/projects/alternative-fuels/clean-fleet</t>
  </si>
  <si>
    <t>Enid Fertilizer Plant</t>
  </si>
  <si>
    <t>Enid, Oklahoma</t>
  </si>
  <si>
    <t>Captures CO2 for EOR</t>
  </si>
  <si>
    <t>Koch Nitrogen Company</t>
  </si>
  <si>
    <t>https://www.gem.wiki/Enid_Fertilizer</t>
  </si>
  <si>
    <t>NY STAMP Business Park Hydrogen Production Facility</t>
  </si>
  <si>
    <t>Alabama, New York</t>
  </si>
  <si>
    <t>Servicing the Northeast</t>
  </si>
  <si>
    <t>https://buffalonews.com/business/local/plug-power-starts-construction-of-290m-project-in-genesee-county/article_09e43b90-31c2-11ec-b0dd-0b3325909a66.html</t>
  </si>
  <si>
    <t>ARIES - Flatirons Campus</t>
  </si>
  <si>
    <t>Arvada, Colorado</t>
  </si>
  <si>
    <t>Data Center</t>
  </si>
  <si>
    <t>Backup power at a data center (more than 600 kg H2 Storage) - research</t>
  </si>
  <si>
    <t xml:space="preserve">Toyota and NREL </t>
  </si>
  <si>
    <t>https://www.greencarcongress.com/2022/08/20220825-toyota.html</t>
  </si>
  <si>
    <t>H2@Scale Demo and Framework for Texas and Beyond</t>
  </si>
  <si>
    <t>Austin, Texas</t>
  </si>
  <si>
    <t>Solar and Wind and Biogas</t>
  </si>
  <si>
    <t xml:space="preserve">Research and Demonstration </t>
  </si>
  <si>
    <t>University of Texas</t>
  </si>
  <si>
    <t>chrome-extension://efaidnbmnnnibpcajpcglclefindmkaj/https://energy.utexas.edu/sites/default/files/H2%20Roundtable%20Speaker%20Slide_Master_FINAL_releasable.pdf</t>
  </si>
  <si>
    <t>Great Plains Synfuel Plant</t>
  </si>
  <si>
    <t>Beulah, North Dakota</t>
  </si>
  <si>
    <t>Coal</t>
  </si>
  <si>
    <t>Synfuels</t>
  </si>
  <si>
    <t>CO2 used for EOR</t>
  </si>
  <si>
    <t>Bakken Energy</t>
  </si>
  <si>
    <t xml:space="preserve">https://www.globenewswire.com/news-release/2021/06/02/2240761/0/en/Bakken-Energy-and-Mitsubishi-Power-Establish-Clean-Hydrogen-Partnership.html </t>
  </si>
  <si>
    <t>Olive Creek 1</t>
  </si>
  <si>
    <t>Hallam, Nebraska</t>
  </si>
  <si>
    <t>Used in production of fertilizer for farming</t>
  </si>
  <si>
    <t>Monolith Materials</t>
  </si>
  <si>
    <t>https://www.prnewswire.com/news-releases/monolith-receives-conditional-approval-for-a-one-billion-dollar-us-department-of-energy-loan-301450496.html</t>
  </si>
  <si>
    <t>Toyota Port of Long Beach FuelCell Energy SureSource Hydrogen Project</t>
  </si>
  <si>
    <t>Long Beach, California</t>
  </si>
  <si>
    <t>Biogas Reformation</t>
  </si>
  <si>
    <t>Bioenergy</t>
  </si>
  <si>
    <t>Fuels Toyota trucks and export balance to Southern California grid</t>
  </si>
  <si>
    <t>https://fuelcellsworks.com/news/development-of-the-fuelcell-energy-project-at-toyotas-port-of-long-beach-facility-to-proceed/</t>
  </si>
  <si>
    <t>Champaign-Urbana Mass Transit</t>
  </si>
  <si>
    <t>Urbana, Illinois</t>
  </si>
  <si>
    <t>Produce hydrogen for a fleet of fuel cell buses</t>
  </si>
  <si>
    <t xml:space="preserve">Nel Hydrogen </t>
  </si>
  <si>
    <t>https://www.masstransitmag.com/technology/facilities/article/21249165/partnerships-are-the-backbone-to-implementing-zeroemission-technology</t>
  </si>
  <si>
    <t>North Las Vegas LH2 plant</t>
  </si>
  <si>
    <t>North Las Vegas, Nevada</t>
  </si>
  <si>
    <t>Built for the California FCEV market</t>
  </si>
  <si>
    <t>https://industry.airliquide.us/air-liquide-committed-producing-renewable-hydrogen-west-coast-mobility-market-new-liquid-hydrogen</t>
  </si>
  <si>
    <t>SHG2 Lancaster Project</t>
  </si>
  <si>
    <t>Lancaster, California</t>
  </si>
  <si>
    <t>Biowaste Gasification</t>
  </si>
  <si>
    <t>Waste</t>
  </si>
  <si>
    <t>Facility will process around 42,000 tons of waste annually</t>
  </si>
  <si>
    <t>https://www.greencarcongress.com/2020/05/20200521-sgh2.html</t>
  </si>
  <si>
    <t>PCS Nitrogen Clean Ammonia Project</t>
  </si>
  <si>
    <t>Geismar, Louisiana</t>
  </si>
  <si>
    <t>Sources Denbury EOR operations</t>
  </si>
  <si>
    <t>Nutrien</t>
  </si>
  <si>
    <t>https://co2re.co/FacilityData</t>
  </si>
  <si>
    <t>Valero Port Arthur Refinery</t>
  </si>
  <si>
    <t>Port Arthur, Texas</t>
  </si>
  <si>
    <t>The APCI Port Arthur ICCS project is demonstrating a state-of-the-art system to concentrate CO2 from two steam methane reformer (SMR) hydrogen production plants located in Port Arthur, Texas. APCI has retrofitted its two Port Arthur SMRs with a vacuum swing adsorption (VSA) system to separate the CO2 from the process gas stream, followed by compression and drying processes.  The technology removes more than 90 percent of the CO2 from the process gas stream used in a world-class scale hydrogen production facility with negligible impact on the efficiency of hydrogen production. The project has been in commercial operation since early 2013 and continues to successfully capture, store and utilize the produced CO2 stream.  Air Products has already successfully captured and stored over 3,640,000 metric tons of CO2 as of April 30, 2017, and is on pace to capture and store the 4,000,000th metric ton of CO2 around the September 2017 timeframe.</t>
  </si>
  <si>
    <t>Maire Tecnimont green ammonia facility</t>
  </si>
  <si>
    <t>Garner, Iowa</t>
  </si>
  <si>
    <t>Mair Tecnimont</t>
  </si>
  <si>
    <t>https://www.power-technology.com/news/maire-tecnimont-green-ammonia-contract/</t>
  </si>
  <si>
    <t>Calumet Great Falls Renewable Hydrogen Plant</t>
  </si>
  <si>
    <t>Great Falls, Montana</t>
  </si>
  <si>
    <t>Biofuels</t>
  </si>
  <si>
    <t>Calumet Specialty Products Partners (NASDAQ:CLMT) will move ahead with construction of the planned renewable hydrogen plant at its Great Falls, Montana, refinery after securing $50M of project financing from Stonebriar Commercial Finance, S&amp;P Global Platts reports. Calumet expects to start up the plant in this year's Q4, raising production of renewable diesel from 5K bbl/day in May 2022 to 12K bbl/day. The company says the renewable hydrogen plant will allow increased production of renewable diesel and further reduce the carbon intensity of products from Montana Renewables</t>
  </si>
  <si>
    <t>Montana Renewables</t>
  </si>
  <si>
    <t>https://seekingalpha.com/news/3785260-calumet-closes-financing-for-renewable-hydrogen-project</t>
  </si>
  <si>
    <t>Linde Hydrogen Plant</t>
  </si>
  <si>
    <t>Ontario, California</t>
  </si>
  <si>
    <t>Company will be able to fuel up to 1,600 vehicles a day</t>
  </si>
  <si>
    <t>https://www.petrolplaza.com/news/25932</t>
  </si>
  <si>
    <t>Plug Power Hydrogen Plant</t>
  </si>
  <si>
    <t>Fresno County, California</t>
  </si>
  <si>
    <t>Servicing west coast customers with liquid hydrogen</t>
  </si>
  <si>
    <t>https://renewablesnow.com/news/plug-power-unveils-120-mw-green-hydrogen-project-in-california-754521/</t>
  </si>
  <si>
    <t>Yosemite Clean Energy</t>
  </si>
  <si>
    <t>Oroville, California</t>
  </si>
  <si>
    <t>The company’s Tuolumne County application under Yosemite Clean Energy Sierra LLC was selected by the California Department of Conservation as the number-one recommended project in California. </t>
  </si>
  <si>
    <t>https://www.yosemiteclean.com/news-and-resources</t>
  </si>
  <si>
    <t>NEL-Nikola Hydrogen Agreement</t>
  </si>
  <si>
    <t>Will support 5 heavy-duty hydrogen fueling stations</t>
  </si>
  <si>
    <t>Nikola</t>
  </si>
  <si>
    <t>https://www.electrive.com/2020/06/04/nikola-orders-electrolysers-from-nel/</t>
  </si>
  <si>
    <t>SoCalGas-NREL Pilot Project</t>
  </si>
  <si>
    <t>Golden, Colorado</t>
  </si>
  <si>
    <t>Crews work to install the first U.S. Power-to-Gas system outside the ESIF. Southern California Gas partnered with NREL on the project, which takes excess electricity and converts it to hydrogen which can be used, stored or combined with cargo dioxide to produce renewable natural gas.</t>
  </si>
  <si>
    <t>NREL and Southern Gas Company</t>
  </si>
  <si>
    <t>efaidnbmnnnibpcajpcglclefindmkaj/https://www.nrel.gov/docs/fy18osti/68939.pdf</t>
  </si>
  <si>
    <t>Standard Hydrogen Energy Transfer System</t>
  </si>
  <si>
    <t>Albany, New York</t>
  </si>
  <si>
    <t>National Grid is taking additional steps into a clean energy future today by announcing a partnership with Standard Hydrogen Corporation to demonstrate the nation’s first multi-use, renewable hydrogen-based energy storage/delivery system in New York’s Capital Region, with completion expected by late 2022. The system will produce and store hydrogen exclusively from purchased renewable power and will make use of the inherent flexibility of hydrogen. Once installed the system can safely offer up to nine market-based zero-carbon energy services that support electric service, heating, zero emissions vehicle services and commercial gas service – all from one system at one site. The system has the capability to eliminate 6,400 metric tons of carbon dioxide emissions and 740,000 gallons of gasoline demand annually. It will be operated by Standard Hydrogen in a financially optimized manner to reduce the impact on utility customers. This project was conceived through a NY State REV Connect Innovation Sprint.</t>
  </si>
  <si>
    <t>https://www.nationalgridus.com/News/2021/03/National-Grid-and-Standard-Hydrogen-Corporation-Announce-Plans-for-Innovative-Hydrogen-Energy-Station/</t>
  </si>
  <si>
    <t>OMNI CT California Waste to Hydrogen Plant</t>
  </si>
  <si>
    <t>Mountain View, California</t>
  </si>
  <si>
    <t>OMNI CT</t>
  </si>
  <si>
    <t>https://fuelcellsworks.com/news/omni-ct-brings-first-of-its-kind-waste-to-hydrogen-product-to-california/</t>
  </si>
  <si>
    <t>New Jersey Resources Howell</t>
  </si>
  <si>
    <t>Folsom, New Jersey</t>
  </si>
  <si>
    <t>Will blend into natural gas injection system</t>
  </si>
  <si>
    <t>New Jersey Resources Corp</t>
  </si>
  <si>
    <t>https://www.spglobal.com/marketintelligence/en/news-insights/latest-news-headlines/hydrogen-pilot-projects-advance-evolve-at-gas-utilities-65942022</t>
  </si>
  <si>
    <t>SunLine Zero-Emisssions</t>
  </si>
  <si>
    <t>Palm Springs, California</t>
  </si>
  <si>
    <t>Agency has added deployed 15 hydrogen FCEV buses</t>
  </si>
  <si>
    <t>https://www.desertsun.com/story/news/2022/01/04/the-infrastructure-bill-includes-5-6-billion-for-low-or-zero-emission-vehicle-grants/9085571002/</t>
  </si>
  <si>
    <t>Canton Transit Authority Hydrogen Bus Fleet</t>
  </si>
  <si>
    <t>Canton, Ohio</t>
  </si>
  <si>
    <t>Unknown</t>
  </si>
  <si>
    <t>Has 20 fuel cell buses</t>
  </si>
  <si>
    <t>SARTA</t>
  </si>
  <si>
    <t>https://www.sartaonline.com/sarta-seeks-to-build-support-for-hydrogen-hub-in-ohio/</t>
  </si>
  <si>
    <t>Ohio State University Hydrogen Turbine USTR Grant</t>
  </si>
  <si>
    <t>Columbus, Ohio</t>
  </si>
  <si>
    <t>Hydrogen Turbines</t>
  </si>
  <si>
    <t>Ohio State University</t>
  </si>
  <si>
    <t>https://dailyenergyinsider.com/news/30308-doe-awards-nearly-6-2m-for-eight-university-run-hydrogen-gas-turbine-rd-projects/?amp</t>
  </si>
  <si>
    <t>Mercedes-Plug Power Fuel Cell forklift Deal</t>
  </si>
  <si>
    <t>Fuel Cell Forklifts</t>
  </si>
  <si>
    <t>Materials Handling</t>
  </si>
  <si>
    <t>Powers 123 forklifts at Mercedes logistics and manufacturing facility</t>
  </si>
  <si>
    <t>Benz, Plug Power</t>
  </si>
  <si>
    <t>https://www.globenewswire.com/news-release/2013/08/20/567917/9619/en/Mercedes-Benz-Expands-Use-of-Plug-Power-Hydrogen-Fuel-Cells-at-Vehicle-Assembly-Plant-in-Tuscaloosa-Alabama.html</t>
  </si>
  <si>
    <t>Apex Energy, Rostock-Laage</t>
  </si>
  <si>
    <t>Rostock-Laage</t>
  </si>
  <si>
    <t>Euro $10,000,000</t>
  </si>
  <si>
    <t>Heating and Transportation</t>
  </si>
  <si>
    <t>supplying commercial heat to a car supplier plant</t>
  </si>
  <si>
    <t>Apex Energy</t>
  </si>
  <si>
    <t>https://www.reuters.com/article/germany-hydrogen-apex/germanys-apex-energy-launches-hydrogen-plant-near-rostock-idUSL8N2DP3WV</t>
  </si>
  <si>
    <t>Tiwi H2</t>
  </si>
  <si>
    <t>Port Melville</t>
  </si>
  <si>
    <t>Export + fleet of vessels to carry to Japan, South Korea, Singapore, and China</t>
  </si>
  <si>
    <t>No</t>
  </si>
  <si>
    <t>FID late 2023 or early 2024</t>
  </si>
  <si>
    <t>Provaris Energy Ltd</t>
  </si>
  <si>
    <t>https://research.csiro.au/hyresource/tiwi-h2/</t>
  </si>
  <si>
    <t>Western Green Energy Hydrogen Hub</t>
  </si>
  <si>
    <t>Cocklebiddy</t>
  </si>
  <si>
    <t>Solar and Wind</t>
  </si>
  <si>
    <t>AUD $10,000,000,000</t>
  </si>
  <si>
    <t>Export for clean fuels</t>
  </si>
  <si>
    <t>Operational by 2030</t>
  </si>
  <si>
    <t>InterContinental Energy, CWP Global, Mirning Traditional Lands Aboirignal Corporation</t>
  </si>
  <si>
    <t>https://research.csiro.au/hyresource/western-green-energy-hub/</t>
  </si>
  <si>
    <t>Murchison Hydrogen Renewables Project</t>
  </si>
  <si>
    <t>Kalbarri</t>
  </si>
  <si>
    <t>For exporting ammonia - including 2Mt/annum ammonia plant, 200 storage vessels, 1.4km ammonia pipeline, marine export facility</t>
  </si>
  <si>
    <t>Murchison Hydrogen Renewables Pty Ltd</t>
  </si>
  <si>
    <t>https://research.csiro.au/hyresource/murchison-hydrogen-renewables-project/</t>
  </si>
  <si>
    <t>MEG-HP1</t>
  </si>
  <si>
    <t>Heavy Transportation</t>
  </si>
  <si>
    <t>in-depot refuelling stations are the target</t>
  </si>
  <si>
    <t>FEED</t>
  </si>
  <si>
    <t>Infinite Green Energy Ltd</t>
  </si>
  <si>
    <t>https://research.csiro.au/hyresource/early-production-system-meg-hp1/</t>
  </si>
  <si>
    <t>HyEnergy Project</t>
  </si>
  <si>
    <t>Carnarvon</t>
  </si>
  <si>
    <t>Focus on delivery to Singapore</t>
  </si>
  <si>
    <t>pre-FEED</t>
  </si>
  <si>
    <t>Province Resources Ltd.</t>
  </si>
  <si>
    <t>https://research.csiro.au/hyresource/hyenergy-project/</t>
  </si>
  <si>
    <t>Ord Hydrogen</t>
  </si>
  <si>
    <t>Kununurra</t>
  </si>
  <si>
    <t>AUD $370,000</t>
  </si>
  <si>
    <t>Diamond Mine plant closure results in 15-25 MW of available power</t>
  </si>
  <si>
    <t>GEV and Pacific Hydro</t>
  </si>
  <si>
    <t>https://www.greencarcongress.com/2021/01/20210123-gev.html</t>
  </si>
  <si>
    <t>Hydrogen Brighton Project</t>
  </si>
  <si>
    <t>AUD $60,000,000</t>
  </si>
  <si>
    <t>co-located with Brighton Regional Resources Recovery Precinct</t>
  </si>
  <si>
    <t>FID October 2023</t>
  </si>
  <si>
    <t>Countrywide Hydrogen</t>
  </si>
  <si>
    <t>https://research.csiro.au/hyresource/hydrogen-brighton-project/</t>
  </si>
  <si>
    <t>Hydrogen Launceston Project</t>
  </si>
  <si>
    <t>fueling for ferries, trucks, etc.</t>
  </si>
  <si>
    <t>https://research.csiro.au/hyresource/hydrogen-launceston-project/</t>
  </si>
  <si>
    <t>HIF Carbon Neutral eFuels Manufacturing Facility</t>
  </si>
  <si>
    <t>could produce 100M liters of efuel per annum</t>
  </si>
  <si>
    <t>Construction in 2024</t>
  </si>
  <si>
    <t>HIF Global</t>
  </si>
  <si>
    <t>https://research.csiro.au/hyresource/hif-carbon-neutral-efuels-manufacturing-facility/</t>
  </si>
  <si>
    <t>Desert Bloom Hydrogen</t>
  </si>
  <si>
    <t>Uses water from atmosphere</t>
  </si>
  <si>
    <t>Aqua Aerem</t>
  </si>
  <si>
    <t>https://research.csiro.au/hyresource/desert-bloom-hydrogen/</t>
  </si>
  <si>
    <t>Green Springs Project</t>
  </si>
  <si>
    <t>Davenport</t>
  </si>
  <si>
    <t>Methanol, Ammonia, e-kerosine</t>
  </si>
  <si>
    <t>e-Methanol, Ammonia, or e-kerosine</t>
  </si>
  <si>
    <t>Climate Impact capital Limited</t>
  </si>
  <si>
    <t>https://research.csiro.au/hyresource/green-springs-project/</t>
  </si>
  <si>
    <t>Bristol Springs Solar Hydrogen Project</t>
  </si>
  <si>
    <t>Waroona</t>
  </si>
  <si>
    <t>Close proximity to Dampier Bunbury Natural Gas Pipeline</t>
  </si>
  <si>
    <t>FID 2023</t>
  </si>
  <si>
    <t>Frontier Energy Limited</t>
  </si>
  <si>
    <t>https://research.csiro.au/hyresource/bristol-springs-solar-hydrogen-project/</t>
  </si>
  <si>
    <t>H2Perth</t>
  </si>
  <si>
    <t>SMR w/ CCS and Electrolysis</t>
  </si>
  <si>
    <t>Natural gas and renewables</t>
  </si>
  <si>
    <t>Targeting 2,700 tonnes/day ammonia</t>
  </si>
  <si>
    <t>Ammonia and Transportation</t>
  </si>
  <si>
    <t>Design Trials</t>
  </si>
  <si>
    <t>Woodside Energy Ltd</t>
  </si>
  <si>
    <t>https://research.csiro.au/hyresource/h2perth-new-project-added-november-2021/</t>
  </si>
  <si>
    <t>Parmelia Green Hydrogen Project</t>
  </si>
  <si>
    <t>Parmelia gas pipeline can take 100% h2</t>
  </si>
  <si>
    <t>WesCEF</t>
  </si>
  <si>
    <t>https://research.csiro.au/hyresource/parmelia-green-hydrogen-project/</t>
  </si>
  <si>
    <t>H2Kwinana</t>
  </si>
  <si>
    <t>Heavy Industry</t>
  </si>
  <si>
    <t>Kwinana Industrial cluster is largest industrial cluster in Western Autralia</t>
  </si>
  <si>
    <t>bp Australia, Macquarie Capital</t>
  </si>
  <si>
    <t>https://research.csiro.au/hyresource/h2kwinana/</t>
  </si>
  <si>
    <t>Green Hydrogen for City of Cockburn</t>
  </si>
  <si>
    <t>Cockburn</t>
  </si>
  <si>
    <t>City of Cockburn</t>
  </si>
  <si>
    <t>https://research.csiro.au/hyresource/green-hydrogen-for-city-of-cockburn/</t>
  </si>
  <si>
    <t>Collie Battery and Hydrogen Industrial Hub Project</t>
  </si>
  <si>
    <t>Collie</t>
  </si>
  <si>
    <t>Sunshot Industries</t>
  </si>
  <si>
    <t>https://research.csiro.au/hyresource/collie-battery-and-hydrogen-industrial-hub-project/</t>
  </si>
  <si>
    <t>Australian Renewable Energy Hub</t>
  </si>
  <si>
    <t>some local potential in Pilbara (heavy mining and metals district)</t>
  </si>
  <si>
    <t>bp, CWP Global, InterCotinental Energy, Macquarie Capital</t>
  </si>
  <si>
    <t>https://research.csiro.au/hyresource/australian-renewable-energy-hub/</t>
  </si>
  <si>
    <t>Darwin H2 Hub</t>
  </si>
  <si>
    <t>Korean Transport Sector, export liquid hydrogen</t>
  </si>
  <si>
    <t>https://research.csiro.au/hyresource/darwin-h2-hub/</t>
  </si>
  <si>
    <t>Cape Hardy Green Hydrogen Project</t>
  </si>
  <si>
    <t>Port Neil</t>
  </si>
  <si>
    <t>5 Mt ammonia production</t>
  </si>
  <si>
    <t>Amp Energy, Iron Road Ltd</t>
  </si>
  <si>
    <t>https://research.csiro.au/hyresource/cape-hardy-green-hydrogen-project/</t>
  </si>
  <si>
    <t>SM1</t>
  </si>
  <si>
    <t>Mount Arden</t>
  </si>
  <si>
    <t>co-located lime plant would supply the co2</t>
  </si>
  <si>
    <t>Vast</t>
  </si>
  <si>
    <t>https://research.csiro.au/hyresource/sm1/</t>
  </si>
  <si>
    <t>Eyre Peninsula Gateway Project</t>
  </si>
  <si>
    <t>AUD $240,000,000</t>
  </si>
  <si>
    <t>40,000 tonnes of ammonia per annum</t>
  </si>
  <si>
    <t>The Hydrogen Utility</t>
  </si>
  <si>
    <t>https://research.csiro.au/hyresource/eyre-peninsula-hydrogen-and-ammonia-supply-chain-project/</t>
  </si>
  <si>
    <t>Fujiyoshida Hydrogen Power Plant</t>
  </si>
  <si>
    <t>Fujiyoshida</t>
  </si>
  <si>
    <t>Fukushima Hydrogen Energy Research Field (FH2R)</t>
  </si>
  <si>
    <t>Nomia</t>
  </si>
  <si>
    <t>Grid, Wind, Solar</t>
  </si>
  <si>
    <t>Buildings</t>
  </si>
  <si>
    <t>Fukushima, Tokyo</t>
  </si>
  <si>
    <t>NEDO</t>
  </si>
  <si>
    <t>https://www.nedo.go.jp/english/news/AA5en_100422.html</t>
  </si>
  <si>
    <t>H2One - Musashi-Mizonokuchi Station</t>
  </si>
  <si>
    <t>Solar and Batteries</t>
  </si>
  <si>
    <t>Train Station</t>
  </si>
  <si>
    <t>Kawasaki City</t>
  </si>
  <si>
    <t>Toshiba</t>
  </si>
  <si>
    <t>https://www.railway-technology.com/news/newstoshibas-h2one-system-becomes-operational-at-japans-railway-station-5788378/</t>
  </si>
  <si>
    <t>H2One - Rakuten Seimei Stadium</t>
  </si>
  <si>
    <t>Sendai City</t>
  </si>
  <si>
    <t>City Stadium</t>
  </si>
  <si>
    <t>https://www.global.toshiba/ww/news/energy/2018/03/news-20180326-02.html</t>
  </si>
  <si>
    <t>H2One - Sendai City</t>
  </si>
  <si>
    <t>https://www.global.toshiba/ww/news/energy/2017/10/news-20171030-01.html</t>
  </si>
  <si>
    <t>H2PLAZA - Toyota Industries Corporation’s Takahama</t>
  </si>
  <si>
    <t>Tokyu Construction Institute of Technology</t>
  </si>
  <si>
    <t>Rakuten Seimei Park Miyagi</t>
  </si>
  <si>
    <t>Musashi-Mizonokuchi Station</t>
  </si>
  <si>
    <t>H2One - Hydrogen Application Center, Fuchu Complex</t>
  </si>
  <si>
    <t>H2One - Asahi Breweries in Ibaraki</t>
  </si>
  <si>
    <t>H2One - Kyushu Resort Hotel,  Huis Ten Bosch</t>
  </si>
  <si>
    <t>H2One - Yokohama Cargo Center</t>
  </si>
  <si>
    <t>Port Bonython Hydrogen Hub</t>
  </si>
  <si>
    <t>Bonython</t>
  </si>
  <si>
    <t>Australian government</t>
  </si>
  <si>
    <t>https://research.csiro.au/hyresource/port-bonython-hydrogen-hub/; https://www.energymining.sa.gov.au/industry/modern-energy/hydrogen-in-south-australia/port-bonython-export-hub</t>
  </si>
  <si>
    <t>South Australian Government Hydrogen Facility</t>
  </si>
  <si>
    <t>https://research.csiro.au/hyresource/south-australian-government-hydrogen-facility/</t>
  </si>
  <si>
    <t>Port Pirie Green Hydrogen Project</t>
  </si>
  <si>
    <t>Port Pirie</t>
  </si>
  <si>
    <t>Export and domestic use supporting Port Pirie industrial precicnt</t>
  </si>
  <si>
    <t>Trafigura Group Pte. Ltd</t>
  </si>
  <si>
    <t>https://research.csiro.au/hyresource/port-pirie-green-hydrogen-project/</t>
  </si>
  <si>
    <t>Australian Hydrogen Centre</t>
  </si>
  <si>
    <t>Bordertown</t>
  </si>
  <si>
    <t>assessing 10% hydrogen in gas distribution networks</t>
  </si>
  <si>
    <t>Mitchell Park, Adelaide gas pipes</t>
  </si>
  <si>
    <t>Australian gas networks</t>
  </si>
  <si>
    <t>https://research.csiro.au/hyresource/australian-hydrogen-centre/</t>
  </si>
  <si>
    <t>Hydrogen Portland Project</t>
  </si>
  <si>
    <t>Wind</t>
  </si>
  <si>
    <t>Blending and Transportation</t>
  </si>
  <si>
    <t>Phase 1 of a project that will eventually look to export</t>
  </si>
  <si>
    <t>Countrywide Hydrogen Pty Ltd</t>
  </si>
  <si>
    <t>https://research.csiro.au/hyresource/hydrogen-portland-project/</t>
  </si>
  <si>
    <t>Portland Renewable Fuels</t>
  </si>
  <si>
    <t>e-Methanol</t>
  </si>
  <si>
    <t>expected to produce 200,000 tons of green methanol</t>
  </si>
  <si>
    <t>Marine</t>
  </si>
  <si>
    <t>HAMR Energy</t>
  </si>
  <si>
    <t>https://research.csiro.au/hyresource/portland-renewable-fuels/</t>
  </si>
  <si>
    <t>Warrnambool Hydrogen Mobility Project</t>
  </si>
  <si>
    <t>Warrnambool</t>
  </si>
  <si>
    <t>12 buses</t>
  </si>
  <si>
    <t>Warrnambool Bus Lines</t>
  </si>
  <si>
    <t>https://research.csiro.au/hyresource/warrnambool-hydrogen-mobility-project/</t>
  </si>
  <si>
    <t>Calix Zero Emissions Steel Technology FEED Study</t>
  </si>
  <si>
    <t>exploring use of the ZESTY process -30,000 tonnes of steel per annum H-DRI demo plant</t>
  </si>
  <si>
    <t>Calix</t>
  </si>
  <si>
    <t>https://research.csiro.au/hyresource/calix-zero-emissions-steel-technology-pre-feed-and-feed-study/</t>
  </si>
  <si>
    <t>Geelong Hydrogen Hub</t>
  </si>
  <si>
    <t>FID in 2024</t>
  </si>
  <si>
    <t>https://research.csiro.au/hyresource/geelong-hydrogen-hub/</t>
  </si>
  <si>
    <t>Altona Renewable Hydrogen Plant</t>
  </si>
  <si>
    <t>Altona</t>
  </si>
  <si>
    <t>for metropolitan logistics and transport hub</t>
  </si>
  <si>
    <t>https://research.csiro.au/hyresource/development-of-altona-renewable-hydrogen-plant/</t>
  </si>
  <si>
    <t>Melbourne Hydrogen Hub</t>
  </si>
  <si>
    <t>Near Melbourne's northern transportation corridor</t>
  </si>
  <si>
    <t>https://research.csiro.au/hyresource/melbourne-hydrogen-hub/</t>
  </si>
  <si>
    <t>Renewable Hydrogen Hydro-Gen1</t>
  </si>
  <si>
    <t>installign pilot-scale electrolyzer at waste facility</t>
  </si>
  <si>
    <t>Yarra Valley Water</t>
  </si>
  <si>
    <t>https://research.csiro.au/hyresource/renewable-hydrogen-hydro-gen-1/</t>
  </si>
  <si>
    <t>Energys Renewable Hydrogen Production Facility</t>
  </si>
  <si>
    <t>Transportation and Backup Power</t>
  </si>
  <si>
    <t>supporting replacement of diesel</t>
  </si>
  <si>
    <t>Energys Australia</t>
  </si>
  <si>
    <t>https://research.csiro.au/hyresource/energys-renewable-hydrogen-production-facility/</t>
  </si>
  <si>
    <t>Manufacturing and Commercialization of Hydrogen Buses</t>
  </si>
  <si>
    <t>providing 2 hydrogen buses</t>
  </si>
  <si>
    <t>Volgren Australia</t>
  </si>
  <si>
    <t>https://www.csiro.au/en/maps/hydrogen-projects#markerName=Manufacturing-and-Commercialisation-of-Hydrogen-Buses</t>
  </si>
  <si>
    <t>Liquified Hydrogen Supply Chain Demonstration Project</t>
  </si>
  <si>
    <t>Coal Gasification w/ CCS</t>
  </si>
  <si>
    <t>2 consortia: production joint venture and a liquefaction and export joint venture; carbon capture and storage in the Bass Strait offshore</t>
  </si>
  <si>
    <t>Pilot</t>
  </si>
  <si>
    <t>https://research.csiro.au/hyresource/liquefied-hydrogen-supply-chain-commercial-demonstration-project/</t>
  </si>
  <si>
    <t>Origin Green Hydrogen and Ammonia Project</t>
  </si>
  <si>
    <t>420,000 tonnes of ammonia</t>
  </si>
  <si>
    <t>Origin Energy</t>
  </si>
  <si>
    <t>https://research.csiro.au/hyresource/origin-green-hydrogen-and-ammonia-project/</t>
  </si>
  <si>
    <t>Fortescue Green Hydrogen and Ammonia Plant</t>
  </si>
  <si>
    <t>exploring development of electrolyzer at Bell Bay Advanced Manufacturing Zone</t>
  </si>
  <si>
    <t>https://research.csiro.au/hyresource/fortescue-green-hydrogen-and-ammonia-plant/</t>
  </si>
  <si>
    <t>ABEL Energy Bell Bay Powerfuels Project</t>
  </si>
  <si>
    <t>A feasibility study is undertaken to assess the potential for developing a large-scale, renewable methanol plant (300,000 tonnes per annum)</t>
  </si>
  <si>
    <t>ABEL Energy</t>
  </si>
  <si>
    <t>https://research.csiro.au/hyresource/abel-energy-bell-bay-powerfuels-project/</t>
  </si>
  <si>
    <t>H2TAS Project</t>
  </si>
  <si>
    <t>Wind and Hydro</t>
  </si>
  <si>
    <t>ammonia plant with potential to scale</t>
  </si>
  <si>
    <t>https://research.csiro.au/hyresource/h2tas-project/</t>
  </si>
  <si>
    <t>Grange Resources Renewable Hydrogen Study</t>
  </si>
  <si>
    <t>Grange owns and operates integrated iron ore mining and pellet production business</t>
  </si>
  <si>
    <t>Grange Resources Pty Ltd</t>
  </si>
  <si>
    <t>https://research.csiro.au/hyresource/grange-resources-renewable-hydrogen-study/</t>
  </si>
  <si>
    <t>ScaleH2</t>
  </si>
  <si>
    <t>Cringila</t>
  </si>
  <si>
    <t>Export ammonia to germany</t>
  </si>
  <si>
    <t>ATCO</t>
  </si>
  <si>
    <t>https://www.csiro.au/en/maps/hydrogen-projects#markerName=ScaleH2</t>
  </si>
  <si>
    <t>Port Kembla Hydrogen Hub</t>
  </si>
  <si>
    <t>New South Wales Government</t>
  </si>
  <si>
    <t>https://research.csiro.au/hyresource/port-kembla-hydrogen-hub/</t>
  </si>
  <si>
    <t>Illawarra Hydrogen Technology Hub</t>
  </si>
  <si>
    <t>also will supply hydrogen to BOC's existing hydrogen customers</t>
  </si>
  <si>
    <t>https://research.csiro.au/hyresource/illawarra-hydrogen-technology-hub/</t>
  </si>
  <si>
    <t>Hunter Hydrogen Hub</t>
  </si>
  <si>
    <t>https://research.csiro.au/hyresource/hunter-hydrogen-hub/</t>
  </si>
  <si>
    <t>Hunter Valley Hydrogen Hub</t>
  </si>
  <si>
    <t>https://research.csiro.au/hyresource/hunter-valley-hydrogen-hub/</t>
  </si>
  <si>
    <t>Manilla Solar Phase 2 Hydrogen Energy Storage System</t>
  </si>
  <si>
    <t>a hybrid battery storage system of l-ion batteries and a hydrogen storage medium</t>
  </si>
  <si>
    <t>Microgrid storage</t>
  </si>
  <si>
    <t>Manilla Community Renewable Energy Inc.</t>
  </si>
  <si>
    <t>Good Earth Green Hydrogen and Ammonia Project</t>
  </si>
  <si>
    <t>Moree</t>
  </si>
  <si>
    <t>Keytah agricultural property is a large cotton producing property that needs nitrogen based fertilizers</t>
  </si>
  <si>
    <t>Hiringa Energy</t>
  </si>
  <si>
    <t>https://research.csiro.au/hyresource/good-earth-green-hydrogen-and-ammonia-project/</t>
  </si>
  <si>
    <t>Goondiwindi Hydrogen</t>
  </si>
  <si>
    <t>Goondiwindi</t>
  </si>
  <si>
    <t>want to install production facility at wastewater treatment plant and to sell hydrogen but use oxygen to improve efficiency of wastewater plant</t>
  </si>
  <si>
    <t>Goondiwindi Regional Council</t>
  </si>
  <si>
    <t>https://research.csiro.au/hyresource/goondiwindi-hydrogen/</t>
  </si>
  <si>
    <t>Future Energy and Hydrogen Precinct</t>
  </si>
  <si>
    <t>want to investigate feeding hydrogen into Swanbank E power station (385 MW)</t>
  </si>
  <si>
    <t>CleanCo</t>
  </si>
  <si>
    <t>https://research.csiro.au/hyresource/future-energy-and-hydrogen-precinct/</t>
  </si>
  <si>
    <t>Transdev Mobility Trial</t>
  </si>
  <si>
    <t>2 fuel cell buses</t>
  </si>
  <si>
    <t>Transdev</t>
  </si>
  <si>
    <t>https://research.csiro.au/hyresource/transdev-mobility-trial/</t>
  </si>
  <si>
    <t>Gibson Island Green Ammonia Project</t>
  </si>
  <si>
    <t>want to convert existing ammonia plant to take 400,000 tonnes per annum of hydrogen</t>
  </si>
  <si>
    <t>FID in 2023</t>
  </si>
  <si>
    <t>https://research.csiro.au/hyresource/gibson-island-green-ammonia-project/</t>
  </si>
  <si>
    <t>Kogan Creek Hydrogen-Ready Gas Peaking Power Station</t>
  </si>
  <si>
    <t>investment in a NEW 200 MW hydrogen-ready gas peaking power station at Kogan Creek</t>
  </si>
  <si>
    <t>Queensland government</t>
  </si>
  <si>
    <t>https://research.csiro.au/hyresource/kogan-creek-hydrogen-ready-gas-peaking-power-station/</t>
  </si>
  <si>
    <t>Daintree Microgrid Project</t>
  </si>
  <si>
    <t>Cape Tribulation</t>
  </si>
  <si>
    <t>Daintree Rainforest region has nor limited main electricity supply</t>
  </si>
  <si>
    <t>Volt Advisory Group</t>
  </si>
  <si>
    <t>https://research.csiro.au/hyresource/daintree-microgrid-project/</t>
  </si>
  <si>
    <t>Green Hydrogen Export Project</t>
  </si>
  <si>
    <t>https://research.csiro.au/hyresource/green-hydrogen-export-project/</t>
  </si>
  <si>
    <t>Hydrogen Mobility Project (Aurizon)</t>
  </si>
  <si>
    <t>trialing up to 4 hydrogen fuel cell electric trucks in its fleet and refueling stations</t>
  </si>
  <si>
    <t>Aurizon</t>
  </si>
  <si>
    <t>https://research.csiro.au/hyresource/hydrogen-mobility-project/</t>
  </si>
  <si>
    <t>Edify Green Hydrogen Project</t>
  </si>
  <si>
    <t>Manton</t>
  </si>
  <si>
    <t>Export and Domestic</t>
  </si>
  <si>
    <t>project has received development approval for a facility to be constructed in stages</t>
  </si>
  <si>
    <t>Advanced Development</t>
  </si>
  <si>
    <t>Edify Energy</t>
  </si>
  <si>
    <t>https://research.csiro.au/hyresource/edify-green-hydrogen-project/</t>
  </si>
  <si>
    <t>Han-Ho H2 Hub Feasibility Study</t>
  </si>
  <si>
    <t>Collinsville</t>
  </si>
  <si>
    <t>feasbility study investigating for ammonia supply to South Korea</t>
  </si>
  <si>
    <t>Ark Energy Corporation Pty Ltd</t>
  </si>
  <si>
    <t>https://research.csiro.au/hyresource/han-ho-h2-hub-feasibility-study/</t>
  </si>
  <si>
    <t>Hay Point Hydrogen Export</t>
  </si>
  <si>
    <t>Hay Point</t>
  </si>
  <si>
    <t>investigating a proposal for a renwable-based hydrogen production, storage, and export facility</t>
  </si>
  <si>
    <t>Dalrymple Bay Infrastructure Ltd, North Queensland Bulk Ports Corporation, Brookfield Group, ITOCHU Corporation</t>
  </si>
  <si>
    <t>https://research.csiro.au/hyresource/hay-point-hydrogen-export/</t>
  </si>
  <si>
    <t>Emerald Coaches Green Hydrogen Mobility Project</t>
  </si>
  <si>
    <t>Emerald</t>
  </si>
  <si>
    <t>investigating a full fleet of 120 vehicles to transition from diesel fuel - regional transport service</t>
  </si>
  <si>
    <t>Emerald Coaches</t>
  </si>
  <si>
    <t>https://www.csiro.au/en/maps/hydrogen-projects#markerName=Emerald%20Coaches%20Green%20Hydrogen%20Mobility%20Project</t>
  </si>
  <si>
    <t>Hydrogen Powered Trains Feasiblity Study</t>
  </si>
  <si>
    <t>assessing the introduction of hydrogen-powered trains for bulk freight, with mining industry application in Queensland</t>
  </si>
  <si>
    <t>Train</t>
  </si>
  <si>
    <t>Pacific Solar Hydrogen Project</t>
  </si>
  <si>
    <t>Biloela</t>
  </si>
  <si>
    <t>Austrom has secured the rights to 4 renewable sites covering 6,000 hectares near Callide</t>
  </si>
  <si>
    <t>Austrom Hydrogen</t>
  </si>
  <si>
    <t>https://research.csiro.au/hyresource/pacific-solar-hydrogen-project/</t>
  </si>
  <si>
    <t>SeaLink Hydrogen Ferry</t>
  </si>
  <si>
    <t>SeaLink plans to design, construct and operate an Australian Maritime Safety Authority approved fuel cell passenger ferry</t>
  </si>
  <si>
    <t>SeaLink Gladstone</t>
  </si>
  <si>
    <t>https://research.csiro.au/hyresource/sealink-hydrogen-ferry/</t>
  </si>
  <si>
    <t>Origin and ENEOS Hydrogen Partnership</t>
  </si>
  <si>
    <t>focus on producing methylcyclohexane</t>
  </si>
  <si>
    <t>Origin and ENEOS</t>
  </si>
  <si>
    <t>https://research.csiro.au/hyresource/origin-and-eneos/</t>
  </si>
  <si>
    <t>Central Queensland Hydrogen Project</t>
  </si>
  <si>
    <t>Aldoga</t>
  </si>
  <si>
    <t>focus on exporting liuqid hydrogen to Japan</t>
  </si>
  <si>
    <t>Stanwell Corpation Limited, Iwatani, Marubeni, Kansai Electric, Keppel Infrastructure</t>
  </si>
  <si>
    <t>https://www.csiro.au/en/maps/hydrogen-projects#markerName=Central%20Queensland%20Hydrogen%20Project</t>
  </si>
  <si>
    <t>H2-HubTM Gladstone</t>
  </si>
  <si>
    <t>H2U have purchased a 171 hectare site at Yarwun; Korea East West Power has signed MoU with H2U to develop value chain for green energy exports</t>
  </si>
  <si>
    <t>H2U</t>
  </si>
  <si>
    <t>https://research.csiro.au/hyresource/h2-hub-gladstone/</t>
  </si>
  <si>
    <t>Bio-Hydrogen Demo Plant</t>
  </si>
  <si>
    <t>steam-over-iron chemical looping</t>
  </si>
  <si>
    <t>the bio hydrogen would be used in the refining process, with an yexcess used to generate electricity to power the refinery</t>
  </si>
  <si>
    <t>Southern Oil Refinery</t>
  </si>
  <si>
    <t>https://research.csiro.au/hyresource/bio-hydrogen-demonstration-plant/</t>
  </si>
  <si>
    <t>Green Methanol Feasibility Study</t>
  </si>
  <si>
    <t>Feasbility study will assess the technical and economic viability of constructing a green methanol plant based on renwables-based hydrogen and co2 captured from cement Australia's cement factory (100,000 tonnes of methanol)</t>
  </si>
  <si>
    <t>Cement Australia</t>
  </si>
  <si>
    <t>https://research.csiro.au/hyresource/green-methanol-feasibility-study/</t>
  </si>
  <si>
    <t>Utilitas-ReCarbon Organic Waste to green hydrogen technology</t>
  </si>
  <si>
    <t>East Bundaberg Wastewater</t>
  </si>
  <si>
    <t>Plasma dry-reforming of biogas</t>
  </si>
  <si>
    <t>Bionergy developer Utilitas is acquiring the retired East Budaberg Wastewater Treatment Plant for repurposing into an industrial park with a focus on hydrogen production; hydrogen supplied to a refulling station for up to 10 waste collection trucks</t>
  </si>
  <si>
    <t>Utilitas Group</t>
  </si>
  <si>
    <t>https://research.csiro.au/hyresource/utilitas-recarbon-organic-waste-to-green-hydrogen-technology/</t>
  </si>
  <si>
    <t>H2One - Tokyu Construction Institute of Technology</t>
  </si>
  <si>
    <t>Education Building</t>
  </si>
  <si>
    <t>Shibuya</t>
  </si>
  <si>
    <t>https://www.global.toshiba/ww/news/corporate/2017/06/pr2001.html</t>
  </si>
  <si>
    <t>H2One - Toranomon Hills Business Tower</t>
  </si>
  <si>
    <t>Minato City</t>
  </si>
  <si>
    <t>Office Building</t>
  </si>
  <si>
    <t>Toranomon Hills Business Tower</t>
  </si>
  <si>
    <t>https://www.global.toshiba/ww/news/energy/2020/06/news-20200610-01.html</t>
  </si>
  <si>
    <t xml:space="preserve">H2One - Toyama City Environment Center </t>
  </si>
  <si>
    <t>Government Building</t>
  </si>
  <si>
    <t>Toyama City Environment Center</t>
  </si>
  <si>
    <t>https://www.global.toshiba/ww/news/energy/2020/01/news-20200123-01.html</t>
  </si>
  <si>
    <t>H2One - Tsuruga City</t>
  </si>
  <si>
    <t>Tsuruga City</t>
  </si>
  <si>
    <t>Hydrogen Fuel Cell Vehicles</t>
  </si>
  <si>
    <t>https://www.global.toshiba/ww/news/energy/2020/11/news-20201105-01.html</t>
  </si>
  <si>
    <t>H2PLAZA</t>
  </si>
  <si>
    <t>Other Electrolysis</t>
  </si>
  <si>
    <t>Forklift Charging</t>
  </si>
  <si>
    <t>Takahama City</t>
  </si>
  <si>
    <t>https://www.global.toshiba/ww/news/energy/2019/03/news-20190322-01.html</t>
  </si>
  <si>
    <t>Hydrogen Application Center</t>
  </si>
  <si>
    <t>Fuchu</t>
  </si>
  <si>
    <t>https://www.global.toshiba/ww/news/corporate/2017/07/pr1301.html</t>
  </si>
  <si>
    <t>H2One - Asahi Breweries</t>
  </si>
  <si>
    <t>Brewery</t>
  </si>
  <si>
    <t>https://www.global.toshiba/ww/news/energy/2019/06/news-20190614-01.html</t>
  </si>
  <si>
    <t>Kyushu</t>
  </si>
  <si>
    <t>Hotel</t>
  </si>
  <si>
    <t>https://www.nsenergybusiness.com/news/newstoshiba-installs-h2one-autonomous-energy-supply-system-at-kyushu-resort-hotel-150316-4840558/</t>
  </si>
  <si>
    <t>H2One - Yokohoma Cargo Center</t>
  </si>
  <si>
    <t>Cargo Port</t>
  </si>
  <si>
    <t>https://www.global.toshiba/ww/news/corporate/2016/04/pr2101.html</t>
  </si>
  <si>
    <t>Koshijihara Plant</t>
  </si>
  <si>
    <t>Methanation Plant</t>
  </si>
  <si>
    <t>ITM Energy</t>
  </si>
  <si>
    <t>https://hydrogen-central.com/itm-power-electrolyzer-sumitomo-corporation/</t>
  </si>
  <si>
    <t>Hokkaido Wind - Hydrogen Plant</t>
  </si>
  <si>
    <t>Ishikari</t>
  </si>
  <si>
    <t>Hokkaido Electric Power</t>
  </si>
  <si>
    <t>https://asia.nikkei.com/Business/Energy/Offshore-wind-to-power-Japan-s-biggest-green-hydrogen-plant2</t>
  </si>
  <si>
    <t>Ways2H - Sewage-to-Hydrogen</t>
  </si>
  <si>
    <t>Sewage</t>
  </si>
  <si>
    <t>Vehicles</t>
  </si>
  <si>
    <t>Ways2H</t>
  </si>
  <si>
    <t>https://www.chemengonline.com/sewage-to-hydrogen-plant-reaches-completion-in-tokyo/#:~:text=The%20waste%2Dto%2Dhydrogen%20facility,fuel%2Dcell%20e%2Dbikes.</t>
  </si>
  <si>
    <t>Hazira Hydrogen Unit</t>
  </si>
  <si>
    <t>Solar and Battery</t>
  </si>
  <si>
    <t>25,00,00,000 INR</t>
  </si>
  <si>
    <t>Manufacturing</t>
  </si>
  <si>
    <t>L&amp;T</t>
  </si>
  <si>
    <t>https://economictimes.indiatimes.com/industry/renewables/lt-commissions-its-first-green-hydrogen-plant-at-hazira/articleshow/93678715.cms?from=mdr</t>
  </si>
  <si>
    <t>Centre of Fuel Cell Technology</t>
  </si>
  <si>
    <t>Chennai</t>
  </si>
  <si>
    <t>PEM</t>
  </si>
  <si>
    <t>Government of India</t>
  </si>
  <si>
    <t>https://www.arci.res.in/centres-about-fuel-cell-technology</t>
  </si>
  <si>
    <t>Savli Wind-Hydrogen Demo</t>
  </si>
  <si>
    <t>Dahej Reliance Unit</t>
  </si>
  <si>
    <t>Gwalpahari Unit</t>
  </si>
  <si>
    <t>SmartFuel Hydrogen</t>
  </si>
  <si>
    <t>MCRC Bio-Hydrogen</t>
  </si>
  <si>
    <t>Sonam Nurboo Hospital</t>
  </si>
  <si>
    <t>Mathura Refinery</t>
  </si>
  <si>
    <t>https://www.thehindubusinessline.com/companies/indian-oil-to-build-indias-first-green-hydrogen-plant-at-mathura-refinery/article35483935.ece</t>
  </si>
  <si>
    <t>ACME Rajasthan</t>
  </si>
  <si>
    <t>Bikaner</t>
  </si>
  <si>
    <t>Ammonia Production</t>
  </si>
  <si>
    <t>ACME</t>
  </si>
  <si>
    <t>https://www.acme-ghc.com/india-green-hydrogen-project/rajasthan</t>
  </si>
  <si>
    <t>https://www.thehindubusinessline.com/companies/bharat-oman-refineries-amalgamates-with-bpcl/article65589389.ece</t>
  </si>
  <si>
    <t>Bharat Petroleum Cochin</t>
  </si>
  <si>
    <t>http://www.bharatpetroleum.in/our-businesses/refineries/kochi-refinery/irep.aspx</t>
  </si>
  <si>
    <t>Bharat Petroleum Mahul</t>
  </si>
  <si>
    <t>https://www.reuters.com/business/energy/indias-bpcl-halves-crude-runs-mumbai-refinery-plans-repairs-other-plants-2022-06-22/</t>
  </si>
  <si>
    <t>Chennai Petroleum</t>
  </si>
  <si>
    <t>https://timesofindia.indiatimes.com/city/chennai/iit-madras-develops-eco-friendly-way-to-produce-hydrogen-fuel-from-seawater/articleshow/73294967.cms</t>
  </si>
  <si>
    <t>Industries</t>
  </si>
  <si>
    <t>https://www.offshore-technology.com/marketdata/nagapattinam-ii-refinery-coking-india/</t>
  </si>
  <si>
    <t>Grasim Industries Jagdispur</t>
  </si>
  <si>
    <t>UK</t>
  </si>
  <si>
    <t>(All)</t>
  </si>
  <si>
    <t>Sum of Hydrogen (t/yr)</t>
  </si>
  <si>
    <t>Sum of Commissioning Year</t>
  </si>
  <si>
    <t>R</t>
  </si>
  <si>
    <t>Under Constuction or FID</t>
  </si>
  <si>
    <t>Electric Arc Furnace</t>
  </si>
  <si>
    <t>BF, Blast Oxygen Furnace</t>
  </si>
  <si>
    <t>Caltex</t>
  </si>
  <si>
    <t> -37.847216, 144.930100</t>
  </si>
  <si>
    <t>The Port Kembla terminal would connect to the existing Eastern Gas Pipeline via the 12 kilometre Port Kembla to EGP Gas Pipeline.</t>
  </si>
  <si>
    <t>Australia Pacific LNG Terminal is an LNG terminal in Curtis Island in Queensland, Australia on the edge of the Great Barrier Reef.[5] Curtis Island's three plants (Australia Pacific LNG Terminal, Gladstone LNG Terminal, Queensland Curtis LNG Terminal) are worth $70 billion.[6]</t>
  </si>
  <si>
    <t>Announced</t>
  </si>
  <si>
    <t>Direct Reduction of Iron, Electric Arc Furnace</t>
  </si>
  <si>
    <t>Queensland Curtis LNG Terminal is an LNG terminal on Curtis Island in Queensland, Australia on the edge of the Great Barrier Reef.[4] Curtis Island's three plants Australia Pacific LNG Terminal, Gladstone LNG Terminal, Queensland Curtis LNG Terminal are worth $70 billion.</t>
  </si>
  <si>
    <t>Gladstone LNG Terminal is an LNG terminal on Curtis Island in Queensland, Australia on the edge of the Great Barrier Reef.[2] It converts coal-seam gas into LNG.[3] Curtis Island's three plants Australia Pacific LNG Terminal, Gladstone LNG Terminal, Queensland Curtis LNG Terminal are worth $70 billion.[4]</t>
  </si>
  <si>
    <t>The Darwin LNG Terminal is an onshore LNG terminal in Northern Territory, Australia.[6] It has one liquefaction and purification train, a 311 mile (500 kilometre) offshore facility, and a subsea pipeline from Bayu-Undan field in the East Timor Sea to Darwin in Australia's Northern Territory.[7]</t>
  </si>
  <si>
    <t>Prelude Floating LNG Terminal is an offshore LNG terminal under development in Western Australia, Australia.[5] Its close neighbor is Inpex-owned Ichthys LNG Terminal.[6]</t>
  </si>
  <si>
    <t>Ichthys FLNG Terminal is an LNG terminal in Western Australia, Australia.[8] Ichthys FLNG is named after the Ichthys offshore gas and condensate field in the Browse Basin in northwestern Australia, from which gas is piped through the Ichthys Gas Pipeline to the terminal.</t>
  </si>
  <si>
    <t>Gorgon LNG Terminal is an LNG terminal in Western Australia, Australia.[4] The US$55 billion LNG terminal is a part of the Gorgon gas project, which includes the Greater Gorgon gas fields, subsea gas gathering infrastructure, and the Gorgon LNG Terminal.[5] A proposed Stage Two of the Gorgon gas project would upgrade existing subsea gas gathering to maintain supply to existing LNG Trains. In 2017, the proposed Stage Two was moved into the Front End Engineering and Design (FEED) stage.[6]</t>
  </si>
  <si>
    <t>A second train with 5-mtpa capacity has been proposed. In January 2019, Woodside announced that it planned to achieve a final investment decision (FID) by 2020 and commission the expansion in 2024.[14] Later, the beginning of operations at the plant were pushed back until 2026.[5]</t>
  </si>
  <si>
    <t>Australian Pivot</t>
  </si>
  <si>
    <t>Projects</t>
  </si>
  <si>
    <t>National Strategy</t>
  </si>
  <si>
    <t>Hydrogen Production</t>
  </si>
  <si>
    <t>LNG Facilities</t>
  </si>
  <si>
    <t>Iron &amp; Steel Manufacturing</t>
  </si>
  <si>
    <t>Natural Gas Pipelines</t>
  </si>
  <si>
    <t>(Multiple Items)</t>
  </si>
  <si>
    <t>Sum of Hydrogen Production (kg/day)</t>
  </si>
  <si>
    <t>Sum of Capacity (tonnes per year)</t>
  </si>
  <si>
    <t>Column Labels</t>
  </si>
  <si>
    <t>Sum of Tonnes per Annum Steel</t>
  </si>
  <si>
    <t>Sum of Capacity (bpd)</t>
  </si>
  <si>
    <t>Sum of CapacityBOEd</t>
  </si>
  <si>
    <t>(blank)</t>
  </si>
  <si>
    <t>Kilograms</t>
  </si>
  <si>
    <t>1 SCF gas</t>
  </si>
  <si>
    <t>24+G592:G1369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</si>
</sst>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_(* #,##0_);_(* \(#,##0\);_(* &quot;-&quot;??_);_(@_)"/>
    <numFmt numFmtId="165" formatCode="[$€-2]\ #,##0;[Red]\-[$€-2]\ #,##0"/>
    <numFmt numFmtId="166" formatCode="&quot;$&quot;#,##0.00"/>
    <numFmt numFmtId="167" formatCode="_(&quot;$&quot;* #,##0_);_(&quot;$&quot;* \(#,##0\);_(&quot;$&quot;* &quot;-&quot;??_);_(@_)"/>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8"/>
      <name val="Calibri"/>
      <family val="2"/>
      <scheme val="minor"/>
    </font>
    <font>
      <vertAlign val="superscript"/>
      <sz val="7"/>
      <color theme="1"/>
      <name val="Arial"/>
      <family val="2"/>
    </font>
    <font>
      <u/>
      <sz val="11"/>
      <color theme="10"/>
      <name val="Calibri"/>
      <family val="2"/>
      <scheme val="minor"/>
    </font>
    <font>
      <b/>
      <sz val="11"/>
      <color theme="1"/>
      <name val="Calibri"/>
      <family val="2"/>
      <scheme val="minor"/>
    </font>
    <font>
      <b/>
      <sz val="16"/>
      <color theme="1"/>
      <name val="Calibri"/>
      <family val="2"/>
      <scheme val="minor"/>
    </font>
    <font>
      <sz val="11"/>
      <color rgb="FF444444"/>
      <name val="Calibri"/>
      <family val="2"/>
      <scheme val="minor"/>
    </font>
    <font>
      <sz val="11"/>
      <color rgb="FF212529"/>
      <name val="Calibri"/>
      <family val="2"/>
      <scheme val="minor"/>
    </font>
    <font>
      <b/>
      <sz val="11"/>
      <color rgb="FF212529"/>
      <name val="Calibri"/>
      <family val="2"/>
      <scheme val="minor"/>
    </font>
    <font>
      <sz val="11"/>
      <color rgb="FF3498DB"/>
      <name val="Calibri"/>
      <family val="2"/>
      <scheme val="minor"/>
    </font>
    <font>
      <sz val="10"/>
      <name val="Arial"/>
      <family val="2"/>
    </font>
    <font>
      <b/>
      <sz val="11"/>
      <color theme="0"/>
      <name val="Calibri"/>
      <family val="2"/>
      <scheme val="minor"/>
    </font>
    <font>
      <sz val="11"/>
      <name val="Calibri"/>
      <family val="2"/>
      <scheme val="minor"/>
    </font>
    <font>
      <sz val="36"/>
      <color theme="0"/>
      <name val="Calibri"/>
      <family val="2"/>
      <scheme val="minor"/>
    </font>
    <font>
      <b/>
      <sz val="24"/>
      <color theme="1"/>
      <name val="Calibri"/>
      <family val="2"/>
      <scheme val="minor"/>
    </font>
    <font>
      <b/>
      <u/>
      <sz val="11"/>
      <color theme="1"/>
      <name val="Calibri"/>
      <family val="2"/>
      <scheme val="minor"/>
    </font>
    <font>
      <sz val="10"/>
      <name val="Arial"/>
      <family val="2"/>
    </font>
    <font>
      <sz val="10"/>
      <color rgb="FF000000"/>
      <name val="Arial"/>
      <family val="2"/>
    </font>
    <font>
      <sz val="10"/>
      <color theme="1"/>
      <name val="Arial"/>
      <family val="2"/>
    </font>
    <font>
      <sz val="10"/>
      <color rgb="FF000000"/>
      <name val="Calibri"/>
      <family val="2"/>
      <scheme val="minor"/>
    </font>
    <font>
      <vertAlign val="subscript"/>
      <sz val="7"/>
      <color theme="1"/>
      <name val="Arial"/>
      <family val="2"/>
    </font>
    <font>
      <b/>
      <sz val="7"/>
      <color theme="1"/>
      <name val="Arial"/>
      <family val="2"/>
      <charset val="238"/>
    </font>
    <font>
      <b/>
      <sz val="7"/>
      <color theme="1"/>
      <name val="Arial"/>
      <family val="2"/>
    </font>
    <font>
      <sz val="7"/>
      <color theme="1"/>
      <name val="Arial"/>
      <family val="2"/>
    </font>
    <font>
      <sz val="10"/>
      <color theme="1"/>
      <name val="Calibri"/>
      <family val="2"/>
      <scheme val="minor"/>
    </font>
    <font>
      <sz val="12"/>
      <color theme="1"/>
      <name val="Calibri"/>
      <family val="2"/>
      <scheme val="minor"/>
    </font>
    <font>
      <sz val="11"/>
      <color rgb="FF000000"/>
      <name val="Calibri"/>
      <charset val="1"/>
    </font>
    <font>
      <sz val="11"/>
      <color rgb="FF000000"/>
      <name val="Calibri"/>
      <family val="2"/>
    </font>
  </fonts>
  <fills count="10">
    <fill>
      <patternFill patternType="none"/>
    </fill>
    <fill>
      <patternFill patternType="gray125"/>
    </fill>
    <fill>
      <patternFill patternType="solid">
        <fgColor rgb="FFFFFFFF"/>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rgb="FFFFFFFF"/>
        <bgColor rgb="FFFFFFFF"/>
      </patternFill>
    </fill>
    <fill>
      <patternFill patternType="solid">
        <fgColor rgb="FFFFFF00"/>
        <bgColor indexed="64"/>
      </patternFill>
    </fill>
  </fills>
  <borders count="12">
    <border>
      <left/>
      <right/>
      <top/>
      <bottom/>
      <diagonal/>
    </border>
    <border>
      <left/>
      <right/>
      <top/>
      <bottom style="thick">
        <color rgb="FF8EAADB"/>
      </bottom>
      <diagonal/>
    </border>
    <border>
      <left style="thin">
        <color indexed="64"/>
      </left>
      <right style="thin">
        <color indexed="64"/>
      </right>
      <top style="thin">
        <color indexed="64"/>
      </top>
      <bottom style="thin">
        <color indexed="64"/>
      </bottom>
      <diagonal/>
    </border>
    <border>
      <left/>
      <right/>
      <top style="thin">
        <color theme="4"/>
      </top>
      <bottom/>
      <diagonal/>
    </border>
    <border>
      <left/>
      <right/>
      <top style="thin">
        <color theme="1"/>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style="thin">
        <color theme="4"/>
      </top>
      <bottom style="thin">
        <color theme="4"/>
      </bottom>
      <diagonal/>
    </border>
    <border>
      <left/>
      <right/>
      <top style="thin">
        <color rgb="FF7F7F7F"/>
      </top>
      <bottom style="thin">
        <color rgb="FF7F7F7F"/>
      </bottom>
      <diagonal/>
    </border>
    <border>
      <left/>
      <right/>
      <top style="thin">
        <color rgb="FF7F7F7F"/>
      </top>
      <bottom/>
      <diagonal/>
    </border>
    <border>
      <left/>
      <right/>
      <top/>
      <bottom style="thin">
        <color rgb="FF7F7F7F"/>
      </bottom>
      <diagonal/>
    </border>
    <border>
      <left/>
      <right/>
      <top style="thin">
        <color rgb="FF707C8A"/>
      </top>
      <bottom style="thin">
        <color rgb="FF707C8A"/>
      </bottom>
      <diagonal/>
    </border>
  </borders>
  <cellStyleXfs count="8">
    <xf numFmtId="0" fontId="0" fillId="0" borderId="0"/>
    <xf numFmtId="43"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0" fontId="18" fillId="0" borderId="0" applyNumberFormat="0" applyFill="0" applyBorder="0" applyAlignment="0" applyProtection="0"/>
    <xf numFmtId="0" fontId="12" fillId="0" borderId="0" applyNumberFormat="0" applyFill="0" applyBorder="0" applyAlignment="0" applyProtection="0"/>
    <xf numFmtId="0" fontId="23" fillId="0" borderId="8" applyNumberFormat="0">
      <alignment horizontal="left" vertical="center"/>
    </xf>
    <xf numFmtId="0" fontId="23" fillId="0" borderId="11" applyNumberFormat="0">
      <alignment horizontal="left" vertical="center"/>
    </xf>
  </cellStyleXfs>
  <cellXfs count="115">
    <xf numFmtId="0" fontId="0" fillId="0" borderId="0" xfId="0"/>
    <xf numFmtId="0" fontId="2" fillId="0" borderId="0" xfId="0" applyFont="1"/>
    <xf numFmtId="0" fontId="2" fillId="0" borderId="0" xfId="0" applyFont="1" applyAlignment="1">
      <alignment vertical="center"/>
    </xf>
    <xf numFmtId="0" fontId="0" fillId="0" borderId="0" xfId="0" applyAlignment="1">
      <alignment wrapText="1"/>
    </xf>
    <xf numFmtId="164" fontId="0" fillId="0" borderId="0" xfId="1" applyNumberFormat="1" applyFont="1"/>
    <xf numFmtId="0" fontId="0" fillId="0" borderId="2" xfId="0"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3" fontId="0" fillId="0" borderId="0" xfId="0" applyNumberFormat="1"/>
    <xf numFmtId="1" fontId="0" fillId="0" borderId="0" xfId="0" applyNumberFormat="1"/>
    <xf numFmtId="0" fontId="0" fillId="0" borderId="2" xfId="0" applyBorder="1" applyAlignment="1">
      <alignment horizontal="left" vertical="top" wrapText="1"/>
    </xf>
    <xf numFmtId="164" fontId="0" fillId="0" borderId="0" xfId="0" applyNumberFormat="1"/>
    <xf numFmtId="0" fontId="0" fillId="0" borderId="0" xfId="0" applyAlignment="1">
      <alignment vertical="top"/>
    </xf>
    <xf numFmtId="0" fontId="5" fillId="0" borderId="0" xfId="2"/>
    <xf numFmtId="0" fontId="0" fillId="0" borderId="0" xfId="0" applyAlignment="1">
      <alignment horizontal="left" wrapText="1"/>
    </xf>
    <xf numFmtId="0" fontId="0" fillId="0" borderId="0" xfId="0" pivotButton="1"/>
    <xf numFmtId="0" fontId="0" fillId="0" borderId="0" xfId="0" applyAlignment="1">
      <alignment horizontal="left"/>
    </xf>
    <xf numFmtId="0" fontId="0" fillId="0" borderId="0" xfId="0" pivotButton="1" applyAlignment="1">
      <alignment wrapText="1"/>
    </xf>
    <xf numFmtId="0" fontId="6" fillId="0" borderId="0" xfId="0" applyFont="1" applyAlignment="1">
      <alignment wrapText="1"/>
    </xf>
    <xf numFmtId="0" fontId="7" fillId="0" borderId="0" xfId="0" applyFont="1" applyAlignment="1">
      <alignment wrapText="1"/>
    </xf>
    <xf numFmtId="17" fontId="0" fillId="0" borderId="0" xfId="0" applyNumberFormat="1"/>
    <xf numFmtId="6" fontId="0" fillId="0" borderId="0" xfId="0" applyNumberFormat="1"/>
    <xf numFmtId="0" fontId="8" fillId="0" borderId="0" xfId="0" applyFont="1"/>
    <xf numFmtId="0" fontId="5" fillId="0" borderId="0" xfId="2" applyAlignment="1">
      <alignment horizontal="left"/>
    </xf>
    <xf numFmtId="0" fontId="9" fillId="0" borderId="0" xfId="0" applyFont="1"/>
    <xf numFmtId="166" fontId="0" fillId="0" borderId="0" xfId="1" applyNumberFormat="1" applyFont="1"/>
    <xf numFmtId="167" fontId="0" fillId="0" borderId="0" xfId="3" applyNumberFormat="1" applyFont="1"/>
    <xf numFmtId="0" fontId="6" fillId="0" borderId="0" xfId="0" applyFont="1"/>
    <xf numFmtId="0" fontId="10" fillId="0" borderId="0" xfId="0" applyFont="1"/>
    <xf numFmtId="0" fontId="1" fillId="0" borderId="0" xfId="2" applyFont="1"/>
    <xf numFmtId="0" fontId="0" fillId="0" borderId="3" xfId="0" applyBorder="1"/>
    <xf numFmtId="0" fontId="0" fillId="0" borderId="0" xfId="0" applyAlignment="1">
      <alignment horizontal="left" indent="1"/>
    </xf>
    <xf numFmtId="0" fontId="5" fillId="0" borderId="0" xfId="2" applyFill="1"/>
    <xf numFmtId="43" fontId="0" fillId="0" borderId="0" xfId="1" applyFont="1" applyFill="1" applyAlignment="1">
      <alignment wrapText="1"/>
    </xf>
    <xf numFmtId="0" fontId="1" fillId="0" borderId="0" xfId="2" applyFont="1" applyFill="1"/>
    <xf numFmtId="0" fontId="12" fillId="0" borderId="0" xfId="0" applyFont="1"/>
    <xf numFmtId="165" fontId="0" fillId="0" borderId="0" xfId="0" applyNumberFormat="1"/>
    <xf numFmtId="44" fontId="0" fillId="0" borderId="0" xfId="3" applyFont="1" applyFill="1"/>
    <xf numFmtId="164" fontId="0" fillId="0" borderId="0" xfId="1" applyNumberFormat="1" applyFont="1" applyFill="1"/>
    <xf numFmtId="0" fontId="0" fillId="0" borderId="4" xfId="0" applyBorder="1" applyAlignment="1">
      <alignment horizontal="center" vertical="center" wrapText="1"/>
    </xf>
    <xf numFmtId="0" fontId="0" fillId="0" borderId="0" xfId="0" applyAlignment="1">
      <alignment horizontal="center" vertical="center" wrapText="1"/>
    </xf>
    <xf numFmtId="167" fontId="0" fillId="0" borderId="0" xfId="3" applyNumberFormat="1" applyFont="1" applyFill="1"/>
    <xf numFmtId="4" fontId="0" fillId="0" borderId="0" xfId="0" applyNumberFormat="1"/>
    <xf numFmtId="0" fontId="16" fillId="3" borderId="0" xfId="0" applyFont="1" applyFill="1"/>
    <xf numFmtId="0" fontId="0" fillId="3" borderId="0" xfId="0" applyFill="1"/>
    <xf numFmtId="0" fontId="0" fillId="5" borderId="0" xfId="0" applyFill="1"/>
    <xf numFmtId="0" fontId="14" fillId="5" borderId="0" xfId="0" applyFont="1" applyFill="1"/>
    <xf numFmtId="0" fontId="0" fillId="4" borderId="0" xfId="0" applyFill="1"/>
    <xf numFmtId="0" fontId="13" fillId="6" borderId="5" xfId="0" applyFont="1" applyFill="1" applyBorder="1"/>
    <xf numFmtId="0" fontId="13" fillId="6" borderId="6" xfId="0" applyFont="1" applyFill="1" applyBorder="1"/>
    <xf numFmtId="0" fontId="0" fillId="7" borderId="5" xfId="0" applyFill="1" applyBorder="1"/>
    <xf numFmtId="0" fontId="0" fillId="7" borderId="6" xfId="0" applyFill="1" applyBorder="1"/>
    <xf numFmtId="0" fontId="0" fillId="0" borderId="5" xfId="0" applyBorder="1"/>
    <xf numFmtId="0" fontId="0" fillId="0" borderId="6" xfId="0" applyBorder="1"/>
    <xf numFmtId="0" fontId="0" fillId="0" borderId="0" xfId="0" applyAlignment="1">
      <alignment horizontal="left" indent="2"/>
    </xf>
    <xf numFmtId="0" fontId="17" fillId="0" borderId="0" xfId="0" applyFont="1"/>
    <xf numFmtId="0" fontId="18" fillId="0" borderId="0" xfId="4" applyFill="1" applyBorder="1" applyAlignment="1" applyProtection="1"/>
    <xf numFmtId="0" fontId="2" fillId="2" borderId="0" xfId="0" applyFont="1" applyFill="1" applyAlignment="1">
      <alignment vertical="center"/>
    </xf>
    <xf numFmtId="0" fontId="0" fillId="0" borderId="1" xfId="0" applyBorder="1"/>
    <xf numFmtId="0" fontId="18" fillId="0" borderId="0" xfId="4" applyFill="1" applyAlignment="1" applyProtection="1"/>
    <xf numFmtId="0" fontId="19" fillId="0" borderId="0" xfId="0" applyFont="1" applyAlignment="1">
      <alignment horizontal="left"/>
    </xf>
    <xf numFmtId="49" fontId="19" fillId="0" borderId="0" xfId="0" applyNumberFormat="1" applyFont="1" applyAlignment="1">
      <alignment horizontal="left"/>
    </xf>
    <xf numFmtId="166" fontId="19" fillId="0" borderId="0" xfId="0" applyNumberFormat="1" applyFont="1" applyAlignment="1">
      <alignment horizontal="left"/>
    </xf>
    <xf numFmtId="0" fontId="20" fillId="8" borderId="0" xfId="0" applyFont="1" applyFill="1" applyAlignment="1">
      <alignment horizontal="left"/>
    </xf>
    <xf numFmtId="0" fontId="21" fillId="0" borderId="0" xfId="0" applyFont="1"/>
    <xf numFmtId="1" fontId="19" fillId="0" borderId="0" xfId="0" applyNumberFormat="1" applyFont="1" applyAlignment="1">
      <alignment horizontal="left"/>
    </xf>
    <xf numFmtId="164" fontId="1" fillId="0" borderId="0" xfId="0" applyNumberFormat="1" applyFont="1"/>
    <xf numFmtId="164" fontId="0" fillId="0" borderId="0" xfId="0" applyNumberFormat="1" applyAlignment="1">
      <alignment horizontal="left"/>
    </xf>
    <xf numFmtId="6" fontId="0" fillId="0" borderId="0" xfId="0" applyNumberFormat="1" applyAlignment="1">
      <alignment horizontal="left"/>
    </xf>
    <xf numFmtId="0" fontId="0" fillId="0" borderId="0" xfId="0" applyAlignment="1">
      <alignment horizontal="right"/>
    </xf>
    <xf numFmtId="0" fontId="0" fillId="0" borderId="7" xfId="0" applyBorder="1"/>
    <xf numFmtId="0" fontId="0" fillId="0" borderId="0" xfId="4" applyFont="1" applyAlignment="1">
      <alignment vertical="top" wrapText="1"/>
    </xf>
    <xf numFmtId="0" fontId="0" fillId="0" borderId="0" xfId="4" applyFont="1" applyAlignment="1">
      <alignment vertical="top"/>
    </xf>
    <xf numFmtId="0" fontId="1" fillId="0" borderId="0" xfId="0" applyFont="1" applyAlignment="1">
      <alignment vertical="top" wrapText="1"/>
    </xf>
    <xf numFmtId="0" fontId="1" fillId="0" borderId="0" xfId="0" applyFont="1"/>
    <xf numFmtId="0" fontId="0" fillId="0" borderId="0" xfId="4" applyFont="1" applyAlignment="1">
      <alignment horizontal="left" vertical="top"/>
    </xf>
    <xf numFmtId="3" fontId="24" fillId="0" borderId="8" xfId="6" applyNumberFormat="1" applyFont="1" applyAlignment="1">
      <alignment horizontal="left" vertical="center" wrapText="1"/>
    </xf>
    <xf numFmtId="0" fontId="0" fillId="0" borderId="0" xfId="4" applyFont="1" applyAlignment="1">
      <alignment horizontal="left" vertical="top" wrapText="1"/>
    </xf>
    <xf numFmtId="0" fontId="0" fillId="0" borderId="0" xfId="4" applyFont="1" applyAlignment="1">
      <alignment horizontal="right" vertical="top"/>
    </xf>
    <xf numFmtId="3" fontId="0" fillId="0" borderId="0" xfId="4" applyNumberFormat="1" applyFont="1" applyAlignment="1">
      <alignment horizontal="center" vertical="top"/>
    </xf>
    <xf numFmtId="0" fontId="0" fillId="0" borderId="9" xfId="4" applyFont="1" applyBorder="1" applyAlignment="1">
      <alignment vertical="top" wrapText="1"/>
    </xf>
    <xf numFmtId="0" fontId="0" fillId="0" borderId="10" xfId="4" applyFont="1" applyBorder="1" applyAlignment="1">
      <alignment vertical="top" wrapText="1"/>
    </xf>
    <xf numFmtId="0" fontId="0" fillId="0" borderId="10" xfId="4" applyFont="1" applyBorder="1" applyAlignment="1">
      <alignment horizontal="left" vertical="top" wrapText="1"/>
    </xf>
    <xf numFmtId="0" fontId="0" fillId="0" borderId="9" xfId="4" applyFont="1" applyBorder="1" applyAlignment="1">
      <alignment horizontal="left" vertical="top" wrapText="1"/>
    </xf>
    <xf numFmtId="0" fontId="25" fillId="0" borderId="0" xfId="0" applyFont="1" applyAlignment="1">
      <alignment vertical="top" wrapText="1"/>
    </xf>
    <xf numFmtId="0" fontId="26" fillId="0" borderId="0" xfId="0" applyFont="1" applyAlignment="1">
      <alignment vertical="top" wrapText="1"/>
    </xf>
    <xf numFmtId="0" fontId="27" fillId="0" borderId="0" xfId="0" applyFont="1" applyAlignment="1">
      <alignment vertical="top" wrapText="1"/>
    </xf>
    <xf numFmtId="0" fontId="0" fillId="0" borderId="0" xfId="0" applyAlignment="1">
      <alignment vertical="top" wrapText="1"/>
    </xf>
    <xf numFmtId="0" fontId="25" fillId="0" borderId="0" xfId="0" applyFont="1" applyAlignment="1">
      <alignment horizontal="left" vertical="top" wrapText="1"/>
    </xf>
    <xf numFmtId="0" fontId="25" fillId="0" borderId="0" xfId="0" applyFont="1" applyAlignment="1">
      <alignment horizontal="left" vertical="top"/>
    </xf>
    <xf numFmtId="0" fontId="25" fillId="0" borderId="0" xfId="0" applyFont="1" applyAlignment="1">
      <alignment horizontal="right"/>
    </xf>
    <xf numFmtId="3" fontId="25" fillId="0" borderId="0" xfId="0" applyNumberFormat="1" applyFont="1" applyAlignment="1">
      <alignment horizontal="center" vertical="top"/>
    </xf>
    <xf numFmtId="3" fontId="25" fillId="0" borderId="0" xfId="0" applyNumberFormat="1" applyFont="1" applyAlignment="1">
      <alignment horizontal="right"/>
    </xf>
    <xf numFmtId="0" fontId="27" fillId="0" borderId="0" xfId="0" applyFont="1"/>
    <xf numFmtId="0" fontId="27" fillId="0" borderId="0" xfId="0" applyFont="1" applyAlignment="1">
      <alignment horizontal="left" vertical="top" wrapText="1"/>
    </xf>
    <xf numFmtId="0" fontId="27" fillId="0" borderId="0" xfId="0" applyFont="1" applyAlignment="1">
      <alignment horizontal="left" vertical="top"/>
    </xf>
    <xf numFmtId="3" fontId="27" fillId="0" borderId="0" xfId="0" applyNumberFormat="1" applyFont="1" applyAlignment="1">
      <alignment horizontal="center" vertical="top"/>
    </xf>
    <xf numFmtId="164" fontId="27" fillId="0" borderId="0" xfId="0" applyNumberFormat="1" applyFont="1"/>
    <xf numFmtId="0" fontId="27" fillId="0" borderId="0" xfId="4" applyFont="1" applyAlignment="1">
      <alignment horizontal="left" vertical="top" wrapText="1"/>
    </xf>
    <xf numFmtId="0" fontId="27" fillId="0" borderId="0" xfId="0" applyFont="1" applyAlignment="1">
      <alignment horizontal="right" vertical="top"/>
    </xf>
    <xf numFmtId="0" fontId="18" fillId="0" borderId="0" xfId="4" applyAlignment="1">
      <alignment vertical="top" wrapText="1"/>
    </xf>
    <xf numFmtId="3" fontId="18" fillId="0" borderId="0" xfId="4" applyNumberFormat="1" applyAlignment="1">
      <alignment horizontal="center" vertical="top"/>
    </xf>
    <xf numFmtId="0" fontId="18" fillId="0" borderId="0" xfId="4" applyAlignment="1">
      <alignment horizontal="left" vertical="top"/>
    </xf>
    <xf numFmtId="0" fontId="18" fillId="0" borderId="0" xfId="4" applyAlignment="1">
      <alignment horizontal="left" vertical="top" wrapText="1"/>
    </xf>
    <xf numFmtId="0" fontId="12" fillId="0" borderId="0" xfId="4" applyFont="1" applyAlignment="1">
      <alignment horizontal="left" vertical="top" wrapText="1"/>
    </xf>
    <xf numFmtId="0" fontId="0" fillId="0" borderId="0" xfId="0" applyAlignment="1">
      <alignment horizontal="left" vertical="center" wrapText="1"/>
    </xf>
    <xf numFmtId="3" fontId="0" fillId="0" borderId="0" xfId="0" applyNumberFormat="1" applyAlignment="1">
      <alignment horizontal="center" vertical="top" wrapText="1"/>
    </xf>
    <xf numFmtId="3" fontId="0" fillId="0" borderId="0" xfId="0" quotePrefix="1" applyNumberFormat="1" applyAlignment="1">
      <alignment horizontal="center" vertical="top" wrapText="1"/>
    </xf>
    <xf numFmtId="0" fontId="0" fillId="0" borderId="0" xfId="0" applyAlignment="1">
      <alignment vertical="center"/>
    </xf>
    <xf numFmtId="0" fontId="0" fillId="0" borderId="0" xfId="0" applyAlignment="1">
      <alignment horizontal="left" vertical="center"/>
    </xf>
    <xf numFmtId="0" fontId="28" fillId="0" borderId="0" xfId="0" applyFont="1"/>
    <xf numFmtId="0" fontId="29" fillId="0" borderId="0" xfId="0" applyFont="1" applyAlignment="1">
      <alignment wrapText="1"/>
    </xf>
    <xf numFmtId="43" fontId="0" fillId="0" borderId="0" xfId="0" applyNumberFormat="1"/>
    <xf numFmtId="0" fontId="0" fillId="9" borderId="0" xfId="0" applyFill="1"/>
    <xf numFmtId="0" fontId="15" fillId="4" borderId="0" xfId="0" applyFont="1" applyFill="1" applyAlignment="1">
      <alignment horizontal="center"/>
    </xf>
  </cellXfs>
  <cellStyles count="8">
    <cellStyle name="Comma" xfId="1" builtinId="3"/>
    <cellStyle name="Currency" xfId="3" builtinId="4"/>
    <cellStyle name="Hyperlink" xfId="2" builtinId="8"/>
    <cellStyle name="Normal" xfId="0" builtinId="0"/>
    <cellStyle name="Normal 2" xfId="4" xr:uid="{A25FD2EF-D66A-4ADB-9A7D-182449B7C6F1}"/>
    <cellStyle name="Normal 2 2" xfId="5" xr:uid="{5E1D2332-0E00-4BDC-BBAE-BED3FF38F912}"/>
    <cellStyle name="phx-HL-row" xfId="7" xr:uid="{9F1000BC-E22D-4FA1-9734-F25F801774B4}"/>
    <cellStyle name="phx-HL-row 2" xfId="6" xr:uid="{13C820FB-4A9E-48CE-8F79-A51B3C9943D8}"/>
  </cellStyles>
  <dxfs count="13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numFmt numFmtId="164" formatCode="_(* #,##0_);_(* \(#,##0\);_(* &quot;-&quot;??_);_(@_)"/>
    </dxf>
    <dxf>
      <numFmt numFmtId="164" formatCode="_(* #,##0_);_(* \(#,##0\);_(* &quot;-&quot;??_);_(@_)"/>
    </dxf>
    <dxf>
      <numFmt numFmtId="164" formatCode="_(* #,##0_);_(* \(#,##0\);_(* &quot;-&quot;??_);_(@_)"/>
    </dxf>
    <dxf>
      <numFmt numFmtId="164" formatCode="_(* #,##0_);_(* \(#,##0\);_(* &quot;-&quot;??_);_(@_)"/>
    </dxf>
    <dxf>
      <fill>
        <patternFill patternType="solid">
          <fgColor indexed="64"/>
          <bgColor theme="9"/>
        </patternFill>
      </fill>
    </dxf>
    <dxf>
      <fill>
        <patternFill patternType="solid">
          <fgColor indexed="64"/>
          <bgColor theme="9"/>
        </patternFill>
      </fill>
      <alignment horizontal="general" vertical="bottom" textRotation="0" wrapText="1" indent="0" justifyLastLine="0" shrinkToFit="0" readingOrder="0"/>
    </dxf>
    <dxf>
      <fill>
        <patternFill patternType="solid">
          <fgColor indexed="64"/>
          <bgColor rgb="FF92D050"/>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alignment horizontal="center" vertical="center" textRotation="0" wrapText="1" indent="0" justifyLastLine="0" shrinkToFit="0" readingOrder="0"/>
    </dxf>
    <dxf>
      <fill>
        <patternFill patternType="solid">
          <fgColor indexed="64"/>
          <bgColor theme="9"/>
        </patternFill>
      </fill>
      <alignment horizontal="center" vertical="center" textRotation="0" wrapText="1" indent="0" justifyLastLine="0" shrinkToFit="0" readingOrder="0"/>
      <border diagonalUp="0" diagonalDown="0">
        <left/>
        <right/>
        <top style="thin">
          <color theme="1"/>
        </top>
        <bottom/>
        <vertical/>
        <horizontal/>
      </border>
    </dxf>
    <dxf>
      <fill>
        <patternFill patternType="solid">
          <fgColor indexed="64"/>
          <bgColor theme="9"/>
        </patternFill>
      </fill>
      <alignment horizontal="center" vertical="center" textRotation="0" wrapText="1" indent="0" justifyLastLine="0" shrinkToFit="0" readingOrder="0"/>
      <border diagonalUp="0" diagonalDown="0">
        <left/>
        <right/>
        <top style="thin">
          <color theme="1"/>
        </top>
        <bottom/>
        <vertical/>
        <horizontal/>
      </border>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alignment horizontal="general" vertical="bottom" textRotation="0" wrapText="1" indent="0" justifyLastLine="0" shrinkToFit="0" readingOrder="0"/>
    </dxf>
    <dxf>
      <fill>
        <patternFill patternType="solid">
          <fgColor indexed="64"/>
          <bgColor theme="9"/>
        </patternFill>
      </fill>
    </dxf>
    <dxf>
      <font>
        <sz val="16"/>
      </font>
    </dxf>
    <dxf>
      <font>
        <b/>
      </font>
    </dxf>
    <dxf>
      <alignment wrapText="1"/>
    </dxf>
    <dxf>
      <alignment wrapText="1"/>
    </dxf>
    <dxf>
      <alignment wrapText="1"/>
    </dxf>
    <dxf>
      <alignment wrapText="1"/>
    </dxf>
    <dxf>
      <alignment wrapText="1" indent="0"/>
    </dxf>
    <dxf>
      <alignment wrapText="1" indent="0"/>
    </dxf>
    <dxf>
      <alignment wrapText="1" indent="0"/>
    </dxf>
    <dxf>
      <alignment wrapText="1" indent="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rgb="FF212529"/>
        <name val="Calibri"/>
        <family val="2"/>
        <scheme val="minor"/>
      </font>
    </dxf>
    <dxf>
      <numFmt numFmtId="10" formatCode="&quot;$&quot;#,##0_);[Red]\(&quot;$&quot;#,##0\)"/>
      <alignment horizontal="left" vertical="bottom" textRotation="0" wrapText="0" indent="0" justifyLastLine="0" shrinkToFit="0" readingOrder="0"/>
    </dxf>
    <dxf>
      <numFmt numFmtId="10" formatCode="&quot;$&quot;#,##0_);[Red]\(&quot;$&quot;#,##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numFmt numFmtId="3" formatCode="#,##0"/>
    </dxf>
    <dxf>
      <font>
        <b val="0"/>
        <i val="0"/>
        <strike val="0"/>
        <condense val="0"/>
        <extend val="0"/>
        <outline val="0"/>
        <shadow val="0"/>
        <u val="none"/>
        <vertAlign val="baseline"/>
        <sz val="10"/>
        <color rgb="FF000000"/>
        <name val="Arial"/>
        <scheme val="none"/>
      </font>
      <alignment horizontal="left" vertical="bottom" textRotation="0" wrapText="0" indent="0" justifyLastLine="0" shrinkToFit="0" readingOrder="0"/>
    </dxf>
    <dxf>
      <numFmt numFmtId="0" formatCode="General"/>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 #,##0_);_(* \(#,##0\);_(* &quot;-&quot;??_);_(@_)"/>
    </dxf>
    <dxf>
      <font>
        <b val="0"/>
        <i val="0"/>
        <strike val="0"/>
        <condense val="0"/>
        <extend val="0"/>
        <outline val="0"/>
        <shadow val="0"/>
        <u val="none"/>
        <vertAlign val="baseline"/>
        <sz val="11"/>
        <color theme="1"/>
        <name val="Calibri"/>
        <family val="2"/>
        <scheme val="minor"/>
      </font>
      <numFmt numFmtId="164" formatCode="_(* #,##0_);_(* \(#,##0\);_(* &quot;-&quot;??_);_(@_)"/>
    </dxf>
    <dxf>
      <alignment horizontal="right" vertical="bottom" textRotation="0" wrapText="0" indent="0" justifyLastLine="0" shrinkToFit="0" readingOrder="0"/>
    </dxf>
    <dxf>
      <alignment horizontal="righ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pivotCacheDefinition" Target="pivotCache/pivotCacheDefinition10.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pivotCacheDefinition" Target="pivotCache/pivotCacheDefinition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openxmlformats.org/officeDocument/2006/relationships/connections" Target="connections.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person displayName="Alexander Maranville" id="{BA1D89BC-9952-4246-990D-6281148C32A0}" userId="S::awmaranville@energyfuturesinitiative.org::545ebe36-956b-4c85-bda3-ed9b2002ac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58.615301273145" createdVersion="8" refreshedVersion="8" minRefreshableVersion="3" recordCount="61" xr:uid="{AF6FA739-6EAC-4F2D-AB7E-CBCC88EA7490}">
  <cacheSource type="worksheet">
    <worksheetSource ref="A1:H62" sheet="Business Model Examples"/>
  </cacheSource>
  <cacheFields count="8">
    <cacheField name="GEOID" numFmtId="0">
      <sharedItems containsBlank="1"/>
    </cacheField>
    <cacheField name="Region" numFmtId="0">
      <sharedItems/>
    </cacheField>
    <cacheField name="Country" numFmtId="0">
      <sharedItems containsBlank="1" count="34">
        <s v="United Kingdom"/>
        <s v="Japan"/>
        <s v=" Germany"/>
        <s v="United States"/>
        <s v=" Spain"/>
        <s v="Switzerland"/>
        <s v="Canada"/>
        <s v="Norway"/>
        <s v=" Italy"/>
        <s v=" Netherlands"/>
        <s v="South Korea"/>
        <e v="#N/A"/>
        <s v=" China"/>
        <s v="Australia"/>
        <s v="Saui Arabia"/>
        <s v=" Sweden"/>
        <s v=" Luxembourg"/>
        <m u="1"/>
        <s v="USA" u="1"/>
        <s v="AUS" u="1"/>
        <s v="KOR" u="1"/>
        <s v="GER" u="1"/>
        <s v="NET" u="1"/>
        <s v="SAU" u="1"/>
        <s v="SWE" u="1"/>
        <s v="CAN" u="1"/>
        <s v="JAP" u="1"/>
        <s v="NOR" u="1"/>
        <s v="ITA" u="1"/>
        <s v="SWI" u="1"/>
        <s v="SPA" u="1"/>
        <s v="GBR" u="1"/>
        <s v="CHI" u="1"/>
        <s v="LUX" u="1"/>
      </sharedItems>
    </cacheField>
    <cacheField name="Technology Type" numFmtId="0">
      <sharedItems count="18">
        <s v="Methane Reformation with Capture"/>
        <s v="Catalysts"/>
        <s v="Electrolytic Hydrogen"/>
        <s v="Electrolyzer"/>
        <s v="Ammonia"/>
        <s v="Blending"/>
        <s v="Storage"/>
        <s v="Hydrogen Pipelines"/>
        <s v="Maritime"/>
        <s v="Cement"/>
        <s v="Fuel Cells"/>
        <s v="Glass"/>
        <s v="Certification"/>
        <s v="Fueling Stations and Transport"/>
        <s v="Heating"/>
        <s v="Refining"/>
        <s v="Steel"/>
        <s v="Methanol"/>
      </sharedItems>
    </cacheField>
    <cacheField name="Company" numFmtId="0">
      <sharedItems count="58">
        <s v="Shell"/>
        <s v="Johnson Matthey"/>
        <s v="TOYO Engineering"/>
        <s v="Sigma-Aldrich"/>
        <s v="Heraeus"/>
        <s v="Honeywell"/>
        <s v="Siemens"/>
        <s v="REPSOL"/>
        <s v="Hydrospider"/>
        <s v="SGH2"/>
        <s v="Ostermeier H2ydrogen Solutions"/>
        <s v="Next Hydrogen"/>
        <s v="Nel Hydrogen"/>
        <s v="Enapter"/>
        <s v="Casale"/>
        <s v="KBR"/>
        <s v="Stamicarbon"/>
        <s v="YARA"/>
        <s v="Enbridge"/>
        <s v="HyBlend"/>
        <s v="National Grid"/>
        <s v="SNAM"/>
        <s v="GKN Hydrogen"/>
        <s v="Linde"/>
        <s v="Steelhead Composites"/>
        <s v="Air Products"/>
        <s v="German Gas Transmission System Operators"/>
        <s v="Smartpipe Technologies"/>
        <s v="Kawasaki"/>
        <s v="Koreas Shipbuilding &amp; Offshore Engineering"/>
        <s v="HeidelbergCement"/>
        <s v="CEMEX"/>
        <s v="Ballard"/>
        <s v="Plug Power"/>
        <s v="FuelCell Energy"/>
        <s v="HyAxiom"/>
        <s v="HyGear"/>
        <s v="Pilkington"/>
        <s v="TUV Rheinland"/>
        <s v="CertifHy"/>
        <s v="Intertek"/>
        <s v="HTEC"/>
        <s v="ZeroAvia"/>
        <s v="Alstom"/>
        <s v="New Times Shipbuilding"/>
        <s v="Hyundai"/>
        <s v="Panasonic"/>
        <s v="Heatlie"/>
        <s v="Worcester Bosch"/>
        <s v="Aramco"/>
        <s v="ExxonMobil"/>
        <s v="Ovako"/>
        <s v="ArcelorMittal"/>
        <s v="SSAB"/>
        <s v="Methanex"/>
        <s v="Enerkem"/>
        <s v="Proman"/>
        <s v="Hy2Gen"/>
      </sharedItems>
    </cacheField>
    <cacheField name="Value Proposal" numFmtId="0">
      <sharedItems count="61" longText="1">
        <s v="Combing Gas Partial Oxidation (SGP) and ADIP ULTRA technologies to create blue hydrogen technology. Over 30 licenses for gas and residue gasification are now operating with SGP; 100 installed worldwide"/>
        <s v="Offering blue hydrogen at scale thanks to their LCH technology. Incorporating it at the NyNet North West hydrogen project in the UK"/>
        <s v="Prominent actor in the area of licensing, design and construction of SMR plants. Their products account for more than 10% of blue hydrogen produced in the world by SMR"/>
        <s v="Provide homo and heterogeneous catalysts for sectors such as pharmaceuticals, agrochemicals, industrial chemicals, or custom manfuacturing"/>
        <s v="Company offers chemical process catalysts with a wide spectrum of homogeneous and heterogenuous cataylsts"/>
        <s v="Offer PEM and Anion Exchange Membrane electrolysers. Also piloting a new catalyst-coated membrane technology."/>
        <s v="Siemens Gamesa and Siemens Energy have started joint work to produce green hydrogen at an offshore wind turbine. Also trials a land wind turbine-fed electrolyser system for on and off grid generation"/>
        <s v="With Enagas they are planning to offer green hydrogen produced from the direct use of solar energy, called pho electrcatalysis (does not deploy actual electrolyzer)"/>
        <s v="They offer procurement, production and logistics of green hydrogen, mainly produced from hydro. Also provide marketing and sale support"/>
        <s v="Offer the production of green hydrogen from any sort of waste ranging from paper, plastics, tires, textiles"/>
        <s v="They offer modular electrolyzers in 1.2m X 1m X 2m sizes for residential and commercial use (1-5 kW)"/>
        <s v="The company provides scalable Alkaline electrolyzer cell design to generate electrolytic hydrogen at MW scales"/>
        <s v="The company is an actor in the design, manufacturing, and sales of Alkaline and PEM electrolyzers. They have more than 3,500 electrolyzers installed and operating globally"/>
        <s v="Company offers Anion Exchange Membrane electrolyzers and an energy management software system, especially for labs, backup power, and residential storage units"/>
        <s v="Company licenses technology designs and constructs ammonia production plants, as well as increasing capacity the existing plants or switching from grey to blue or green ammonia and green methanol. Offer simple plant construction, operation and maintenance"/>
        <s v="They offer plants to produce ammonia and fertilizer from various sources (nitric acid, ammonium nitrate, and urea ammonium nitrate production technologies are provided)"/>
        <s v="A green hydrogen ammonia producer. They provide technical licenses and engineering and specifications for the construction of compact green ammonia plants with predetermined capacity. They also offer help to customers with project planning, finance, and feasibility studies in green ammonia production"/>
        <s v="The world's leading ammonia producer. They can transport ammonia via sea, road, or rail. They supply ammonia in compressed liquid and cryogenic forms. Excel in logistics, shipping, and storage ammonia."/>
        <s v="Offer a Power-to-Gas service which is capable of producing nearly 400K kg of hydrogen per day. Also running 2 green hydrogen blending trials in Canada."/>
        <s v="An initiative by DOE to research and test hydrogen blending in natural gas pipelines. They are working on research and development for materials compatibility, techno-economic, and LCA"/>
        <s v="A theoretical exploration and a pilot project, HyGrid, aims to decarbonize the gas network in Long Island to heat around 800 homes and fuel 10 municipal vehicles by blending green hydrogen into the distribution system. Further trials in the UK"/>
        <s v="An energy company that trialled a 5% volume of hydrogen blending into its existing gas network to feed two industrial customers in Italy for about a month in 2019. They replicated the same trail with 10% later in 2019."/>
        <s v="Company offers decentralized and small-scale metal hydride hydrogen storage systems to be used for a long time. Their storage capacities range from 10 kg to 250 kg"/>
        <s v="They provide vacuum-insulated cryogenic tanks to store liquid hydrogen from 200 to 7,000 kg"/>
        <s v="The company offers aluminum or polymeric pressure vessels with capacities from 6 to 270 liters to store compressed gas hydrogen with pressure options ranging from 350, 500, and 700 bar. For example, a modular 90 liter vessel can store 2 kg of compressed hydrogen."/>
        <s v="The company has the largest hydrogen pipeline network, a total of 1,100 km worldwide, including the Gulf system linking 22 hydrogne plants with a daily capacity of more than 1 billion cubic feet per day"/>
        <s v="A consortium of German gas transmission system operators will initiate the H2-Startnetz 2030 project, which aims to construct a 1,200 km long hydrogen grid in Germany. Only 100 km of this network will be newly built hydrogen pipelines, whereas the rest will be existing natural gas network repurposed."/>
        <s v="Start-up offers a pipeline replacenet technolgy that pulls a composite internal pipeline liner through an existing pipeline to increase structural integrity and allow for better monitoring."/>
        <s v="The company offers various hydrogen storage and transportation solutions. Together with Iwatani Corp, Shell, and Electric Power Development, they launched Suiso Frontier, the world's first liquefied hydrogen carrier with a capacity of 1,250 m3"/>
        <s v="They are planning to pilot a concept ship with a capacity of 20K cubic metres to transport liquified hydrogen overseas"/>
        <s v="The company trialled the use of hydrogen in commercial-scale cement manufacture at the Ribblesdale plant in the UK"/>
        <s v="The company is using hydrogen commercially as part of its fuel mix in all of its plants in Europe and is now extending to all plants in the rest of the world."/>
        <s v="They offer fuel cells and cmmercialize them for different use areas such as buses, trucks, trains, ships, backup power at critical infrastructure, and grid-scale renewable energy storage"/>
        <s v="The company provides hydrogen and fuel cell solutions through its end-to-end green hydrogen ecosystem, including production, transportation, storage and handling, dispensing, and usage of hydrogen to various markets "/>
        <s v="The company provides on-site power plants that use natural gas or renewable biogas as input and then reform it inside a fuel cell into hydrogen which then electrochemically reacts with air to generate power and heat"/>
        <s v="They provide single-fuel cell applications for commercial buildings and multi fuel cell installations for data centers, industrial facilities, and microgrids."/>
        <s v="They offer hydrogen for atmosphere control to prevent oxidation, improving efficiency in cutting, polishing, heat treating, and melting and softening applications in the glass industry."/>
        <s v="They offer on-site small-scale hydrogen generators to glass manufacturers. They provide products for gas recovery of the polluted gas mixtures from the tin bath in the float glass production. They also offer on-site nitrogen generation necessary for float glass production."/>
        <s v="They conducted the first trial of using hydrogen in the architectural glass production process in the world in 2021."/>
        <s v="The company offers testing and carbon-neutral hydrogen certifications, including green hydrogen and green ammonia certificates."/>
        <s v="They provide hydrogen certification schemes across Europe that constitute a basis for customers to track hydrogen flows and their environmental impacts."/>
        <s v="They provide testing and certification of hydrogen refuelling stations, hydrogen fuel components and systems, including dispensing compression, and storage systems, electrolyzers, chiller, reformers, and stationary fuel cell systems."/>
        <s v="They construct and operate hydrogen fuel staitons for fuel cell transport units in Canada and United States"/>
        <s v="They offer a full project lifecycle for the hydrogen fuel stations from planning and design throughbuild and commissioning to service and maintenance"/>
        <s v="The company provides zero-emission powertrain and hydrogen-electric engines for aviation."/>
        <s v="Coradia iLint is a commercial hydrogen-powered passenger train trialled in Germany in 2018. The train has travelled more than 200K km since."/>
        <s v="The company delivered the wrold's first ammonia-ready ship Kriti Future. The ship is running on conventional fuel, but is convertible to ammonia."/>
        <s v="They offer several hydrogen-powered road transport vehicles."/>
        <s v="They offer H2 KIBOU hydrogen fuel cell, which can produce 5kW of power and uses waste heat for heating hot water"/>
        <s v="The company offers hydrogen-fueled barbeque"/>
        <s v="They offer hydrogen boiler for home heating"/>
        <s v="They use blue hydrogen in hydrotreating, hydrocracking, and hydroisomerization processes to produce gasoline, jet fuel, diesel, kerosene, and other end-products"/>
        <s v="The company is planning to use hydrogen as fuel at one of its refineries in Texas"/>
        <s v="They will be using green hydrogen in Shell's Rhineland refinery"/>
        <s v="They trialed the first commercial use of hydrogen in steel manufacturing at one of their palnts"/>
        <s v="The company successfully tests using green hydrogen in the production of DRI at one of their steel plants in Canada"/>
        <s v="The steel manufacturer developed a pilot plant, HYBRIT"/>
        <s v="They are the largest methanol producer in the world. They have porduction facilities in Canada, Chile, Egypt, New Zealand, Trinidad, and United States"/>
        <s v="The company produces sustainable methanol from solid waste. They created and patented a method for chemically extracting and reusing carbon from non-recyclable garbage."/>
        <s v="As the second largest methanol producer in the world, the company started a joint venture with Stena Bulk to operate methanol-powered ships"/>
        <s v="The company offers renewable bio-methanol produced in a large-scale anaerobic digester that converts organic waste to biogas."/>
      </sharedItems>
    </cacheField>
    <cacheField name="Value Creation" numFmtId="0">
      <sharedItems count="61" longText="1">
        <s v="SGP technology uses a direct firing oxygen-base ystem in a reactor with a refractory lining. It is a non-catalytic process that produces high-pressure steam fro mwaste heat rather than consuming it and emits no direct CO2. It requires little to no feed gas pre-processing. ADIP ULTRA is a non-corrosive, high carrying capacity solvent for capturing Co2 from high-pressure process tream. The plant will have a pacity up to 720 MW in the UK"/>
        <s v="Producing LCH at scale while capturing 98% of CO2 emissions. "/>
        <s v="Develop SMR technologies with high efficiency for producing crude gas (syngas) consisting of hdyrogen and carbon monoxide formed to produce blue hydrogen. Their steam reformers are used in ammonia, methanol, refinery, hydrogen production, and fuel cell power facilities."/>
        <s v="Iridium, nickel, palladium, rhodium, or ruthenium are common hydrogenation catalysts used to initiate the chemical reaction between hydrogen and another substance. "/>
        <s v="They are delivering electrocatalysts for PEM electrolyzers and PEM fuel cells. They provide customers with a complete loop of their precious metals needs by recovering precious metals from a catalyst-coated membrane. They use platinum in different PEM fuel cell catalysts, increasing performance and reducing costs. Anode is protected because of cell reversal tolerance."/>
        <s v="Develop, manufacture and deliver membranes and catalysts for gas processing, refining, steel, petrohemicals, and battery and power applications. In collaobration with ZoneFlow Reactor Technologies, they are in the process of commercializing a new technology called ZoneFlow Reactor -&gt; A structured catalyst module that replaces conventional catalyst pllets in an SMR tubes providing better heat transfer and pressure drop performance"/>
        <s v="Testing a modular approach to see hydrogen production at variable renewable generation rates. Also monitoring performance in harsh weather. Trials aim to demonstrate a dependable, efficient dpeloyment of modular offshore wind-to-hydrogen"/>
        <s v="Technology receives solar radiation and generates electrical charges that cause the separation by using its photoactive material. Aim to have 1.9 GW of installed capacity by 2030"/>
        <s v="Their first green hydrogen demo project produces 300 tonnes of hydrogen per year at a hydro plant with a 2-MW electrolyzer. The hydrogen is transported to filling stations after being stored in custom-made containers"/>
        <s v="Company utilizes a plasma-enhanced thermal catalytic conversion process optimized with oxygen-enriched gas. At high temperatures, the waste feedstock disintegrates into its molecular compounds. These molecules bind into very high-quality hydrogen-rich biosyngas, which are then used to produce hydrogen. They are launching a generation plant in California to produce 3,800 tonnes a year (would be largest in world)"/>
        <s v="Consists of the elecrolysis frame module, the electrolysis module, the water purification module, the electrolysis power module, the water purification module, the electrolysis power module, the fuel cell and the cooling module. Tap water can be used in hydrogen generation at homes and commercial facilities. The produced hydrogen can then be stored in the fuel cell module to be converted to power whenever needed"/>
        <s v="In their portfolio, they have 3 pre-assembled product types and ready to drip in at customers' sites. They have 4 demos planned, 4 with Canadian Tire and proof of concept with Hyundai and Kia. They claim that their electrolyzers can capture the entire intermittent power generation output range"/>
        <s v="Their electrolyzers could be scaled to match numerous applications. Atmospheric Alkaline Electrolyzer claims to be the world's most energy-efficient electrolyzer featuring a cell stack power consumption as low as 3.8 kWh/Nm^3. Depending on modular size it can produce up to 8 tonnes of hydrogen per day"/>
        <s v="AEM utilizes a semipermeable membrane designed to conduct anions. Stell can be utilized for the bipolar plates instead of titanium because the atmosphere is less corrosive. AEM may operate with less pure water, allows for tap and rainwater input"/>
        <s v="They deliver ammonia production plants of various sizes. Natural gas is first de-sulphurized on a typical blue ammonia plant and then fed into a steam reformer. After co2 removal, any remaining carbon oxides are converted back to methane by reaction with hydrogen. The final synthesis gas is cooled and fed to the ammonia synthesis section. Through revamping they deliver 100% super capacity and 30% moderate capacity increases at existing ammonia plants"/>
        <s v="The company offer both green ammonia with K-Green technology and blue ammonia with PurifierPlus process. They also deliver a portfolio of hydrogen generated from natural gas, heavy naphtha and other feedstocks through their SMR. Ammonia can be used directly in fuel cell and ICEs"/>
        <s v="They deliver modular designs depending on the customers' specifications. In particular, small-scale green ammonia plants are delivered. Their products can be used as a renewable feedstock for fertilizer plants to manufacture the necessary nitrogen fertilizers by using renewable energy sources like solar and wind."/>
        <s v="Hydrogen is produced via SMR. With over 300 terminals and warehouses around the world, they can ship and deliver more than 20M tons of chemical nitrogen products and nitrates a year. They have a fleet of 11 ammonia carriers and 18 marine ammonia terminals with 580 kilotons of storage capacity. Together with ENGIE, they will install a PV-powered green ammonia plant with battery back-up with a 10 MW electrolyzer. Together with JERA, they plan to supply ammonia and optimize logistics to Japan"/>
        <s v="The first trial started with injecting 2% of hydrogen volume into the gas network to feed about 3,600 customers. This pilot produces about 18K of hydrogen per year. The second aims to install a 20 MW electrolyzer plant to feed green hydrogen through a dedicated 15 km pipeline to connect this facility to the main gas network. Aim to inject up to 15% of hydrogen volume."/>
        <s v="The conditions on how the blending limits will be decided will depend on the design and condition of existing pipeline materials as well as the design and condition of pipeline infrastructure equipment and applications that use natural gas. Aim to develop tools for risk analysis, opportunities and cost analysis, and LCA emissions analysis"/>
        <s v="Hydrogen blending in heating and transportation is trialled. UK trials are exploring injections of 2,5, and 20% between 2 terminals. They also trial deblending as certain customers might ask for debelndingas they only use natural gas and inject the remaining hydrogen back into the network."/>
        <s v="Using the existing infrastructure, they are working on the standardization and compatibility of injecting hydrogen into their gas network. 2 successful trials with 5 and 10% of volume injection have been followed by the replacement and development of assets to standards which are compatible with hydrogen."/>
        <s v="The metal hydride systems operate at low temperatures and low pressures. The modular products can be deployed as backup systems, seasonal storage, and in commercial buildings, microgrids, and maritime transport. They also provide digital management software for users to remotely monitor and control the operations."/>
        <s v="To get the same amount of energy, four or five times less room is needed for liquid hydrogen than compressed gas. Therefore, storing this gas in liquid form in the tanks has space and efficiency benefits. Horizontal/vertical designs available and they come with active cooling systems."/>
        <s v="Hydrogen Cube gas storage systems can be deployed for medium and large-scale purposes. A modular design is possible by connecting multiple pressure vessels to customers' preferences. These are swappable modules meaning that whenever empty, new vessels can be connected easily. Empty cubes are returned for refilling. Company claims pressure vessels are cheaper and lighter options when compared with batteries to supply same energy."/>
        <s v="Project aims at reaching economies of scale and thus driving down costs, supporting the future growth of hydrogen use in the region."/>
        <s v="The company is taking part in the rededication of an existing natural gas pipeline to be used for hydrogen transport in the Ruhr area. This planned grid has a length of 130 km, of which 118 km is repurposed gas pipelines and 12 km will be new hydrogen pipelines."/>
        <s v="It is a non-intrusive trenchless pipeline replacement technology and inserted in the exsting pipelines. Smartpipe can also be laid as a fully structural, stand-alone high-pressure pipeline. "/>
        <s v="The vessel is certified by the International Maritime Org and can carry 75 tonnes of liquefied hydrogen in one trip. The liquefied hydrogen is produced by cooling gaseous hydrogen to minus 253 degrees C, reducing its volume to 1/800. In early 2022, the ship carried a liquified hydrogen cargo from Australia to Kobe, Japan. For the pilot phase, carbon credits were purchased for the CO2 produced, and a CCS system will be implemented for the commercial phase to export and transport blue hydrogen in the future."/>
        <s v="The company is preparing for the hydrogen shipping trial in 2025. The cargo size, 20,000 cubic metres, is expected to increase over time. Around 20 ships with a 20,000 cubic meters capacity are expected to be built in the decade starting in 2030. Depending on the market demand, another 200 vessels with 170,000 cubic metres capacity are expected to be built after 2040"/>
        <s v="As a commercial demo, hydrogen is used in the kiln process instead of coal. In addition to hydrogen, the fuel mix also included biomass and plasma energy. This fuel consists of 39% hydrogen, 12% meat and bone meal, and 49% glycerine. The company claims 180K tonnes of CO2 could be avoided at the same plant each year by just using this fuel mix"/>
        <s v="The company successfully used hydrogen in the fuel mix at the Alicante Cement Plant in Spain in July 2019 and then extended this to all its European plants in 2020. The company recently invested in a Briths start-up, HiiROC, a clean hydrogen production start-up that uses thermal plasma electrolysis to convert biomethane, flare gas, or natural gas into hydrogen."/>
        <s v="The company promises high fuel efficiency, low noise and vibration, compact size, quick response to changes in electrical demand, and modular design with its products. Together with the vertical integration of Membrane Electrode Assembly and stack design, the company can provide fuel cell solutions for a wide range of customers from 5 kW to 200 kW."/>
        <s v="ProGen is a fuel cell engine designed for use in motive and stationery products. GenDrive is offered for material handling applications, and Gen Sure is a backup power solution for low and high-power stationary applications. "/>
        <s v="The product SureSource enables on-site and large-scale hydrogen generation to either power transportation or industrial application or provide excess hydrogen for other uses. The most trivial advantage is to produce and consume hydrogen in urban locations. A typical 1.4 MW module emits 445kg/MWh of CO2"/>
        <s v="They have a range of scalable and modular products that can fit various needs. PureCell Model 400 Hydrogen is a hydrogen energy solution generating 460 kW of clean energy and water. This system also produces 1.7M BTU/hr of usable heat and is able to run off of green hydrogen."/>
        <s v="Their hydrogen can be used to supplement or replace air-fuel combustion applications for increasing heat transfer and achieving more efficient glass cutting and efficient glass cutting and polishing, annealing, tempering, strengthening, toughening, faster melting, and preventing negative reactions like the formation of glass defects "/>
        <s v="Hy GEN is a small-scale SMR-type hydrogen generator that can be installed at the customer's site. Hy REC mix recovers a portion of hydrogen and nitrogen from the output gas and reuses this reductive gas mixture in the manufacturing as input. In the process of making floatt glass, this reductive gas mixture of hydrogen and nitrogen is required over the tin bath to stop the glass from oxidizing"/>
        <s v="By switching from natural gas to hydrogen, they trialled running the float furnace to heat it around 1,600 degrees C. This three-week trial on the float glass line made use of around 60 road tankers of hydrogen. This was a part of UK's HyNET Industrial Fuel Switching Initiative, which aims to cut 10 Mt of carbon per year by 2030."/>
        <s v="Standard H2.21 is a Carbon Neutral Hydrogen certification. The status is issued if Corporate Carbon Footprint, which is measured by the amount of GHGs emitted resulting from the operation of a company per time period or Product Carbon Footprint, which is measured by the amount of GHGs associated with a product's life cycle"/>
        <s v="CertifiHy certification enables customers to track hydrogen's origin and environmental attributes. According to the European Renewable Energy Directive, they are developing an EU Voluntary Scheme for the certification of hydrogen as Renewable Fuel of Non-Biological Origin. CertifyHy GO scheme grants a tradable value to renewable and non-renewable hydrogen."/>
        <s v="The company offers Atmosphere Explosibles (ATEX), International Electrotechnical Commission for Explosive Atmospheres and Electrical Testing Labs certifications. ATEX is a mandatory certification for all products to be sold across Europe. IECEx means that products must og through a monitored process by the International Electrotechnical Commission to ensure that they meet the minimum safety requirements around the world. ETL means that the products have been test to set safety standards in North America."/>
        <s v="The company is actively running 4 stations as businesses with 2 more in late-stage development and 8 in early stage development. The fuel station in California has its own electrolyzer with a capacity to proudce 40 kg of hydrogen per day. They also offer modular hydrogen storage systems for transportation and ground storage."/>
        <s v="The company has already built more than 200 hydrogen refueling stations worldwide. They deliver both gaseous and liquid refueling with their Ionic Compressor and the Cryo Pump technologies. They also developed FuelBox, an all-in-one transportable hydrogen refueling station with an intermediate H2 storage tank and dispenser. This unit is 12 m^2, ready-to-run and can be deployed anywhere depending on the need."/>
        <s v="They replace conventional aircraft engines with hydrogen-electric powertrains. They trialed hydrogen-fueled flights from 20-seat regional trips to over 100-seat long-distance flights. Green hydrogen stored in tanks is converted to electricity in flight using a fuel cell, which then power the electric motors."/>
        <s v="The train is powerd by hydrogen fuel cells. Together with Linde, Alstom built the world's first hydrogen filling station for passenger trains in Germany. A total of 14 hydrogen fuel cell trains will be built and put on rails in Germany in 2022"/>
        <s v="The Iriti Futures receives the American Bureau of Shipping's classification of Ammonia Ready Class 1. According to regulations, anhydrous ammonia is extremely harmful to aquatic life, so relief or direct discharge to seawater is to be avoided"/>
        <s v="NEXO series cars make use of fuel cells with a 5-minute fill-up time and 413 miles of range. XCIENT is a hydrogen-powered fuel cell truck. The truck's fuel cell delivers 180 kW of power and a driving range of 400 km. XCIENT fuel cell does not require urea and engine oil which makes it superior to diesel"/>
        <s v="Generators total energy efficiency, including heat recovery, can reach 95%. Company also offer ENE-FARM for residential use. This household fuel cell cogeneration system is claimed to achieve a total efficiency of 97%."/>
        <s v="Claim the hydrogen barbeque consumes roughly half as much fuel as natural gas and LPG while creating equal heat output"/>
        <s v="The company's all boilers are now hydrogen-blend ready, meaning they can run on a blend of 80% gas and 20% hydrogen."/>
        <s v="They are building a hydrogen plant with Air Products in Neom to produce 240K tonnes of both blue and green hydrogen by 2025. They also created a joint venture to produce an air separation unit, gasification, and power plant at Jazan. The Jazan Refinery is to process 400,000 barrels of crude oil per day, and the joint venture will supply hydrogen for this refinery."/>
        <s v="They are constructing hydrogen production, CCS at its integrated refining and petrochemical site in Texas. To produce 1 billion cubic feet of blue h2 per day.The CCS will be able to sore up to 10 Mt of Co2 per year"/>
        <s v="10 MW of electrolyzer is being built on-site to produce 1,300 tonnes of green hydrogen per year. ITM Power will produce the hydrogen, and Shell will operate the plant"/>
        <s v="Instead of using LPG, in collaboration with Linde, they used hydrogen to heat steel furances before rolling."/>
        <s v="The y wanted to evaluateate the ability to replace the use of natural gas with green hydrogen in the iron ore reduction process. Replaces 6.8% of natural gas over the course of 24 hours, resulting in a noticeable drop in Co2 emissions. Green hydrogen generated by an electrolyzer and then shipped to the steel mill"/>
        <s v="The blast furnaces process traditionally uses coal and coke to eliminate oxygen from iron ore and produce iron. In the HYBRIT process, hydrogen gas is intended to take the place of coa land coke as sustainable substitutes. Hydrogen will first be produced through electrolysis of water using fossil-free electricity. Solid iron is subsequently melted down in a EAF. Fossil-free pellets trial is already completed. Hydrogen-based reduction and smelting trials and hydrogen storage installations are still ongoing"/>
        <s v="The process of SMR and converting and stilling the resulting synthetic gas mixture to obtain pure methanol is the predominant way that methanol is manufactured. Now working to produce methanol from excess hydrogen from SMRs coupled with access to natural gas. this Gismar 3 project has a budget of $1.25-$1.3B USD"/>
        <s v="The waste feedstock is first separated and processed. The carbon-rich wastes are converted into synthesis gas, which is purified before being treated with catalysts to make biofuels and commercial chemicals. A new plant to be operational by 2026 is expected to process some 400K tonnes of non-recyclable solid waster per year and produce close to 240K tonnes of methanol"/>
        <s v="The joint venture now operating 3 methanol-powered ships, and they announced to build 3 more vessels. Each vessel epected to burn some 12,500 tonnes of methanol per annum. The use of methanol as a fuel is claimed to eliminate Sox and PM, cut NOX by 60%, and reduce Co2 emissions by up to 15%"/>
        <s v="They use ATR to convert non-conventional short-chain hydrocarbons into syngas, followed by conversion to methanol. The green CO2 is recovered from biogas plants, flue gas or exhaust gas. Renewable electricity such as hydro or wind is used to produce the hydrogen."/>
      </sharedItems>
    </cacheField>
    <cacheField name="Value Capture" numFmtId="0">
      <sharedItems longText="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9.600768402779" createdVersion="8" refreshedVersion="8" minRefreshableVersion="3" recordCount="100" xr:uid="{D4099B12-1E3B-4B95-A777-7EF633CC665F}">
  <cacheSource type="worksheet">
    <worksheetSource ref="A1:X101" sheet="Australia"/>
  </cacheSource>
  <cacheFields count="24">
    <cacheField name="Plant" numFmtId="0">
      <sharedItems count="100">
        <s v="Yuri Hydrogen Project"/>
        <s v="Sun HQ Hydrogen Hub"/>
        <s v="Hydrogen Park Murray Valley"/>
        <s v="CSIRO Hydrogen Refueling Station"/>
        <s v="Toyota Ecopark Hydrogen Demonstration"/>
        <s v="Truganina HRS"/>
        <s v="Geelong New Energies Service Station Project"/>
        <s v="Hydrogen Park South Australia"/>
        <s v="Denham Hydrogen Demonstration Plant"/>
        <s v="Hazer Commercial Demonstration Plant"/>
        <s v="Refueling Station"/>
        <s v="ATCO Hydrogen Blending Project"/>
        <s v="Clean Energy Innovation Hub"/>
        <s v="Christmas Creek Renewable Hydrogen Mobility Project"/>
        <s v="Green Hydrogen and Battery Energy Storage System"/>
        <s v="Western Sydney Green Gas Project"/>
        <s v="Tallawarra B Dual Fuel Capable Gas/Hydrogen Power Plant"/>
        <s v="Port Kembla Hydrogen Reuelling Facility"/>
        <s v="Renewable Hydrogen Refueling Project"/>
        <s v="Sir Samuel Griffith Centre"/>
        <s v="Kogan Creek Renewable Hydrogen Demo Plant"/>
        <s v="APA Renewable Methane Demo Project"/>
        <s v="Sumitomo Green Hydrogen Production and Rio Tinto Decarbonization Production Pilot"/>
        <s v="Hydrogen Park Gladstone"/>
        <s v="ActewAGL Hydrogen Refueling Station"/>
        <s v="Cyrstal Brook Energy Park"/>
        <s v="Manilla Hydrogen Energy Storage System"/>
        <s v="Great Southern Project"/>
        <s v="Sojitz Queensland Project"/>
        <s v="ITM-Optimal Agreement"/>
        <s v="Tiwi H2"/>
        <s v="Western Green Energy Hydrogen Hub"/>
        <s v="Murchison Hydrogen Renewables Project"/>
        <s v="MEG-HP1"/>
        <s v="HyEnergy Project"/>
        <s v="Ord Hydrogen"/>
        <s v="Hydrogen Brighton Project"/>
        <s v="Hydrogen Launceston Project"/>
        <s v="HIF Carbon Neutral eFuels Manufacturing Facility"/>
        <s v="Desert Bloom Hydrogen"/>
        <s v="Green Springs Project"/>
        <s v="Bristol Springs Solar Hydrogen Project"/>
        <s v="H2Perth"/>
        <s v="Parmelia Green Hydrogen Project"/>
        <s v="H2Kwinana"/>
        <s v="Green Hydrogen for City of Cockburn"/>
        <s v="Collie Battery and Hydrogen Industrial Hub Project"/>
        <s v="Australian Renewable Energy Hub"/>
        <s v="Darwin H2 Hub"/>
        <s v="Cape Hardy Green Hydrogen Project"/>
        <s v="SM1"/>
        <s v="Eyre Peninsula Gateway Project"/>
        <s v="Port Bonython Hydrogen Hub"/>
        <s v="South Australian Government Hydrogen Facility"/>
        <s v="Port Pirie Green Hydrogen Project"/>
        <s v="Australian Hydrogen Centre"/>
        <s v="Hydrogen Portland Project"/>
        <s v="Portland Renewable Fuels"/>
        <s v="Warrnambool Hydrogen Mobility Project"/>
        <s v="Calix Zero Emissions Steel Technology FEED Study"/>
        <s v="Geelong Hydrogen Hub"/>
        <s v="Altona Renewable Hydrogen Plant"/>
        <s v="Melbourne Hydrogen Hub"/>
        <s v="Renewable Hydrogen Hydro-Gen1"/>
        <s v="Energys Renewable Hydrogen Production Facility"/>
        <s v="Manufacturing and Commercialization of Hydrogen Buses"/>
        <s v="Liquified Hydrogen Supply Chain Demonstration Project"/>
        <s v="Origin Green Hydrogen and Ammonia Project"/>
        <s v="Fortescue Green Hydrogen and Ammonia Plant"/>
        <s v="ABEL Energy Bell Bay Powerfuels Project"/>
        <s v="H2TAS Project"/>
        <s v="Grange Resources Renewable Hydrogen Study"/>
        <s v="ScaleH2"/>
        <s v="Port Kembla Hydrogen Hub"/>
        <s v="Illawarra Hydrogen Technology Hub"/>
        <s v="Hunter Hydrogen Hub"/>
        <s v="Hunter Valley Hydrogen Hub"/>
        <s v="Manilla Solar Phase 2 Hydrogen Energy Storage System"/>
        <s v="Good Earth Green Hydrogen and Ammonia Project"/>
        <s v="Goondiwindi Hydrogen"/>
        <s v="Future Energy and Hydrogen Precinct"/>
        <s v="Transdev Mobility Trial"/>
        <s v="Gibson Island Green Ammonia Project"/>
        <s v="Kogan Creek Hydrogen-Ready Gas Peaking Power Station"/>
        <s v="Daintree Microgrid Project"/>
        <s v="Green Hydrogen Export Project"/>
        <s v="Hydrogen Mobility Project (Aurizon)"/>
        <s v="Edify Green Hydrogen Project"/>
        <s v="Han-Ho H2 Hub Feasibility Study"/>
        <s v="Hay Point Hydrogen Export"/>
        <s v="Emerald Coaches Green Hydrogen Mobility Project"/>
        <s v="Hydrogen Powered Trains Feasiblity Study"/>
        <s v="Pacific Solar Hydrogen Project"/>
        <s v="SeaLink Hydrogen Ferry"/>
        <s v="Origin and ENEOS Hydrogen Partnership"/>
        <s v="Central Queensland Hydrogen Project"/>
        <s v="H2-HubTM Gladstone"/>
        <s v="Bio-Hydrogen Demo Plant"/>
        <s v="Green Methanol Feasibility Study"/>
        <s v="Utilitas-ReCarbon Organic Waste to green hydrogen technology"/>
      </sharedItems>
    </cacheField>
    <cacheField name="City/Region" numFmtId="0">
      <sharedItems/>
    </cacheField>
    <cacheField name="Country" numFmtId="0">
      <sharedItems/>
    </cacheField>
    <cacheField name="GEOID" numFmtId="0">
      <sharedItems/>
    </cacheField>
    <cacheField name="Latitude" numFmtId="0">
      <sharedItems containsSemiMixedTypes="0" containsString="0" containsNumber="1" minValue="-42.702228327403802" maxValue="-11.421484762041599"/>
    </cacheField>
    <cacheField name="Longitude" numFmtId="0">
      <sharedItems containsSemiMixedTypes="0" containsString="0" containsNumber="1" minValue="49.2904942194493" maxValue="153.19794222411701"/>
    </cacheField>
    <cacheField name="Capacity (MW)" numFmtId="0">
      <sharedItems containsString="0" containsBlank="1" containsNumber="1" minValue="1.2500000000000001E-2" maxValue="10000"/>
    </cacheField>
    <cacheField name="Hydrogen (kg/day)" numFmtId="0">
      <sharedItems containsString="0" containsBlank="1" containsNumber="1" minValue="1" maxValue="9589041"/>
    </cacheField>
    <cacheField name="Hydrogen (t/yr)" numFmtId="0">
      <sharedItems containsString="0" containsBlank="1" containsNumber="1" minValue="0" maxValue="3499999.9649999999"/>
    </cacheField>
    <cacheField name="Technology" numFmtId="0">
      <sharedItems containsBlank="1"/>
    </cacheField>
    <cacheField name="Energy Source" numFmtId="0">
      <sharedItems containsBlank="1"/>
    </cacheField>
    <cacheField name="Energy Capacity (MW)" numFmtId="0">
      <sharedItems containsString="0" containsBlank="1" containsNumber="1" minValue="0.1" maxValue="50000"/>
    </cacheField>
    <cacheField name="CO2 removed (tons/yr)" numFmtId="0">
      <sharedItems containsString="0" containsBlank="1" containsNumber="1" containsInteger="1" minValue="378" maxValue="20000000"/>
    </cacheField>
    <cacheField name="Cost" numFmtId="0">
      <sharedItems containsBlank="1" containsMixedTypes="1" containsNumber="1" containsInteger="1" minValue="13000000" maxValue="600000000"/>
    </cacheField>
    <cacheField name="Cost (USD)" numFmtId="0">
      <sharedItems containsString="0" containsBlank="1" containsNumber="1" containsInteger="1" minValue="240500" maxValue="65000000000"/>
    </cacheField>
    <cacheField name="End Use" numFmtId="0">
      <sharedItems containsBlank="1" count="22">
        <s v="Ammonia"/>
        <s v="Transportation"/>
        <s v="Blending"/>
        <s v="Transportation and Power Generation"/>
        <s v="Blending/Argon and Welding Gases."/>
        <s v="Power Generation"/>
        <m/>
        <s v="Blending, Transportation,"/>
        <s v="Power Generation and Transportation"/>
        <s v="Refining"/>
        <s v="Export"/>
        <s v="Heavy Transportation"/>
        <s v="Methanol"/>
        <s v="Methanol, Ammonia, e-kerosine"/>
        <s v="Unknown"/>
        <s v="Heavy Industry"/>
        <s v="Blending and Transportation"/>
        <s v="e-Methanol"/>
        <s v="Steel"/>
        <s v="Transportation and Backup Power"/>
        <s v="Export and Domestic"/>
        <s v="Chemicals"/>
      </sharedItems>
    </cacheField>
    <cacheField name="End Use Location" numFmtId="0">
      <sharedItems containsBlank="1"/>
    </cacheField>
    <cacheField name="Commissioning Year" numFmtId="0">
      <sharedItems containsMixedTypes="1" containsNumber="1" containsInteger="1" minValue="2013" maxValue="2032"/>
    </cacheField>
    <cacheField name="Operational, Under Construction, or at FID?" numFmtId="0">
      <sharedItems count="2">
        <s v="Yes"/>
        <s v="No"/>
      </sharedItems>
    </cacheField>
    <cacheField name="Demand Project?" numFmtId="0">
      <sharedItems containsBlank="1" count="11">
        <m/>
        <s v="Ammonia"/>
        <s v="Methanol"/>
        <s v="e-Methanol, Ammonia, or e-kerosine"/>
        <s v="Ammonia and Transportation"/>
        <s v="Marine"/>
        <s v="Transportation"/>
        <s v="Steel"/>
        <s v="Natural Gas Plant"/>
        <s v="Train"/>
        <s v="Refining"/>
      </sharedItems>
    </cacheField>
    <cacheField name="Midstream Project?" numFmtId="0">
      <sharedItems containsBlank="1"/>
    </cacheField>
    <cacheField name="Status" numFmtId="0">
      <sharedItems count="15">
        <s v="Under Constuction or FID"/>
        <s v="Operational"/>
        <s v="FID late 2023 or early 2024"/>
        <s v="Operational by 2030"/>
        <s v="Unknown"/>
        <s v="FEED"/>
        <s v="pre-FEED"/>
        <s v="FID October 2023"/>
        <s v="Construction in 2024"/>
        <s v="FID 2023"/>
        <s v="Design Trials"/>
        <s v="FID in 2024"/>
        <s v="Pilot"/>
        <s v="FID in 2023"/>
        <s v="Advanced Development"/>
      </sharedItems>
    </cacheField>
    <cacheField name="Company" numFmtId="0">
      <sharedItems/>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61.561743749997" createdVersion="8" refreshedVersion="8" minRefreshableVersion="3" recordCount="31" xr:uid="{CD87A22B-5C6A-4AA4-AB4D-656FA2510769}">
  <cacheSource type="worksheet">
    <worksheetSource ref="A1:AK32" sheet="National_Strategies"/>
  </cacheSource>
  <cacheFields count="39">
    <cacheField name="GEOID" numFmtId="0">
      <sharedItems/>
    </cacheField>
    <cacheField name="Region" numFmtId="0">
      <sharedItems/>
    </cacheField>
    <cacheField name="Country" numFmtId="0">
      <sharedItems count="31">
        <s v="Australia"/>
        <s v="Austria"/>
        <s v=" Belgium"/>
        <s v="Canada"/>
        <s v=" Chile"/>
        <s v=" Colombia"/>
        <s v=" Czech Republic"/>
        <s v=" Denmark"/>
        <s v=" France"/>
        <s v=" Germany"/>
        <s v=" Hungary"/>
        <s v="India"/>
        <s v=" Italy"/>
        <s v="Japan"/>
        <s v="Morocco"/>
        <s v=" Netherlands"/>
        <s v="New Zealand"/>
        <s v="Norway"/>
        <s v="Oman"/>
        <s v=" Panama"/>
        <s v=" Paraguay"/>
        <s v=" Poland"/>
        <s v=" Portugal"/>
        <s v="Rusia"/>
        <s v=" Slovak Republic"/>
        <s v="South Africa"/>
        <s v="South Korea"/>
        <s v=" Spain"/>
        <s v=" Sweden"/>
        <s v="United Kingdom"/>
        <s v=" Uruguay"/>
      </sharedItems>
    </cacheField>
    <cacheField name="Release Date" numFmtId="17">
      <sharedItems containsSemiMixedTypes="0" containsNonDate="0" containsDate="1" containsString="0" minDate="2019-01-01T00:00:00" maxDate="2022-06-02T00:00:00" count="22">
        <d v="2019-11-01T00:00:00"/>
        <d v="2022-06-01T00:00:00"/>
        <d v="2021-10-01T00:00:00"/>
        <d v="2020-12-01T00:00:00"/>
        <d v="2020-11-01T00:00:00"/>
        <d v="2021-09-01T00:00:00"/>
        <d v="2021-07-01T00:00:00"/>
        <d v="2021-12-01T00:00:00"/>
        <d v="2020-09-01T00:00:00"/>
        <d v="2020-06-01T00:00:00"/>
        <d v="2021-05-01T00:00:00"/>
        <d v="2021-02-01T00:00:00"/>
        <d v="2019-09-01T00:00:00"/>
        <d v="2021-08-01T00:00:00"/>
        <d v="2020-04-01T00:00:00"/>
        <d v="2022-01-01T00:00:00"/>
        <d v="2021-06-01T00:00:00"/>
        <d v="2021-11-01T00:00:00"/>
        <d v="2020-07-01T00:00:00"/>
        <d v="2020-10-01T00:00:00"/>
        <d v="2022-02-01T00:00:00"/>
        <d v="2019-01-01T00:00:00"/>
      </sharedItems>
      <fieldGroup par="38" base="3">
        <rangePr groupBy="months" startDate="2019-01-01T00:00:00" endDate="2022-06-02T00:00:00"/>
        <groupItems count="14">
          <s v="&lt;1/1/2019"/>
          <s v="Jan"/>
          <s v="Feb"/>
          <s v="Mar"/>
          <s v="Apr"/>
          <s v="May"/>
          <s v="Jun"/>
          <s v="Jul"/>
          <s v="Aug"/>
          <s v="Sep"/>
          <s v="Oct"/>
          <s v="Nov"/>
          <s v="Dec"/>
          <s v="&gt;6/2/2022"/>
        </groupItems>
      </fieldGroup>
    </cacheField>
    <cacheField name="Target in Mt by 2030 (lower bound)" numFmtId="0">
      <sharedItems containsSemiMixedTypes="0" containsString="0" containsNumber="1" minValue="0" maxValue="5"/>
    </cacheField>
    <cacheField name="Target in Mt by 2030 (upper bound)" numFmtId="0">
      <sharedItems containsSemiMixedTypes="0" containsString="0" containsNumber="1" minValue="0" maxValue="10"/>
    </cacheField>
    <cacheField name="Average 2030 production Targets" numFmtId="0">
      <sharedItems containsSemiMixedTypes="0" containsString="0" containsNumber="1" minValue="0" maxValue="5.3433999999999999" count="27">
        <n v="0.54290000000000005"/>
        <n v="0.17169999999999999"/>
        <n v="2.5700000000000001E-2"/>
        <n v="4"/>
        <n v="4.2919999999999998"/>
        <n v="0.36840000000000001"/>
        <n v="9.7000000000000003E-2"/>
        <n v="9.4449999999999992E-2"/>
        <n v="1.1160000000000001"/>
        <n v="0.85850000000000004"/>
        <n v="2.5000000000000001E-2"/>
        <n v="5"/>
        <n v="3"/>
        <n v="0.48070000000000002"/>
        <n v="0.60094999999999998"/>
        <n v="0.7"/>
        <n v="0"/>
        <n v="0.71084999999999998"/>
        <n v="1.1999999999999999E-3"/>
        <n v="0.34339999999999998"/>
        <n v="0.30044999999999999"/>
        <n v="1.1000000000000001"/>
        <n v="4.4999999999999998E-2"/>
        <n v="0.5"/>
        <n v="1.9"/>
        <n v="5.3433999999999999"/>
        <n v="0.55800000000000005"/>
      </sharedItems>
    </cacheField>
    <cacheField name="Funding Sources" numFmtId="0">
      <sharedItems count="3">
        <s v="Public"/>
        <s v="Public and Private"/>
        <s v="N/A"/>
      </sharedItems>
    </cacheField>
    <cacheField name="Pubic Investment Committed/Projected Costs" numFmtId="0">
      <sharedItems containsMixedTypes="1" containsNumber="1" containsInteger="1" minValue="0" maxValue="0" count="26">
        <s v="$1.4B AUD (by 2030)"/>
        <s v="€2.5-8B (by 2030)"/>
        <s v="€2.1-9.6B (by 2030)"/>
        <s v="$1.5 B CAN (by 2030)"/>
        <s v="$50 M USD (by 2030)"/>
        <s v="$140M/yr until 2040"/>
        <s v="€.8-2.6B (by 2030)"/>
        <s v="€.7-2.6B (by 2030)"/>
        <s v="€7.3-25.1B (by 2030)"/>
        <s v="€16.2-60.7B (by 2030)"/>
        <s v="€1.3-3.4B (by 2030)"/>
        <s v="N/A"/>
        <s v="€10B"/>
        <s v="$18B (by 2031)"/>
        <s v="€3.9-15.2B (by 2030)"/>
        <s v="€18.4M (2021)"/>
        <s v="$34B (by 2040)"/>
        <n v="0"/>
        <s v="$10M USD"/>
        <s v="€3-7.5B (by 2030)"/>
        <s v="€1.1-7.3B (by 2030)"/>
        <s v=".5-1.2B USD"/>
        <s v="$40.34B USD (by 2030)"/>
        <s v="€6.2-21B (by 2030)"/>
        <s v="€2.5-6.8B (by 2030)"/>
        <s v="€7-26B (by 2030)"/>
      </sharedItems>
    </cacheField>
    <cacheField name="Public Investment USD (low)" numFmtId="6">
      <sharedItems containsSemiMixedTypes="0" containsString="0" containsNumber="1" containsInteger="1" minValue="0" maxValue="40340000000"/>
    </cacheField>
    <cacheField name="Public Investment USD (high)" numFmtId="6">
      <sharedItems containsSemiMixedTypes="0" containsString="0" containsNumber="1" containsInteger="1" minValue="0" maxValue="61797759500"/>
    </cacheField>
    <cacheField name="Public Investment (average)" numFmtId="6">
      <sharedItems containsSemiMixedTypes="0" containsString="0" containsNumber="1" containsInteger="1" minValue="0" maxValue="40340000000"/>
    </cacheField>
    <cacheField name="Regulatory Landscape" numFmtId="0">
      <sharedItems count="5">
        <s v="No regulation"/>
        <s v="Limited regulation"/>
        <s v="Intermediate Regulation"/>
        <s v="Beginning Stages"/>
        <s v="Strong Regulation"/>
      </sharedItems>
    </cacheField>
    <cacheField name="Hub?" numFmtId="0">
      <sharedItems containsSemiMixedTypes="0" containsString="0" containsNumber="1" containsInteger="1" minValue="0" maxValue="1" count="2">
        <n v="1"/>
        <n v="0"/>
      </sharedItems>
    </cacheField>
    <cacheField name="Electrolysis from renewables?" numFmtId="0">
      <sharedItems containsSemiMixedTypes="0" containsString="0" containsNumber="1" containsInteger="1" minValue="0" maxValue="1"/>
    </cacheField>
    <cacheField name="Gas w/ CCS" numFmtId="0">
      <sharedItems containsSemiMixedTypes="0" containsString="0" containsNumber="1" containsInteger="1" minValue="0" maxValue="1"/>
    </cacheField>
    <cacheField name="Coal w/ CCS" numFmtId="0">
      <sharedItems containsSemiMixedTypes="0" containsString="0" containsNumber="1" containsInteger="1" minValue="0" maxValue="1"/>
    </cacheField>
    <cacheField name="Oil w/ CCS" numFmtId="0">
      <sharedItems containsSemiMixedTypes="0" containsString="0" containsNumber="1" containsInteger="1" minValue="0" maxValue="1"/>
    </cacheField>
    <cacheField name="By-Product H2" numFmtId="0">
      <sharedItems containsSemiMixedTypes="0" containsString="0" containsNumber="1" containsInteger="1" minValue="0" maxValue="1"/>
    </cacheField>
    <cacheField name="Electrolysis from Nuclear" numFmtId="0">
      <sharedItems containsSemiMixedTypes="0" containsString="0" containsNumber="1" containsInteger="1" minValue="0" maxValue="1"/>
    </cacheField>
    <cacheField name="Biomass" numFmtId="0">
      <sharedItems containsSemiMixedTypes="0" containsString="0" containsNumber="1" containsInteger="1" minValue="0" maxValue="1"/>
    </cacheField>
    <cacheField name="LDV FCEV" numFmtId="0">
      <sharedItems containsSemiMixedTypes="0" containsString="0" containsNumber="1" containsInteger="1" minValue="0" maxValue="1"/>
    </cacheField>
    <cacheField name="MDV FCEV" numFmtId="0">
      <sharedItems containsSemiMixedTypes="0" containsString="0" containsNumber="1" containsInteger="1" minValue="0" maxValue="1"/>
    </cacheField>
    <cacheField name="HDV FCEV" numFmtId="0">
      <sharedItems containsSemiMixedTypes="0" containsString="0" containsNumber="1" containsInteger="1" minValue="0" maxValue="1"/>
    </cacheField>
    <cacheField name="Rail Transport" numFmtId="0">
      <sharedItems containsSemiMixedTypes="0" containsString="0" containsNumber="1" containsInteger="1" minValue="0" maxValue="1"/>
    </cacheField>
    <cacheField name="Maritime Transport" numFmtId="0">
      <sharedItems containsSemiMixedTypes="0" containsString="0" containsNumber="1" containsInteger="1" minValue="0" maxValue="1"/>
    </cacheField>
    <cacheField name="Aviation Transport" numFmtId="0">
      <sharedItems containsSemiMixedTypes="0" containsString="0" containsNumber="1" containsInteger="1" minValue="0" maxValue="1"/>
    </cacheField>
    <cacheField name="Refueling Stations" numFmtId="0">
      <sharedItems containsSemiMixedTypes="0" containsString="0" containsNumber="1" containsInteger="1" minValue="0" maxValue="1"/>
    </cacheField>
    <cacheField name="Iron and Steel" numFmtId="0">
      <sharedItems containsSemiMixedTypes="0" containsString="0" containsNumber="1" containsInteger="1" minValue="0" maxValue="1"/>
    </cacheField>
    <cacheField name="Ammonia" numFmtId="0">
      <sharedItems containsSemiMixedTypes="0" containsString="0" containsNumber="1" containsInteger="1" minValue="0" maxValue="1"/>
    </cacheField>
    <cacheField name="Refining" numFmtId="0">
      <sharedItems containsSemiMixedTypes="0" containsString="0" containsNumber="1" containsInteger="1" minValue="0" maxValue="1"/>
    </cacheField>
    <cacheField name="Cement" numFmtId="0">
      <sharedItems containsSemiMixedTypes="0" containsString="0" containsNumber="1" containsInteger="1" minValue="0" maxValue="1"/>
    </cacheField>
    <cacheField name="Glass" numFmtId="0">
      <sharedItems containsSemiMixedTypes="0" containsString="0" containsNumber="1" containsInteger="1" minValue="0" maxValue="1"/>
    </cacheField>
    <cacheField name="Blending" numFmtId="0">
      <sharedItems containsSemiMixedTypes="0" containsString="0" containsNumber="1" containsInteger="1" minValue="0" maxValue="1"/>
    </cacheField>
    <cacheField name="Power Generation and Back-up" numFmtId="0">
      <sharedItems containsSemiMixedTypes="0" containsString="0" containsNumber="1" containsInteger="1" minValue="0" maxValue="1"/>
    </cacheField>
    <cacheField name="Residential and Commercial Heating" numFmtId="0">
      <sharedItems containsSemiMixedTypes="0" containsString="0" containsNumber="1" containsInteger="1" minValue="0" maxValue="1"/>
    </cacheField>
    <cacheField name="Source" numFmtId="0">
      <sharedItems containsBlank="1" count="25">
        <s v="https://www.dcceew.gov.au/energy/publications/australias-national-hydrogen-strategy#:~:text=The%20Australian%20Government%20will%20be,the%20decarbonization%20of%20Australian%20industries."/>
        <s v="https://www.bmk.gv.at/themen/energie/energieversorgung/wasserstoff/strategie.html"/>
        <s v="https://www.allenovery.com/en-gb/germany/news-and-insights/publications/the-belgian-federal-hydrogen-vision-and-strategy#:~:text=The%20Belgian%20federal%20hydrogen%20strategy%20envisages%20the%20exclusive,in%20a%20low-carbon%20manner%20will%20also%20be%20"/>
        <s v="https://www.nrcan.gc.ca/sites/nrcan/files/environment/hydrogen/NRCan_Hydrogen%20Strategy%20for%20Canada%20Dec%2015%202200%20clean_low_accessible.pdf"/>
        <m/>
        <s v="https://ptx-hub.org/colombia/#:~:text=The%20National%20Hydrogen%20Strategy%20and,on%20long%2Dhaul%20heavy%20duty."/>
        <s v="https://www.mpo.cz/assets/cz/prumysl/strategicke-projekty/2021/9/Hydrogen-Strategy_CZ_2021-09-09.pdf"/>
        <s v="https://ens.dk/sites/ens.dk/files/ptx/strategy_ptx.pdf "/>
        <s v="https://www.tresor.economie.gouv.fr/Articles/4a1ac560-a021-4358-a466-f5430928a1db/files/7d2fd0e2-8a3d-4ce8-bbb3-94cbd5b9c3d1"/>
        <s v="https://www.bmwk.de/Redaktion/EN/Publikationen/Energie/the-national-hydrogen-strategy.pdf?__blob=publicationFile&amp;v=6"/>
        <s v="https://www.climate-laws.org/document/national-hydrogen-strategy_573e"/>
        <s v="https://www.india.gov.in/spotlight/national-green-hydrogen-mission#:~:text=The%20National%20Green%20Hydrogen%20Mission,Green%20Hydrogen%20and%20its%20derivatives"/>
        <s v="https://www.cesi.it/app/uploads/2021/10/CESI-Studies-Italian-Hydrogen-Strategy-1.pdf"/>
        <s v="https://www.hydrogenenergysupplychain.com/wp-content/uploads/2021/07/0312_002b.pdf"/>
        <s v="https://gh2.org/countries/morocco"/>
        <s v="https://www.government.nl/documents/publications/2020/04/06/government-strategy-on-hydrogen"/>
        <s v="https://www.mbie.govt.nz/building-and-energy/energy-and-natural-resources/energy-strategies-for-new-zealand/hydrogen-in-new-zealand/#:~:text=Growing%20New%20Zealand's%20hydrogen%20industry,cent%20renewable%20electricity%20by%202030."/>
        <s v="https://www.regjeringen.no/contentassets/8ffd54808d7e42e8bce81340b13b6b7d/hydrogenstrategien-engelsk.pdf "/>
        <s v="https://gaspathways.com/oman-unveils-green-hydrogen-strategy-1364"/>
        <s v="https://www.energia.gob.pa/wp-content/uploads/2023/04/Resolución-No.-MIPRE-2023-0015577-de-28-de-abril-de-2023-Consulta-Pública-de-la-versión-preliminar-de-la-ENHIVE.pdf"/>
        <s v="https://www.ssme.gov.py/vmme/pdf/H2/DIGITAL_ENG_H2%20Propuesta_de_Innovacion.pdf "/>
        <s v="https://www.allenovery.com/en-gb/global/news-and-insights/publications/polish-hydrogen-strategy#:~:text=The%20Strategy%20sets%20out%20the,energy%2C%20transport%20and%20industry%20sectors."/>
        <s v="https://www.dst.gov.za/images/South_African_Hydrogen_Society_RoadmapV1.pdf "/>
        <s v="https://www.wfw.com/articles/the-spanish-hydrogen-strategy/ "/>
        <s v="https://www.gub.uy/ministerio-industria-energia-mineria/politicas-y-gestion/national-green-hydrogen-strategy "/>
      </sharedItems>
    </cacheField>
    <cacheField name="Quarters" numFmtId="0" databaseField="0">
      <fieldGroup base="3">
        <rangePr groupBy="quarters" startDate="2019-01-01T00:00:00" endDate="2022-06-02T00:00:00"/>
        <groupItems count="6">
          <s v="&lt;1/1/2019"/>
          <s v="Qtr1"/>
          <s v="Qtr2"/>
          <s v="Qtr3"/>
          <s v="Qtr4"/>
          <s v="&gt;6/2/2022"/>
        </groupItems>
      </fieldGroup>
    </cacheField>
    <cacheField name="Years" numFmtId="0" databaseField="0">
      <fieldGroup base="3">
        <rangePr groupBy="years" startDate="2019-01-01T00:00:00" endDate="2022-06-02T00:00:00"/>
        <groupItems count="6">
          <s v="&lt;1/1/2019"/>
          <s v="2019"/>
          <s v="2020"/>
          <s v="2021"/>
          <s v="2022"/>
          <s v="&gt;6/2/2022"/>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70.704580092592" createdVersion="8" refreshedVersion="8" minRefreshableVersion="3" recordCount="75" xr:uid="{A7060216-22F2-4D9C-9E95-57F1D1D6B388}">
  <cacheSource type="worksheet">
    <worksheetSource ref="A1:X1020" sheet="FID_Internationally"/>
  </cacheSource>
  <cacheFields count="21">
    <cacheField name="Plant" numFmtId="0">
      <sharedItems count="75">
        <s v="Puertollano"/>
        <s v="Holland Hydrogen I"/>
        <s v="Zhangjiakou"/>
        <s v="Baofeng Project"/>
        <s v="Kuqa Project"/>
        <s v="Inner Mongolia Erdos Wind-Solar Green Hydrogen Project"/>
        <s v="Becancour Air Liquide Project"/>
        <s v="Donaldsonville Green Hydrogen Project"/>
        <s v="St. Gabriel Hydrogen Plant"/>
        <s v="Sauk Valley Hydrogen Plant"/>
        <s v="Peachtree Hydrogen Plant"/>
        <s v="Camden County Hydrogen Plant"/>
        <s v="Casa Grande Green Hydrogen Plant"/>
        <s v="Neom Hydrogen Project"/>
        <s v="Yuri Hydrogen Project"/>
        <s v="Sun HQ Hydrogen Hub"/>
        <s v="Hydrogen Park Murray Valley"/>
        <s v="CSIRO Hydrogen Refueling Station"/>
        <s v="Toyota Ecopark Hydrogen Demonstration"/>
        <s v="Truganina HRS"/>
        <s v="Geelong New Energies Service Station Project"/>
        <s v="Hydrogen Park South Australia"/>
        <s v="Denham Hydrogen Demonstration Plant"/>
        <s v="Hazer Commercial Demonstration Plant"/>
        <s v="Refueling Station"/>
        <s v="ATCO Hydrogen Blending Project"/>
        <s v="Clean Energy Innovation Hub"/>
        <s v="Christmas Creek Renewable Hydrogen Mobility Project"/>
        <s v="Green Hydrogen and Battery Energy Storage System"/>
        <s v="Western Sydney Green Gas Project"/>
        <s v="Tallawarra B Dual Fuel Capable Gas/Hydrogen Power Plant"/>
        <s v="Port Kembla Hydrogen Reuelling Facility"/>
        <s v="Renewable Hydrogen Refueling Project"/>
        <s v="Sir Samuel Griffith Centre"/>
        <s v="Kogan Creek Renewable Hydrogen Demo Plant"/>
        <s v="APA Renewable Methane Demo Project"/>
        <s v="Sumitomo Green Hydrogen Production and Rio Tinto Decarbonization Production Pilot"/>
        <s v="Hydrogen Park Gladstone"/>
        <s v="ActewAGL Hydrogen Refueling Station"/>
        <s v="Cyrstal Brook Energy Park"/>
        <s v="Manilla Hydrogen Energy Storage System"/>
        <s v="Great Southern Project"/>
        <s v="Sojitz Queensland Project"/>
        <s v="ITM-Optimal Agreement"/>
        <s v="Montgomery County Bus Depot"/>
        <s v="Cavendish NextGen Hydrogen Hub"/>
        <s v="Coffeyville Fertilizer Plant"/>
        <s v="Douglas PUD Industrial Area"/>
        <s v="H2 SilverSTARS"/>
        <s v="Enid Fertilizer Plant"/>
        <s v="NY STAMP Business Park Hydrogen Production Facility"/>
        <s v="ARIES - Flatirons Campus"/>
        <s v="H2@Scale Demo and Framework for Texas and Beyond"/>
        <s v="Great Plains Synfuel Plant"/>
        <s v="Olive Creek 1"/>
        <s v="Toyota Port of Long Beach FuelCell Energy SureSource Hydrogen Project"/>
        <s v="Champaign-Urbana Mass Transit"/>
        <s v="North Las Vegas LH2 plant"/>
        <s v="SHG2 Lancaster Project"/>
        <s v="PCS Nitrogen Clean Ammonia Project"/>
        <s v="Valero Port Arthur Refinery"/>
        <s v="Maire Tecnimont green ammonia facility"/>
        <s v="Calumet Great Falls Renewable Hydrogen Plant"/>
        <s v="Linde Hydrogen Plant"/>
        <s v="Plug Power Hydrogen Plant"/>
        <s v="Yosemite Clean Energy"/>
        <s v="NEL-Nikola Hydrogen Agreement"/>
        <s v="SoCalGas-NREL Pilot Project"/>
        <s v="Standard Hydrogen Energy Transfer System"/>
        <s v="OMNI CT California Waste to Hydrogen Plant"/>
        <s v="New Jersey Resources Howell"/>
        <s v="SunLine Zero-Emisssions"/>
        <s v="Canton Transit Authority Hydrogen Bus Fleet"/>
        <s v="Ohio State University Hydrogen Turbine USTR Grant"/>
        <s v="Mercedes-Plug Power Fuel Cell forklift Deal"/>
      </sharedItems>
    </cacheField>
    <cacheField name="City/Region" numFmtId="0">
      <sharedItems containsBlank="1"/>
    </cacheField>
    <cacheField name="Country" numFmtId="0">
      <sharedItems/>
    </cacheField>
    <cacheField name="GEOID" numFmtId="0">
      <sharedItems count="7">
        <s v="SPA"/>
        <s v="NLD"/>
        <s v="CHI"/>
        <s v="CAN"/>
        <s v="USA"/>
        <s v="SAU"/>
        <s v="AUS"/>
      </sharedItems>
    </cacheField>
    <cacheField name="Latitude" numFmtId="0">
      <sharedItems containsBlank="1" containsMixedTypes="1" containsNumber="1" minValue="30.100994592282198" maxValue="47.573136458838903"/>
    </cacheField>
    <cacheField name="Longitude" numFmtId="0">
      <sharedItems containsBlank="1" containsMixedTypes="1" containsNumber="1" minValue="-122.081267" maxValue="-73.784359292477404"/>
    </cacheField>
    <cacheField name="Capacity (MW)" numFmtId="0">
      <sharedItems containsString="0" containsBlank="1" containsNumber="1" minValue="1.2500000000000001E-2" maxValue="200"/>
    </cacheField>
    <cacheField name="Hydrogen (kg/day)" numFmtId="0">
      <sharedItems containsString="0" containsBlank="1" containsNumber="1" containsInteger="1" minValue="1" maxValue="849000"/>
    </cacheField>
    <cacheField name="Hydrogen (t/yr)" numFmtId="0">
      <sharedItems containsSemiMixedTypes="0" containsString="0" containsNumber="1" minValue="0" maxValue="309885"/>
    </cacheField>
    <cacheField name="Technology" numFmtId="0">
      <sharedItems containsBlank="1" count="17">
        <s v="Electrolysis"/>
        <s v="PEM Electrolysis"/>
        <s v="Alkaline Electrolysis"/>
        <s v="Eletrolysis"/>
        <s v="Pyrolysis"/>
        <m/>
        <s v="Gas Turbine"/>
        <s v="SMR"/>
        <s v="Anion Exchange Membrane Electrolysis"/>
        <s v="CCS w/ EOR"/>
        <s v="CCS w/ RNG"/>
        <s v="ATR w/ CCS"/>
        <s v="Biogas Reformation"/>
        <s v="Biowaste Gasification"/>
        <s v="Unknown"/>
        <s v="Hydrogen Turbines"/>
        <s v="Fuel Cell Forklifts"/>
      </sharedItems>
    </cacheField>
    <cacheField name="Energy Source" numFmtId="0">
      <sharedItems containsBlank="1"/>
    </cacheField>
    <cacheField name="Energy Capacity (MW)" numFmtId="0">
      <sharedItems containsString="0" containsBlank="1" containsNumber="1" minValue="0.1" maxValue="4000"/>
    </cacheField>
    <cacheField name="CO2 removed (tons/yr)" numFmtId="0">
      <sharedItems containsString="0" containsBlank="1" containsNumber="1" containsInteger="1" minValue="378" maxValue="4200000"/>
    </cacheField>
    <cacheField name="Cost" numFmtId="0">
      <sharedItems containsBlank="1" containsMixedTypes="1" containsNumber="1" containsInteger="1" minValue="2200000" maxValue="5000000000"/>
    </cacheField>
    <cacheField name="End Use" numFmtId="0">
      <sharedItems containsBlank="1" count="18">
        <s v="Ammonia"/>
        <s v="Refining"/>
        <s v="Transportation"/>
        <m/>
        <s v="Chemicals"/>
        <s v="Power Generation"/>
        <s v="Blending"/>
        <s v="Transportation and Power Generation"/>
        <s v="Blending/Argon and Welding Gases."/>
        <s v="Blending, Transportation,"/>
        <s v="Power Generation and Transportation"/>
        <s v="Export"/>
        <s v="Data Center"/>
        <s v="Synfuels"/>
        <s v="Biofuels"/>
        <s v="Materials Handling"/>
        <s v="Power Generation and Blending" u="1"/>
        <s v="Power" u="1"/>
      </sharedItems>
    </cacheField>
    <cacheField name="End Use Location" numFmtId="0">
      <sharedItems containsBlank="1" longText="1"/>
    </cacheField>
    <cacheField name="Commissioning Year" numFmtId="0">
      <sharedItems containsSemiMixedTypes="0" containsString="0" containsNumber="1" containsInteger="1" minValue="2003" maxValue="2026" count="13">
        <n v="2023"/>
        <n v="2025"/>
        <n v="2022"/>
        <n v="2021"/>
        <n v="2024"/>
        <n v="2019"/>
        <n v="2013"/>
        <n v="2011"/>
        <n v="2003"/>
        <n v="2020"/>
        <n v="2026"/>
        <n v="2018"/>
        <n v="2016"/>
      </sharedItems>
    </cacheField>
    <cacheField name="Operational, Under Construction, or at FID?" numFmtId="0">
      <sharedItems/>
    </cacheField>
    <cacheField name="Status" numFmtId="0">
      <sharedItems count="2">
        <s v="Under Constuction or FID"/>
        <s v="Operational"/>
      </sharedItems>
    </cacheField>
    <cacheField name="Company" numFmtId="0">
      <sharedItems containsBlank="1"/>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5.755079282404" createdVersion="8" refreshedVersion="8" minRefreshableVersion="3" recordCount="1" xr:uid="{78DBAE0D-93BC-471B-B304-DCDFFE06E267}">
  <cacheSource type="worksheet">
    <worksheetSource ref="AN1:BX2" sheet="Australia"/>
  </cacheSource>
  <cacheFields count="37">
    <cacheField name="GEOID" numFmtId="0">
      <sharedItems/>
    </cacheField>
    <cacheField name="Region" numFmtId="0">
      <sharedItems/>
    </cacheField>
    <cacheField name="Country" numFmtId="0">
      <sharedItems count="1">
        <s v="Australia"/>
      </sharedItems>
    </cacheField>
    <cacheField name="Release Date" numFmtId="0">
      <sharedItems containsSemiMixedTypes="0" containsString="0" containsNumber="1" containsInteger="1" minValue="43770" maxValue="43770"/>
    </cacheField>
    <cacheField name="Target in Mt by 2030 (lower bound)" numFmtId="0">
      <sharedItems containsSemiMixedTypes="0" containsString="0" containsNumber="1" minValue="8.5800000000000001E-2" maxValue="8.5800000000000001E-2" count="1">
        <n v="8.5800000000000001E-2"/>
      </sharedItems>
    </cacheField>
    <cacheField name="Target in Mt by 2030 (upper bound)" numFmtId="0">
      <sharedItems containsSemiMixedTypes="0" containsString="0" containsNumber="1" containsInteger="1" minValue="1" maxValue="1" count="1">
        <n v="1"/>
      </sharedItems>
    </cacheField>
    <cacheField name="Average 2030 production Targets" numFmtId="0">
      <sharedItems containsSemiMixedTypes="0" containsString="0" containsNumber="1" minValue="0.54290000000000005" maxValue="0.54290000000000005"/>
    </cacheField>
    <cacheField name="Funding Sources" numFmtId="0">
      <sharedItems/>
    </cacheField>
    <cacheField name="Pubic Investment Committed/Projected Costs" numFmtId="0">
      <sharedItems count="1">
        <s v="$1.4B AUD (by 2030)"/>
      </sharedItems>
    </cacheField>
    <cacheField name="Public Investment USD (low)" numFmtId="0">
      <sharedItems containsSemiMixedTypes="0" containsString="0" containsNumber="1" containsInteger="1" minValue="971201000" maxValue="971201000"/>
    </cacheField>
    <cacheField name="Public Investment USD (high)" numFmtId="0">
      <sharedItems containsSemiMixedTypes="0" containsString="0" containsNumber="1" containsInteger="1" minValue="971201000" maxValue="971201000" count="1">
        <n v="971201000"/>
      </sharedItems>
    </cacheField>
    <cacheField name="Public Investment (average)" numFmtId="0">
      <sharedItems containsSemiMixedTypes="0" containsString="0" containsNumber="1" containsInteger="1" minValue="971201000" maxValue="971201000"/>
    </cacheField>
    <cacheField name="Regulatory Landscape" numFmtId="0">
      <sharedItems/>
    </cacheField>
    <cacheField name="Hub?" numFmtId="0">
      <sharedItems containsSemiMixedTypes="0" containsString="0" containsNumber="1" containsInteger="1" minValue="1" maxValue="1"/>
    </cacheField>
    <cacheField name="Electrolysis from renewables?" numFmtId="0">
      <sharedItems containsSemiMixedTypes="0" containsString="0" containsNumber="1" containsInteger="1" minValue="1" maxValue="1"/>
    </cacheField>
    <cacheField name="Gas w/ CCS" numFmtId="0">
      <sharedItems containsSemiMixedTypes="0" containsString="0" containsNumber="1" containsInteger="1" minValue="1" maxValue="1"/>
    </cacheField>
    <cacheField name="Coal w/ CCS" numFmtId="0">
      <sharedItems containsSemiMixedTypes="0" containsString="0" containsNumber="1" containsInteger="1" minValue="1" maxValue="1"/>
    </cacheField>
    <cacheField name="Oil w/ CCS" numFmtId="0">
      <sharedItems containsSemiMixedTypes="0" containsString="0" containsNumber="1" containsInteger="1" minValue="0" maxValue="0"/>
    </cacheField>
    <cacheField name="By-Product H2" numFmtId="0">
      <sharedItems containsSemiMixedTypes="0" containsString="0" containsNumber="1" containsInteger="1" minValue="0" maxValue="0"/>
    </cacheField>
    <cacheField name="Electrolysis from Nuclear" numFmtId="0">
      <sharedItems containsSemiMixedTypes="0" containsString="0" containsNumber="1" containsInteger="1" minValue="0" maxValue="0"/>
    </cacheField>
    <cacheField name="Biomass" numFmtId="0">
      <sharedItems containsSemiMixedTypes="0" containsString="0" containsNumber="1" containsInteger="1" minValue="0" maxValue="0"/>
    </cacheField>
    <cacheField name="LDV FCEV" numFmtId="0">
      <sharedItems containsSemiMixedTypes="0" containsString="0" containsNumber="1" containsInteger="1" minValue="1" maxValue="1"/>
    </cacheField>
    <cacheField name="MDV FCEV" numFmtId="0">
      <sharedItems containsSemiMixedTypes="0" containsString="0" containsNumber="1" containsInteger="1" minValue="1" maxValue="1"/>
    </cacheField>
    <cacheField name="HDV FCEV" numFmtId="0">
      <sharedItems containsSemiMixedTypes="0" containsString="0" containsNumber="1" containsInteger="1" minValue="1" maxValue="1"/>
    </cacheField>
    <cacheField name="Rail Transport" numFmtId="0">
      <sharedItems containsSemiMixedTypes="0" containsString="0" containsNumber="1" containsInteger="1" minValue="1" maxValue="1"/>
    </cacheField>
    <cacheField name="Maritime Transport" numFmtId="0">
      <sharedItems containsSemiMixedTypes="0" containsString="0" containsNumber="1" containsInteger="1" minValue="1" maxValue="1"/>
    </cacheField>
    <cacheField name="Aviation Transport" numFmtId="0">
      <sharedItems containsSemiMixedTypes="0" containsString="0" containsNumber="1" containsInteger="1" minValue="1" maxValue="1"/>
    </cacheField>
    <cacheField name="Refueling Stations" numFmtId="0">
      <sharedItems containsSemiMixedTypes="0" containsString="0" containsNumber="1" containsInteger="1" minValue="1" maxValue="1"/>
    </cacheField>
    <cacheField name="Iron and Steel" numFmtId="0">
      <sharedItems containsSemiMixedTypes="0" containsString="0" containsNumber="1" containsInteger="1" minValue="1" maxValue="1"/>
    </cacheField>
    <cacheField name="Ammonia" numFmtId="0">
      <sharedItems containsSemiMixedTypes="0" containsString="0" containsNumber="1" containsInteger="1" minValue="0" maxValue="0"/>
    </cacheField>
    <cacheField name="Refining" numFmtId="0">
      <sharedItems containsSemiMixedTypes="0" containsString="0" containsNumber="1" containsInteger="1" minValue="0" maxValue="0"/>
    </cacheField>
    <cacheField name="Cement" numFmtId="0">
      <sharedItems containsSemiMixedTypes="0" containsString="0" containsNumber="1" containsInteger="1" minValue="0" maxValue="0"/>
    </cacheField>
    <cacheField name="Glass" numFmtId="0">
      <sharedItems containsSemiMixedTypes="0" containsString="0" containsNumber="1" containsInteger="1" minValue="0" maxValue="0"/>
    </cacheField>
    <cacheField name="Blending" numFmtId="0">
      <sharedItems containsSemiMixedTypes="0" containsString="0" containsNumber="1" containsInteger="1" minValue="0" maxValue="0"/>
    </cacheField>
    <cacheField name="Power Generation and Back-up" numFmtId="0">
      <sharedItems containsSemiMixedTypes="0" containsString="0" containsNumber="1" containsInteger="1" minValue="1" maxValue="1"/>
    </cacheField>
    <cacheField name="Residential and Commercial Heating" numFmtId="0">
      <sharedItems containsSemiMixedTypes="0" containsString="0" containsNumber="1" containsInteger="1" minValue="1" maxValue="1"/>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6.367049768516" createdVersion="8" refreshedVersion="8" minRefreshableVersion="3" recordCount="9" xr:uid="{DDAB7C5D-5C04-4E2C-A16E-93C65E32B73C}">
  <cacheSource type="worksheet">
    <worksheetSource name="Table_Table47"/>
  </cacheSource>
  <cacheFields count="13">
    <cacheField name="GEOID" numFmtId="0">
      <sharedItems/>
    </cacheField>
    <cacheField name="City/Region" numFmtId="0">
      <sharedItems/>
    </cacheField>
    <cacheField name="State" numFmtId="0">
      <sharedItems/>
    </cacheField>
    <cacheField name="Producer" numFmtId="0">
      <sharedItems count="7">
        <s v="BOC"/>
        <s v="Ampol"/>
        <s v="Coogee Chemicals"/>
        <s v="Incitec Pivot"/>
        <s v="Kooragang Island"/>
        <s v="Yara"/>
        <s v="Wesfarmers CBSP"/>
      </sharedItems>
    </cacheField>
    <cacheField name="Technology" numFmtId="0">
      <sharedItems count="2">
        <s v="SMR"/>
        <s v="Cryogenic"/>
      </sharedItems>
    </cacheField>
    <cacheField name="On Stream Date" numFmtId="0">
      <sharedItems containsString="0" containsBlank="1" containsNumber="1" containsInteger="1" minValue="2000" maxValue="2008"/>
    </cacheField>
    <cacheField name="Hydrogen Production (kg/day)" numFmtId="0">
      <sharedItems containsString="0" containsBlank="1" containsNumber="1" minValue="1527.96" maxValue="353138.52"/>
    </cacheField>
    <cacheField name="Type" numFmtId="0">
      <sharedItems/>
    </cacheField>
    <cacheField name="Form" numFmtId="0">
      <sharedItems/>
    </cacheField>
    <cacheField name="Demand" numFmtId="0">
      <sharedItems containsBlank="1" count="4">
        <s v="Refinery"/>
        <m/>
        <s v="Chemicals"/>
        <s v="Ammonia"/>
      </sharedItems>
    </cacheField>
    <cacheField name="Column1" numFmtId="0">
      <sharedItems/>
    </cacheField>
    <cacheField name="Column2" numFmtId="0">
      <sharedItems containsNonDate="0" containsString="0" containsBlank="1"/>
    </cacheField>
    <cacheField name="Additional Information"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6.370507754633" createdVersion="8" refreshedVersion="8" minRefreshableVersion="3" recordCount="18" xr:uid="{D55865E6-C835-466D-BB75-B5702485806B}">
  <cacheSource type="worksheet">
    <worksheetSource name="Table_Table710"/>
  </cacheSource>
  <cacheFields count="13">
    <cacheField name="GEOID" numFmtId="0">
      <sharedItems/>
    </cacheField>
    <cacheField name="LNG Terminal" numFmtId="0">
      <sharedItems count="15">
        <s v="Geelong FSRU"/>
        <s v="Port Adelaide LNG Terminal"/>
        <s v="Port Phillip Bay FSRU"/>
        <s v="Port Kembla FSRU"/>
        <s v="Australian Pacific LNG Terminal"/>
        <s v="Queensland Curtis LNG Terminal"/>
        <s v="Gladstone LNG Terminal"/>
        <s v="Darwin LNG Terminal"/>
        <s v="Prelude FLNG"/>
        <s v="Ichtys LNG Pty Ltd"/>
        <s v="Wheatstone LNG Terminal"/>
        <s v="Gorgon LNG Terminal"/>
        <s v="Browse FLNG Terminal"/>
        <s v="Northwest Shelf LNG Terminal"/>
        <s v="Pluto LNG Terminal"/>
      </sharedItems>
    </cacheField>
    <cacheField name="Status" numFmtId="0">
      <sharedItems count="4">
        <s v="Proposed, pre-FID"/>
        <s v="FID"/>
        <s v="Under Construction"/>
        <s v="Operational"/>
      </sharedItems>
    </cacheField>
    <cacheField name="Number of Terminals" numFmtId="0">
      <sharedItems containsSemiMixedTypes="0" containsString="0" containsNumber="1" containsInteger="1" minValue="1" maxValue="3"/>
    </cacheField>
    <cacheField name="Commissioning Year" numFmtId="0">
      <sharedItems containsString="0" containsBlank="1" containsNumber="1" containsInteger="1" minValue="1992" maxValue="2026" count="12">
        <m/>
        <n v="2024"/>
        <n v="2023"/>
        <n v="2017"/>
        <n v="2015"/>
        <n v="2016"/>
        <n v="2006"/>
        <n v="2018"/>
        <n v="1992"/>
        <n v="2008"/>
        <n v="2012"/>
        <n v="2026"/>
      </sharedItems>
    </cacheField>
    <cacheField name="Location" numFmtId="0">
      <sharedItems/>
    </cacheField>
    <cacheField name="Import or Export" numFmtId="0">
      <sharedItems count="2">
        <s v="Import"/>
        <s v="Export"/>
      </sharedItems>
    </cacheField>
    <cacheField name="Capacity (tonnes per year)" numFmtId="0">
      <sharedItems containsBlank="1" containsMixedTypes="1" containsNumber="1" containsInteger="1" minValue="1900000" maxValue="15600000" count="17">
        <s v="-"/>
        <n v="2300000"/>
        <m/>
        <n v="1900000"/>
        <n v="9000000"/>
        <n v="8500000"/>
        <n v="8000000"/>
        <n v="7400000"/>
        <n v="3600000"/>
        <n v="8900000"/>
        <n v="4450000"/>
        <n v="15600000"/>
        <n v="11400000"/>
        <n v="7500000"/>
        <n v="9200000"/>
        <n v="4900000"/>
        <n v="5000000"/>
      </sharedItems>
    </cacheField>
    <cacheField name="Company" numFmtId="0">
      <sharedItems/>
    </cacheField>
    <cacheField name="Cost (2022 USD)" numFmtId="0">
      <sharedItems containsString="0" containsBlank="1" containsNumber="1" containsInteger="1" minValue="132285000" maxValue="55000000000"/>
    </cacheField>
    <cacheField name="Latitude" numFmtId="0">
      <sharedItems containsMixedTypes="1" containsNumber="1" minValue="-20.79" maxValue="-17.961943999999999"/>
    </cacheField>
    <cacheField name="Longitude" numFmtId="0">
      <sharedItems containsString="0" containsBlank="1" containsNumber="1" minValue="115.44965000000001" maxValue="122.23611099999999"/>
    </cacheField>
    <cacheField name="Detail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6.545340625002" createdVersion="8" refreshedVersion="8" minRefreshableVersion="3" recordCount="5" xr:uid="{7364DB7B-23E2-40CD-9C3B-3F32EA804D5D}">
  <cacheSource type="worksheet">
    <worksheetSource ref="DV1:ED6" sheet="Australia"/>
  </cacheSource>
  <cacheFields count="9">
    <cacheField name="City" numFmtId="0">
      <sharedItems/>
    </cacheField>
    <cacheField name="State" numFmtId="0">
      <sharedItems containsNonDate="0" containsString="0" containsBlank="1"/>
    </cacheField>
    <cacheField name="GEOID" numFmtId="0">
      <sharedItems/>
    </cacheField>
    <cacheField name="Tonnes per Annum Steel" numFmtId="0">
      <sharedItems containsSemiMixedTypes="0" containsString="0" containsNumber="1" containsInteger="1" minValue="660000" maxValue="3200000"/>
    </cacheField>
    <cacheField name="Tonnes per Annum Iron" numFmtId="0">
      <sharedItems containsString="0" containsBlank="1" containsNumber="1" containsInteger="1" minValue="1200000" maxValue="3000000"/>
    </cacheField>
    <cacheField name="Status" numFmtId="0">
      <sharedItems/>
    </cacheField>
    <cacheField name="Primary Equipment" numFmtId="0">
      <sharedItems count="3">
        <s v="Electric Arc Furnace"/>
        <s v="BF, Blast Oxygen Furnace"/>
        <s v="Direct Reduction of Iron, Electric Arc Furnace"/>
      </sharedItems>
    </cacheField>
    <cacheField name="Latitude" numFmtId="0">
      <sharedItems containsSemiMixedTypes="0" containsString="0" containsNumber="1" minValue="-37.828195612732401" maxValue="-33.008623532156697"/>
    </cacheField>
    <cacheField name="Longitude" numFmtId="0">
      <sharedItems containsSemiMixedTypes="0" containsString="0" containsNumber="1" minValue="137.576402568156" maxValue="150.8816955561200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6.640594212964" createdVersion="8" refreshedVersion="8" minRefreshableVersion="3" recordCount="2" xr:uid="{13921A34-1D26-4822-84BA-65D9A760969C}">
  <cacheSource type="worksheet">
    <worksheetSource name="Table_Table1215"/>
  </cacheSource>
  <cacheFields count="9">
    <cacheField name="GEOID" numFmtId="0">
      <sharedItems/>
    </cacheField>
    <cacheField name="Name" numFmtId="0">
      <sharedItems count="2">
        <s v="Shell Geelong Refinery"/>
        <s v="Caltex Lytton Refinery"/>
      </sharedItems>
    </cacheField>
    <cacheField name="Prov_State" numFmtId="0">
      <sharedItems/>
    </cacheField>
    <cacheField name="City" numFmtId="0">
      <sharedItems/>
    </cacheField>
    <cacheField name="Latitude" numFmtId="0">
      <sharedItems containsSemiMixedTypes="0" containsString="0" containsNumber="1" minValue="-38.078000000000003" maxValue="-27.413070000000001"/>
    </cacheField>
    <cacheField name="Longitude" numFmtId="0">
      <sharedItems containsSemiMixedTypes="0" containsString="0" containsNumber="1" minValue="144.38181" maxValue="153.15816000000001"/>
    </cacheField>
    <cacheField name="Capacity (bpd)" numFmtId="0">
      <sharedItems containsSemiMixedTypes="0" containsString="0" containsNumber="1" containsInteger="1" minValue="104000" maxValue="130000"/>
    </cacheField>
    <cacheField name="Company" numFmtId="0">
      <sharedItems/>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er Maranville" refreshedDate="45089.541170833334" createdVersion="8" refreshedVersion="8" minRefreshableVersion="3" recordCount="125" xr:uid="{7B9D2FFB-5F96-40D9-9D26-7BFC37AD9884}">
  <cacheSource type="worksheet">
    <worksheetSource name="Table_Table1518"/>
  </cacheSource>
  <cacheFields count="41">
    <cacheField name="ProjectID" numFmtId="0">
      <sharedItems/>
    </cacheField>
    <cacheField name="Fuel" numFmtId="0">
      <sharedItems/>
    </cacheField>
    <cacheField name="StartCountry" numFmtId="0">
      <sharedItems/>
    </cacheField>
    <cacheField name="EndCountry" numFmtId="0">
      <sharedItems/>
    </cacheField>
    <cacheField name="Countries" numFmtId="0">
      <sharedItems/>
    </cacheField>
    <cacheField name="Column1" numFmtId="0">
      <sharedItems containsNonDate="0" containsString="0" containsBlank="1"/>
    </cacheField>
    <cacheField name="Wiki" numFmtId="0">
      <sharedItems/>
    </cacheField>
    <cacheField name="PipelineName" numFmtId="0">
      <sharedItems count="99">
        <s v="Eastern Goldfields Pipeline System"/>
        <s v="Galilee to Moranbah Pipeline"/>
        <s v="Scarborough Gas Pipeline"/>
        <s v="Thylacine Geographe Gas Pipeline"/>
        <s v="North Queensland Gas Pipeline"/>
        <s v="Northern Gas Pipeline"/>
        <s v="Palm Valley to Alice Springs Pipeline"/>
        <s v="Amadeus to Moomba Gas Pipeline"/>
        <s v="Barrosa Export Pipeline"/>
        <s v="Blue Energy Bowen Gas Pipeline"/>
        <s v="BSOPP Gas Pipeline"/>
        <s v="Eastern Gas Pipeline"/>
        <s v="Equus Gas Pipeline"/>
        <s v="Port Kembla to EGP Gas Pipeline"/>
        <s v="Parmelia Gas Pipeline"/>
        <s v="Pilbara Pipeline System"/>
        <s v="Queensland Hunter Gas Pipeline"/>
        <s v="Reedy Creek Wallumbilla Pipeline"/>
        <s v="Roma to Brisbane Pipeline"/>
        <s v="SEA Gas Pipeline"/>
        <s v="South East Pipeline System"/>
        <s v="South East South Australia Pipeline"/>
        <s v="South Gippsland Natural Gas Pipeline"/>
        <s v="South West Queensland Pipeline"/>
        <s v="Spring Gully to Wallumbilla Pipeline"/>
        <s v="Moranbah to Denison Trough North Gas Pipeline"/>
        <s v="Northern Goldfields Interconnect Gas Pipeline"/>
        <s v="Crux Gas Pipeline"/>
        <s v="West Erregulla Gas Pipeline"/>
        <s v="Wodgina Lateral Gas Pipeline"/>
        <s v="Tasmanian Gas Pipeline"/>
        <s v="Telfer Pipeline"/>
        <s v="Trans-Territory Pipeline"/>
        <s v="Tubridgi Pipeline System"/>
        <s v="Victorian Transmission System"/>
        <s v="Queensland Gas Pipeline"/>
        <s v="West-East Gas Pipeline"/>
        <s v="Western Slopes Pipeline"/>
        <s v="Wheatstone Ashburton West Pipeline"/>
        <s v="Wide Bay Pipeline"/>
        <s v="Casino to Iona Pipeline"/>
        <s v="Katherine to Gove Gas Pipeline"/>
        <s v="North Rankin A to Withnell Bay Pipeline"/>
        <s v="Ichthys Gas Pipeline"/>
        <s v="Bayu-Undan to Darwin Pipeline"/>
        <s v="Beharra Springs Pipeline"/>
        <s v="Wallumbilla–Gladstone Pipeline"/>
        <s v="Tanami Gas Pipeline"/>
        <s v="Silver Springs Pipeline"/>
        <s v="Central Ranges Pipeline"/>
        <s v="Crib Point Pakenham Pipeline"/>
        <s v="Atlas Gas Pipeline"/>
        <s v="Amadeus Gas Pipeline"/>
        <s v="Anglo-Mitsui Gas Pipeline"/>
        <s v="APLNG Pipeline"/>
        <s v="Arrow Bowen Pipeline"/>
        <s v="Berwyndale to Wallumbilla Pipeline"/>
        <s v="Bonaparte Gas Pipeline"/>
        <s v="Riverland Pipeline System"/>
        <s v="Carisbrook to Horsham Pipeline"/>
        <s v="Carpentaria Gas Pipeline"/>
        <s v="Cheepie to Barcaldine Gas Pipeline"/>
        <s v="Colongra Gas Transmission and Storage Pipeline"/>
        <s v="Comet Ridge to Wallumbilla Pipeline"/>
        <s v="Condamine to Braemar Pipeline"/>
        <s v="Coolah to Newcastle Pipeline"/>
        <s v="Daly Waters to McArthur River Gas Pipeline"/>
        <s v="Dampier to Bunbury Natural Gas Pipeline"/>
        <s v="Darling Downs Pipeline"/>
        <s v="Dawson Valley Pipeline"/>
        <s v="East Spar Pipeline"/>
        <s v="ERM Wellington Pipeline"/>
        <s v="Fortescue River Gas Pipeline"/>
        <s v="Galilee Gas Pipeline"/>
        <s v="GLNG Pipeline"/>
        <s v="Gloucester Pipeline"/>
        <s v="Goldfields Gas Pipeline"/>
        <s v="Gorgon and Jansz Feed Gas Pipeline"/>
        <s v="Ironbark Project Pipeline"/>
        <s v="Kalgoorlie to Kambalda Pipeline"/>
        <s v="Kambalda to Esperance Pipeline"/>
        <s v="Karratha to Cape Lambert Pipeline"/>
        <s v="Kincora to Wallumbilla Pipeline"/>
        <s v="Mid West Pipeline"/>
        <s v="Moomba Adelaide Pipeline System"/>
        <s v="Moomba Sydney Pipeline System"/>
        <s v="Mortlake Gas Pipeline"/>
        <s v="Central West Pipeline"/>
        <s v="Narrabri to Wellington Pipeline"/>
        <s v="Beetaloo Lateral Pipeline"/>
        <s v="Denison Gas Pipeline"/>
        <s v="Gatton to Gympie Pipeline"/>
        <s v="NSW Gas Network"/>
        <s v="Dingo Gas Field Pipeline"/>
        <s v="Braemar 2 Pipeline"/>
        <s v="Berri to Mildura Pipeline"/>
        <s v="BassGas Pipeline"/>
        <s v="Otway Gas Pipeline"/>
        <s v="Neerabup Pipeline"/>
      </sharedItems>
    </cacheField>
    <cacheField name="SegmentName" numFmtId="0">
      <sharedItems containsBlank="1"/>
    </cacheField>
    <cacheField name="OtherEnglishNames" numFmtId="0">
      <sharedItems containsBlank="1"/>
    </cacheField>
    <cacheField name="Owner" numFmtId="0">
      <sharedItems longText="1"/>
    </cacheField>
    <cacheField name="Parent" numFmtId="0">
      <sharedItems longText="1"/>
    </cacheField>
    <cacheField name="Status" numFmtId="0">
      <sharedItems count="5">
        <s v="Operating"/>
        <s v="Proposed"/>
        <s v="Shelved"/>
        <s v="Construction"/>
        <s v="Cancelled"/>
      </sharedItems>
    </cacheField>
    <cacheField name="StartYear1" numFmtId="0">
      <sharedItems containsString="0" containsBlank="1" containsNumber="1" containsInteger="1" minValue="1969" maxValue="2028"/>
    </cacheField>
    <cacheField name="StartYear2" numFmtId="0">
      <sharedItems containsString="0" containsBlank="1" containsNumber="1" containsInteger="1" minValue="2017" maxValue="2017"/>
    </cacheField>
    <cacheField name="StartYear3" numFmtId="0">
      <sharedItems containsNonDate="0" containsString="0" containsBlank="1"/>
    </cacheField>
    <cacheField name="StopYear" numFmtId="0">
      <sharedItems containsNonDate="0" containsString="0" containsBlank="1"/>
    </cacheField>
    <cacheField name="Capacity" numFmtId="0">
      <sharedItems containsString="0" containsBlank="1" containsNumber="1" minValue="2.4" maxValue="1608"/>
    </cacheField>
    <cacheField name="CapacityUnits" numFmtId="0">
      <sharedItems containsBlank="1"/>
    </cacheField>
    <cacheField name="CapacityBcm/y" numFmtId="0">
      <sharedItems containsMixedTypes="1" containsNumber="1" minValue="0" maxValue="98.2"/>
    </cacheField>
    <cacheField name="CapacityBOEd" numFmtId="0">
      <sharedItems containsMixedTypes="1" containsNumber="1" minValue="0" maxValue="45700.65" count="85">
        <n v="38.08"/>
        <n v="951.9"/>
        <s v="--"/>
        <n v="518.78"/>
        <n v="514.02"/>
        <n v="4197.18"/>
        <n v="142.78"/>
        <n v="2379.7399999999998"/>
        <n v="565.71"/>
        <n v="1427.84"/>
        <n v="1596.78"/>
        <n v="2212.64"/>
        <n v="333.16"/>
        <n v="790.07"/>
        <n v="2052.98"/>
        <n v="1532.9"/>
        <n v="1494.48"/>
        <n v="71.39"/>
        <n v="190.38"/>
        <n v="2922.32"/>
        <n v="1922.83"/>
        <n v="675.85"/>
        <n v="414.07"/>
        <n v="613.97"/>
        <n v="138.02000000000001"/>
        <n v="501.84"/>
        <n v="4902.26"/>
        <n v="709.16"/>
        <n v="2670.53"/>
        <n v="912.42"/>
        <n v="1603.94"/>
        <n v="29.51"/>
        <n v="497.27"/>
        <n v="424.3"/>
        <n v="661.57"/>
        <n v="7701.34"/>
        <n v="2236.7600000000002"/>
        <n v="182.47"/>
        <n v="61.87"/>
        <n v="41.88"/>
        <n v="45700.65"/>
        <n v="178.05"/>
        <n v="547.47"/>
        <n v="228.1"/>
        <n v="7116.95"/>
        <n v="999.49"/>
        <n v="2007.35"/>
        <n v="364.95"/>
        <n v="26.65"/>
        <n v="46.74"/>
        <n v="542.9"/>
        <n v="52.95"/>
        <n v="187.05"/>
        <n v="5132.41"/>
        <n v="0"/>
        <n v="76.150000000000006"/>
        <n v="4083.15"/>
        <n v="2417.79"/>
        <n v="136.84"/>
        <n v="481.33"/>
        <n v="1621.85"/>
        <n v="98.05"/>
        <n v="304.61"/>
        <n v="6523.9"/>
        <n v="963.79"/>
        <n v="1368.67"/>
        <n v="638.67999999999995"/>
        <n v="123.75"/>
        <n v="28.56"/>
        <n v="452.15"/>
        <n v="89.05"/>
        <n v="1147.03"/>
        <n v="2122.73"/>
        <n v="1903.79"/>
        <n v="1665.82"/>
        <n v="6425.29"/>
        <n v="7653.24"/>
        <n v="5144.99"/>
        <n v="3331.63"/>
        <n v="118.99"/>
        <n v="1061.3599999999999"/>
        <n v="31.27"/>
        <n v="47.59"/>
        <n v="11.42"/>
        <n v="217.03"/>
      </sharedItems>
    </cacheField>
    <cacheField name="LengthKnownKm" numFmtId="0">
      <sharedItems containsMixedTypes="1" containsNumber="1" minValue="0" maxValue="2900"/>
    </cacheField>
    <cacheField name="LengthEstimateKm" numFmtId="0">
      <sharedItems containsMixedTypes="1" containsNumber="1" minValue="1.88" maxValue="3060.49"/>
    </cacheField>
    <cacheField name="LengthMergedKm" numFmtId="0">
      <sharedItems containsSemiMixedTypes="0" containsString="0" containsNumber="1" minValue="0" maxValue="2900"/>
    </cacheField>
    <cacheField name="Diameter" numFmtId="0">
      <sharedItems containsBlank="1" containsMixedTypes="1" containsNumber="1" minValue="20" maxValue="400"/>
    </cacheField>
    <cacheField name="DiameterUnits" numFmtId="0">
      <sharedItems containsBlank="1"/>
    </cacheField>
    <cacheField name="FuelSource" numFmtId="0">
      <sharedItems containsBlank="1"/>
    </cacheField>
    <cacheField name="StartLocation" numFmtId="0">
      <sharedItems containsBlank="1"/>
    </cacheField>
    <cacheField name="StartRegion" numFmtId="0">
      <sharedItems/>
    </cacheField>
    <cacheField name="StartPrefecture/District" numFmtId="0">
      <sharedItems containsNonDate="0" containsString="0" containsBlank="1"/>
    </cacheField>
    <cacheField name="StartState/Province" numFmtId="0">
      <sharedItems containsBlank="1"/>
    </cacheField>
    <cacheField name="EndLocation" numFmtId="0">
      <sharedItems containsBlank="1"/>
    </cacheField>
    <cacheField name="EndPrefecture/District" numFmtId="0">
      <sharedItems containsNonDate="0" containsString="0" containsBlank="1"/>
    </cacheField>
    <cacheField name="EndState/Province" numFmtId="0">
      <sharedItems containsBlank="1"/>
    </cacheField>
    <cacheField name="EndRegion" numFmtId="0">
      <sharedItems/>
    </cacheField>
    <cacheField name="FID" numFmtId="0">
      <sharedItems containsBlank="1"/>
    </cacheField>
    <cacheField name="FIDYear" numFmtId="0">
      <sharedItems containsString="0" containsBlank="1" containsNumber="1" containsInteger="1" minValue="2010" maxValue="2021"/>
    </cacheField>
    <cacheField name="OtherLanguagePrimaryPipelineName" numFmtId="0">
      <sharedItems containsNonDate="0" containsString="0" containsBlank="1"/>
    </cacheField>
    <cacheField name="OtherLanguageSegmentName" numFmtId="0">
      <sharedItems containsNonDate="0" containsString="0" containsBlank="1"/>
    </cacheField>
    <cacheField name="OtherLanguageWikiPage" numFmtId="0">
      <sharedItems containsNonDate="0" containsString="0" containsBlank="1"/>
    </cacheField>
    <cacheField name="WKTFormat"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s v="GBR"/>
    <s v="Europe Developed"/>
    <x v="0"/>
    <x v="0"/>
    <x v="0"/>
    <x v="0"/>
    <x v="0"/>
    <s v="Revenue stream is expected by mass sales of blue hydrogen to decarbonize heavy industry, transport, heating and power in the region of the plant. Claim SGP has 22% less lelveized cost than ATR and much less than SMR technologies. Claim that CO2 removal (per stack) is increased by 25-40% thanks to ULTRA tech. Expect to capture around 1.6M tonnes of CO2 per year through CCS"/>
  </r>
  <r>
    <s v="GBR"/>
    <s v="Europe Developed"/>
    <x v="0"/>
    <x v="0"/>
    <x v="1"/>
    <x v="1"/>
    <x v="1"/>
    <s v="Targeting EUR 200M sales of all hydrogen technologies including blue and green hydrogen, and fuel cells by end of 2024/2025. Once operational facility is expected to remove 600K tonnes of CO2 per year"/>
  </r>
  <r>
    <s v="JAP"/>
    <s v="Japan"/>
    <x v="1"/>
    <x v="0"/>
    <x v="2"/>
    <x v="2"/>
    <x v="2"/>
    <s v="Revenue stream is generated by sales of SMR plants. Extra value is captured by size reduction, saving of fuel extension of tube life, and throughput increase"/>
  </r>
  <r>
    <s v="GER"/>
    <s v="EU 28"/>
    <x v="2"/>
    <x v="1"/>
    <x v="3"/>
    <x v="3"/>
    <x v="3"/>
    <s v="Revenue stream through bulk sales of catalysts. A large supply-chain promises global availability. Furthermore, in addition to their product portfolio, they offer fustom catalyst synthesis depending on the customers' requests"/>
  </r>
  <r>
    <s v="GER"/>
    <s v="EU 28"/>
    <x v="2"/>
    <x v="1"/>
    <x v="4"/>
    <x v="4"/>
    <x v="4"/>
    <s v="Revenue by sales of catalysts. Further value is captured by providing customers up to three times higher catlayst performance while reudcing the precious metal loading in the catalyst-coated membrane 50-90%. Leads to more efficient use of iridium, allowing icnreasing performance and reducing costs, large scale application due to savings in precious metal content, less CAPEX"/>
  </r>
  <r>
    <s v="USA"/>
    <s v="United States"/>
    <x v="3"/>
    <x v="1"/>
    <x v="5"/>
    <x v="5"/>
    <x v="5"/>
    <s v="Revenue stream through sales of catalysts for a wide range of applications. Further value is aimed to be captured by achieving a 25% reduction in electrolyzer stack cost and further efficiency increases in catalyst design."/>
  </r>
  <r>
    <s v="GER"/>
    <s v="EU 28"/>
    <x v="2"/>
    <x v="2"/>
    <x v="6"/>
    <x v="6"/>
    <x v="6"/>
    <s v="Revenue stream from generation of green hydrogen. Over next 5 years, Siemens plan to invest around EUR 120M in the development of modular offshore wind-to-hydrogen systems with a full scale demo ready in 2025/26"/>
  </r>
  <r>
    <s v="SPA"/>
    <s v="EU 28"/>
    <x v="4"/>
    <x v="2"/>
    <x v="7"/>
    <x v="7"/>
    <x v="7"/>
    <s v="Expected revenue stream through sales of green hydrogen. Extra value will be created via increased efficiency. They plan to invest around EUR 2.549B by 2030. They expect business to be viable by 2030"/>
  </r>
  <r>
    <s v="SWI"/>
    <s v="Europe Developed"/>
    <x v="5"/>
    <x v="2"/>
    <x v="8"/>
    <x v="8"/>
    <x v="8"/>
    <s v="Targeted customers are heavy commercial vehicles. The sales of green hydrogen generate revenue. Their existing production capacity can supply up to 40-50 trucks per year. Capture environmental value as well"/>
  </r>
  <r>
    <s v="USA"/>
    <s v="United States"/>
    <x v="3"/>
    <x v="2"/>
    <x v="9"/>
    <x v="9"/>
    <x v="9"/>
    <s v="Mass production promises economy of scale with a cost of US$2 per kg. This has parity with cheapest brown hydrogen production India."/>
  </r>
  <r>
    <s v="GER"/>
    <s v="EU 28"/>
    <x v="2"/>
    <x v="3"/>
    <x v="10"/>
    <x v="10"/>
    <x v="10"/>
    <s v="Revenue stream through sales of modular design of electrolyzers. They are planning to produce about 10 electorlyzers in 2022 and 20 more in 2023. The water purification systems adds value because tap water can be used."/>
  </r>
  <r>
    <s v="CAN"/>
    <s v="Canada"/>
    <x v="6"/>
    <x v="3"/>
    <x v="11"/>
    <x v="11"/>
    <x v="11"/>
    <s v="Revenue is generated by sales of alkaline elctrolyzers. Further value is aimed by installing MW systems and signficant economies of scale to drive down costs"/>
  </r>
  <r>
    <s v="NOR"/>
    <s v="Europe Developed"/>
    <x v="7"/>
    <x v="3"/>
    <x v="12"/>
    <x v="12"/>
    <x v="12"/>
    <s v="Revenue is generated by the sales of a wide range of electrolyzer portfolios. On-site renewable generation eliminates hydrogen delivery and storage. Product range satisfies many customers"/>
  </r>
  <r>
    <s v="ITA"/>
    <s v="EU 28"/>
    <x v="8"/>
    <x v="3"/>
    <x v="13"/>
    <x v="13"/>
    <x v="13"/>
    <s v="AEM electrolyzers are yet to be commercialized. Their value comes from being built with relatively less costly materials and being safer to handle when compared to other types of electrolyzers"/>
  </r>
  <r>
    <s v="SWI"/>
    <s v="Europe Developed"/>
    <x v="5"/>
    <x v="4"/>
    <x v="14"/>
    <x v="14"/>
    <x v="14"/>
    <s v="Revenue stream through sales of ammonia plant facilities, ammonia, and capacity increases. Further value is captured by promising longer operating life in comparison with traditional designs. Stable operations at even 20% of the design load. Increased efficiency is achieved by the utilization 100% of the catalyst volume for reaction. Environmental value captured by reduced NOX emissions below the limit specified by the EU for new plants (140mg/Nm3)"/>
  </r>
  <r>
    <s v="USA"/>
    <s v="United States"/>
    <x v="3"/>
    <x v="4"/>
    <x v="15"/>
    <x v="15"/>
    <x v="15"/>
    <s v="Revenue stream through the sales of green and blue ammonia and hydrogen generation plants. Their Purifier technology captures extra monetary value by reducing operational and capital expenditures. Further reduction in expenses because of their joint ammonia and methanol production with Johnson Matthey"/>
  </r>
  <r>
    <s v="NET"/>
    <s v="EU 28"/>
    <x v="9"/>
    <x v="4"/>
    <x v="16"/>
    <x v="16"/>
    <x v="16"/>
    <s v="Revenue is generated through the sales of green ammonia plants and increased capacities. The extra revenue is created by selling software for operator training simulators. Further value is captured by saving energy and producing safely and cost-effectively through reduced CAPEX. Environmental value captured by reducing waste and emissions."/>
  </r>
  <r>
    <s v="NOR"/>
    <s v="Europe Developed"/>
    <x v="7"/>
    <x v="4"/>
    <x v="17"/>
    <x v="17"/>
    <x v="17"/>
    <s v="Revenue stream through mass sales of ammonia thanks to an extensive logistics network. Environmental value is captured by the abatement of NoX and hydrogen sulphide reducing SOX emissions in the maritime sector"/>
  </r>
  <r>
    <s v="CAN"/>
    <s v="Canada"/>
    <x v="6"/>
    <x v="5"/>
    <x v="18"/>
    <x v="18"/>
    <x v="18"/>
    <s v="Potential revenue is expected from green hydrogen sales. Environmental value captured by emissions reduction. First pilot yielded an abatement of 117 tonnes of CO2e"/>
  </r>
  <r>
    <s v="USA"/>
    <s v="United States"/>
    <x v="3"/>
    <x v="5"/>
    <x v="19"/>
    <x v="19"/>
    <x v="19"/>
    <s v="Potential revenue stream through sales of low-carbon hydrogen through the natural gas network. Value through decreasing GHGs and increasing supply security"/>
  </r>
  <r>
    <s v="GBR"/>
    <s v="Europe Developed"/>
    <x v="0"/>
    <x v="5"/>
    <x v="20"/>
    <x v="20"/>
    <x v="20"/>
    <s v="Potential revenue stream by using low-carbon hydrogen in the national gas network, increased hydrogen storage. Further value is proposed by delivering a hydrogen mix for fuel-sensitive customers that require specific gas mixtures with a certain ratio. Environmental value through decarbonization and emissions reductions."/>
  </r>
  <r>
    <s v="ITA"/>
    <s v="EU 28"/>
    <x v="8"/>
    <x v="5"/>
    <x v="21"/>
    <x v="21"/>
    <x v="21"/>
    <s v="The revenue stream is expected by selling hydrogen to a wide range of customers. They aim to create additional value by employing their existing hydrogen storage, transport and distribution infrastructure."/>
  </r>
  <r>
    <s v="GER"/>
    <s v="EU 28"/>
    <x v="2"/>
    <x v="6"/>
    <x v="22"/>
    <x v="22"/>
    <x v="22"/>
    <s v="Revenue through sales of a range of modular storage units. Further value is captured by the software management tool. Environmental value is generated by using 100% recyclable metals in the production, emitting only water during the operation and lasting for decades without any losses. They claim that their storage unit has 99% capacity after 3,500 cycles."/>
  </r>
  <r>
    <s v="GER"/>
    <s v="EU 28"/>
    <x v="2"/>
    <x v="6"/>
    <x v="23"/>
    <x v="23"/>
    <x v="23"/>
    <s v="The cryogenic tank technology is old and mature. It provides safe and efficient storage of liquid hydrogen. The liquid hydrogen could be used in many applications."/>
  </r>
  <r>
    <s v="USA"/>
    <s v="United States"/>
    <x v="3"/>
    <x v="6"/>
    <x v="24"/>
    <x v="24"/>
    <x v="24"/>
    <s v="The revenue stream is generated in 3 ways: 1) Distributed grid model, where the company bills customers at per kWh rate for electricity and owns the cubes and fuel cells 2) Module replacement model, where the company bills customers per kg of hydrogen used and owns the cubes, and customer buy fuel cells 3) Customer-owned model, where the company bills customers at a fixed cost for swapping cubes with filled cubes and customers' own cubes and fuel cells."/>
  </r>
  <r>
    <s v="USA"/>
    <s v="United States"/>
    <x v="3"/>
    <x v="7"/>
    <x v="25"/>
    <x v="25"/>
    <x v="25"/>
    <s v="The pipeline coupled with the hydrogen production plants promises the refinery and petrochemical customers' continuity of supply in case a disruption with the traditional energy networks takes place. Value is created by building, woning, and operating the pipelines."/>
  </r>
  <r>
    <s v="GER"/>
    <s v="EU 28"/>
    <x v="2"/>
    <x v="7"/>
    <x v="26"/>
    <x v="26"/>
    <x v="26"/>
    <s v="Value is aimed to be captured by supplying green hydrogen in large volumes to the large customers in the industrial areas in Germany. Security of supply via a dedicated pipeline network and decarbonization of the heavy industrial processes are further value. Revenue from the transmission of hydrogen"/>
  </r>
  <r>
    <s v="USA"/>
    <s v="United States"/>
    <x v="3"/>
    <x v="7"/>
    <x v="27"/>
    <x v="27"/>
    <x v="27"/>
    <s v="Revenue through sales of their technology as a low-cost way to repurpose pipelines for hydrogen. The pipelines can be manufactured inserted at a speed of 1 mile per day. It can meet the hydrogen transport standards in the United States"/>
  </r>
  <r>
    <s v="JAP"/>
    <s v="Japan"/>
    <x v="1"/>
    <x v="8"/>
    <x v="28"/>
    <x v="28"/>
    <x v="28"/>
    <s v="Revenue stream is expected from carrying hydrogen as cargo over long distances"/>
  </r>
  <r>
    <s v="KOR"/>
    <s v="Asia Developed"/>
    <x v="10"/>
    <x v="8"/>
    <x v="29"/>
    <x v="29"/>
    <x v="29"/>
    <s v="The future revenue stream is expected from sales of large-scale liquid hydrogen carriers. Extra value captured by capturing the leaked hydrogen from tanks and turn it as a fuel to generate power with hydrogen fuel cells."/>
  </r>
  <r>
    <s v="GER"/>
    <s v="EU 28"/>
    <x v="2"/>
    <x v="9"/>
    <x v="30"/>
    <x v="30"/>
    <x v="30"/>
    <s v="UK BEIS funded trial as part of its Industrial Fuel Switching Competition programme, which had a budget of EUR 3.2M. "/>
  </r>
  <r>
    <s v="SPA"/>
    <s v="EU 28"/>
    <x v="4"/>
    <x v="9"/>
    <x v="31"/>
    <x v="31"/>
    <x v="31"/>
    <s v="Using hydrogen in the fuel mix is a part of a US$40M investment program. The technology is now integrated into almost all of their plants globally."/>
  </r>
  <r>
    <s v="CAN"/>
    <s v="Canada"/>
    <x v="6"/>
    <x v="10"/>
    <x v="32"/>
    <x v="32"/>
    <x v="32"/>
    <s v="Revenue is generated by the sales of fuel cells. The company has already delivered 850M of fuel cell stacks, modules, and systems to its customers. The modular design makes it possible to reach a range of customers with different use requirements from transport to stationary power solutions"/>
  </r>
  <r>
    <s v="USA"/>
    <s v="United States"/>
    <x v="3"/>
    <x v="10"/>
    <x v="33"/>
    <x v="33"/>
    <x v="33"/>
    <s v="Revenue through the sale of fuel cells. They are expanding their customer base toward on-road vehicles, robotics, and data centres"/>
  </r>
  <r>
    <s v="USA"/>
    <s v="United States"/>
    <x v="3"/>
    <x v="10"/>
    <x v="34"/>
    <x v="34"/>
    <x v="34"/>
    <s v="Revenue is generated by the sales of SureSource, which produces hydrogen and then clean water and electricity in urban locations. SureSource is commercially used as a part of a 2.3MW project with Toyota motor Corporation in California"/>
  </r>
  <r>
    <s v="USA"/>
    <s v="United States"/>
    <x v="3"/>
    <x v="10"/>
    <x v="35"/>
    <x v="35"/>
    <x v="35"/>
    <s v="Revenue through sales of PureCell Model 400 Hydrogen fuel cell as a clean and reiable power and heat source. 50% electricity and 35% heat comprises a total of 85% overall efficiency."/>
  </r>
  <r>
    <s v="USA"/>
    <s v="United States"/>
    <x v="3"/>
    <x v="11"/>
    <x v="25"/>
    <x v="36"/>
    <x v="36"/>
    <s v="Hydrogen sales through bulk deliveries or pipelines, on-site generation plants and storage systems. For the glass industry, further value is captured via improved efficiency in cutting, polishing, etc."/>
  </r>
  <r>
    <s v="NET"/>
    <s v="EU 28"/>
    <x v="9"/>
    <x v="11"/>
    <x v="36"/>
    <x v="37"/>
    <x v="37"/>
    <s v="A revenue stream is generated by the sales of products as Hy GEN and Hy.RECmix. Electrolytic hydrogen generation is also available for customers through Hy.GEN-E. This means further reductions in emissions also improve supply by being on-site self-sufficient energy generation. "/>
  </r>
  <r>
    <s v="GBR"/>
    <s v="Europe Developed"/>
    <x v="0"/>
    <x v="11"/>
    <x v="37"/>
    <x v="38"/>
    <x v="38"/>
    <s v="Expected value captured from the use of hydrogen as fuel. Being a government supported trial project, they received EUR 5.3M funding through Energy Innovation Programme in 2020."/>
  </r>
  <r>
    <s v="GER"/>
    <s v="EU 28"/>
    <x v="2"/>
    <x v="12"/>
    <x v="38"/>
    <x v="39"/>
    <x v="39"/>
    <s v="Revenue is generated by standardization and certification sales. The hydrogen customers capture further value by acquiring an independent and internationally recognized verification of the climate neutrality of hydrogen."/>
  </r>
  <r>
    <m/>
    <s v="EU 28"/>
    <x v="11"/>
    <x v="12"/>
    <x v="39"/>
    <x v="40"/>
    <x v="40"/>
    <s v="The scheme has been initiated at the request of the European Commission and is financed by the Clean Hydrogen Partnership. Current certifications are given in Europe; however, they are planning to expand globally. The cost of certification varies depending on customer's profile. The certificate expires automatically 12 months after the end of the production period for the related production batch. "/>
  </r>
  <r>
    <s v="GBR"/>
    <s v="Europe Developed"/>
    <x v="0"/>
    <x v="12"/>
    <x v="40"/>
    <x v="41"/>
    <x v="41"/>
    <s v="The company's certifications ensure the customers access potential markets in Asia, Europe, and North America "/>
  </r>
  <r>
    <s v="USA"/>
    <s v="United States"/>
    <x v="3"/>
    <x v="13"/>
    <x v="41"/>
    <x v="42"/>
    <x v="42"/>
    <s v="A revenue stream is generated by the sales of hydrogen as fuel at the stations. On-site green h2 generation and storage units add further value to the business. "/>
  </r>
  <r>
    <s v="GER"/>
    <s v="EU 28"/>
    <x v="2"/>
    <x v="13"/>
    <x v="23"/>
    <x v="43"/>
    <x v="43"/>
    <s v="A revenue stream is generated by sales of project lifecycle services as well as fuel stations. Offering both liquid and gaseous solutions and portable units adds value."/>
  </r>
  <r>
    <s v="GBR"/>
    <s v="Europe Developed"/>
    <x v="0"/>
    <x v="13"/>
    <x v="42"/>
    <x v="44"/>
    <x v="44"/>
    <s v="Revenue is generated by the sales of hydrogen-electric powertrains. The company claims that hydrogen-electric powertrains offer 90% lower life cycle emissions compared to turbines, 60% lower powertrain operating costs compared to turbines, and 75% lower hourly maintenance costs"/>
  </r>
  <r>
    <s v="GER"/>
    <s v="EU 28"/>
    <x v="2"/>
    <x v="13"/>
    <x v="43"/>
    <x v="45"/>
    <x v="45"/>
    <s v="Revenue through sales of hydrogen trains."/>
  </r>
  <r>
    <s v="CHI"/>
    <s v="Asia Emerging"/>
    <x v="12"/>
    <x v="13"/>
    <x v="44"/>
    <x v="46"/>
    <x v="46"/>
    <s v="Value is captured by the use of ammonia as a high-density and low-carbon shipping fuel in maritime operations"/>
  </r>
  <r>
    <s v="KOR"/>
    <s v="Asia Developed"/>
    <x v="10"/>
    <x v="13"/>
    <x v="45"/>
    <x v="47"/>
    <x v="47"/>
    <s v="The revenue is generated by the sales of hydrogen cars and trucks. Renting is also offered in some countries. Company claims that its second-generation fuel cell technology has the highest system efficiency in the world, consuming 1kg of hydrogen per 100km "/>
  </r>
  <r>
    <s v="JAP"/>
    <s v="Japan"/>
    <x v="1"/>
    <x v="14"/>
    <x v="46"/>
    <x v="48"/>
    <x v="48"/>
    <s v="A revenue stream is generated by the sales of hydrogen fuel cell systems for combined heat and power purposes to commercial and residential customers."/>
  </r>
  <r>
    <s v="AUS"/>
    <s v="Australia"/>
    <x v="13"/>
    <x v="14"/>
    <x v="47"/>
    <x v="49"/>
    <x v="49"/>
    <s v="Value is created by increased heating efficiency achieved by hydrogen use. They claim the product reduces emissions (though source of hydrogen is not provided)."/>
  </r>
  <r>
    <s v="GBR"/>
    <s v="Europe Developed"/>
    <x v="0"/>
    <x v="14"/>
    <x v="48"/>
    <x v="50"/>
    <x v="50"/>
    <s v="The hydrogen boilers are safer in terms of not emitting CO, meaning there is no chance of a leaks."/>
  </r>
  <r>
    <s v="SAU"/>
    <s v="Saudi Arabia"/>
    <x v="14"/>
    <x v="15"/>
    <x v="49"/>
    <x v="51"/>
    <x v="51"/>
    <s v="Neom project has a budget of $5B and the joint venture at Jazan is $15B"/>
  </r>
  <r>
    <s v="USA"/>
    <s v="United States"/>
    <x v="3"/>
    <x v="15"/>
    <x v="50"/>
    <x v="52"/>
    <x v="52"/>
    <s v="45Q offers value for carbon capture. "/>
  </r>
  <r>
    <s v="NET"/>
    <s v="EU 28"/>
    <x v="9"/>
    <x v="15"/>
    <x v="0"/>
    <x v="53"/>
    <x v="53"/>
    <s v="The REFHYNE project is a part of the Clean Refinery Hydrogen for Europe, funded by the European Commission"/>
  </r>
  <r>
    <s v="SWE"/>
    <s v="EU 28"/>
    <x v="15"/>
    <x v="16"/>
    <x v="51"/>
    <x v="54"/>
    <x v="54"/>
    <s v="The environmental value will mitigate 20,00 tonnes of CO2 each year. "/>
  </r>
  <r>
    <s v="LUX"/>
    <s v="EU 28"/>
    <x v="16"/>
    <x v="16"/>
    <x v="52"/>
    <x v="55"/>
    <x v="55"/>
    <s v="Want to continue to increase the hydrogen content in DRI. The environmental value is cutting several hundred thousand tonnes of CO2 per year."/>
  </r>
  <r>
    <s v="SWE"/>
    <s v="EU 28"/>
    <x v="15"/>
    <x v="16"/>
    <x v="53"/>
    <x v="56"/>
    <x v="56"/>
    <s v="By 2026, SSAB aims to offer commercially viable fossil-free steel to the market. The plant in Sweden produced the world's first fossil-free sponge iron"/>
  </r>
  <r>
    <s v="USA"/>
    <s v="United States"/>
    <x v="3"/>
    <x v="17"/>
    <x v="54"/>
    <x v="57"/>
    <x v="57"/>
    <s v="Revenue is generated by mass sales of methanol on a global scale thanks to a vast and reliable supply chain. Geimsar 3 will produce low-carbon methanol by utilizing excess hydrogen from other production plants. This plant will emit 40% less CO2"/>
  </r>
  <r>
    <s v="CAN"/>
    <s v="Canada"/>
    <x v="6"/>
    <x v="17"/>
    <x v="55"/>
    <x v="58"/>
    <x v="58"/>
    <s v="The sale of renewable methanol generates revenue. Further value is captured by licensing the technology, supplying equipment/modules, and participating in the plant equity in addition to the technology and equipment provision"/>
  </r>
  <r>
    <s v="SWI"/>
    <s v="Europe Developed"/>
    <x v="5"/>
    <x v="17"/>
    <x v="56"/>
    <x v="59"/>
    <x v="59"/>
    <s v="Revenue is generated by mass sales of methanol worldwide. Capturing further value through methanol run vessels"/>
  </r>
  <r>
    <s v="GER"/>
    <s v="EU 28"/>
    <x v="2"/>
    <x v="17"/>
    <x v="57"/>
    <x v="60"/>
    <x v="60"/>
    <s v="Revenue generated by sales of renewable methanol, e-methanol, primarily as a transport fuel"/>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s v="Pilbara"/>
    <s v="Australia"/>
    <s v="AUS"/>
    <n v="-20.619513093092301"/>
    <n v="116.783675737632"/>
    <n v="10"/>
    <n v="1753"/>
    <n v="639.84500000000003"/>
    <s v="Electrolysis"/>
    <s v="Solar"/>
    <n v="18"/>
    <m/>
    <m/>
    <m/>
    <x v="0"/>
    <s v="Produce Ammonia for Yara"/>
    <n v="2024"/>
    <x v="0"/>
    <x v="0"/>
    <m/>
    <x v="0"/>
    <s v="Engie"/>
    <s v="https://renewablesnow.com/news/engie-takes-fid-on-aussie-green-h2-project-for-yara-798156/"/>
  </r>
  <r>
    <x v="1"/>
    <s v="Queensland"/>
    <s v="Australia"/>
    <s v="AUS"/>
    <n v="-18.760774325228901"/>
    <n v="146.887143036781"/>
    <m/>
    <n v="383"/>
    <n v="139.79499999999999"/>
    <s v="Electrolysis"/>
    <s v="Solar"/>
    <m/>
    <m/>
    <n v="13000000"/>
    <n v="13000000"/>
    <x v="1"/>
    <s v="5 procured Hyzon Trucks"/>
    <n v="2023"/>
    <x v="0"/>
    <x v="0"/>
    <m/>
    <x v="0"/>
    <s v="Ark Energy"/>
    <s v="https://research.csiro.au/hyresource/sun-metals-hydrogen-queensland-sunhq-project/"/>
  </r>
  <r>
    <x v="2"/>
    <s v="Victoria"/>
    <s v="Australia"/>
    <s v="AUS"/>
    <n v="-36.132814911412801"/>
    <n v="146.88900619230901"/>
    <n v="10"/>
    <m/>
    <m/>
    <s v="Electrolysis"/>
    <m/>
    <m/>
    <m/>
    <s v="AUD 44,000,000"/>
    <n v="28600000"/>
    <x v="2"/>
    <s v="30,000 residential and business connections in Wodonga and Albury"/>
    <n v="2023"/>
    <x v="0"/>
    <x v="0"/>
    <m/>
    <x v="0"/>
    <s v="Australian Gas Infrastructure Group"/>
    <s v="https://research.csiro.au/hyresource/hydrogen-park-murray-valley/"/>
  </r>
  <r>
    <x v="3"/>
    <s v="Victoria"/>
    <s v="Australia"/>
    <s v="AUS"/>
    <n v="-37.819641786787798"/>
    <n v="145.03919687687099"/>
    <m/>
    <n v="20"/>
    <n v="7.3"/>
    <s v="PEM Electrolysis"/>
    <s v="Solar"/>
    <m/>
    <m/>
    <s v="AUD 2,300,000"/>
    <n v="1495000"/>
    <x v="1"/>
    <s v="Refueling station on campus of Swinburne University of Technology"/>
    <n v="2023"/>
    <x v="0"/>
    <x v="0"/>
    <m/>
    <x v="0"/>
    <s v="Swinburne University of Technology"/>
    <s v="https://research.csiro.au/hyresource/swinburne-university-of-technology-victorian-hydrogen-hub-csiro-hydrogen-refuelling-station/"/>
  </r>
  <r>
    <x v="4"/>
    <s v="Victoria"/>
    <s v="Australia"/>
    <s v="AUS"/>
    <n v="-37.835574755167301"/>
    <n v="144.82895169562201"/>
    <m/>
    <n v="80"/>
    <n v="29.2"/>
    <s v="Eletrolysis"/>
    <s v="Solar"/>
    <n v="0.58699999999999997"/>
    <m/>
    <s v="AUD 7,370,000"/>
    <n v="4790500"/>
    <x v="3"/>
    <s v="Used to supply electricity through fuel cells to the Altona facilities"/>
    <n v="2021"/>
    <x v="0"/>
    <x v="0"/>
    <m/>
    <x v="1"/>
    <s v="Toyota"/>
    <s v="https://research.csiro.au/hyresource/toyota-ecopark-hydrogen-demonstration-toyota-hydrogen-centre/"/>
  </r>
  <r>
    <x v="5"/>
    <s v="Victoria"/>
    <s v="Australia"/>
    <s v="AUS"/>
    <n v="-37.829435584692497"/>
    <n v="144.74984936099901"/>
    <m/>
    <n v="65"/>
    <n v="23.725000000000001"/>
    <s v="Alkaline Electrolysis"/>
    <s v="Solar"/>
    <n v="0.64"/>
    <m/>
    <m/>
    <m/>
    <x v="1"/>
    <s v="Could be used for local buses, microgrid applications, etc"/>
    <n v="2023"/>
    <x v="0"/>
    <x v="0"/>
    <m/>
    <x v="0"/>
    <s v="Hydrogen Fuels Australia"/>
    <s v="https://research.csiro.au/hyresource/hydrogen-fuels-australia-truganina-hrs/"/>
  </r>
  <r>
    <x v="6"/>
    <s v="Victoria"/>
    <s v="Australia"/>
    <s v="AUS"/>
    <n v="-38.0663681680238"/>
    <n v="144.392178583001"/>
    <n v="2.5"/>
    <n v="1000"/>
    <n v="365"/>
    <s v="PEM Electrolysis"/>
    <s v="Grid"/>
    <m/>
    <m/>
    <s v="AUD $43,300,000"/>
    <n v="28145000"/>
    <x v="1"/>
    <s v="Charging stations, deploying 15 HFCEVs"/>
    <n v="2023"/>
    <x v="0"/>
    <x v="0"/>
    <m/>
    <x v="0"/>
    <s v="Viva Energy Australia"/>
    <s v="https://research.csiro.au/hyresource/geelong-new-energies-service-station-project/"/>
  </r>
  <r>
    <x v="7"/>
    <s v="Adelaide"/>
    <s v="Australia"/>
    <s v="AUS"/>
    <n v="-35.009113834068998"/>
    <n v="138.57012418340301"/>
    <n v="1.25"/>
    <n v="480"/>
    <n v="175.2"/>
    <s v="PEM Electrolysis"/>
    <s v="Grid"/>
    <m/>
    <n v="12000"/>
    <s v="AUD $14,500,000"/>
    <n v="9425000"/>
    <x v="4"/>
    <s v="Will supply 700 properties in the suburb of Mitchell Park/offtake agreement with BOC to sell them excess hydrogen "/>
    <n v="2021"/>
    <x v="0"/>
    <x v="0"/>
    <m/>
    <x v="1"/>
    <s v="Australian Gas Infrastructure Group"/>
    <s v="https://research.csiro.au/hyresource/hydrogen-park-south-australia/"/>
  </r>
  <r>
    <x v="8"/>
    <s v="Denham"/>
    <s v="Australia"/>
    <s v="AUS"/>
    <n v="-25.922902052776699"/>
    <n v="113.538006794813"/>
    <n v="0.34799999999999998"/>
    <n v="35"/>
    <n v="12.775"/>
    <s v="Electrolysis"/>
    <s v="Solar"/>
    <n v="0.70399999999999996"/>
    <n v="378"/>
    <s v="AUD $9,300,000"/>
    <n v="6045000"/>
    <x v="5"/>
    <s v="Microgrid in Denham"/>
    <n v="2023"/>
    <x v="0"/>
    <x v="0"/>
    <m/>
    <x v="0"/>
    <s v="Horizon Power"/>
    <s v="https://research.csiro.au/hyresource/denham-hydrogen-demonstration-plant/"/>
  </r>
  <r>
    <x v="9"/>
    <s v="Perth"/>
    <s v="Australia"/>
    <s v="AUS"/>
    <n v="-32.135993128672503"/>
    <n v="115.77011399468"/>
    <m/>
    <n v="274"/>
    <n v="100.01"/>
    <s v="Pyrolysis"/>
    <s v="Waste Biogas"/>
    <m/>
    <m/>
    <s v="AUD $25,000,000"/>
    <n v="16250000"/>
    <x v="6"/>
    <s v="Converts methane into hydrogen and graphite"/>
    <n v="2023"/>
    <x v="0"/>
    <x v="0"/>
    <m/>
    <x v="0"/>
    <s v="Hazer Group"/>
    <s v="https://research.csiro.au/hyresource/hazer-commercial-demonstration-plant/"/>
  </r>
  <r>
    <x v="10"/>
    <s v="Perth"/>
    <s v="Australia"/>
    <s v="AUS"/>
    <n v="-32.106982899577602"/>
    <n v="115.858341083394"/>
    <n v="0.26"/>
    <n v="63"/>
    <n v="22.995000000000001"/>
    <s v="PEM Electrolysis"/>
    <s v="Grid"/>
    <m/>
    <m/>
    <s v="AUD $1,00,000"/>
    <n v="650000"/>
    <x v="1"/>
    <s v="Onsite production for refueling stations"/>
    <n v="2022"/>
    <x v="0"/>
    <x v="0"/>
    <m/>
    <x v="1"/>
    <s v="ATCO Gas and Fortescue Metals"/>
    <s v="https://research.csiro.au/hyresource/hydrogen-refueller-station-project/"/>
  </r>
  <r>
    <x v="11"/>
    <s v="Perth"/>
    <s v="Australia"/>
    <s v="AUS"/>
    <n v="-32.102412118858197"/>
    <n v="115.863634232622"/>
    <m/>
    <m/>
    <m/>
    <m/>
    <m/>
    <m/>
    <m/>
    <s v="AUD $2600000"/>
    <n v="1690000"/>
    <x v="2"/>
    <s v="City of Cockburn will have about 2-10% blended hydrogen in homes"/>
    <n v="2022"/>
    <x v="0"/>
    <x v="0"/>
    <m/>
    <x v="1"/>
    <s v="ATCO Gas"/>
    <s v="https://research.csiro.au/hyresource/atco-hydrogen-blending-project/"/>
  </r>
  <r>
    <x v="12"/>
    <s v="Perth"/>
    <s v="Australia"/>
    <s v="AUS"/>
    <n v="-32.113318845503599"/>
    <n v="115.860815228129"/>
    <n v="0.26"/>
    <n v="63"/>
    <n v="22.995000000000001"/>
    <s v="PEM Electrolysis"/>
    <s v="Solar"/>
    <n v="0.3"/>
    <m/>
    <s v="AUD $3,530,000"/>
    <n v="2294500"/>
    <x v="3"/>
    <m/>
    <n v="2019"/>
    <x v="0"/>
    <x v="0"/>
    <m/>
    <x v="1"/>
    <s v="ATCO Gas"/>
    <s v="https://research.csiro.au/hyresource/clean-energy-innovation-hub/"/>
  </r>
  <r>
    <x v="13"/>
    <s v="Christmas Creek"/>
    <s v="Australia"/>
    <s v="AUS"/>
    <n v="-23.809306456742501"/>
    <n v="119.631865483398"/>
    <n v="0.7"/>
    <n v="180"/>
    <n v="65.7"/>
    <s v="Electrolysis"/>
    <s v="Grid"/>
    <m/>
    <m/>
    <s v="AUD $32,000,000"/>
    <n v="20800000"/>
    <x v="1"/>
    <s v="10 mining coaches (heavy duty vehicles)"/>
    <n v="2023"/>
    <x v="0"/>
    <x v="0"/>
    <m/>
    <x v="0"/>
    <s v="Fortescue Future Industries"/>
    <s v="https://research.csiro.au/hyresource/christmas-creek-renewable-hydrogen-mobility-project/"/>
  </r>
  <r>
    <x v="14"/>
    <s v="Adelaide"/>
    <s v="Australia"/>
    <s v="AUS"/>
    <n v="-34.750190457851403"/>
    <n v="138.645260942562"/>
    <n v="0.15"/>
    <n v="40"/>
    <n v="14.6"/>
    <s v="PEM Electrolysis"/>
    <s v="Grid"/>
    <m/>
    <m/>
    <s v="AUD $12,500,000"/>
    <n v="8125000"/>
    <x v="1"/>
    <s v="Shipping via metal hydride to Indonesia"/>
    <n v="2023"/>
    <x v="0"/>
    <x v="0"/>
    <m/>
    <x v="0"/>
    <s v="Marubeni Corporation"/>
    <s v="https://research.csiro.au/hyresource/green-hydrogen-and-battery-energy-storage-system/"/>
  </r>
  <r>
    <x v="15"/>
    <s v="Western Sydney Parklands"/>
    <s v="Australia"/>
    <s v="AUS"/>
    <n v="-33.825878413610397"/>
    <n v="150.86203180237001"/>
    <n v="0.5"/>
    <n v="241"/>
    <n v="87.965000000000003"/>
    <s v="PEM Electrolysis"/>
    <s v="Grid"/>
    <m/>
    <m/>
    <s v="AUD $15,000,000"/>
    <n v="9750000"/>
    <x v="7"/>
    <s v="injecting up to 2 percent hydrogen into Sydney secondary gas distribution network"/>
    <n v="2021"/>
    <x v="0"/>
    <x v="0"/>
    <m/>
    <x v="1"/>
    <s v="Jemena"/>
    <s v="https://research.csiro.au/hyresource/western-sydney-green-gas-project/"/>
  </r>
  <r>
    <x v="16"/>
    <s v="Koonawarra"/>
    <s v="Australia"/>
    <s v="AUS"/>
    <n v="-34.511626861829001"/>
    <n v="150.80835595056001"/>
    <m/>
    <n v="548"/>
    <n v="200.02"/>
    <s v="Gas Turbine"/>
    <s v="Natural Gas Plant"/>
    <n v="435"/>
    <m/>
    <s v="AUD $83,000,000"/>
    <n v="53950000"/>
    <x v="5"/>
    <s v="Peaking plant with ability to blend natural gas"/>
    <n v="2024"/>
    <x v="0"/>
    <x v="0"/>
    <m/>
    <x v="0"/>
    <s v="EnergyAustralia"/>
    <s v="https://research.csiro.au/hyresource/tallawarra-b-dual-fuel-capable-gas-hydrogen-power-plant/"/>
  </r>
  <r>
    <x v="17"/>
    <s v="Port Kembla"/>
    <s v="Australia"/>
    <s v="AUS"/>
    <n v="-34.476324266062598"/>
    <n v="150.906635396242"/>
    <m/>
    <m/>
    <n v="0"/>
    <s v="SMR"/>
    <m/>
    <m/>
    <m/>
    <m/>
    <m/>
    <x v="1"/>
    <s v="To fuel 2 Hymax-450 fcev prime mover trucks"/>
    <n v="2023"/>
    <x v="0"/>
    <x v="0"/>
    <m/>
    <x v="0"/>
    <s v="Coregas"/>
    <s v="https://research.csiro.au/hyresource/port-kembla-hydrogen-refuelling-facility/"/>
  </r>
  <r>
    <x v="18"/>
    <s v="Queensland"/>
    <s v="Australia"/>
    <s v="AUS"/>
    <n v="-27.402494481041899"/>
    <n v="153.136550124705"/>
    <n v="0.22"/>
    <n v="80"/>
    <n v="29.2"/>
    <s v="PEM Electrolysis"/>
    <s v="Solar"/>
    <n v="0.1"/>
    <m/>
    <s v="AUD $5,540,000"/>
    <n v="3601000"/>
    <x v="1"/>
    <s v="To supply hydrogen refueling for BOC's existing customers"/>
    <n v="2023"/>
    <x v="0"/>
    <x v="0"/>
    <m/>
    <x v="0"/>
    <s v="BOC Limited"/>
    <s v="https://research.csiro.au/hyresource/renewable-hydrogen-production-and-refuelling-project/"/>
  </r>
  <r>
    <x v="19"/>
    <s v="Queensland"/>
    <s v="Australia"/>
    <s v="AUS"/>
    <n v="-27.5537713734014"/>
    <n v="153.05490008313399"/>
    <n v="0.16"/>
    <n v="23"/>
    <n v="8.3949999999999996"/>
    <s v="Alkaline Electrolysis"/>
    <s v="Solar"/>
    <n v="0.376"/>
    <m/>
    <m/>
    <m/>
    <x v="5"/>
    <s v="Powers 2 30Kw PEM fuel cells"/>
    <n v="2013"/>
    <x v="0"/>
    <x v="0"/>
    <m/>
    <x v="1"/>
    <s v="Griffith University"/>
    <s v="https://research.csiro.au/hyresource/sir-samuel-griffith-centre/"/>
  </r>
  <r>
    <x v="20"/>
    <s v="Brigalow"/>
    <s v="Australia"/>
    <s v="AUS"/>
    <n v="-26.865341019375499"/>
    <n v="150.76368071571"/>
    <n v="1"/>
    <n v="205"/>
    <n v="74.825000000000003"/>
    <s v="PEM Electrolysis"/>
    <s v="Solar"/>
    <n v="2"/>
    <m/>
    <m/>
    <m/>
    <x v="8"/>
    <s v="Off-takers from heavy transport and haulage market in Western Downs region"/>
    <n v="2023"/>
    <x v="0"/>
    <x v="0"/>
    <m/>
    <x v="0"/>
    <s v="CS Energy and Senex Energy"/>
    <s v="https://research.csiro.au/hyresource/kogan-creek-renewable-hydrogen-demonstration-plant/"/>
  </r>
  <r>
    <x v="21"/>
    <s v="Wallumbilla"/>
    <s v="Australia"/>
    <s v="AUS"/>
    <n v="-26.585455111794499"/>
    <n v="149.18572449093799"/>
    <n v="0.05"/>
    <n v="1"/>
    <n v="0.36499999999999999"/>
    <s v="Anion Exchange Membrane Electrolysis"/>
    <s v="Solar"/>
    <n v="0.1"/>
    <m/>
    <s v="AUD $2,260,000"/>
    <n v="1469000"/>
    <x v="2"/>
    <s v="Proof of concept that h2 can be converted into renewable methane by extracting co2 from the atmosphere"/>
    <n v="2023"/>
    <x v="0"/>
    <x v="0"/>
    <m/>
    <x v="0"/>
    <s v="APA Group"/>
    <s v="https://research.csiro.au/hyresource/apa-renewable-methane-demonstration-project/"/>
  </r>
  <r>
    <x v="22"/>
    <s v="Gladstone Central"/>
    <s v="Australia"/>
    <s v="AUS"/>
    <n v="-23.828799547008501"/>
    <n v="151.23433293493301"/>
    <m/>
    <n v="821"/>
    <n v="299.66500000000002"/>
    <s v="Electrolysis"/>
    <s v="Grid"/>
    <m/>
    <m/>
    <m/>
    <m/>
    <x v="9"/>
    <s v="Rio Tinto owns Yarwun alumina refinery, wants to see if hydrogen can partially decarbonize it"/>
    <n v="2023"/>
    <x v="0"/>
    <x v="0"/>
    <m/>
    <x v="0"/>
    <s v="Sumitomo Corporation"/>
    <s v="https://research.csiro.au/hyresource/sumitomo-green-hydrogen-production-and-rio-tinto-decarbonisation-production-pilot-project/"/>
  </r>
  <r>
    <x v="23"/>
    <s v="South Gladstone"/>
    <s v="Australia"/>
    <s v="AUS"/>
    <n v="-23.868317390818401"/>
    <n v="151.26672765111701"/>
    <n v="0.17499999999999999"/>
    <n v="65"/>
    <n v="23.725000000000001"/>
    <s v="PEM Electrolysis"/>
    <s v="Grid"/>
    <m/>
    <m/>
    <s v="AUD $4,200,000"/>
    <n v="2730000"/>
    <x v="2"/>
    <s v="Will be blended up to 10% to supply around 770 resdiential and business customers on Gladstone's netowrk"/>
    <n v="2023"/>
    <x v="0"/>
    <x v="0"/>
    <m/>
    <x v="0"/>
    <s v="Australian Gas Infrastructure Group"/>
    <s v="https://research.csiro.au/hyresource/hydrogen-park-gladstone/"/>
  </r>
  <r>
    <x v="24"/>
    <s v="Canberra"/>
    <s v="Australia"/>
    <s v="AUS"/>
    <n v="-35.327032348662698"/>
    <n v="149.17134048020901"/>
    <n v="1.2500000000000001E-2"/>
    <n v="1"/>
    <n v="0.36499999999999999"/>
    <s v="Alkaline Electrolysis"/>
    <s v="Solar"/>
    <m/>
    <m/>
    <s v="AUD $600,000"/>
    <n v="390000"/>
    <x v="2"/>
    <s v="Evoenergy, Canberra Institue of Technology"/>
    <n v="2023"/>
    <x v="0"/>
    <x v="0"/>
    <m/>
    <x v="0"/>
    <s v="Hyundai"/>
    <s v="https://research.csiro.au/hyresource/actewagl-hydrogen-refuelling-station/"/>
  </r>
  <r>
    <x v="25"/>
    <s v="Crystal Brook"/>
    <s v="Australia"/>
    <s v="AUS"/>
    <n v="-33.3470500539322"/>
    <n v="138.210310851532"/>
    <n v="50"/>
    <n v="20000"/>
    <n v="7300"/>
    <s v="Electrolysis"/>
    <s v="Wind and Solar"/>
    <n v="300"/>
    <m/>
    <n v="600000000"/>
    <n v="600000000"/>
    <x v="10"/>
    <s v="Export to Asia"/>
    <n v="2024"/>
    <x v="0"/>
    <x v="0"/>
    <m/>
    <x v="0"/>
    <s v="Neonen"/>
    <s v="https://reneweconomy.com.au/neoen-plans-worlds-biggest-solar-wind-powered-hydrogen-hub-in-s-a-53674/"/>
  </r>
  <r>
    <x v="26"/>
    <s v="Manilla"/>
    <s v="Australia"/>
    <s v="AUS"/>
    <n v="-30.746050952760701"/>
    <n v="150.72637614356199"/>
    <m/>
    <m/>
    <m/>
    <s v="Electrolysis"/>
    <s v="Solar"/>
    <n v="5"/>
    <m/>
    <s v="AUD $7,300,000"/>
    <n v="4745000"/>
    <x v="5"/>
    <s v="Community-based solar farm and renewable energy storage facilities near Manilla"/>
    <n v="2023"/>
    <x v="0"/>
    <x v="0"/>
    <m/>
    <x v="0"/>
    <s v="Manilla Community Renewable Energy Inc. Providence Asset Group"/>
    <s v="https://research.csiro.au/hyresource/manilla-solar-phase-2-hydrogen-energy-storage-system/"/>
  </r>
  <r>
    <x v="27"/>
    <s v="Tasmania"/>
    <s v="Australia"/>
    <s v="AUS"/>
    <n v="-41.097482943074702"/>
    <n v="146.816268062142"/>
    <m/>
    <n v="1490"/>
    <n v="543.85"/>
    <s v="Alkaline Electrolysis"/>
    <s v="Solar"/>
    <n v="5"/>
    <m/>
    <s v="AUD $5,500,000"/>
    <n v="3575000"/>
    <x v="1"/>
    <s v="Renewable hydrogen to replace diesel in heavy duty trucking"/>
    <n v="2022"/>
    <x v="0"/>
    <x v="0"/>
    <m/>
    <x v="1"/>
    <s v="LINE Hydrogen"/>
    <s v="https://research.csiro.au/hyresource/great-southern-project/"/>
  </r>
  <r>
    <x v="28"/>
    <s v="Queensland"/>
    <s v="Australia"/>
    <s v="AUS"/>
    <n v="-19.259024644095799"/>
    <n v="146.81706561974201"/>
    <m/>
    <m/>
    <m/>
    <s v="Electrolysis"/>
    <m/>
    <m/>
    <m/>
    <m/>
    <m/>
    <x v="1"/>
    <s v="Will fuel Republic of Palau fuel cells"/>
    <n v="2024"/>
    <x v="0"/>
    <x v="0"/>
    <m/>
    <x v="0"/>
    <s v="Sojitz"/>
    <s v="https://www.sojitz.com/en/news/2022/01/20220112.php"/>
  </r>
  <r>
    <x v="29"/>
    <s v="Tasmania"/>
    <s v="Australia"/>
    <s v="AUS"/>
    <n v="-41.393067835326001"/>
    <n v="147.123345663614"/>
    <m/>
    <n v="288"/>
    <n v="105.12"/>
    <s v="PEM Electrolysis"/>
    <s v="Grid"/>
    <m/>
    <m/>
    <m/>
    <m/>
    <x v="5"/>
    <s v="Microgrid"/>
    <n v="2024"/>
    <x v="0"/>
    <x v="0"/>
    <m/>
    <x v="0"/>
    <s v="Optimal and ITM"/>
    <s v="https://www.sharecast.com/news/aim-bulletin/itm-power-enters-partnership-with-australias-optimal-group--7775227.html"/>
  </r>
  <r>
    <x v="30"/>
    <s v="Port Melville"/>
    <s v="Australia"/>
    <s v="AUS"/>
    <n v="-11.421484762041599"/>
    <n v="130.42451132875101"/>
    <m/>
    <n v="273973"/>
    <n v="100000.145"/>
    <s v="Electrolysis"/>
    <s v="Solar"/>
    <n v="2800"/>
    <m/>
    <m/>
    <m/>
    <x v="10"/>
    <s v="Export + fleet of vessels to carry to Japan, South Korea, Singapore, and China"/>
    <n v="2027"/>
    <x v="1"/>
    <x v="0"/>
    <m/>
    <x v="2"/>
    <s v="Provaris Energy Ltd"/>
    <s v="https://research.csiro.au/hyresource/tiwi-h2/"/>
  </r>
  <r>
    <x v="31"/>
    <s v="Cocklebiddy"/>
    <s v="Australia"/>
    <s v="AUS"/>
    <n v="-31.901651268039899"/>
    <n v="126.612904646659"/>
    <m/>
    <n v="9589041"/>
    <n v="3499999.9649999999"/>
    <s v="Electrolysis"/>
    <s v="Solar and Wind"/>
    <n v="50000"/>
    <m/>
    <s v="AUD $10,000,000,000"/>
    <n v="65000000000"/>
    <x v="10"/>
    <s v="Export for clean fuels"/>
    <n v="2030"/>
    <x v="1"/>
    <x v="0"/>
    <m/>
    <x v="3"/>
    <s v="InterContinental Energy, CWP Global, Mirning Traditional Lands Aboirignal Corporation"/>
    <s v="https://research.csiro.au/hyresource/western-green-energy-hub/"/>
  </r>
  <r>
    <x v="32"/>
    <s v="Kalbarri"/>
    <s v="Australia"/>
    <s v="AUS"/>
    <n v="-27.618051616707099"/>
    <n v="114.217961678945"/>
    <n v="3000"/>
    <n v="975342.46575342468"/>
    <n v="356000"/>
    <s v="Electrolysis"/>
    <s v="Solar and Wind"/>
    <n v="5200"/>
    <m/>
    <m/>
    <m/>
    <x v="10"/>
    <s v="For exporting ammonia - including 2Mt/annum ammonia plant, 200 storage vessels, 1.4km ammonia pipeline, marine export facility"/>
    <s v="N/A"/>
    <x v="1"/>
    <x v="1"/>
    <m/>
    <x v="4"/>
    <s v="Murchison Hydrogen Renewables Pty Ltd"/>
    <s v="https://research.csiro.au/hyresource/murchison-hydrogen-renewables-project/"/>
  </r>
  <r>
    <x v="33"/>
    <s v="Perth"/>
    <s v="Australia"/>
    <s v="AUS"/>
    <n v="-31.649913418115698"/>
    <n v="116.71249212435499"/>
    <n v="10"/>
    <n v="4400"/>
    <n v="1606.0000000000002"/>
    <s v="Electrolysis"/>
    <s v="Solar"/>
    <n v="10"/>
    <m/>
    <m/>
    <m/>
    <x v="11"/>
    <s v="in-depot refuelling stations are the target"/>
    <n v="2024"/>
    <x v="1"/>
    <x v="0"/>
    <m/>
    <x v="5"/>
    <s v="Infinite Green Energy Ltd"/>
    <s v="https://research.csiro.au/hyresource/early-production-system-meg-hp1/"/>
  </r>
  <r>
    <x v="34"/>
    <s v="Carnarvon"/>
    <s v="Australia"/>
    <s v="AUS"/>
    <n v="-24.7506497471221"/>
    <n v="113.635662353822"/>
    <m/>
    <n v="821917.808219178"/>
    <n v="300000"/>
    <s v="Electrolysis"/>
    <s v="Renewables"/>
    <n v="4000"/>
    <m/>
    <s v="AUD $600,000"/>
    <n v="390000"/>
    <x v="10"/>
    <s v="Focus on delivery to Singapore"/>
    <s v="N/A"/>
    <x v="1"/>
    <x v="1"/>
    <m/>
    <x v="6"/>
    <s v="Province Resources Ltd."/>
    <s v="https://research.csiro.au/hyresource/hyenergy-project/"/>
  </r>
  <r>
    <x v="35"/>
    <s v="Kununurra"/>
    <s v="Australia"/>
    <s v="AUS"/>
    <n v="-15.7773648373424"/>
    <n v="128.75226851615199"/>
    <m/>
    <m/>
    <m/>
    <s v="Electrolysis"/>
    <s v="Hydro"/>
    <n v="25"/>
    <m/>
    <s v="AUD $370,000"/>
    <n v="240500"/>
    <x v="10"/>
    <s v="Diamond Mine plant closure results in 15-25 MW of available power"/>
    <s v="N/A"/>
    <x v="1"/>
    <x v="0"/>
    <m/>
    <x v="5"/>
    <s v="GEV and Pacific Hydro"/>
    <s v="https://www.greencarcongress.com/2021/01/20210123-gev.html"/>
  </r>
  <r>
    <x v="36"/>
    <s v="Tasmania"/>
    <s v="Australia"/>
    <s v="AUS"/>
    <n v="-42.702228327403802"/>
    <n v="147.23176331323501"/>
    <n v="5"/>
    <n v="2191.7808219178082"/>
    <n v="800"/>
    <s v="Electrolysis"/>
    <s v="Solar and Wind"/>
    <m/>
    <m/>
    <s v="AUD $60,000,000"/>
    <n v="39000000"/>
    <x v="2"/>
    <s v="co-located with Brighton Regional Resources Recovery Precinct"/>
    <s v="N/A"/>
    <x v="1"/>
    <x v="0"/>
    <m/>
    <x v="7"/>
    <s v="Countrywide Hydrogen"/>
    <s v="https://research.csiro.au/hyresource/hydrogen-brighton-project/"/>
  </r>
  <r>
    <x v="37"/>
    <s v="Tasmania"/>
    <s v="Australia"/>
    <s v="AUS"/>
    <n v="-41.5429482997123"/>
    <n v="147.210513053"/>
    <n v="5"/>
    <n v="2250"/>
    <n v="821.25"/>
    <s v="Electrolysis"/>
    <m/>
    <m/>
    <m/>
    <m/>
    <m/>
    <x v="1"/>
    <s v="fueling for ferries, trucks, etc."/>
    <s v="N/A"/>
    <x v="1"/>
    <x v="0"/>
    <m/>
    <x v="7"/>
    <s v="Countrywide Hydrogen"/>
    <s v="https://research.csiro.au/hyresource/hydrogen-launceston-project/"/>
  </r>
  <r>
    <x v="38"/>
    <s v="Tasmania"/>
    <s v="Australia"/>
    <s v="AUS"/>
    <n v="-41.517042236652998"/>
    <n v="145.71646984565601"/>
    <n v="250"/>
    <m/>
    <m/>
    <s v="Electrolysis"/>
    <m/>
    <m/>
    <n v="260000"/>
    <m/>
    <m/>
    <x v="12"/>
    <s v="could produce 100M liters of efuel per annum"/>
    <n v="2026"/>
    <x v="1"/>
    <x v="2"/>
    <m/>
    <x v="8"/>
    <s v="HIF Global"/>
    <s v="https://research.csiro.au/hyresource/hif-carbon-neutral-efuels-manufacturing-facility/"/>
  </r>
  <r>
    <x v="39"/>
    <s v="Tennant Creek"/>
    <s v="Australia"/>
    <s v="AUS"/>
    <n v="-19.6323828915327"/>
    <n v="134.18584714674699"/>
    <n v="10000"/>
    <n v="54794.520547945205"/>
    <n v="20000"/>
    <s v="Electrolysis"/>
    <s v="Solar"/>
    <m/>
    <n v="20000000"/>
    <m/>
    <n v="10750000000"/>
    <x v="10"/>
    <s v="Uses water from atmosphere"/>
    <s v="N/A"/>
    <x v="1"/>
    <x v="0"/>
    <m/>
    <x v="4"/>
    <s v="Aqua Aerem"/>
    <s v="https://research.csiro.au/hyresource/desert-bloom-hydrogen/"/>
  </r>
  <r>
    <x v="40"/>
    <s v="Davenport"/>
    <s v="Australia"/>
    <s v="AUS"/>
    <n v="-20.746924031238802"/>
    <n v="134.20690906796699"/>
    <n v="10000"/>
    <n v="1000000"/>
    <n v="365000"/>
    <s v="Electrolysis"/>
    <s v="Renewables"/>
    <m/>
    <m/>
    <m/>
    <n v="10000000000"/>
    <x v="13"/>
    <m/>
    <s v="N/A"/>
    <x v="1"/>
    <x v="3"/>
    <m/>
    <x v="5"/>
    <s v="Climate Impact capital Limited"/>
    <s v="https://research.csiro.au/hyresource/green-springs-project/"/>
  </r>
  <r>
    <x v="41"/>
    <s v="Waroona"/>
    <s v="Australia"/>
    <s v="AUS"/>
    <n v="-32.9012484703699"/>
    <n v="115.818488402933"/>
    <n v="36"/>
    <n v="13424.657534246575"/>
    <n v="4900"/>
    <s v="Electrolysis"/>
    <s v="Solar"/>
    <n v="114"/>
    <m/>
    <m/>
    <m/>
    <x v="14"/>
    <s v="Close proximity to Dampier Bunbury Natural Gas Pipeline"/>
    <s v="N/A"/>
    <x v="1"/>
    <x v="0"/>
    <m/>
    <x v="9"/>
    <s v="Frontier Energy Limited"/>
    <s v="https://research.csiro.au/hyresource/bristol-springs-solar-hydrogen-project/"/>
  </r>
  <r>
    <x v="42"/>
    <s v="Perth"/>
    <s v="Australia"/>
    <s v="AUS"/>
    <n v="-32.255032652002903"/>
    <n v="115.76985692378101"/>
    <m/>
    <n v="480000"/>
    <n v="985500"/>
    <s v="SMR w/ CCS and Electrolysis"/>
    <s v="Natural gas and renewables"/>
    <m/>
    <m/>
    <m/>
    <m/>
    <x v="10"/>
    <s v="Targeting 2,700 tonnes/day ammonia"/>
    <s v="N/A"/>
    <x v="1"/>
    <x v="4"/>
    <m/>
    <x v="10"/>
    <s v="Woodside Energy Ltd"/>
    <s v="https://research.csiro.au/hyresource/h2perth-new-project-added-november-2021/"/>
  </r>
  <r>
    <x v="43"/>
    <s v="Perth"/>
    <s v="Australia"/>
    <s v="AUS"/>
    <n v="-32.240587013124198"/>
    <n v="115.775092595166"/>
    <m/>
    <m/>
    <m/>
    <m/>
    <m/>
    <m/>
    <m/>
    <m/>
    <m/>
    <x v="6"/>
    <s v="Parmelia gas pipeline can take 100% h2"/>
    <s v="N/A"/>
    <x v="1"/>
    <x v="0"/>
    <s v="Parmelia Gas Pipeline"/>
    <x v="6"/>
    <s v="WesCEF"/>
    <s v="https://research.csiro.au/hyresource/parmelia-green-hydrogen-project/"/>
  </r>
  <r>
    <x v="44"/>
    <s v="Perth"/>
    <s v="Australia"/>
    <s v="AUS"/>
    <n v="-32.223046283224797"/>
    <n v="115.761993253895"/>
    <n v="75"/>
    <m/>
    <m/>
    <s v="Electrolysis"/>
    <m/>
    <m/>
    <m/>
    <m/>
    <m/>
    <x v="15"/>
    <s v="Kwinana Industrial cluster is largest industrial cluster in Western Autralia"/>
    <s v="N/A"/>
    <x v="1"/>
    <x v="0"/>
    <m/>
    <x v="5"/>
    <s v="bp Australia, Macquarie Capital"/>
    <s v="https://research.csiro.au/hyresource/h2kwinana/"/>
  </r>
  <r>
    <x v="45"/>
    <s v="Cockburn"/>
    <s v="Australia"/>
    <s v="AUS"/>
    <n v="-32.1225160541034"/>
    <n v="115.84140855802301"/>
    <n v="1"/>
    <n v="440"/>
    <n v="160.6"/>
    <m/>
    <m/>
    <m/>
    <m/>
    <m/>
    <m/>
    <x v="3"/>
    <m/>
    <s v="N/A"/>
    <x v="1"/>
    <x v="0"/>
    <m/>
    <x v="5"/>
    <s v="City of Cockburn"/>
    <s v="https://research.csiro.au/hyresource/green-hydrogen-for-city-of-cockburn/"/>
  </r>
  <r>
    <x v="46"/>
    <s v="Collie"/>
    <s v="Australia"/>
    <s v="AUS"/>
    <n v="-32.1225160541034"/>
    <n v="115.84140855802301"/>
    <m/>
    <m/>
    <m/>
    <m/>
    <m/>
    <m/>
    <m/>
    <m/>
    <m/>
    <x v="0"/>
    <m/>
    <s v="N/A"/>
    <x v="1"/>
    <x v="0"/>
    <m/>
    <x v="5"/>
    <s v="Sunshot Industries"/>
    <s v="https://research.csiro.au/hyresource/collie-battery-and-hydrogen-industrial-hub-project/"/>
  </r>
  <r>
    <x v="47"/>
    <s v="Pilbara"/>
    <s v="Australia"/>
    <s v="AUS"/>
    <n v="-20.7041125407425"/>
    <n v="120.914345700902"/>
    <m/>
    <n v="4383561.6438356163"/>
    <n v="1600000"/>
    <s v="Electrolysis"/>
    <s v="Solar and Wind"/>
    <n v="26000"/>
    <m/>
    <m/>
    <m/>
    <x v="10"/>
    <s v="some local potential in Pilbara (heavy mining and metals district)"/>
    <s v="N/A"/>
    <x v="1"/>
    <x v="0"/>
    <m/>
    <x v="6"/>
    <s v="bp, CWP Global, InterCotinental Energy, Macquarie Capital"/>
    <s v="https://research.csiro.au/hyresource/australian-renewable-energy-hub/"/>
  </r>
  <r>
    <x v="48"/>
    <s v="Darwin"/>
    <s v="Australia"/>
    <s v="AUS"/>
    <n v="-12.1821737194468"/>
    <n v="130.87822496133899"/>
    <n v="1000"/>
    <n v="219178.08219178082"/>
    <n v="80000"/>
    <s v="Electrolysis"/>
    <s v="Solar"/>
    <n v="2000"/>
    <m/>
    <m/>
    <m/>
    <x v="10"/>
    <s v="Korean Transport Sector, export liquid hydrogen"/>
    <s v="N/A"/>
    <x v="1"/>
    <x v="0"/>
    <m/>
    <x v="6"/>
    <s v="Total Eren"/>
    <s v="https://research.csiro.au/hyresource/darwin-h2-hub/"/>
  </r>
  <r>
    <x v="49"/>
    <s v="Port Neil"/>
    <s v="Australia"/>
    <s v="AUS"/>
    <n v="-34.104321036924098"/>
    <n v="136.33814845857401"/>
    <n v="5000"/>
    <n v="2438356.1643835614"/>
    <n v="890000"/>
    <s v="Electrolysis"/>
    <m/>
    <m/>
    <m/>
    <m/>
    <m/>
    <x v="10"/>
    <s v="5 Mt ammonia production"/>
    <n v="2028"/>
    <x v="1"/>
    <x v="1"/>
    <m/>
    <x v="10"/>
    <s v="Amp Energy, Iron Road Ltd"/>
    <s v="https://research.csiro.au/hyresource/cape-hardy-green-hydrogen-project/"/>
  </r>
  <r>
    <x v="50"/>
    <s v="Mount Arden"/>
    <s v="Australia"/>
    <s v="AUS"/>
    <n v="-32.179302549734601"/>
    <n v="137.59712401651399"/>
    <n v="10"/>
    <n v="20547.945205479449"/>
    <n v="7500"/>
    <s v="PEM Electrolysis"/>
    <s v="Solar"/>
    <n v="30"/>
    <m/>
    <m/>
    <m/>
    <x v="12"/>
    <s v="co-located lime plant would supply the co2"/>
    <s v="N/A"/>
    <x v="1"/>
    <x v="2"/>
    <m/>
    <x v="6"/>
    <s v="Vast"/>
    <s v="https://research.csiro.au/hyresource/sm1/"/>
  </r>
  <r>
    <x v="51"/>
    <s v="Whyalla"/>
    <s v="Australia"/>
    <s v="AUS"/>
    <n v="-33.032678376096499"/>
    <n v="137.58182507949101"/>
    <n v="75"/>
    <n v="27397.260273972603"/>
    <n v="10000"/>
    <s v="Electrolysis"/>
    <m/>
    <m/>
    <m/>
    <s v="AUD $240,000,000"/>
    <n v="156000000"/>
    <x v="0"/>
    <s v="40,000 tonnes of ammonia per annum"/>
    <s v="N/A"/>
    <x v="1"/>
    <x v="1"/>
    <m/>
    <x v="5"/>
    <s v="The Hydrogen Utility"/>
    <s v="https://research.csiro.au/hyresource/eyre-peninsula-hydrogen-and-ammonia-supply-chain-project/"/>
  </r>
  <r>
    <x v="52"/>
    <s v="Bonython"/>
    <s v="Australia"/>
    <s v="AUS"/>
    <n v="-32.988718386126102"/>
    <n v="137.756792017164"/>
    <m/>
    <m/>
    <n v="1800000"/>
    <m/>
    <m/>
    <m/>
    <m/>
    <m/>
    <n v="13000000000"/>
    <x v="10"/>
    <m/>
    <s v="N/A"/>
    <x v="1"/>
    <x v="1"/>
    <m/>
    <x v="10"/>
    <s v="Australian government"/>
    <s v="https://research.csiro.au/hyresource/port-bonython-hydrogen-hub/; https://www.energymining.sa.gov.au/industry/modern-energy/hydrogen-in-south-australia/port-bonython-export-hub"/>
  </r>
  <r>
    <x v="53"/>
    <s v="Bonython"/>
    <s v="Australia"/>
    <s v="AUS"/>
    <n v="-32.978690042167202"/>
    <n v="137.77064920447401"/>
    <n v="250"/>
    <m/>
    <m/>
    <s v="Electrolysis"/>
    <s v="Renewables"/>
    <m/>
    <m/>
    <m/>
    <n v="593000000"/>
    <x v="5"/>
    <m/>
    <n v="2025"/>
    <x v="1"/>
    <x v="0"/>
    <m/>
    <x v="6"/>
    <s v="Australian government"/>
    <s v="https://research.csiro.au/hyresource/south-australian-government-hydrogen-facility/"/>
  </r>
  <r>
    <x v="54"/>
    <s v="Port Pirie"/>
    <s v="Australia"/>
    <s v="AUS"/>
    <n v="-33.176327130284001"/>
    <n v="138.012835596895"/>
    <n v="440"/>
    <n v="100000"/>
    <n v="36500"/>
    <m/>
    <s v="Renewables"/>
    <m/>
    <m/>
    <m/>
    <n v="487500000"/>
    <x v="10"/>
    <s v="Export and domestic use supporting Port Pirie industrial precicnt"/>
    <s v="N/A"/>
    <x v="1"/>
    <x v="1"/>
    <m/>
    <x v="6"/>
    <s v="Trafigura Group Pte. Ltd"/>
    <s v="https://research.csiro.au/hyresource/port-pirie-green-hydrogen-project/"/>
  </r>
  <r>
    <x v="55"/>
    <s v="Bordertown"/>
    <s v="Australia"/>
    <s v="AUS"/>
    <n v="-36.337810047091502"/>
    <n v="140.96753653209799"/>
    <m/>
    <m/>
    <m/>
    <m/>
    <m/>
    <m/>
    <m/>
    <m/>
    <n v="2697500"/>
    <x v="2"/>
    <s v="assessing 10% hydrogen in gas distribution networks"/>
    <s v="N/A"/>
    <x v="1"/>
    <x v="0"/>
    <s v="Mitchell Park, Adelaide gas pipes"/>
    <x v="6"/>
    <s v="Australian gas networks"/>
    <s v="https://research.csiro.au/hyresource/australian-hydrogen-centre/"/>
  </r>
  <r>
    <x v="56"/>
    <s v="Portland"/>
    <s v="Australia"/>
    <s v="AUS"/>
    <n v="-38.360978938028303"/>
    <n v="141.61295144106501"/>
    <n v="5"/>
    <n v="2191.7808219178082"/>
    <n v="800"/>
    <s v="Electrolysis"/>
    <s v="Wind"/>
    <m/>
    <m/>
    <m/>
    <m/>
    <x v="16"/>
    <s v="Phase 1 of a project that will eventually look to export"/>
    <s v="N/A"/>
    <x v="1"/>
    <x v="0"/>
    <m/>
    <x v="10"/>
    <s v="Countrywide Hydrogen Pty Ltd"/>
    <s v="https://research.csiro.au/hyresource/hydrogen-portland-project/"/>
  </r>
  <r>
    <x v="57"/>
    <s v="Portland"/>
    <s v="Australia"/>
    <s v="AUS"/>
    <n v="-38.332055110638102"/>
    <n v="141.599945740236"/>
    <m/>
    <m/>
    <n v="15000"/>
    <s v="Electrolysis"/>
    <s v="Biomass"/>
    <m/>
    <m/>
    <m/>
    <m/>
    <x v="17"/>
    <s v="expected to produce 200,000 tons of green methanol"/>
    <s v="N/A"/>
    <x v="1"/>
    <x v="5"/>
    <m/>
    <x v="6"/>
    <s v="HAMR Energy"/>
    <s v="https://research.csiro.au/hyresource/portland-renewable-fuels/"/>
  </r>
  <r>
    <x v="58"/>
    <s v="Warrnambool"/>
    <s v="Australia"/>
    <s v="AUS"/>
    <n v="-38.372725733783298"/>
    <n v="142.479966129948"/>
    <m/>
    <m/>
    <m/>
    <m/>
    <m/>
    <m/>
    <m/>
    <m/>
    <m/>
    <x v="1"/>
    <s v="12 buses"/>
    <s v="N/A"/>
    <x v="1"/>
    <x v="6"/>
    <m/>
    <x v="6"/>
    <s v="Warrnambool Bus Lines"/>
    <s v="https://research.csiro.au/hyresource/warrnambool-hydrogen-mobility-project/"/>
  </r>
  <r>
    <x v="59"/>
    <s v="Victoria"/>
    <s v="Australia"/>
    <s v="AUS"/>
    <n v="-37.696512440913601"/>
    <n v="144.41172843969801"/>
    <m/>
    <m/>
    <m/>
    <m/>
    <m/>
    <m/>
    <m/>
    <m/>
    <n v="1274000"/>
    <x v="18"/>
    <s v="exploring use of the ZESTY process -30,000 tonnes of steel per annum H-DRI demo plant"/>
    <s v="N/A"/>
    <x v="1"/>
    <x v="7"/>
    <m/>
    <x v="6"/>
    <s v="Calix"/>
    <s v="https://research.csiro.au/hyresource/calix-zero-emissions-steel-technology-pre-feed-and-feed-study/"/>
  </r>
  <r>
    <x v="60"/>
    <s v="Victoria"/>
    <s v="Australia"/>
    <s v="AUS"/>
    <n v="-38.0745850980895"/>
    <n v="144.39247665908499"/>
    <m/>
    <m/>
    <m/>
    <m/>
    <m/>
    <m/>
    <m/>
    <m/>
    <m/>
    <x v="10"/>
    <m/>
    <s v="N/A"/>
    <x v="1"/>
    <x v="1"/>
    <m/>
    <x v="11"/>
    <s v="Fortescue Future Industries"/>
    <s v="https://research.csiro.au/hyresource/geelong-hydrogen-hub/"/>
  </r>
  <r>
    <x v="61"/>
    <s v="Altona"/>
    <s v="Australia"/>
    <s v="AUS"/>
    <n v="-37.816425467196801"/>
    <n v="144.79257457146201"/>
    <m/>
    <n v="356.16438356164383"/>
    <n v="130"/>
    <m/>
    <m/>
    <m/>
    <n v="740"/>
    <m/>
    <n v="3759600"/>
    <x v="1"/>
    <s v="for metropolitan logistics and transport hub"/>
    <s v="N/A"/>
    <x v="1"/>
    <x v="6"/>
    <m/>
    <x v="6"/>
    <s v="Air Liquide"/>
    <s v="https://research.csiro.au/hyresource/development-of-altona-renewable-hydrogen-plant/"/>
  </r>
  <r>
    <x v="62"/>
    <s v="Melbourne"/>
    <s v="Australia"/>
    <s v="AUS"/>
    <n v="-37.644070934435398"/>
    <n v="144.982219743272"/>
    <n v="10"/>
    <n v="4500"/>
    <n v="1642.5"/>
    <m/>
    <m/>
    <m/>
    <m/>
    <m/>
    <m/>
    <x v="16"/>
    <s v="Near Melbourne's northern transportation corridor"/>
    <s v="N/A"/>
    <x v="1"/>
    <x v="0"/>
    <m/>
    <x v="6"/>
    <s v="Countrywide Hydrogen Pty Ltd"/>
    <s v="https://research.csiro.au/hyresource/melbourne-hydrogen-hub/"/>
  </r>
  <r>
    <x v="63"/>
    <s v="Melbourne"/>
    <s v="Australia"/>
    <s v="AUS"/>
    <n v="-37.605712054139801"/>
    <n v="145.02755398710201"/>
    <m/>
    <n v="1917.8082191780823"/>
    <n v="700"/>
    <s v="Electrolysis"/>
    <s v="Waste"/>
    <m/>
    <m/>
    <m/>
    <n v="20800000"/>
    <x v="1"/>
    <s v="installign pilot-scale electrolyzer at waste facility"/>
    <s v="N/A"/>
    <x v="1"/>
    <x v="0"/>
    <m/>
    <x v="6"/>
    <s v="Yarra Valley Water"/>
    <s v="https://research.csiro.au/hyresource/renewable-hydrogen-hydro-gen-1/"/>
  </r>
  <r>
    <x v="64"/>
    <s v="Melbourne"/>
    <s v="Australia"/>
    <s v="AUS"/>
    <n v="-37.916348594661898"/>
    <n v="145.145380036425"/>
    <m/>
    <m/>
    <m/>
    <m/>
    <m/>
    <m/>
    <m/>
    <m/>
    <n v="2177500"/>
    <x v="19"/>
    <s v="supporting replacement of diesel"/>
    <s v="N/A"/>
    <x v="1"/>
    <x v="0"/>
    <m/>
    <x v="6"/>
    <s v="Energys Australia"/>
    <s v="https://research.csiro.au/hyresource/energys-renewable-hydrogen-production-facility/"/>
  </r>
  <r>
    <x v="65"/>
    <s v="Melbourne"/>
    <s v="Australia"/>
    <s v="AUS"/>
    <n v="-38.0037257113569"/>
    <n v="145.213990683844"/>
    <m/>
    <m/>
    <m/>
    <m/>
    <m/>
    <m/>
    <m/>
    <m/>
    <m/>
    <x v="1"/>
    <s v="providing 2 hydrogen buses"/>
    <s v="N/A"/>
    <x v="1"/>
    <x v="6"/>
    <m/>
    <x v="6"/>
    <s v="Volgren Australia"/>
    <s v="https://www.csiro.au/en/maps/hydrogen-projects#markerName=Manufacturing-and-Commercialisation-of-Hydrogen-Buses"/>
  </r>
  <r>
    <x v="66"/>
    <s v="Victoria"/>
    <s v="Australia"/>
    <s v="AUS"/>
    <n v="-38.247135107410799"/>
    <n v="146.57441391817201"/>
    <m/>
    <n v="109589.04109589041"/>
    <n v="40000"/>
    <s v="Coal Gasification w/ CCS"/>
    <m/>
    <m/>
    <m/>
    <m/>
    <n v="1527500000"/>
    <x v="10"/>
    <s v="2 consortia: production joint venture and a liquefaction and export joint venture; carbon capture and storage in the Bass Strait offshore"/>
    <s v="N/A"/>
    <x v="1"/>
    <x v="0"/>
    <m/>
    <x v="12"/>
    <s v="Sumitomo Corporation"/>
    <s v="https://research.csiro.au/hyresource/liquefied-hydrogen-supply-chain-commercial-demonstration-project/"/>
  </r>
  <r>
    <x v="67"/>
    <s v="Tasmania"/>
    <s v="Australia"/>
    <s v="AUS"/>
    <n v="-41.132063777590403"/>
    <n v="146.85791548285101"/>
    <m/>
    <n v="204821.91780821918"/>
    <n v="74760"/>
    <s v="Electrolysis"/>
    <m/>
    <n v="500"/>
    <m/>
    <m/>
    <m/>
    <x v="10"/>
    <s v="420,000 tonnes of ammonia"/>
    <s v="N/A"/>
    <x v="1"/>
    <x v="0"/>
    <m/>
    <x v="5"/>
    <s v="Origin Energy"/>
    <s v="https://research.csiro.au/hyresource/origin-green-hydrogen-and-ammonia-project/"/>
  </r>
  <r>
    <x v="68"/>
    <s v="Tasmania"/>
    <s v="Australia"/>
    <s v="AUS"/>
    <n v="-41.1273095022554"/>
    <n v="146.86981100990999"/>
    <m/>
    <n v="121917.80821917808"/>
    <n v="44500"/>
    <s v="Electrolysis"/>
    <m/>
    <m/>
    <m/>
    <m/>
    <m/>
    <x v="10"/>
    <s v="exploring development of electrolyzer at Bell Bay Advanced Manufacturing Zone"/>
    <s v="N/A"/>
    <x v="1"/>
    <x v="1"/>
    <m/>
    <x v="5"/>
    <s v="Fortescue Future Industries"/>
    <s v="https://research.csiro.au/hyresource/fortescue-green-hydrogen-and-ammonia-plant/"/>
  </r>
  <r>
    <x v="69"/>
    <s v="Tasmania"/>
    <s v="Australia"/>
    <s v="AUS"/>
    <n v="-41.139547774400697"/>
    <n v="146.90329794539699"/>
    <n v="260"/>
    <n v="120000"/>
    <n v="43800"/>
    <m/>
    <m/>
    <m/>
    <m/>
    <m/>
    <m/>
    <x v="10"/>
    <s v="A feasibility study is undertaken to assess the potential for developing a large-scale, renewable methanol plant (300,000 tonnes per annum)"/>
    <n v="2027"/>
    <x v="1"/>
    <x v="2"/>
    <m/>
    <x v="5"/>
    <s v="ABEL Energy"/>
    <s v="https://research.csiro.au/hyresource/abel-energy-bell-bay-powerfuels-project/"/>
  </r>
  <r>
    <x v="70"/>
    <s v="Tasmania"/>
    <s v="Australia"/>
    <s v="AUS"/>
    <n v="-41.154002383147201"/>
    <n v="146.92412655032999"/>
    <n v="300"/>
    <n v="97900"/>
    <n v="35733.5"/>
    <s v="Electrolysis"/>
    <s v="Wind and Hydro"/>
    <m/>
    <m/>
    <m/>
    <m/>
    <x v="10"/>
    <s v="ammonia plant with potential to scale"/>
    <s v="N/A"/>
    <x v="1"/>
    <x v="1"/>
    <m/>
    <x v="10"/>
    <s v="Woodside Energy Ltd"/>
    <s v="https://research.csiro.au/hyresource/h2tas-project/"/>
  </r>
  <r>
    <x v="71"/>
    <s v="Tasmania"/>
    <s v="Australia"/>
    <s v="AUS"/>
    <n v="-40.851038221728402"/>
    <n v="145.37910208075201"/>
    <n v="100"/>
    <m/>
    <m/>
    <m/>
    <m/>
    <m/>
    <m/>
    <m/>
    <m/>
    <x v="18"/>
    <s v="Grange owns and operates integrated iron ore mining and pellet production business"/>
    <s v="N/A"/>
    <x v="1"/>
    <x v="7"/>
    <m/>
    <x v="6"/>
    <s v="Grange Resources Pty Ltd"/>
    <s v="https://research.csiro.au/hyresource/grange-resources-renewable-hydrogen-study/"/>
  </r>
  <r>
    <x v="72"/>
    <s v="Cringila"/>
    <s v="Australia"/>
    <s v="AUS"/>
    <n v="-34.475328499035399"/>
    <n v="150.90629102117501"/>
    <n v="1000"/>
    <n v="390136.98630136985"/>
    <n v="142400"/>
    <s v="Electrolysis"/>
    <m/>
    <m/>
    <m/>
    <m/>
    <m/>
    <x v="10"/>
    <s v="Export ammonia to germany"/>
    <s v="N/A"/>
    <x v="1"/>
    <x v="1"/>
    <m/>
    <x v="5"/>
    <s v="ATCO"/>
    <s v="https://www.csiro.au/en/maps/hydrogen-projects#markerName=ScaleH2"/>
  </r>
  <r>
    <x v="73"/>
    <s v="Cringila"/>
    <s v="Australia"/>
    <s v="AUS"/>
    <n v="-34.482969823443497"/>
    <n v="150.91161252398999"/>
    <m/>
    <m/>
    <m/>
    <m/>
    <m/>
    <m/>
    <m/>
    <m/>
    <m/>
    <x v="6"/>
    <m/>
    <s v="N/A"/>
    <x v="1"/>
    <x v="0"/>
    <m/>
    <x v="4"/>
    <s v="New South Wales Government"/>
    <s v="https://research.csiro.au/hyresource/port-kembla-hydrogen-hub/"/>
  </r>
  <r>
    <x v="74"/>
    <s v="Cringila"/>
    <s v="Australia"/>
    <s v="AUS"/>
    <n v="-34.493440131259803"/>
    <n v="150.89787961349899"/>
    <n v="10"/>
    <n v="4000"/>
    <n v="1460"/>
    <s v="Electrolysis"/>
    <s v="Grid"/>
    <m/>
    <m/>
    <m/>
    <m/>
    <x v="1"/>
    <s v="also will supply hydrogen to BOC's existing hydrogen customers"/>
    <n v="2025"/>
    <x v="1"/>
    <x v="0"/>
    <m/>
    <x v="5"/>
    <s v="BOC Limited"/>
    <s v="https://research.csiro.au/hyresource/illawarra-hydrogen-technology-hub/"/>
  </r>
  <r>
    <x v="75"/>
    <s v="New South Wales"/>
    <s v="Australia"/>
    <s v="AUS"/>
    <n v="-32.730411092485198"/>
    <n v="151.55090842836699"/>
    <m/>
    <m/>
    <m/>
    <m/>
    <m/>
    <m/>
    <m/>
    <m/>
    <m/>
    <x v="6"/>
    <m/>
    <s v="N/A"/>
    <x v="1"/>
    <x v="0"/>
    <m/>
    <x v="6"/>
    <s v="New South Wales Government"/>
    <s v="https://research.csiro.au/hyresource/hunter-hydrogen-hub/"/>
  </r>
  <r>
    <x v="76"/>
    <s v="New South Wales"/>
    <s v="Australia"/>
    <s v="AUS"/>
    <n v="-32.9207759304633"/>
    <n v="151.773931765952"/>
    <n v="55"/>
    <m/>
    <m/>
    <s v="Electrolysis"/>
    <s v="Grid"/>
    <m/>
    <m/>
    <m/>
    <n v="130000000"/>
    <x v="6"/>
    <m/>
    <s v="N/A"/>
    <x v="1"/>
    <x v="0"/>
    <m/>
    <x v="5"/>
    <s v="Origin Energy"/>
    <s v="https://research.csiro.au/hyresource/hunter-valley-hydrogen-hub/"/>
  </r>
  <r>
    <x v="77"/>
    <s v="New South Wales"/>
    <s v="Australia"/>
    <s v="AUS"/>
    <n v="-30.745591377722999"/>
    <n v="150.72277286397599"/>
    <m/>
    <m/>
    <m/>
    <m/>
    <s v="Solar"/>
    <n v="4.95"/>
    <m/>
    <m/>
    <n v="4745000"/>
    <x v="5"/>
    <s v="a hybrid battery storage system of l-ion batteries and a hydrogen storage medium"/>
    <s v="N/A"/>
    <x v="1"/>
    <x v="0"/>
    <s v="Microgrid storage"/>
    <x v="6"/>
    <s v="Manilla Community Renewable Energy Inc."/>
    <s v="https://research.csiro.au/hyresource/manilla-solar-phase-2-hydrogen-energy-storage-system/"/>
  </r>
  <r>
    <x v="78"/>
    <s v="Moree"/>
    <s v="Australia"/>
    <s v="AUS"/>
    <n v="-29.481648542865202"/>
    <n v="149.83993341624699"/>
    <n v="12"/>
    <n v="1853.1506849315069"/>
    <n v="676.4"/>
    <s v="Electrolysis"/>
    <s v="Solar"/>
    <n v="27"/>
    <n v="20000"/>
    <m/>
    <m/>
    <x v="0"/>
    <s v="Keytah agricultural property is a large cotton producing property that needs nitrogen based fertilizers"/>
    <s v="N/A"/>
    <x v="1"/>
    <x v="1"/>
    <m/>
    <x v="6"/>
    <s v="Hiringa Energy"/>
    <s v="https://research.csiro.au/hyresource/good-earth-green-hydrogen-and-ammonia-project/"/>
  </r>
  <r>
    <x v="79"/>
    <s v="Goondiwindi"/>
    <s v="Australia"/>
    <s v="AUS"/>
    <n v="-28.547748028900799"/>
    <n v="150.30778670043799"/>
    <m/>
    <n v="3698.6301369863013"/>
    <n v="1350"/>
    <s v="Electrolysis"/>
    <s v="Solar"/>
    <n v="2.5"/>
    <m/>
    <m/>
    <m/>
    <x v="15"/>
    <s v="want to install production facility at wastewater treatment plant and to sell hydrogen but use oxygen to improve efficiency of wastewater plant"/>
    <n v="2024"/>
    <x v="1"/>
    <x v="0"/>
    <m/>
    <x v="5"/>
    <s v="Goondiwindi Regional Council"/>
    <s v="https://research.csiro.au/hyresource/goondiwindi-hydrogen/"/>
  </r>
  <r>
    <x v="80"/>
    <s v="Brisbane"/>
    <s v="Australia"/>
    <s v="AUS"/>
    <n v="-27.6455350622835"/>
    <n v="152.81528477864401"/>
    <m/>
    <m/>
    <m/>
    <m/>
    <m/>
    <m/>
    <m/>
    <m/>
    <m/>
    <x v="5"/>
    <s v="want to investigate feeding hydrogen into Swanbank E power station (385 MW)"/>
    <s v="N/A"/>
    <x v="1"/>
    <x v="8"/>
    <m/>
    <x v="6"/>
    <s v="CleanCo"/>
    <s v="https://research.csiro.au/hyresource/future-energy-and-hydrogen-precinct/"/>
  </r>
  <r>
    <x v="81"/>
    <s v="Brisbane"/>
    <s v="Australia"/>
    <s v="AUS"/>
    <n v="-27.524175973613499"/>
    <n v="153.19794222411701"/>
    <m/>
    <m/>
    <m/>
    <m/>
    <m/>
    <m/>
    <m/>
    <m/>
    <n v="1950000"/>
    <x v="1"/>
    <s v="2 fuel cell buses"/>
    <s v="N/A"/>
    <x v="1"/>
    <x v="6"/>
    <m/>
    <x v="10"/>
    <s v="Transdev"/>
    <s v="https://research.csiro.au/hyresource/transdev-mobility-trial/"/>
  </r>
  <r>
    <x v="82"/>
    <s v="Brisbane"/>
    <s v="Australia"/>
    <s v="AUS"/>
    <n v="-27.3796448058484"/>
    <n v="153.14888172771299"/>
    <n v="500"/>
    <n v="191780.82191780821"/>
    <n v="70000"/>
    <s v="Electrolysis"/>
    <m/>
    <m/>
    <m/>
    <m/>
    <n v="24700000"/>
    <x v="0"/>
    <s v="want to convert existing ammonia plant to take 400,000 tonnes per annum of hydrogen"/>
    <s v="N/A"/>
    <x v="1"/>
    <x v="1"/>
    <m/>
    <x v="13"/>
    <s v="Fortescue Future Industries"/>
    <s v="https://research.csiro.au/hyresource/gibson-island-green-ammonia-project/"/>
  </r>
  <r>
    <x v="83"/>
    <s v="Brigalow"/>
    <s v="Australia"/>
    <s v="AUS"/>
    <n v="-26.8431326604471"/>
    <n v="150.79650126365999"/>
    <m/>
    <m/>
    <m/>
    <m/>
    <m/>
    <m/>
    <m/>
    <m/>
    <m/>
    <x v="5"/>
    <s v="investment in a NEW 200 MW hydrogen-ready gas peaking power station at Kogan Creek"/>
    <n v="2027"/>
    <x v="1"/>
    <x v="8"/>
    <m/>
    <x v="6"/>
    <s v="Queensland government"/>
    <s v="https://research.csiro.au/hyresource/kogan-creek-hydrogen-ready-gas-peaking-power-station/"/>
  </r>
  <r>
    <x v="84"/>
    <s v="Cape Tribulation"/>
    <s v="Australia"/>
    <s v="AUS"/>
    <n v="-16.0845230111494"/>
    <n v="145.45507478991399"/>
    <n v="1"/>
    <m/>
    <m/>
    <m/>
    <s v="Solar"/>
    <n v="8"/>
    <m/>
    <m/>
    <m/>
    <x v="5"/>
    <s v="Daintree Rainforest region has nor limited main electricity supply"/>
    <n v="2024"/>
    <x v="1"/>
    <x v="0"/>
    <s v="Microgrid storage"/>
    <x v="5"/>
    <s v="Volt Advisory Group"/>
    <s v="https://research.csiro.au/hyresource/daintree-microgrid-project/"/>
  </r>
  <r>
    <x v="85"/>
    <s v="Townsville"/>
    <s v="Australia"/>
    <s v="AUS"/>
    <n v="-19.255240603172201"/>
    <n v="146.80845671674899"/>
    <m/>
    <m/>
    <m/>
    <m/>
    <m/>
    <m/>
    <m/>
    <m/>
    <m/>
    <x v="10"/>
    <m/>
    <n v="2030"/>
    <x v="1"/>
    <x v="0"/>
    <m/>
    <x v="6"/>
    <s v="Origin Energy"/>
    <s v="https://research.csiro.au/hyresource/green-hydrogen-export-project/"/>
  </r>
  <r>
    <x v="86"/>
    <s v="Townsville"/>
    <s v="Australia"/>
    <s v="AUS"/>
    <n v="-19.3246492744872"/>
    <n v="146.821944448045"/>
    <m/>
    <m/>
    <m/>
    <m/>
    <m/>
    <m/>
    <m/>
    <m/>
    <m/>
    <x v="1"/>
    <s v="trialing up to 4 hydrogen fuel cell electric trucks in its fleet and refueling stations"/>
    <s v="N/A"/>
    <x v="1"/>
    <x v="6"/>
    <m/>
    <x v="5"/>
    <s v="Aurizon"/>
    <s v="https://research.csiro.au/hyresource/hydrogen-mobility-project/"/>
  </r>
  <r>
    <x v="87"/>
    <s v="Manton"/>
    <s v="Australia"/>
    <s v="AUS"/>
    <n v="-19.646795347584401"/>
    <n v="146.83199695329"/>
    <n v="1000"/>
    <n v="410958.90410958906"/>
    <n v="150000"/>
    <s v="Electrolysis"/>
    <s v="Solar"/>
    <n v="800"/>
    <m/>
    <m/>
    <m/>
    <x v="20"/>
    <s v="project has received development approval for a facility to be constructed in stages"/>
    <s v="N/A"/>
    <x v="1"/>
    <x v="0"/>
    <m/>
    <x v="14"/>
    <s v="Edify Energy"/>
    <s v="https://research.csiro.au/hyresource/edify-green-hydrogen-project/"/>
  </r>
  <r>
    <x v="88"/>
    <s v="Collinsville"/>
    <s v="Australia"/>
    <s v="AUS"/>
    <n v="-20.543775145003799"/>
    <n v="147.80569171372801"/>
    <m/>
    <n v="487671.23287671234"/>
    <n v="178000"/>
    <s v="Electrolysis"/>
    <m/>
    <m/>
    <m/>
    <m/>
    <m/>
    <x v="10"/>
    <s v="feasbility study investigating for ammonia supply to South Korea"/>
    <n v="2032"/>
    <x v="1"/>
    <x v="1"/>
    <m/>
    <x v="5"/>
    <s v="Ark Energy Corporation Pty Ltd"/>
    <s v="https://research.csiro.au/hyresource/han-ho-h2-hub-feasibility-study/"/>
  </r>
  <r>
    <x v="89"/>
    <s v="Hay Point"/>
    <s v="Australia"/>
    <s v="AUS"/>
    <n v="-21.2757196236646"/>
    <n v="49.2904942194493"/>
    <m/>
    <m/>
    <m/>
    <m/>
    <m/>
    <m/>
    <m/>
    <m/>
    <m/>
    <x v="10"/>
    <s v="investigating a proposal for a renwable-based hydrogen production, storage, and export facility"/>
    <s v="N/A"/>
    <x v="1"/>
    <x v="0"/>
    <m/>
    <x v="6"/>
    <s v="Dalrymple Bay Infrastructure Ltd, North Queensland Bulk Ports Corporation, Brookfield Group, ITOCHU Corporation"/>
    <s v="https://research.csiro.au/hyresource/hay-point-hydrogen-export/"/>
  </r>
  <r>
    <x v="90"/>
    <s v="Emerald"/>
    <s v="Australia"/>
    <s v="AUS"/>
    <n v="-23.52385612502"/>
    <n v="148.16165991084199"/>
    <m/>
    <m/>
    <m/>
    <m/>
    <m/>
    <m/>
    <n v="3100"/>
    <m/>
    <n v="65000000"/>
    <x v="1"/>
    <s v="investigating a full fleet of 120 vehicles to transition from diesel fuel - regional transport service"/>
    <n v="2024"/>
    <x v="1"/>
    <x v="6"/>
    <m/>
    <x v="5"/>
    <s v="Emerald Coaches"/>
    <s v="https://www.csiro.au/en/maps/hydrogen-projects#markerName=Emerald%20Coaches%20Green%20Hydrogen%20Mobility%20Project"/>
  </r>
  <r>
    <x v="91"/>
    <s v="Moura"/>
    <s v="Australia"/>
    <s v="AUS"/>
    <n v="-24.5699988894245"/>
    <n v="149.97503839955701"/>
    <m/>
    <m/>
    <m/>
    <m/>
    <m/>
    <m/>
    <m/>
    <m/>
    <m/>
    <x v="1"/>
    <s v="assessing the introduction of hydrogen-powered trains for bulk freight, with mining industry application in Queensland"/>
    <s v="N/A"/>
    <x v="1"/>
    <x v="9"/>
    <m/>
    <x v="5"/>
    <s v="Aurizon"/>
    <s v="https://www.csiro.au/en/maps/hydrogen-projects#markerName=Emerald%20Coaches%20Green%20Hydrogen%20Mobility%20Project"/>
  </r>
  <r>
    <x v="92"/>
    <s v="Biloela"/>
    <s v="Australia"/>
    <s v="AUS"/>
    <n v="-24.380132771242899"/>
    <n v="150.546078475532"/>
    <m/>
    <n v="273972.60273972602"/>
    <n v="100000"/>
    <m/>
    <s v="Solar"/>
    <n v="3600"/>
    <m/>
    <m/>
    <m/>
    <x v="10"/>
    <s v="Austrom has secured the rights to 4 renewable sites covering 6,000 hectares near Callide"/>
    <s v="N/A"/>
    <x v="1"/>
    <x v="1"/>
    <m/>
    <x v="6"/>
    <s v="Austrom Hydrogen"/>
    <s v="https://research.csiro.au/hyresource/pacific-solar-hydrogen-project/"/>
  </r>
  <r>
    <x v="93"/>
    <s v="Gladstone"/>
    <s v="Australia"/>
    <s v="AUS"/>
    <n v="-23.835095886131"/>
    <n v="151.26149365895799"/>
    <m/>
    <m/>
    <m/>
    <m/>
    <m/>
    <m/>
    <m/>
    <m/>
    <n v="13390000"/>
    <x v="1"/>
    <s v="SeaLink plans to design, construct and operate an Australian Maritime Safety Authority approved fuel cell passenger ferry"/>
    <s v="N/A"/>
    <x v="1"/>
    <x v="5"/>
    <m/>
    <x v="6"/>
    <s v="SeaLink Gladstone"/>
    <s v="https://research.csiro.au/hyresource/sealink-hydrogen-ferry/"/>
  </r>
  <r>
    <x v="94"/>
    <s v="Gladstone"/>
    <s v="Australia"/>
    <s v="AUS"/>
    <n v="-23.8250250165406"/>
    <n v="151.22752164342799"/>
    <m/>
    <m/>
    <m/>
    <m/>
    <m/>
    <m/>
    <m/>
    <m/>
    <m/>
    <x v="21"/>
    <s v="focus on producing methylcyclohexane"/>
    <s v="N/A"/>
    <x v="1"/>
    <x v="0"/>
    <m/>
    <x v="6"/>
    <s v="Origin and ENEOS"/>
    <s v="https://research.csiro.au/hyresource/origin-and-eneos/"/>
  </r>
  <r>
    <x v="95"/>
    <s v="Aldoga"/>
    <s v="Australia"/>
    <s v="AUS"/>
    <n v="-23.836821859825498"/>
    <n v="151.045956122154"/>
    <m/>
    <n v="200000"/>
    <n v="73000"/>
    <s v="Electrolysis"/>
    <s v="Renewables"/>
    <m/>
    <m/>
    <m/>
    <n v="76050000"/>
    <x v="10"/>
    <s v="focus on exporting liuqid hydrogen to Japan"/>
    <n v="2028"/>
    <x v="1"/>
    <x v="0"/>
    <m/>
    <x v="5"/>
    <s v="Stanwell Corpation Limited, Iwatani, Marubeni, Kansai Electric, Keppel Infrastructure"/>
    <s v="https://www.csiro.au/en/maps/hydrogen-projects#markerName=Central%20Queensland%20Hydrogen%20Project"/>
  </r>
  <r>
    <x v="96"/>
    <s v="Gladstone"/>
    <s v="Australia"/>
    <s v="AUS"/>
    <n v="-23.842113778299101"/>
    <n v="151.21667942022299"/>
    <n v="3000"/>
    <n v="5000000"/>
    <n v="1825000"/>
    <s v="Electrolysis"/>
    <s v="Wind and Solar"/>
    <m/>
    <m/>
    <m/>
    <n v="3055000000"/>
    <x v="10"/>
    <s v="H2U have purchased a 171 hectare site at Yarwun; Korea East West Power has signed MoU with H2U to develop value chain for green energy exports"/>
    <s v="N/A"/>
    <x v="1"/>
    <x v="1"/>
    <m/>
    <x v="6"/>
    <s v="H2U"/>
    <s v="https://research.csiro.au/hyresource/h2-hub-gladstone/"/>
  </r>
  <r>
    <x v="97"/>
    <s v="Gladstone"/>
    <s v="Australia"/>
    <s v="AUS"/>
    <n v="-23.809605081199699"/>
    <n v="151.14827746716699"/>
    <m/>
    <n v="480"/>
    <n v="175.2"/>
    <s v="steam-over-iron chemical looping"/>
    <s v="Biofuels"/>
    <m/>
    <m/>
    <m/>
    <n v="4550000"/>
    <x v="9"/>
    <s v="the bio hydrogen would be used in the refining process, with an yexcess used to generate electricity to power the refinery"/>
    <s v="N/A"/>
    <x v="1"/>
    <x v="10"/>
    <m/>
    <x v="5"/>
    <s v="Southern Oil Refinery"/>
    <s v="https://research.csiro.au/hyresource/bio-hydrogen-demonstration-plant/"/>
  </r>
  <r>
    <x v="98"/>
    <s v="Gladstone"/>
    <s v="Australia"/>
    <s v="AUS"/>
    <n v="-23.7806324888912"/>
    <n v="151.16242532032001"/>
    <m/>
    <n v="51369.863013698632"/>
    <n v="18750"/>
    <m/>
    <m/>
    <m/>
    <m/>
    <m/>
    <n v="97500000"/>
    <x v="12"/>
    <s v="Feasbility study will assess the technical and economic viability of constructing a green methanol plant based on renwables-based hydrogen and co2 captured from cement Australia's cement factory (100,000 tonnes of methanol)"/>
    <n v="2028"/>
    <x v="1"/>
    <x v="2"/>
    <m/>
    <x v="5"/>
    <s v="Cement Australia"/>
    <s v="https://research.csiro.au/hyresource/green-methanol-feasibility-study/"/>
  </r>
  <r>
    <x v="99"/>
    <s v="East Bundaberg Wastewater"/>
    <s v="Australia"/>
    <s v="AUS"/>
    <n v="-24.8658865641986"/>
    <n v="152.34955328569299"/>
    <m/>
    <m/>
    <m/>
    <s v="Plasma dry-reforming of biogas"/>
    <s v="Waste"/>
    <m/>
    <m/>
    <m/>
    <m/>
    <x v="1"/>
    <s v="Bionergy developer Utilitas is acquiring the retired East Budaberg Wastewater Treatment Plant for repurposing into an industrial park with a focus on hydrogen production; hydrogen supplied to a refulling station for up to 10 waste collection trucks"/>
    <s v="N/A"/>
    <x v="1"/>
    <x v="0"/>
    <m/>
    <x v="6"/>
    <s v="Utilitas Group"/>
    <s v="https://research.csiro.au/hyresource/utilitas-recarbon-organic-waste-to-green-hydrogen-technology/"/>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AUS"/>
    <s v="Australia"/>
    <x v="0"/>
    <x v="0"/>
    <n v="8.5800000000000001E-2"/>
    <n v="1"/>
    <x v="0"/>
    <x v="0"/>
    <x v="0"/>
    <n v="971201000"/>
    <n v="971201000"/>
    <n v="971201000"/>
    <x v="0"/>
    <x v="0"/>
    <n v="1"/>
    <n v="1"/>
    <n v="1"/>
    <n v="0"/>
    <n v="0"/>
    <n v="0"/>
    <n v="0"/>
    <n v="1"/>
    <n v="1"/>
    <n v="1"/>
    <n v="1"/>
    <n v="1"/>
    <n v="1"/>
    <n v="1"/>
    <n v="1"/>
    <n v="0"/>
    <n v="0"/>
    <n v="0"/>
    <n v="0"/>
    <n v="0"/>
    <n v="1"/>
    <n v="1"/>
    <x v="0"/>
  </r>
  <r>
    <s v="AUT"/>
    <s v="EU 28"/>
    <x v="1"/>
    <x v="1"/>
    <n v="0.17169999999999999"/>
    <n v="0.17169999999999999"/>
    <x v="1"/>
    <x v="1"/>
    <x v="1"/>
    <n v="2545212500"/>
    <n v="8144680000"/>
    <n v="5344946250"/>
    <x v="0"/>
    <x v="0"/>
    <n v="0"/>
    <n v="0"/>
    <n v="0"/>
    <n v="0"/>
    <n v="0"/>
    <n v="0"/>
    <n v="0"/>
    <n v="0"/>
    <n v="0"/>
    <n v="0"/>
    <n v="0"/>
    <n v="0"/>
    <n v="0"/>
    <n v="0"/>
    <n v="1"/>
    <n v="0"/>
    <n v="0"/>
    <n v="0"/>
    <n v="0"/>
    <n v="0"/>
    <n v="0"/>
    <n v="0"/>
    <x v="1"/>
  </r>
  <r>
    <s v="BEL"/>
    <s v="EU 28"/>
    <x v="2"/>
    <x v="2"/>
    <n v="2.5700000000000001E-2"/>
    <n v="2.5700000000000001E-2"/>
    <x v="2"/>
    <x v="0"/>
    <x v="2"/>
    <n v="2137978500"/>
    <n v="9773616000"/>
    <n v="5955797250"/>
    <x v="1"/>
    <x v="0"/>
    <n v="1"/>
    <n v="1"/>
    <n v="0"/>
    <n v="0"/>
    <n v="0"/>
    <n v="0"/>
    <n v="0"/>
    <n v="1"/>
    <n v="1"/>
    <n v="1"/>
    <n v="0"/>
    <n v="1"/>
    <n v="1"/>
    <n v="0"/>
    <n v="1"/>
    <n v="1"/>
    <n v="1"/>
    <n v="1"/>
    <n v="0"/>
    <n v="1"/>
    <n v="0"/>
    <n v="0"/>
    <x v="2"/>
  </r>
  <r>
    <s v="CAN"/>
    <s v="Canada"/>
    <x v="3"/>
    <x v="3"/>
    <n v="4"/>
    <n v="4"/>
    <x v="3"/>
    <x v="1"/>
    <x v="3"/>
    <n v="1162455000"/>
    <n v="1162455000"/>
    <n v="1162455000"/>
    <x v="0"/>
    <x v="0"/>
    <n v="1"/>
    <n v="1"/>
    <n v="0"/>
    <n v="1"/>
    <n v="1"/>
    <n v="1"/>
    <n v="1"/>
    <n v="1"/>
    <n v="1"/>
    <n v="1"/>
    <n v="1"/>
    <n v="1"/>
    <n v="1"/>
    <n v="0"/>
    <n v="1"/>
    <n v="1"/>
    <n v="1"/>
    <n v="1"/>
    <n v="1"/>
    <n v="0"/>
    <n v="1"/>
    <n v="1"/>
    <x v="3"/>
  </r>
  <r>
    <s v="CHL"/>
    <s v="Latin America"/>
    <x v="4"/>
    <x v="4"/>
    <n v="4.2919999999999998"/>
    <n v="4.2919999999999998"/>
    <x v="4"/>
    <x v="0"/>
    <x v="4"/>
    <n v="50000000"/>
    <n v="50000000"/>
    <n v="50000000"/>
    <x v="1"/>
    <x v="0"/>
    <n v="1"/>
    <n v="0"/>
    <n v="0"/>
    <n v="0"/>
    <n v="0"/>
    <n v="0"/>
    <n v="0"/>
    <n v="1"/>
    <n v="1"/>
    <n v="1"/>
    <n v="0"/>
    <n v="1"/>
    <n v="1"/>
    <n v="0"/>
    <n v="0"/>
    <n v="1"/>
    <n v="1"/>
    <n v="0"/>
    <n v="0"/>
    <n v="0"/>
    <n v="0"/>
    <n v="1"/>
    <x v="4"/>
  </r>
  <r>
    <s v="COL"/>
    <s v="Latin America"/>
    <x v="5"/>
    <x v="5"/>
    <n v="0.17169999999999999"/>
    <n v="0.56510000000000005"/>
    <x v="5"/>
    <x v="0"/>
    <x v="5"/>
    <n v="2380000000"/>
    <n v="2380000000"/>
    <n v="2380000000"/>
    <x v="0"/>
    <x v="1"/>
    <n v="1"/>
    <n v="1"/>
    <n v="0"/>
    <n v="0"/>
    <n v="0"/>
    <n v="0"/>
    <n v="0"/>
    <n v="1"/>
    <n v="0"/>
    <n v="1"/>
    <n v="0"/>
    <n v="0"/>
    <n v="0"/>
    <n v="1"/>
    <n v="0"/>
    <n v="0"/>
    <n v="0"/>
    <n v="0"/>
    <n v="0"/>
    <n v="0"/>
    <n v="0"/>
    <n v="0"/>
    <x v="5"/>
  </r>
  <r>
    <s v="CZE"/>
    <s v="EU 28"/>
    <x v="6"/>
    <x v="6"/>
    <n v="9.7000000000000003E-2"/>
    <n v="9.7000000000000003E-2"/>
    <x v="6"/>
    <x v="0"/>
    <x v="6"/>
    <n v="814468000"/>
    <n v="2647021000"/>
    <n v="1730744500"/>
    <x v="0"/>
    <x v="0"/>
    <n v="1"/>
    <n v="0"/>
    <n v="0"/>
    <n v="0"/>
    <n v="0"/>
    <n v="1"/>
    <n v="0"/>
    <n v="1"/>
    <n v="1"/>
    <n v="1"/>
    <n v="0"/>
    <n v="0"/>
    <n v="0"/>
    <n v="0"/>
    <n v="0"/>
    <n v="0"/>
    <n v="0"/>
    <n v="0"/>
    <n v="0"/>
    <n v="0"/>
    <n v="0"/>
    <n v="0"/>
    <x v="6"/>
  </r>
  <r>
    <s v="DNK"/>
    <s v="EU 28"/>
    <x v="7"/>
    <x v="7"/>
    <n v="1.72E-2"/>
    <n v="0.17169999999999999"/>
    <x v="7"/>
    <x v="1"/>
    <x v="7"/>
    <n v="712659500"/>
    <n v="2647021000"/>
    <n v="1679840250"/>
    <x v="0"/>
    <x v="0"/>
    <n v="1"/>
    <n v="0"/>
    <n v="0"/>
    <n v="0"/>
    <n v="0"/>
    <n v="0"/>
    <n v="0"/>
    <n v="0"/>
    <n v="0"/>
    <n v="1"/>
    <n v="0"/>
    <n v="1"/>
    <n v="1"/>
    <n v="0"/>
    <n v="0"/>
    <n v="1"/>
    <n v="0"/>
    <n v="1"/>
    <n v="0"/>
    <n v="0"/>
    <n v="0"/>
    <n v="1"/>
    <x v="7"/>
  </r>
  <r>
    <s v="FRA"/>
    <s v="EU 28"/>
    <x v="8"/>
    <x v="8"/>
    <n v="1.1160000000000001"/>
    <n v="1.1160000000000001"/>
    <x v="8"/>
    <x v="1"/>
    <x v="8"/>
    <n v="7432020500"/>
    <n v="25553933500"/>
    <n v="16492977000"/>
    <x v="1"/>
    <x v="0"/>
    <n v="1"/>
    <n v="0"/>
    <n v="0"/>
    <n v="0"/>
    <n v="0"/>
    <n v="1"/>
    <n v="0"/>
    <n v="1"/>
    <n v="1"/>
    <n v="1"/>
    <n v="1"/>
    <n v="1"/>
    <n v="1"/>
    <n v="1"/>
    <n v="1"/>
    <n v="1"/>
    <n v="1"/>
    <n v="1"/>
    <n v="1"/>
    <n v="0"/>
    <n v="0"/>
    <n v="1"/>
    <x v="8"/>
  </r>
  <r>
    <s v="GER"/>
    <s v="EU 28"/>
    <x v="9"/>
    <x v="9"/>
    <n v="0.85850000000000004"/>
    <n v="0.85850000000000004"/>
    <x v="9"/>
    <x v="1"/>
    <x v="9"/>
    <n v="16492977000"/>
    <n v="61797759500"/>
    <n v="39145368250"/>
    <x v="2"/>
    <x v="0"/>
    <n v="1"/>
    <n v="0"/>
    <n v="0"/>
    <n v="0"/>
    <n v="0"/>
    <n v="0"/>
    <n v="0"/>
    <n v="1"/>
    <n v="1"/>
    <n v="1"/>
    <n v="1"/>
    <n v="1"/>
    <n v="1"/>
    <n v="1"/>
    <n v="1"/>
    <n v="1"/>
    <n v="1"/>
    <n v="1"/>
    <n v="1"/>
    <n v="0"/>
    <n v="0"/>
    <n v="1"/>
    <x v="9"/>
  </r>
  <r>
    <s v="HUN"/>
    <s v="EU 28"/>
    <x v="10"/>
    <x v="10"/>
    <n v="2.5000000000000001E-2"/>
    <n v="2.5000000000000001E-2"/>
    <x v="10"/>
    <x v="0"/>
    <x v="10"/>
    <n v="1323510500"/>
    <n v="3461489000"/>
    <n v="2392499750"/>
    <x v="3"/>
    <x v="1"/>
    <n v="1"/>
    <n v="1"/>
    <n v="0"/>
    <n v="0"/>
    <n v="0"/>
    <n v="1"/>
    <n v="0"/>
    <n v="1"/>
    <n v="1"/>
    <n v="1"/>
    <n v="1"/>
    <n v="1"/>
    <n v="0"/>
    <n v="0"/>
    <n v="1"/>
    <n v="1"/>
    <n v="1"/>
    <n v="1"/>
    <n v="1"/>
    <n v="1"/>
    <n v="1"/>
    <n v="1"/>
    <x v="10"/>
  </r>
  <r>
    <s v="IND"/>
    <s v="India"/>
    <x v="11"/>
    <x v="11"/>
    <n v="5"/>
    <n v="5"/>
    <x v="11"/>
    <x v="2"/>
    <x v="11"/>
    <n v="0"/>
    <n v="0"/>
    <n v="0"/>
    <x v="0"/>
    <x v="1"/>
    <n v="1"/>
    <n v="0"/>
    <n v="0"/>
    <n v="0"/>
    <n v="0"/>
    <n v="0"/>
    <n v="0"/>
    <n v="1"/>
    <n v="0"/>
    <n v="0"/>
    <n v="0"/>
    <n v="0"/>
    <n v="0"/>
    <n v="0"/>
    <n v="0"/>
    <n v="0"/>
    <n v="0"/>
    <n v="0"/>
    <n v="0"/>
    <n v="0"/>
    <n v="0"/>
    <n v="0"/>
    <x v="11"/>
  </r>
  <r>
    <s v="ITA"/>
    <s v="EU 28"/>
    <x v="12"/>
    <x v="4"/>
    <n v="0.85850000000000004"/>
    <n v="0.85850000000000004"/>
    <x v="9"/>
    <x v="1"/>
    <x v="12"/>
    <n v="8144680000"/>
    <n v="11198935000"/>
    <n v="9671807500"/>
    <x v="1"/>
    <x v="0"/>
    <n v="1"/>
    <n v="1"/>
    <n v="0"/>
    <n v="0"/>
    <n v="0"/>
    <n v="0"/>
    <n v="0"/>
    <n v="1"/>
    <n v="0"/>
    <n v="1"/>
    <n v="0"/>
    <n v="0"/>
    <n v="0"/>
    <n v="0"/>
    <n v="0"/>
    <n v="1"/>
    <n v="0"/>
    <n v="1"/>
    <n v="1"/>
    <n v="1"/>
    <n v="0"/>
    <n v="0"/>
    <x v="12"/>
  </r>
  <r>
    <s v="JAP"/>
    <s v="Japan"/>
    <x v="13"/>
    <x v="12"/>
    <n v="3"/>
    <n v="3"/>
    <x v="12"/>
    <x v="1"/>
    <x v="13"/>
    <n v="18000000000"/>
    <n v="18000000000"/>
    <n v="18000000000"/>
    <x v="4"/>
    <x v="1"/>
    <n v="1"/>
    <n v="1"/>
    <n v="0"/>
    <n v="0"/>
    <n v="0"/>
    <n v="1"/>
    <n v="0"/>
    <n v="1"/>
    <n v="1"/>
    <n v="1"/>
    <n v="1"/>
    <n v="1"/>
    <n v="1"/>
    <n v="1"/>
    <n v="1"/>
    <n v="1"/>
    <n v="1"/>
    <n v="0"/>
    <n v="0"/>
    <n v="0"/>
    <n v="1"/>
    <n v="1"/>
    <x v="13"/>
  </r>
  <r>
    <s v="MAR"/>
    <s v="Africa North"/>
    <x v="14"/>
    <x v="13"/>
    <n v="0.48070000000000002"/>
    <n v="0.48070000000000002"/>
    <x v="13"/>
    <x v="2"/>
    <x v="11"/>
    <n v="0"/>
    <n v="0"/>
    <n v="0"/>
    <x v="1"/>
    <x v="0"/>
    <n v="1"/>
    <n v="0"/>
    <n v="0"/>
    <n v="0"/>
    <n v="0"/>
    <n v="0"/>
    <n v="0"/>
    <n v="0"/>
    <n v="0"/>
    <n v="0"/>
    <n v="0"/>
    <n v="0"/>
    <n v="0"/>
    <n v="0"/>
    <n v="0"/>
    <n v="1"/>
    <n v="0"/>
    <n v="0"/>
    <n v="0"/>
    <n v="0"/>
    <n v="0"/>
    <n v="0"/>
    <x v="14"/>
  </r>
  <r>
    <s v="NLD"/>
    <s v="EU 28"/>
    <x v="15"/>
    <x v="14"/>
    <n v="0.5151"/>
    <n v="0.68679999999999997"/>
    <x v="14"/>
    <x v="1"/>
    <x v="14"/>
    <n v="3970531500"/>
    <n v="15474892000"/>
    <n v="9722711750"/>
    <x v="1"/>
    <x v="0"/>
    <n v="1"/>
    <n v="1"/>
    <n v="0"/>
    <n v="0"/>
    <n v="0"/>
    <n v="0"/>
    <n v="0"/>
    <n v="1"/>
    <n v="1"/>
    <n v="1"/>
    <n v="1"/>
    <n v="1"/>
    <n v="1"/>
    <n v="1"/>
    <n v="1"/>
    <n v="1"/>
    <n v="1"/>
    <n v="1"/>
    <n v="1"/>
    <n v="0"/>
    <n v="1"/>
    <n v="1"/>
    <x v="15"/>
  </r>
  <r>
    <s v="NZL"/>
    <s v="Asia Developed"/>
    <x v="16"/>
    <x v="12"/>
    <n v="0.7"/>
    <n v="0.7"/>
    <x v="15"/>
    <x v="2"/>
    <x v="11"/>
    <n v="0"/>
    <n v="0"/>
    <n v="0"/>
    <x v="0"/>
    <x v="0"/>
    <n v="0"/>
    <n v="0"/>
    <n v="0"/>
    <n v="0"/>
    <n v="0"/>
    <n v="0"/>
    <n v="0"/>
    <n v="0"/>
    <n v="0"/>
    <n v="0"/>
    <n v="0"/>
    <n v="0"/>
    <n v="0"/>
    <n v="0"/>
    <n v="0"/>
    <n v="0"/>
    <n v="0"/>
    <n v="0"/>
    <n v="0"/>
    <n v="0"/>
    <n v="0"/>
    <n v="0"/>
    <x v="16"/>
  </r>
  <r>
    <s v="NOR"/>
    <s v="Europe Developed"/>
    <x v="17"/>
    <x v="9"/>
    <n v="0"/>
    <n v="0"/>
    <x v="16"/>
    <x v="0"/>
    <x v="15"/>
    <n v="18732764"/>
    <n v="18732764"/>
    <n v="18732764"/>
    <x v="3"/>
    <x v="0"/>
    <n v="1"/>
    <n v="1"/>
    <n v="0"/>
    <n v="0"/>
    <n v="0"/>
    <n v="0"/>
    <n v="0"/>
    <n v="1"/>
    <n v="1"/>
    <n v="1"/>
    <n v="0"/>
    <n v="1"/>
    <n v="1"/>
    <n v="0"/>
    <n v="1"/>
    <n v="1"/>
    <n v="1"/>
    <n v="0"/>
    <n v="0"/>
    <n v="0"/>
    <n v="0"/>
    <n v="1"/>
    <x v="17"/>
  </r>
  <r>
    <s v="OMN"/>
    <s v="Gulf Coast Other"/>
    <x v="18"/>
    <x v="15"/>
    <n v="0.17169999999999999"/>
    <n v="1.25"/>
    <x v="17"/>
    <x v="1"/>
    <x v="16"/>
    <n v="34000000000"/>
    <n v="34000000000"/>
    <n v="34000000000"/>
    <x v="0"/>
    <x v="0"/>
    <n v="1"/>
    <n v="0"/>
    <n v="0"/>
    <n v="0"/>
    <n v="0"/>
    <n v="0"/>
    <n v="0"/>
    <n v="0"/>
    <n v="0"/>
    <n v="0"/>
    <n v="0"/>
    <n v="0"/>
    <n v="0"/>
    <n v="0"/>
    <n v="0"/>
    <n v="0"/>
    <n v="0"/>
    <n v="0"/>
    <n v="0"/>
    <n v="0"/>
    <n v="0"/>
    <n v="0"/>
    <x v="18"/>
  </r>
  <r>
    <s v="PAN"/>
    <s v="Latin America"/>
    <x v="19"/>
    <x v="15"/>
    <n v="0"/>
    <n v="0"/>
    <x v="16"/>
    <x v="2"/>
    <x v="17"/>
    <n v="0"/>
    <n v="0"/>
    <n v="0"/>
    <x v="0"/>
    <x v="1"/>
    <n v="1"/>
    <n v="0"/>
    <n v="0"/>
    <n v="0"/>
    <n v="0"/>
    <n v="0"/>
    <n v="0"/>
    <n v="0"/>
    <n v="0"/>
    <n v="0"/>
    <n v="0"/>
    <n v="0"/>
    <n v="0"/>
    <n v="0"/>
    <n v="0"/>
    <n v="0"/>
    <n v="0"/>
    <n v="0"/>
    <n v="0"/>
    <n v="0"/>
    <n v="0"/>
    <n v="0"/>
    <x v="19"/>
  </r>
  <r>
    <s v="PRY"/>
    <s v="Latin America"/>
    <x v="20"/>
    <x v="16"/>
    <n v="1.1999999999999999E-3"/>
    <n v="1.1999999999999999E-3"/>
    <x v="18"/>
    <x v="0"/>
    <x v="18"/>
    <n v="10000000"/>
    <n v="10000000"/>
    <n v="10000000"/>
    <x v="0"/>
    <x v="1"/>
    <n v="1"/>
    <n v="0"/>
    <n v="0"/>
    <n v="0"/>
    <n v="0"/>
    <n v="0"/>
    <n v="0"/>
    <n v="1"/>
    <n v="1"/>
    <n v="1"/>
    <n v="0"/>
    <n v="0"/>
    <n v="0"/>
    <n v="0"/>
    <n v="0"/>
    <n v="0"/>
    <n v="0"/>
    <n v="0"/>
    <n v="0"/>
    <n v="0"/>
    <n v="0"/>
    <n v="0"/>
    <x v="20"/>
  </r>
  <r>
    <s v="POL"/>
    <s v="EU 28"/>
    <x v="21"/>
    <x v="17"/>
    <n v="0.34339999999999998"/>
    <n v="0.34339999999999998"/>
    <x v="19"/>
    <x v="0"/>
    <x v="19"/>
    <n v="3054255000"/>
    <n v="7635637500"/>
    <n v="5344946250"/>
    <x v="0"/>
    <x v="0"/>
    <n v="1"/>
    <n v="1"/>
    <n v="0"/>
    <n v="0"/>
    <n v="0"/>
    <n v="0"/>
    <n v="0"/>
    <n v="0"/>
    <n v="1"/>
    <n v="0"/>
    <n v="0"/>
    <n v="0"/>
    <n v="0"/>
    <n v="1"/>
    <n v="0"/>
    <n v="0"/>
    <n v="0"/>
    <n v="0"/>
    <n v="0"/>
    <n v="0"/>
    <n v="0"/>
    <n v="0"/>
    <x v="21"/>
  </r>
  <r>
    <s v="PRT"/>
    <s v="EU 28"/>
    <x v="22"/>
    <x v="18"/>
    <n v="0.17169999999999999"/>
    <n v="0.42920000000000003"/>
    <x v="20"/>
    <x v="1"/>
    <x v="20"/>
    <n v="1119893500"/>
    <n v="7432020500"/>
    <n v="4275957000"/>
    <x v="4"/>
    <x v="0"/>
    <n v="1"/>
    <n v="0"/>
    <n v="0"/>
    <n v="0"/>
    <n v="0"/>
    <n v="0"/>
    <n v="0"/>
    <n v="1"/>
    <n v="1"/>
    <n v="1"/>
    <n v="1"/>
    <n v="1"/>
    <n v="1"/>
    <n v="0"/>
    <n v="1"/>
    <n v="1"/>
    <n v="1"/>
    <n v="1"/>
    <n v="1"/>
    <n v="1"/>
    <n v="1"/>
    <n v="1"/>
    <x v="4"/>
  </r>
  <r>
    <s v="RUS"/>
    <s v="Russia"/>
    <x v="23"/>
    <x v="19"/>
    <n v="0.2"/>
    <n v="2"/>
    <x v="21"/>
    <x v="2"/>
    <x v="17"/>
    <n v="0"/>
    <n v="0"/>
    <n v="0"/>
    <x v="0"/>
    <x v="0"/>
    <n v="1"/>
    <n v="1"/>
    <n v="0"/>
    <n v="0"/>
    <n v="0"/>
    <n v="1"/>
    <n v="0"/>
    <n v="0"/>
    <n v="0"/>
    <n v="0"/>
    <n v="0"/>
    <n v="0"/>
    <n v="0"/>
    <n v="0"/>
    <n v="0"/>
    <n v="0"/>
    <n v="0"/>
    <n v="0"/>
    <n v="0"/>
    <n v="0"/>
    <n v="0"/>
    <n v="0"/>
    <x v="4"/>
  </r>
  <r>
    <s v="SVK"/>
    <s v="EU 28"/>
    <x v="24"/>
    <x v="16"/>
    <n v="2.4E-2"/>
    <n v="6.6000000000000003E-2"/>
    <x v="22"/>
    <x v="0"/>
    <x v="21"/>
    <n v="503377500"/>
    <n v="1208106000"/>
    <n v="855741750"/>
    <x v="0"/>
    <x v="0"/>
    <n v="1"/>
    <n v="1"/>
    <n v="0"/>
    <n v="0"/>
    <n v="0"/>
    <n v="1"/>
    <n v="0"/>
    <n v="1"/>
    <n v="1"/>
    <n v="1"/>
    <n v="0"/>
    <n v="0"/>
    <n v="0"/>
    <n v="1"/>
    <n v="0"/>
    <n v="0"/>
    <n v="0"/>
    <n v="0"/>
    <n v="0"/>
    <n v="0"/>
    <n v="0"/>
    <n v="0"/>
    <x v="4"/>
  </r>
  <r>
    <s v="ZAF"/>
    <s v="South Africa"/>
    <x v="25"/>
    <x v="20"/>
    <n v="0.5"/>
    <n v="0.5"/>
    <x v="23"/>
    <x v="1"/>
    <x v="17"/>
    <n v="0"/>
    <n v="0"/>
    <n v="0"/>
    <x v="0"/>
    <x v="0"/>
    <n v="1"/>
    <n v="0"/>
    <n v="0"/>
    <n v="0"/>
    <n v="1"/>
    <n v="0"/>
    <n v="0"/>
    <n v="0"/>
    <n v="0"/>
    <n v="1"/>
    <n v="0"/>
    <n v="0"/>
    <n v="1"/>
    <n v="0"/>
    <n v="0"/>
    <n v="0"/>
    <n v="0"/>
    <n v="0"/>
    <n v="0"/>
    <n v="0"/>
    <n v="0"/>
    <n v="0"/>
    <x v="22"/>
  </r>
  <r>
    <s v="KOR"/>
    <s v="Asia Developed"/>
    <x v="26"/>
    <x v="21"/>
    <n v="1.9"/>
    <n v="1.9"/>
    <x v="24"/>
    <x v="1"/>
    <x v="22"/>
    <n v="40340000000"/>
    <n v="40340000000"/>
    <n v="40340000000"/>
    <x v="4"/>
    <x v="0"/>
    <n v="1"/>
    <n v="1"/>
    <n v="0"/>
    <n v="0"/>
    <n v="1"/>
    <n v="1"/>
    <n v="0"/>
    <n v="1"/>
    <n v="1"/>
    <n v="1"/>
    <n v="1"/>
    <n v="1"/>
    <n v="0"/>
    <n v="1"/>
    <n v="1"/>
    <n v="0"/>
    <n v="0"/>
    <n v="0"/>
    <n v="0"/>
    <n v="0"/>
    <n v="0"/>
    <n v="1"/>
    <x v="4"/>
  </r>
  <r>
    <s v="SPA"/>
    <s v="EU 28"/>
    <x v="27"/>
    <x v="19"/>
    <n v="0.68679999999999997"/>
    <n v="10"/>
    <x v="25"/>
    <x v="1"/>
    <x v="23"/>
    <n v="6312127000"/>
    <n v="21379785000"/>
    <n v="13845956000"/>
    <x v="3"/>
    <x v="0"/>
    <n v="1"/>
    <n v="0"/>
    <n v="0"/>
    <n v="0"/>
    <n v="0"/>
    <n v="0"/>
    <n v="0"/>
    <n v="1"/>
    <n v="1"/>
    <n v="1"/>
    <n v="1"/>
    <n v="1"/>
    <n v="1"/>
    <n v="1"/>
    <n v="1"/>
    <n v="1"/>
    <n v="1"/>
    <n v="1"/>
    <n v="1"/>
    <n v="0"/>
    <n v="1"/>
    <n v="1"/>
    <x v="23"/>
  </r>
  <r>
    <s v="SWE"/>
    <s v="EU 28"/>
    <x v="28"/>
    <x v="17"/>
    <n v="0.85850000000000004"/>
    <n v="0.85850000000000004"/>
    <x v="9"/>
    <x v="1"/>
    <x v="24"/>
    <n v="2545212500"/>
    <n v="6922978000"/>
    <n v="4734095250"/>
    <x v="0"/>
    <x v="0"/>
    <n v="1"/>
    <n v="0"/>
    <n v="0"/>
    <n v="0"/>
    <n v="0"/>
    <n v="0"/>
    <n v="0"/>
    <n v="0"/>
    <n v="0"/>
    <n v="1"/>
    <n v="1"/>
    <n v="1"/>
    <n v="1"/>
    <n v="0"/>
    <n v="1"/>
    <n v="1"/>
    <n v="1"/>
    <n v="0"/>
    <n v="0"/>
    <n v="0"/>
    <n v="0"/>
    <n v="0"/>
    <x v="4"/>
  </r>
  <r>
    <s v="GBR"/>
    <s v="Europe Developed"/>
    <x v="29"/>
    <x v="13"/>
    <n v="0.85850000000000004"/>
    <n v="0.85850000000000004"/>
    <x v="9"/>
    <x v="0"/>
    <x v="25"/>
    <n v="7126595000"/>
    <n v="26470210000"/>
    <n v="16798402500"/>
    <x v="1"/>
    <x v="0"/>
    <n v="1"/>
    <n v="1"/>
    <n v="0"/>
    <n v="0"/>
    <n v="0"/>
    <n v="1"/>
    <n v="0"/>
    <n v="0"/>
    <n v="0"/>
    <n v="0"/>
    <n v="0"/>
    <n v="0"/>
    <n v="0"/>
    <n v="0"/>
    <n v="0"/>
    <n v="0"/>
    <n v="0"/>
    <n v="0"/>
    <n v="0"/>
    <n v="0"/>
    <n v="0"/>
    <n v="1"/>
    <x v="4"/>
  </r>
  <r>
    <s v="URY"/>
    <s v="Latin America"/>
    <x v="30"/>
    <x v="16"/>
    <n v="0.25750000000000001"/>
    <n v="0.85850000000000004"/>
    <x v="26"/>
    <x v="0"/>
    <x v="17"/>
    <n v="0"/>
    <n v="0"/>
    <n v="0"/>
    <x v="3"/>
    <x v="0"/>
    <n v="1"/>
    <n v="0"/>
    <n v="0"/>
    <n v="0"/>
    <n v="0"/>
    <n v="0"/>
    <n v="0"/>
    <n v="0"/>
    <n v="0"/>
    <n v="0"/>
    <n v="0"/>
    <n v="0"/>
    <n v="0"/>
    <n v="0"/>
    <n v="0"/>
    <n v="0"/>
    <n v="0"/>
    <n v="0"/>
    <n v="0"/>
    <n v="0"/>
    <n v="0"/>
    <n v="0"/>
    <x v="2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
  <r>
    <x v="0"/>
    <s v="Puertollano"/>
    <s v="Spain"/>
    <x v="0"/>
    <s v="38.67066756607912, -4.060268963641838"/>
    <m/>
    <n v="20"/>
    <m/>
    <n v="0"/>
    <x v="0"/>
    <s v="Solar"/>
    <n v="100"/>
    <n v="48000"/>
    <n v="50000000"/>
    <x v="0"/>
    <m/>
    <x v="0"/>
    <s v="Yes"/>
    <x v="0"/>
    <s v="Iberdrola"/>
    <s v="https://www.iberdrola.com/about-us/what-we-do/green-hydrogen/puertollano-green-hydrogen-plant"/>
  </r>
  <r>
    <x v="1"/>
    <s v="Tweede Maasvlalkte"/>
    <s v="Netherlands"/>
    <x v="1"/>
    <s v="51.96234968939709, 4.025817398646514"/>
    <m/>
    <n v="200"/>
    <n v="60000"/>
    <n v="21900"/>
    <x v="1"/>
    <s v="Offshore Wind"/>
    <n v="759"/>
    <m/>
    <m/>
    <x v="1"/>
    <s v="Shell Energy and Chemicals Port of Rooterdam"/>
    <x v="1"/>
    <s v="Yes"/>
    <x v="0"/>
    <s v="Shell"/>
    <s v="https://www.shell.com/media/news-and-media-releases/2021/shell-starts-up-europes-largest-pem-green-hydrogen-electrolyser.html"/>
  </r>
  <r>
    <x v="2"/>
    <s v="Zhangjiakou"/>
    <s v="China"/>
    <x v="2"/>
    <s v="40.754961167300415, 114.84923784046595"/>
    <m/>
    <n v="60"/>
    <m/>
    <n v="0"/>
    <x v="0"/>
    <s v="Onshore Wind"/>
    <m/>
    <m/>
    <m/>
    <x v="2"/>
    <s v="Beijing,Tianjin,Hebei"/>
    <x v="2"/>
    <s v="Yes"/>
    <x v="1"/>
    <s v="Shell"/>
    <s v="https://www.shell.com/media/news-and-media-releases/2022/shell-starts-up-hydrogen-electrolyser-in-china-with-20mw-product.html#:~:text=The%20electrolyser%20is%20located%20at,Construction%20Investment%20Holding%20Group%20Co."/>
  </r>
  <r>
    <x v="3"/>
    <s v="Ningxing"/>
    <s v="China"/>
    <x v="2"/>
    <s v="38.23943955715693, 106.5589039485474"/>
    <m/>
    <n v="150"/>
    <n v="73973"/>
    <n v="27000.145"/>
    <x v="2"/>
    <s v="Solar"/>
    <n v="200"/>
    <m/>
    <m/>
    <x v="3"/>
    <m/>
    <x v="3"/>
    <s v="Yes"/>
    <x v="1"/>
    <s v="Baofeng Energy Group"/>
    <s v="https://www.upstreamonline.com/hydrogen/baofeng-energy-brings-worlds-largest-green-hydrogen-project-on-line-in-china/2-1-1161221"/>
  </r>
  <r>
    <x v="4"/>
    <s v="Kuqa"/>
    <s v="China"/>
    <x v="2"/>
    <s v="41.772439905177436, 84.25357728218822"/>
    <m/>
    <n v="200"/>
    <n v="54795"/>
    <n v="20000.174999999999"/>
    <x v="0"/>
    <s v="Solar"/>
    <n v="300"/>
    <n v="485000"/>
    <n v="470000000"/>
    <x v="1"/>
    <s v="Sinopec Tahe Refining and Chemical Plant"/>
    <x v="0"/>
    <s v="Yes"/>
    <x v="0"/>
    <s v="Sinpoec"/>
    <s v="https://www.prnewswire.com/news-releases/sinopec-lands-worlds-largest-photovoltaic-green-hydrogen-production-project-in-kuqa-xinjiang-301433733.html"/>
  </r>
  <r>
    <x v="5"/>
    <s v="Ordos City"/>
    <s v="China"/>
    <x v="2"/>
    <s v="39.65581669431129, 109.74627433509518"/>
    <m/>
    <m/>
    <n v="82192"/>
    <n v="30000.080000000002"/>
    <x v="0"/>
    <s v="Wind and Solar (63%/37%)"/>
    <n v="720"/>
    <n v="1430000"/>
    <n v="828000000"/>
    <x v="4"/>
    <s v="Ordos Coal deep processing demonstration"/>
    <x v="0"/>
    <s v="Yes"/>
    <x v="0"/>
    <s v="Sinpoec"/>
    <s v="https://www.prnewswire.com/news-releases/sinopec-launches-the-worlds-largest-green-hydrogen-coal-chemical-project-in-inner-mongolia-301752585.html"/>
  </r>
  <r>
    <x v="6"/>
    <s v="Becancour"/>
    <s v="Canada"/>
    <x v="3"/>
    <s v="46.3866616663679, -72.37564679648733"/>
    <m/>
    <n v="20"/>
    <n v="8200"/>
    <n v="2993"/>
    <x v="1"/>
    <s v="Grid"/>
    <m/>
    <n v="27000"/>
    <m/>
    <x v="2"/>
    <s v="Northeast Market (~10,000 vehicles)"/>
    <x v="3"/>
    <s v="Yes"/>
    <x v="1"/>
    <s v="Air Liquide"/>
    <s v="https://www.airliquide.com/group/press-releases-news/2021-01-26/air-liquide-inaugurates-worlds-largest-low-carbon-hydrogen-membrane-based-production-unit-canada"/>
  </r>
  <r>
    <x v="7"/>
    <s v="Donalsonville, Louisiana"/>
    <s v="United States"/>
    <x v="4"/>
    <s v="30.083600458089897, -90.95713883960975"/>
    <m/>
    <n v="20"/>
    <n v="54795"/>
    <n v="20000.174999999999"/>
    <x v="2"/>
    <s v="Grid"/>
    <m/>
    <m/>
    <m/>
    <x v="0"/>
    <s v="Donaldsonville Ammonia Plant"/>
    <x v="4"/>
    <s v="Yes"/>
    <x v="0"/>
    <s v="CF Industries"/>
    <s v="https://www.cfindustries.com/newsroom/2021/donaldsonville-electrolyzer"/>
  </r>
  <r>
    <x v="8"/>
    <s v="St Gabriel, Louisiana"/>
    <s v="United States"/>
    <x v="4"/>
    <s v="30.240213552457927, -91.10640476293938"/>
    <m/>
    <m/>
    <n v="15000"/>
    <n v="5475"/>
    <x v="1"/>
    <s v="Grid"/>
    <m/>
    <m/>
    <m/>
    <x v="2"/>
    <s v="Buyers across the country"/>
    <x v="0"/>
    <s v="Yes"/>
    <x v="0"/>
    <s v="Plug Power"/>
    <s v="https://www.theadvocate.com/baton_rouge/news/business/green-hydrogen-coming-to-olin-s-st-gabriel-facility-through-joint-venture/article_5cc7b88c-cb1e-11ec-bfef-1fe442f5c60f.html"/>
  </r>
  <r>
    <x v="9"/>
    <s v="Nelson Township, Illinois"/>
    <s v="United States"/>
    <x v="4"/>
    <s v="41.77550411414393, -89.60492224192274"/>
    <m/>
    <m/>
    <n v="142"/>
    <n v="51.83"/>
    <x v="1"/>
    <s v="Solar"/>
    <m/>
    <m/>
    <m/>
    <x v="5"/>
    <s v="Invergy Nelson Energy Center"/>
    <x v="2"/>
    <s v="Yes"/>
    <x v="1"/>
    <s v="Invergy"/>
    <s v="https://invenergy.com/news/invenergy-launches-first-green-hydrogen-project-deploying-ohmium-international-solution-accelerating-clean-energy-transition"/>
  </r>
  <r>
    <x v="10"/>
    <s v="Kingsland, Georgia"/>
    <s v="United States"/>
    <x v="4"/>
    <s v="30.799890105083126, -81.690275657911"/>
    <m/>
    <m/>
    <n v="15000"/>
    <n v="5475"/>
    <x v="1"/>
    <s v="Grid"/>
    <m/>
    <m/>
    <m/>
    <x v="2"/>
    <s v="Buyers across the country"/>
    <x v="0"/>
    <s v="Yes"/>
    <x v="0"/>
    <s v="Plug Power"/>
    <s v="https://renewablesnow.com/news/another-plug-green-hydrogen-plant-enters-construction-in-georgia-801169/"/>
  </r>
  <r>
    <x v="11"/>
    <s v="Kingsland, Georgia"/>
    <s v="United States"/>
    <x v="4"/>
    <s v="30.806641460598303, -81.6909198016118"/>
    <m/>
    <m/>
    <n v="15000"/>
    <n v="5475"/>
    <x v="1"/>
    <s v="Solar"/>
    <n v="48"/>
    <m/>
    <n v="84000000"/>
    <x v="2"/>
    <s v="Buyers across the country"/>
    <x v="2"/>
    <s v="Yes"/>
    <x v="1"/>
    <s v="Plug Power"/>
    <s v="https://www.globenewswire.com/news-release/2021/06/10/2245349/9619/en/Plug-Power-Announces-Green-Hydrogen-Plant-in-Camden-County-Georgia.html"/>
  </r>
  <r>
    <x v="12"/>
    <s v="Casa Grande, Arizona"/>
    <s v="United States"/>
    <x v="4"/>
    <s v="32.910788214511236, -111.77374889785035"/>
    <m/>
    <m/>
    <n v="10000"/>
    <n v="3650"/>
    <x v="2"/>
    <s v="Renewables"/>
    <m/>
    <m/>
    <m/>
    <x v="2"/>
    <s v="Buyers in California"/>
    <x v="0"/>
    <s v="Yes"/>
    <x v="0"/>
    <s v="Air Products"/>
    <s v="https://www.prnewswire.com/news-releases/air-products-to-build-green-liquid-hydrogen-production-facility-in-arizona-301498218.html"/>
  </r>
  <r>
    <x v="13"/>
    <s v="Neom Development"/>
    <s v="Saudi Arabia"/>
    <x v="5"/>
    <s v="28.141786883592204, 34.84065488047354"/>
    <m/>
    <m/>
    <n v="600000"/>
    <n v="219000"/>
    <x v="0"/>
    <s v="Wind and Solar"/>
    <n v="4000"/>
    <m/>
    <n v="5000000000"/>
    <x v="0"/>
    <s v="1.2 million tons/year of ammonia"/>
    <x v="1"/>
    <s v="Yes"/>
    <x v="0"/>
    <s v="Acwa Power and Air Products"/>
    <s v="https://energy-utilities.com/saudi-arabia-s-5bn-green-hydrogenbased-ammonia-news111872.html"/>
  </r>
  <r>
    <x v="14"/>
    <s v="Pilbara"/>
    <s v="Australia"/>
    <x v="6"/>
    <s v="-20.61951309309238, 116.7836757376326"/>
    <m/>
    <n v="10"/>
    <n v="1753"/>
    <n v="639.84500000000003"/>
    <x v="0"/>
    <s v="Solar"/>
    <n v="18"/>
    <m/>
    <m/>
    <x v="0"/>
    <s v="Produce Ammonia for Yara"/>
    <x v="4"/>
    <s v="Yes"/>
    <x v="0"/>
    <s v="Engie"/>
    <s v="https://renewablesnow.com/news/engie-takes-fid-on-aussie-green-h2-project-for-yara-798156/"/>
  </r>
  <r>
    <x v="15"/>
    <s v="Queensland"/>
    <s v="Australia"/>
    <x v="6"/>
    <s v="-18.760774325228954, 146.8871430367812"/>
    <m/>
    <m/>
    <n v="383"/>
    <n v="139.79499999999999"/>
    <x v="0"/>
    <s v="Solar"/>
    <m/>
    <m/>
    <n v="13000000"/>
    <x v="2"/>
    <s v="5 procured Hyzon Trucks"/>
    <x v="0"/>
    <s v="Yes"/>
    <x v="0"/>
    <s v="Ark Energy"/>
    <s v="https://research.csiro.au/hyresource/sun-metals-hydrogen-queensland-sunhq-project/"/>
  </r>
  <r>
    <x v="16"/>
    <s v="Victoria"/>
    <s v="Australia"/>
    <x v="6"/>
    <s v="-36.13281491141281, 146.88900619230924"/>
    <m/>
    <n v="10"/>
    <m/>
    <n v="0"/>
    <x v="0"/>
    <m/>
    <m/>
    <m/>
    <s v="AUD 44,000,000"/>
    <x v="6"/>
    <s v="30,000 residential and business connections in Wodonga and Albury"/>
    <x v="0"/>
    <s v="Yes"/>
    <x v="0"/>
    <s v="Australian Gas Infrastructure Group"/>
    <s v="https://research.csiro.au/hyresource/hydrogen-park-murray-valley/"/>
  </r>
  <r>
    <x v="17"/>
    <s v="Victoria"/>
    <s v="Australia"/>
    <x v="6"/>
    <s v="-37.81964178678781, 145.03919687687136"/>
    <m/>
    <m/>
    <n v="20"/>
    <n v="7.3"/>
    <x v="1"/>
    <s v="Solar"/>
    <m/>
    <m/>
    <s v="AUD 2,300,000"/>
    <x v="2"/>
    <s v="Refueling station on campus of Swinburne University of Technology"/>
    <x v="0"/>
    <s v="Yes"/>
    <x v="0"/>
    <s v="Swinburne University of Technology"/>
    <s v="https://research.csiro.au/hyresource/swinburne-university-of-technology-victorian-hydrogen-hub-csiro-hydrogen-refuelling-station/"/>
  </r>
  <r>
    <x v="18"/>
    <s v="Victoria"/>
    <s v="Australia"/>
    <x v="6"/>
    <s v="-37.83557475516734, 144.8289516956222"/>
    <m/>
    <m/>
    <n v="80"/>
    <n v="29.2"/>
    <x v="3"/>
    <s v="Solar"/>
    <n v="0.58699999999999997"/>
    <m/>
    <s v="AUD 7,370,000"/>
    <x v="7"/>
    <s v="Used to supply electricity through fuel cells to the Altona facilities"/>
    <x v="3"/>
    <s v="Yes"/>
    <x v="1"/>
    <s v="Toyota"/>
    <s v="https://research.csiro.au/hyresource/toyota-ecopark-hydrogen-demonstration-toyota-hydrogen-centre/"/>
  </r>
  <r>
    <x v="19"/>
    <s v="Victoria"/>
    <s v="Australia"/>
    <x v="6"/>
    <s v="-37.8294355846925, 144.74984936099963"/>
    <m/>
    <m/>
    <n v="65"/>
    <n v="23.725000000000001"/>
    <x v="2"/>
    <s v="Solar"/>
    <n v="0.64"/>
    <m/>
    <m/>
    <x v="2"/>
    <s v="Could be used for local buses, microgrid applications, etc"/>
    <x v="0"/>
    <s v="Yes"/>
    <x v="0"/>
    <s v="Hydrogen Fuels Australia"/>
    <s v="https://research.csiro.au/hyresource/hydrogen-fuels-australia-truganina-hrs/"/>
  </r>
  <r>
    <x v="20"/>
    <s v="Victoria"/>
    <s v="Australia"/>
    <x v="6"/>
    <s v="-38.066368168023814, 144.39217858300194"/>
    <m/>
    <n v="2.5"/>
    <n v="1000"/>
    <n v="365"/>
    <x v="1"/>
    <s v="Grid"/>
    <m/>
    <m/>
    <s v="AUD $43,300,000"/>
    <x v="2"/>
    <s v="Charging stations, deploying 15 HFCEVs"/>
    <x v="0"/>
    <s v="Yes"/>
    <x v="0"/>
    <s v="Viva Energy Australia"/>
    <s v="https://research.csiro.au/hyresource/geelong-new-energies-service-station-project/"/>
  </r>
  <r>
    <x v="21"/>
    <s v="Adelaide"/>
    <s v="Australia"/>
    <x v="6"/>
    <s v="-35.00911383406909, 138.57012418340335"/>
    <m/>
    <n v="1.25"/>
    <n v="480"/>
    <n v="175.2"/>
    <x v="1"/>
    <s v="Grid"/>
    <m/>
    <n v="12000"/>
    <s v="AUD $14,500,000"/>
    <x v="8"/>
    <s v="Will supply 700 properties in the suburb of Mitchell Park/offtake agreement with BOC to sell them excess hydrogen "/>
    <x v="3"/>
    <s v="Yes"/>
    <x v="1"/>
    <s v="Australian Gas Infrastructure Group"/>
    <s v="https://research.csiro.au/hyresource/hydrogen-park-south-australia/"/>
  </r>
  <r>
    <x v="22"/>
    <s v="Denham"/>
    <s v="Australia"/>
    <x v="6"/>
    <s v="-25.922902052776728, 113.53800679481346"/>
    <m/>
    <n v="0.34799999999999998"/>
    <n v="35"/>
    <n v="12.775"/>
    <x v="0"/>
    <s v="Solar"/>
    <n v="0.70399999999999996"/>
    <n v="378"/>
    <s v="AUD $9,300,000"/>
    <x v="5"/>
    <s v="Microgrid in Denham"/>
    <x v="0"/>
    <s v="Yes"/>
    <x v="0"/>
    <s v="Horizon Power"/>
    <s v="https://research.csiro.au/hyresource/denham-hydrogen-demonstration-plant/"/>
  </r>
  <r>
    <x v="23"/>
    <s v="Perth"/>
    <s v="Australia"/>
    <x v="6"/>
    <s v="-32.13599312867254, 115.77011399468093"/>
    <m/>
    <m/>
    <n v="274"/>
    <n v="100.01"/>
    <x v="4"/>
    <s v="Waste Biogas"/>
    <m/>
    <m/>
    <s v="AUD $25,000,000"/>
    <x v="3"/>
    <s v="Converts methane into hydrogen and graphite"/>
    <x v="0"/>
    <s v="Yes"/>
    <x v="0"/>
    <s v="Hazer Group"/>
    <s v="https://research.csiro.au/hyresource/hazer-commercial-demonstration-plant/"/>
  </r>
  <r>
    <x v="24"/>
    <s v="Perth"/>
    <s v="Australia"/>
    <x v="6"/>
    <s v="-32.1069828995776, 115.85834108339496"/>
    <m/>
    <n v="0.26"/>
    <n v="63"/>
    <n v="22.995000000000001"/>
    <x v="1"/>
    <s v="Grid"/>
    <m/>
    <m/>
    <s v="AUD $1,00,000"/>
    <x v="2"/>
    <s v="Onsite production for refueling stations"/>
    <x v="2"/>
    <s v="Yes"/>
    <x v="1"/>
    <s v="ATCO Gas and Fortescue Metals"/>
    <s v="https://research.csiro.au/hyresource/hydrogen-refueller-station-project/"/>
  </r>
  <r>
    <x v="25"/>
    <s v="Perth"/>
    <s v="Australia"/>
    <x v="6"/>
    <s v="-32.10241211885821, 115.86363423262274"/>
    <m/>
    <m/>
    <m/>
    <n v="0"/>
    <x v="5"/>
    <m/>
    <m/>
    <m/>
    <s v="AUD $2600000"/>
    <x v="6"/>
    <s v="City of Cockburn will have about 2-10% blended hydrogen in homes"/>
    <x v="2"/>
    <s v="Yes"/>
    <x v="1"/>
    <s v="ATCO Gas"/>
    <s v="https://research.csiro.au/hyresource/atco-hydrogen-blending-project/"/>
  </r>
  <r>
    <x v="26"/>
    <s v="Perth"/>
    <s v="Australia"/>
    <x v="6"/>
    <s v="-32.113318845503635, 115.86081522812997"/>
    <m/>
    <n v="0.26"/>
    <n v="63"/>
    <n v="22.995000000000001"/>
    <x v="1"/>
    <s v="Solar"/>
    <n v="0.3"/>
    <m/>
    <s v="AUD $3,530,000"/>
    <x v="7"/>
    <m/>
    <x v="5"/>
    <s v="Yes"/>
    <x v="1"/>
    <s v="ATCO Gas"/>
    <s v="https://research.csiro.au/hyresource/clean-energy-innovation-hub/"/>
  </r>
  <r>
    <x v="27"/>
    <s v="Christmas Creek"/>
    <s v="Australia"/>
    <x v="6"/>
    <s v="-23.809306456742533, 119.63186548339885"/>
    <m/>
    <n v="0.7"/>
    <n v="180"/>
    <n v="65.7"/>
    <x v="0"/>
    <s v="Grid"/>
    <m/>
    <m/>
    <s v="AUD $32,000,000"/>
    <x v="2"/>
    <s v="10 mining coaches (heavy duty vehicles)"/>
    <x v="0"/>
    <s v="Yes"/>
    <x v="0"/>
    <s v="Fortescue Future Industries"/>
    <s v="https://research.csiro.au/hyresource/christmas-creek-renewable-hydrogen-mobility-project/"/>
  </r>
  <r>
    <x v="28"/>
    <s v="Adelaide"/>
    <s v="Australia"/>
    <x v="6"/>
    <s v="-34.75019045785147, 138.6452609425628"/>
    <m/>
    <n v="0.15"/>
    <n v="40"/>
    <n v="14.6"/>
    <x v="1"/>
    <s v="Grid"/>
    <m/>
    <m/>
    <s v="AUD $12,500,000"/>
    <x v="2"/>
    <s v="Shipping via metal hydride to Indonesia"/>
    <x v="0"/>
    <s v="Yes"/>
    <x v="0"/>
    <s v="Marubeni Corporation"/>
    <s v="https://research.csiro.au/hyresource/green-hydrogen-and-battery-energy-storage-system/"/>
  </r>
  <r>
    <x v="29"/>
    <s v="Western Sydney Parklands"/>
    <s v="Australia"/>
    <x v="6"/>
    <s v="-33.825878413610496, 150.86203180237072"/>
    <m/>
    <n v="0.5"/>
    <n v="241"/>
    <n v="87.965000000000003"/>
    <x v="1"/>
    <s v="Grid"/>
    <m/>
    <m/>
    <s v="AUD $15,000,000"/>
    <x v="9"/>
    <s v="injecting up to 2 percent hydrogen into Sydney secondary gas distribution network"/>
    <x v="3"/>
    <s v="Yes"/>
    <x v="1"/>
    <s v="Jemena"/>
    <s v="https://research.csiro.au/hyresource/western-sydney-green-gas-project/"/>
  </r>
  <r>
    <x v="30"/>
    <s v="Koonawarra"/>
    <s v="Australia"/>
    <x v="6"/>
    <s v="-34.51162686182905, 150.80835595056067"/>
    <m/>
    <m/>
    <n v="548"/>
    <n v="200.02"/>
    <x v="6"/>
    <s v="Natural Gas Plant"/>
    <n v="435"/>
    <m/>
    <s v="AUD $83,000,000"/>
    <x v="5"/>
    <s v="Peaking plant with ability to blend natural gas"/>
    <x v="4"/>
    <s v="Yes"/>
    <x v="0"/>
    <s v="EnergyAustralia"/>
    <s v="https://research.csiro.au/hyresource/tallawarra-b-dual-fuel-capable-gas-hydrogen-power-plant/"/>
  </r>
  <r>
    <x v="31"/>
    <s v="Port Kembla"/>
    <s v="Australia"/>
    <x v="6"/>
    <s v="-34.476324266062655, 150.90663539624217"/>
    <m/>
    <m/>
    <m/>
    <n v="0"/>
    <x v="7"/>
    <m/>
    <m/>
    <m/>
    <m/>
    <x v="2"/>
    <s v="To fuel 2 Hymax-450 fcev prime mover trucks"/>
    <x v="0"/>
    <s v="Yes"/>
    <x v="0"/>
    <s v="Coregas"/>
    <s v="https://research.csiro.au/hyresource/port-kembla-hydrogen-refuelling-facility/"/>
  </r>
  <r>
    <x v="32"/>
    <s v="Queensland"/>
    <s v="Australia"/>
    <x v="6"/>
    <s v="-27.402494481041966, 153.13655012470568"/>
    <m/>
    <n v="0.22"/>
    <n v="80"/>
    <n v="29.2"/>
    <x v="1"/>
    <s v="Solar"/>
    <n v="0.1"/>
    <m/>
    <s v="AUD $5,540,000"/>
    <x v="2"/>
    <s v="To supply hydrogen refueling for BOC's existing customers"/>
    <x v="0"/>
    <s v="Yes"/>
    <x v="0"/>
    <s v="BOC Limited"/>
    <s v="https://research.csiro.au/hyresource/renewable-hydrogen-production-and-refuelling-project/"/>
  </r>
  <r>
    <x v="33"/>
    <s v="Queensland"/>
    <s v="Australia"/>
    <x v="6"/>
    <s v="-27.553771373401474, 153.05490008313413"/>
    <m/>
    <n v="0.16"/>
    <n v="23"/>
    <n v="8.3949999999999996"/>
    <x v="2"/>
    <s v="Solar"/>
    <n v="0.376"/>
    <m/>
    <m/>
    <x v="5"/>
    <s v="Powers 2 30Kw PEM fuel cells"/>
    <x v="6"/>
    <s v="Yes"/>
    <x v="1"/>
    <s v="Griffith University"/>
    <s v="https://research.csiro.au/hyresource/sir-samuel-griffith-centre/"/>
  </r>
  <r>
    <x v="34"/>
    <s v="Brigalow"/>
    <s v="Australia"/>
    <x v="6"/>
    <s v="-26.865341019375563, 150.76368071571008"/>
    <m/>
    <n v="1"/>
    <n v="205"/>
    <n v="74.825000000000003"/>
    <x v="1"/>
    <s v="Solar"/>
    <n v="2"/>
    <m/>
    <m/>
    <x v="10"/>
    <s v="Off-takers from heavy transport and haulage market in Western Downs region"/>
    <x v="0"/>
    <s v="Yes"/>
    <x v="0"/>
    <s v="CS Energy and Senex Energy"/>
    <s v="https://research.csiro.au/hyresource/kogan-creek-renewable-hydrogen-demonstration-plant/"/>
  </r>
  <r>
    <x v="35"/>
    <s v="Wallumbilla"/>
    <s v="Australia"/>
    <x v="6"/>
    <s v="-26.58545511179458, 149.18572449093875"/>
    <m/>
    <n v="0.05"/>
    <n v="1"/>
    <n v="0.36499999999999999"/>
    <x v="8"/>
    <s v="Solar"/>
    <n v="0.1"/>
    <m/>
    <s v="AUD $2,260,000"/>
    <x v="6"/>
    <s v="Proof of concept that h2 can be converted into renewable methane by extracting co2 from the atmosphere"/>
    <x v="0"/>
    <s v="Yes"/>
    <x v="0"/>
    <s v="APA Group"/>
    <s v="https://research.csiro.au/hyresource/apa-renewable-methane-demonstration-project/"/>
  </r>
  <r>
    <x v="36"/>
    <s v="Gladstone Central"/>
    <s v="Australia"/>
    <x v="6"/>
    <s v="-23.828799547008515, 151.23433293493392"/>
    <m/>
    <m/>
    <n v="821"/>
    <n v="299.66500000000002"/>
    <x v="0"/>
    <s v="Grid"/>
    <m/>
    <m/>
    <m/>
    <x v="1"/>
    <s v="Rio Tinto owns Yarwun alumina refinery, wants to see if hydrogen can partially decarbonize it"/>
    <x v="0"/>
    <s v="Yes"/>
    <x v="0"/>
    <s v="Sumitomo Corporation"/>
    <s v="https://research.csiro.au/hyresource/sumitomo-green-hydrogen-production-and-rio-tinto-decarbonisation-production-pilot-project/"/>
  </r>
  <r>
    <x v="37"/>
    <s v="South Gladstone"/>
    <s v="Australia"/>
    <x v="6"/>
    <s v="-23.868317390818497, 151.26672765111715"/>
    <m/>
    <n v="0.17499999999999999"/>
    <n v="65"/>
    <n v="23.725000000000001"/>
    <x v="1"/>
    <s v="Grid"/>
    <m/>
    <m/>
    <s v="AUD $4,200,000"/>
    <x v="6"/>
    <s v="Will be blended up to 10% to supply around 770 resdiential and business customers on Gladstone's netowrk"/>
    <x v="0"/>
    <s v="Yes"/>
    <x v="0"/>
    <s v="Australian Gas Infrastructure Group"/>
    <s v="https://research.csiro.au/hyresource/hydrogen-park-gladstone/"/>
  </r>
  <r>
    <x v="38"/>
    <s v="Canberra"/>
    <s v="Australia"/>
    <x v="6"/>
    <s v="-35.327032348662755, 149.17134048020938"/>
    <m/>
    <n v="1.2500000000000001E-2"/>
    <n v="1"/>
    <n v="0.36499999999999999"/>
    <x v="2"/>
    <s v="Solar"/>
    <m/>
    <m/>
    <s v="AUD $600,000"/>
    <x v="6"/>
    <s v="Evoenergy, Canberra Institue of Technology"/>
    <x v="0"/>
    <s v="Yes"/>
    <x v="0"/>
    <s v="Hyundai"/>
    <s v="https://research.csiro.au/hyresource/actewagl-hydrogen-refuelling-station/"/>
  </r>
  <r>
    <x v="39"/>
    <s v="Crystal Brook"/>
    <s v="Australia"/>
    <x v="6"/>
    <s v="-33.34705005393229, 138.2103108515328"/>
    <m/>
    <n v="50"/>
    <n v="20000"/>
    <n v="7300"/>
    <x v="0"/>
    <s v="Wind and Solar"/>
    <n v="300"/>
    <m/>
    <n v="600000000"/>
    <x v="11"/>
    <s v="Export to Asia"/>
    <x v="4"/>
    <s v="Yes"/>
    <x v="0"/>
    <s v="Neonen"/>
    <s v="https://reneweconomy.com.au/neoen-plans-worlds-biggest-solar-wind-powered-hydrogen-hub-in-s-a-53674/"/>
  </r>
  <r>
    <x v="40"/>
    <s v="Manilla"/>
    <s v="Australia"/>
    <x v="6"/>
    <s v="-30.74605095276074, 150.72637614356202"/>
    <m/>
    <m/>
    <m/>
    <n v="0"/>
    <x v="0"/>
    <s v="Solar"/>
    <n v="5"/>
    <m/>
    <s v="AUD $7,300,000"/>
    <x v="5"/>
    <s v="Community-based solar farm and renewable energy storage facilities near Manilla"/>
    <x v="0"/>
    <s v="Yes"/>
    <x v="0"/>
    <s v="Manilla Community Renewable Energy Inc. Providence Asset Group"/>
    <s v="https://research.csiro.au/hyresource/manilla-solar-phase-2-hydrogen-energy-storage-system/"/>
  </r>
  <r>
    <x v="41"/>
    <s v="Tasmania"/>
    <s v="Australia"/>
    <x v="6"/>
    <s v="-41.09748294307471, 146.81626806214203"/>
    <m/>
    <m/>
    <n v="1490"/>
    <n v="543.85"/>
    <x v="2"/>
    <s v="Solar"/>
    <n v="5"/>
    <m/>
    <s v="AUD $5,500,000"/>
    <x v="2"/>
    <s v="Renewable hydrogen to replace diesel in heavy duty trucking"/>
    <x v="2"/>
    <s v="Yes"/>
    <x v="1"/>
    <s v="LINE Hydrogen"/>
    <s v="https://research.csiro.au/hyresource/great-southern-project/"/>
  </r>
  <r>
    <x v="42"/>
    <s v="Queensland"/>
    <s v="Australia"/>
    <x v="6"/>
    <s v="-19.259024644095838, 146.81706561974286"/>
    <m/>
    <m/>
    <m/>
    <n v="0"/>
    <x v="0"/>
    <m/>
    <m/>
    <m/>
    <m/>
    <x v="2"/>
    <s v="Will fuel Republic of Palau fuel cells"/>
    <x v="4"/>
    <s v="Yes"/>
    <x v="0"/>
    <s v="Sojitz"/>
    <s v="https://www.sojitz.com/en/news/2022/01/20220112.php"/>
  </r>
  <r>
    <x v="43"/>
    <s v="Tasmania"/>
    <s v="Australia"/>
    <x v="6"/>
    <s v="-41.39306783532609, 147.12334566361417"/>
    <m/>
    <m/>
    <n v="288"/>
    <n v="105.12"/>
    <x v="1"/>
    <s v="Grid"/>
    <m/>
    <m/>
    <m/>
    <x v="5"/>
    <s v="Microgrid"/>
    <x v="4"/>
    <s v="Yes"/>
    <x v="0"/>
    <s v="Optimal and ITM"/>
    <s v="https://www.sharecast.com/news/aim-bulletin/itm-power-enters-partnership-with-australias-optimal-group--7775227.html"/>
  </r>
  <r>
    <x v="44"/>
    <s v="Montgomery County"/>
    <s v="United States"/>
    <x v="4"/>
    <s v="39.02906903316133, -77.14258344345308"/>
    <m/>
    <m/>
    <n v="131"/>
    <n v="47.814999999999998"/>
    <x v="0"/>
    <s v="Solar"/>
    <n v="5"/>
    <n v="4000"/>
    <m/>
    <x v="2"/>
    <s v="for 13 buses"/>
    <x v="1"/>
    <s v="Yes"/>
    <x v="0"/>
    <s v="AlphaStruxure"/>
    <s v="https://www.canarymedia.com/articles/public-transit/this-east-coast-bus-depot-will-make-its-own-carbon-free-fuel"/>
  </r>
  <r>
    <x v="45"/>
    <s v="Fort Drum"/>
    <s v="United States"/>
    <x v="4"/>
    <s v="27.643484488784253, -80.7913951188805"/>
    <m/>
    <n v="25"/>
    <n v="10800"/>
    <n v="3942"/>
    <x v="1"/>
    <s v="Solar"/>
    <m/>
    <m/>
    <n v="65000000"/>
    <x v="6"/>
    <s v="Blending for power generation in gas turbines"/>
    <x v="0"/>
    <s v="Yes"/>
    <x v="0"/>
    <s v="Flordia Power &amp; Light"/>
    <s v="https://cbs12.com/news/local/fpl-green-energy-okeechobee-next-gen-hydrogen-hub"/>
  </r>
  <r>
    <x v="46"/>
    <s v="Coffeyville, Kansas"/>
    <s v="United States"/>
    <x v="4"/>
    <s v="37.0462616528311, -95.60401823727314"/>
    <m/>
    <m/>
    <n v="210000"/>
    <n v="76650"/>
    <x v="9"/>
    <s v="Petroleum"/>
    <m/>
    <n v="650000"/>
    <m/>
    <x v="0"/>
    <s v="Coffeyville plant produces UAN fertilizers"/>
    <x v="7"/>
    <s v="Yes"/>
    <x v="1"/>
    <s v="Coffeyville Resources"/>
    <s v="https://energyfuturesinitiative.org/reports/the-hydrogen-transition-framework/"/>
  </r>
  <r>
    <x v="47"/>
    <s v="East Wenatchee, Washington"/>
    <s v="United States"/>
    <x v="4"/>
    <s v="47.513102782041145, -120.29292710482169"/>
    <m/>
    <n v="10"/>
    <n v="2000"/>
    <n v="730"/>
    <x v="1"/>
    <s v="Hydro"/>
    <m/>
    <m/>
    <n v="25000000"/>
    <x v="7"/>
    <m/>
    <x v="4"/>
    <s v="Yes"/>
    <x v="0"/>
    <s v="Douglas County PUD"/>
    <s v="https://www.wenatcheeworld.com/news/the-power-of-h-douglas-county-pud-prepares-to-produce-hydrogen-as-fuel/article_bb4e1af0-d4b3-11ed-ad01-1b81af41fb2f.html"/>
  </r>
  <r>
    <x v="48"/>
    <s v="Thousand Palms, CA"/>
    <s v="United States"/>
    <x v="4"/>
    <n v="33.932206261687703"/>
    <n v="-116.354654185143"/>
    <m/>
    <n v="650"/>
    <n v="237.25"/>
    <x v="10"/>
    <s v="Natural Gas"/>
    <m/>
    <m/>
    <m/>
    <x v="2"/>
    <s v="Will fuel fleet of 17 buses"/>
    <x v="3"/>
    <s v="Yes"/>
    <x v="1"/>
    <s v="SunLine Transit Agency"/>
    <s v="https://www.sunline.org/projects/alternative-fuels/clean-fleet"/>
  </r>
  <r>
    <x v="49"/>
    <s v="Enid, Oklahoma"/>
    <s v="United States"/>
    <x v="4"/>
    <n v="36.5065236708502"/>
    <n v="-97.826215965395704"/>
    <m/>
    <n v="413000"/>
    <n v="150745"/>
    <x v="9"/>
    <s v="Natural Gas"/>
    <m/>
    <n v="680000"/>
    <m/>
    <x v="0"/>
    <s v="Captures CO2 for EOR"/>
    <x v="8"/>
    <s v="Yes"/>
    <x v="1"/>
    <s v="Koch Nitrogen Company"/>
    <s v="https://www.gem.wiki/Enid_Fertilizer"/>
  </r>
  <r>
    <x v="50"/>
    <s v="Alabama, New York"/>
    <s v="United States"/>
    <x v="4"/>
    <n v="43.260582769438898"/>
    <n v="-78.390083668646199"/>
    <n v="120"/>
    <n v="45000"/>
    <n v="16425"/>
    <x v="1"/>
    <s v="Hydro"/>
    <m/>
    <m/>
    <m/>
    <x v="7"/>
    <s v="Servicing the Northeast"/>
    <x v="0"/>
    <s v="Yes"/>
    <x v="0"/>
    <s v="Plug Power"/>
    <s v="https://buffalonews.com/business/local/plug-power-starts-construction-of-290m-project-in-genesee-county/article_09e43b90-31c2-11ec-b0dd-0b3325909a66.html"/>
  </r>
  <r>
    <x v="51"/>
    <s v="Arvada, Colorado"/>
    <s v="United States"/>
    <x v="4"/>
    <n v="40.047578177458803"/>
    <n v="-105.155681971606"/>
    <n v="1.25"/>
    <m/>
    <n v="0"/>
    <x v="1"/>
    <s v="Grid"/>
    <m/>
    <m/>
    <n v="6500000"/>
    <x v="12"/>
    <s v="Backup power at a data center (more than 600 kg H2 Storage) - research"/>
    <x v="3"/>
    <s v="Yes"/>
    <x v="1"/>
    <s v="Toyota and NREL "/>
    <s v="https://www.greencarcongress.com/2022/08/20220825-toyota.html"/>
  </r>
  <r>
    <x v="52"/>
    <s v="Austin, Texas"/>
    <s v="United States"/>
    <x v="4"/>
    <n v="30.2882203227357"/>
    <n v="-97.733413881052599"/>
    <n v="0.18"/>
    <m/>
    <n v="0"/>
    <x v="1"/>
    <s v="Solar and Wind and Biogas"/>
    <m/>
    <m/>
    <m/>
    <x v="7"/>
    <s v="Research and Demonstration "/>
    <x v="9"/>
    <s v="Yes"/>
    <x v="1"/>
    <s v="University of Texas"/>
    <s v="chrome-extension://efaidnbmnnnibpcajpcglclefindmkaj/https://energy.utexas.edu/sites/default/files/H2%20Roundtable%20Speaker%20Slide_Master_FINAL_releasable.pdf"/>
  </r>
  <r>
    <x v="53"/>
    <s v="Beulah, North Dakota"/>
    <s v="United States"/>
    <x v="4"/>
    <n v="47.355294686488598"/>
    <n v="-101.769471642453"/>
    <m/>
    <n v="849000"/>
    <n v="309885"/>
    <x v="11"/>
    <s v="Coal"/>
    <m/>
    <n v="3000000"/>
    <m/>
    <x v="13"/>
    <s v="CO2 used for EOR"/>
    <x v="10"/>
    <s v="Yes"/>
    <x v="0"/>
    <s v="Bakken Energy"/>
    <s v="https://www.globenewswire.com/news-release/2021/06/02/2240761/0/en/Bakken-Energy-and-Mitsubishi-Power-Establish-Clean-Hydrogen-Partnership.html "/>
  </r>
  <r>
    <x v="54"/>
    <s v="Hallam, Nebraska"/>
    <s v="United States"/>
    <x v="4"/>
    <n v="40.759884579663499"/>
    <n v="-96.811242655390799"/>
    <m/>
    <n v="14400"/>
    <n v="5256"/>
    <x v="4"/>
    <s v="Natural Gas"/>
    <m/>
    <n v="192000"/>
    <m/>
    <x v="0"/>
    <s v="Used in production of fertilizer for farming"/>
    <x v="3"/>
    <s v="Yes"/>
    <x v="1"/>
    <s v="Monolith Materials"/>
    <s v="https://www.prnewswire.com/news-releases/monolith-receives-conditional-approval-for-a-one-billion-dollar-us-department-of-energy-loan-301450496.html"/>
  </r>
  <r>
    <x v="55"/>
    <s v="Long Beach, California"/>
    <s v="United States"/>
    <x v="4"/>
    <n v="33.774998574316101"/>
    <n v="-118.19323066923199"/>
    <n v="2.2999999999999998"/>
    <m/>
    <n v="0"/>
    <x v="12"/>
    <s v="Bioenergy"/>
    <m/>
    <m/>
    <m/>
    <x v="2"/>
    <s v="Fuels Toyota trucks and export balance to Southern California grid"/>
    <x v="0"/>
    <s v="Yes"/>
    <x v="0"/>
    <s v="Toyota"/>
    <s v="https://fuelcellsworks.com/news/development-of-the-fuelcell-energy-project-at-toyotas-port-of-long-beach-facility-to-proceed/"/>
  </r>
  <r>
    <x v="56"/>
    <s v="Urbana, Illinois"/>
    <s v="United States"/>
    <x v="4"/>
    <n v="40.1558162089758"/>
    <n v="-88.181791670680298"/>
    <n v="1"/>
    <m/>
    <n v="0"/>
    <x v="1"/>
    <s v="Solar"/>
    <m/>
    <m/>
    <n v="2200000"/>
    <x v="2"/>
    <s v="Produce hydrogen for a fleet of fuel cell buses"/>
    <x v="9"/>
    <s v="Yes"/>
    <x v="1"/>
    <s v="Nel Hydrogen "/>
    <s v="https://www.masstransitmag.com/technology/facilities/article/21249165/partnerships-are-the-backbone-to-implementing-zeroemission-technology"/>
  </r>
  <r>
    <x v="57"/>
    <s v="North Las Vegas, Nevada"/>
    <s v="United States"/>
    <x v="4"/>
    <n v="36.268345631727001"/>
    <n v="-115.132142573447"/>
    <m/>
    <n v="30000"/>
    <n v="10950"/>
    <x v="12"/>
    <s v="Bioenergy"/>
    <m/>
    <m/>
    <n v="250000000"/>
    <x v="2"/>
    <s v="Built for the California FCEV market"/>
    <x v="2"/>
    <s v="Yes"/>
    <x v="1"/>
    <s v="Air Liquide"/>
    <s v="https://industry.airliquide.us/air-liquide-committed-producing-renewable-hydrogen-west-coast-mobility-market-new-liquid-hydrogen"/>
  </r>
  <r>
    <x v="58"/>
    <s v="Lancaster, California"/>
    <s v="United States"/>
    <x v="4"/>
    <n v="34.866088165250197"/>
    <n v="-118.132617714991"/>
    <m/>
    <n v="11000"/>
    <n v="4015"/>
    <x v="13"/>
    <s v="Waste"/>
    <m/>
    <m/>
    <m/>
    <x v="2"/>
    <s v="Facility will process around 42,000 tons of waste annually"/>
    <x v="0"/>
    <s v="Yes"/>
    <x v="0"/>
    <s v="SGH2"/>
    <s v="https://www.greencarcongress.com/2020/05/20200521-sgh2.html"/>
  </r>
  <r>
    <x v="59"/>
    <s v="Geismar, Louisiana"/>
    <s v="United States"/>
    <x v="4"/>
    <n v="30.225495702185299"/>
    <n v="-91.005751246060299"/>
    <m/>
    <n v="217000"/>
    <n v="79205"/>
    <x v="9"/>
    <s v="Natural Gas"/>
    <m/>
    <n v="200000"/>
    <m/>
    <x v="0"/>
    <s v="Sources Denbury EOR operations"/>
    <x v="6"/>
    <s v="Yes"/>
    <x v="1"/>
    <s v="Nutrien"/>
    <s v="https://co2re.co/FacilityData"/>
  </r>
  <r>
    <x v="60"/>
    <s v="Port Arthur, Texas"/>
    <s v="United States"/>
    <x v="4"/>
    <n v="30.100994592282198"/>
    <n v="-94.022602608316205"/>
    <m/>
    <n v="247000"/>
    <n v="90155"/>
    <x v="9"/>
    <s v="Natural Gas"/>
    <m/>
    <n v="1000000"/>
    <n v="431000000"/>
    <x v="1"/>
    <s v="The APCI Port Arthur ICCS project is demonstrating a state-of-the-art system to concentrate CO2 from two steam methane reformer (SMR) hydrogen production plants located in Port Arthur, Texas. APCI has retrofitted its two Port Arthur SMRs with a vacuum swing adsorption (VSA) system to separate the CO2 from the process gas stream, followed by compression and drying processes.  The technology removes more than 90 percent of the CO2 from the process gas stream used in a world-class scale hydrogen production facility with negligible impact on the efficiency of hydrogen production. The project has been in commercial operation since early 2013 and continues to successfully capture, store and utilize the produced CO2 stream.  Air Products has already successfully captured and stored over 3,640,000 metric tons of CO2 as of April 30, 2017, and is on pace to capture and store the 4,000,000th metric ton of CO2 around the September 2017 timeframe."/>
    <x v="6"/>
    <s v="Yes"/>
    <x v="1"/>
    <s v="Air Products"/>
    <s v="https://co2re.co/FacilityData"/>
  </r>
  <r>
    <x v="61"/>
    <s v="Garner, Iowa"/>
    <s v="United States"/>
    <x v="4"/>
    <s v="43.11936278828885, -93.56758362382497"/>
    <m/>
    <m/>
    <n v="40477"/>
    <n v="14774.105"/>
    <x v="0"/>
    <s v="Renewables"/>
    <m/>
    <n v="166000"/>
    <m/>
    <x v="0"/>
    <m/>
    <x v="10"/>
    <s v="Yes"/>
    <x v="0"/>
    <s v="Mair Tecnimont"/>
    <s v="https://www.power-technology.com/news/maire-tecnimont-green-ammonia-contract/"/>
  </r>
  <r>
    <x v="62"/>
    <s v="Great Falls, Montana"/>
    <s v="United States"/>
    <x v="4"/>
    <n v="47.573136458838903"/>
    <n v="-111.31479838368099"/>
    <m/>
    <m/>
    <n v="0"/>
    <x v="0"/>
    <s v="Grid"/>
    <m/>
    <m/>
    <n v="50000000"/>
    <x v="14"/>
    <s v="Calumet Specialty Products Partners (NASDAQ:CLMT) will move ahead with construction of the planned renewable hydrogen plant at its Great Falls, Montana, refinery after securing $50M of project financing from Stonebriar Commercial Finance, S&amp;P Global Platts reports. Calumet expects to start up the plant in this year's Q4, raising production of renewable diesel from 5K bbl/day in May 2022 to 12K bbl/day. The company says the renewable hydrogen plant will allow increased production of renewable diesel and further reduce the carbon intensity of products from Montana Renewables"/>
    <x v="2"/>
    <s v="Yes"/>
    <x v="1"/>
    <s v="Montana Renewables"/>
    <s v="https://seekingalpha.com/news/3785260-calumet-closes-financing-for-renewable-hydrogen-project"/>
  </r>
  <r>
    <x v="63"/>
    <s v="Ontario, California"/>
    <s v="United States"/>
    <x v="4"/>
    <n v="34.1369594157715"/>
    <n v="-117.66471785466"/>
    <m/>
    <m/>
    <n v="0"/>
    <x v="1"/>
    <s v="Renewables"/>
    <m/>
    <n v="50000"/>
    <m/>
    <x v="2"/>
    <s v="Company will be able to fuel up to 1,600 vehicles a day"/>
    <x v="9"/>
    <s v="Yes"/>
    <x v="1"/>
    <s v="Linde"/>
    <s v="https://www.petrolplaza.com/news/25932"/>
  </r>
  <r>
    <x v="64"/>
    <s v="Fresno County, California"/>
    <s v="United States"/>
    <x v="4"/>
    <s v="36.729585421228556, -119.80273199446107"/>
    <m/>
    <n v="120"/>
    <n v="30000"/>
    <n v="10950"/>
    <x v="1"/>
    <s v="Solar"/>
    <n v="300"/>
    <m/>
    <m/>
    <x v="2"/>
    <s v="Servicing west coast customers with liquid hydrogen"/>
    <x v="4"/>
    <s v="Yes"/>
    <x v="0"/>
    <s v="Plug Power"/>
    <s v="https://renewablesnow.com/news/plug-power-unveils-120-mw-green-hydrogen-project-in-california-754521/"/>
  </r>
  <r>
    <x v="65"/>
    <s v="Oroville, California"/>
    <s v="United States"/>
    <x v="4"/>
    <s v="39.51888436844953, -121.63753931052543"/>
    <m/>
    <m/>
    <n v="12200"/>
    <n v="4453"/>
    <x v="12"/>
    <s v="Biomass"/>
    <m/>
    <m/>
    <n v="225000000"/>
    <x v="2"/>
    <s v="The company’s Tuolumne County application under Yosemite Clean Energy Sierra LLC was selected by the California Department of Conservation as the number-one recommended project in California. "/>
    <x v="4"/>
    <s v="Yes"/>
    <x v="0"/>
    <s v="Yosemite Clean Energy"/>
    <s v="https://www.yosemiteclean.com/news-and-resources"/>
  </r>
  <r>
    <x v="66"/>
    <m/>
    <s v="United States"/>
    <x v="4"/>
    <m/>
    <m/>
    <n v="85"/>
    <n v="40000"/>
    <n v="14600"/>
    <x v="2"/>
    <s v="Renewables"/>
    <m/>
    <m/>
    <n v="30000000"/>
    <x v="2"/>
    <s v="Will support 5 heavy-duty hydrogen fueling stations"/>
    <x v="0"/>
    <s v="Yes"/>
    <x v="0"/>
    <s v="Nikola"/>
    <s v="https://www.electrive.com/2020/06/04/nikola-orders-electrolysers-from-nel/"/>
  </r>
  <r>
    <x v="67"/>
    <s v="Golden, Colorado"/>
    <s v="United States"/>
    <x v="4"/>
    <s v="39.743005031340694, -105.17089936318794"/>
    <m/>
    <n v="0.25"/>
    <m/>
    <n v="0"/>
    <x v="0"/>
    <s v="Renewables"/>
    <m/>
    <m/>
    <m/>
    <x v="6"/>
    <s v="Crews work to install the first U.S. Power-to-Gas system outside the ESIF. Southern California Gas partnered with NREL on the project, which takes excess electricity and converts it to hydrogen which can be used, stored or combined with cargo dioxide to produce renewable natural gas."/>
    <x v="5"/>
    <s v="Yes"/>
    <x v="1"/>
    <s v="NREL and Southern Gas Company"/>
    <s v="efaidnbmnnnibpcajpcglclefindmkaj/https://www.nrel.gov/docs/fy18osti/68939.pdf"/>
  </r>
  <r>
    <x v="68"/>
    <s v="Albany, New York"/>
    <s v="United States"/>
    <x v="4"/>
    <n v="42.746074311997702"/>
    <n v="-73.784359292477404"/>
    <m/>
    <m/>
    <n v="0"/>
    <x v="0"/>
    <s v="Renewables"/>
    <m/>
    <n v="6400"/>
    <m/>
    <x v="7"/>
    <s v="National Grid is taking additional steps into a clean energy future today by announcing a partnership with Standard Hydrogen Corporation to demonstrate the nation’s first multi-use, renewable hydrogen-based energy storage/delivery system in New York’s Capital Region, with completion expected by late 2022. The system will produce and store hydrogen exclusively from purchased renewable power and will make use of the inherent flexibility of hydrogen. Once installed the system can safely offer up to nine market-based zero-carbon energy services that support electric service, heating, zero emissions vehicle services and commercial gas service – all from one system at one site. The system has the capability to eliminate 6,400 metric tons of carbon dioxide emissions and 740,000 gallons of gasoline demand annually. It will be operated by Standard Hydrogen in a financially optimized manner to reduce the impact on utility customers. This project was conceived through a NY State REV Connect Innovation Sprint."/>
    <x v="2"/>
    <s v="Yes"/>
    <x v="1"/>
    <s v="National Grid"/>
    <s v="https://www.nationalgridus.com/News/2021/03/National-Grid-and-Standard-Hydrogen-Corporation-Announce-Plans-for-Innovative-Hydrogen-Energy-Station/"/>
  </r>
  <r>
    <x v="69"/>
    <s v="Mountain View, California"/>
    <s v="United States"/>
    <x v="4"/>
    <n v="37.396835000000003"/>
    <n v="-122.081267"/>
    <m/>
    <n v="13698"/>
    <n v="4999.7700000000004"/>
    <x v="13"/>
    <s v="Waste"/>
    <m/>
    <m/>
    <n v="35000000"/>
    <x v="3"/>
    <m/>
    <x v="0"/>
    <s v="Yes"/>
    <x v="0"/>
    <s v="OMNI CT"/>
    <s v="https://fuelcellsworks.com/news/omni-ct-brings-first-of-its-kind-waste-to-hydrogen-product-to-california/"/>
  </r>
  <r>
    <x v="70"/>
    <s v="Folsom, New Jersey"/>
    <s v="United States"/>
    <x v="4"/>
    <n v="40.233277148769602"/>
    <n v="-74.188741144713703"/>
    <n v="50"/>
    <n v="24657"/>
    <n v="8999.8050000000003"/>
    <x v="0"/>
    <s v="Solar"/>
    <m/>
    <m/>
    <m/>
    <x v="6"/>
    <s v="Will blend into natural gas injection system"/>
    <x v="3"/>
    <s v="Yes"/>
    <x v="1"/>
    <s v="New Jersey Resources Corp"/>
    <s v="https://www.spglobal.com/marketintelligence/en/news-insights/latest-news-headlines/hydrogen-pilot-projects-advance-evolve-at-gas-utilities-65942022"/>
  </r>
  <r>
    <x v="71"/>
    <s v="Palm Springs, California"/>
    <s v="United States"/>
    <x v="4"/>
    <n v="34.182156247588402"/>
    <n v="-116.545111037457"/>
    <n v="2"/>
    <n v="300"/>
    <n v="109.5"/>
    <x v="1"/>
    <s v="Solar"/>
    <m/>
    <n v="4200000"/>
    <m/>
    <x v="2"/>
    <s v="Agency has added deployed 15 hydrogen FCEV buses"/>
    <x v="11"/>
    <s v="Yes"/>
    <x v="1"/>
    <m/>
    <s v="https://www.desertsun.com/story/news/2022/01/04/the-infrastructure-bill-includes-5-6-billion-for-low-or-zero-emission-vehicle-grants/9085571002/"/>
  </r>
  <r>
    <x v="72"/>
    <s v="Canton, Ohio"/>
    <s v="United States"/>
    <x v="4"/>
    <n v="40.871781172676201"/>
    <s v="0 m"/>
    <m/>
    <m/>
    <n v="0"/>
    <x v="14"/>
    <m/>
    <m/>
    <m/>
    <m/>
    <x v="2"/>
    <s v="Has 20 fuel cell buses"/>
    <x v="12"/>
    <s v="Yes"/>
    <x v="1"/>
    <s v="SARTA"/>
    <s v="https://www.sartaonline.com/sarta-seeks-to-build-support-for-hydrogen-hub-in-ohio/"/>
  </r>
  <r>
    <x v="73"/>
    <s v="Columbus, Ohio"/>
    <s v="United States"/>
    <x v="4"/>
    <n v="40.011499299184798"/>
    <n v="-83.026769592633599"/>
    <n v="0.25"/>
    <m/>
    <n v="0"/>
    <x v="15"/>
    <m/>
    <m/>
    <m/>
    <n v="6200000"/>
    <x v="5"/>
    <s v="Research and Demonstration "/>
    <x v="3"/>
    <s v="Yes"/>
    <x v="1"/>
    <s v="Ohio State University"/>
    <s v="https://dailyenergyinsider.com/news/30308-doe-awards-nearly-6-2m-for-eight-university-run-hydrogen-gas-turbine-rd-projects/?amp"/>
  </r>
  <r>
    <x v="74"/>
    <s v="Tuscaloosa"/>
    <s v="United States"/>
    <x v="4"/>
    <n v="33.185307471304"/>
    <n v="-87.496484208925494"/>
    <m/>
    <m/>
    <n v="0"/>
    <x v="16"/>
    <m/>
    <m/>
    <m/>
    <m/>
    <x v="15"/>
    <s v="Powers 123 forklifts at Mercedes logistics and manufacturing facility"/>
    <x v="6"/>
    <s v="Yes"/>
    <x v="1"/>
    <s v="Benz, Plug Power"/>
    <s v="https://www.globenewswire.com/news-release/2013/08/20/567917/9619/en/Mercedes-Benz-Expands-Use-of-Plug-Power-Hydrogen-Fuel-Cells-at-Vehicle-Assembly-Plant-in-Tuscaloosa-Alabama.html"/>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s v="AUS"/>
    <s v="Australia"/>
    <x v="0"/>
    <n v="43770"/>
    <x v="0"/>
    <x v="0"/>
    <n v="0.54290000000000005"/>
    <s v="Public"/>
    <x v="0"/>
    <n v="971201000"/>
    <x v="0"/>
    <n v="971201000"/>
    <s v="No regulation"/>
    <n v="1"/>
    <n v="1"/>
    <n v="1"/>
    <n v="1"/>
    <n v="0"/>
    <n v="0"/>
    <n v="0"/>
    <n v="0"/>
    <n v="1"/>
    <n v="1"/>
    <n v="1"/>
    <n v="1"/>
    <n v="1"/>
    <n v="1"/>
    <n v="1"/>
    <n v="1"/>
    <n v="0"/>
    <n v="0"/>
    <n v="0"/>
    <n v="0"/>
    <n v="0"/>
    <n v="1"/>
    <n v="1"/>
    <s v="https://www.dcceew.gov.au/energy/publications/australias-national-hydrogen-strategy#:~:text=The%20Australian%20Government%20will%20be,the%20decarbonization%20of%20Australian%20industries."/>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s v="AUS"/>
    <s v="Brisbane"/>
    <s v="Australia"/>
    <x v="0"/>
    <x v="0"/>
    <n v="2000"/>
    <m/>
    <s v="Merchant"/>
    <s v="Gaseous"/>
    <x v="0"/>
    <s v="-27.403763366251873, 153.13415274860353"/>
    <m/>
    <m/>
  </r>
  <r>
    <s v="AUS"/>
    <s v="Lytton"/>
    <s v="Australia"/>
    <x v="1"/>
    <x v="1"/>
    <n v="2008"/>
    <n v="88082.400000000009"/>
    <s v="Merchant"/>
    <s v="Gaseous"/>
    <x v="1"/>
    <s v="-38.01453553577639, 145.20550950359367"/>
    <m/>
    <m/>
  </r>
  <r>
    <s v="AUS"/>
    <s v="Melbourne"/>
    <s v="Victria"/>
    <x v="0"/>
    <x v="0"/>
    <m/>
    <n v="1527.96"/>
    <s v="Merchant"/>
    <s v="Gaseous"/>
    <x v="1"/>
    <s v="-37.83839757002432, 144.81985393857516"/>
    <m/>
    <s v="Altona Facility"/>
  </r>
  <r>
    <s v="AUS"/>
    <s v="Murrin Murrin"/>
    <s v="Australia"/>
    <x v="0"/>
    <x v="0"/>
    <m/>
    <n v="22020.600000000002"/>
    <s v="Merchant"/>
    <s v="Gaseous"/>
    <x v="1"/>
    <s v="-28.947930074090678, 121.80404358126755"/>
    <m/>
    <m/>
  </r>
  <r>
    <s v="AUS"/>
    <s v="Kwinana"/>
    <s v="Australia"/>
    <x v="2"/>
    <x v="0"/>
    <m/>
    <n v="3235.68"/>
    <s v="Merchant"/>
    <s v="Gaseous"/>
    <x v="2"/>
    <s v="-32.244163782850016, 115.77321689509276"/>
    <m/>
    <s v="Hydrochloric acid"/>
  </r>
  <r>
    <s v="AUS"/>
    <s v="Gibson Island"/>
    <s v="Australia"/>
    <x v="3"/>
    <x v="0"/>
    <m/>
    <n v="134730.12"/>
    <s v="Merchant"/>
    <s v="Gaseous"/>
    <x v="3"/>
    <s v="-27.434795674020833, 153.12388240808184"/>
    <m/>
    <m/>
  </r>
  <r>
    <s v="AUS"/>
    <s v="Orica"/>
    <s v="Australia"/>
    <x v="4"/>
    <x v="0"/>
    <m/>
    <n v="167805.96"/>
    <s v="Merchant"/>
    <s v="Gaseous"/>
    <x v="3"/>
    <s v="-32.89609468824208, 151.77937916629568"/>
    <m/>
    <m/>
  </r>
  <r>
    <s v="AUS"/>
    <s v="Karratha"/>
    <s v="Australia"/>
    <x v="5"/>
    <x v="0"/>
    <m/>
    <n v="353138.52"/>
    <s v="Merchant"/>
    <s v="Gaseous"/>
    <x v="3"/>
    <s v="-20.62383170053448, 116.78721354548111"/>
    <m/>
    <m/>
  </r>
  <r>
    <s v="AUS"/>
    <s v="Kwinana"/>
    <s v="Australia"/>
    <x v="6"/>
    <x v="0"/>
    <m/>
    <n v="104620.32"/>
    <s v="Merchant"/>
    <s v="Gaseous"/>
    <x v="3"/>
    <s v="-32.23446588356059, 115.76656017286321"/>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
  <r>
    <s v="AUS"/>
    <x v="0"/>
    <x v="0"/>
    <n v="1"/>
    <x v="0"/>
    <s v="Port Victoria"/>
    <x v="0"/>
    <x v="0"/>
    <s v="Viva Energy"/>
    <n v="165356250"/>
    <s v="-34.495401, 137.481029"/>
    <m/>
    <s v="Proposed floating storage and regasification unit"/>
  </r>
  <r>
    <s v="AUS"/>
    <x v="1"/>
    <x v="1"/>
    <n v="1"/>
    <x v="1"/>
    <s v="Port Adelaide"/>
    <x v="0"/>
    <x v="1"/>
    <s v="Venice Energy"/>
    <n v="132285000"/>
    <s v="-34.769985, 138.502867"/>
    <m/>
    <m/>
  </r>
  <r>
    <s v="AUS"/>
    <x v="2"/>
    <x v="0"/>
    <n v="1"/>
    <x v="1"/>
    <s v="Port Phillip Bay"/>
    <x v="0"/>
    <x v="2"/>
    <s v="Vopak"/>
    <m/>
    <s v=" -37.847216, 144.930100"/>
    <m/>
    <s v="Dutch storage firm Vopak plans to build an LNG import terminal at Avalon in Port Phillip bay in Victoria using a 636-849 TJ/d floating storage and regasification unit (FSRU).[1]"/>
  </r>
  <r>
    <s v="AUS"/>
    <x v="3"/>
    <x v="2"/>
    <n v="1"/>
    <x v="2"/>
    <s v="Port Kembla"/>
    <x v="0"/>
    <x v="3"/>
    <s v="Austrialian Industrial Energy"/>
    <n v="165356250"/>
    <s v="-34.4814133, 150.8893602"/>
    <m/>
    <s v="The Port Kembla terminal would connect to the existing Eastern Gas Pipeline via the 12 kilometre Port Kembla to EGP Gas Pipeline."/>
  </r>
  <r>
    <s v="AUS"/>
    <x v="4"/>
    <x v="3"/>
    <n v="2"/>
    <x v="3"/>
    <s v="Curtis Island"/>
    <x v="1"/>
    <x v="4"/>
    <s v="Australia Pacific LNG"/>
    <n v="2875000000"/>
    <s v="-23.75583, 151.19061"/>
    <m/>
    <s v="Australia Pacific LNG Terminal is an LNG terminal in Curtis Island in Queensland, Australia on the edge of the Great Barrier Reef.[5] Curtis Island's three plants (Australia Pacific LNG Terminal, Gladstone LNG Terminal, Queensland Curtis LNG Terminal) are worth $70 billion.[6]"/>
  </r>
  <r>
    <s v="AUS"/>
    <x v="5"/>
    <x v="3"/>
    <n v="2"/>
    <x v="4"/>
    <s v="Queensland Curtis LNG Terminal"/>
    <x v="1"/>
    <x v="5"/>
    <s v="Shell"/>
    <n v="6000000000"/>
    <s v="-23.7693, 151.199"/>
    <m/>
    <s v="Queensland Curtis LNG Terminal is an LNG terminal on Curtis Island in Queensland, Australia on the edge of the Great Barrier Reef.[4] Curtis Island's three plants Australia Pacific LNG Terminal, Gladstone LNG Terminal, Queensland Curtis LNG Terminal are worth $70 billion."/>
  </r>
  <r>
    <s v="AUS"/>
    <x v="6"/>
    <x v="3"/>
    <n v="2"/>
    <x v="5"/>
    <s v="Gladstone"/>
    <x v="1"/>
    <x v="6"/>
    <s v="Santos, Petronas, Total, Kogas"/>
    <n v="10582800000"/>
    <s v="-23.776, 151.2103"/>
    <m/>
    <s v="Gladstone LNG Terminal is an LNG terminal on Curtis Island in Queensland, Australia on the edge of the Great Barrier Reef.[2] It converts coal-seam gas into LNG.[3] Curtis Island's three plants Australia Pacific LNG Terminal, Gladstone LNG Terminal, Queensland Curtis LNG Terminal are worth $70 billion.[4]"/>
  </r>
  <r>
    <s v="AUS"/>
    <x v="7"/>
    <x v="3"/>
    <n v="2"/>
    <x v="6"/>
    <s v="Darwin"/>
    <x v="1"/>
    <x v="7"/>
    <s v="Santos"/>
    <n v="1600000000"/>
    <s v="-12.5221, 130.8663"/>
    <m/>
    <s v="The Darwin LNG Terminal is an onshore LNG terminal in Northern Territory, Australia.[6] It has one liquefaction and purification train, a 311 mile (500 kilometre) offshore facility, and a subsea pipeline from Bayu-Undan field in the East Timor Sea to Darwin in Australia's Northern Territory.[7]"/>
  </r>
  <r>
    <s v="AUS"/>
    <x v="8"/>
    <x v="3"/>
    <n v="1"/>
    <x v="7"/>
    <s v="Browse Basin"/>
    <x v="1"/>
    <x v="8"/>
    <s v="Shell"/>
    <n v="24000000000"/>
    <s v="-15.2539252, 123.5381736"/>
    <m/>
    <s v="Prelude Floating LNG Terminal is an offshore LNG terminal under development in Western Australia, Australia.[5] Its close neighbor is Inpex-owned Ichthys LNG Terminal.[6]"/>
  </r>
  <r>
    <s v="AUS"/>
    <x v="9"/>
    <x v="3"/>
    <n v="2"/>
    <x v="7"/>
    <s v="Browse Basin"/>
    <x v="1"/>
    <x v="9"/>
    <s v="INPEX"/>
    <n v="45000000000"/>
    <n v="-17.961943999999999"/>
    <n v="122.23611099999999"/>
    <s v="Ichthys FLNG Terminal is an LNG terminal in Western Australia, Australia.[8] Ichthys FLNG is named after the Ichthys offshore gas and condensate field in the Browse Basin in northwestern Australia, from which gas is piped through the Ichthys Gas Pipeline to the terminal."/>
  </r>
  <r>
    <s v="AUS"/>
    <x v="9"/>
    <x v="1"/>
    <n v="1"/>
    <x v="2"/>
    <s v="Browse Basin"/>
    <x v="1"/>
    <x v="10"/>
    <s v="INPEX"/>
    <m/>
    <n v="-17.961943999999999"/>
    <n v="122.23611099999999"/>
    <s v="There is a proposed expansion project. Inpex has space to add four LNG production units, called trains, at Ichthys LNG and has five points along its 890 kilometer (553 mile) pipeline from the Ichthys field to Darwin where pipelines from new gas fields could be tied in.[28]"/>
  </r>
  <r>
    <s v="AUS"/>
    <x v="10"/>
    <x v="3"/>
    <n v="2"/>
    <x v="7"/>
    <s v="Wheatstone"/>
    <x v="1"/>
    <x v="10"/>
    <s v="Chevron"/>
    <n v="15000000000"/>
    <s v="-21.6978845, 115.001141 "/>
    <m/>
    <s v="Chevron announced in October 2017 it has started producing LNG at Wheatstone project in Australia. It plans to ship its first cargo soon. Woodside plans a 15% production growth over the next three years.[7]"/>
  </r>
  <r>
    <s v="AUS"/>
    <x v="11"/>
    <x v="3"/>
    <n v="3"/>
    <x v="3"/>
    <s v="Barrow Island"/>
    <x v="1"/>
    <x v="11"/>
    <s v="Chevron"/>
    <n v="55000000000"/>
    <n v="-20.79"/>
    <n v="115.44965000000001"/>
    <s v="Gorgon LNG Terminal is an LNG terminal in Western Australia, Australia.[4] The US$55 billion LNG terminal is a part of the Gorgon gas project, which includes the Greater Gorgon gas fields, subsea gas gathering infrastructure, and the Gorgon LNG Terminal.[5] A proposed Stage Two of the Gorgon gas project would upgrade existing subsea gas gathering to maintain supply to existing LNG Trains. In 2017, the proposed Stage Two was moved into the Front End Engineering and Design (FEED) stage.[6]"/>
  </r>
  <r>
    <s v="AUS"/>
    <x v="12"/>
    <x v="0"/>
    <n v="2"/>
    <x v="2"/>
    <s v="Broome"/>
    <x v="1"/>
    <x v="12"/>
    <s v="Woodside"/>
    <n v="20500000000"/>
    <n v="-17.961943999999999"/>
    <n v="122.23611099999999"/>
    <s v="Browse FLNG Terminal is a proposed LNG terminal in the Dampier Peninsula, in Kimberley, Western Australia."/>
  </r>
  <r>
    <s v="AUS"/>
    <x v="13"/>
    <x v="3"/>
    <n v="3"/>
    <x v="8"/>
    <s v="Perth"/>
    <x v="1"/>
    <x v="13"/>
    <s v="Japan Australia LNG, BHP, BP, Chevron, Shell, Woodside Energy"/>
    <m/>
    <s v="-20.59424, 116.7767"/>
    <m/>
    <s v="According to the company website in 1989 the first cargo of North West Shelf LNG left the facility's Karratha Gas Plant onboard headed to Japan’s Sodegaura Terminal. The North West Shelf LNG Project has delivered almost 4000 LNG cargoes since 1989.[3]"/>
  </r>
  <r>
    <s v="AUS"/>
    <x v="13"/>
    <x v="3"/>
    <n v="2"/>
    <x v="9"/>
    <s v="Perth"/>
    <x v="1"/>
    <x v="14"/>
    <s v="Japan Australia LNG, BHP, BP, Chevron, Shell, Woodside Energy"/>
    <m/>
    <s v="-20.59424, 116.7768"/>
    <m/>
    <s v="According to the company website in 1989 the first cargo of North West Shelf LNG left the facility's Karratha Gas Plant onboard headed to Japan’s Sodegaura Terminal. The North West Shelf LNG Project has delivered almost 4000 LNG cargoes since 1989.[3]"/>
  </r>
  <r>
    <s v="AUS"/>
    <x v="14"/>
    <x v="3"/>
    <n v="1"/>
    <x v="10"/>
    <s v="Burrup Peninsula"/>
    <x v="1"/>
    <x v="15"/>
    <s v="Woodside"/>
    <n v="12000000000"/>
    <s v="-20.6128, 116.7655"/>
    <m/>
    <s v="As of 2017, Australia is the second largest LNG exporter after Qatar. The country exports almost 44 million tons a year. [12]"/>
  </r>
  <r>
    <s v="AUS"/>
    <x v="14"/>
    <x v="1"/>
    <n v="1"/>
    <x v="11"/>
    <s v="Burrup Peninsula"/>
    <x v="1"/>
    <x v="16"/>
    <s v="Woodside"/>
    <n v="5600000000"/>
    <s v="-20.6128, 116.7656"/>
    <m/>
    <s v="A second train with 5-mtpa capacity has been proposed. In January 2019, Woodside announced that it planned to achieve a final investment decision (FID) by 2020 and commission the expansion in 2024.[14] Later, the beginning of operations at the plant were pushed back until 2026.[5]"/>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s v="Victoria"/>
    <m/>
    <s v="AUS"/>
    <n v="660000"/>
    <m/>
    <s v="Operating"/>
    <x v="0"/>
    <n v="-37.828195612732401"/>
    <n v="144.79092053856101"/>
  </r>
  <r>
    <s v="New South Wales"/>
    <m/>
    <s v="AUS"/>
    <n v="3200000"/>
    <n v="3000000"/>
    <s v="Operating"/>
    <x v="1"/>
    <n v="-34.443110369715598"/>
    <n v="150.88169555612001"/>
  </r>
  <r>
    <s v="Rooty Hill"/>
    <m/>
    <s v="AUS"/>
    <n v="750000"/>
    <m/>
    <s v="Operating"/>
    <x v="0"/>
    <n v="-33.764389460911701"/>
    <n v="150.84990334983999"/>
  </r>
  <r>
    <s v="Whyalla"/>
    <m/>
    <s v="AUS"/>
    <n v="1200000"/>
    <n v="1200000"/>
    <s v="Operating"/>
    <x v="1"/>
    <n v="-33.008623532156697"/>
    <n v="137.576402568156"/>
  </r>
  <r>
    <s v="Whyalla"/>
    <m/>
    <s v="AUS"/>
    <n v="2400000"/>
    <n v="2400000"/>
    <s v="Announced"/>
    <x v="2"/>
    <n v="-33.009307307531301"/>
    <n v="137.57666006022799"/>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s v="AUS"/>
    <x v="0"/>
    <s v="Victoria"/>
    <s v="Greater Geelong"/>
    <n v="-38.078000000000003"/>
    <n v="144.38181"/>
    <n v="130000"/>
    <s v="Viva Energy"/>
    <s v="https://plattslive.com/news-and-insight/refined-products/110722-global-refineries#_ga=2.105279171.1360171110.1685566388-655850396.1684941475"/>
  </r>
  <r>
    <s v="AUS"/>
    <x v="1"/>
    <s v="Queensland"/>
    <s v="Brisbane"/>
    <n v="-27.413070000000001"/>
    <n v="153.15816000000001"/>
    <n v="104000"/>
    <s v="Caltex"/>
    <s v="https://www.fractracker.org/2017/12/global-oil-refineries-emissions/"/>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
  <r>
    <s v="P0493"/>
    <s v="Gas"/>
    <s v="Australia"/>
    <s v="Australia"/>
    <s v="Australia"/>
    <m/>
    <s v="https://www.gem.wiki/Eastern_Goldfields_Pipeline_System"/>
    <x v="0"/>
    <s v="Yamarna Gas Pipeline"/>
    <m/>
    <s v="APA Group [100.00%]"/>
    <s v="APA Group [100.00%]"/>
    <x v="0"/>
    <m/>
    <m/>
    <m/>
    <m/>
    <n v="8"/>
    <s v="TJ/d"/>
    <n v="0.08"/>
    <x v="0"/>
    <n v="198"/>
    <n v="195.98"/>
    <n v="198"/>
    <m/>
    <m/>
    <m/>
    <m/>
    <s v="Australia and New Zealand"/>
    <m/>
    <m/>
    <m/>
    <m/>
    <m/>
    <s v="Australia and New Zealand"/>
    <m/>
    <m/>
    <m/>
    <m/>
    <m/>
    <s v="LINESTRING (122.311413 -28.801387, 122.321706 -28.778538, 122.338858 -28.722745, 122.343906 -28.719959, 122.355324 -28.720025, 122.365835 -28.684572, 122.403372 -28.664712, 122.403328 -28.644129, 122.432372 -28.647664, 122.432462 -28.623386, 122.457687 -28.616803, 122.486306 -28.61616, 122.494764 -28.613664, 122.499037 -28.61122, 122.50169 -28.610579, 122.50393 -28.610544, 122.516771 -28.605869, 122.543278 -28.589512, 122.548412 -28.588202, 122.552823 -28.58455, 122.589989 -28.560091, 122.591994 -28.559404, 122.625252 -28.559148, 122.64867 -28.560684, 122.682507 -28.553531, 122.685897 -28.549556, 122.691429 -28.544375, 122.700627 -28.539384, 122.703215 -28.538411, 122.749619 -28.51544, 122.76852 -28.503766, 122.779341 -28.500974, 122.791453 -28.489596, 122.797348 -28.484438, 122.802176 -28.480939, 122.803428 -28.476891, 122.802979 -28.468987, 122.806413 -28.465871, 122.812713 -28.463412, 122.819198 -28.462368, 122.908001 -28.425507, 122.911703 -28.422759, 122.916532 -28.421045, 122.918677 -28.420028, 122.927904 -28.411158, 122.943747 -28.404171, 122.945677 -28.403287, 122.954844 -28.399071, 122.960584 -28.398521, 122.983673 -28.402255, 123.012773 -28.405218, 123.067691 -28.412197, 123.085603 -28.414445, 123.0955 -28.415134, 123.135645 -28.415748, 123.147593 -28.414265, 123.158701 -28.417542, 123.166747 -28.416813, 123.172389 -28.417259, 123.185503 -28.419015, 123.19449 -28.422727, 123.205701 -28.427289, 123.222416 -28.428174, 123.232838 -28.425181, 123.242934 -28.421891, 123.257721 -28.412662, 123.264058 -28.409853, 123.394108 -28.342057, 123.413803 -28.317714, 123.447226 -28.292013, 123.449958 -28.290752, 123.465807 -28.278298, 123.506005 -28.25733, 123.512344 -28.257313, 123.573807 -28.228324, 123.579321 -28.226917, 123.64961 -28.190685, 123.707239 -28.148724, 123.728032 -28.141494, 123.748776 -28.134151, 123.759853 -28.12867, 123.77844 -28.121843, 123.792143 -28.10806, 123.80191 -28.098479, 123.820917 -28.077526, 123.840068 -28.053546, 123.842621 -28.052045, 123.842133 -28.048892, 123.84558 -28.012677, 123.844036 -28.009336, 123.848909 -28.007029, 123.863167 -28.003347, 123.8631 -27.994867, 123.863035 -27.991256)"/>
  </r>
  <r>
    <s v="P1362"/>
    <s v="Gas"/>
    <s v="Australia"/>
    <s v="Australia"/>
    <s v="Australia"/>
    <m/>
    <s v="https://www.gem.wiki/Galilee_to_Moranbah_Gas_Pipeline"/>
    <x v="1"/>
    <m/>
    <m/>
    <s v="APA Group [unknown %]"/>
    <s v="APA Group [unknown %]"/>
    <x v="1"/>
    <m/>
    <m/>
    <m/>
    <m/>
    <n v="200"/>
    <s v="TJ/d"/>
    <n v="2.0499999999999998"/>
    <x v="1"/>
    <n v="240"/>
    <n v="238.64"/>
    <n v="240"/>
    <m/>
    <m/>
    <s v="Galilee Basin"/>
    <m/>
    <s v="Australia and New Zealand"/>
    <m/>
    <s v="Queensland"/>
    <s v="Moranbah"/>
    <m/>
    <s v="Queensland"/>
    <s v="Australia and New Zealand"/>
    <m/>
    <m/>
    <m/>
    <m/>
    <m/>
    <s v="LINESTRING (148.003325 -21.979008, 148.012707 -21.987539, 148.013768 -21.990367, 148.014121 -21.993549, 148.013061 -22.001682, 148.008818 -22.016885, 148.008111 -22.022189, 148.007757 -22.028907, 148.003161 -22.053657, 148.002453 -22.058607, 147.999978 -22.064264, 147.995736 -22.070629, 147.982653 -22.087247, 147.978764 -22.09149, 147.974167 -22.094672, 147.949771 -22.116594, 147.946235 -22.119422, 147.928203 -22.137455, 147.917595 -22.148415, 147.902038 -22.172105, 147.883299 -22.196502, 147.874813 -22.20817, 147.857841 -22.233627, 147.846173 -22.250245, 147.834859 -22.263327, 147.815766 -22.281006, 147.804451 -22.288785, 147.799501 -22.293028, 147.791015 -22.298331, 147.78359 -22.30611, 147.778287 -22.310353, 147.774397 -22.312828, 147.770862 -22.314242, 147.762376 -22.314596, 147.752476 -22.314596, 147.738686 -22.314242, 147.723482 -22.313535, 147.706157 -22.312828, 147.698732 -22.313182, 147.690954 -22.313535, 147.673628 -22.31601, 147.665143 -22.318485, 147.659132 -22.320253, 147.636857 -22.326617, 147.630139 -22.328739, 147.626249 -22.3298, 147.620238 -22.330507, 147.604681 -22.332628, 147.596549 -22.334042, 147.589831 -22.33475, 147.58382 -22.33475, 147.566141 -22.331921, 147.557656 -22.33086, 147.550231 -22.3298, 147.520177 -22.324496, 147.508509 -22.323789, 147.488001 -22.32096, 147.477748 -22.319192, 147.468555 -22.318132, 147.451937 -22.313889, 147.443804 -22.313535, 147.430722 -22.312828, 147.401022 -22.313535, 147.391122 -22.313535, 147.368493 -22.313535, 147.355411 -22.313889, 147.331721 -22.313889, 147.308031 -22.313535, 147.269492 -22.313182, 147.253581 -22.313182, 147.240852 -22.313535, 147.219991 -22.313535, 147.205141 -22.313535, 147.183573 -22.313182, 147.166248 -22.313535, 147.136547 -22.313535, 147.114979 -22.314242, 147.0973 -22.314596, 147.080682 -22.314596, 147.063357 -22.313889, 147.025171 -22.313889, 147.009967 -22.312474, 146.99441 -22.309646, 146.981681 -22.306817, 146.966831 -22.303281, 146.955163 -22.299392, 146.942081 -22.295856, 146.918745 -22.291613, 146.908138 -22.29126, 146.891873 -22.289492, 146.875255 -22.287724, 146.860759 -22.28631, 146.837423 -22.282067, 146.825047 -22.280653, 146.798883 -22.280299, 146.782972 -22.278885, 146.760343 -22.27747, 146.713318 -22.275703, 146.682557 -22.272167, 146.651088 -22.269692, 146.627399 -22.268985, 146.587091 -22.263681, 146.558805 -22.262267, 146.531933 -22.261913, 146.50188 -22.258024, 146.472179 -22.256609, 146.447782 -22.253074, 146.423032 -22.250952, 146.419143 -22.249892, 146.415254 -22.247063, 146.408889 -22.240345, 146.388735 -22.220545, 146.374239 -22.201452, 146.366814 -22.192966, 146.351256 -22.173166, 146.343124 -22.160083, 146.325799 -22.138162, 146.320495 -22.133212, 146.315545 -22.129676, 146.304584 -22.123665, 146.289381 -22.11624, 146.283016 -22.113765, 146.276298 -22.11129, 146.262863 -22.106693, 146.237405 -22.099622, 146.223616 -22.093611, 146.211241 -22.088661, 146.194623 -22.0777, 146.177297 -22.065679, 146.153961 -22.049768, 146.131686 -22.03315, 146.104814 -22.016178, 146.091732 -22.005217, 146.078296 -21.987892, 146.071225 -21.978699, 146.067335 -21.971628, 146.061325 -21.96597, 146.05496 -21.963495, 146.048242 -21.962081, 146.044353 -21.962081)"/>
  </r>
  <r>
    <s v="P1363"/>
    <s v="Gas"/>
    <s v="Australia"/>
    <s v="Australia"/>
    <s v="Australia"/>
    <m/>
    <s v="https://www.gem.wiki/Scarborough_Gas_Pipeline"/>
    <x v="2"/>
    <m/>
    <m/>
    <s v="Woodside Energy [unknown %]"/>
    <s v="Woodside Energy [unknown %]"/>
    <x v="1"/>
    <n v="2023"/>
    <m/>
    <m/>
    <m/>
    <m/>
    <m/>
    <s v="--"/>
    <x v="2"/>
    <n v="430"/>
    <n v="316.72000000000003"/>
    <n v="430"/>
    <m/>
    <m/>
    <s v="Scarborough field"/>
    <s v="Indian Ocean"/>
    <s v="Australia and New Zealand"/>
    <m/>
    <s v="Western Australia"/>
    <s v="Burrup Peninsula"/>
    <m/>
    <s v="Western Australia"/>
    <s v="Australia and New Zealand"/>
    <m/>
    <m/>
    <m/>
    <m/>
    <m/>
    <s v="LINESTRING (113.744695 -20.222496, 116.751017 -20.612471)"/>
  </r>
  <r>
    <s v="P1364"/>
    <s v="Gas"/>
    <s v="Australia"/>
    <s v="Australia"/>
    <s v="Australia"/>
    <m/>
    <s v="https://www.gem.wiki/Thylacine_Geographe_Gas_Pipeline"/>
    <x v="3"/>
    <m/>
    <m/>
    <s v="Beach Energy Limited [unknown %]"/>
    <s v="Beach Energy Limited [unknown %]"/>
    <x v="0"/>
    <n v="2007"/>
    <m/>
    <m/>
    <m/>
    <n v="107.78"/>
    <s v="MMcf/d"/>
    <n v="1.1100000000000001"/>
    <x v="3"/>
    <n v="70"/>
    <n v="52.7"/>
    <n v="70"/>
    <m/>
    <m/>
    <s v="Otway Basin"/>
    <s v="Otway Basin (Bass Strait)"/>
    <s v="Australia and New Zealand"/>
    <m/>
    <s v="Victoria"/>
    <s v="Port Campbell"/>
    <m/>
    <s v="Victoria"/>
    <s v="Australia and New Zealand"/>
    <m/>
    <m/>
    <m/>
    <m/>
    <m/>
    <s v="LINESTRING (142.927083 -39.086793, 142.961415 -39.011071, 142.947682 -38.963036, 142.998881 -38.620169)"/>
  </r>
  <r>
    <s v="P1173"/>
    <s v="Gas"/>
    <s v="Australia"/>
    <s v="Australia"/>
    <s v="Australia"/>
    <m/>
    <s v="https://www.gem.wiki/North_Queensland_Gas_Pipeline"/>
    <x v="4"/>
    <m/>
    <s v="NQGP; Moranbah to Townsville Gas Pipeline"/>
    <s v="Palisade Investment Partners Limited [100.00%]"/>
    <s v="Palisade Investment Partners Limited [100.00%]"/>
    <x v="0"/>
    <n v="2004"/>
    <m/>
    <m/>
    <m/>
    <n v="108"/>
    <s v="TJ/d"/>
    <n v="1.1000000000000001"/>
    <x v="4"/>
    <n v="391"/>
    <n v="392.32"/>
    <n v="391"/>
    <m/>
    <m/>
    <s v="Bowen Basin"/>
    <s v="Moranbah"/>
    <s v="Australia and New Zealand"/>
    <m/>
    <s v="Queensland"/>
    <s v="Townsville"/>
    <m/>
    <s v="Queensland"/>
    <s v="Australia and New Zealand"/>
    <m/>
    <m/>
    <m/>
    <m/>
    <m/>
    <s v="MULTILINESTRING ((148.003325 -21.979008, 148.002264 -21.978334, 148.001984 -21.975643, 147.966727 -21.953639, 147.952523 -21.934355, 147.949245 -21.929286, 147.935106 -21.881543, 147.932226 -21.870449, 147.931744 -21.869905, 147.923269 -21.842936, 147.919731 -21.837714, 147.911766 -21.819079, 147.896698 -21.788397, 147.892406 -21.77637, 147.892229 -21.750709, 147.885211 -21.696344, 147.86273 -21.628293, 147.862859 -21.626956, 147.859324 -21.612599, 147.85889 -21.601795, 147.859614 -21.596048, 147.858429 -21.578283, 147.855478 -21.514826, 147.84841 -21.450351, 147.842839 -21.423215, 147.841842 -21.419577, 147.839809 -21.403454, 147.836611 -21.385961, 147.831892 -21.381466, 147.831258 -21.377477, 147.833613 -21.349487, 147.833476 -21.343279, 147.832131 -21.322178, 147.832428 -21.320948, 147.829152 -21.291486, 147.828826 -21.291058, 147.829068 -21.290054, 147.816662 -21.250818, 147.815602 -21.236138, 147.815551 -21.231806, 147.814356 -21.229889, 147.811586 -21.22451, 147.79671 -21.199661, 147.793283 -21.180075, 147.792464 -21.177482, 147.791428 -21.176091, 147.790356 -21.171814, 147.787509 -21.156397, 147.783358 -21.135878, 147.786334 -21.094538, 147.801852 -21.068784, 147.80256 -21.066765, 147.803016 -21.065918, 147.805395 -21.06436, 147.80908 -21.061559, 147.811225 -21.060961, 147.813621 -21.059526, 147.81716 -21.056068, 147.81761 -21.054806, 147.820525 -21.050457, 147.822179 -21.046563, 147.821875 -21.045704, 147.822301 -21.044188, 147.826641 -21.039069, 147.827974 -21.035986, 147.827137 -21.032924, 147.822445 -21.029518, 147.818154 -21.013792, 147.818077 -21.012746, 147.817121 -21.009295, 147.817848 -21.007453, 147.816018 -20.999185, 147.81374 -20.992592, 147.813856 -20.989236, 147.813616 -20.985685, 147.816248 -20.981833, 147.816508 -20.979928, 147.81384 -20.973753, 147.81337 -20.971785, 147.810563 -20.964222, 147.809978 -20.9639, 147.807329 -20.956758, 147.805952 -20.950019, 147.806178 -20.949642, 147.806597 -20.947398, 147.802825 -20.934677, 147.800025 -20.930886, 147.794432 -20.921834, 147.7924 -20.909157, 147.79131 -20.906589, 147.788109 -20.881812, 147.769125 -20.85043, 147.76688 -20.849297, 147.762838 -20.845191, 147.761624 -20.844291, 147.759465 -20.840203, 147.758991 -20.838846, 147.75736 -20.836284, 147.74885 -20.809997, 147.740114 -20.800627, 147.737479 -20.794281, 147.736069 -20.791871, 147.733693 -20.755555, 147.7324 -20.753042, 147.713297 -20.732564, 147.712461 -20.729074, 147.706539 -20.721758, 147.698606 -20.700614, 147.696822 -20.689045, 147.693963 -20.678697, 147.680449 -20.650308, 147.679618 -20.645741, 147.679233 -20.644703, 147.679133 -20.638412, 147.678273 -20.634033, 147.657754 -20.607805, 147.648303 -20.596421, 147.622407 -20.555755, 147.620858 -20.545037, 147.620505 -20.544634, 147.617143 -20.543696, 147.601651 -20.528312, 147.592892 -20.519372, 147.583888 -20.504341, 147.582232 -20.502525, 147.574482 -20.488303, 147.56931 -20.484916, 147.567488 -20.483263, 147.561932 -20.46801, 147.561874 -20.467681, 147.562269 -20.466792, 147.561981 -20.465495, 147.562226 -20.464812, 147.561175 -20.463162, 147.551606 -20.459601, 147.547423 -20.457729, 147.533685 -20.448366, 147.507798 -20.418378, 147.50054 -20.411797, 147.500372 -20.411382, 147.497534 -20.408767, 147.495606 -20.404014, 147.494448 -20.402789, 147.479286 -20.378821, 147.477238 -20.376328, 147.473665 -20.368296, 147.471572 -20.364438, 147.469427 -20.362146, 147.46487 -20.356179, 147.458711 -20.345871, 147.45522 -20.338464, 147.446026 -20.324252, 147.443807 -20.32231, 147.44008 -20.318214, 147.439518 -20.318281, 147.438604 -20.317631, 147.437663 -20.316161, 147.434933 -20.313081, 147.434023 -20.312366, 147.414952 -20.302534, 147.414851 -20.302301, 147.414956 -20.301952, 147.417292 -20.298673, 147.417386 -20.298129, 147.410137 -20.29116, 147.40096 -20.282892, 147.397488 -20.279277, 147.394897 -20.2755, 147.383904 -20.260453, 147.378081 -20.255839, 147.366398 -20.248075, 147.35724 -20.243142, 147.346421 -20.229605, 147.341965 -20.226037, 147.335947 -20.221825, 147.334172 -20.221178, 147.33257 -20.220954, 147.328372 -20.213993, 147.327707 -20.213602, 147.311114 -20.18764, 147.307993 -20.184095, 147.302367 -20.178658, 147.295485 -20.179437, 147.286934 -20.174626, 147.281021 -20.174286, 147.278108 -20.170092, 147.277962 -20.167656, 147.278764 -20.164561, 147.27893 -20.16235, 147.278659 -20.16069, 147.278213 -20.159199, 147.275794 -20.155677, 147.274546 -20.154496, 147.269574 -20.151883, 147.269178 -20.150976, 147.268365 -20.149982, 147.268503 -20.148683, 147.264988 -20.143266, 147.260182 -20.135048, 147.253849 -20.109387, 147.252386 -20.106223, 147.250439 -20.100165, 147.247075 -20.095886, 147.245378 -20.092531, 147.244873 -20.091166, 147.223954 -20.068978, 147.220597 -20.066797, 147.201001 -20.062325, 147.197897 -20.059167, 147.18198 -20.045099, 147.180801 -20.045079, 147.178706 -20.043174, 147.168034 -20.033423, 147.149412 -20.013506, 147.14877 -20.013093, 147.144365 -20.008693, 147.140883 -20.004296, 147.130787 -19.992761, 147.120549 -19.982368, 147.120319 -19.981729, 147.12031 -19.980858, 147.118895 -19.979228, 147.11507 -19.969243, 147.115221 -19.968652, 147.112691 -19.963235, 147.096359 -19.950956, 147.096077 -19.950479, 147.087568 -19.94425, 147.078476 -19.938824, 147.064636 -19.927667, 147.064258 -19.927018, 147.061238 -19.924921, 147.056857 -19.919625, 147.050331 -19.903904, 147.048997 -19.901019, 147.047777 -19.900079, 147.047209 -19.899968, 147.038994 -19.884691, 147.03789 -19.883594, 147.032546 -19.875301, 147.030661 -19.871135, 147.022803 -19.847209, 147.022064 -19.846529, 147.011303 -19.830486, 147.006759 -19.824067, 147.006689 -19.82347, 146.995385 -19.806456, 146.99122 -19.80323, 146.978516 -19.783841, 146.977551 -19.782108, 146.976963 -19.781677, 146.965862 -19.765058, 146.9583 -19.757172, 146.938379 -19.729605, 146.926033 -19.712033, 146.918807 -19.706947, 146.918742 -19.706549, 146.914583 -19.70301, 146.905848 -19.696272, 146.896438 -19.689416, 146.886562 -19.682599, 146.886171 -19.681319, 146.879505 -19.677113, 146.879722 -19.676443, 146.875841 -19.67162, 146.872845 -19.668689, 146.872293 -19.668505, 146.871903 -19.668156, 146.861775 -19.658189, 146.860465 -19.656888, 146.860404 -19.656382, 146.857313 -19.654596, 146.856429 -19.654845, 146.835833 -19.653058, 146.834157 -19.652202, 146.83406 -19.649832, 146.835404 -19.637904, 146.835695 -19.603093, 146.835597 -19.598639, 146.835799 -19.593117, 146.835654 -19.591504, 146.835708 -19.575264, 146.835532 -19.574133, 146.835524 -19.571546, 146.835531 -19.570595, 146.835724 -19.569773, 146.83575 -19.565673, 146.835742 -19.551438, 146.835597 -19.550827, 146.835584 -19.548013, 146.835735 -19.547596, 146.835713 -19.533539, 146.837511 -19.529056, 146.836836 -19.52838, 146.836746 -19.525106, 146.828211 -19.520517, 146.827572 -19.521065, 146.799996 -19.505343, 146.793863 -19.50289, 146.768399 -19.494178, 146.767986 -19.493541, 146.75185 -19.487044, 146.751152 -19.487071, 146.748813 -19.486036, 146.724178 -19.476819, 146.715656 -19.467955, 146.709487 -19.465748, 146.705499 -19.459085, 146.703886 -19.456806, 146.698179 -19.447531, 146.698668 -19.442063, 146.697144 -19.440165, 146.695528 -19.439022, 146.688863 -19.433499, 146.68884 -19.431663, 146.68577 -19.416305, 146.683797 -19.405058, 146.680234 -19.395865, 146.679991 -19.394445, 146.679344 -19.393132, 146.67876 -19.391198, 146.679457 -19.384906, 146.679632 -19.384795, 146.682745 -19.385067, 146.683937 -19.374244, 146.681435 -19.373521, 146.675509 -19.368983, 146.649724 -19.351007, 146.642581 -19.346205, 146.640207 -19.343863, 146.636768 -19.332415, 146.634617 -19.330389, 146.630715 -19.321371, 146.63072 -19.319911, 146.631307 -19.313778, 146.631206 -19.313263, 146.631975 -19.304859, 146.63176 -19.304252, 146.632995 -19.291343, 146.631129 -19.289096, 146.62229 -19.27732, 146.619897 -19.276553, 146.613434 -19.275068, 146.612214 -19.274119, 146.617998 -19.260414, 146.618444 -19.258821, 146.617669 -19.242178, 146.619195 -19.22856, 146.619534 -19.228354, 146.619891 -19.227267, 146.62135 -19.224708, 146.618668 -19.222992, 146.620865 -19.216939, 146.620753 -19.216774, 146.614021 -19.214556, 146.613469 -19.21407, 146.613542 -19.213653, 146.618679 -19.203131, 146.618812 -19.202811, 146.618708 -19.202732), (146.837511 -19.529056, 146.837699 -19.528529, 146.838597 -19.526547, 146.840395 -19.517297, 146.842539 -19.49501, 146.846328 -19.473516, 146.847809 -19.464002, 146.854914 -19.436455, 146.856192 -19.435732, 146.856143 -19.435104, 146.857173 -19.433014, 146.858453 -19.431619, 146.858558 -19.431287, 146.858486 -19.430881, 146.859296 -19.423966, 146.859594 -19.423154, 146.860374 -19.41639, 146.861058 -19.41428, 146.862428 -19.401401, 146.86309 -19.400821, 146.863844 -19.394754, 146.864937 -19.39202, 146.865056 -19.391239, 146.864865 -19.373121, 146.864161 -19.372027, 146.861983 -19.370011, 146.861038 -19.3683, 146.861391 -19.367266, 146.862464 -19.366073, 146.863222 -19.363638, 146.863281 -19.362419, 146.862918 -19.361197, 146.863101 -19.359087, 146.86128 -19.356169, 146.862318 -19.352202, 146.8621 -19.350401, 146.862368 -19.348643, 146.862203 -19.347864, 146.862249 -19.347066, 146.855078 -19.339309, 146.852937 -19.339092))"/>
  </r>
  <r>
    <s v="P1174"/>
    <s v="Gas"/>
    <s v="Australia"/>
    <s v="Australia"/>
    <s v="Australia"/>
    <m/>
    <s v="https://www.gem.wiki/Northern_Gas_Pipeline"/>
    <x v="5"/>
    <s v="Mainline"/>
    <s v="North East Gas Interconnector"/>
    <s v="Jemena [200.00%]"/>
    <s v="State Grid Corporation of China [60.00%]; SP Group [40.00%]"/>
    <x v="0"/>
    <n v="2019"/>
    <m/>
    <m/>
    <m/>
    <n v="871.99"/>
    <s v="MMcf/d"/>
    <n v="9.02"/>
    <x v="5"/>
    <n v="622"/>
    <n v="613.72"/>
    <n v="622"/>
    <m/>
    <m/>
    <m/>
    <s v="Tennant Creek"/>
    <s v="Australia and New Zealand"/>
    <m/>
    <s v="Northern Territory"/>
    <s v="Mount Isa"/>
    <m/>
    <s v="Queensland"/>
    <s v="Australia and New Zealand"/>
    <m/>
    <m/>
    <m/>
    <m/>
    <m/>
    <s v="LINESTRING (133.960504 -19.665309, 134.173101 -19.647581, 135.524848 -19.534859, 137.315844 -20.397532, 137.99682 -20.611785, 138.065553 -20.630959, 138.126213 -20.649457, 138.133386 -20.65237, 138.195722 -20.668016, 138.30008 -20.68279, 138.473804 -20.715892, 138.609701 -20.740771, 138.695986 -20.750399, 138.704181 -20.753327, 138.88442 -20.746637, 138.996946 -20.749098, 139.120574 -20.760721, 139.173218 -20.775522, 139.177761 -20.781631, 139.187676 -20.796749, 139.189582 -20.797486, 139.192752 -20.799988, 139.224085 -20.825142, 139.233025 -20.824975, 139.235163 -20.825327, 139.236869 -20.824792, 139.263519 -20.824284, 139.281515 -20.825867, 139.286608 -20.82521, 139.303194 -20.830137, 139.311457 -20.830854, 139.333781 -20.835483, 139.336615 -20.835569, 139.34222 -20.831385, 139.362953 -20.81172, 139.377985 -20.811768, 139.380883 -20.813351, 139.395587 -20.813557, 139.397422 -20.812499, 139.397897 -20.812147, 139.398923 -20.811933, 139.400373 -20.812237, 139.402167 -20.812436, 139.415385 -20.810914, 139.417897 -20.809926, 139.419675 -20.810043, 139.42219 -20.810835, 139.42666 -20.814647, 139.429267 -20.816014, 139.430182 -20.816145, 139.431189 -20.816661, 139.431803 -20.817401, 139.43262 -20.817893, 139.433851 -20.818417, 139.435301 -20.818767, 139.436192 -20.818784, 139.438445 -20.819633, 139.438574 -20.821066, 139.439107 -20.822121, 139.442331 -20.822951, 139.44733 -20.824837, 139.450815 -20.823863, 139.455542 -20.823097, 139.456675 -20.822583, 139.457675 -20.822342, 139.45948 -20.822512, 139.461582 -20.822041, 139.461941 -20.819609, 139.464714 -20.815394, 139.466825 -20.810985, 139.467967 -20.808626, 139.473048 -20.80475, 139.474235 -20.801342, 139.481817 -20.790484, 139.482547 -20.790002, 139.482462 -20.787127)"/>
  </r>
  <r>
    <s v="P1175"/>
    <s v="Gas"/>
    <s v="Australia"/>
    <s v="Australia"/>
    <s v="Australia"/>
    <m/>
    <s v="https://www.gem.wiki/Palm_Valley_to_Alice_Springs_Pipeline"/>
    <x v="6"/>
    <m/>
    <s v="Palm Valley Pipeline"/>
    <s v="Cheung Kong Holdings [100.00%]"/>
    <s v="Cheung Kong Holdings [100.00%]"/>
    <x v="0"/>
    <n v="1983"/>
    <m/>
    <m/>
    <m/>
    <n v="30"/>
    <s v="TJ/d"/>
    <n v="0.31"/>
    <x v="6"/>
    <n v="140"/>
    <n v="197.01"/>
    <n v="140"/>
    <m/>
    <m/>
    <s v="Amadeus Basin"/>
    <s v="Palm Valley"/>
    <s v="Australia and New Zealand"/>
    <m/>
    <s v="Northern Territory"/>
    <s v="Alice Springs"/>
    <m/>
    <s v="Northern Teritory"/>
    <s v="Australia and New Zealand"/>
    <m/>
    <m/>
    <m/>
    <m/>
    <m/>
    <s v="MULTILINESTRING ((132.242532 -23.83271, 132.386058 -23.868541, 132.395075 -23.872901, 132.4936 -23.895444, 132.499699 -23.896845, 132.51557 -23.900493, 132.717242 -23.926731, 132.726 -23.934132, 132.772003 -23.954376, 132.779373 -23.950542, 133.162554 -23.968481, 133.203676 -23.972011, 133.501296 -23.956989, 133.655493 -23.915304, 133.717289 -23.873921, 133.807142 -23.813761, 133.864007 -23.775531), (133.717289 -23.873921, 133.818569 -23.856999, 133.819911 -23.858319, 133.821109 -23.859757, 133.822141 -23.861282, 133.823833 -23.86623), (132.726 -23.934132, 132.695114 -23.94154, 132.681231 -23.957749, 132.654132 -23.965001, 132.647796 -23.999407))"/>
  </r>
  <r>
    <s v="P2031"/>
    <s v="Gas"/>
    <s v="Australia"/>
    <s v="Australia"/>
    <s v="Australia"/>
    <m/>
    <s v="https://www.gem.wiki/Northern_Gas_Pipeline"/>
    <x v="5"/>
    <s v="Extension"/>
    <s v="North East Gas Interconnector"/>
    <s v="Jemena [unknown %]"/>
    <s v="SP Group [unknown %]; State Grid Corporation of China [unknown %]"/>
    <x v="1"/>
    <n v="2028"/>
    <m/>
    <m/>
    <m/>
    <n v="500"/>
    <s v="TJ/d"/>
    <n v="5.1100000000000003"/>
    <x v="7"/>
    <s v="--"/>
    <n v="662.34"/>
    <n v="662.34"/>
    <m/>
    <m/>
    <m/>
    <s v="Mount Isa"/>
    <s v="Australia and New Zealand"/>
    <m/>
    <s v="Queensland"/>
    <s v="Longreach"/>
    <m/>
    <s v="Queensland"/>
    <s v="Australia and New Zealand"/>
    <m/>
    <m/>
    <m/>
    <m/>
    <m/>
    <s v="LINESTRING (139.485 -20.788, 139.562 -20.867, 139.611 -21.018, 139.718 -21.232, 139.772 -21.364, 140.104 -21.66, 140.314 -21.805, 140.524 -21.945, 140.71 -22.104, 140.905 -22.203, 141.12 -22.267, 141.34 -22.443, 141.516 -22.542, 141.721 -22.695, 141.921 -22.826, 142.092 -22.934, 142.332 -23.038, 142.596 -23.082, 142.801 -23.163, 143.025 -23.222, 143.431 -23.495, 143.69 -23.607, 143.905 -23.715, 144.139 -23.782, 144.383 -23.777, 144.616 -23.78, 144.74 -23.796)"/>
  </r>
  <r>
    <s v="P2069"/>
    <s v="Gas"/>
    <s v="Australia"/>
    <s v="Australia"/>
    <s v="Australia"/>
    <m/>
    <s v="https://www.gem.wiki/Amadeus_to_Moomba_Gas_Pipeline"/>
    <x v="7"/>
    <m/>
    <s v="AMGP"/>
    <s v="CKI Group [unknown %]"/>
    <s v="CKI Group [unknown %]"/>
    <x v="1"/>
    <n v="2024"/>
    <m/>
    <m/>
    <m/>
    <n v="117.53"/>
    <s v="MMcf/d"/>
    <n v="1.22"/>
    <x v="8"/>
    <n v="950"/>
    <n v="927.54"/>
    <n v="950"/>
    <m/>
    <m/>
    <s v="Amadeus Basin"/>
    <m/>
    <s v="Australia and New Zealand"/>
    <m/>
    <s v="Northern Territory"/>
    <s v="Moomba"/>
    <m/>
    <s v="South Australia"/>
    <s v="Australia and New Zealand"/>
    <m/>
    <m/>
    <m/>
    <m/>
    <m/>
    <s v="LINESTRING (132.242532 -23.83271, 140.205795 -28.11552)"/>
  </r>
  <r>
    <s v="P2070"/>
    <s v="Gas"/>
    <s v="Australia"/>
    <s v="Australia"/>
    <s v="Australia"/>
    <m/>
    <s v="https://www.gem.wiki/Barossa_Export_Pipeline"/>
    <x v="8"/>
    <m/>
    <m/>
    <s v="ConocoPhillips [37.50%]; SK E&amp;S Australia [37.50%]; Santos Limited [25.00%]"/>
    <s v="ConocoPhillips [37.50%]; SK E&amp;S Australia [37.50%]; Santos Limited [25.00%]"/>
    <x v="1"/>
    <n v="2025"/>
    <m/>
    <m/>
    <m/>
    <m/>
    <m/>
    <s v="--"/>
    <x v="2"/>
    <n v="260"/>
    <n v="252.89"/>
    <n v="260"/>
    <m/>
    <m/>
    <s v="Barossa field"/>
    <m/>
    <s v="Australia and New Zealand"/>
    <m/>
    <m/>
    <s v="Darwin"/>
    <m/>
    <s v="Northern Territory"/>
    <s v="Australia and New Zealand"/>
    <s v="FID"/>
    <n v="2021"/>
    <m/>
    <m/>
    <m/>
    <s v="LINESTRING (130.321607 -9.817829, 129.828964 -12.051674)"/>
  </r>
  <r>
    <s v="P2071"/>
    <s v="Gas"/>
    <s v="Australia"/>
    <s v="Australia"/>
    <s v="Australia"/>
    <m/>
    <s v="https://www.gem.wiki/Blue_Energy_Bowen_Gas_Pipeline"/>
    <x v="9"/>
    <m/>
    <s v="Moranbah to Rolleston Gas Pipeline"/>
    <s v="Blue Energy [unknown %]"/>
    <s v="Blue Energy [unknown %]"/>
    <x v="1"/>
    <n v="2023"/>
    <m/>
    <m/>
    <m/>
    <n v="300"/>
    <s v="TJ/d"/>
    <n v="3.07"/>
    <x v="9"/>
    <n v="500"/>
    <n v="314.31"/>
    <n v="500"/>
    <m/>
    <m/>
    <s v="Bowen Basin"/>
    <s v="Moranbah"/>
    <s v="Australia and New Zealand"/>
    <m/>
    <s v="Queensland"/>
    <s v="Gladstone"/>
    <m/>
    <s v="Queensland"/>
    <s v="Australia and New Zealand"/>
    <m/>
    <m/>
    <m/>
    <m/>
    <m/>
    <s v="LINESTRING (148.003325 -21.979008, 148.84317 -24.709099)"/>
  </r>
  <r>
    <s v="P2072"/>
    <s v="Gas"/>
    <s v="Australia"/>
    <s v="Australia"/>
    <s v="Australia"/>
    <m/>
    <s v="https://www.gem.wiki/BSOPP_Gas_Pipeline"/>
    <x v="10"/>
    <m/>
    <m/>
    <s v="Kalium Lakes Ltd. [unknown %]"/>
    <s v="Kalium Lakes Ltd. [unknown %]"/>
    <x v="0"/>
    <n v="2021"/>
    <m/>
    <m/>
    <m/>
    <m/>
    <m/>
    <s v="--"/>
    <x v="2"/>
    <n v="79.3"/>
    <n v="74.430000000000007"/>
    <n v="79.3"/>
    <n v="100"/>
    <s v="mm"/>
    <m/>
    <s v="Kumarina"/>
    <s v="Australia and New Zealand"/>
    <m/>
    <s v="Western Australia"/>
    <s v="Newman"/>
    <m/>
    <s v="Western Australia"/>
    <s v="Australia and New Zealand"/>
    <m/>
    <m/>
    <m/>
    <m/>
    <m/>
    <s v="LINESTRING (119.615202 -24.70743, 120.349091 -24.753993)"/>
  </r>
  <r>
    <s v="P2073"/>
    <s v="Gas"/>
    <s v="Australia"/>
    <s v="Australia"/>
    <s v="Australia"/>
    <m/>
    <s v="https://www.gem.wiki/Eastern_Gas_Pipeline"/>
    <x v="11"/>
    <s v="Sydney to Hunter Valley extension"/>
    <m/>
    <s v="Jemena [unknown %]"/>
    <s v="SP Group [unknown %]; State Grid Corporation of China [unknown %]"/>
    <x v="1"/>
    <n v="2023"/>
    <m/>
    <m/>
    <m/>
    <m/>
    <m/>
    <s v="--"/>
    <x v="2"/>
    <n v="185"/>
    <n v="135.11000000000001"/>
    <n v="185"/>
    <m/>
    <m/>
    <m/>
    <s v="Sydney"/>
    <s v="Australia and New Zealand"/>
    <m/>
    <s v="New South Wales"/>
    <s v="Kurri Kurri"/>
    <m/>
    <s v="New South Wales"/>
    <s v="Australia and New Zealand"/>
    <m/>
    <m/>
    <m/>
    <m/>
    <m/>
    <s v="LINESTRING (150.864407 -33.832022, 151.6831 -32.82622)"/>
  </r>
  <r>
    <s v="P2074"/>
    <s v="Gas"/>
    <s v="Australia"/>
    <s v="Australia"/>
    <s v="Australia"/>
    <m/>
    <s v="https://www.gem.wiki/Equus_Gas_Pipeline"/>
    <x v="12"/>
    <m/>
    <m/>
    <s v="Western Gas [unknown %]"/>
    <s v="Western Gas [unknown %]"/>
    <x v="1"/>
    <n v="2024"/>
    <m/>
    <m/>
    <m/>
    <n v="331.74"/>
    <s v="MMcf/d"/>
    <n v="3.43"/>
    <x v="10"/>
    <n v="210"/>
    <n v="143.6"/>
    <n v="210"/>
    <m/>
    <m/>
    <s v="Carnavoran Basin"/>
    <m/>
    <s v="Australia and New Zealand"/>
    <m/>
    <m/>
    <s v="Onslow"/>
    <m/>
    <s v="Western Australia"/>
    <s v="Australia and New Zealand"/>
    <m/>
    <m/>
    <m/>
    <m/>
    <m/>
    <s v="LINESTRING (114.097159 -20.757012, 115.116667 -21.633333)"/>
  </r>
  <r>
    <s v="P2077"/>
    <s v="Gas"/>
    <s v="Australia"/>
    <s v="Australia"/>
    <s v="Australia"/>
    <m/>
    <s v="https://www.gem.wiki/Port_Kembla_to_EGP_Gas_Pipeline"/>
    <x v="13"/>
    <m/>
    <m/>
    <s v="Jemena [200.00%]"/>
    <s v="State Grid Corporation of China [60.00%]; SP Group [40.00%]"/>
    <x v="1"/>
    <n v="2022"/>
    <m/>
    <m/>
    <m/>
    <n v="459.69"/>
    <s v="MMcf/d"/>
    <n v="4.75"/>
    <x v="11"/>
    <n v="12"/>
    <n v="12.09"/>
    <n v="12"/>
    <m/>
    <m/>
    <s v="Port Kembla FSRU"/>
    <s v="Port Kembla"/>
    <s v="Australia and New Zealand"/>
    <m/>
    <s v="New South Wales"/>
    <s v="Eastern Gas Pipeline"/>
    <m/>
    <s v="New South Wales"/>
    <s v="Australia and New Zealand"/>
    <m/>
    <m/>
    <m/>
    <m/>
    <m/>
    <s v="LINESTRING (150.8893602 -34.4814133, 150.797282 -34.403565)"/>
  </r>
  <r>
    <s v="P1177"/>
    <s v="Gas"/>
    <s v="Australia"/>
    <s v="Australia"/>
    <s v="Australia"/>
    <m/>
    <s v="https://www.gem.wiki/Parmelia_Pipeline"/>
    <x v="14"/>
    <m/>
    <s v="Western Australian Natural Gas (WANG) Pipeline, Dongara to Pinjarra Pipeline"/>
    <s v="APA Group [100.00%]"/>
    <s v="APA Group [100.00%]"/>
    <x v="0"/>
    <n v="1972"/>
    <m/>
    <m/>
    <m/>
    <n v="70"/>
    <s v="TJ/d"/>
    <n v="0.72"/>
    <x v="12"/>
    <n v="445"/>
    <n v="419.01"/>
    <n v="445"/>
    <m/>
    <m/>
    <s v="Perth Basin"/>
    <s v="Dongara"/>
    <s v="Australia and New Zealand"/>
    <m/>
    <s v="Western Australia"/>
    <s v="Pinjarra"/>
    <m/>
    <s v="Western Australia"/>
    <s v="Australia and New Zealand"/>
    <m/>
    <m/>
    <m/>
    <m/>
    <m/>
    <s v="MULTILINESTRING ((115.008833 -29.263, 115.009814 -29.263, 115.010185 -29.263, 115.027129 -29.277, 115.115401 -29.313, 115.132848 -29.388, 115.178258 -29.532, 115.251504 -29.824, 115.354587 -30.038, 115.383447 -30.129, 115.401807 -30.211, 115.404956 -30.22, 115.424316 -30.242, 115.427127 -30.254, 115.432188 -30.266, 115.443294 -30.288, 115.454327 -30.311, 115.471604 -30.345, 115.473108 -30.355, 115.47514 -30.363, 115.472959 -30.716, 115.600161 -30.839, 115.603613 -30.838, 115.682994 -30.903, 115.683067 -30.903, 115.684816 -30.907, 115.685535 -30.909, 115.695399 -30.935, 115.695825 -30.937, 115.729965 -31.027, 115.767944 -31.113, 115.784686 -31.134, 115.789924 -31.138, 115.790678 -31.139, 115.792168 -31.143, 115.794026 -31.15, 115.796921 -31.17, 115.801359 -31.191, 115.803255 -31.192, 115.837229 -31.268, 115.837669 -31.271, 115.838657 -31.272, 115.878674 -31.361, 115.88975 -31.403, 115.905078 -31.489, 115.928742 -31.597, 115.927901 -31.599, 115.930277 -31.607, 115.931226 -31.609, 115.941768 -31.657, 115.941849 -31.669, 115.943884 -31.694, 115.947102 -31.701, 115.948211 -31.716, 115.948139 -31.718, 115.948456 -31.722, 115.948708 -31.723, 115.952543 -31.776, 115.952963 -31.777, 115.95546 -31.78, 115.957269 -31.781, 115.958838 -31.783, 115.968585 -31.796, 115.968787 -31.796, 115.969387 -31.801, 115.969716 -31.802, 115.969718 -31.808, 115.974167 -31.814, 115.974219 -31.827, 115.977241 -31.831, 115.980955 -31.846, 115.981004 -31.846, 115.981017 -31.851, 115.981212 -31.852, 115.981347 -31.855, 115.981316 -31.86, 115.981471 -31.861, 115.981515 -31.868, 115.98234 -31.871, 115.982355 -31.872, 115.982323 -31.872, 115.982313 -31.874, 115.982659 -31.875, 115.983183 -31.875, 115.983823 -31.876, 115.984498 -31.878, 115.984485 -31.881, 115.984391 -31.883, 115.984311 -31.883, 115.984292 -31.884, 115.984283 -31.885, 115.984283 -31.885, 115.984278 -31.885, 115.98422 -31.889, 115.985199 -31.89, 115.985289 -31.89, 115.985834 -31.892, 115.985952 -31.892, 115.985921 -31.892, 115.985867 -31.893, 115.985833 -31.893, 115.986051 -31.893, 115.986208 -31.894, 115.986275 -31.894, 115.986403 -31.894, 115.987026 -31.894, 115.987374 -31.895, 115.98778 -31.895, 115.987976 -31.895, 115.987956 -31.895, 115.988396 -31.898, 115.988365 -31.9, 115.988384 -31.901, 115.988422 -31.901, 115.988149 -31.906, 115.988188 -31.907, 115.988352 -31.907, 115.988636 -31.907, 115.988708 -31.907, 115.988705 -31.907, 115.988758 -31.907, 115.988758 -31.907, 115.988823 -31.908, 115.993466 -31.925, 115.993723 -31.925, 115.994296 -31.927, 115.994293 -31.927, 115.993206 -31.931, 115.993103 -31.931, 115.991789 -31.935, 115.991624 -31.935, 115.989998 -31.94, 115.989817 -31.941, 115.991094 -31.947, 115.991006 -31.948, 115.991243 -31.949, 115.991222 -31.95, 115.991768 -31.952, 115.991396 -31.957, 115.991293 -31.958, 115.986565 -31.977, 115.986552 -31.977, 115.983573 -31.98, 115.982956 -31.981, 115.979232 -31.984, 115.979018 -31.984, 115.978326 -31.986, 115.978688 -31.987, 115.978801 -31.987, 115.978865 -31.988, 115.97889 -31.988, 115.978869 -31.989, 115.97884 -31.989, 115.978775 -31.989, 115.978686 -31.989, 115.978579 -31.989, 115.978505 -31.99, 115.977404 -31.992, 115.977139 -31.992, 115.976836 -31.993, 115.976795 -31.995, 115.977118 -31.998, 115.977242 -31.999, 115.977418 -32.001, 115.97741 -32.002, 115.977321 -32.003, 115.977022 -32.004, 115.976914 -32.004, 115.976681 -32.005, 115.976311 -32.005, 115.975409 -32.006, 115.97367 -32.009, 115.972938 -32.01, 115.972377 -32.011, 115.972125 -32.012, 115.972026 -32.012, 115.971969 -32.013, 115.971948 -32.013, 115.972119 -32.021, 115.972128 -32.022, 115.972096 -32.023, 115.971997 -32.024, 115.971788 -32.025, 115.971509 -32.026, 115.971371 -32.026, 115.97124 -32.026, 115.971184 -32.026, 115.971095 -32.027, 115.970699 -32.027, 115.969848 -32.029, 115.969135 -32.029, 115.968775 -32.029, 115.968096 -32.03, 115.964816 -32.032, 115.963035 -32.034, 115.960662 -32.037, 115.960509 -32.037, 115.959874 -32.037, 115.959731 -32.037, 115.957258 -32.038, 115.956245 -32.039, 115.938502 -32.05, 115.937057 -32.051, 115.935683 -32.052, 115.930678 -32.054, 115.930374 -32.054, 115.929967 -32.055, 115.92894 -32.055, 115.916336 -32.065, 115.915716 -32.066, 115.915391 -32.066, 115.914649 -32.066, 115.913721 -32.066, 115.913438 -32.066, 115.91325 -32.067, 115.913194 -32.067, 115.914262 -32.071, 115.908163 -32.072, 115.907849 -32.072, 115.907318 -32.073, 115.89913 -32.074, 115.897907 -32.075, 115.896513 -32.075, 115.89539 -32.075, 115.893218 -32.075, 115.892249 -32.076, 115.891687 -32.076, 115.890967 -32.076, 115.890384 -32.076, 115.889554 -32.076, 115.888483 -32.077, 115.88173 -32.08, 115.880893 -32.08, 115.879807 -32.081, 115.8732 -32.084, 115.872463 -32.084, 115.87012 -32.085, 115.864331 -32.088, 115.863786 -32.088, 115.863113 -32.088, 115.862788 -32.089, 115.862157 -32.089, 115.855327 -32.092, 115.852827 -32.093, 115.851295 -32.094, 115.846405 -32.096, 115.845674 -32.096, 115.844658 -32.097, 115.836927 -32.101, 115.836365 -32.101, 115.835672 -32.102, 115.834825 -32.102, 115.834427 -32.102, 115.831516 -32.103, 115.830183 -32.103, 115.828562 -32.104, 115.828131 -32.104, 115.827502 -32.105, 115.826179 -32.106, 115.810483 -32.119, 115.810221 -32.119, 115.810227 -32.12, 115.81026 -32.121, 115.810364 -32.121, 115.81038 -32.125, 115.810439 -32.126, 115.810899 -32.128, 115.810924 -32.129, 115.810935 -32.134, 115.811006 -32.135, 115.811071 -32.135, 115.811109 -32.135, 115.8111 -32.136, 115.810962 -32.136, 115.810937 -32.136, 115.810949 -32.14, 115.811068 -32.14, 115.810974 -32.141, 115.810949 -32.142, 115.810959 -32.143, 115.811234 -32.144, 115.811245 -32.144, 115.810973 -32.145, 115.810971 -32.15, 115.810691 -32.15, 115.81042 -32.151, 115.810372 -32.151, 115.810376 -32.157, 115.810397 -32.157, 115.810465 -32.157, 115.810732 -32.158, 115.810874 -32.158, 115.810891 -32.158, 115.810877 -32.173, 115.810825 -32.173, 115.810921 -32.183, 115.809529 -32.185, 115.809455 -32.185, 115.8094 -32.187, 115.805647 -32.189, 115.799958 -32.189, 115.799641 -32.189, 115.798031 -32.19, 115.797803 -32.19, 115.796602 -32.19, 115.796096 -32.19, 115.795663 -32.19, 115.792074 -32.194, 115.791926 -32.194, 115.791773 -32.194, 115.7914 -32.194, 115.791176 -32.194, 115.790762 -32.194, 115.782754 -32.194, 115.782689 -32.194, 115.782275 -32.194, 115.782223 -32.194, 115.781459 -32.194, 115.78106 -32.194, 115.780667 -32.195, 115.780326 -32.195, 115.779973 -32.195, 115.779681 -32.196, 115.779544 -32.196, 115.779449 -32.197, 115.779381 -32.197, 115.779312 -32.198, 115.779257 -32.199, 115.779283 -32.199, 115.779409 -32.199, 115.778376 -32.199, 115.777188 -32.199, 115.776681 -32.2, 115.778099 -32.201, 115.779567 -32.201, 115.779924 -32.201, 115.781396 -32.201, 115.780985 -32.199, 115.780891 -32.199, 115.780878 -32.199, 115.78092 -32.198, 115.780991 -32.198, 115.781058 -32.197, 115.781138 -32.196, 115.781158 -32.196, 115.781519 -32.196, 115.781745 -32.196, 115.782325 -32.196, 115.782365 -32.196, 115.783031 -32.196, 115.783099 -32.196, 115.79071 -32.196, 115.791175 -32.196, 115.791444 -32.196, 115.792134 -32.196, 115.792655 -32.196, 115.793217 -32.195, 115.793378 -32.195, 115.796719 -32.191, 115.797831 -32.191, 115.798416 -32.191, 115.798696 -32.191, 115.800112 -32.19, 115.805124 -32.19, 115.805055 -32.2, 115.804733 -32.201, 115.804696 -32.201, 115.804649 -32.212), (115.792713 -32.225, 115.784526 -32.229, 115.781906 -32.23, 115.781579 -32.23, 115.781335 -32.23, 115.781132 -32.23, 115.781072 -32.23, 115.78126 -32.24, 115.78132 -32.24, 115.781283 -32.241, 115.781195 -32.241, 115.781053 -32.242, 115.781318 -32.249, 115.780052 -32.261, 115.7802 -32.261, 115.778998 -32.264, 115.778952 -32.264, 115.778962 -32.267, 115.779124 -32.268, 115.779524 -32.27, 115.780003 -32.27, 115.78061 -32.271, 115.787221 -32.277, 115.796838 -32.284, 115.797036 -32.285, 115.800452 -32.286, 115.800773 -32.287, 115.800869 -32.287, 115.801197 -32.291, 115.801232 -32.291, 115.801331 -32.291, 115.801444 -32.291, 115.802765 -32.292, 115.803272 -32.293, 115.804088 -32.295, 115.804093 -32.307, 115.804099 -32.307, 115.804168 -32.307, 115.804238 -32.307, 115.806367 -32.31, 115.82817 -32.359, 115.828323 -32.359, 115.828494 -32.359, 115.831765 -32.361, 115.833501 -32.376, 115.833549 -32.376, 115.83371 -32.377, 115.835306 -32.378, 115.835557 -32.379, 115.869689 -32.511, 115.869711 -32.511, 115.869703 -32.511, 115.872035 -32.532, 115.872107 -32.532, 115.872304 -32.533, 115.919426 -32.579, 115.924119 -32.588, 115.924576 -32.597, 115.924771 -32.597, 115.940284 -32.618))"/>
  </r>
  <r>
    <s v="P1178"/>
    <s v="Gas"/>
    <s v="Australia"/>
    <s v="Australia"/>
    <s v="Australia"/>
    <m/>
    <s v="https://www.gem.wiki/Pilbara_Pipeline_System"/>
    <x v="15"/>
    <m/>
    <m/>
    <s v="APA Group [100.00%]"/>
    <s v="APA Group [100.00%]"/>
    <x v="0"/>
    <n v="1995"/>
    <m/>
    <m/>
    <m/>
    <n v="166"/>
    <s v="TJ/d"/>
    <n v="1.7"/>
    <x v="13"/>
    <n v="251.2"/>
    <n v="213.79"/>
    <n v="251.2"/>
    <m/>
    <m/>
    <m/>
    <s v="Karratha"/>
    <s v="Australia and New Zealand"/>
    <m/>
    <s v="Western Australia"/>
    <s v="Port Hedland"/>
    <m/>
    <s v="Western Australia"/>
    <s v="Australia and New Zealand"/>
    <m/>
    <m/>
    <m/>
    <m/>
    <m/>
    <s v="LINESTRING (116.728422 -20.764628, 116.730358 -20.765286, 116.732794 -20.766047, 116.761241 -20.778177, 116.774599 -20.77719, 116.788501 -20.787966, 116.816315 -20.794247, 116.863777 -20.784357, 116.874837 -20.779806, 116.910031 -20.777203, 116.943136 -20.769076, 116.945025 -20.76862, 116.947817 -20.767337, 116.951236 -20.765534, 116.954207 -20.763958, 116.958475 -20.761175, 116.962653 -20.759134, 116.976929 -20.758373, 117.001205 -20.752408, 117.007577 -20.748111, 117.010974 -20.745817, 117.018387 -20.744109, 117.027408 -20.745369, 117.02898 -20.744643, 117.033287 -20.744977, 117.040528 -20.750361, 117.047362 -20.752471, 117.051412 -20.750589, 117.060245 -20.740677, 117.066184 -20.732427, 117.069923 -20.731037, 117.078435 -20.736096, 117.082867 -20.739946, 117.085622 -20.738842, 117.093862 -20.739254, 117.097766 -20.737999, 117.10611 -20.737515, 117.148647 -20.737531, 117.187736 -20.75486, 117.20526 -20.779187, 117.240112 -20.802045, 117.279533 -20.814731, 117.353884 -20.873112, 117.363379 -20.874155, 117.410998 -20.890574, 117.440887 -20.897551, 117.442979 -20.899028, 117.465096 -20.904597, 117.550169 -20.916799, 117.595774 -20.898165, 117.637741 -20.879778, 117.747378 -20.842556, 117.84092 -20.804504, 117.851303 -20.80406, 117.861701 -20.802445, 117.869634 -20.80041, 117.904651 -20.797901, 118.014926 -20.737419, 118.170947 -20.63971, 118.20799 -20.599831, 118.455324 -20.470515, 118.485995 -20.455687, 118.542112 -20.435336, 118.547812 -20.430416, 118.548189 -20.430227, 118.549624 -20.429014, 118.551151 -20.427016)"/>
  </r>
  <r>
    <s v="P1179"/>
    <s v="Gas"/>
    <s v="Australia"/>
    <s v="Australia"/>
    <s v="Australia"/>
    <m/>
    <s v="https://www.gem.wiki/Queensland_Hunter_Gas_Pipeline"/>
    <x v="16"/>
    <m/>
    <s v="QHGP"/>
    <s v="Hunter Gas Pipeline Pty Ltd [100.00%]"/>
    <s v="Hunter Gas Pipeline Pty Ltd [100.00%]"/>
    <x v="1"/>
    <n v="2023"/>
    <m/>
    <m/>
    <m/>
    <n v="426.52"/>
    <s v="MMcf/d"/>
    <n v="4.41"/>
    <x v="14"/>
    <n v="820"/>
    <n v="770.7"/>
    <n v="820"/>
    <m/>
    <m/>
    <s v="Narrabi Gas Project"/>
    <s v="Wallumbilla"/>
    <s v="Australia and New Zealand"/>
    <m/>
    <s v="Queensland"/>
    <s v="Newcastle"/>
    <m/>
    <s v="New South Wales"/>
    <s v="Australia and New Zealand"/>
    <m/>
    <m/>
    <m/>
    <m/>
    <m/>
    <s v="MULTILINESTRING ((149.186142 -26.693663, 149.24233 -26.74534, 149.264841 -26.774416, 149.265779 -26.809119, 149.268593 -26.889782, 149.27891 -26.964817, 149.30142 -27.009838, 149.307048 -27.056735, 149.33331 -27.09519, 149.372703 -27.134583, 149.386773 -27.15428, 149.394276 -27.188046, 149.416912 -27.43204, 149.431076 -27.635048, 149.426354 -27.715307, 149.40747 -27.76724, 149.398028 -27.800288, 149.393307 -27.861662, 149.393307 -27.923037, 149.393307 -27.993853, 149.421633 -28.083555, 149.464123 -28.211025, 149.483008 -28.305448, 149.516056 -28.39987, 149.544383 -28.475408, 149.567624 -28.631634, 149.579103 -28.669899, 149.590583 -28.696684, 149.617368 -28.738775, 149.6365 -28.769386, 149.655632 -28.811477, 149.670938 -28.857394, 149.682417 -28.914791, 149.682417 -28.964534, 149.678591 -29.025757, 149.682417 -29.075501, 149.69007 -29.121418, 149.698349 -29.147488, 149.713029 -29.167335, 149.762772 -29.220905, 149.827822 -29.301261, 149.873739 -29.351004, 149.90435 -29.393095, 149.916811 -29.410826, 149.923483 -29.423707, 149.924732 -29.430953, 149.923129 -29.437678, 149.919656 -29.450492, 149.908177 -29.530847, 149.869912 -29.741301, 149.846248 -29.938805, 149.827822 -30.062721, 149.827822 -30.181341, 149.820269 -30.305444, 149.823995 -30.334398), (149.823995 -30.334398, 149.828655 -30.34977, 149.877565 -30.437712, 149.938788 -30.537199, 149.948157 -30.551782, 149.961068 -30.564694, 150.006327 -30.597515, 150.018374 -30.608224, 150.029752 -30.613578, 150.084193 -30.629034, 150.106718 -30.637672, 150.124788 -30.646372, 150.13011 -30.651992, 150.134827 -30.660427, 150.137763 -30.68643, 150.160722 -30.759132, 150.214292 -30.835661, 150.260209 -30.893058, 150.298473 -30.954281, 150.348217 -31.046115, 150.401787 -31.12647, 150.436225 -31.187693, 150.46301 -31.222131, 150.487631 -31.257509, 150.532342 -31.299116, 150.547965 -31.311401, 150.557689 -31.31918, 150.563523 -31.328904, 150.565468 -31.336035, 150.566223 -31.350744, 150.575903 -31.399145, 150.585584 -31.44432, 150.609784 -31.484654, 150.646892 -31.518535, 150.682386 -31.570163, 150.716267 -31.634698, 150.7324 -31.696006, 150.771121 -31.728273, 150.822749 -31.768607, 150.867923 -31.789581, 150.877926 -31.800184, 150.885056 -31.811204, 150.889594 -31.821576, 150.892124 -31.834756, 150.887001 -31.863064, 150.877277 -31.891587, 150.840496 -31.967052, 150.827589 -32.004159, 150.826714 -32.023831, 150.830816 -32.041267, 150.859857 -32.088055, 150.887649 -32.134682, 150.907745 -32.162557, 150.930434 -32.18719, 151.034101 -32.280046, 151.127676 -32.346194, 151.142938 -32.353015, 151.156617 -32.363186, 151.167139 -32.377216, 151.174464 -32.392982, 151.178715 -32.406948, 151.184144 -32.415569, 151.19168 -32.422506, 151.230932 -32.455903, 151.285787 -32.486557, 151.356775 -32.543025, 151.384202 -32.572066, 151.401714 -32.583921, 151.42131 -32.591426, 151.490685 -32.604333, 151.504138 -32.609203, 151.535254 -32.630595, 151.576193 -32.660801, 151.611099 -32.692179, 151.621368 -32.701136, 151.629899 -32.709034, 151.653236 -32.735612, 151.662311 -32.751818, 151.668155 -32.764057, 151.678145 -32.787329, 151.681042 -32.799278, 151.682354 -32.810076, 151.68296 -32.820168, 151.6831 -32.82622))"/>
  </r>
  <r>
    <s v="P1180"/>
    <s v="Gas"/>
    <s v="Australia"/>
    <s v="Australia"/>
    <s v="Australia"/>
    <m/>
    <s v="https://www.gem.wiki/Reedy_Creek_Wallumbilla_Pipeline"/>
    <x v="17"/>
    <m/>
    <s v="RCWP"/>
    <s v="APA Group [100.00%]"/>
    <s v="APA Group [100.00%]"/>
    <x v="0"/>
    <n v="2018"/>
    <m/>
    <m/>
    <m/>
    <n v="300"/>
    <s v="TJ/d"/>
    <n v="3.07"/>
    <x v="9"/>
    <n v="50"/>
    <n v="42.26"/>
    <n v="50"/>
    <m/>
    <m/>
    <m/>
    <s v="Wandoan"/>
    <s v="Australia and New Zealand"/>
    <m/>
    <s v="Queensland"/>
    <s v="Wallumbilla"/>
    <m/>
    <s v="Queensland"/>
    <s v="Australia and New Zealand"/>
    <m/>
    <m/>
    <m/>
    <m/>
    <m/>
    <s v="LINESTRING (149.37492 -26.355393, 149.201695 -26.685293, 149.19989 -26.687459, 149.197002 -26.689265, 149.185977 -26.693229)"/>
  </r>
  <r>
    <s v="P1182"/>
    <s v="Gas"/>
    <s v="Australia"/>
    <s v="Australia"/>
    <s v="Australia"/>
    <m/>
    <s v="https://www.gem.wiki/Roma_to_Brisbane_Pipeline"/>
    <x v="18"/>
    <s v="Mainline"/>
    <s v="RBP"/>
    <s v="APA Group [100.00%]"/>
    <s v="APA Group [100.00%]"/>
    <x v="0"/>
    <n v="1969"/>
    <m/>
    <m/>
    <m/>
    <n v="318.47000000000003"/>
    <s v="MMcf/d"/>
    <n v="3.29"/>
    <x v="15"/>
    <n v="438"/>
    <n v="442.63"/>
    <n v="438"/>
    <m/>
    <m/>
    <m/>
    <s v="Roma"/>
    <s v="Australia and New Zealand"/>
    <m/>
    <s v="Queensland"/>
    <s v="Brisbane"/>
    <m/>
    <s v="Queensland"/>
    <s v="Australia and New Zealand"/>
    <m/>
    <m/>
    <m/>
    <m/>
    <m/>
    <s v="LINESTRING (149.185977 -26.693229, 149.326705 -26.718443, 149.371663 -26.730695, 149.382193 -26.733292, 149.404774 -26.738535, 149.424405 -26.744387, 149.433619 -26.745819, 149.456913 -26.752651, 149.570821 -26.783704, 149.578882 -26.785895, 149.62679 -26.794742, 149.647086 -26.839267, 149.65458 -26.845799, 149.66665 -26.859048, 149.68025 -26.87325, 149.682556 -26.875062, 149.770453 -26.893103, 149.786466 -26.892593, 149.827285 -26.897763, 149.830483 -26.900188, 149.838037 -26.900871, 149.960367 -26.912371, 149.971159 -26.91405, 150.007734 -26.916587, 150.018348 -26.919871, 150.033827 -26.919582, 150.064249 -26.922223, 150.082646 -26.922263, 150.112835 -26.930859, 150.120029 -26.932225, 150.197024 -26.943868, 150.224399 -26.94923, 150.258181 -26.953246, 150.301375 -26.966784, 150.402086 -26.98381, 150.429087 -26.989592, 150.478275 -26.994638, 150.495528 -26.996933, 150.496625 -26.997066, 150.546785 -27.007232, 150.554695 -27.009396, 150.56118 -27.01117, 150.565708 -27.012372, 150.569296 -27.012028, 150.573224 -27.014188, 150.584728 -27.017532, 150.608793 -27.024025, 150.638331 -27.030945, 150.661197 -27.036427, 150.677087 -27.040196, 150.702343 -27.049654, 150.716072 -27.054601, 150.72352 -27.056609, 150.731548 -27.056444, 150.741933 -27.05799, 150.748753 -27.059285, 150.751662 -27.059426, 150.753113 -27.060097, 150.755953 -27.060077, 150.772157 -27.062448, 150.785407 -27.064372, 150.789192 -27.064855, 150.793439 -27.065185, 150.805135 -27.06782, 150.812894 -27.069668, 150.819873 -27.069887, 150.822671 -27.068986, 150.834522 -27.071547, 150.841705 -27.070998, 150.849187 -27.071319, 150.856042 -27.072386, 150.86114 -27.072478, 150.865652 -27.074056, 150.887087 -27.076714, 150.898749 -27.076795, 150.907653 -27.080616, 150.93612 -27.085093, 150.957954 -27.092107, 150.971269 -27.093667, 150.986657 -27.09639, 150.989727 -27.095344, 151.003664 -27.097406, 151.012915 -27.098402, 151.063713 -27.111216, 151.075031 -27.115528, 151.079719 -27.118192, 151.087179 -27.120134, 151.089492 -27.120808, 151.100829 -27.122341, 151.136493 -27.141351, 151.145433 -27.14401, 151.20941 -27.197952, 151.210458 -27.198096, 151.241659 -27.202509, 151.247225 -27.203003, 151.30274 -27.210794, 151.304498 -27.211474, 151.308283 -27.214293, 151.420289 -27.298378, 151.422462 -27.299513, 151.430647 -27.300591, 151.465981 -27.305211, 151.495704 -27.30894, 151.575204 -27.358858, 151.582313 -27.37211, 151.584015 -27.37236, 151.601441 -27.374878, 151.602559 -27.375455, 151.617873 -27.385677, 151.633006 -27.394829, 151.681767 -27.415895, 151.67932 -27.430764, 151.707426 -27.450027, 151.721394 -27.46206, 151.736539 -27.468809, 151.75147 -27.476972, 151.789011 -27.489887, 151.791145 -27.490271, 151.806172 -27.498438, 151.825797 -27.503303, 151.859181 -27.507818, 151.860701 -27.507207, 151.863085 -27.507367, 151.9355 -27.517204, 151.936296 -27.517041, 151.946185 -27.513147, 151.954797 -27.51425, 151.956702 -27.51483, 151.958203 -27.515469, 151.961597 -27.516288, 151.984132 -27.52002, 151.986689 -27.521005, 151.993607 -27.521264, 152.000332 -27.522089, 152.001666 -27.522815, 152.012431 -27.5232, 152.022419 -27.524317, 152.024195 -27.524919, 152.026053 -27.524805, 152.066816 -27.53056, 152.069272 -27.531858, 152.080276 -27.530755, 152.089869 -27.531256, 152.10139 -27.533994, 152.119304 -27.537101, 152.121466 -27.536736, 152.123555 -27.537593, 152.171072 -27.544332, 152.223613 -27.533213, 152.262126 -27.538826, 152.276337 -27.536274, 152.280866 -27.535912, 152.284962 -27.535332, 152.294618 -27.536553, 152.381111 -27.51261, 152.392435 -27.508027, 152.422286 -27.512015, 152.425543 -27.513311, 152.444852 -27.515439, 152.458257 -27.514834, 152.463749 -27.514637, 152.516049 -27.52102, 152.5476 -27.52501, 152.549616 -27.525033, 152.554149 -27.526867, 152.560088 -27.528533, 152.565511 -27.528775, 152.568445 -27.531011, 152.5768 -27.533317, 152.613065 -27.535438, 152.615255 -27.535281, 152.643895 -27.546393, 152.646684 -27.547587, 152.701661 -27.566786, 152.718099 -27.572568, 152.722272 -27.573255, 152.727013 -27.573897, 152.733073 -27.575059, 152.740283 -27.575816, 152.743546 -27.576061, 152.747756 -27.576615, 152.758765 -27.576206, 152.766211 -27.577169, 152.768854 -27.576107, 152.771222 -27.574173, 152.778219 -27.575007, 152.792504 -27.571068, 152.811105 -27.573405, 152.815687 -27.577356, 152.815581 -27.57888, 152.817489 -27.580739, 152.827926 -27.581123, 152.83172 -27.581515, 152.834588 -27.580748, 152.839444 -27.58095, 152.853719 -27.592734, 152.853659 -27.594685, 152.854113 -27.595567, 152.85587 -27.5977, 152.855184 -27.599007, 152.855599 -27.600561, 152.856712 -27.602187, 152.858341 -27.604072, 152.860227 -27.607983, 152.867313 -27.620976, 152.874181 -27.622104, 152.875457 -27.623839, 152.875203 -27.625905, 152.875198 -27.626389, 152.879004 -27.629978, 152.878995 -27.631018, 152.880557 -27.633769, 152.900234 -27.636802, 152.901421 -27.636893, 152.904342 -27.637336, 152.904807 -27.637319, 152.908823 -27.633066, 152.910164 -27.632624, 152.911514 -27.632746, 152.913133 -27.63294, 152.915019 -27.632662, 152.916059 -27.63264, 152.920633 -27.633331, 152.930688 -27.634884, 152.974058 -27.626563, 152.97924 -27.624692, 152.982341 -27.623978, 152.991581 -27.623178, 152.994074 -27.62347, 152.994214 -27.623487, 152.994283 -27.623117, 152.99445 -27.622198, 152.994979 -27.621478, 153.00426 -27.615245, 153.00514 -27.614778, 153.005732 -27.614784, 153.008057 -27.614655, 153.011462 -27.613219, 153.012764 -27.609498, 153.012852 -27.609135, 153.013472 -27.609216, 153.021955 -27.610367, 153.023003 -27.610786, 153.024576 -27.611762, 153.025078 -27.610741, 153.026289 -27.607732, 153.026472 -27.607735, 153.028066 -27.607975, 153.028603 -27.60759, 153.029863 -27.606526, 153.032517 -27.6036, 153.040262 -27.600553, 153.041854 -27.600397, 153.043808 -27.600019, 153.04536 -27.599584, 153.046322 -27.599129, 153.053051 -27.597169, 153.053473 -27.597022, 153.053821 -27.595114, 153.059169 -27.595868, 153.059476 -27.594088, 153.062565 -27.592068, 153.064299 -27.590752, 153.066004 -27.589452, 153.070512 -27.584264, 153.071476 -27.583233, 153.079119 -27.578978, 153.081426 -27.57726, 153.084412 -27.574732, 153.08753 -27.575136, 153.088139 -27.572153, 153.089395 -27.570732, 153.094508 -27.566287, 153.099805 -27.554813, 153.100508 -27.554042, 153.103476 -27.552226, 153.106763 -27.534631, 153.106675 -27.533785, 153.107563 -27.529122, 153.106686 -27.528656, 153.107649 -27.523825, 153.107781 -27.523167, 153.1084 -27.523254, 153.108827 -27.51983, 153.109267 -27.518505, 153.10982 -27.515075, 153.109813 -27.513501, 153.11052 -27.508661, 153.112879 -27.499584, 153.113878 -27.49667, 153.114884 -27.493524, 153.115306 -27.492784, 153.116224 -27.48741, 153.116889 -27.485941, 153.118927 -27.474556, 153.118562 -27.47349, 153.117946 -27.472719, 153.117823 -27.468602, 153.117334 -27.466878, 153.11717 -27.465498, 153.117553 -27.463318, 153.117399 -27.459779, 153.117337 -27.45725, 153.117058 -27.456986, 153.115733 -27.456418, 153.11457 -27.454851, 153.112962 -27.453307, 153.112377 -27.452915, 153.111681 -27.451858, 153.111758 -27.45051, 153.111889 -27.448157, 153.111925 -27.447516, 153.11246 -27.446644, 153.112456 -27.446148, 153.112393 -27.445537, 153.113041 -27.444581, 153.114743 -27.443737, 153.11812 -27.444296, 153.122892 -27.44492, 153.126073 -27.445384, 153.12736 -27.445464, 153.128635 -27.445068, 153.131955 -27.442189, 153.135313 -27.439194, 153.13853 -27.436275, 153.140141 -27.43188, 153.149503 -27.419341, 153.150351 -27.419019, 153.151683 -27.41894, 153.152257 -27.418905, 153.1523 -27.419272)"/>
  </r>
  <r>
    <s v="P1183"/>
    <s v="Gas"/>
    <s v="Australia"/>
    <s v="Australia"/>
    <s v="Australia"/>
    <m/>
    <s v="https://www.gem.wiki/SEA_Gas_Pipeline"/>
    <x v="19"/>
    <m/>
    <s v="Port Campbell to Adelaide Pipeline"/>
    <s v="APA Group [unknown %]; Retail Employees Superannuation Trust [unknown %]"/>
    <s v="APA Group [unknown %]; Retail Employees Superannuation Trust [unknown %]"/>
    <x v="0"/>
    <n v="2004"/>
    <m/>
    <m/>
    <m/>
    <n v="314"/>
    <s v="TJ/d"/>
    <n v="3.21"/>
    <x v="16"/>
    <n v="687"/>
    <n v="790.41"/>
    <n v="687"/>
    <m/>
    <m/>
    <s v="Otway Basin"/>
    <s v="Port Campbell"/>
    <s v="Australia and New Zealand"/>
    <m/>
    <s v="Victoria"/>
    <s v="Port Adelaide"/>
    <m/>
    <s v="South Australia"/>
    <s v="Australia and New Zealand"/>
    <m/>
    <m/>
    <m/>
    <m/>
    <m/>
    <s v="MULTILINESTRING ((140.971694 -37.092669, 140.970209 -37.088054, 140.948119 -37.067864, 140.923284 -37.051187, 140.908919 -37.040034, 140.892921 -37.030871, 140.892003 -37.025639, 140.892363 -37.022056, 140.887897 -37.017136, 140.882559 -37.012711, 140.882522 -36.997963, 140.876794 -36.989404, 140.870094 -36.986835, 140.867473 -36.982811, 140.866349 -36.97921, 140.866324 -36.97576, 140.858429 -36.964916, 140.858426 -36.964864, 140.856828 -36.960631, 140.848911 -36.950448, 140.847791 -36.946916, 140.846507 -36.945982, 140.845031 -36.943678, 140.843118 -36.937546, 140.8428 -36.936591, 140.836904 -36.929823, 140.832113 -36.922813, 140.827261 -36.92076, 140.814585 -36.913187, 140.782353 -36.898258, 140.763798 -36.880922, 140.749907 -36.86571, 140.744413 -36.862695, 140.742836 -36.860931, 140.738237 -36.848095, 140.732975 -36.83866, 140.720818 -36.818925, 140.70942 -36.781128, 140.709723 -36.770908, 140.703902 -36.768258, 140.69778 -36.766503, 140.687429 -36.761352, 140.681438 -36.75547, 140.675543 -36.743618, 140.647571 -36.718206, 140.643967 -36.711199, 140.637779 -36.705221, 140.630385 -36.701328, 140.619741 -36.687239, 140.611383 -36.679057, 140.59916 -36.65821, 140.595411 -36.652869, 140.590609 -36.648486, 140.572028 -36.615453, 140.561141 -36.601679, 140.558369 -36.592535, 140.548824 -36.57903, 140.545675 -36.572415, 140.536059 -36.541117, 140.496746 -36.511521, 140.452251 -36.473144, 140.435122 -36.45177, 140.427565 -36.449068, 140.412975 -36.438364, 140.405223 -36.435505, 140.399277 -36.431748, 140.391718 -36.420346, 140.38547 -36.415408, 140.378449 -36.400326, 140.3677 -36.384736, 140.354663 -36.360645, 140.344305 -36.349043, 140.341717 -36.342889, 140.342764 -36.330587, 140.341589 -36.328158, 140.328359 -36.314647, 140.313458 -36.3011, 140.303878 -36.286159, 140.292027 -36.27574, 140.282721 -36.264901, 140.27391 -36.251862, 140.266893 -36.239273, 140.264819 -36.236698, 140.259781 -36.234855, 140.252642 -36.227339, 140.252283 -36.222162, 140.252585 -36.219883, 140.251994 -36.217999, 140.246895 -36.207057, 140.246199 -36.202625, 140.243903 -36.199122, 140.23956 -36.196081, 140.238802 -36.194801, 140.238875 -36.192252, 140.240178 -36.188543, 140.240533 -36.181878, 140.240618 -36.178416, 140.238555 -36.169387, 140.237872 -36.163403, 140.230359 -36.15913, 140.226077 -36.151457, 140.203577 -36.129094, 140.197767 -36.12605, 140.182002 -36.108125, 140.149298 -36.077477, 140.133619 -36.058592, 140.108229 -36.0453, 140.098041 -36.037698, 140.096523 -36.007889, 140.088533 -35.997785, 140.078894 -35.989483, 140.075613 -35.983172, 140.067849 -35.974989, 140.064118 -35.968283, 140.046063 -35.953407, 140.042978 -35.948313, 140.009321 -35.916508, 140.005146 -35.914432, 139.99724 -35.906063, 140.003968 -35.895423, 139.990391 -35.875482, 139.878981 -35.786806, 139.853055 -35.755512, 139.849668 -35.745436, 139.842857 -35.736745, 139.828126 -35.728331, 139.787666 -35.682105, 139.78123 -35.661583, 139.762847 -35.645733, 139.75587 -35.638158, 139.742971 -35.636277, 139.735144 -35.628849, 139.730521 -35.621258, 139.718907 -35.61479, 139.718616 -35.605073, 139.69987 -35.577839, 139.675224 -35.506808, 139.649197 -35.474457, 139.643152 -35.47136, 139.626747 -35.448116, 139.60148 -35.426516, 139.599847 -35.414575, 139.557406 -35.377503, 139.52079 -35.330972, 139.485718 -35.320155, 139.477531 -35.30507, 139.46546 -35.30008, 139.448776 -35.288316, 139.433283 -35.27278, 139.423359 -35.261763, 139.395945 -35.253428, 139.340026 -35.225402, 139.315405 -35.21708, 139.303826 -35.201872, 139.288817 -35.190078, 139.277577 -35.184371, 139.277132 -35.179522, 139.265977 -35.166392, 139.254423 -35.161844, 139.243524 -35.145008, 139.241085 -35.12205, 139.236788 -35.11833, 139.238071 -35.104893, 139.227628 -35.096448, 139.227826 -35.084177, 139.234786 -35.076736, 139.236414 -35.017813, 139.223304 -35.00974, 139.221934 -34.977088, 139.214654 -34.967282, 139.192552 -34.923642, 139.188688 -34.903027, 139.180516 -34.876372, 139.178518 -34.860265, 139.179883 -34.854075, 139.173235 -34.851631, 139.164173 -34.840323, 139.159943 -34.832743, 139.148186 -34.795329, 139.114968 -34.782843, 139.106521 -34.7747, 139.102435 -34.760444, 139.077851 -34.758581, 139.046001 -34.737716, 139.037525 -34.740318, 139.03548 -34.738237, 139.034674 -34.732639, 139.027695 -34.72879, 139.013604 -34.708972, 139.007583 -34.70488, 138.985913 -34.700626, 138.94402 -34.687781, 138.937544 -34.672818, 138.933977 -34.671773, 138.930356 -34.667844, 138.921326 -34.662123, 138.924727 -34.657373, 138.903358 -34.642863, 138.859159 -34.633503, 138.856357 -34.633726, 138.854136 -34.636342, 138.848887 -34.634349, 138.847457 -34.629815, 138.838202 -34.627684, 138.8313 -34.621941, 138.82959 -34.617032, 138.821089 -34.613444, 138.815085 -34.614061, 138.80214 -34.610026, 138.792978 -34.609777, 138.788114 -34.608014, 138.784463 -34.607795, 138.782926 -34.6054, 138.774427 -34.60762, 138.760805 -34.616086, 138.750002 -34.627716, 138.723635 -34.658909, 138.711735 -34.651293, 138.707504 -34.651278, 138.701582 -34.659147, 138.69515 -34.656743, 138.692503 -34.66126, 138.657832 -34.648073, 138.650969 -34.659719, 138.639869 -34.65509, 138.597798 -34.72165, 138.584799 -34.737286, 138.572409 -34.740795, 138.579766 -34.74607, 138.578797 -34.749258, 138.585075 -34.754792, 138.589882 -34.769984, 138.588167 -34.774394, 138.588625 -34.780364, 138.585921 -34.78121, 138.578382 -34.789128, 138.581272 -34.832266, 138.532596 -34.833829, 138.527407 -34.828059, 138.523046 -34.821432, 138.525485 -34.816985, 138.525548 -34.814392, 138.516336 -34.811287, 138.518624 -34.803779), (140.971694 -37.092669, 140.972025 -37.093634, 140.97201 -37.104136, 140.972124 -37.104893, 140.971986 -37.105333, 140.971998 -37.110544, 140.97254 -37.111045, 140.985847 -37.124646, 140.987447 -37.126676, 140.989283 -37.127301, 140.990107 -37.12764, 140.991042 -37.128047, 140.991509 -37.128324, 140.99213 -37.12876, 140.992642 -37.129063, 140.998654 -37.13198, 141.000505 -37.133538, 141.011412 -37.139653, 141.013353 -37.140589, 141.014358 -37.141, 141.015309 -37.141533, 141.016822 -37.142266, 141.022049 -37.147091, 141.024215 -37.155348, 141.028412 -37.161625, 141.029915 -37.163177, 141.030563 -37.163777, 141.031211 -37.164516, 141.033282 -37.166655, 141.034012 -37.167344, 141.034664 -37.168085, 141.035025 -37.168455, 141.038668 -37.1707, 141.042729 -37.174512, 141.045753 -37.17709, 141.046549 -37.178176, 141.05274 -37.180297, 141.054726 -37.180916, 141.063529 -37.184112, 141.067538 -37.187313, 141.070651 -37.190304, 141.077343 -37.195562, 141.079581 -37.198064, 141.085187 -37.203684, 141.086669 -37.204753, 141.089336 -37.206106, 141.095899 -37.211497, 141.099578 -37.216612, 141.100644 -37.217922, 141.103495 -37.221747, 141.104497 -37.222948, 141.105193 -37.223871, 141.106222 -37.22601, 141.107166 -37.227376, 141.113808 -37.244923, 141.114277 -37.247694, 141.114204 -37.250977, 141.119538 -37.257252, 141.120851 -37.258016, 141.121673 -37.259295, 141.122182 -37.259994, 141.122976 -37.260498, 141.123767 -37.261048, 141.124698 -37.262017, 141.126684 -37.263685, 141.127713 -37.264934, 141.128518 -37.265272, 141.129023 -37.265356, 141.129883 -37.264909, 141.129959 -37.264932, 141.138501 -37.271962, 141.138919 -37.27247, 141.144414 -37.2771, 141.147784 -37.280594, 141.149533 -37.284178, 141.1685 -37.306179, 141.169807 -37.306889, 141.175895 -37.309635, 141.176737 -37.310222, 141.178012 -37.310457, 141.1878 -37.314973, 141.208878 -37.34895, 141.209413 -37.35287, 141.210836 -37.353699, 141.211618 -37.354043, 141.212121 -37.354544, 141.212492 -37.35513, 141.212694 -37.355761, 141.21214 -37.359768, 141.21045 -37.363145, 141.209958 -37.363676, 141.209369 -37.364376, 141.208948 -37.365267, 141.208757 -37.366615, 141.20841 -37.368747, 141.208889 -37.36949, 141.208386 -37.3726, 141.208137 -37.373577, 141.208233 -37.373877, 141.208207 -37.374453, 141.208667 -37.374581, 141.210764 -37.375064, 141.213056 -37.376318, 141.214393 -37.376642, 141.213513 -37.382838, 141.213448 -37.383857, 141.21333 -37.384074, 141.21476 -37.385962, 141.214577 -37.38949, 141.215818 -37.391168, 141.237972 -37.404601, 141.241332 -37.404984, 141.241771 -37.405424, 141.241718 -37.406509, 141.24172 -37.407736, 141.241334 -37.408472, 141.240776 -37.409393, 141.250027 -37.425148, 141.251027 -37.429512, 141.256273 -37.435384, 141.257499 -37.437344, 141.26627 -37.444401, 141.268634 -37.445781, 141.283429 -37.450435, 141.288703 -37.453504, 141.290355 -37.455389, 141.293563 -37.456402, 141.300329 -37.460855, 141.30072 -37.461184, 141.301383 -37.461566, 141.302628 -37.462635, 141.302949 -37.462796, 141.307058 -37.466552, 141.308351 -37.467207, 141.313031 -37.47046, 141.319542 -37.471681, 141.322384 -37.473178, 141.322475 -37.474192, 141.32255 -37.475885, 141.325669 -37.479914, 141.328627 -37.488469, 141.331736 -37.492023, 141.331946 -37.492567, 141.332049 -37.49315, 141.331142 -37.49737, 141.331128 -37.497388, 141.332099 -37.498782, 141.332084 -37.498813, 141.331935 -37.500136, 141.332222 -37.502807, 141.330684 -37.509393, 141.33373 -37.513502, 141.336599 -37.516284, 141.337264 -37.521906, 141.339016 -37.530708, 141.347125 -37.543871, 141.354002 -37.552279, 141.359749 -37.556008, 141.360366 -37.55672, 141.361442 -37.559067, 141.36059 -37.56302, 141.360366 -37.563755, 141.36014 -37.564788, 141.357958 -37.573487, 141.357713 -37.575273, 141.358492 -37.580113, 141.360161 -37.584751, 141.360215 -37.585808, 141.359506 -37.588958, 141.359673 -37.590144, 141.362094 -37.597448, 141.363189 -37.598695, 141.364226 -37.599485, 141.366085 -37.601592, 141.370342 -37.603946, 141.378783 -37.607405, 141.383364 -37.607476, 141.404658 -37.609944, 141.405639 -37.610613, 141.406797 -37.611331, 141.407865 -37.611734, 141.416107 -37.615338, 141.418294 -37.616352, 141.425593 -37.617329, 141.428238 -37.616705, 141.433156 -37.618056, 141.435577 -37.619294, 141.43995 -37.620144, 141.442552 -37.621779, 141.446088 -37.626186, 141.449393 -37.631048, 141.450147 -37.631956, 141.450811 -37.63245, 141.451832 -37.632708, 141.453177 -37.634065, 141.453626 -37.635293, 141.457953 -37.639638, 141.458978 -37.640741, 141.460654 -37.642336, 141.468057 -37.647977, 141.46872 -37.648452, 141.472972 -37.651944, 141.47489 -37.653267, 141.476276 -37.654082, 141.493534 -37.666254, 141.496337 -37.666664, 141.497672 -37.667506, 141.497986 -37.668269, 141.498533 -37.669076, 141.501096 -37.670317, 141.503502 -37.671828, 141.504849 -37.675326, 141.512038 -37.682847, 141.518449 -37.688851, 141.533589 -37.69951, 141.534205 -37.700557, 141.534425 -37.701379, 141.53296 -37.710251, 141.532809 -37.711621, 141.53192 -37.713803, 141.530605 -37.719249, 141.531673 -37.720248, 141.532419 -37.721051, 141.533555 -37.721466, 141.534837 -37.721584, 141.540161 -37.721648, 141.541414 -37.721935, 141.54175 -37.722313, 141.541433 -37.72364, 141.540944 -37.724243, 141.541411 -37.725378, 141.542495 -37.725761, 141.54352 -37.726182, 141.546107 -37.72735, 141.546654 -37.727477, 141.548941 -37.727587, 141.549877 -37.7282, 141.549928 -37.729901, 141.564015 -37.739418, 141.584223 -37.746583, 141.586733 -37.748929, 141.587087 -37.749288, 141.588459 -37.750583, 141.58906 -37.752184, 141.590483 -37.754517, 141.591517 -37.756644, 141.593343 -37.759678, 141.59652 -37.762961, 141.601152 -37.769379, 141.604102 -37.769743, 141.609235 -37.778937, 141.61666 -37.789182, 141.623625 -37.791768, 141.626656 -37.792503, 141.627181 -37.792533, 141.628175 -37.792533, 141.631389 -37.793268, 141.631921 -37.793527, 141.633232 -37.793965, 141.638172 -37.794593, 141.639212 -37.794806, 141.642685 -37.795961, 141.642853 -37.796004, 141.643109 -37.796172, 141.642379 -37.796927, 141.642464 -37.796993, 141.644506 -37.797926, 141.646998 -37.798515, 141.647692 -37.798297, 141.67738 -37.807757, 141.679438 -37.808212, 141.679671 -37.808358, 141.698874 -37.813379, 141.699953 -37.8136, 141.709659 -37.816172, 141.711766 -37.816829, 141.712884 -37.817015, 141.720004 -37.818877, 141.720574 -37.819047, 141.721443 -37.819336, 141.722083 -37.81958, 141.722675 -37.819827, 141.723202 -37.820068, 141.723779 -37.820351, 141.724378 -37.82067, 141.724657 -37.820852, 141.72443 -37.821131, 141.728869 -37.823764, 141.729522 -37.823732, 141.735724 -37.827384, 141.735738 -37.827883, 141.736484 -37.827909, 141.736902 -37.82812, 141.737583 -37.828519, 141.738245 -37.828882, 141.739025 -37.829276, 141.739931 -37.82969, 141.740631 -37.829979, 141.741407 -37.830274, 141.7466 -37.832149, 141.747506 -37.832535, 141.755448 -37.836406, 141.75618 -37.836789, 141.757622 -37.83745, 141.758893 -37.837994, 141.76457 -37.840003, 141.766583 -37.840794, 141.767627 -37.841367, 141.768979 -37.842201, 141.789972 -37.863606, 141.790474 -37.86445, 141.791119 -37.868879, 141.794466 -37.870909, 141.794959 -37.871759, 141.796624 -37.874509, 141.808978 -37.882222, 141.813095 -37.888043, 141.813443 -37.888638, 141.817725 -37.893739, 141.818394 -37.894443, 141.818692 -37.894886, 141.818797 -37.894947, 141.819763 -37.895087, 141.828861 -37.904286, 141.829214 -37.904543, 141.829603 -37.905232, 141.830023 -37.905466, 141.830164 -37.905815, 141.830367 -37.906181, 141.831903 -37.908555, 141.84821 -37.916707, 141.850503 -37.917448, 141.863203 -37.923268, 141.868838 -37.924886, 141.879669 -37.926521, 141.884304 -37.930283, 141.885582 -37.931071, 141.887333 -37.93225, 141.888179 -37.932732, 141.894823 -37.936927, 141.895977 -37.938453, 141.899727 -37.941317, 141.902437 -37.943235, 141.908336 -37.943875, 141.908667 -37.948129, 141.910244 -37.949421, 141.934854 -37.981506, 141.938145 -37.984581, 141.94123 -37.985426, 141.948326 -37.989121, 141.949214 -37.989381, 141.975586 -37.991811, 141.9888 -37.995325, 141.989153 -37.995419, 141.994672 -38.003465, 141.995509 -38.004353, 141.998832 -38.007321, 142.001594 -38.008513, 142.005909 -38.013909, 142.013728 -38.021327, 142.019089 -38.022447, 142.01918 -38.022519, 142.019319 -38.022856, 142.01939 -38.025091, 142.021476 -38.027967, 142.024526 -38.033732, 142.026074 -38.034641, 142.029025 -38.035398, 142.030556 -38.035892, 142.030635 -38.039158, 142.030877 -38.041812, 142.03636 -38.049988, 142.038812 -38.052241, 142.039404 -38.05264, 142.039863 -38.052881, 142.041526 -38.054159, 142.043202 -38.055391, 142.044427 -38.056398, 142.047484 -38.058766, 142.048217 -38.060239, 142.066857 -38.068421, 142.06876 -38.069679, 142.071566 -38.070482, 142.076183 -38.072503, 142.076643 -38.072695, 142.080915 -38.074328, 142.087496 -38.077148, 142.107834 -38.077035, 142.108478 -38.077094, 142.1097 -38.077087, 142.12797 -38.080096, 142.131846 -38.081036, 142.154281 -38.085032, 142.159107 -38.086212, 142.16091 -38.086825, 142.165874 -38.08777, 142.170156 -38.088352, 142.17281 -38.090855, 142.186223 -38.093452, 142.187607 -38.095496, 142.189198 -38.096881, 142.226542 -38.132255, 142.229126 -38.134784, 142.229967 -38.135687, 142.254338 -38.158236, 142.266622 -38.162967, 142.31055 -38.178468, 142.316952 -38.181056, 142.327197 -38.186568, 142.332693 -38.188526, 142.337058 -38.190648, 142.351254 -38.195033, 142.361914 -38.201332, 142.371653 -38.206422, 142.380004 -38.211048, 142.384876 -38.2138, 142.39053 -38.216526, 142.405667 -38.226225, 142.408043 -38.227129, 142.410724 -38.228456, 142.412142 -38.229623, 142.430367 -38.241579, 142.435333 -38.243947, 142.435587 -38.244169, 142.436002 -38.244345, 142.442539 -38.248242, 142.447445 -38.253031, 142.450879 -38.254711, 142.453397 -38.25665, 142.458366 -38.258881, 142.459307 -38.25927, 142.462431 -38.26111, 142.465518 -38.26241, 142.467195 -38.26325, 142.468366 -38.264819, 142.469155 -38.266034, 142.470544 -38.267234, 142.475345 -38.270461, 142.488596 -38.275318, 142.492657 -38.279492, 142.494824 -38.280667, 142.495933 -38.28161, 142.950097 -38.575775, 142.950957 -38.576256, 142.957269 -38.577615, 142.966426 -38.578503, 142.96835 -38.578467, 142.971841 -38.578226, 142.97404 -38.578017, 142.97668 -38.577855, 142.978438 -38.577747, 142.981038 -38.577588, 142.982045 -38.577615, 142.982845 -38.57765, 142.985292 -38.577916, 142.993375 -38.578861, 142.993758 -38.578949, 142.994721 -38.579003, 142.995192 -38.578805, 142.995288 -38.578765, 143.000205 -38.574734, 143.001305 -38.57286, 143.003153 -38.571183, 143.003707 -38.569707, 143.005101 -38.568086, 143.005216 -38.567268, 143.004682 -38.566182, 143.004467 -38.565121, 143.004064 -38.564541, 143.004481 -38.563913, 143.004489 -38.5639, 143.004619 -38.563705, 143.014158 -38.563117, 143.014417 -38.563137, 143.022994 -38.567647, 143.024548 -38.568692, 143.027295 -38.570552, 143.02813 -38.571117, 143.02816 -38.571355, 143.028163 -38.57138, 143.028203 -38.571693, 143.028219 -38.571729, 143.02825 -38.571769, 143.028459 -38.571917, 143.02954 -38.57207, 143.031215 -38.573012, 143.033252 -38.574373, 143.034321 -38.574508, 143.03963 -38.574976, 143.040184 -38.574912, 143.042285 -38.572695, 143.042511 -38.571629, 143.042596 -38.57149, 143.042787 -38.570339, 142.495933 -38.28161, 142.496196 -38.281834, 142.499572 -38.282866, 142.505013 -38.287076, 142.507312 -38.288959, 142.508547 -38.289814, 142.511581 -38.292159, 142.521386 -38.29749, 142.525294 -38.29842, 142.530374 -38.302641, 142.535424 -38.308767, 142.540002 -38.312369, 142.55278 -38.323845, 142.555478 -38.32646, 142.558395 -38.328891, 142.565358 -38.335302, 142.56807 -38.337576, 142.569574 -38.338683, 142.570877 -38.33931, 142.57226 -38.340122, 142.574744 -38.34431, 142.579161 -38.349934, 142.58324 -38.352475, 142.587943 -38.356631, 142.589949 -38.35773, 142.595637 -38.362208, 142.595894 -38.362358, 142.596074 -38.362549, 142.600341 -38.365904, 142.600835 -38.367159, 142.602875 -38.367396, 142.605693 -38.367724, 142.605771 -38.367815, 142.605977 -38.368058, 142.608917 -38.370821, 142.620723 -38.379791, 142.631752 -38.387181, 142.633904 -38.398936, 142.633948 -38.399399, 142.633706 -38.399695, 142.633619 -38.400176, 142.633681 -38.400285, 142.644756 -38.406142, 142.645763 -38.406884, 142.646671 -38.407126, 142.661499 -38.41471, 142.665596 -38.416468, 142.666175 -38.416808, 142.666968 -38.417166, 142.669382 -38.418802, 142.675825 -38.42235, 142.683941 -38.42771, 142.68744 -38.429701, 142.705792 -38.441176, 142.72018 -38.448369, 142.746793 -38.45856, 142.747238 -38.45877, 142.750362 -38.460478, 142.751042 -38.460937, 142.751854 -38.461297, 142.75409 -38.462516, 142.755833 -38.462734, 142.759879 -38.465674, 142.765638 -38.468817, 142.770979 -38.472205, 142.784573 -38.480042, 142.805605 -38.489784, 142.806713 -38.490332, 142.807455 -38.49064, 142.808289 -38.491025, 142.815335 -38.494043, 142.821073 -38.496857, 142.83094 -38.500805, 142.844025 -38.50555, 142.84448 -38.505711, 142.844873 -38.505891, 142.851899 -38.508697, 142.852756 -38.508885, 142.856148 -38.509629, 142.857275 -38.509877, 142.860467 -38.5123, 142.861027 -38.513198, 142.865063 -38.517236, 142.871753 -38.523161, 142.872191 -38.523739, 142.872645 -38.523874, 142.873259 -38.524495, 142.875683 -38.526639, 142.883688 -38.533253, 142.884731 -38.53364, 142.885586 -38.534825, 142.891821 -38.539977, 142.892288 -38.540456, 142.893129 -38.541065, 142.899159 -38.546043, 142.910168 -38.556071, 142.924904 -38.564831, 142.925264 -38.565019, 142.92531 -38.56504, 142.925693 -38.565194, 142.930208 -38.566428, 142.932066 -38.567434, 142.93949 -38.57083, 142.94638 -38.573479, 142.950097 -38.575775, 142.948527 -38.577359, 142.948374 -38.578107, 142.948362 -38.578147, 142.948135 -38.578916, 142.948097 -38.579312, 142.947272 -38.583321, 142.947251 -38.583672, 142.946626 -38.586691))"/>
  </r>
  <r>
    <s v="P1185"/>
    <s v="Gas"/>
    <s v="Australia"/>
    <s v="Australia"/>
    <s v="Australia"/>
    <m/>
    <s v="https://www.gem.wiki/South_East_Pipeline_System"/>
    <x v="20"/>
    <m/>
    <s v="SEPS"/>
    <s v="Queensland Investment Corporation [100.00%]"/>
    <s v="Queensland Investment Corporation [100.00%]"/>
    <x v="0"/>
    <n v="1991"/>
    <m/>
    <m/>
    <m/>
    <n v="15"/>
    <s v="TJ/d"/>
    <n v="0.15"/>
    <x v="17"/>
    <n v="82"/>
    <n v="66.77"/>
    <n v="82"/>
    <m/>
    <m/>
    <s v="Otway Basin"/>
    <m/>
    <s v="Australia and New Zealand"/>
    <m/>
    <s v="Victoria"/>
    <s v="Penola, Snuggery, Mount Gambier"/>
    <m/>
    <s v="South Australia"/>
    <s v="Australia and New Zealand"/>
    <m/>
    <m/>
    <m/>
    <m/>
    <m/>
    <s v="MULTILINESTRING ((140.433841 -37.673943, 140.464304 -37.674034, 140.467667 -37.675998, 140.468506 -37.675636, 140.472011 -37.676588, 140.476268 -37.676332, 140.480294 -37.679385, 140.482913 -37.682027, 140.484754 -37.682735, 140.486656 -37.682159, 140.487346 -37.683271, 140.488832 -37.68313, 140.48998 -37.682929, 140.49145 -37.6829, 140.49326 -37.682796, 140.494418 -37.682865, 140.523634 -37.683444, 140.529354 -37.682661, 140.531157 -37.681036, 140.534952 -37.68048, 140.538192 -37.681258, 140.572541 -37.680529, 140.575144 -37.681413, 140.581443 -37.680611, 140.60079 -37.670502, 140.601127 -37.669559, 140.609659 -37.665185, 140.62862 -37.660622, 140.628982 -37.659871, 140.63929 -37.656763, 140.642648 -37.65741), (140.642648 -37.65741, 140.665379 -37.661793, 140.671219 -37.663832, 140.678307 -37.665353, 140.684124 -37.671806, 140.685198 -37.673022, 140.685558 -37.673712, 140.686142 -37.674495, 140.690471 -37.680213, 140.690506 -37.680844, 140.696508 -37.686105, 140.715098 -37.709696, 140.719228 -37.713248, 140.725165 -37.721075, 140.72587 -37.721262, 140.726959 -37.725068, 140.734343 -37.739068, 140.735363 -37.741578, 140.73593 -37.753129, 140.736712 -37.754015, 140.741521 -37.761875, 140.749783 -37.782945, 140.762264 -37.792371, 140.76234 -37.793262), (140.642648 -37.65741, 140.654102 -37.638513, 140.654436 -37.637705, 140.654986 -37.636584, 140.655669 -37.635003, 140.656209 -37.63351, 140.656594 -37.632038, 140.657178 -37.6305, 140.657834 -37.628772, 140.658571 -37.627315, 140.65905 -37.626272, 140.670893 -37.606156, 140.674942 -37.582235, 140.679628 -37.56633, 140.682179 -37.553152, 140.690812 -37.538477, 140.695238 -37.533675, 140.696269 -37.533561, 140.708052 -37.524197, 140.712719 -37.517944, 140.715411 -37.515536, 140.735028 -37.499574, 140.740855 -37.495177, 140.749558 -37.484068, 140.768386 -37.470696, 140.776809 -37.465565, 140.78912 -37.449293))"/>
  </r>
  <r>
    <s v="P1186"/>
    <s v="Gas"/>
    <s v="Australia"/>
    <s v="Australia"/>
    <s v="Australia"/>
    <m/>
    <s v="https://www.gem.wiki/South_East_South_Australia_Pipeline"/>
    <x v="21"/>
    <m/>
    <s v="SESA"/>
    <s v="APA Group [100.00%]"/>
    <s v="APA Group [100.00%]"/>
    <x v="0"/>
    <n v="2005"/>
    <m/>
    <m/>
    <m/>
    <n v="40"/>
    <s v="TJ/d"/>
    <n v="0.41"/>
    <x v="18"/>
    <n v="45"/>
    <n v="49.37"/>
    <n v="45"/>
    <m/>
    <m/>
    <m/>
    <s v="Poolaijello"/>
    <s v="Australia and New Zealand"/>
    <m/>
    <s v="Victoria"/>
    <s v="Katnook"/>
    <m/>
    <s v="South Australia"/>
    <s v="Australia and New Zealand"/>
    <m/>
    <m/>
    <m/>
    <m/>
    <m/>
    <s v="MULTILINESTRING ((141.10836 -37.243141, 141.10816 -37.243122, 141.105984 -37.244207, 141.105638 -37.246871, 141.105273 -37.247271, 141.105522 -37.247769, 141.105438 -37.248414, 141.105103 -37.249587, 141.105414 -37.250311, 141.101921 -37.271213, 141.102093 -37.271485, 141.101113 -37.277373, 141.10105 -37.277534, 141.100993 -37.277876, 141.101003 -37.278038, 141.099761 -37.285498, 141.099544 -37.28563, 141.091039 -37.284776, 141.08993 -37.284667, 141.081596 -37.283839, 141.081337 -37.283819, 141.072236 -37.282932, 141.071815 -37.283175, 141.071607 -37.283615, 141.071523 -37.284525, 141.07134 -37.285304, 141.070341 -37.291683, 141.072225 -37.293584, 141.071938 -37.296033, 141.070848 -37.296939, 141.070431 -37.302003, 141.070082 -37.305137, 141.067684 -37.308989, 141.06642 -37.3171, 141.064537 -37.317415, 141.064218 -37.318324, 141.062901 -37.319019, 141.062689 -37.319095, 141.062398 -37.319248, 141.062304 -37.319258, 141.06111 -37.319122, 141.058335 -37.318885, 141.058248 -37.318904, 141.04474 -37.317693, 141.044183 -37.317801, 141.04107 -37.317492, 141.040686 -37.31708, 141.038639 -37.316677, 141.032076 -37.315965, 141.025819 -37.312354, 141.025216 -37.312418, 141.010466 -37.326972, 141.010359 -37.32704, 141.0103 -37.32709, 141.01025 -37.32717, 141.005716 -37.330997, 141.003863 -37.330996, 141.003873 -37.332592, 141.003035 -37.333057, 141.002489 -37.333372, 140.997469 -37.336163, 140.996913 -37.33641, 140.987178 -37.341824, 140.986832 -37.342097, 140.985997 -37.342481, 140.985086 -37.342988, 140.982702 -37.342509, 140.981446 -37.340856, 140.98074 -37.341193, 140.97417 -37.342653, 140.973845 -37.34264, 140.973116 -37.342862), (140.842437 -37.411567, 140.836352 -37.415006, 140.835416 -37.415336, 140.827734 -37.419063, 140.815077 -37.425593, 140.800484 -37.432634, 140.800281 -37.432644, 140.799295 -37.432281, 140.799104 -37.432339), (140.973116 -37.342862, 140.967884 -37.344271, 140.951587 -37.346812, 140.951338 -37.346185, 140.949717 -37.346441, 140.949101 -37.346578, 140.943706 -37.347428, 140.926533 -37.355247, 140.926157 -37.356472, 140.926208 -37.357597, 140.924387 -37.361589, 140.918881 -37.364592, 140.914669 -37.366139, 140.908668 -37.368651, 140.906225 -37.369185, 140.903393 -37.369317, 140.899345 -37.370319, 140.895336 -37.369605, 140.894949 -37.369706, 140.893819 -37.371341, 140.893041 -37.374749, 140.892878 -37.374847, 140.89131 -37.374881, 140.889629 -37.376014, 140.887244 -37.379252, 140.885743 -37.382147, 140.884357 -37.38319, 140.882461 -37.384163, 140.881988 -37.385106, 140.880216 -37.386292, 140.877677 -37.389632, 140.874868 -37.394629, 140.874657 -37.39525, 140.865581 -37.401869, 140.854911 -37.401417, 140.850847 -37.405157, 140.843302 -37.411223, 140.842437 -37.411567), (140.842437 -37.411567, 140.837249 -37.411276, 140.836307 -37.411114, 140.831661 -37.410887, 140.830253 -37.411147, 140.829945 -37.411435, 140.820334 -37.413209, 140.818921 -37.413282, 140.814806 -37.416113, 140.808416 -37.424469, 140.804687 -37.426231, 140.804041 -37.426074, 140.803849 -37.426129, 140.800024 -37.430652, 140.799104 -37.432339), (140.799104 -37.432339, 140.797751 -37.434712, 140.797074 -37.435148, 140.796444 -37.436098, 140.795746 -37.436666, 140.794955 -37.437813, 140.794387 -37.439888, 140.79372 -37.440549, 140.79312 -37.44188, 140.792577 -37.442686, 140.791816 -37.444343, 140.78959 -37.44626, 140.789359 -37.446523, 140.788236 -37.448977, 140.787688 -37.45049, 140.787703 -37.451166, 140.78772 -37.451972, 140.786937 -37.452579, 140.786648 -37.452559, 140.786166 -37.452526, 140.782893 -37.453778, 140.782478 -37.454388, 140.782091 -37.455319, 140.782056 -37.455461, 140.782028 -37.455497))"/>
  </r>
  <r>
    <s v="P1187"/>
    <s v="Gas"/>
    <s v="Australia"/>
    <s v="Australia"/>
    <s v="Australia"/>
    <m/>
    <s v="https://www.gem.wiki/South_Gippsland_Natural_Gas_Pipeline"/>
    <x v="22"/>
    <m/>
    <s v="SGNGP"/>
    <s v="Cheung Kong Holdings [100.00%]"/>
    <s v="Cheung Kong Holdings [100.00%]"/>
    <x v="0"/>
    <n v="2009"/>
    <m/>
    <m/>
    <m/>
    <n v="614"/>
    <s v="TJ/d"/>
    <n v="6.28"/>
    <x v="19"/>
    <n v="250"/>
    <n v="65.760000000000005"/>
    <n v="250"/>
    <m/>
    <m/>
    <m/>
    <s v="Lang Lang"/>
    <s v="Australia and New Zealand"/>
    <m/>
    <s v="Victoria"/>
    <s v="Korumburra, Leongatha, Inverloch and Wonthaggi"/>
    <m/>
    <s v="Victoria"/>
    <s v="Australia and New Zealand"/>
    <m/>
    <m/>
    <m/>
    <m/>
    <m/>
    <s v="MULTILINESTRING ((145.619783 -38.583149, 145.619849 -38.583143, 145.620046 -38.58308, 145.621875 -38.582483, 145.622281 -38.582996, 145.628092 -38.583629, 145.630979 -38.58391, 145.632431 -38.584104, 145.638221 -38.584702, 145.641602 -38.585693, 145.644724 -38.586387, 145.64916 -38.587535, 145.65796 -38.589683, 145.667228 -38.590466, 145.674505 -38.591129), (145.674505 -38.591129, 145.676935 -38.589477, 145.681834 -38.587174, 145.688516 -38.584606, 145.695209 -38.585601, 145.695261 -38.585628, 145.695277 -38.585679, 145.695161 -38.586391, 145.695194 -38.586434, 145.69525 -38.586458, 145.710132 -38.587779, 145.710182 -38.587753, 145.710208 -38.587716, 145.710935 -38.582674, 145.716009 -38.582485, 145.717176 -38.581584), (145.717176 -38.581584, 145.71983 -38.579532, 145.720271 -38.579376, 145.720992 -38.573877, 145.722487 -38.570112, 145.724353 -38.567465, 145.726223 -38.565259, 145.729856 -38.56318, 145.733193 -38.561493, 145.74034 -38.55692, 145.744894 -38.55259, 145.746819 -38.549797, 145.748436 -38.547039, 145.751982 -38.542811, 145.754753 -38.540491), (145.754753 -38.540491, 145.757584 -38.53813, 145.760196 -38.534913, 145.761459 -38.53301, 145.762988 -38.531205, 145.764962 -38.531405, 145.765856 -38.52936, 145.771186 -38.526169, 145.775357 -38.523331, 145.776578 -38.522545, 145.778182 -38.521409, 145.782048 -38.517315, 145.784075 -38.516022, 145.785044 -38.515572, 145.786411 -38.515851, 145.786482 -38.515842, 145.787765 -38.51511, 145.794808 -38.510363, 145.795484 -38.506286, 145.793164 -38.502899, 145.793156 -38.502863, 145.793208 -38.502549), (145.793208 -38.502549, 145.794208 -38.496497, 145.79806 -38.491556, 145.800836 -38.489952, 145.801944 -38.488107, 145.80404 -38.486309, 145.804072 -38.486266, 145.805072 -38.480404, 145.803775 -38.479058, 145.802816 -38.474272, 145.801894 -38.47164, 145.801615 -38.47005, 145.801066 -38.46955, 145.800466 -38.467449, 145.803737 -38.464375, 145.804167 -38.463201, 145.805387 -38.461521, 145.806973 -38.457535), (145.924256 -38.486184, 145.930832 -38.487044), (145.861791 -38.472076, 145.862667 -38.473401, 145.866645 -38.475001, 145.867862 -38.475278, 145.868583 -38.475005, 145.87086 -38.475867, 145.888793 -38.477895, 145.891018 -38.479042, 145.891838 -38.480719, 145.89473 -38.48225, 145.899244 -38.482693, 145.899638 -38.482827, 145.900501 -38.483082, 145.924256 -38.486184), (145.807011 -38.457365, 145.807144 -38.457406, 145.807498 -38.457254, 145.808973 -38.457403, 145.810184 -38.457566, 145.811589 -38.457694, 145.812395 -38.457794, 145.813539 -38.457996, 145.818013 -38.458944, 145.819865 -38.459388, 145.821961 -38.457914, 145.8237 -38.458038, 145.824906 -38.458193, 145.826273 -38.457754, 145.828645 -38.456717, 145.830543 -38.457535, 145.83139 -38.458403, 145.840035 -38.458423, 145.842876 -38.460467, 145.846193 -38.462694, 145.846554 -38.463108, 145.847571 -38.46372, 145.848193 -38.464213, 145.850045 -38.464396, 145.854247 -38.466043, 145.854766 -38.466782, 145.861473 -38.471691, 145.861673 -38.471897, 145.861791 -38.472076), (145.765884 -38.427789, 145.766644 -38.427719, 145.767124 -38.428459, 145.770735 -38.428786, 145.772389 -38.429529, 145.773816 -38.429141, 145.774485 -38.429119, 145.775123 -38.429253, 145.77607 -38.429189, 145.779102 -38.429855, 145.780389 -38.43032, 145.781397 -38.431587, 145.782829 -38.431751, 145.783405 -38.434379, 145.78404 -38.434625, 145.784243 -38.435119, 145.790264 -38.442545, 145.792428 -38.445601, 145.79458 -38.447778, 145.800699 -38.454239, 145.805715 -38.456823, 145.806686 -38.457296, 145.806884 -38.457341), (145.764486 -38.427839, 145.764886 -38.427885, 145.765236 -38.427855), (145.765236 -38.427855, 145.765884 -38.427789), (145.708762 -38.414134, 145.710609 -38.414564, 145.712925 -38.414606, 145.717042 -38.415281, 145.719415 -38.415401, 145.720933 -38.415178, 145.722868 -38.415264, 145.723375 -38.414854, 145.727654 -38.41449, 145.730346 -38.415183, 145.736693 -38.416541, 145.739555 -38.418301, 145.740111 -38.419852, 145.741414 -38.420305, 145.747348 -38.424416, 145.74833 -38.424792, 145.750144 -38.425204, 145.752265 -38.425381, 145.753341 -38.425805, 145.756302 -38.426123, 145.756704 -38.426678, 145.757296 -38.42678, 145.757359 -38.42679, 145.758878 -38.426765, 145.760446 -38.426565, 145.762634 -38.427622, 145.764486 -38.427839), (145.667595 -38.378602, 145.671043 -38.389503, 145.673151 -38.390082, 145.674866 -38.395379, 145.676392 -38.395786, 145.679477 -38.398545, 145.682899 -38.399951, 145.683297 -38.39997, 145.685039 -38.401109, 145.693244 -38.40403, 145.69463 -38.408712, 145.695234 -38.410036, 145.695274 -38.410072, 145.695516 -38.410169, 145.696521 -38.410054, 145.698042 -38.410107, 145.698374 -38.41124, 145.701093 -38.412653, 145.701135 -38.412697, 145.701469 -38.413344, 145.702753 -38.413737, 145.704669 -38.413988, 145.708762 -38.414134), (145.6296 -38.343493, 145.631258 -38.343702, 145.633401 -38.343869, 145.633989 -38.344021, 145.636775 -38.343857, 145.638755 -38.346428, 145.640461 -38.349174, 145.642294 -38.350214, 145.643727 -38.352422, 145.647327 -38.355831, 145.649505 -38.356842, 145.649794 -38.357128, 145.650106 -38.357964, 145.650403 -38.358185, 145.650852 -38.358733, 145.65089 -38.359121, 145.651502 -38.359372, 145.651494 -38.359988, 145.651954 -38.360148, 145.652628 -38.361805, 145.653899 -38.362267, 145.655255 -38.362719, 145.657049 -38.364086, 145.660443 -38.365496, 145.66116 -38.368069, 145.663774 -38.370621, 145.663721 -38.372367, 145.665432 -38.373789, 145.667188 -38.377313, 145.667595 -38.378602), (145.606532 -38.325609, 145.606634 -38.325633, 145.605338 -38.332006, 145.615325 -38.333927, 145.61575 -38.333951, 145.619149 -38.3346, 145.620976 -38.335165, 145.624051 -38.33591, 145.62535 -38.336612, 145.626079 -38.337522, 145.625879 -38.338141, 145.626901 -38.338922, 145.626925 -38.338954, 145.62767 -38.340821, 145.627225 -38.34309, 145.627476 -38.343352, 145.628006 -38.343295, 145.6296 -38.343493), (145.601022 -38.321737, 145.600842 -38.32171, 145.600722 -38.322183, 145.600518 -38.323172, 145.600463 -38.323913, 145.600635 -38.324133, 145.60289 -38.324424, 145.605015 -38.325436, 145.605311 -38.325459, 145.606532 -38.325609))"/>
  </r>
  <r>
    <s v="P1188"/>
    <s v="Gas"/>
    <s v="Australia"/>
    <s v="Australia"/>
    <s v="Australia"/>
    <m/>
    <s v="https://www.gem.wiki/South_West_Queensland_Pipeline"/>
    <x v="23"/>
    <m/>
    <s v="QSN Link, SWQP, Ballera to Wallumbilla Pipeline"/>
    <s v="APA Group [100.00%]"/>
    <s v="APA Group [100.00%]"/>
    <x v="0"/>
    <n v="1996"/>
    <m/>
    <m/>
    <m/>
    <n v="404"/>
    <s v="TJ/d"/>
    <n v="4.13"/>
    <x v="20"/>
    <n v="937"/>
    <n v="928.83"/>
    <n v="937"/>
    <m/>
    <m/>
    <s v="Cooper Basin"/>
    <s v="Moomba"/>
    <s v="Australia and New Zealand"/>
    <m/>
    <s v="Queensland"/>
    <s v="Wallumbilla"/>
    <m/>
    <s v="Queensland"/>
    <s v="Australia and New Zealand"/>
    <m/>
    <m/>
    <m/>
    <m/>
    <m/>
    <s v="MULTILINESTRING ((140.204 -28.122, 140.27 -28.106, 140.501 -27.986, 140.726 -27.816, 141 -27.704), (149.183 -26.692, 149.098 -26.681, 148.797 -26.7, 148.612 -26.677, 148.489 -26.702, 148.391 -26.687, 148.282 -26.698, 147.651 -26.683, 147.485 -26.662, 146.925 -26.654, 146.539 -26.611, 146.178 -26.642, 145.859 -26.709, 145.523 -26.736, 145.333 -26.777, 144.991 -26.809, 144.883 -26.834, 144.811 -26.824, 144.543 -26.843, 143.77 -26.946, 143.217 -26.97, 142.955 -27.039, 142.749 -27.061, 142.57 -27.115, 142.514 -27.136, 142.356 -27.28, 142.22 -27.332, 142.061 -27.36, 141.923 -27.363, 141.818 -27.398), (141 -27.704, 141.095 -27.67, 141.134 -27.624, 141.239 -27.562, 141.422 -27.52, 141.786 -27.405, 141.805 -27.385))"/>
  </r>
  <r>
    <s v="P1189"/>
    <s v="Gas"/>
    <s v="Australia"/>
    <s v="Australia"/>
    <s v="Australia"/>
    <m/>
    <s v="https://www.gem.wiki/Spring_Gully_to_Wallumbilla_Pipeline"/>
    <x v="24"/>
    <m/>
    <m/>
    <s v="Origin Energy Limited [100.00%]"/>
    <s v="Origin Energy Limited [100.00%]"/>
    <x v="0"/>
    <n v="2004"/>
    <m/>
    <m/>
    <m/>
    <n v="142"/>
    <s v="TJ/d"/>
    <n v="1.45"/>
    <x v="21"/>
    <n v="87"/>
    <n v="87.09"/>
    <n v="87"/>
    <m/>
    <m/>
    <s v="Bowen Basin"/>
    <s v="Spring Gully"/>
    <s v="Australia and New Zealand"/>
    <m/>
    <s v="Queensland"/>
    <s v="Wallumbilla"/>
    <m/>
    <s v="Queensland"/>
    <s v="Australia and New Zealand"/>
    <m/>
    <m/>
    <m/>
    <m/>
    <m/>
    <s v="LINESTRING (149.064132 -25.945761, 149.065646 -25.947122, 149.065631 -25.954912, 149.066857 -25.957182, 149.068219 -25.958113, 149.069711 -25.962762, 149.069774 -25.963934, 149.074467 -25.977007, 149.07284 -25.983617, 149.073631 -25.98601, 149.070843 -25.995589, 149.06999 -25.999245, 149.069455 -25.999761, 149.069064 -26.000992, 149.068369 -26.003182, 149.06811 -26.003993, 149.068231 -26.004108, 149.068795 -26.004464, 149.068977 -26.004652, 149.069311 -26.005468, 149.069593 -26.006564, 149.069999 -26.007023, 149.070385 -26.007358, 149.070477 -26.007531, 149.070581 -26.008694, 149.070788 -26.011024, 149.071018 -26.013394, 149.070891 -26.014322, 149.071257 -26.015588, 149.072177 -26.017677, 149.07245 -26.018522, 149.073085 -26.020345, 149.073158 -26.020533, 149.073555 -26.020782, 149.075442 -26.022828, 149.076825 -26.024282, 149.076924 -26.024423, 149.076986 -26.024576, 149.077474 -26.026437, 149.077856 -26.027965, 149.078099 -26.029008, 149.078123 -26.029062, 149.078187 -26.029106, 149.078765 -26.029386, 149.079522 -26.029746, 149.081393 -26.030582, 149.08165 -26.030821, 149.085402 -26.034544, 149.089668 -26.045258, 149.091576 -26.049972, 149.092476 -26.052197, 149.09354 -26.054824, 149.099155 -26.06102, 149.100611 -26.063662, 149.107302 -26.070005, 149.109834 -26.085392, 149.109905 -26.086758, 149.111414 -26.092221, 149.111173 -26.102712, 149.109672 -26.12247, 149.115903 -26.138533, 149.11752 -26.150624, 149.118326 -26.154675, 149.118174 -26.155546, 149.119008 -26.160227, 149.118776 -26.178174, 149.120378 -26.182082, 149.121945 -26.194655, 149.124887 -26.209448, 149.121941 -26.218585, 149.121837 -26.219154, 149.118316 -26.224879, 149.119876 -26.249767, 149.122022 -26.284021, 149.124027 -26.310281, 149.123543 -26.313388, 149.123543 -26.315978, 149.123547 -26.328981, 149.124038 -26.343432, 149.1239 -26.344266, 149.12382 -26.345322, 149.123944 -26.348667, 149.125168 -26.349563, 149.132341 -26.358346, 149.13237 -26.358821, 149.132948 -26.380482, 149.132618 -26.391834, 149.13358 -26.402847, 149.137161 -26.417698, 149.135108 -26.431931, 149.133793 -26.437788, 149.133844 -26.439006, 149.133483 -26.442191, 149.132853 -26.447395, 149.132571 -26.452421, 149.132434 -26.457223, 149.133072 -26.46219, 149.13316 -26.462874, 149.137549 -26.473993, 149.139917 -26.477457, 149.140183 -26.481995, 149.148033 -26.498296, 149.146611 -26.507634, 149.144175 -26.523535, 149.144133 -26.523811, 149.14292 -26.531721, 149.141888 -26.538476, 149.141715 -26.539602, 149.142172 -26.539677, 149.141651 -26.543088, 149.140997 -26.544976, 149.140952 -26.545106, 149.140941 -26.545139, 149.141215 -26.549989, 149.143555 -26.556137, 149.144005 -26.560099, 149.145069 -26.563837, 149.144917 -26.566319, 149.144869 -26.566522, 149.150972 -26.57375, 149.151526 -26.574039, 149.151588 -26.574479, 149.157162 -26.58108, 149.157018 -26.586309, 149.156856 -26.587341, 149.156733 -26.588144, 149.156596 -26.588241, 149.153431 -26.608826, 149.153306 -26.609613, 149.158858 -26.618586, 149.160306 -26.620853, 149.161534 -26.622912, 149.162722 -26.624901, 149.164298 -26.627541, 149.165373 -26.629437, 149.166898 -26.634394, 149.168364 -26.639077, 149.170946 -26.646926, 149.171401 -26.648358, 149.172462 -26.651688, 149.173032 -26.653812, 149.173225 -26.656704, 149.173547 -26.661477, 149.175084 -26.665445, 149.175971 -26.667788, 149.1777 -26.672249, 149.181048 -26.68119, 149.183382 -26.687343, 149.183487 -26.687618, 149.184382 -26.690004, 149.184645 -26.690604, 149.184708 -26.690648, 149.186848 -26.690874, 149.186569 -26.692975, 149.186449 -26.693165, 149.186304 -26.694167, 149.185861 -26.694114)"/>
  </r>
  <r>
    <s v="P3214"/>
    <s v="Gas"/>
    <s v="Australia"/>
    <s v="Australia"/>
    <s v="Australia"/>
    <m/>
    <s v="https://www.gem.wiki/Moranbah_to_Denison_Trough_North_Gas_Pipeline"/>
    <x v="25"/>
    <m/>
    <m/>
    <s v="Blue Energy [100.00%]"/>
    <s v="Blue Energy [100.00%]"/>
    <x v="2"/>
    <m/>
    <m/>
    <m/>
    <m/>
    <m/>
    <m/>
    <s v="--"/>
    <x v="2"/>
    <n v="200"/>
    <n v="221.51"/>
    <n v="200"/>
    <m/>
    <m/>
    <s v="Moranbah gas field"/>
    <m/>
    <s v="Australia and New Zealand"/>
    <m/>
    <s v="Queensland"/>
    <s v="Denison Trough North"/>
    <m/>
    <s v="Queensland"/>
    <s v="Australia and New Zealand"/>
    <m/>
    <m/>
    <m/>
    <m/>
    <m/>
    <s v="LINESTRING (148.003325 -21.979008, 148.159614 -23.510658, 148.379345 -23.92569)"/>
  </r>
  <r>
    <s v="P3215"/>
    <s v="Gas"/>
    <s v="Australia"/>
    <s v="Australia"/>
    <s v="Australia"/>
    <m/>
    <s v="https://www.gem.wiki/Northern_Goldfields_Interconnect_Gas_Pipeline"/>
    <x v="26"/>
    <m/>
    <m/>
    <s v="APA Group [100.00%]"/>
    <s v="APA Group [100.00%]"/>
    <x v="3"/>
    <n v="2022"/>
    <m/>
    <m/>
    <m/>
    <m/>
    <m/>
    <s v="--"/>
    <x v="2"/>
    <n v="580"/>
    <n v="579.14"/>
    <n v="580"/>
    <n v="300"/>
    <s v="mm"/>
    <m/>
    <m/>
    <s v="Australia and New Zealand"/>
    <m/>
    <s v="Western Australia"/>
    <m/>
    <m/>
    <s v="Western Australia"/>
    <s v="Australia and New Zealand"/>
    <m/>
    <m/>
    <m/>
    <m/>
    <m/>
    <s v="LINESTRING (115.133373 -28.623594, 115.134404 -28.623559, 115.136296 -28.623471, 115.142561 -28.611056, 115.146855 -28.604396, 115.147141 -28.604066, 115.176847 -28.603899, 115.178308 -28.604069, 115.220796 -28.603937, 115.244604 -28.594782, 115.265019 -28.58802, 115.277247 -28.58212, 115.277427 -28.581898, 115.291767 -28.573563, 115.296923 -28.569469, 115.297472 -28.569315, 115.298398 -28.568743, 115.3159 -28.566174, 115.320299 -28.564394, 115.331731 -28.562833, 115.341077 -28.562754, 115.355431 -28.560456, 115.37326 -28.555959, 115.381613 -28.555516, 115.409154 -28.555462, 115.417921 -28.550042, 115.426178 -28.543138, 115.434237 -28.536986, 115.46363 -28.524758, 115.471924 -28.520799, 115.479172 -28.518431, 115.479176 -28.517588, 115.479294 -28.517241, 115.479894 -28.516542, 115.480509 -28.516037, 115.512493 -28.516271, 115.599768 -28.51141, 115.613784 -28.511923, 115.62933 -28.508612, 115.642116 -28.501709, 115.652991 -28.501684, 115.653078 -28.500875, 115.671326 -28.499661, 115.688812 -28.49593, 115.710695 -28.494571, 115.741343 -28.485617, 115.742307 -28.486068, 115.741997 -28.487243, 115.743341 -28.488424, 115.751534 -28.492039, 115.757757 -28.492005, 115.768663 -28.489044, 115.785524 -28.483691, 115.810138 -28.483709, 115.823794 -28.471814, 115.91325 -28.465266, 115.913498 -28.467694, 115.936237 -28.465916, 116.03659 -28.437794, 116.243606 -28.412464, 116.287983 -28.433776, 116.313697 -28.430045, 116.380481 -28.398579, 116.406959 -28.39695, 116.434492 -28.379349, 116.486278 -28.363817, 116.488657 -28.363547, 116.489172 -28.363295, 116.581216 -28.354125, 116.630116 -28.349729, 116.671045 -28.364647, 116.680061 -28.36395, 116.704739 -28.35052, 116.715252 -28.351453, 116.731722 -28.351365, 116.781344 -28.351036, 116.798427 -28.35098, 116.822255 -28.350941, 116.845476 -28.358226, 117.013378 -28.35793, 117.023019 -28.355864, 117.081904 -28.329219, 117.144272 -28.32922, 117.285493 -28.292928, 117.296466 -28.29186, 117.305867 -28.286693, 117.314732 -28.286236, 117.340701 -28.27406, 117.3759 -28.269833, 117.377323 -28.269426, 117.423365 -28.263171, 117.424594 -28.263196, 117.524067 -28.248752, 117.645662 -28.230762, 117.649933 -28.230117, 117.650429 -28.229854, 117.654469 -28.229251, 117.655671 -28.228999, 117.656635 -28.228654, 117.658824 -28.227581, 117.665426 -28.222031, 117.719283 -28.214212, 117.766666 -28.217311, 117.834802 -28.190907, 117.852843 -28.182741, 117.875393 -28.177331, 117.889246 -28.175851, 117.917831 -28.169648, 117.952749 -28.162085, 117.978208 -28.152507, 118.035646 -28.149646, 118.046269 -28.150614, 118.052548 -28.148559, 118.056576 -28.148658, 118.062048 -28.152554, 118.072039 -28.154555, 118.097433 -28.15272, 118.150171 -28.159541, 118.200453 -28.182628, 118.237902 -28.187198, 118.269062 -28.191898, 118.314041 -28.199491, 118.334618 -28.204066, 118.426649 -28.229626, 118.475882 -28.224447, 118.525251 -28.235091, 118.584036 -28.233069, 118.623824 -28.229325, 118.842784 -28.2389, 118.932484 -28.254209, 118.962668 -28.263426, 119.108785 -28.26402, 119.139894 -28.262329, 119.463924 -28.287964, 119.718224 -28.352044, 119.752699 -28.366308, 119.766947 -28.362215, 119.995773 -28.264359, 120.026194 -28.242518, 120.071204 -28.227676, 120.449793 -28.235732, 120.606934 -28.268848, 120.63233 -28.268882, 120.657897 -28.26386, 120.661581 -28.264701, 120.71322 -28.256074, 120.742526 -28.241495, 120.755989 -28.241027, 120.774996 -28.233712, 120.811182 -28.234335)"/>
  </r>
  <r>
    <s v="P3216"/>
    <s v="Gas"/>
    <s v="Australia"/>
    <s v="Australia"/>
    <s v="Australia"/>
    <m/>
    <s v="https://www.gem.wiki/Crux_Gas_Pipeline"/>
    <x v="27"/>
    <m/>
    <m/>
    <s v="Shell [82.00%]; Seven Group Holdings [15.00%]; Osaka Gas Holdings [3.00%]"/>
    <s v="Shell [82.00%]; Seven Group Holdings [15.00%]; Osaka Gas Holdings [3.00%]"/>
    <x v="1"/>
    <m/>
    <m/>
    <m/>
    <m/>
    <m/>
    <m/>
    <s v="--"/>
    <x v="2"/>
    <s v="--"/>
    <n v="311.77"/>
    <n v="311.77"/>
    <m/>
    <m/>
    <s v="Crux gas field"/>
    <m/>
    <s v="Australia and New Zealand"/>
    <m/>
    <s v="Western Australia"/>
    <m/>
    <m/>
    <s v="Western Australia"/>
    <s v="Australia and New Zealand"/>
    <m/>
    <m/>
    <m/>
    <m/>
    <m/>
    <s v="LINESTRING (123.70268859839985 -13.66435802014764, 122.9344035410818 -16.381257336347787)"/>
  </r>
  <r>
    <s v="P3217"/>
    <s v="Gas"/>
    <s v="Australia"/>
    <s v="Australia"/>
    <s v="Australia"/>
    <m/>
    <s v="https://www.gem.wiki/West_Erregulla_Gas_Pipeline"/>
    <x v="28"/>
    <m/>
    <m/>
    <s v="Strike Energy Ltd [unknown %]"/>
    <s v="Strike Energy Ltd [unknown %]"/>
    <x v="1"/>
    <n v="2024"/>
    <m/>
    <m/>
    <m/>
    <n v="87"/>
    <s v="TJ/d"/>
    <n v="0.89"/>
    <x v="22"/>
    <n v="120"/>
    <n v="92.12"/>
    <n v="120"/>
    <m/>
    <m/>
    <s v="Erregulla gas field"/>
    <m/>
    <s v="Australia and New Zealand"/>
    <m/>
    <s v="Western Australia"/>
    <m/>
    <m/>
    <s v="Western Australia"/>
    <s v="Australia and New Zealand"/>
    <m/>
    <m/>
    <m/>
    <m/>
    <m/>
    <s v="LINESTRING (114.60768020870098 -28.75789879530042, 115.22126921396553 -29.390542515557986)"/>
  </r>
  <r>
    <s v="P3218"/>
    <s v="Gas"/>
    <s v="Australia"/>
    <s v="Australia"/>
    <s v="Australia"/>
    <m/>
    <s v="https://www.gem.wiki/Wodgina_Lateral_Gas_Pipeline"/>
    <x v="29"/>
    <m/>
    <m/>
    <s v="APA Group [unknown %]"/>
    <s v="APA Group [unknown %]"/>
    <x v="0"/>
    <n v="2001"/>
    <m/>
    <m/>
    <m/>
    <m/>
    <m/>
    <s v="--"/>
    <x v="2"/>
    <n v="85"/>
    <n v="80.180000000000007"/>
    <n v="85"/>
    <m/>
    <m/>
    <m/>
    <m/>
    <s v="Australia and New Zealand"/>
    <m/>
    <s v="Western Australia"/>
    <m/>
    <m/>
    <s v="Western Australia"/>
    <s v="Australia and New Zealand"/>
    <m/>
    <m/>
    <m/>
    <m/>
    <m/>
    <s v="LINESTRING (118.279898 -20.562235, 118.28825 -20.577026, 118.321211 -20.629634, 118.32442 -20.635831, 118.327253 -20.639398, 118.434491 -20.812362, 118.439866 -20.819759, 118.442241 -20.823942, 118.445265 -20.827161, 118.506538 -20.9111, 118.538708 -20.968715, 118.570561 -21.018313, 118.60683 -21.075515, 118.632787 -21.112517, 118.634157 -21.113763, 118.635305 -21.116068, 118.645886 -21.131132, 118.659322 -21.145759, 118.664607 -21.144991, 118.66639 -21.149512, 118.678203 -21.161994, 118.678512 -21.162925, 118.677968 -21.164647, 118.675872 -21.166226, 118.674874 -21.167976, 118.675063 -21.168753, 118.675344 -21.170214, 118.675389 -21.171075, 118.675437 -21.172246, 118.675992 -21.173507)"/>
  </r>
  <r>
    <s v="P1190"/>
    <s v="Gas"/>
    <s v="Australia"/>
    <s v="Australia"/>
    <s v="Australia"/>
    <m/>
    <s v="https://www.gem.wiki/Tasmanian_Gas_Pipeline"/>
    <x v="30"/>
    <m/>
    <s v="Longford to Hobart"/>
    <s v="Palisade Investment Partners Limited [100.00%]"/>
    <s v="Palisade Investment Partners Limited [100.00%]"/>
    <x v="0"/>
    <n v="2002"/>
    <m/>
    <m/>
    <m/>
    <n v="129"/>
    <s v="TJ/d"/>
    <n v="1.32"/>
    <x v="23"/>
    <n v="734"/>
    <n v="664.81"/>
    <n v="734"/>
    <m/>
    <m/>
    <s v="Gippsland Basin"/>
    <s v="Longford"/>
    <s v="Australia and New Zealand"/>
    <m/>
    <s v="Victoria"/>
    <s v="Bridgewater"/>
    <m/>
    <s v="Tasmania"/>
    <s v="Australia and New Zealand"/>
    <m/>
    <m/>
    <m/>
    <m/>
    <m/>
    <s v="MULTILINESTRING ((146.969 -41.476, 146.583 -41.496, 146.41 -41.295, 146.153 -41.19), (146.893 -41.032, 146.831 -41.086, 146.904 -41.141), (146.153 -41.19, 145.38 -40.853), (146.904 -41.141, 146.993 -41.493), (146.993 -41.493, 147.194 -41.652, 147.394 -42.221, 147.204 -42.468, 147.23 -42.718), (147.108 -39.198, 146.893 -41.033), (147.239 -38.412, 147.301 -38.498, 147.108 -39.198), (147.205 -38.367, 147.239 -38.412))"/>
  </r>
  <r>
    <s v="P1191"/>
    <s v="Gas"/>
    <s v="Australia"/>
    <s v="Australia"/>
    <s v="Australia"/>
    <m/>
    <s v="https://www.gem.wiki/Telfer_Pipeline"/>
    <x v="31"/>
    <m/>
    <m/>
    <s v="APA Group [100.00%]"/>
    <s v="APA Group [100.00%]"/>
    <x v="0"/>
    <n v="2004"/>
    <m/>
    <m/>
    <m/>
    <n v="29"/>
    <s v="TJ/d"/>
    <n v="0.3"/>
    <x v="24"/>
    <n v="443"/>
    <n v="441.68"/>
    <n v="443"/>
    <m/>
    <m/>
    <m/>
    <s v="Port Hedland"/>
    <s v="Australia and New Zealand"/>
    <m/>
    <s v="Western Australia"/>
    <s v="Telfer Gold Mine"/>
    <m/>
    <s v="Western Australia"/>
    <s v="Australia and New Zealand"/>
    <m/>
    <m/>
    <m/>
    <m/>
    <m/>
    <s v="LINESTRING (118.551151 -20.427016, 118.553845 -20.426695, 118.554152 -20.426652, 118.555485 -20.427221, 118.561063 -20.428149, 118.562932 -20.428691, 118.565677 -20.429202, 118.566996 -20.428873, 118.569525 -20.429777, 118.582787 -20.432808, 118.58322 -20.432591, 118.584413 -20.433179, 118.619818 -20.441269, 118.62189 -20.442003, 118.622351 -20.441589, 118.625841 -20.442636, 118.687089 -20.435459, 118.687657 -20.435549, 118.688998 -20.435226, 118.69133 -20.435018, 118.69283 -20.434692, 118.739404 -20.425702, 118.829559 -20.411689, 118.911707 -20.404057, 118.917556 -20.403214, 118.918399 -20.403749, 118.92551 -20.402772, 118.957168 -20.394722, 118.959311 -20.394679, 118.962327 -20.394978, 118.964244 -20.393114, 118.965489 -20.39097, 118.967968 -20.388508, 118.968876 -20.387315, 118.972353 -20.384386, 118.986447 -20.379046, 119.002778 -20.372013, 119.023785 -20.359435, 119.023718 -20.358612, 119.029811 -20.355688, 119.049307 -20.349032, 119.05179 -20.34778, 119.056162 -20.34643, 119.090046 -20.34908, 119.092351 -20.348823, 119.095077 -20.349035, 119.095999 -20.349276, 119.099657 -20.349011, 119.101281 -20.348594, 119.104172 -20.348386, 119.1231 -20.344239, 119.136296 -20.344194, 119.181434 -20.336464, 119.181655 -20.336094, 119.185519 -20.335749, 119.195433 -20.327064, 119.197404 -20.326405, 119.197461 -20.32484, 119.198935 -20.322726, 119.20169 -20.320011, 119.202613 -20.319534, 119.203351 -20.319592, 119.204832 -20.319519, 119.205823 -20.31933, 119.210546 -20.319078, 119.210923 -20.31881, 119.227809 -20.317196, 119.235169 -20.317947, 119.237862 -20.318456, 119.241527 -20.318031, 119.243535 -20.317217, 119.246682 -20.315032, 119.253204 -20.307327, 119.261872 -20.303621, 119.28096 -20.302587, 119.284888 -20.302737, 119.302266 -20.30583, 119.314778 -20.307033, 119.328894 -20.307778, 119.330454 -20.308374, 119.358383 -20.309451, 119.40104 -20.315133, 119.402427 -20.315108, 119.445193 -20.321009, 119.450865 -20.323072, 119.454338 -20.324982, 119.454998 -20.325508, 119.456104 -20.325752, 119.456054 -20.326575, 119.458025 -20.328642, 119.458921 -20.329628, 119.462236 -20.331346, 119.463418 -20.331609, 119.469947 -20.332041, 119.492521 -20.334387, 119.496146 -20.334934, 119.497438 -20.334918, 119.502625 -20.33549, 119.516233 -20.338336, 119.53605 -20.334154, 119.542378 -20.334025, 119.544414 -20.335078, 119.545761 -20.334807, 119.546809 -20.334203, 119.561633 -20.331162, 119.568351 -20.330554, 119.67734 -20.338431, 119.68077 -20.338815, 119.831066 -20.361696, 119.834595 -20.362396, 119.859072 -20.368422, 119.860618 -20.368969, 119.914178 -20.381974, 119.941593 -20.382624, 119.942162 -20.382295, 119.999284 -20.383974, 120.031911 -20.379661, 120.062087 -20.392167, 120.06535 -20.395267, 120.089772 -20.404233, 120.10082 -20.404799, 120.178841 -20.426934, 120.224808 -20.440644, 120.31564 -20.450322, 120.334338 -20.458824, 120.415366 -20.485527, 120.433929 -20.489839, 120.439372 -20.489762, 120.450399 -20.489469, 120.628001 -20.564278, 120.713258 -20.598188, 120.786112 -20.651941, 120.830612 -20.663943, 120.944119 -20.734962, 120.96531 -20.739625, 120.991032 -20.749093, 121.063463 -20.77885, 121.077621 -20.833609, 121.112357 -20.878169, 121.251842 -21.001156, 121.255619 -21.009249, 121.348306 -21.115423, 121.371651 -21.174676, 121.430366 -21.225045, 121.462413 -21.265689, 121.510413 -21.281849, 121.510828 -21.292661, 121.556731 -21.339796, 121.557582 -21.35373, 121.60055 -21.369694, 121.643069 -21.409506, 121.651976 -21.420618, 121.708389 -21.445935, 121.760992 -21.468082, 121.78098 -21.478803, 121.828577 -21.489819, 121.853422 -21.50219, 121.943652 -21.543655, 122.000931 -21.565403, 122.007078 -21.571437, 122.01861 -21.601871, 122.044369 -21.621716, 122.073369 -21.650301, 122.118459 -21.672149, 122.18145 -21.738732)"/>
  </r>
  <r>
    <s v="P1192"/>
    <s v="Gas"/>
    <s v="Australia"/>
    <s v="Australia"/>
    <s v="Australia"/>
    <m/>
    <s v="https://www.gem.wiki/Trans-Territory_Pipeline"/>
    <x v="32"/>
    <m/>
    <s v="TTP"/>
    <s v="Eni S.p.A. [unknown %]; Rio Tinto Group [unknown %]; Woodside Energy [unknown %]"/>
    <s v="Eni S.p.A. [unknown %]; Rio Tinto Group [unknown %]; Woodside Energy [unknown %]"/>
    <x v="4"/>
    <m/>
    <m/>
    <m/>
    <m/>
    <n v="104.26"/>
    <s v="MMcf/d"/>
    <n v="1.08"/>
    <x v="25"/>
    <n v="940"/>
    <n v="906.34"/>
    <n v="940"/>
    <m/>
    <m/>
    <s v="Blacktip Gas Field"/>
    <s v="Timor Sea"/>
    <s v="Australia and New Zealand"/>
    <m/>
    <s v="Northern Territory"/>
    <s v="Wadeye"/>
    <m/>
    <s v="Northern Territory"/>
    <s v="Australia and New Zealand"/>
    <m/>
    <m/>
    <m/>
    <m/>
    <m/>
    <s v="LINESTRING (129.441386 -14.240785, 129.510386 -14.282358, 129.713057 -14.340834, 129.925142 -14.381841, 130.298507 -14.422651, 130.924597 -14.494547, 131.601613 -14.587412, 132.251668 -14.674286, 132.558515 -14.683903, 132.742519 -14.671066, 132.905127 -14.636832, 133.020664 -14.602599, 133.115364 -14.55529, 134.332298 -13.659489, 135.652382 -12.70414, 135.670137 -12.696193, 135.692139 -12.692213, 136.09269 -12.691219, 136.113689 -12.689016, 136.132446 -12.683268, 136.545918 -12.389066, 136.558675 -12.383267, 136.575736 -12.380121, 136.645311 -12.39006, 136.661669 -12.389525, 136.674134 -12.384097, 136.712897 -12.348316, 136.722781 -12.344185, 136.734764 -12.340364, 136.782472 -12.337382, 136.799199 -12.332745, 136.830446 -12.308747, 136.837544 -12.302066, 136.841315 -12.29462, 136.847564 -12.257392, 136.846484 -12.250162, 136.841719 -12.244449, 136.80306 -12.212942, 136.762738 -12.182959)"/>
  </r>
  <r>
    <s v="P1193"/>
    <s v="Gas"/>
    <s v="Australia"/>
    <s v="Australia"/>
    <s v="Australia"/>
    <m/>
    <s v="https://www.gem.wiki/Tubridgi_Pipeline_System"/>
    <x v="33"/>
    <m/>
    <s v="TPS"/>
    <s v="Cheung Kong Holdings [100.00%]"/>
    <s v="Cheung Kong Holdings [100.00%]"/>
    <x v="0"/>
    <n v="1992"/>
    <m/>
    <m/>
    <m/>
    <n v="30"/>
    <s v="TJ/d"/>
    <n v="0.31"/>
    <x v="6"/>
    <n v="87"/>
    <n v="107.95"/>
    <n v="87"/>
    <m/>
    <m/>
    <s v="Tubridgi Gas Field"/>
    <m/>
    <s v="Australia and New Zealand"/>
    <m/>
    <s v="Western Australia"/>
    <m/>
    <m/>
    <s v="Western Australia"/>
    <s v="Australia and New Zealand"/>
    <m/>
    <m/>
    <m/>
    <m/>
    <m/>
    <s v="LINESTRING (114.8101774 -21.7623267, 115.4748074 -22.5153676)"/>
  </r>
  <r>
    <s v="P1194"/>
    <s v="Gas"/>
    <s v="Australia"/>
    <s v="Australia"/>
    <s v="Australia"/>
    <m/>
    <s v="https://www.gem.wiki/Victorian_Transmission_System"/>
    <x v="34"/>
    <m/>
    <m/>
    <s v="APA Group [unknown %]"/>
    <s v="APA Group [unknown %]"/>
    <x v="0"/>
    <m/>
    <m/>
    <m/>
    <m/>
    <n v="1030"/>
    <s v="TJ/d"/>
    <n v="10.53"/>
    <x v="26"/>
    <n v="2035"/>
    <n v="2064.5"/>
    <n v="2035"/>
    <m/>
    <m/>
    <m/>
    <m/>
    <s v="Australia and New Zealand"/>
    <m/>
    <s v="Victoria"/>
    <m/>
    <m/>
    <s v="Victoria"/>
    <s v="Australia and New Zealand"/>
    <m/>
    <m/>
    <m/>
    <m/>
    <m/>
    <s v="MULTILINESTRING ((147.01716 -35.66077, 147.01058 -35.69078, 146.95735 -35.72077, 146.91865 -35.77176, 146.87662 -35.77531, 146.81552 -35.82147, 146.76906 -35.83259, 146.76608 -35.86419, 146.69367 -35.93801, 146.678336 -36.088736), (144.235821 -36.836227, 144.194714 -36.918315, 144.167313 -37.076938, 144.148008 -37.136941, 144.149727 -37.140757, 144.14575 -37.161917, 144.15075 -37.182111, 144.148614 -37.200437, 144.144867 -37.207378, 144.144892 -37.2201, 144.140775 -37.229993, 144.140776 -37.245019, 144.158234 -37.254516, 144.164812 -37.260487, 144.164882 -37.263151), (145.047352 -37.951556, 145.047509 -37.951486, 145.047978 -37.951243), (145.061271 -37.909871, 145.061152 -37.910124), (145.070455 -37.884744, 145.047944 -37.951258), (145.562065 -35.849395, 145.560685 -35.882061, 145.597956 -35.898697, 145.598831 -35.926395, 145.622306 -35.951566, 145.686855 -35.955104, 145.995342 -36.055538, 146.423386 -36.086659, 146.555702 -36.155123), (145.032708 -36.343803, 145.159181 -36.403747, 145.408206 -36.451861), (146.511123 -38.15536, 146.511113 -38.15541, 146.509209 -38.165201, 146.47935 -38.200606, 146.463735 -38.203705, 146.45702 -38.236548, 146.425443 -38.263037), (144.421606 -37.2536, 144.450668 -37.276102, 144.793805 -37.303566, 145.056277 -37.347516), (144.697755 -37.790492, 144.697636 -37.791295), (144.697755 -37.790492, 144.712103 -37.718473), (144.995733 -37.574018, 145.007487 -37.442484, 145.063011 -37.335522, 145.060347 -37.237071, 145.079229 -37.159679, 145.121697 -37.072704, 145.169878 -37.062508, 145.191951 -37.04185, 145.166392 -36.933787, 145.20984 -36.887314, 145.363031 -36.800654, 145.451053 -36.772154, 145.555439 -36.721631, 145.71913 -36.620174, 145.937829 -36.527492, 146.037282 -36.516661, 146.232215 -36.457094, 146.3562 -36.370653, 146.476955 -36.205192, 146.586205 -36.137584, 146.621095 -36.13816, 146.669064 -36.091533, 146.748008 -36.075088, 146.791814 -36.080357), (144.995546 -37.575007, 144.995377 -37.577994, 144.993372 -37.59046, 145.000338 -37.597989, 144.978227 -37.692528), (142.634131 -38.400033, 142.784684 -38.479938, 142.956149 -38.555541), (145.49192 -38.084652, 145.489874 -38.094906, 145.599367 -38.126856, 145.839088 -38.158417, 145.952957 -38.214586, 146.169962 -38.216685, 146.263295 -38.200595, 146.295972 -38.219155, 146.288092 -38.23969, 146.329547 -38.291611, 146.389036 -38.308206, 146.425376 -38.263164), (145.491053 -38.088682, 145.491917 -38.084648), (144.994875 -37.577939, 144.995377 -37.577994, 145.033411 -37.579276, 145.068866 -37.574925, 145.100045 -37.579174, 145.136596 -37.575673, 145.276231 -37.589423, 145.340831 -37.631714, 145.334947 -37.664702, 145.499319 -37.723814, 145.53472 -37.892648, 145.526163 -38.063376), (141.583504 -38.279972, 141.570393 -38.321289, 141.587376 -38.330278, 141.586555 -38.362147, 141.632055 -38.381222), (145.209393 -37.98111, 145.210971 -37.982205), (145.224373 -37.806444, 145.224388 -37.80644), (145.308339 -37.78978, 145.308533 -37.789763, 145.309997 -37.789288, 145.311004 -37.785063, 145.325846 -37.78133, 145.334049 -37.760748), (145.275864 -37.784613, 145.276086 -37.78437), (145.21944 -37.808645, 145.219428 -37.808663), (145.333567 -37.760816, 145.334027 -37.760754), (146.435455 -38.140358, 146.443714 -38.140158, 146.449505 -38.144226, 146.477502 -38.151476, 146.511113 -38.15541, 146.563429 -38.167591, 147.107306 -38.218138, 147.16234 -38.219634), (146.426244 -38.274482, 146.424699 -38.274133), (146.425261 -38.273984, 146.423227 -38.273263), (145.284562 -38.07566, 145.284785 -38.075119), (145.210335 -38.015967, 145.284785 -38.075119, 145.489874 -38.094906), (141.991471 -37.76654, 141.967851 -37.905801, 141.986422 -37.99188, 142.020947 -38.03185, 142.023864 -38.12492, 141.993722 -38.239245), (143.053621 -38.329254, 142.995629 -38.386324, 142.857805 -38.469832, 142.837956 -38.502902), (145.208442 -37.987389, 145.212374 -37.984714, 145.212925 -37.990014, 145.210232 -37.991381, 145.206719 -38.009004, 145.205892 -38.013471, 145.205878 -38.013544, 145.210563 -38.014171), (145.208431 -37.987383, 145.208443 -37.987384), (145.219421 -37.808656, 145.227284 -37.847503, 145.243718 -37.852666, 145.211598 -37.981752), (145.104388 -37.72583, 145.1047 -37.726093), (145.083307 -37.710485, 145.169178 -37.749157, 145.19022 -37.805545, 145.230285 -37.804628, 145.24926 -37.780537, 145.308533 -37.789763), (145.083176 -37.710259, 145.08317 -37.710372), (145.059782 -37.700073, 145.083352 -37.710482), (145.010942 -37.694769, 145.010889 -37.695109), (144.990853 -37.692783, 144.99104 -37.693512), (144.9786 -37.692565, 145.059715 -37.700259), (144.990349 -37.692447, 144.990304 -37.692727), (144.723057 -37.587093, 144.718443 -37.619175, 144.735026 -37.642844, 144.727783 -37.646354, 144.703137 -37.75521, 144.697559 -37.791298, 144.697549 -37.791363), (144.81697 -37.816743, 144.81698 -37.816742, 144.817016 -37.816721, 144.822397 -37.822458, 144.823688 -37.823833, 144.827478 -37.823641, 144.906863 -37.805738, 144.948051 -37.820676), (144.816977 -37.816738, 144.81698 -37.816742), (144.869382 -37.812084, 144.869277 -37.812269), (144.881526 -37.810514, 144.881676 -37.810568), (144.818099 -37.808491, 144.817816 -37.81025, 144.817808 -37.810296, 144.81702 -37.816718), (144.818133 -37.808329, 144.818104 -37.808492), (145.408541 -36.451855, 145.459463 -36.547576, 145.469452 -36.6318, 145.545757 -36.726314), (143.828842 -37.045122, 144.145652 -37.161786), (142.95642 -38.55583, 143.037117 -38.571066), (146.786407 -36.079962, 146.84538 -36.106064), (144.766905 -36.183203, 144.915061 -36.302775, 145.032284 -36.343803), (143.037122 -38.571059, 143.151865 -38.537339, 143.283629 -38.450467, 143.542034 -38.385255, 143.606025 -38.39389, 143.803796 -38.292179, 144.081579 -38.189035, 144.35506 -38.016386, 144.408389 -38.043592), (145.214314 -38.018175, 145.269277 -38.024765, 145.344859 -38.040793, 145.465156 -38.057258, 145.572253 -38.06887, 145.624501 -38.080959, 145.752726 -38.087429, 146.161579 -38.12359, 146.372347 -38.132496, 146.443746 -38.140054, 146.449559 -38.144137, 146.461584 -38.145785, 146.477534 -38.151384, 146.505763 -38.154201, 146.563453 -38.167498, 146.71762 -38.179688, 147.107313 -38.218044, 147.15632 -38.218805, 147.162303 -38.219533), (145.052393 -37.957393, 145.0524 -37.957394), (145.047283 -37.951459, 145.047509 -37.951486, 145.052071 -37.957374, 145.058055 -37.965735, 145.163117 -37.99307), (145.163257 -37.992817, 145.161661 -38.000347, 145.181649 -38.003048, 145.190118 -38.011958, 145.205878 -38.013544, 145.205436 -38.015814, 145.21028 -38.016948, 145.211571 -38.017144), (145.144019 -37.990665, 145.144205 -37.990556), (145.127743 -37.980596, 145.127768 -37.980615), (145.12545 -37.978542, 145.125493 -37.978583), (145.122508 -37.975768, 145.122429 -37.976049), (145.052071 -37.957374, 145.052392 -37.9574), (145.209159 -37.981183, 145.209237 -37.981143), (145.209385 -37.981115, 145.209587 -37.980922), (145.209393 -37.98111, 145.205726 -37.988962, 145.205892 -38.013471, 145.210504 -38.014042, 145.210811 -38.014201), (144.975372 -37.853886, 145.015159 -37.860945, 145.09376 -37.893804, 145.157298 -37.933936, 145.211769 -37.982829, 145.211556 -37.984625), (144.97572 -37.853882, 144.975717 -37.853904), (145.163879 -37.939896, 145.163592 -37.940415), (145.158006 -37.934591, 145.157718 -37.935214), (145.140865 -37.923201, 145.14094 -37.923332), (145.119244 -37.909616, 145.119403 -37.909683), (145.096333 -37.895341, 145.096375 -37.895295), (145.093147 -37.894102, 145.093752 -37.893801), (145.045582 -37.877873, 145.047398 -37.877933), (145.031327 -37.866767, 145.031135 -37.867577), (145.019239 -37.862734, 145.01919 -37.863583), (144.996571 -37.856228, 144.997732 -37.856384), (144.96717 -37.846688, 144.967302 -37.846595), (144.959112 -37.836081, 144.976038 -37.853761), (144.959429 -37.837883, 144.959876 -37.837752), (144.955526 -37.822447, 144.955535 -37.822445), (144.956048 -37.822266, 144.956059 -37.822291), (144.996575 -37.856229, 144.996569 -37.856242), (144.956069 -37.822289, 144.955526 -37.822447, 144.957508 -37.826642, 144.955533 -37.828321, 144.959056 -37.836029), (144.56366 -37.767737, 144.563664 -37.767347), (144.426281 -37.712788, 144.424277 -37.713998), (144.235922 -36.836058, 144.223471 -36.842813, 144.206776 -36.879832, 144.194461 -36.91872, 144.170763 -37.022735, 144.167038 -37.044702, 144.169689 -37.061992, 144.165566 -37.075704, 144.167183 -37.07697, 144.147879 -37.136938, 144.149601 -37.140766, 144.145622 -37.161954, 144.150626 -37.182092, 144.148604 -37.184965, 144.1485 -37.200399, 144.144747 -37.207361, 144.144772 -37.220037, 144.142433 -37.220885, 144.140655 -37.229985, 144.140655 -37.245063, 144.158134 -37.254574, 144.160232 -37.2585, 144.164694 -37.260544, 144.164762 -37.263177, 144.170426 -37.26749, 144.178711 -37.270064, 144.421631 -37.253398), (144.164762 -37.263177, 144.166612 -37.338134, 144.125758 -37.430691, 144.154269 -37.469983, 144.183257 -37.594066, 144.240585 -37.610041, 144.391855 -37.709232, 144.585396 -37.779024, 144.634324 -37.784089, 144.75149 -37.796169, 144.757756 -37.798017, 144.787913 -37.799155, 144.787769 -37.80028, 144.801773 -37.802271, 144.801472 -37.804902, 144.806502 -37.805369, 144.806714 -37.809342, 144.817808 -37.810296, 144.817138 -37.8163, 144.822758 -37.82228, 144.830136 -37.8191), (144.416113 -38.040544, 144.431589 -38.034506, 144.514178 -37.994046, 144.514425 -37.99269, 144.558839 -37.969075, 144.563145 -37.968777, 144.628359 -37.930885, 144.692994 -37.907178, 144.71043 -37.874161, 144.767677 -37.836228, 144.788596 -37.835215, 144.794328 -37.831133, 144.822392 -37.82246, 144.822397 -37.822458, 144.830963 -37.818948), (144.382754 -38.066426, 144.415712 -38.039797), (144.408869 -38.043277, 144.421403 -38.035243, 144.514116 -37.994, 144.514356 -37.992657, 144.555627 -37.970916, 144.554782 -37.969919, 144.573385 -37.869236, 144.57151 -37.859534, 144.618266 -37.824873, 144.634324 -37.784089, 144.697559 -37.791298, 144.751442 -37.796082, 144.757756 -37.798017, 144.787769 -37.80028, 144.801826 -37.802234, 144.817816 -37.81025, 144.825025 -37.820897, 144.829484 -37.819222), (145.526599 -38.063736, 145.736035 -38.086503), (141.584024 -38.28006, 141.769157 -38.223947, 141.915708 -38.23593, 142.314763 -38.25516, 142.441995 -38.267344, 142.525395 -38.298303, 142.634219 -38.39975), (143.932874 -37.567953, 144.183257 -37.594066))"/>
  </r>
  <r>
    <s v="P1196"/>
    <s v="Gas"/>
    <s v="Australia"/>
    <s v="Australia"/>
    <s v="Australia"/>
    <m/>
    <s v="https://www.gem.wiki/Queensland_Gas_Pipeline"/>
    <x v="35"/>
    <m/>
    <s v="Wallumbilla to Gladstone via Rockhampton Pipeline"/>
    <s v="Jemena [200.00%]"/>
    <s v="State Grid Corporation of China [60.00%]; SP Group [40.00%]"/>
    <x v="0"/>
    <n v="1990"/>
    <m/>
    <m/>
    <m/>
    <n v="149"/>
    <s v="TJ/d"/>
    <n v="1.52"/>
    <x v="27"/>
    <n v="629"/>
    <n v="655.28"/>
    <n v="629"/>
    <m/>
    <m/>
    <m/>
    <s v="Wallumbilla, Gooimbah, Fairview, Westgrove, Moura"/>
    <s v="Australia and New Zealand"/>
    <m/>
    <s v="Queensland"/>
    <s v="Gladstone, Rockhampton and Mour"/>
    <m/>
    <s v="Queensland"/>
    <s v="Australia and New Zealand"/>
    <m/>
    <m/>
    <m/>
    <m/>
    <m/>
    <s v="MULTILINESTRING ((151.287354 -23.863356, 151.285248 -23.865797, 151.282791 -23.868109, 151.281921 -23.868696, 151.280792 -23.868885, 151.278397 -23.868567, 151.277267 -23.868097, 151.274887 -23.868097, 151.274506 -23.867788, 151.273132 -23.865765, 151.272003 -23.863165, 151.268799 -23.862677, 151.268509 -23.862469, 151.267639 -23.862305, 151.266922 -23.86194, 151.263596 -23.85885, 151.261749 -23.858334, 151.259628 -23.857487, 151.25914 -23.857067, 151.257278 -23.857237, 151.252518 -23.858433, 151.252151 -23.858192, 151.248215 -23.857666, 151.247162 -23.857944, 151.246414 -23.857685, 151.245331 -23.857786, 151.24437 -23.857336, 151.242737 -23.857018, 151.241272 -23.857216, 151.240707 -23.857605, 151.240021 -23.857277, 151.239059 -23.857088, 151.235321 -23.857048, 151.233932 -23.856548, 151.232956 -23.855673, 151.232529 -23.854855, 151.231644 -23.851517, 151.230988 -23.850151, 151.229569 -23.849901, 151.226929 -23.85078, 151.224838 -23.85059, 151.224579 -23.849703, 151.223526 -23.849266, 151.223557 -23.848976, 151.223358 -23.848608, 151.221146 -23.846983, 151.218811 -23.846046, 151.217667 -23.846006, 151.217422 -23.846275, 151.215805 -23.846983, 151.212692 -23.845907, 151.212112 -23.846077, 151.207291 -23.845051, 151.195511 -23.839321, 151.170288 -23.833422, 151.162445 -23.831589, 151.16069 -23.830582, 151.159195 -23.829086, 151.15834 -23.827621, 151.157654 -23.825291, 151.156967 -23.824104, 151.153275 -23.821598, 151.152024 -23.821672, 151.150024 -23.821426, 151.147842 -23.821684, 151.144348 -23.82279, 151.141724 -23.822719, 151.138809 -23.825949, 151.13237 -23.827263, 151.131653 -23.82836, 151.131058 -23.828371, 151.128036 -23.830881, 151.122498 -23.83679, 151.122314 -23.837423, 151.120712 -23.838055, 151.119171 -23.83917, 151.116989 -23.839619, 151.11673 -23.840616, 151.116348 -23.840885, 151.114975 -23.842638, 151.112183 -23.844851, 151.10759 -23.847202, 151.106217 -23.847481, 151.103027 -23.847322, 151.102814 -23.847702, 151.101212 -23.848457, 151.096008 -23.849436, 151.094711 -23.849075, 151.087921 -23.852142, 151.072754 -23.856777, 151.063675 -23.857893, 151.048569 -23.862711, 151.045059 -23.864239, 151.037613 -23.866211, 151.015183 -23.882233, 151.014542 -23.882769, 151.012085 -23.88843, 151.011444 -23.889423, 151.010895 -23.889851, 150.995468 -23.912975, 150.96347 -23.970102, 150.966644 -23.982143, 150.968491 -23.985374, 150.968552 -23.987913, 150.966949 -24.001522, 150.966019 -24.002026, 150.964539 -24.010586, 150.964355 -24.012938, 150.96373 -24.016356, 150.961578 -24.023977, 150.959061 -24.03027, 150.958054 -24.031355, 150.955338 -24.038521, 150.946274 -24.045862, 150.937683 -24.048441, 150.933594 -24.04995, 150.928146 -24.05246, 150.923141 -24.05555, 150.908707 -24.06138, 150.908554 -24.061581, 150.908646 -24.063204, 150.896988 -24.069836, 150.88385 -24.077946, 150.878433 -24.079809, 150.874878 -24.082439, 150.873444 -24.083698, 150.87146 -24.084871, 150.868958 -24.085899, 150.845474 -24.089783, 150.845245 -24.089981, 150.845352 -24.090971, 150.838501 -24.095234, 150.833267 -24.095471, 150.832077 -24.094996, 150.826675 -24.095295, 150.802887 -24.10206, 150.793259 -24.106239, 150.789063 -24.109058, 150.785034 -24.112072, 150.783752 -24.111294, 150.773361 -24.112467, 150.763229 -24.116282, 150.758224 -24.117529, 150.75531 -24.117405, 150.752502 -24.119471, 150.748291 -24.123167, 150.74794 -24.123394, 150.745407 -24.12385, 150.743988 -24.125896, 150.741241 -24.128908, 150.740616 -24.13043, 150.73851 -24.132303, 150.737747 -24.132654, 150.736755 -24.133867, 150.736115 -24.134312, 150.733917 -24.135147, 150.732559 -24.136135, 150.731812 -24.136951, 150.72641 -24.141022, 150.716827 -24.144739, 150.714127 -24.146639, 150.709229 -24.150023, 150.70668 -24.151464, 150.69519 -24.160769, 150.693253 -24.162901, 150.68692 -24.164825, 150.681915 -24.167835, 150.680954 -24.168129, 150.674026 -24.172277, 150.657364 -24.174997, 150.653168 -24.178503, 150.651047 -24.178776, 150.649857 -24.17975, 150.648697 -24.180058, 150.648392 -24.180496, 150.648071 -24.18067, 150.647507 -24.18058, 150.64592 -24.180899, 150.64534 -24.181879, 150.644058 -24.182156, 150.64183 -24.183489, 150.639832 -24.183613, 150.637421 -24.184624, 150.636383 -24.184517, 150.635147 -24.187124, 150.630905 -24.18815, 150.628006 -24.190329, 150.627365 -24.191092, 150.627274 -24.191877, 150.62706 -24.192171, 150.624756 -24.192265, 150.623901 -24.192064, 150.621765 -24.192186, 150.620789 -24.192591, 150.620316 -24.193117, 150.618088 -24.194193, 150.617218 -24.195147, 150.617386 -24.196251, 150.616348 -24.199259, 150.614761 -24.201153, 150.6147 -24.202175, 150.613129 -24.203201, 150.611801 -24.203011, 150.611008 -24.202528, 150.609482 -24.202396, 150.60733 -24.203369, 150.606247 -24.204229, 150.605804 -24.205362, 150.604645 -24.206017, 150.602768 -24.205715, 150.601883 -24.205862, 150.59288 -24.211266, 150.591659 -24.211254, 150.586975 -24.212564, 150.585464 -24.213419, 150.584366 -24.213804, 150.582443 -24.21595, 150.581665 -24.216368, 150.579849 -24.216644, 150.579361 -24.217157, 150.578186 -24.217611, 150.577576 -24.218035, 150.574112 -24.225559, 150.569107 -24.229607, 150.564804 -24.230762, 150.560318 -24.235703, 150.557755 -24.236729, 150.546951 -24.243967, 150.520782 -24.26103, 150.517807 -24.264236, 150.50528 -24.26882, 150.483795 -24.275047, 150.469971 -24.278389, 150.452667 -24.280113, 150.45163 -24.280384, 150.44519 -24.284184, 150.437607 -24.285732, 150.43103 -24.285145, 150.430374 -24.286318, 150.416718 -24.288042, 150.4133 -24.288076, 150.398849 -24.289318, 150.374069 -24.291145, 150.350388 -24.301125, 150.32991 -24.308455, 150.329132 -24.308077, 150.308044 -24.314503, 150.291214 -24.320448, 150.289337 -24.321743, 150.280945 -24.323133, 150.264313 -24.326202, 150.259842 -24.327976, 150.252853 -24.328648, 150.247665 -24.330183, 150.239319 -24.331448, 150.212723 -24.33954, 150.202927 -24.341833, 150.200348 -24.341158, 150.195892 -24.342373, 150.192123 -24.344099, 150.184021 -24.348818, 150.164307 -24.357403, 150.161575 -24.358639, 150.139908 -24.368048, 150.105316 -24.364021, 150.077896 -24.358404, 150.066086 -24.361715, 150.057739 -24.362907, 150.049088 -24.364796, 150.037476 -24.367603, 150.012421 -24.374689, 149.999908 -24.379456, 149.993271 -24.381651, 149.988388 -24.386454, 149.983047 -24.391111, 149.976379 -24.397533, 149.968628 -24.405645, 149.948334 -24.408775, 149.927216 -24.414583, 149.912659 -24.418936, 149.896286 -24.420233, 149.873535 -24.419436, 149.87233 -24.419601, 149.851654 -24.418919, 149.836731 -24.420713, 149.835144 -24.421473, 149.83371 -24.421497, 149.809662 -24.431332, 149.783752 -24.442156, 149.765701 -24.450695, 149.763962 -24.450828, 149.761841 -24.450232, 149.76091 -24.449579, 149.760193 -24.448496, 149.75943 -24.448051, 149.757828 -24.447773, 149.757355 -24.448313, 149.757187 -24.449074, 149.755478 -24.450472, 149.754776 -24.450687, 149.752625 -24.452452, 149.751434 -24.45227, 149.745087 -24.455757, 149.72258 -24.453581, 149.708115 -24.462309, 149.685974 -24.470058, 149.659576 -24.477186, 149.640549 -24.480938, 149.612061 -24.484713, 149.533997 -24.513592, 149.511383 -24.520845, 149.483566 -24.532671, 149.433777 -24.547649, 149.430313 -24.548914, 149.403 -24.553961, 149.375 -24.565336, 149.3461 -24.572998, 149.341446 -24.575914, 149.336975 -24.578032, 149.33374 -24.578253, 149.328018 -24.581423, 149.321426 -24.582321, 149.320435 -24.583338, 149.317093 -24.584457, 149.301849 -24.590237, 149.295822 -24.592577, 149.286118 -24.596645, 149.275253 -24.60051, 149.258545 -24.605036, 149.240982 -24.606562, 149.238785 -24.606409, 149.236374 -24.606934, 149.212402 -24.619495, 149.186462 -24.62236, 149.153885 -24.631784, 149.14537 -24.636311, 149.124664 -24.645176, 149.118088 -24.648193, 149.072937 -24.654766, 149.066452 -24.654673, 149.062012 -24.65346, 149.04924 -24.653831, 149.038834 -24.652201, 149.037582 -24.65094, 149.03566 -24.650148, 149.032532 -24.65032, 149.031708 -24.650232, 149.030167 -24.652002, 149.027969 -24.653685, 149.023727 -24.656208, 149.023163 -24.658155, 149.021439 -24.657993, 149.020142 -24.660059, 149.019211 -24.660208, 149.01648 -24.659632, 149.014771 -24.660355, 149.012573 -24.662199, 149.004562 -24.664295, 149.002426 -24.666243, 148.997757 -24.667364, 148.996277 -24.667364, 148.989487 -24.666685, 148.979858 -24.669006, 148.975861 -24.669586, 148.972107 -24.67235, 148.960953 -24.679106, 148.952591 -24.682211, 148.945938 -24.686817, 148.925568 -24.69289, 148.872787 -24.705858, 148.846298 -24.707973, 148.842239 -24.709543, 148.833176 -24.734247, 148.833817 -24.739569, 148.831604 -24.745029, 148.8116 -24.803343, 148.794266 -24.849987, 148.77858 -24.910416, 148.757278 -24.990841, 148.749222 -25.01442, 148.748276 -25.015614, 148.732407 -25.073109, 148.720261 -25.082287, 148.719986 -25.142359, 148.708298 -25.179287, 148.706314 -25.19795, 148.698639 -25.204851, 148.697617 -25.220158, 148.697861 -25.23077, 148.696609 -25.235525, 148.695908 -25.236422, 148.693512 -25.238401, 148.692993 -25.240175, 148.693344 -25.242418, 148.693253 -25.244261, 148.691711 -25.246805, 148.690002 -25.248745, 148.684631 -25.253832, 148.681137 -25.253832, 148.680267 -25.254665, 148.677582 -25.255604, 148.675705 -25.257898, 148.671951 -25.261318, 148.667511 -25.263821, 148.666229 -25.265446, 148.660263 -25.275122, 148.665588 -25.289196, 148.665604 -25.29122, 148.667755 -25.294348, 148.667831 -25.296911, 148.666412 -25.299171, 148.666336 -25.300289, 148.66362 -25.302855, 148.660995 -25.306461, 148.663818 -25.312363, 148.661087 -25.331921, 148.659805 -25.332151, 148.659348 -25.334736, 148.658615 -25.337364, 148.656082 -25.341076, 148.652176 -25.343098, 148.648361 -25.347269, 148.645493 -25.349146, 148.644135 -25.351543, 148.642731 -25.353502, 148.641205 -25.359488, 148.638519 -25.374125, 148.634933 -25.376022, 148.631622 -25.377295, 148.629486 -25.378401, 148.626038 -25.381298, 148.625839 -25.382549, 148.625885 -25.384405, 148.625336 -25.387053, 148.625366 -25.389681, 148.626175 -25.393684, 148.624023 -25.39715, 148.618591 -25.410282, 148.618607 -25.414139, 148.620468 -25.419291, 148.622253 -25.429903, 148.622055 -25.433678, 148.639725 -25.467583, 148.647049 -25.502384, 148.650192 -25.519794, 148.655807 -25.534266, 148.655243 -25.544107, 148.660034 -25.554262, 148.661285 -25.577242, 148.659439 -25.580076, 148.670532 -25.609457, 148.675263 -25.634798, 148.668121 -25.68792, 148.662613 -25.726849, 148.654984 -25.75379, 148.662582 -25.76152, 148.663483 -25.764616, 148.661743 -25.773823, 148.669235 -25.796015, 148.682556 -25.801315, 148.688599 -25.814886, 148.691177 -25.816235, 148.692886 -25.818945, 148.69548 -25.823589, 148.702988 -25.835129, 148.717789 -25.856461, 148.717407 -25.858021, 148.735916 -25.882441, 148.743149 -25.888851, 148.744675 -25.890703, 148.746689 -25.892145, 148.764862 -25.908741, 148.795639 -25.931355, 148.815094 -25.981131, 148.839767 -26.021807, 148.84642 -26.037102, 148.849991 -26.039299, 148.851196 -26.048559, 148.877716 -26.088011, 148.88797 -26.11133, 148.899017 -26.135111, 148.909378 -26.161089, 148.925385 -26.188351, 148.929642 -26.200809, 148.929504 -26.201376, 148.930878 -26.206619, 148.946945 -26.250059, 148.946899 -26.25218, 148.948853 -26.255318, 148.959396 -26.283924, 148.971817 -26.29471, 148.989655 -26.314219, 148.998215 -26.324034, 149.002228 -26.331621, 149.007263 -26.337671, 149.010574 -26.357569, 149.011017 -26.359421, 149.012344 -26.360422, 149.012238 -26.361288, 149.031418 -26.402966, 149.058655 -26.452053, 149.059753 -26.452948, 149.060532 -26.455563, 149.068909 -26.471176, 149.086288 -26.491413, 149.092896 -26.501886, 149.094406 -26.504768, 149.11319 -26.521172, 149.113449 -26.521589, 149.119095 -26.534391, 149.131577 -26.581297, 149.132172 -26.58395, 149.132172 -26.584991, 149.131531 -26.585762, 149.132462 -26.586794, 149.147507 -26.598803, 149.152771 -26.609497, 149.165009 -26.629417, 149.17276 -26.653555, 149.173035 -26.660782, 149.177322 -26.671833, 149.184174 -26.690393, 149.184387 -26.691689), (148.675263 -25.634798, 148.67826 -25.634768, 148.681595 -25.634735, 148.693649 -25.623562, 148.716766 -25.623363, 148.722397 -25.621513, 148.763702 -25.610802, 148.776794 -25.609609, 148.808517 -25.610125, 148.818115 -25.610846, 148.857575 -25.609228, 148.903946 -25.614092, 148.926376 -25.612316), (150.502182 -23.31712, 150.50647 -23.324768, 150.50679 -23.329548, 150.501801 -23.331911, 150.50145 -23.332153, 150.501236 -23.332575, 150.500351 -23.332962, 150.493271 -23.333614, 150.48999 -23.335213, 150.48819 -23.334932, 150.486649 -23.343872, 150.487137 -23.349831, 150.48645 -23.351166, 150.484299 -23.357077, 150.480682 -23.362228, 150.477203 -23.36454, 150.476532 -23.364729, 150.475906 -23.365582, 150.474014 -23.366276, 150.472397 -23.36735, 150.468811 -23.368685, 150.464111 -23.375187, 150.464249 -23.375845, 150.463242 -23.380503, 150.464127 -23.384972, 150.463745 -23.386551, 150.472595 -23.398552, 150.480682 -23.410206, 150.480652 -23.411121, 150.481934 -23.412827, 150.481995 -23.414469, 150.481339 -23.41848, 150.4953 -23.445734, 150.497101 -23.451513, 150.49826 -23.457008, 150.498871 -23.457386, 150.499725 -23.463039, 150.50061 -23.463039, 150.501205 -23.467209, 150.501175 -23.467871, 150.503296 -23.470337, 150.503387 -23.475576, 150.503952 -23.48262, 150.51001 -23.487135, 150.511429 -23.490894, 150.51683 -23.501442, 150.51889 -23.507568, 150.517746 -23.515244, 150.518982 -23.516033, 150.520905 -23.519159, 150.522202 -23.524117, 150.523346 -23.525002, 150.526001 -23.529076, 150.528046 -23.531317, 150.534744 -23.532043, 150.541306 -23.540918, 150.541367 -23.54155, 150.54567 -23.552792, 150.549881 -23.558157, 150.55127 -23.559246, 150.5513 -23.559507, 150.552689 -23.561686, 150.55748 -23.563723, 150.55661 -23.571941, 150.555984 -23.575354, 150.556351 -23.57585, 150.558243 -23.590038, 150.559525 -23.59115, 150.559616 -23.591482, 150.570084 -23.598707, 150.574295 -23.604628, 150.574814 -23.605907, 150.578064 -23.610739, 150.578934 -23.611639, 150.579361 -23.611876, 150.596329 -23.627485, 150.602203 -23.633524, 150.604736 -23.635159, 150.609161 -23.639044, 150.617126 -23.649395, 150.620132 -23.652828, 150.61998 -23.654249, 150.620361 -23.654533, 150.623566 -23.658751, 150.624939 -23.659863, 150.631638 -23.672985, 150.632706 -23.673199, 150.643036 -23.679546, 150.644455 -23.680233, 150.645218 -23.680115, 150.660721 -23.689541, 150.661987 -23.689257, 150.690231 -23.698992, 150.690613 -23.699465, 150.706345 -23.70418, 150.721573 -23.703516, 150.721954 -23.703657, 150.730835 -23.703539, 150.739929 -23.705173, 150.745758 -23.704535, 150.755112 -23.708775, 150.755249 -23.709177, 150.770599 -23.713867, 150.777115 -23.714766, 150.788147 -23.718958, 150.790482 -23.720215, 150.792465 -23.720308, 150.800232 -23.725306, 150.805237 -23.731607, 150.805969 -23.731678, 150.805878 -23.732317, 150.806396 -23.733479, 150.807571 -23.73497, 150.815872 -23.73793, 150.816528 -23.738333, 150.817902 -23.739779, 150.821503 -23.739185, 150.822967 -23.738617, 150.829681 -23.740986, 150.839813 -23.746576, 150.84462 -23.747215, 150.858475 -23.754488, 150.861847 -23.755363, 150.867004 -23.756168, 150.886353 -23.767065, 150.902985 -23.780281, 150.90416 -23.780998, 150.909348 -23.78355, 150.909637 -23.784071, 150.911346 -23.785633, 150.912338 -23.786013, 150.914612 -23.788879, 150.926178 -23.795914, 150.943222 -23.808823, 150.947342 -23.810196, 150.9478 -23.810228, 150.949661 -23.811785, 150.951828 -23.817835, 150.951462 -23.82163, 150.95192 -23.82346, 150.952972 -23.825146, 150.964569 -23.833977, 150.968231 -23.834663, 150.976456 -23.836794, 150.977753 -23.83779, 150.977875 -23.83831, 150.978668 -23.838974, 150.980286 -23.841059, 150.981949 -23.843971, 150.98259 -23.844114, 150.98674 -23.84742, 150.990311 -23.852009, 150.998291 -23.863298, 151.005615 -23.873365, 151.006958 -23.874952, 151.010986 -23.881086, 151.014328 -23.881536, 151.015183 -23.882233), (151.147903 -23.821651, 151.147186 -23.820059, 151.148026 -23.818571, 151.148621 -23.814535, 151.148376 -23.81423, 151.148499 -23.813372, 151.147217 -23.813065, 151.148117 -23.800566, 151.147705 -23.799295, 151.147644 -23.798462, 151.149124 -23.788509, 151.148941 -23.788107))"/>
  </r>
  <r>
    <s v="P1197"/>
    <s v="Gas"/>
    <s v="Australia"/>
    <s v="Australia"/>
    <s v="Australia"/>
    <m/>
    <s v="https://www.gem.wiki/West-East_Gas_Pipeline"/>
    <x v="36"/>
    <m/>
    <s v="Trans-Australia Gas Pipeline"/>
    <s v="Unknown [unknown %]"/>
    <s v="Unknown [unknown %]"/>
    <x v="1"/>
    <m/>
    <m/>
    <m/>
    <m/>
    <n v="554.82000000000005"/>
    <s v="MMcf/d"/>
    <n v="5.74"/>
    <x v="28"/>
    <n v="2900"/>
    <n v="3060.49"/>
    <n v="2900"/>
    <m/>
    <m/>
    <m/>
    <s v="Karratha"/>
    <s v="Australia and New Zealand"/>
    <m/>
    <s v="Western Australia"/>
    <s v="Moomba"/>
    <m/>
    <s v="South Australia"/>
    <s v="Australia and New Zealand"/>
    <m/>
    <m/>
    <m/>
    <m/>
    <m/>
    <s v="LINESTRING (116.858 -20.761, 116.886 -21.792, 117.692 -22.669, 118.038 -23.355, 119.07 -23.545, 119.579 -24.224, 119.899 -24.285, 119.892 -24.774, 120.754 -26.023, 121.834 -26.451, 122.372 -27.184, 122.689 -27.209, 123.288 -28.198, 125.12 -30.005, 126.683 -30.066, 127.355 -30.579, 130.176 -30.506, 132.058 -30.389, 134.285 -30.656, 136.711 -31.28, 137.147 -30.359, 138.275 -29.696, 139.141 -29.073, 140.206 -28.115)"/>
  </r>
  <r>
    <s v="P1198"/>
    <s v="Gas"/>
    <s v="Australia"/>
    <s v="Australia"/>
    <s v="Australia"/>
    <m/>
    <s v="https://www.gem.wiki/Western_Slopes_Pipeline"/>
    <x v="37"/>
    <m/>
    <s v="WSP"/>
    <s v="APA Group [100.00%]"/>
    <s v="APA Group [100.00%]"/>
    <x v="1"/>
    <n v="2019"/>
    <m/>
    <m/>
    <m/>
    <n v="189.56"/>
    <s v="MMcf/d"/>
    <n v="1.96"/>
    <x v="29"/>
    <n v="450"/>
    <n v="465.87"/>
    <n v="450"/>
    <m/>
    <m/>
    <s v="Narrabi Gas Project"/>
    <s v="Narrabi"/>
    <s v="Australia and New Zealand"/>
    <m/>
    <s v="New South Wales"/>
    <m/>
    <m/>
    <s v="New South Wales"/>
    <s v="Australia and New Zealand"/>
    <m/>
    <m/>
    <m/>
    <m/>
    <m/>
    <s v="LINESTRING (146.151187 -32.688097, 146.251803 -32.659914, 146.30774 -32.641505, 146.356597 -32.612474, 146.387044 -32.567157, 146.452558 -32.517902, 146.510161 -32.47758, 146.577364 -32.444939, 146.646487 -32.414217, 146.69833 -32.375815, 146.732892 -32.356614, 146.782814 -32.312452, 146.802015 -32.283651, 146.863458 -32.235648, 147.132272 -32.07052, 147.187955 -32.039798, 147.205236 -32.018677, 147.230197 -31.989876, 147.2878 -31.970675, 147.351163 -31.943794, 147.443328 -31.886191, 147.508611 -31.849709, 147.560453 -31.817067, 147.618056 -31.755624, 147.68334 -31.66538, 147.712141 -31.611617, 147.742863 -31.578975, 147.763984 -31.559774, 147.763984 -31.546334, 147.792785 -31.506012, 147.817746 -31.48297, 147.823507 -31.46761, 147.825427 -31.448409, 147.835027 -31.396566, 147.861909 -31.333203, 147.877269 -31.298641, 147.89263 -31.27944, 147.919511 -31.258319, 147.961754 -31.219917, 147.994395 -31.179595, 148.028957 -31.143113, 148.069279 -31.100871, 148.100001 -31.043268, 148.101921 -31.006786, 148.113441 -30.962624, 148.130722 -30.916542, 148.159524 -30.858939, 148.203686 -30.810937, 148.226727 -30.768695, 148.263209 -30.739893, 148.29777 -30.722612, 148.336172 -30.699571, 148.351533 -30.67269, 148.374574 -30.641968, 148.451378 -30.572845, 148.505141 -30.532523, 148.532022 -30.509481, 148.564664 -30.47876, 148.614586 -30.444198, 148.651068 -30.419237, 148.676029 -30.400036, 148.697151 -30.390435, 148.725952 -30.384675, 148.777795 -30.382755, 148.837318 -30.388515, 148.898761 -30.394276, 148.941003 -30.398116, 148.969804 -30.396196, 149.019727 -30.392356, 149.056209 -30.386595, 149.094611 -30.388515, 149.152213 -30.392356, 149.227097 -30.401956, 149.27702 -30.409636, 149.332703 -30.417317, 149.401826 -30.419237, 149.447908 -30.419237, 149.53393 -30.408639, 149.592009 -30.397853, 149.645939 -30.382918, 149.729864 -30.336045)"/>
  </r>
  <r>
    <s v="P1199"/>
    <s v="Gas"/>
    <s v="Australia"/>
    <s v="Australia"/>
    <s v="Australia"/>
    <m/>
    <s v="https://www.gem.wiki/Wheatstone_Ashburton_West_Pipeline"/>
    <x v="38"/>
    <m/>
    <m/>
    <s v="Chevron [100.00%]"/>
    <s v="Chevron [100.00%]"/>
    <x v="0"/>
    <n v="2015"/>
    <m/>
    <m/>
    <m/>
    <n v="337"/>
    <s v="TJ/d"/>
    <n v="3.45"/>
    <x v="30"/>
    <n v="123"/>
    <n v="222.45"/>
    <n v="123"/>
    <m/>
    <m/>
    <m/>
    <s v="Onslow"/>
    <s v="Australia and New Zealand"/>
    <m/>
    <s v="Western Australia"/>
    <m/>
    <m/>
    <s v="Western Australia"/>
    <s v="Australia and New Zealand"/>
    <m/>
    <m/>
    <m/>
    <m/>
    <m/>
    <s v="LINESTRING (114.999053 -21.692664, 114.9983 -21.692373, 114.992703 -21.690897, 114.992284 -21.690756, 114.992826 -21.68909, 114.993853 -21.686763, 114.992717 -21.677579, 114.992529 -21.677467, 114.992488 -21.677302, 114.992342 -21.676217, 114.989262 -21.653396, 114.988887 -21.651495, 114.988801 -21.649972, 114.988024 -21.644013, 114.987722 -21.641885, 114.987342 -21.640193, 114.986803 -21.638502, 114.986115 -21.636828, 114.985236 -21.63514, 114.984177 -21.633339, 114.956594 -21.586684, 114.955584 -21.585004, 114.954164 -21.583091, 114.952415 -21.581099, 114.950544 -21.579006, 114.829609 -21.443734, 114.826733 -21.440122, 114.824101 -21.436024, 114.82201 -21.431856, 114.820071 -21.426372, 114.818893 -21.42083, 114.815948 -21.396378, 114.815966 -21.395537, 114.815486 -21.395409, 114.815062 -21.394912, 114.814899 -21.393714, 114.791446 -21.197469, 114.791543 -21.186476, 114.794878 -21.17473, 114.804424 -21.153836, 114.840942 -21.073865, 114.843496 -21.065018, 114.844318 -21.056922, 114.86226 -20.833219, 114.862784 -20.826681, 114.86298 -20.815782, 114.86491 -20.616518, 114.866526 -20.609133, 114.869665 -20.601583, 114.873805 -20.595127, 114.922114 -20.533726, 114.925873 -20.52811, 114.929072 -20.520979, 114.970245 -20.400738, 114.972964 -20.394429, 114.975002 -20.390939, 115.076863 -20.232834, 115.079851 -20.228362, 115.151966 -20.130364, 115.154571 -20.127135, 115.164247 -20.116169, 115.224927 -20.047396, 115.229738 -20.042227, 115.237634 -20.034734, 115.249865 -20.023129, 115.267264 -20.006564, 115.296096 -19.976765, 115.298292 -19.974691, 115.301919 -19.971961, 115.307381 -19.96839, 115.313187 -19.964792, 115.316266 -19.963367, 115.3286 -19.958908, 115.332533 -19.957745, 115.336086 -19.957098, 115.34318 -19.956167, 115.346064 -19.955663, 115.349808 -19.954613, 115.355554 -19.952258, 115.362059 -19.949241, 115.367409 -19.945451, 115.37112 -19.942397, 115.374109 -19.939354, 115.377087 -19.935327, 115.379563 -19.931718, 115.381317 -19.929161)"/>
  </r>
  <r>
    <s v="P1200"/>
    <s v="Gas"/>
    <s v="Australia"/>
    <s v="Australia"/>
    <s v="Australia"/>
    <m/>
    <s v="https://www.gem.wiki/Wide_Bay_Pipeline"/>
    <x v="39"/>
    <m/>
    <m/>
    <s v="Australian Gas Infrastructure Group [unknown %]"/>
    <s v="Australian Gas Infrastructure Group [unknown %]"/>
    <x v="0"/>
    <n v="2000"/>
    <m/>
    <m/>
    <m/>
    <n v="6.2"/>
    <s v="TJ/d"/>
    <n v="0.06"/>
    <x v="31"/>
    <n v="274"/>
    <n v="268.7"/>
    <n v="274"/>
    <m/>
    <m/>
    <m/>
    <s v="Mayborough"/>
    <s v="Australia and New Zealand"/>
    <m/>
    <s v="Queensland"/>
    <s v="Rockhampton"/>
    <m/>
    <s v="Queensland"/>
    <s v="Australia and New Zealand"/>
    <m/>
    <m/>
    <m/>
    <m/>
    <m/>
    <s v="LINESTRING (152.662 -25.476, 152.651 -25.454, 152.599 -25.383, 152.595 -25.348, 152.565 -25.321, 152.534 -25.316, 152.492 -25.307, 152.473 -25.305, 152.458 -25.302, 152.418 -25.284, 152.393 -25.275, 152.373 -25.254, 152.355 -25.23, 152.345 -25.197, 152.339 -25.169, 152.337 -25.156, 152.311 -25.131, 152.318 -25.111, 152.319 -25.092, 152.316 -24.978, 152.298 -24.951, 152.3 -24.921, 152.282 -24.918, 152.278 -24.918, 152.274 -24.919, 152.263 -24.913, 152.251 -24.897, 152.243 -24.899, 152.236 -24.895, 152.231 -24.895, 152.228 -24.892, 152.224 -24.891, 152.221 -24.889, 152.219 -24.879, 152.209 -24.876, 152.197 -24.863, 152.18 -24.857, 152.181 -24.848, 152.162 -24.845, 152.148 -24.844, 152.135 -24.826, 152.127 -24.817, 152.116 -24.815, 152.108 -24.813, 152.105 -24.805, 152.095 -24.803, 152.089 -24.785, 152.071 -24.758, 152.06 -24.75, 152.05 -24.734, 152.034 -24.72, 152.015 -24.691, 151.989 -24.674, 151.98 -24.673, 151.966 -24.666, 151.941 -24.665, 151.913 -24.649, 151.896 -24.642, 151.886 -24.643, 151.862 -24.622, 151.845 -24.614, 151.831 -24.607, 151.821 -24.606, 151.813 -24.599, 151.81 -24.591, 151.807 -24.582, 151.805 -24.579, 151.799 -24.577, 151.795 -24.567, 151.793 -24.553, 151.779 -24.538, 151.777 -24.531, 151.772 -24.526, 151.766 -24.521, 151.754 -24.515, 151.741 -24.481, 151.732 -24.47, 151.715 -24.448, 151.694 -24.438, 151.675 -24.419, 151.656 -24.405, 151.649 -24.388, 151.575 -24.311, 151.563 -24.289, 151.556 -24.281, 151.542 -24.271, 151.532 -24.251, 151.527 -24.23, 151.511 -24.213, 151.505 -24.198, 151.499 -24.191, 151.499 -24.177, 151.48 -24.164, 151.476 -24.148, 151.459 -24.12, 151.446 -24.113, 151.436 -24.104, 151.419 -24.094, 151.396 -24.05, 151.347 -24.023, 151.329 -24.022, 151.32 -24.013, 151.291 -24.005, 151.27 -23.999, 151.261 -24.003, 151.256 -24.003, 151.243 -23.993, 151.228 -23.985, 151.211 -23.983, 151.205 -23.971, 151.19 -23.966, 151.185 -23.949, 151.18 -23.939, 151.165 -23.929, 151.146 -23.929, 151.148 -23.908, 151.147 -23.893, 151.146 -23.882, 151.143 -23.869, 151.128 -23.847, 151.129 -23.84, 151.132 -23.837, 151.139 -23.834, 151.15 -23.827, 151.154 -23.82)"/>
  </r>
  <r>
    <s v="P1202"/>
    <s v="Gas"/>
    <s v="Australia"/>
    <s v="Australia"/>
    <s v="Australia"/>
    <m/>
    <s v="https://www.gem.wiki/Casino_to_Iona_Pipeline"/>
    <x v="40"/>
    <m/>
    <m/>
    <s v="Mitsui Group [50.00%]; Santos Limited [50.00%]"/>
    <s v="Mitsui Group [50.00%]; Santos Limited [50.00%]"/>
    <x v="0"/>
    <n v="2006"/>
    <m/>
    <m/>
    <m/>
    <n v="103.31"/>
    <s v="MMcf/d"/>
    <n v="1.07"/>
    <x v="32"/>
    <n v="46"/>
    <n v="27.51"/>
    <n v="46"/>
    <m/>
    <m/>
    <s v="Casino Gas Field"/>
    <m/>
    <s v="Australia and New Zealand"/>
    <m/>
    <s v="Victoria"/>
    <s v="Iona"/>
    <m/>
    <s v="Victoria"/>
    <s v="Australia and New Zealand"/>
    <m/>
    <m/>
    <m/>
    <m/>
    <m/>
    <s v="LINESTRING (142.95694 -38.674885, 142.955994 -38.676064, 142.954132 -38.677834, 142.951996 -38.679401, 142.774948 -38.793751, 142.773834 -38.794422, 142.771469 -38.795601, 142.768936 -38.796543, 142.766281 -38.797241, 142.764908 -38.797493, 142.762131 -38.797798, 142.759338 -38.79784, 142.757935 -38.797756, 142.755173 -38.797398, 142.698349 -38.787174)"/>
  </r>
  <r>
    <s v="P1203"/>
    <s v="Gas"/>
    <s v="Australia"/>
    <s v="Australia"/>
    <s v="Australia"/>
    <m/>
    <s v="https://www.gem.wiki/Katherine_to_Gove_Gas_Pipeline"/>
    <x v="41"/>
    <m/>
    <s v="KGGP"/>
    <s v="Rio Tinto Group [100.00%]"/>
    <s v="Rio Tinto Group [100.00%]"/>
    <x v="4"/>
    <m/>
    <m/>
    <m/>
    <m/>
    <n v="88.15"/>
    <s v="MMcf/d"/>
    <n v="0.91"/>
    <x v="33"/>
    <n v="603"/>
    <n v="574.54999999999995"/>
    <n v="603"/>
    <m/>
    <m/>
    <m/>
    <s v="Katherine"/>
    <s v="Australia and New Zealand"/>
    <m/>
    <s v="Northern Territory"/>
    <s v="Gove"/>
    <m/>
    <s v="Northern Territory"/>
    <s v="Australia and New Zealand"/>
    <m/>
    <m/>
    <m/>
    <m/>
    <m/>
    <s v="LINESTRING (132.201194 -14.475074, 136.799199 -12.332745, 136.830446 -12.308747, 136.837544 -12.302066, 136.841315 -12.29462, 136.847564 -12.257392, 136.846484 -12.250162, 136.841719 -12.244449, 136.80306 -12.212942, 136.762738 -12.182959)"/>
  </r>
  <r>
    <s v="P1204"/>
    <s v="Gas"/>
    <s v="Australia"/>
    <s v="Australia"/>
    <s v="Australia"/>
    <m/>
    <s v="https://www.gem.wiki/North_Rankin_A_to_Withnell_Bay_Pipeline"/>
    <x v="42"/>
    <m/>
    <m/>
    <s v="BHP Billiton Group [unknown %]; BP [unknown %]; Chevron [unknown %]; Mitsubishi [unknown %]; Mitsui Group [unknown %]; Shell [unknown %]; Woodside Energy [unknown %]"/>
    <s v="BHP Billiton Group [unknown %]; BP [unknown %]; Chevron [unknown %]; Mitsubishi [unknown %]; Mitsui Group [unknown %]; Shell [unknown %]; Woodside Energy [unknown %]"/>
    <x v="0"/>
    <n v="1984"/>
    <m/>
    <m/>
    <m/>
    <n v="139"/>
    <s v="TJ/d"/>
    <n v="1.42"/>
    <x v="34"/>
    <n v="134"/>
    <n v="149.38999999999999"/>
    <n v="134"/>
    <m/>
    <m/>
    <s v="Carnavon Basin"/>
    <s v="Indian Ocean"/>
    <s v="Australia and New Zealand"/>
    <m/>
    <m/>
    <s v="Withnell Bay"/>
    <m/>
    <s v="Western Australia"/>
    <s v="Australia and New Zealand"/>
    <m/>
    <m/>
    <m/>
    <m/>
    <m/>
    <s v="LINESTRING (116.7709104 -20.5796718, 115.9825984 -19.4545248)"/>
  </r>
  <r>
    <s v="P1219"/>
    <s v="Gas"/>
    <s v="Australia"/>
    <s v="Australia"/>
    <s v="Australia"/>
    <m/>
    <s v="https://www.gem.wiki/Icthys_Gas_Pipeline"/>
    <x v="43"/>
    <m/>
    <m/>
    <s v="INPEX [62.25%]; TotalEnergies SE [30.00%]; Government of Taiwan [2.63%]; Tokyo Gas [1.58%]; Kansai Electric Power Company [1.20%]; Osaka Gas [1.20%]; Toho Gas [0.42%]; Chubu Electric Power [0.37%]; Nuclear Damage Compensation and Decommissioning Facilitation Corporation [0.37%]"/>
    <s v="INPEX [62.25%]; TotalEnergies SE [30.00%]; Government of Taiwan [2.63%]; Tokyo Gas [1.58%]; Kansai Electric Power Company [1.20%]; Osaka Gas [1.20%]; Toho Gas [0.42%]; Chubu Electric Power [0.37%]; Nuclear Damage Compensation and Decommissioning Facilitation Corporation [0.37%]"/>
    <x v="0"/>
    <n v="2018"/>
    <m/>
    <m/>
    <m/>
    <n v="1600"/>
    <s v="MMcf/d"/>
    <n v="16.55"/>
    <x v="35"/>
    <n v="889"/>
    <n v="792.17"/>
    <n v="889"/>
    <m/>
    <m/>
    <m/>
    <s v="Ichthys Field"/>
    <s v="Australia and New Zealand"/>
    <m/>
    <s v="Offshore Australia"/>
    <s v="Darwin"/>
    <m/>
    <s v="Western Australia"/>
    <s v="Australia and New Zealand"/>
    <m/>
    <m/>
    <m/>
    <m/>
    <m/>
    <s v="MULTILINESTRING ((128.393202 -12.519356, 128.20903 -12.522918, 128.195358 -12.523449, 128.176437 -12.524956, 128.173782 -12.525093, 128.171677 -12.525095, 128.13562 -12.524312, 128.103394 -12.524908, 128.100555 -12.525047, 128.096634 -12.525526, 127.42411 -12.635707, 127.421471 -12.636246, 127.418869 -12.636935, 127.398842 -12.643322, 127.396042 -12.644016, 127.393196 -12.644536, 127.389755 -12.644927, 127.386871 -12.645058, 127.3834 -12.644979, 127.379951 -12.644645, 127.37767 -12.64428, 127.375412 -12.643804, 127.361313 -12.640143, 127.358521 -12.639605, 127.355698 -12.639237, 127.352287 -12.639023, 127.349442 -12.639035, 127.346596 -12.639221, 127.343773 -12.639578, 127.340424 -12.640232, 127.337128 -12.641129, 127.291054 -12.656722, 127.287857 -12.657637, 127.284607 -12.658324, 126.558868 -12.774765, 126.543312 -12.777803, 126.527039 -12.779827, 126.482109 -12.78722, 126.470383 -12.788829, 126.458603 -12.791094, 126.41597 -12.798076, 126.412575 -12.798383, 126.409172 -12.798442, 126.406898 -12.798345, 126.395729 -12.797595, 126.392265 -12.797533, 126.389961 -12.797632, 126.387093 -12.797915, 126.375664 -12.799675, 126.371719 -12.800069, 126.368889 -12.800145, 126.366058 -12.800051, 126.363243 -12.799787, 126.360443 -12.799352, 126.33815 -12.79492, 126.335976 -12.794432, 126.33329 -12.793676, 126.319557 -12.789196, 126.31575 -12.788175, 126.277443 -12.780581, 126.273605 -12.779653, 126.271454 -12.778977, 126.269341 -12.778199, 126.265732 -12.776593, 126.263741 -12.775539, 126.254021 -12.769962, 126.251968 -12.768912, 126.249329 -12.767746, 126.246628 -12.766744, 126.243309 -12.765763, 126.239929 -12.765033, 126.236504 -12.764553, 126.232468 -12.764316, 126.230164 -12.764337, 126.227859 -12.764471, 126.1614 -12.770792, 126.157623 -12.771306, 126.1539 -12.772127, 126.004303 -12.811499, 126.000587 -12.812643, 125.996986 -12.814093, 125.980484 -12.821994, 125.968391 -12.827173, 125.965378 -12.828634, 125.962952 -12.830014, 125.961075 -12.831223, 125.951218 -12.838408, 125.948349 -12.840302, 125.945854 -12.841713, 125.930695 -12.84964, 125.914986 -12.856386, 125.892494 -12.866223, 125.889885 -12.867169, 125.869667 -12.873581, 125.867531 -12.874373, 125.864922 -12.87551, 125.861389 -12.877367, 125.847855 -12.885459, 125.844551 -12.88721, 124.820679 -13.375252, 124.818665 -13.376146, 124.816612 -13.376946, 124.803673 -13.381166, 124.801613 -13.381916, 124.799583 -13.382762, 124.776962 -13.393484, 124.763268 -13.40124, 124.760857 -13.402489, 124.757362 -13.403994, 124.746513 -13.408021, 124.744621 -13.408792, 124.720749 -13.420071, 124.718002 -13.421482, 124.640617 -13.464603, 124.638054 -13.465931, 124.635941 -13.466877, 124.521324 -13.514849, 124.452873 -13.549179, 124.37796 -13.584498, 124.374916 -13.585723, 124.262009 -13.626507, 124.259941 -13.627367, 124.257416 -13.628581, 124.243576 -13.636128, 124.240959 -13.637342, 124.238266 -13.638393, 124.235519 -13.639277, 124.233284 -13.63986, 124.231018 -13.640332, 124.218712 -13.642606, 124.215492 -13.643395, 124.21286 -13.644224, 123.9207 -13.749369, 123.918579 -13.750187, 123.915993 -13.751355, 123.912491 -13.753252, 123.909172 -13.755442, 123.907364 -13.75682, 123.905624 -13.758285, 123.902763 -13.761048, 123.900864 -13.763167, 123.891533 -13.774588, 123.889786 -13.776558, 123.887924 -13.778423, 123.875305 -13.790399, 123.873795 -13.791939, 123.696404 -13.981053, 123.694336 -13.983057, 123.692589 -13.984567, 123.690773 -13.985989, 123.688889 -13.987321, 123.686943 -13.988559, 123.684937 -13.9897, 123.682884 -13.990742, 123.680244 -13.991899, 123.676437 -13.993245, 123.672531 -13.994258, 123.668549 -13.994934, 123.664528 -13.995266, 123.660492 -13.995252, 123.656479 -13.994892, 123.652504 -13.994189, 123.648605 -13.993148, 123.641373 -13.990698, 123.638374 -13.989484, 123.635941 -13.988315, 123.621529 -13.980891, 123.618889 -13.979708, 123.616722 -13.978881, 123.613968 -13.977997, 123.610596 -13.977163, 123.594917 -13.974598, 123.591698 -13.973854, 123.588531 -13.972887, 123.557381 -13.960939, 123.441589 -13.919634, 123.43821 -13.918233, 123.42942 -13.91408, 123.426392 -13.91285, 123.358925 -13.889075, 123.356735 -13.888373, 123.354515 -13.887779, 123.350563 -13.887009, 123.348282 -13.886723, 123.345985 -13.886551, 123.343689 -13.886493, 123.34082 -13.88658, 123.337952 -13.886847, 123.335678 -13.887187, 123.333427 -13.887639, 123.330643 -13.888361, 123.327911 -13.889254, 123.325768 -13.890089, 123.323669 -13.891031, 123.321625 -13.892074, 123.319138 -13.893518, 123.317223 -13.894785, 123.315361 -13.896143, 123.313141 -13.897969, 123.311455 -13.899526, 123.309837 -13.901165, 123.307938 -13.903323, 123.306519 -13.905131, 123.304878 -13.907488, 123.303665 -13.909443, 123.302559 -13.911456, 123.301544 -13.913522, 123.300636 -13.915635, 123.299843 -13.91779, 123.299149 -13.919984, 123.298561 -13.922208, 123.297989 -13.925024, 123.296585 -13.934084), (130.162882 -12.317856, 129.499954 -12.499975, 129.497345 -12.500609, 129.49469 -12.501093, 129.482834 -12.502514, 129.480072 -12.502755, 129.47731 -12.502833, 129.431839 -12.50277, 129.42894 -12.502678, 129.426071 -12.502406, 129.423218 -12.501959, 129.401154 -12.49724, 129.397186 -12.496616, 129.393768 -12.496352, 129.369415 -12.495374, 129.366608 -12.495344, 129.363815 -12.495483, 129.361588 -12.495713, 129.32959 -12.500176, 129.303879 -12.502853, 129.30011 -12.503092, 129.297424 -12.503077, 129.272934 -12.502247, 129.257263 -12.502741, 129.242798 -12.502152, 129.240509 -12.502111, 129.237076 -12.502259, 129.224335 -12.50342, 129.220886 -12.503526, 129.217438 -12.503377, 129.205704 -12.502309, 129.201935 -12.502199, 129.016983 -12.506352, 129.014771 -12.506454, 129.012024 -12.506727, 128.996216 -12.509135, 128.994003 -12.509421, 128.983429 -12.510177, 128.980637 -12.510284, 128.978394 -12.51025, 128.976166 -12.510108, 128.973938 -12.509861, 128.971725 -12.509507, 128.968994 -12.508917, 128.956207 -12.505626, 128.952866 -12.505012, 128.949493 -12.504641, 128.945526 -12.504519, 128.905365 -12.504989, 128.903122 -12.505095, 128.900894 -12.505308, 128.871124 -12.509235, 128.867142 -12.509588, 128.767273 -12.511727, 128.76532 -12.51183, 128.75293 -12.512865, 128.750793 -12.512971, 128.748123 -12.512966, 128.734329 -12.512433, 128.713638 -12.512856, 128.710968 -12.513019, 128.708847 -12.513257, 128.693649 -12.515477, 128.691452 -12.515696, 128.689255 -12.515809, 128.685944 -12.515786, 128.649338 -12.514232, 128.635635 -12.512998, 128.633423 -12.512871, 128.63121 -12.512848, 128.627899 -12.513009, 128.615326 -12.514173, 128.592697 -12.514877, 128.559204 -12.51633, 128.546021 -12.516305, 128.419998 -12.518829, 128.406937 -12.519448, 128.393295 -12.519354, 128.393202 -12.519356))"/>
  </r>
  <r>
    <s v="P1133"/>
    <s v="Gas"/>
    <s v="Australia"/>
    <s v="Australia"/>
    <s v="Australia"/>
    <m/>
    <s v="https://www.gem.wiki/Bayu-Undan_to_Darwin_Pipeline"/>
    <x v="44"/>
    <m/>
    <m/>
    <s v="ConocoPhillips [56.72%]; Eni S.p.A. [12.04%]; Santos Limited [10.64%]; INPEX [10.52%]; Tokyo Electric Power Company [10.08%]"/>
    <s v="ConocoPhillips [56.72%]; Eni S.p.A. [12.04%]; Santos Limited [10.64%]; INPEX [10.52%]; Tokyo Electric Power Company [10.08%]"/>
    <x v="0"/>
    <n v="2005"/>
    <m/>
    <m/>
    <m/>
    <n v="464.7"/>
    <s v="MMcf/d"/>
    <n v="4.8099999999999996"/>
    <x v="36"/>
    <n v="500"/>
    <n v="502.57"/>
    <n v="500"/>
    <m/>
    <m/>
    <s v="Bayu-Undan Field"/>
    <s v="Timor Sea"/>
    <s v="Australia and New Zealand"/>
    <m/>
    <s v="JDPA"/>
    <s v="Darwin"/>
    <m/>
    <s v="Northern Territory"/>
    <s v="Australia and New Zealand"/>
    <m/>
    <m/>
    <m/>
    <m/>
    <m/>
    <s v="MULTILINESTRING ((130.86349 -12.525291, 130.849036 -12.529756, 130.845701 -12.530574, 130.842256 -12.530722, 130.838543 -12.529834, 130.836649 -12.528957, 130.834444 -12.527377, 130.83314 -12.526126, 130.831031 -12.522892, 130.827487 -12.515992, 130.818812 -12.499293, 130.813235 -12.484953, 130.807007 -12.471604, 130.803773 -12.466024, 130.79956 -12.460531, 130.748761 -12.397396, 130.746679 -12.395341, 130.74308 -12.392305, 130.643653 -12.31359, 130.640997 -12.311557, 130.637769 -12.309888, 130.095954 -12.122128, 129.946304 -12.070017, 129.943619 -12.068707, 129.940948 -12.067057, 129.938522 -12.065128, 129.936325 -12.062933, 129.905899 -12.022788, 129.903259 -12.019765, 129.900177 -12.016944, 129.898026 -12.015307, 129.895935 -12.013942, 129.891937 -12.011842, 129.887589 -12.010188, 129.885162 -12.009541, 129.882355 -12.009006, 129.879547 -12.008725, 129.876038 -12.008605, 129.710403 -12.011423, 129.707108 -12.011328, 129.703873 -12.011013, 129.698105 -12.009879, 129.670898 -12.000837, 129.662643 -11.99778, 129.658447 -11.995899, 129.655167 -11.994162, 129.643906 -11.987302, 129.641068 -11.98593, 129.637634 -11.984661, 129.634155 -11.983716, 129.620651 -11.981519, 129.614029 -11.980008, 129.609222 -11.978511, 129.574768 -11.966929, 129.571381 -11.96601, 129.562668 -11.964163, 129.558975 -11.963094, 129.175507 -11.83347, 128.898575 -11.739382, 128.895645 -11.738261, 128.892639 -11.736905, 128.887665 -11.734166, 128.884018 -11.731678, 128.874176 -11.724128, 128.87117 -11.722209, 128.86702 -11.720171, 128.862961 -11.718756, 128.860046 -11.718048, 128.808243 -11.708118, 128.797653 -11.705945, 128.495651 -11.641601, 128.484589 -11.639199, 128.477127 -11.637306, 128.470093 -11.635091, 128.429321 -11.620267, 128.426575 -11.618977, 128.411774 -11.610832, 128.39064 -11.603048, 128.383301 -11.600668, 128.360092 -11.592284, 128.339325 -11.587368, 128.336594 -11.586573, 128.122299 -11.508513, 128.115463 -11.506198, 128.108093 -11.504116, 128.102814 -11.502876, 128.094818 -11.501402, 127.920288 -11.472701, 127.915848 -11.471648, 127.910728 -11.469927, 127.891769 -11.461492, 127.888145 -11.460372, 127.884468 -11.459616, 127.881294 -11.459259, 127.878006 -11.459214, 127.858231 -11.461084, 127.854385 -11.461191, 127.84977 -11.460946, 127.835938 -11.458869, 127.796867 -11.452437, 127.777283 -11.449149, 127.772537 -11.448219, 127.766693 -11.446778, 127.759689 -11.444737, 127.655344 -11.412716), (126.616661 -11.067411, 126.620094 -11.074543, 126.621834 -11.077132, 126.623901 -11.07944, 126.626152 -11.081394, 126.629555 -11.083591, 126.646744 -11.091709, 126.650238 -11.093836, 126.819633 -11.224738, 126.822495 -11.227458, 126.826317 -11.232254, 126.828644 -11.234738, 126.830299 -11.236185, 126.837814 -11.242042, 126.863472 -11.260909, 126.883492 -11.276309, 126.886658 -11.278316, 126.889908 -11.279822, 126.893021 -11.280812, 126.896339 -11.281467, 126.963972 -11.290932, 127.016571 -11.298293, 127.021736 -11.299179, 127.03437 -11.301673, 127.039261 -11.302078, 127.055939 -11.302437, 127.063126 -11.302963, 127.113991 -11.310002, 127.164742 -11.317053, 127.177933 -11.317296, 127.181747 -11.317558, 127.185333 -11.318328, 127.192619 -11.320534, 127.198196 -11.321697, 127.276283 -11.332545, 127.398293 -11.349445, 127.424034 -11.35299, 127.482956 -11.361093, 127.489357 -11.362175, 127.495125 -11.363548, 127.655344 -11.412716))"/>
  </r>
  <r>
    <s v="P1134"/>
    <s v="Gas"/>
    <s v="Australia"/>
    <s v="Australia"/>
    <s v="Australia"/>
    <m/>
    <s v="https://www.gem.wiki/Beharra_Springs_Pipeline"/>
    <x v="45"/>
    <m/>
    <m/>
    <s v="Beach Energy Limited [67.00%]; AWE Limited [33.00%]"/>
    <s v="Beach Energy Limited [67.00%]; AWE Limited [33.00%]"/>
    <x v="0"/>
    <n v="1992"/>
    <m/>
    <m/>
    <m/>
    <n v="37.909999999999997"/>
    <s v="MMcf/d"/>
    <n v="0.39"/>
    <x v="37"/>
    <n v="1.6"/>
    <n v="1.88"/>
    <n v="1.6"/>
    <m/>
    <m/>
    <s v="Beharra Springs Gas Field"/>
    <m/>
    <s v="Australia and New Zealand"/>
    <m/>
    <s v="Western Australia"/>
    <s v="Parmelia Pipeline"/>
    <m/>
    <s v="Western Australia"/>
    <s v="Australia and New Zealand"/>
    <m/>
    <m/>
    <m/>
    <m/>
    <m/>
    <s v="LINESTRING (115.140807 -29.463018, 115.160139 -29.463835)"/>
  </r>
  <r>
    <s v="P3291"/>
    <s v="Gas"/>
    <s v="Australia"/>
    <s v="Australia"/>
    <s v="Australia"/>
    <m/>
    <s v="https://www.gem.wiki/Wallumbilla%E2%80%93Gladstone_Pipeline"/>
    <x v="46"/>
    <m/>
    <m/>
    <s v="Shell [73.75%]; Global Infrastructure Partners [24.25%]"/>
    <s v="Shell [73.75%]; Global Infrastructure Partners [24.25%]"/>
    <x v="0"/>
    <n v="2014"/>
    <m/>
    <m/>
    <m/>
    <m/>
    <m/>
    <s v="--"/>
    <x v="2"/>
    <n v="540"/>
    <n v="656.86"/>
    <n v="540"/>
    <n v="42"/>
    <s v="in"/>
    <s v="Surat Basin"/>
    <m/>
    <s v="Australia and New Zealand"/>
    <m/>
    <s v="Southern Queensland"/>
    <s v="QCLNG Plant on Curtis Island, Gladstone"/>
    <m/>
    <s v="Queensland"/>
    <s v="Australia and New Zealand"/>
    <s v="FID"/>
    <n v="2010"/>
    <m/>
    <m/>
    <m/>
    <s v="MULTILINESTRING ((151.148941 -23.788107, 151.149124 -23.788509, 151.147644 -23.798462, 151.147705 -23.799295, 151.148117 -23.800566, 151.147217 -23.813065), (151.147903 -23.821651, 151.147186 -23.820059, 151.148026 -23.818571, 151.148621 -23.814535, 151.148376 -23.81423, 151.148499 -23.813372, 151.147217 -23.813065, 151.146622 -23.813515), (151.287354 -23.863356, 151.285248 -23.865797, 151.282791 -23.868109, 151.281921 -23.868696, 151.280792 -23.868885, 151.278397 -23.868567, 151.277267 -23.868097, 151.274887 -23.868097, 151.274506 -23.867788, 151.273132 -23.865765, 151.272003 -23.863165, 151.268799 -23.862677, 151.268509 -23.862469, 151.267639 -23.862305, 151.266922 -23.86194, 151.263596 -23.85885, 151.261749 -23.858334, 151.259628 -23.857487, 151.25914 -23.857067, 151.257278 -23.857237, 151.252518 -23.858433, 151.252151 -23.858192, 151.248215 -23.857666, 151.247162 -23.857944, 151.246414 -23.857685, 151.245331 -23.857786, 151.24437 -23.857336, 151.242737 -23.857018, 151.241272 -23.857216, 151.240707 -23.857605, 151.240021 -23.857277, 151.239059 -23.857088, 151.235321 -23.857048, 151.233932 -23.856548, 151.232956 -23.855673, 151.232529 -23.854855, 151.231644 -23.851517, 151.230988 -23.850151, 151.229569 -23.849901, 151.226929 -23.85078, 151.224838 -23.85059, 151.224579 -23.849703, 151.223526 -23.849266, 151.223557 -23.848976, 151.223358 -23.848608, 151.221146 -23.846983, 151.218811 -23.846046, 151.217667 -23.846006, 151.217422 -23.846275, 151.215805 -23.846983, 151.212692 -23.845907, 151.212112 -23.846077, 151.207291 -23.845051, 151.195511 -23.839321, 151.170288 -23.833422, 151.16922 -23.837641), (150.502182 -23.31712, 150.50647 -23.324768, 150.50679 -23.329548, 150.501801 -23.331911, 150.50145 -23.332153, 150.501236 -23.332575, 150.500351 -23.332962, 150.493271 -23.333614, 150.48999 -23.335213, 150.48819 -23.334932, 150.486649 -23.343872, 150.487137 -23.349831, 150.48645 -23.351166, 150.484299 -23.357077, 150.480682 -23.362228, 150.477203 -23.36454, 150.476532 -23.364729, 150.475906 -23.365582, 150.474014 -23.366276, 150.472397 -23.36735, 150.468811 -23.368685, 150.464111 -23.375187, 150.464249 -23.375845, 150.463242 -23.380503, 150.464127 -23.384972, 150.463745 -23.386551, 150.472595 -23.398552, 150.480682 -23.410206, 150.480652 -23.411121, 150.481934 -23.412827, 150.481995 -23.414469, 150.481339 -23.41848, 150.4953 -23.445734, 150.497101 -23.451513, 150.49826 -23.457008, 150.498871 -23.457386, 150.499725 -23.463039, 150.50061 -23.463039, 150.501205 -23.467209, 150.501175 -23.467871, 150.503296 -23.470337, 150.503387 -23.475576, 150.503952 -23.48262, 150.51001 -23.487135, 150.511429 -23.490894, 150.51683 -23.501442, 150.51889 -23.507568, 150.517746 -23.515244, 150.518982 -23.516033, 150.520905 -23.519159, 150.522202 -23.524117, 150.523346 -23.525002, 150.526001 -23.529076, 150.528046 -23.531317, 150.534744 -23.532043, 150.541306 -23.540918, 150.541367 -23.54155, 150.54567 -23.552792, 150.549881 -23.558157, 150.55127 -23.559246, 150.5513 -23.559507, 150.552689 -23.561686, 150.55748 -23.563723, 150.55661 -23.571941, 150.555984 -23.575354, 150.556351 -23.57585, 150.558243 -23.590038, 150.559525 -23.59115, 150.559616 -23.591482, 150.570084 -23.598707, 150.574295 -23.604628, 150.574814 -23.605907, 150.578064 -23.610739, 150.578934 -23.611639, 150.579361 -23.611876, 150.596329 -23.627485, 150.602203 -23.633524, 150.604736 -23.635159, 150.609161 -23.639044, 150.617126 -23.649395, 150.620132 -23.652828, 150.61998 -23.654249, 150.620361 -23.654533, 150.623566 -23.658751, 150.624939 -23.659863, 150.631638 -23.672985, 150.632706 -23.673199, 150.643036 -23.679546, 150.644455 -23.680233, 150.645218 -23.680115, 150.660721 -23.689541, 150.661987 -23.689257, 150.690231 -23.698992, 150.690613 -23.699465, 150.706345 -23.70418, 150.721573 -23.703516, 150.721954 -23.703657, 150.730835 -23.703539, 150.739929 -23.705173, 150.745758 -23.704535, 150.755112 -23.708775, 150.755249 -23.709177, 150.770599 -23.713867, 150.777115 -23.714766, 150.788147 -23.718958, 150.790482 -23.720215, 150.792465 -23.720308, 150.800232 -23.725306, 150.805237 -23.731607, 150.805969 -23.731678, 150.805878 -23.732317, 150.806396 -23.733479, 150.807571 -23.73497, 150.815872 -23.73793, 150.816528 -23.738333, 150.817902 -23.739779, 150.821503 -23.739185, 150.822967 -23.738617, 150.829681 -23.740986, 150.839813 -23.746576, 150.84462 -23.747215, 150.858475 -23.754488, 150.861847 -23.755363, 150.867004 -23.756168, 150.886353 -23.767065, 150.902985 -23.780281, 150.90416 -23.780998, 150.909348 -23.78355, 150.909637 -23.784071, 150.911346 -23.785633, 150.912338 -23.786013, 150.914612 -23.788879, 150.926178 -23.795914, 150.943222 -23.808823, 150.947342 -23.810196, 150.9478 -23.810228, 150.949661 -23.811785, 150.951828 -23.817835, 150.951462 -23.82163, 150.95192 -23.82346, 150.952972 -23.825146, 150.964569 -23.833977, 150.968231 -23.834663, 150.976456 -23.836794, 150.977753 -23.83779, 150.977875 -23.83831, 150.978668 -23.838974, 150.980286 -23.841059, 150.981949 -23.843971, 150.98259 -23.844114, 150.98674 -23.84742, 150.990311 -23.852009, 150.998291 -23.863298, 151.005615 -23.873365, 151.006958 -23.874952, 151.010986 -23.881086, 151.014328 -23.881536, 151.015183 -23.882233, 151.037613 -23.866211, 151.045059 -23.864239, 151.048569 -23.862711, 151.063675 -23.857893, 151.072754 -23.856777, 151.087921 -23.852142, 151.094711 -23.849075, 151.096008 -23.849436, 151.101212 -23.848457, 151.102814 -23.847702, 151.103027 -23.847322, 151.106217 -23.847481, 151.10759 -23.847202, 151.112183 -23.844851, 151.114975 -23.842638, 151.116348 -23.840885, 151.11673 -23.840616, 151.116989 -23.839619, 151.119171 -23.83917, 151.120712 -23.838055, 151.122314 -23.837423, 151.122498 -23.83679, 151.128036 -23.830881, 151.131058 -23.828371, 151.131653 -23.82836, 151.13237 -23.827263, 151.138809 -23.825949, 151.141724 -23.822719, 151.144348 -23.82279, 151.147842 -23.821684, 151.150024 -23.821426, 151.152024 -23.821672, 151.153275 -23.821598, 151.156967 -23.824104, 151.157654 -23.825291, 151.15834 -23.827621, 151.159195 -23.829086, 151.16069 -23.830582, 151.162445 -23.831589, 151.170288 -23.833422), (151.015183 -23.882233, 151.014542 -23.882769, 151.012085 -23.88843, 151.011444 -23.889423, 151.010895 -23.889851, 150.995468 -23.912975, 150.96347 -23.970102, 150.966644 -23.982143, 150.968491 -23.985374, 150.968552 -23.987913, 150.966949 -24.001522, 150.966019 -24.002026, 150.964539 -24.010586, 150.964355 -24.012938, 150.96373 -24.016356, 150.961578 -24.023977, 150.959061 -24.03027, 150.958054 -24.031355, 150.955338 -24.038521, 150.946274 -24.045862, 150.937683 -24.048441, 150.933594 -24.04995, 150.928146 -24.05246, 150.923141 -24.05555, 150.908707 -24.06138, 150.908554 -24.061581, 150.908646 -24.063204, 150.896988 -24.069836, 150.88385 -24.077946, 150.878433 -24.079809, 150.874878 -24.082439, 150.873444 -24.083698, 150.87146 -24.084871, 150.868958 -24.085899, 150.845474 -24.089783, 150.845245 -24.089981, 150.845352 -24.090971, 150.838501 -24.095234, 150.833267 -24.095471, 150.832077 -24.094996, 150.826675 -24.095295, 150.802887 -24.10206, 150.793259 -24.106239, 150.789063 -24.109058, 150.785034 -24.112072, 150.783752 -24.111294, 150.773361 -24.112467, 150.763229 -24.116282, 150.758224 -24.117529, 150.75531 -24.117405, 150.752502 -24.119471, 150.748291 -24.123167, 150.74794 -24.123394, 150.745407 -24.12385, 150.743988 -24.125896, 150.741241 -24.128908, 150.740616 -24.13043, 150.73851 -24.132303, 150.737747 -24.132654, 150.736755 -24.133867, 150.736115 -24.134312, 150.733917 -24.135147, 150.732559 -24.136135, 150.731812 -24.136951, 150.72641 -24.141022, 150.716827 -24.144739, 150.714127 -24.146639), (150.162964 -24.35483, 150.164307 -24.357403, 150.184021 -24.348818, 150.192123 -24.344099, 150.195892 -24.342373, 150.200348 -24.341158, 150.202927 -24.341833, 150.212723 -24.33954, 150.239319 -24.331448, 150.247665 -24.330183, 150.252853 -24.328648, 150.259842 -24.327976, 150.264313 -24.326202, 150.280945 -24.323133, 150.289337 -24.321743, 150.291214 -24.320448, 150.308044 -24.314503, 150.329132 -24.308077, 150.32991 -24.308455, 150.350388 -24.301125, 150.374069 -24.291145, 150.398849 -24.289318, 150.4133 -24.288076, 150.416718 -24.288042, 150.430374 -24.286318, 150.43103 -24.285145, 150.437607 -24.285732, 150.44519 -24.284184, 150.45163 -24.280384, 150.452667 -24.280113, 150.469971 -24.278389, 150.483795 -24.275047, 150.50528 -24.26882, 150.517807 -24.264236, 150.520782 -24.26103, 150.546951 -24.243967, 150.557755 -24.236729, 150.560318 -24.235703, 150.564804 -24.230762, 150.569107 -24.229607, 150.574112 -24.225559, 150.577576 -24.218035, 150.578186 -24.217611, 150.579361 -24.217157, 150.579849 -24.216644, 150.581665 -24.216368, 150.582443 -24.21595, 150.584366 -24.213804, 150.585464 -24.213419, 150.586975 -24.212564, 150.591659 -24.211254, 150.59288 -24.211266, 150.601883 -24.205862, 150.602768 -24.205715, 150.604645 -24.206017, 150.605804 -24.205362, 150.606247 -24.204229, 150.60733 -24.203369, 150.609482 -24.202396, 150.611008 -24.202528, 150.611801 -24.203011, 150.613129 -24.203201, 150.6147 -24.202175, 150.614761 -24.201153, 150.616348 -24.199259, 150.617386 -24.196251, 150.617218 -24.195147, 150.618088 -24.194193, 150.620316 -24.193117, 150.620789 -24.192591, 150.621765 -24.192186, 150.623901 -24.192064, 150.624756 -24.192265, 150.62706 -24.192171, 150.627274 -24.191877, 150.627365 -24.191092, 150.628006 -24.190329, 150.630905 -24.18815, 150.635147 -24.187124, 150.636383 -24.184517, 150.637421 -24.184624, 150.639832 -24.183613, 150.64183 -24.183489, 150.644058 -24.182156, 150.64534 -24.181879, 150.64592 -24.180899, 150.647507 -24.18058, 150.648071 -24.18067, 150.648392 -24.180496, 150.648697 -24.180058, 150.649857 -24.17975, 150.651047 -24.178776, 150.653168 -24.178503, 150.657364 -24.174997, 150.674026 -24.172277, 150.680954 -24.168129, 150.681915 -24.167835, 150.68692 -24.164825, 150.693253 -24.162901, 150.69519 -24.160769, 150.70668 -24.151464, 150.709229 -24.150023, 150.714127 -24.146639, 150.714844 -24.146717, 150.715805 -24.146267, 150.718689 -24.146639), (150.164307 -24.357403, 150.16243 -24.358221), (150.163391 -24.360117, 150.16243 -24.358221, 150.161575 -24.358591), (150.161575 -24.358639, 150.139908 -24.368048, 150.105316 -24.364021, 150.077896 -24.358404, 150.066086 -24.361715, 150.057739 -24.362907, 150.049088 -24.364796, 150.037476 -24.367603, 150.012421 -24.374689, 149.999908 -24.379456, 149.993271 -24.381651, 149.988388 -24.386454, 149.983047 -24.391111, 149.976379 -24.397533, 149.968628 -24.405645, 149.948334 -24.408775, 149.927216 -24.414583, 149.912659 -24.418936, 149.896286 -24.420233, 149.873535 -24.419436, 149.87233 -24.419601, 149.851654 -24.418919, 149.836731 -24.420713, 149.835144 -24.421473, 149.83371 -24.421497, 149.809662 -24.431332, 149.783752 -24.442156, 149.765701 -24.450695, 149.763962 -24.450828, 149.761841 -24.450232, 149.76091 -24.449579, 149.760193 -24.448496, 149.75943 -24.448051, 149.757828 -24.447773, 149.757355 -24.448313, 149.757187 -24.449074, 149.755478 -24.450472, 149.754776 -24.450687, 149.752625 -24.452452, 149.751434 -24.45227, 149.745087 -24.455757, 149.72258 -24.453581, 149.708115 -24.462309, 149.685974 -24.470058, 149.659576 -24.477186, 149.640549 -24.480938, 149.612061 -24.484713, 149.533997 -24.513592, 149.511383 -24.520845, 149.483566 -24.532671, 149.433777 -24.547649, 149.430313 -24.548914, 149.403 -24.553961, 149.375 -24.565336, 149.3461 -24.572998, 149.341446 -24.575914, 149.336975 -24.578032, 149.33374 -24.578253, 149.328018 -24.581423, 149.321426 -24.582321, 149.320435 -24.583338, 149.317093 -24.584457, 149.301849 -24.590237, 149.295822 -24.592577, 149.286118 -24.596645, 149.275253 -24.60051, 149.258545 -24.605036, 149.240982 -24.606562, 149.238785 -24.606409, 149.236374 -24.606934, 149.212402 -24.619495, 149.186462 -24.62236, 149.153885 -24.631784, 149.14537 -24.636311, 149.124664 -24.645176, 149.118088 -24.648193, 149.072937 -24.654766, 149.066452 -24.654673, 149.062012 -24.65346, 149.04924 -24.653831, 149.038834 -24.652201, 149.037582 -24.65094, 149.03566 -24.650148, 149.032532 -24.65032, 149.031708 -24.650232, 149.030167 -24.652002, 149.027969 -24.653685, 149.023727 -24.656208, 149.023163 -24.658155, 149.021439 -24.657993, 149.020142 -24.660059, 149.019211 -24.660208, 149.01648 -24.659632, 149.014771 -24.660355, 149.012573 -24.662199, 149.004562 -24.664295, 149.002426 -24.666243, 148.997757 -24.667364, 148.996277 -24.667364, 148.989487 -24.666685, 148.979858 -24.669006, 148.975861 -24.669586, 148.972107 -24.67235, 148.960953 -24.679106, 148.952591 -24.682211, 148.945938 -24.686817, 148.925568 -24.69289, 148.872787 -24.705858, 148.846298 -24.707973, 148.842239 -24.709543, 148.833176 -24.734247, 148.833817 -24.739569, 148.831604 -24.745029, 148.8116 -24.803343, 148.794266 -24.849987, 148.77858 -24.910416, 148.757278 -24.990841, 148.749222 -25.01442, 148.748276 -25.015614, 148.732407 -25.073109, 148.720261 -25.082287, 148.719986 -25.142359, 148.708298 -25.179287, 148.706314 -25.19795, 148.698639 -25.204851, 148.697617 -25.220158, 148.697861 -25.23077, 148.696609 -25.235525, 148.695908 -25.236422, 148.693512 -25.238401, 148.692993 -25.240175, 148.693344 -25.242418, 148.693253 -25.244261, 148.691711 -25.246805, 148.690002 -25.248745, 148.684631 -25.253832, 148.681137 -25.253832, 148.680267 -25.254665, 148.677582 -25.255604, 148.675705 -25.257898, 148.671951 -25.261318, 148.667511 -25.263821, 148.666229 -25.265446, 148.660263 -25.275122, 148.665588 -25.289196, 148.665604 -25.29122, 148.667755 -25.294348, 148.667831 -25.296911, 148.666412 -25.299171, 148.666336 -25.300289, 148.66362 -25.302855, 148.660995 -25.306461, 148.663818 -25.312363, 148.661087 -25.331921, 148.659805 -25.332151, 148.659348 -25.334736, 148.658615 -25.337364, 148.656082 -25.341076, 148.652176 -25.343098, 148.648361 -25.347269, 148.645493 -25.349146, 148.644135 -25.351543, 148.642731 -25.353502, 148.641205 -25.359488, 148.638519 -25.374125, 148.634933 -25.376022, 148.631622 -25.377295, 148.629486 -25.378401, 148.626038 -25.381298, 148.625839 -25.382549, 148.625885 -25.384405, 148.625336 -25.387053, 148.625366 -25.389681, 148.626175 -25.393684, 148.624023 -25.39715, 148.618591 -25.410282, 148.618607 -25.414139, 148.620468 -25.419291, 148.622253 -25.429903, 148.622055 -25.433678, 148.639725 -25.467583, 148.647049 -25.502384, 148.650192 -25.519794, 148.655807 -25.534266, 148.655243 -25.544107, 148.660034 -25.554262, 148.661285 -25.577242, 148.659439 -25.580076, 148.670532 -25.609457, 148.675263 -25.634798, 148.681595 -25.634735, 148.693649 -25.623562, 148.716766 -25.623363, 148.722397 -25.621513, 148.763702 -25.610802, 148.776794 -25.609609, 148.808517 -25.610125, 148.818115 -25.610846, 148.857575 -25.609228, 148.903946 -25.614092, 148.926376 -25.612316), (148.675263 -25.634798, 148.668121 -25.68792, 148.662613 -25.726849, 148.654984 -25.75379, 148.662582 -25.76152, 148.663483 -25.764616, 148.661743 -25.773823, 148.669235 -25.796015, 148.682556 -25.801315, 148.688599 -25.814886, 148.691177 -25.816235, 148.692886 -25.818945, 148.69548 -25.823589, 148.702988 -25.835129, 148.717789 -25.856461, 148.717407 -25.858021, 148.735916 -25.882441, 148.743149 -25.888851, 148.744675 -25.890703, 148.746689 -25.892145, 148.764862 -25.908741, 148.795639 -25.931355, 148.815094 -25.981131, 148.839767 -26.021807, 148.84642 -26.037102, 148.849991 -26.039299, 148.851196 -26.048559, 148.877716 -26.088011, 148.88797 -26.11133, 148.899017 -26.135111, 148.909378 -26.161089, 148.925385 -26.188351, 148.929642 -26.200809, 148.929504 -26.201376, 148.930878 -26.206619, 148.946945 -26.250059, 148.946899 -26.25218, 148.948853 -26.255318, 148.959396 -26.283924, 148.971817 -26.29471, 148.989655 -26.314219, 148.998215 -26.324034, 149.002228 -26.331621, 149.007263 -26.337671, 149.010574 -26.357569, 149.011017 -26.359421, 149.012344 -26.360422, 149.012238 -26.361288, 149.031418 -26.402966, 149.058655 -26.452053, 149.059753 -26.452948, 149.060532 -26.455563, 149.068909 -26.471176, 149.086288 -26.491413, 149.092896 -26.501886, 149.094406 -26.504768, 149.11319 -26.521172, 149.113449 -26.521589, 149.119095 -26.534391, 149.131577 -26.581297, 149.132172 -26.58395, 149.132172 -26.584991, 149.131531 -26.585762, 149.132462 -26.586794, 149.147507 -26.598803, 149.152771 -26.609497, 149.165009 -26.629417, 149.17276 -26.653555, 149.173035 -26.660782, 149.177322 -26.671833, 149.184174 -26.690393, 149.184387 -26.691689))"/>
  </r>
  <r>
    <s v="P3292"/>
    <s v="Gas"/>
    <s v="Australia"/>
    <s v="Australia"/>
    <s v="Australia"/>
    <m/>
    <s v="https://gem.wiki/Tanami_Gas_Pipeline"/>
    <x v="47"/>
    <m/>
    <m/>
    <s v="Australian Gas Infrastructure Group [unknown %]"/>
    <s v="Australian Gas Infrastructure Group [unknown %]"/>
    <x v="0"/>
    <n v="2019"/>
    <m/>
    <m/>
    <m/>
    <n v="13"/>
    <s v="TJ/d"/>
    <n v="0.13"/>
    <x v="38"/>
    <n v="440"/>
    <n v="435.4"/>
    <n v="440"/>
    <m/>
    <m/>
    <m/>
    <s v="Tilmouth Well"/>
    <s v="Australia and New Zealand"/>
    <m/>
    <s v="Northern Territory"/>
    <s v="Tanami"/>
    <m/>
    <s v="Northern Territory"/>
    <s v="Australia and New Zealand"/>
    <m/>
    <m/>
    <m/>
    <m/>
    <m/>
    <s v="LINESTRING (132.750657 -23.078753, 132.705704 -23.028814, 132.70461 -23.027336, 132.70402 -23.025567, 132.703136 -23.021515, 132.701368 -23.017094, 132.687515 -23.000515, 132.686557 -22.999262, 132.682578 -22.995873, 132.681547 -22.994399, 132.623525 -22.864485, 132.618925 -22.849212, 132.612055 -22.827253, 132.610951 -22.824861, 132.609969 -22.823328, 132.593163 -22.80646, 132.586845 -22.802473, 132.583288 -22.800326, 132.579914 -22.799958, 132.561881 -22.798854, 132.559489 -22.798302, 132.556483 -22.797137, 132.496066 -22.760886, 132.493796 -22.759353, 132.492079 -22.757819, 132.482407 -22.743631, 132.469618 -22.72283, 132.44897 -22.691011, 132.447044 -22.688777, 132.445272 -22.687776, 132.367768 -22.640318, 132.281712 -22.587775, 132.274933 -22.582691, 132.254902 -22.567513, 132.248816 -22.560965, 132.208523 -22.535464, 132.132678 -22.487483, 132.116381 -22.474986, 132.049893 -22.432151, 132.045579 -22.431149, 132.028322 -22.430533, 132.024701 -22.429608, 132.02185 -22.427605, 131.956904 -22.377297, 131.951819 -22.374061, 131.933021 -22.359577, 131.919816 -22.348961, 131.913067 -22.339084, 131.910679 -22.33685, 131.8794 -22.317281, 131.878629 -22.317512, 131.866534 -22.309885, 131.859328 -22.301402, 131.858213 -22.299485, 131.857597 -22.296634, 131.856595 -22.294785, 131.854053 -22.293244, 131.840725 -22.282998, 131.83564 -22.281226, 131.83225 -22.28007, 131.798583 -22.269053, 131.797504 -22.26836, 131.778706 -22.26235, 131.774931 -22.260424, 131.763606 -22.251025, 131.756903 -22.247481, 131.751664 -22.246249, 131.662912 -22.235771, 131.64134 -22.231919, 131.637694 -22.230756, 131.60698 -22.219592, 131.562835 -22.206187, 131.558135 -22.203722, 131.553667 -22.200486, 131.545192 -22.19178, 131.53926 -22.18839, 131.462295 -22.160655, 131.457981 -22.158652, 131.441915 -22.146366, 131.436563 -22.143937, 131.430477 -22.141626, 131.418843 -22.138313, 131.415145 -22.136541, 131.407364 -22.131379, 131.397965 -22.125986, 131.369074 -22.10819, 131.366301 -22.105801, 131.342572 -22.082612, 131.339721 -22.078683, 131.337693 -22.074665, 131.336409 -22.071364, 131.3361 -22.068513, 131.334174 -22.053259, 131.333019 -22.049407, 131.330939 -22.046556, 131.320384 -22.036618, 131.315752 -22.031566, 131.285756 -21.967174, 131.239075 -21.903118, 131.206053 -21.83033, 131.201731 -21.82402, 131.196556 -21.818695, 131.159718 -21.794974, 131.15358 -21.790738, 131.14866 -21.785996, 131.130586 -21.7508, 131.103182 -21.696599, 131.076038 -21.655364, 131.073186 -21.651301, 131.07042 -21.646287, 131.065763 -21.637703, 131.000226 -21.545232, 130.996941 -21.539267, 130.976539 -21.486968, 130.974119 -21.483251, 130.906778 -21.403461, 130.903839 -21.399485, 130.863209 -21.303098, 130.857849 -21.292638, 130.818862 -21.219678, 130.815145 -21.212676, 130.813589 -21.208958, 130.812638 -21.20455, 130.811428 -21.18337, 130.810304 -21.179394, 130.809181 -21.176628, 130.746037 -21.065873, 130.740543 -21.056117, 130.727758 -21.033294, 130.720185 -21.019769, 130.716945 -21.013817, 130.715712 -21.011668, 130.703772 -20.990466, 130.693911 -20.972785, 130.6882 -20.962695, 130.682473 -20.952561, 130.677759 -20.944177, 130.669281 -20.929271, 130.662364 -20.917087, 130.657898 -20.909254, 130.656135 -20.906826, 130.654463 -20.904994, 130.652768 -20.903414, 130.650821 -20.901902, 130.649287 -20.900849, 130.640881 -20.896199, 130.624712 -20.887496, 130.609459 -20.879205, 130.606916 -20.877808, 130.605748 -20.877052, 130.603916 -20.875747, 130.602473 -20.874579, 130.601122 -20.873274, 130.599542 -20.871441, 130.565697 -20.823446, 130.562347 -20.819873, 130.557973 -20.816344, 130.556573 -20.814915, 130.555231 -20.813574, 130.554094 -20.812057, 130.516229 -20.755509, 130.493357 -20.72078, 130.446584 -20.665138, 130.432487 -20.648521, 130.422965 -20.637318, 130.41755 -20.630689, 130.371805 -20.566926, 130.36667 -20.561698, 130.362936 -20.558711, 130.358268 -20.55591, 130.325406 -20.539759, 130.31195 -20.53915, 129.93391 -20.52633)"/>
  </r>
  <r>
    <s v="P1150"/>
    <s v="Gas"/>
    <s v="Australia"/>
    <s v="Australia"/>
    <s v="Australia"/>
    <m/>
    <s v="https://www.gem.wiki/Silver_Springs_Pipeline"/>
    <x v="48"/>
    <m/>
    <m/>
    <s v="Unknown [unknown %]"/>
    <s v="Unknown [unknown %]"/>
    <x v="0"/>
    <n v="1978"/>
    <m/>
    <m/>
    <m/>
    <n v="9"/>
    <s v="TJ/d"/>
    <n v="0.09"/>
    <x v="39"/>
    <n v="101"/>
    <n v="103.39"/>
    <n v="101"/>
    <m/>
    <m/>
    <m/>
    <m/>
    <s v="Australia and New Zealand"/>
    <m/>
    <m/>
    <m/>
    <m/>
    <m/>
    <s v="Australia and New Zealand"/>
    <m/>
    <m/>
    <m/>
    <m/>
    <m/>
    <s v="LINESTRING (149.186142 -26.693663, 149.186127 -26.693768, 149.187485 -26.693966, 149.187424 -26.694401, 149.187439 -26.694395, 149.187408 -26.694429, 149.186646 -26.695509, 149.186237 -26.698562, 149.18605 -26.699961, 149.185568 -26.703517, 149.184895 -26.708472, 149.184509 -26.711313, 149.184215 -26.713426, 149.183526 -26.718378, 149.183243 -26.720415, 149.182858 -26.723333, 149.182204 -26.72829, 149.181702 -26.732096, 149.181312 -26.73319, 149.181244 -26.733379, 149.179584 -26.737882, 149.177855 -26.742573, 149.177017 -26.744844, 149.176134 -26.747268, 149.175842 -26.748068, 149.174617 -26.752031, 149.173965 -26.754139, 149.173355 -26.754883, 149.172714 -26.756599, 149.172424 -26.757376, 149.170991 -26.761292, 149.170471 -26.762712, 149.169434 -26.765566, 149.16927 -26.765986, 149.169159 -26.766272, 149.169052 -26.767338, 149.168777 -26.769632, 149.168627 -26.770935, 149.168053 -26.775902, 149.16803 -26.776106, 149.167725 -26.778908, 149.167498 -26.780871, 149.167099 -26.78434, 149.16693 -26.785839, 149.166519 -26.789486, 149.166369 -26.790807, 149.165805 -26.795775, 149.165695 -26.796747, 149.165227 -26.800742, 149.165207 -26.800913, 149.164703 -26.805067, 149.164629 -26.805706, 149.16423 -26.809158, 149.164062 -26.810674, 149.163508 -26.815643, 149.163315 -26.817375, 149.163055 -26.819767, 149.162948 -26.820611, 149.162315 -26.825571, 149.162292 -26.825745, 149.162125 -26.826935, 149.161774 -26.829849, 149.161678 -26.83053, 149.161179 -26.834091, 149.160994 -26.835483, 149.160645 -26.838121, 149.16031 -26.840436, 149.160263 -26.840761, 149.16011 -26.841381, 149.159333 -26.845338, 149.159119 -26.846428, 149.158523 -26.850272, 149.158096 -26.85302, 149.158553 -26.855191, 149.159515 -26.859766, 149.159538 -26.86009, 149.159668 -26.861979, 149.15991 -26.865076, 149.160299 -26.870061, 149.160385 -26.871162, 149.160095 -26.873146, 149.159797 -26.875013, 149.159393 -26.877548, 149.159012 -26.879951, 149.158661 -26.88216, 149.15822 -26.884888, 149.157425 -26.889799, 149.157421 -26.889824, 149.156639 -26.894762, 149.156036 -26.898567, 149.155856 -26.899701, 149.15507 -26.904638, 149.154999 -26.905088, 149.154289 -26.909577, 149.154236 -26.909912, 149.153671 -26.913063, 149.153447 -26.914505, 149.152681 -26.919446, 149.152145 -26.922895, 149.151722 -26.924344, 149.150318 -26.929143, 149.150085 -26.929939, 149.149826 -26.932859, 149.149709 -26.934093, 149.149384 -26.93754, 149.149241 -26.939071, 149.148776 -26.944049, 149.148666 -26.945229, 149.148328 -26.949029, 149.148254 -26.949854, 149.147878 -26.954009, 149.147598 -26.957096, 149.147425 -26.958988, 149.14697 -26.963968, 149.146606 -26.967941, 149.146515 -26.968947, 149.146062 -26.973926, 149.145609 -26.978906, 149.145508 -26.980013, 149.145136 -26.983883, 149.144714 -26.988272, 149.144657 -26.98886, 149.144168 -26.993836, 149.14386 -26.996969, 149.14369 -26.998813, 149.143356 -27.002432, 149.14323 -27.003792, 149.143036 -27.00588, 149.142694 -27.008763, 149.142578 -27.009737, 149.142071 -27.013724, 149.141617 -27.017294, 149.141739 -27.017406, 149.142529 -27.018356, 149.144272 -27.020449, 149.144348 -27.020575, 149.144086 -27.022688, 149.14347 -27.02765, 149.143448 -27.027832, 149.142854 -27.032612, 149.142563 -27.034956, 149.142239 -27.037574, 149.141663 -27.04224, 149.141625 -27.042536, 149.141003 -27.047497, 149.140762 -27.049414, 149.140385 -27.052459, 149.139847 -27.056801, 149.139768 -27.05742, 149.139526 -27.059332, 149.139161 -27.062383, 149.13913 -27.062643, 149.138573 -27.067349, 149.138397 -27.06884, 149.137976 -27.072313, 149.137558 -27.075754, 149.137497 -27.07658, 149.137413 -27.07728, 149.137314 -27.078108, 149.137405 -27.079611, 149.137582 -27.082266, 149.137833 -27.086044, 149.137914 -27.087255, 149.13797 -27.088085, 149.13829 -27.09091, 149.13844 -27.092226, 149.138901 -27.096291, 149.139003 -27.097194, 149.13942 -27.100878, 149.139568 -27.102162, 149.139999 -27.105898, 149.140125 -27.107131, 149.14035 -27.109346, 149.140396 -27.110117, 149.140675 -27.112099, 149.141235 -27.116079, 149.141509 -27.117021, 149.141754 -27.117861, 149.143878 -27.121397, 149.146453 -27.125683, 149.148361 -27.128859, 149.149049 -27.129956, 149.151707 -27.134191, 149.151794 -27.134331, 149.152595 -27.139099, 149.152802 -27.140326, 149.152969 -27.141516, 149.153564 -27.143078, 149.153871 -27.143906, 149.155607 -27.148595, 149.155823 -27.149178, 149.157339 -27.153285, 149.158386 -27.156124, 149.158586 -27.158088, 149.158615 -27.158373, 149.15892 -27.161337, 149.158231 -27.162928, 149.15802 -27.163416, 149.157623 -27.164354, 149.157516 -27.164858, 149.157043 -27.166552, 149.156739 -27.167688, 149.15593 -27.170706, 149.155434 -27.172514, 149.155426 -27.172544, 149.154526 -27.175655, 149.153973 -27.177295, 149.153 -27.18018, 149.152367 -27.18203, 149.151794 -27.183706, 149.15079 -27.186775, 149.149658 -27.190229, 149.149237 -27.191527, 149.147694 -27.196283, 149.146683 -27.1994, 149.146444 -27.201107, 149.145767 -27.205936, 149.145751 -27.206058, 149.145093 -27.211015, 149.145004 -27.211679, 149.144394 -27.215966, 149.144333 -27.216396, 149.144102 -27.220956, 149.143849 -27.225949, 149.143677 -27.229343, 149.143591 -27.230943, 149.143322 -27.235935, 149.143173 -27.238699, 149.143069 -27.240929, 149.142836 -27.245924, 149.142776 -27.247194, 149.142731 -27.249033, 149.142715 -27.249933, 149.142677 -27.250921, 149.142639 -27.251905, 149.142548 -27.255419, 149.1425 -27.255917, 149.142026 -27.260894, 149.141552 -27.265871, 149.141078 -27.270849, 149.140604 -27.275826, 149.14013 -27.280804, 149.139656 -27.285781, 149.139182 -27.290759, 149.138809 -27.29467, 149.138713 -27.295737, 149.138263 -27.300717, 149.137814 -27.305696, 149.137619 -27.307852, 149.137014 -27.310622, 149.135946 -27.315507, 149.135712 -27.31658, 149.135498 -27.317547, 149.135208 -27.319565, 149.135081 -27.320428, 149.134888 -27.321737, 149.134842 -27.32238, 149.13472 -27.325027, 149.134711 -27.325409, 149.134674 -27.327063, 149.134561 -27.330407, 149.134415 -27.334713, 149.134398 -27.335404, 149.134384 -27.336002, 149.133896 -27.339956, 149.133847 -27.340371, 149.133286 -27.345121, 149.133307 -27.345337, 149.133806 -27.350312, 149.133865 -27.350906, 149.133113 -27.355245, 149.132385 -27.359438, 149.132263 -27.360172, 149.13144 -27.365104, 149.130618 -27.370036, 149.130249 -27.372246, 149.130157 -27.372807, 149.129776 -27.374367, 149.12963 -27.374933, 149.128382 -27.379775, 149.12822 -27.380405, 149.127594 -27.383036, 149.127869 -27.384035, 149.12771 -27.384623, 149.126801 -27.387989, 149.126451 -27.389461, 149.125295 -27.394326, 149.124139 -27.39919, 149.123413 -27.402246, 149.123158 -27.404088, 149.122473 -27.40904, 149.121787 -27.413993, 149.121582 -27.415478, 149.121109 -27.418947, 149.120433 -27.423901, 149.120056 -27.426661, 149.119756 -27.428855, 149.119078 -27.433809, 149.1184 -27.438763, 149.117722 -27.443717, 149.117401 -27.446062, 149.117047 -27.448671, 149.116375 -27.453625, 149.115703 -27.45858, 149.115031 -27.463535, 149.114868 -27.464737, 149.114352 -27.468488, 149.11367 -27.473442, 149.112988 -27.478395, 149.112306 -27.483348, 149.111624 -27.488301, 149.110942 -27.493255, 149.110382 -27.497324, 149.110262 -27.498208, 149.109588 -27.503163, 149.108932 -27.507977, 149.108913 -27.508117, 149.108237 -27.513071, 149.10759 -27.517815, 149.10756 -27.518025, 149.107117 -27.521204, 149.106858 -27.522975, 149.106827 -27.52319, 149.106644 -27.524054, 149.106689 -27.524158, 149.10643 -27.525145, 149.106339 -27.52762, 149.106326 -27.527909, 149.106111 -27.532904, 149.105911 -27.537558, 149.105896 -27.5379, 149.10567 -27.542894, 149.105444 -27.547889, 149.105438 -27.548016, 149.1052 -27.552883, 149.104955 -27.557877, 149.104874 -27.55953, 149.105302 -27.562848, 149.105835 -27.566975, 149.105948 -27.567806, 149.106624 -27.57276, 149.107193 -27.576927, 149.107307 -27.577713, 149.108027 -27.582661, 149.108673 -27.587109, 149.108742 -27.58761, 149.109426 -27.592563, 149.109879 -27.59584, 149.110135 -27.597512, 149.110229 -27.598125, 149.110168 -27.598297, 149.110859 -27.602437, 149.111681 -27.607369, 149.112503 -27.612301)"/>
  </r>
  <r>
    <s v="P3372"/>
    <s v="Gas"/>
    <s v="Australia"/>
    <s v="Australia"/>
    <s v="Australia"/>
    <m/>
    <s v="https://www.gem.wiki/Central_Ranges_Pipeline"/>
    <x v="49"/>
    <m/>
    <m/>
    <s v="APA Group [unknown %]"/>
    <s v="APA Group [unknown %]"/>
    <x v="0"/>
    <n v="2006"/>
    <m/>
    <m/>
    <m/>
    <n v="13"/>
    <s v="TJ/d"/>
    <n v="0.13"/>
    <x v="38"/>
    <n v="295"/>
    <n v="285.3"/>
    <n v="295"/>
    <m/>
    <m/>
    <s v="Central West Pipeline"/>
    <s v="Dubbo"/>
    <s v="Australia and New Zealand"/>
    <m/>
    <m/>
    <s v="Tamworth"/>
    <m/>
    <m/>
    <s v="Australia and New Zealand"/>
    <m/>
    <m/>
    <m/>
    <m/>
    <m/>
    <s v="LINESTRING (148.63261 -32.21358, 148.653223 -32.224985, 148.659962 -32.229029, 148.672092 -32.231724, 148.692309 -32.226333, 148.708482 -32.216899, 148.730046 -32.206116, 148.747567 -32.19803, 148.763741 -32.195334, 148.783957 -32.195334, 148.804174 -32.202073, 148.818999 -32.208812, 148.837868 -32.212855, 148.854041 -32.212855, 148.868867 -32.200725, 148.880997 -32.192639, 148.894475 -32.187248, 148.9093 -32.187248, 148.929517 -32.191291, 148.947038 -32.191291, 148.965907 -32.181857, 149.002296 -32.175537, 149.024609 -32.168099, 149.046921 -32.166612, 149.063284 -32.165124, 149.087084 -32.154712, 149.101958 -32.145787, 149.11352 -32.139081, 149.125119 -32.138189, 149.136171 -32.139837, 149.151046 -32.141325, 149.164433 -32.136862, 149.182283 -32.12645, 149.21352 -32.099675, 149.238808 -32.077362, 149.250708 -32.065462, 149.262608 -32.058025, 149.27897 -32.052075, 149.30277 -32.04315, 149.331032 -32.0372, 149.35037 -32.034225, 149.36227 -32.03125, 149.372682 -32.023813, 149.390532 -32.0134, 149.399457 -32.011913, 149.414332 -32.0134, 149.426232 -32.017863, 149.445569 -32.01935, 149.460444 -32.014888, 149.467882 -32.010425, 149.479354 -32.008808, 149.488707 -32.011913, 149.503582 -32.017863, 149.518456 -32.020838, 149.533331 -32.020838, 149.551181 -32.0134, 149.569031 -32.0015, 149.582419 -31.994063, 149.595806 -31.986625, 149.610681 -31.982163, 149.628531 -31.9777, 149.635968 -31.974725, 149.640431 -31.968775, 149.643406 -31.958363, 149.644893 -31.946463, 149.649356 -31.933076, 149.661256 -31.924151, 149.667206 -31.915226, 149.677618 -31.904813, 149.680593 -31.897376, 149.683568 -31.889938, 149.683568 -31.881013, 149.685056 -31.872088, 149.691006 -31.864651, 149.698443 -31.857213, 149.708856 -31.846801, 149.711831 -31.845313, 149.719268 -31.837876, 149.723731 -31.827464, 149.722243 -31.821514, 149.714806 -31.811101, 149.705881 -31.805151, 149.701418 -31.793251, 149.699931 -31.781351, 149.698443 -31.762014, 149.699931 -31.741189, 149.705881 -31.729289, 149.716293 -31.715902, 149.728193 -31.692102, 149.740093 -31.674252, 149.750505 -31.657889, 149.763893 -31.645989, 149.774305 -31.641527, 149.778768 -31.641527, 149.793643 -31.641527, 149.80108 -31.640039, 149.810005 -31.635577, 149.820418 -31.625164, 149.835292 -31.608802, 149.84273 -31.59839, 149.851655 -31.587977, 149.862067 -31.582027, 149.879917 -31.579052, 149.90223 -31.579052, 149.927517 -31.58054, 149.951317 -31.58054, 149.961729 -31.579052, 149.981067 -31.577565, 150.001892 -31.565665, 150.025692 -31.540377, 150.049491 -31.524015, 150.073291 -31.492778, 150.088166 -31.482365, 150.101554 -31.474928, 150.122379 -31.46749, 150.138741 -31.464515, 150.150641 -31.460053, 150.162541 -31.452615, 150.174441 -31.43774, 150.183366 -31.427328, 150.195266 -31.421378, 150.216091 -31.41394, 150.232453 -31.410965, 150.241378 -31.402041, 150.247328 -31.390141, 150.259228 -31.384191, 150.266665 -31.382703, 150.278565 -31.384191, 150.28749 -31.387166, 150.296415 -31.388653, 150.30534 -31.387166, 150.314265 -31.379728, 150.324678 -31.375266, 150.34104 -31.373778, 150.354428 -31.375266, 150.36484 -31.375266, 150.372277 -31.372291, 150.373765 -31.363366, 150.378227 -31.345516, 150.384177 -31.335103, 150.393102 -31.330641, 150.399052 -31.324691, 150.403515 -31.314278, 150.407977 -31.293454, 150.410952 -31.272629, 150.416902 -31.262216, 150.425827 -31.254779, 150.443677 -31.250316, 150.46004 -31.251804, 150.471939 -31.254779, 150.487631 -31.257509, 150.504584 -31.256617, 150.524002 -31.254779, 150.547802 -31.245854, 150.570114 -31.239904, 150.583997 -31.235202, 150.602839 -31.230979, 150.620689 -31.228004, 150.637534 -31.226279, 150.653414 -31.220566, 150.670548 -31.208433, 150.686138 -31.199741, 150.698038 -31.193792, 150.705476 -31.190817, 150.718863 -31.186354, 150.730763 -31.180404, 150.739688 -31.177429, 150.751588 -31.175942, 150.762001 -31.174454, 150.773901 -31.171479, 150.788775 -31.161067, 150.8096 -31.141729, 150.825963 -31.126854, 150.840838 -31.109004, 150.855713 -31.097104, 150.867613 -31.091155, 150.881 -31.089667, 150.897362 -31.089667, 150.912237 -31.091155, 150.918187 -31.092642)"/>
  </r>
  <r>
    <s v="P1305"/>
    <s v="Gas"/>
    <s v="Australia"/>
    <s v="Australia"/>
    <s v="Australia"/>
    <m/>
    <s v="https://www.gem.wiki/Crib_Point_Pakenham_Pipeline"/>
    <x v="50"/>
    <m/>
    <m/>
    <s v="AGL Energy [unknown %]; APA Group [unknown %]"/>
    <s v="AGL Energy [unknown %]; APA Group [unknown %]"/>
    <x v="4"/>
    <n v="2023"/>
    <m/>
    <m/>
    <m/>
    <n v="98.2"/>
    <s v="bcm/y"/>
    <n v="98.2"/>
    <x v="40"/>
    <n v="59.5"/>
    <n v="46.55"/>
    <n v="59.5"/>
    <m/>
    <m/>
    <m/>
    <s v="Crib Point"/>
    <s v="Australia and New Zealand"/>
    <m/>
    <s v="Victoria"/>
    <s v="Pakenham"/>
    <m/>
    <s v="Victoria"/>
    <s v="Australia and New Zealand"/>
    <m/>
    <m/>
    <m/>
    <m/>
    <m/>
    <s v="LINESTRING (145.589795 -38.068208, 145.224166 -38.372646)"/>
  </r>
  <r>
    <s v="P1359"/>
    <s v="Gas"/>
    <s v="Australia"/>
    <s v="Australia"/>
    <s v="Australia"/>
    <m/>
    <s v="https://www.gem.wiki/Atlas_Gas_Pipeline"/>
    <x v="51"/>
    <m/>
    <m/>
    <s v="Jemena [unknown %]"/>
    <s v="SP Group [unknown %]; State Grid Corporation of China [unknown %]"/>
    <x v="0"/>
    <n v="2019"/>
    <m/>
    <m/>
    <m/>
    <n v="36.99"/>
    <s v="MMcf/d"/>
    <n v="0.38"/>
    <x v="41"/>
    <n v="60"/>
    <n v="53.38"/>
    <n v="60"/>
    <m/>
    <m/>
    <s v="Atlas Field"/>
    <s v="Wandoan"/>
    <s v="Australia and New Zealand"/>
    <m/>
    <s v="Queensland"/>
    <s v="Wallumbilla"/>
    <m/>
    <s v="Queensland"/>
    <s v="Australia and New Zealand"/>
    <m/>
    <m/>
    <m/>
    <m/>
    <m/>
    <s v="LINESTRING (149.845828 -26.180488, 149.510079 -26.555529)"/>
  </r>
  <r>
    <s v="P1128"/>
    <s v="Gas"/>
    <s v="Australia"/>
    <s v="Australia"/>
    <s v="Australia"/>
    <m/>
    <s v="https://www.gem.wiki/Amadeus_Gas_Pipeline"/>
    <x v="52"/>
    <m/>
    <m/>
    <s v="APA Group [100.00%]"/>
    <s v="APA Group [100.00%]"/>
    <x v="0"/>
    <n v="1986"/>
    <m/>
    <m/>
    <m/>
    <n v="113.74"/>
    <s v="MMcf/d"/>
    <n v="1.18"/>
    <x v="42"/>
    <n v="1658"/>
    <n v="1580.75"/>
    <n v="1658"/>
    <m/>
    <m/>
    <s v="Amadeus Basin"/>
    <m/>
    <s v="Australia and New Zealand"/>
    <m/>
    <s v="Northern Territory"/>
    <s v="Darwin, Alice Springs"/>
    <m/>
    <s v="Northern Territory"/>
    <s v="Australia and New Zealand"/>
    <m/>
    <m/>
    <m/>
    <m/>
    <m/>
    <s v="LINESTRING (131.551069 -23.98548, 131.55327 -23.988096, 131.555754 -23.9914, 131.553945 -23.995639, 131.555815 -23.999058, 131.558337 -23.994948, 131.543666 -23.972974, 131.56486 -23.892258, 131.585809 -23.811622, 131.587773 -23.803656, 131.587531 -23.802028, 131.587957 -23.800493, 131.58802 -23.797963, 131.588858 -23.796357, 131.588711 -23.794537, 131.589036 -23.793541, 131.592144 -23.786945, 131.60357 -23.74309, 131.610947 -23.727622, 131.622962 -23.710894, 131.634209 -23.699861, 131.639238 -23.696604, 131.643034 -23.695864, 131.661527 -23.696896, 131.776975 -23.703615, 131.787244 -23.704278, 131.793298 -23.705218, 131.811796 -23.711017, 131.818583 -23.713953, 131.823758 -23.714694, 131.885051 -23.733896, 131.889519 -23.73507, 131.890604 -23.735637, 131.916289 -23.743727, 131.991906 -23.767238, 132.162145 -23.81167, 132.242526 -23.832476, 132.249775 -23.82881, 132.253623 -23.822456, 132.258634 -23.815563, 132.259162 -23.814007, 132.263157 -23.808425, 132.266133 -23.803486, 132.269266 -23.80034, 132.275915 -23.794368, 132.278992 -23.792039, 132.282396 -23.790382, 132.28895 -23.786648, 132.29707 -23.783161, 132.301451 -23.782184, 132.313783 -23.778651, 132.324595 -23.773741, 132.326712 -23.773624, 132.328908 -23.772858, 132.330978 -23.77065, 132.332751 -23.769392, 132.349555 -23.758263, 132.353978 -23.752935, 132.35415 -23.751155, 132.355327 -23.748176, 132.354529 -23.745463, 132.356351 -23.74217, 132.355133 -23.732118, 132.356784 -23.718889, 132.361158 -23.702493, 132.359955 -23.690261, 132.361838 -23.680769, 132.360795 -23.679411, 132.360871 -23.674126, 132.361388 -23.672243, 132.363268 -23.670215, 132.363541 -23.665213, 132.364289 -23.658913, 132.364826 -23.657662, 132.366994 -23.655364, 132.367553 -23.650168, 132.367363 -23.648651, 132.361629 -23.645287, 132.357761 -23.642535, 132.35 -23.637515, 132.342094 -23.632893, 132.331032 -23.62534, 132.330563 -23.622524, 132.333188 -23.620495, 132.335114 -23.617574, 132.335843 -23.600895, 132.313561 -23.56482, 132.302561 -23.555408, 132.302428 -23.551469, 132.300421 -23.547474, 132.278992 -23.49104, 132.279204 -23.478179, 132.280374 -23.473657, 132.279464 -23.470944, 132.280038 -23.46788, 132.278077 -23.464567, 132.276796 -23.459509, 132.276732 -23.456564, 132.275258 -23.451692, 132.272644 -23.444994, 132.270282 -23.442832, 132.267773 -23.439329, 132.265427 -23.435018, 132.263738 -23.432881, 132.262271 -23.431999, 132.256782 -23.430008, 132.2551 -23.427681, 132.25277 -23.427438, 132.239944 -23.427676, 132.235421 -23.424219, 132.23483 -23.423027, 132.232502 -23.419392, 132.228475 -23.417601, 132.227237 -23.416584, 132.226941 -23.414601, 132.227215 -23.413257, 132.226958 -23.410041, 132.226319 -23.40663, 132.22636 -23.405379, 132.224416 -23.404073, 132.223624 -23.403837, 132.223433 -23.399154, 132.221451 -23.393125, 132.226824 -23.381794, 132.243119 -23.359093, 132.282876 -23.336712, 132.286313 -23.334649, 132.295148 -23.320267, 132.301945 -23.311805, 132.314381 -23.302679, 132.387127 -23.302199, 132.416395 -23.289334, 132.624558 -23.217419, 132.626701 -23.210746, 132.750657 -23.078753, 132.755462 -23.073617, 132.967434 -22.887635, 133.103159 -22.768149, 133.242071 -22.64553, 133.254578 -22.63396, 133.261745 -22.625935, 133.266978 -22.622948, 133.267711 -22.621486, 133.271497 -22.619616, 133.275518 -22.615405, 133.288337 -22.603935, 133.305524 -22.604116, 133.33711 -22.578674, 133.339588 -22.571133, 133.355227 -22.527133, 133.491707 -22.101784, 133.462073 -22.063989, 133.516115 -21.947826, 133.514232 -21.945146, 133.526928 -21.926123, 133.525399 -21.919681, 133.600636 -21.69872, 133.624869 -21.647226, 133.620197 -21.631805, 133.658092 -21.602332, 133.719356 -21.344226, 133.794231 -21.13912, 133.894816 -20.995752, 134.023087 -20.831925, 134.023542 -20.791118, 134.023924 -20.790195, 134.024046 -20.779628, 134.027856 -20.402944, 134.025689 -20.394074, 134.028311 -19.979841, 134.029974 -19.963112, 134.030445 -19.813649, 133.984801 -19.720827, 133.983343 -19.716333, 133.960504 -19.665309, 133.851195 -19.44897, 133.85217 -19.442249, 133.809031 -19.375288, 133.775917 -19.230844, 133.769476 -19.218972, 133.763657 -19.078798, 133.680589 -18.638208, 133.668276 -18.591543, 133.666338 -18.56912, 133.662848 -18.56521, 133.661691 -18.556852, 133.6485 -18.547406, 133.64 -18.537128, 133.62012 -18.488027, 133.620057 -18.462602, 133.599872 -18.371417, 133.600845 -18.3679, 133.600389 -18.35867, 133.602158 -18.326555, 133.574189 -18.200604, 133.597727 -18.084577, 133.595902 -18.080838, 133.594241 -18.039085, 133.604769 -18.00955, 133.626034 -17.87076, 133.604255 -17.81814, 133.597993 -17.788999, 133.597169 -17.78151, 133.595232 -17.776111, 133.593741 -17.769105, 133.558555 -17.714313, 133.539939 -17.617239, 133.525414 -17.603666, 133.444313 -17.42511, 133.435992 -17.391102, 133.427506 -17.371451, 133.426984 -17.357129, 133.426983 -17.290947, 133.422589 -17.269355, 133.421321 -17.20241, 133.354781 -17.008497, 133.354165 -16.9779, 133.33523 -16.897297, 133.337103 -16.784177, 133.324729 -16.74822, 133.324604 -16.688722, 133.306514 -16.627319, 133.30547 -16.624748, 133.322143 -16.494674, 133.294388 -16.420064, 133.296646 -16.336141, 133.307815 -16.299556, 133.306656 -16.266681, 133.299621 -16.228813, 133.311168 -16.163908, 133.303557 -16.137875, 133.309705 -16.101292, 133.30917 -15.984481, 133.275253 -15.845882, 133.261586 -15.807281, 133.258448 -15.801661, 133.257204 -15.798227, 133.255965 -15.791404, 133.22112 -15.692731, 133.167968 -15.606583, 133.163829 -15.547505, 133.164118 -15.543414, 133.161296 -15.50421, 133.152819 -15.477322, 133.151153 -15.4742, 133.149826 -15.470014, 133.141937 -15.444943, 133.141674 -15.441984, 133.129014 -15.401807, 133.014469 -15.126405, 133.007992 -15.059669, 132.945677 -14.941957, 132.875425 -14.873757, 132.63135 -14.776213, 132.597717 -14.761481, 132.483212 -14.685523, 132.481426 -14.68406, 132.47897 -14.68275, 132.459002 -14.669689, 132.442039 -14.66115, 132.433609 -14.659498, 132.429508 -14.654851, 132.362073 -14.620884, 132.332165 -14.600698, 132.322117 -14.590803, 132.239317 -14.535642, 132.210665 -14.513177, 132.210579 -14.507152, 132.209803 -14.500971, 132.208057 -14.497319, 132.204509 -14.490833, 132.20449 -14.479318, 132.201194 -14.475074, 132.192622 -14.47239, 132.168971 -14.449328, 132.167105 -14.447035, 132.154575 -14.435132, 132.149162 -14.433781, 132.143784 -14.424872, 132.128449 -14.4103, 132.128426 -14.381201, 132.126961 -14.37921, 132.127005 -14.378385, 132.127484 -14.377838, 132.128577 -14.375792, 132.128653 -14.346684, 132.128347 -14.345761, 132.128653 -14.344958, 132.128675 -14.343041, 132.129482 -14.342111, 132.128079 -14.339643, 132.126449 -14.334855, 132.120617 -14.324683, 132.123231 -14.31886, 132.120115 -14.303944, 132.097092 -14.2735, 132.096625 -14.26679, 132.095092 -14.260309, 132.09365 -14.258882, 132.090433 -14.242208, 132.084821 -14.232552, 132.078174 -14.226402, 132.076654 -14.22549, 132.075686 -14.223021, 132.074692 -14.221686, 132.067945 -14.198999, 132.062922 -14.192034, 132.059714 -14.185354, 132.060621 -14.1838, 132.059186 -14.17602, 132.053597 -14.170776, 132.052917 -14.167414, 132.041973 -14.160631, 132.03911 -14.157383, 132.03668 -14.148534, 132.03355 -14.144066, 132.030587 -14.14275, 132.028822 -14.140414, 132.028903 -14.136365, 132.028565 -14.135194, 132.026098 -14.13272, 132.024499 -14.130349, 132.021134 -14.128602, 132.020573 -14.127697, 132.021334 -14.12431, 132.02059 -14.117268, 132.018258 -14.114075, 132.017072 -14.111305, 132.011983 -14.10881, 132.004729 -14.091394, 131.997948 -14.078917, 131.987716 -14.067268, 131.987252 -14.064044, 131.985589 -14.062379, 131.984706 -14.062058, 131.9698 -14.04248, 131.969714 -14.035529, 131.969379 -14.034163, 131.969469 -14.030029, 131.969806 -14.028316, 131.970049 -14.018414, 131.899611 -13.88354, 131.885023 -13.838884, 131.88388 -13.837495, 131.883049 -13.834989, 131.881543 -13.831796, 131.880535 -13.831251, 131.864192 -13.796314, 131.862403 -13.786807, 131.860148 -13.783645, 131.857085 -13.780356, 131.856363 -13.777766, 131.852235 -13.771623, 131.851651 -13.771222, 131.848578 -13.771753, 131.841275 -13.764736, 131.834001 -13.760091, 131.829715 -13.753398, 131.825958 -13.75148, 131.82516 -13.749101, 131.821927 -13.745448, 131.819942 -13.742406, 131.815577 -13.738546, 131.811136 -13.73316, 131.810309 -13.728006, 131.795714 -13.710207, 131.793964 -13.699269, 131.791183 -13.69458, 131.790085 -13.693858, 131.78861 -13.691328, 131.788531 -13.688615, 131.789373 -13.685069, 131.782834 -13.677071, 131.780418 -13.66929, 131.773595 -13.655296, 131.76484 -13.647409, 131.759584 -13.638338, 131.75443 -13.631115, 131.751105 -13.623192, 131.748162 -13.621437, 131.742719 -13.615052, 131.742979 -13.609561, 131.741806 -13.600213, 131.740581 -13.594543, 131.735752 -13.591603, 131.73419 -13.585369, 131.732824 -13.584483, 131.731412 -13.57701, 131.731291 -13.567375, 131.731594 -13.565903, 131.730655 -13.560443, 131.724004 -13.549286, 131.724012 -13.544965, 131.723241 -13.539025, 131.720843 -13.537431, 131.71876 -13.534645, 131.716308 -13.533829, 131.715471 -13.533284, 131.713134 -13.534614, 131.709523 -13.533628, 131.707199 -13.533592, 131.700607 -13.531477, 131.697357 -13.52989, 131.6964 -13.529275, 131.693011 -13.526711, 131.691393 -13.525838, 131.689207 -13.523806, 131.686548 -13.522393, 131.683614 -13.517354, 131.665483 -13.500494, 131.661577 -13.491661, 131.658837 -13.489345, 131.654851 -13.482527, 131.648933 -13.476952, 131.645457 -13.475948, 131.641394 -13.472454, 131.634971 -13.470307, 131.630136 -13.466036, 131.607188 -13.451039, 131.605597 -13.450878, 131.602098 -13.449438, 131.543273 -13.410539, 131.537948 -13.399787, 131.528559 -13.39011, 131.5031 -13.363862, 131.485012 -13.358277, 131.42645 -13.316758, 131.409108 -13.312727, 131.403522 -13.310662, 131.394215 -13.309262, 131.381803 -13.300691, 131.350717 -13.29345, 131.350193 -13.290815, 131.348911 -13.289964, 131.346337 -13.284069, 131.333039 -13.266172, 131.330218 -13.258193, 131.319906 -13.239369, 131.316468 -13.228569, 131.295065 -13.188918, 131.295385 -13.185098, 131.293792 -13.181966, 131.245134 -13.142013, 131.241625 -13.134619, 131.238711 -13.133102, 131.238225 -13.131663, 131.231266 -13.125173, 131.229952 -13.123655, 131.227715 -13.118688, 131.218345 -13.115948, 131.211506 -13.110434, 131.209988 -13.102517, 131.207121 -13.097655, 131.203619 -13.09382, 131.20101 -13.089188, 131.200498 -13.087143, 131.192468 -13.07074, 131.179218 -13.055617, 131.173405 -13.044303, 131.172093 -13.040722, 131.154285 -13.016609, 131.150142 -13.012646, 131.148075 -13.009982, 131.13099 -12.992804, 131.124773 -12.984665, 131.121632 -12.984536, 131.120806 -12.983443, 131.121311 -12.977731, 131.118262 -12.971756, 131.121804 -12.953674, 131.123683 -12.946692, 131.125671 -12.942798, 131.12629 -12.941069, 131.130677 -12.93407, 131.131796 -12.930768, 131.131824 -12.929913, 131.14017 -12.914326, 131.143468 -12.90941, 131.14423 -12.860711, 131.143808 -12.858946, 131.13686 -12.839221, 131.136814 -12.818158, 131.139028 -12.814406, 131.139089 -12.795929, 131.138922 -12.785504, 131.095766 -12.702386, 131.095754 -12.692576, 131.094353 -12.687082, 131.094243 -12.681576, 131.080883 -12.670823, 131.074721 -12.671861, 131.058045 -12.669505, 131.048139 -12.665611, 131.039424 -12.655104, 131.014802 -12.650472, 131.003668 -12.641678, 130.99431 -12.618884, 130.988917 -12.611447, 130.980067 -12.607231, 130.972403 -12.59695, 130.963501 -12.582774, 130.959951 -12.579922, 130.956414 -12.58116, 130.952628 -12.580557, 130.947772 -12.578118, 130.944804 -12.577412, 130.934156 -12.576908, 130.920225 -12.568081, 130.91261 -12.563885, 130.905179 -12.563879, 130.900812 -12.566341, 130.89884 -12.568498, 130.896783 -12.570168, 130.894367 -12.570564, 130.887651 -12.56818, 130.885589 -12.566481, 130.884291 -12.56279, 130.882361 -12.55948, 130.879921 -12.555919)"/>
  </r>
  <r>
    <s v="P1129"/>
    <s v="Gas"/>
    <s v="Australia"/>
    <s v="Australia"/>
    <s v="Australia"/>
    <m/>
    <s v="https://www.gem.wiki/Anglo-Mitsui_Gas_Pipeline"/>
    <x v="53"/>
    <m/>
    <s v="AMP; Peabody Mistui Gas Pipeline"/>
    <s v="Anglo American [51.00%]; Mitsui Global Investment [49.00%]"/>
    <s v="Anglo American [51.00%]; Mitsui Global Investment [49.00%]"/>
    <x v="0"/>
    <n v="1996"/>
    <m/>
    <m/>
    <m/>
    <n v="47.39"/>
    <s v="MMcf/d"/>
    <n v="0.49"/>
    <x v="43"/>
    <n v="23"/>
    <n v="10.16"/>
    <n v="23"/>
    <m/>
    <m/>
    <s v="Dawson Mine"/>
    <s v="Kianga"/>
    <s v="Australia and New Zealand"/>
    <m/>
    <s v="Queensland"/>
    <s v="Moura"/>
    <m/>
    <s v="Queensland"/>
    <s v="Australia and New Zealand"/>
    <m/>
    <m/>
    <m/>
    <m/>
    <m/>
    <s v="LINESTRING (150.0432484 -24.6303736, 149.975735 -24.56253)"/>
  </r>
  <r>
    <s v="P1130"/>
    <s v="Gas"/>
    <s v="Australia"/>
    <s v="Australia"/>
    <s v="Australia"/>
    <m/>
    <s v="https://www.gem.wiki/APLNG_Pipeline"/>
    <x v="54"/>
    <m/>
    <m/>
    <s v="ConocoPhillips [37.50%]; Origin Energy Limited [37.50%]; Sinopec 中国石油化工股份有限公司 [25.00%]"/>
    <s v="ConocoPhillips [37.50%]; Origin Energy Limited [37.50%]; Sinopec 中国石油化工股份有限公司 [25.00%]"/>
    <x v="0"/>
    <n v="2015"/>
    <m/>
    <m/>
    <m/>
    <n v="1478.59"/>
    <s v="MMcf/d"/>
    <n v="15.29"/>
    <x v="44"/>
    <n v="530"/>
    <n v="517.45000000000005"/>
    <n v="530"/>
    <m/>
    <m/>
    <s v="Surat Basin"/>
    <m/>
    <s v="Australia and New Zealand"/>
    <m/>
    <s v="Queensland"/>
    <s v="Curtis Island"/>
    <m/>
    <s v="Queensland"/>
    <s v="Australia and New Zealand"/>
    <m/>
    <m/>
    <m/>
    <m/>
    <m/>
    <s v="MULTILINESTRING ((151.193619 -23.751707, 151.193634 -23.751556, 151.194824 -23.749451, 151.191666 -23.747412, 151.183716 -23.74851, 151.18187 -23.749466, 151.175766 -23.750513, 151.16777 -23.75098, 151.159668 -23.751436, 151.151688 -23.75194, 151.143677 -23.752415, 151.135742 -23.753155, 151.127777 -23.753538, 151.119751 -23.753801, 151.111649 -23.753981, 151.103668 -23.75382, 151.095749 -23.753283, 151.087708 -23.752768, 151.079742 -23.754705, 151.078262 -23.757471, 151.071701 -23.759554, 151.064606 -23.765505, 151.063766 -23.76668, 151.059372 -23.77347, 151.055725 -23.775997, 151.047729 -23.780806, 151.045547 -23.781485, 151.039734 -23.786436, 151.03537 -23.789543, 151.031723 -23.792919, 151.027405 -23.797464, 151.023682 -23.801395, 151.015793 -23.805466, 151.015625 -23.805536, 151.007767 -23.811888, 151.006165 -23.81352, 151.007309 -23.821497, 151.007782 -23.822168, 151.015793 -23.828688, 151.016663 -23.829485, 151.021393 -23.837559, 151.023804 -23.84388, 151.024689 -23.845509, 151.026123 -23.853531, 151.029724 -23.86153, 151.027527 -23.869543, 151.026749 -23.877611, 151.023743 -23.881212, 151.016312 -23.885559, 151.015747 -23.886229, 151.010773 -23.89349, 151.007767 -23.89888, 151.006302 -23.901569, 151.00235 -23.909502, 150.999756 -23.915936, 150.999115 -23.917496, 150.995956 -23.925581, 150.992126 -23.933493, 150.99176 -23.934422, 150.987518 -23.941542, 150.983704 -23.947437, 150.982361 -23.949507, 150.977585 -23.957552, 150.975769 -23.960709, 150.973022 -23.965466, 150.972504 -23.973516, 150.971863 -23.981529, 150.972305 -23.989473, 150.971115 -23.997478, 150.967773 -24.004265, 150.964691 -24.00551, 150.959763 -24.007481, 150.951721 -24.010664, 150.944534 -24.013485, 150.943741 -24.0138, 150.935745 -24.016928, 150.927719 -24.020069, 150.924103 -24.021469, 150.919769 -24.023159, 150.911621 -24.025352, 150.903671 -24.027355, 150.895676 -24.029261, 150.894653 -24.029497, 150.887756 -24.031652, 150.879745 -24.035009, 150.874901 -24.037485, 150.871719 -24.039099, 150.863678 -24.043221, 150.861069 -24.045507, 150.855713 -24.049929, 150.853012 -24.053465, 150.850388 -24.061514, 150.848114 -24.069572, 150.847733 -24.070475, 150.845093 -24.077501, 150.839767 -24.078861, 150.831665 -24.082026, 150.825211 -24.085526, 150.824097 -24.093468, 150.823776 -24.093578, 150.81572 -24.096403, 150.807666 -24.099191, 150.80072 -24.101463, 150.799759 -24.101877, 150.791656 -24.105373, 150.783737 -24.108265, 150.778809 -24.109463, 150.775757 -24.110207, 150.767639 -24.112185, 150.76207 -24.117506, 150.760742 -24.125463, 150.759644 -24.126665, 150.751633 -24.130495, 150.749069 -24.133537, 150.747101 -24.141491, 150.743774 -24.143724, 150.735764 -24.146549, 150.731537 -24.149469, 150.727753 -24.151749, 150.721039 -24.157553, 150.719757 -24.158659, 150.715103 -24.165522, 150.71286 -24.173525, 150.713303 -24.181469, 150.711746 -24.184767, 150.708847 -24.189583, 150.704056 -24.197544, 150.703705 -24.197895, 150.69577 -24.203299, 150.693649 -24.205549, 150.687729 -24.212111, 150.68309 -24.213472, 150.679718 -24.21736, 150.671722 -24.220047, 150.663742 -24.218943, 150.66008 -24.221518, 150.655716 -24.225462, 150.647705 -24.225267, 150.639755 -24.225994, 150.631775 -24.228928, 150.6306 -24.229528, 150.624634 -24.229452, 150.623611 -24.229366, 150.622879 -24.229475, 150.617004 -24.229452, 150.615662 -24.228117, 150.607727 -24.224739, 150.602997 -24.22143, 150.599777 -24.219179, 150.591766 -24.218248, 150.58374 -24.221548, 150.575775 -24.226299, 150.57045 -24.229486, 150.567734 -24.230516, 150.559692 -24.236567, 150.557663 -24.237514, 150.551697 -24.241495, 150.545425 -24.245464, 150.543701 -24.246584, 150.535706 -24.251783, 150.533096 -24.253473, 150.527649 -24.257021, 150.520844 -24.261538, 150.519775 -24.262667, 150.511719 -24.266949, 150.504654 -24.269497, 150.503738 -24.269758, 150.495712 -24.274714, 150.487747 -24.277157, 150.48671 -24.277479, 150.479706 -24.279631, 150.471771 -24.282011, 150.465439 -24.285513, 150.463638 -24.286541, 150.455673 -24.290396, 150.44957 -24.293524, 150.447754 -24.294302, 150.439774 -24.298479, 150.437378 -24.301537, 150.431778 -24.307779, 150.428543 -24.309479, 150.423721 -24.312428, 150.418686 -24.317526, 150.415695 -24.322281, 150.413605 -24.325594, 150.408585 -24.33354, 150.407715 -24.334913, 150.404449 -24.341463, 150.403885 -24.349493, 150.406372 -24.357582, 150.407822 -24.361214, 150.409698 -24.365515, 150.412872 -24.37359, 150.414383 -24.381523, 150.415421 -24.389486, 150.415176 -24.397539, 150.415451 -24.405523, 150.414886 -24.413493, 150.412704 -24.421516, 150.411423 -24.429569, 150.409317 -24.437565, 150.407761 -24.443487, 150.407532 -24.445526, 150.407791 -24.449581, 150.410294 -24.453487, 150.412766 -24.461571, 150.414139 -24.469543, 150.414917 -24.477526, 150.414734 -24.485548, 150.415482 -24.493568, 150.415787 -24.496582, 150.416794 -24.50148, 150.418427 -24.509468, 150.419342 -24.517464, 150.420273 -24.525488, 150.421112 -24.53352, 150.420547 -24.541571, 150.421066 -24.54953, 150.423828 -24.55513, 150.425049 -24.557606, 150.427795 -24.565611, 150.430359 -24.573488, 150.431824 -24.577711, 150.433105 -24.58148, 150.435104 -24.589489, 150.439423 -24.597546, 150.439835 -24.598261, 150.443634 -24.605492, 150.446564 -24.61347, 150.4478 -24.61684, 150.449402 -24.621561, 150.453644 -24.629471, 150.455795 -24.633602, 150.457581 -24.637512, 150.461227 -24.645494, 150.463791 -24.651114, 150.464874 -24.653481, 150.468567 -24.661583, 150.471542 -24.66954, 150.471786 -24.67033, 150.474091 -24.677498, 150.474777 -24.685495, 150.477005 -24.693552, 150.479782 -24.700272, 150.48024 -24.701509, 150.480026 -24.709578, 150.480042 -24.717524, 150.48143 -24.725475, 150.480453 -24.733582, 150.480072 -24.74161, 150.479767 -24.748215, 150.479736 -24.749512, 150.479782 -24.752205, 150.481216 -24.757486, 150.48291 -24.765495, 150.483231 -24.773487, 150.48201 -24.781487, 150.480438 -24.789574, 150.479767 -24.791906, 150.478928 -24.79752, 150.478561 -24.805471, 150.479858 -24.807125, 150.482346 -24.81349, 150.48082 -24.82155, 150.479736 -24.826332, 150.479065 -24.829493, 150.478638 -24.837503, 150.477768 -24.845537, 150.478516 -24.853525, 150.477081 -24.861599, 150.475662 -24.869476, 150.474915 -24.87756, 150.475922 -24.885592, 150.472961 -24.893505, 150.47171 -24.894644, 150.46373 -24.900595, 150.457443 -24.90147, 150.45575 -24.902241, 150.452271 -24.909576, 150.450302 -24.913431, 150.450394 -24.913462), (150.450241 -24.913868, 150.450165 -24.913841, 150.44989 -24.916113, 150.447741 -24.92152, 150.446869 -24.924089, 150.447769 -24.92758, 150.448944 -24.932108, 150.451035 -24.940084, 150.451904 -24.948044, 150.451126 -24.95607, 150.448349 -24.964128, 150.447723 -24.965466, 150.44519 -24.97208, 150.444351 -24.980059, 150.447769 -24.987688, 150.447983 -24.988043, 150.452927 -24.99614, 150.45578 -25.000114, 150.458389 -25.004145, 150.457901 -25.012177, 150.45575 -25.019133, 150.45546 -25.020065, 150.453522 -25.028095, 150.455765 -25.033524, 150.456833 -25.036085, 150.459518 -25.044069, 150.462204 -25.052094, 150.463791 -25.05686, 150.463699 -25.059084, 150.463043 -25.060038, 150.457458 -25.068048, 150.458054 -25.076099, 150.457275 -25.084074, 150.45575 -25.091507, 150.455627 -25.092148, 150.453979 -25.100161, 150.449142 -25.108107, 150.447708 -25.110281, 150.445694 -25.116077, 150.444046 -25.124125, 150.442947 -25.132092, 150.44104 -25.14007, 150.439758 -25.14155, 150.439148 -25.148071, 150.435928 -25.156122, 150.432739 -25.164101, 150.43309 -25.17206, 150.432785 -25.180111, 150.431747 -25.18651, 150.43129 -25.18807, 150.431793 -25.193558, 150.433456 -25.196037, 150.434265 -25.204124, 150.433105 -25.212147, 150.431686 -25.219801, 150.431534 -25.220095, 150.428711 -25.228062, 150.426041 -25.236063, 150.423706 -25.242393, 150.423096 -25.244068, 150.418991 -25.252062, 150.416473 -25.26013, 150.415741 -25.263435, 150.411133 -25.268072, 150.40773 -25.275707, 150.407578 -25.276043, 150.406448 -25.284033, 150.407104 -25.29208, 150.40564 -25.300156, 150.404816 -25.308052, 150.399719 -25.313326, 150.398087 -25.316092, 150.395203 -25.324118, 150.393829 -25.33215, 150.391708 -25.33602, 150.390137 -25.340126, 150.387787 -25.348085, 150.384659 -25.356087, 150.383759 -25.358189, 150.381424 -25.364164, 150.377686 -25.372091, 150.375732 -25.376196, 150.375107 -25.380148, 150.372955 -25.388039, 150.373749 -25.396097, 150.375763 -25.402054, 150.376434 -25.404058, 150.380676 -25.412048, 150.381393 -25.420183, 150.37999 -25.428144, 150.378601 -25.436037, 150.375748 -25.442329, 150.374557 -25.444118, 150.367813 -25.452139, 150.367722 -25.452278, 150.367172 -25.460169, 150.367249 -25.468052, 150.366867 -25.47604, 150.367783 -25.478239, 150.370285 -25.484133, 150.373611 -25.492041, 150.375854 -25.496307, 150.380157 -25.500044, 150.383774 -25.502708, 150.391785 -25.504827, 150.394775 -25.508148, 150.393158 -25.5161, 150.391693 -25.51791, 150.390366 -25.524178, 150.390305 -25.532085, 150.391418 -25.540171, 150.389145 -25.548141, 150.38829 -25.556112, 150.383759 -25.560356, 150.375992 -25.564156, 150.375717 -25.564487, 150.372833 -25.572067, 150.369995 -25.580057, 150.367691 -25.584431, 150.365784 -25.588047, 150.359909 -25.596052, 150.359726 -25.596338, 150.354446 -25.604103, 150.351669 -25.607662, 150.348206 -25.612127, 150.343735 -25.61788, 150.342331 -25.620106, 150.337341 -25.628098, 150.335693 -25.630756, 150.332367 -25.636065, 150.327744 -25.643473, 150.327316 -25.644171, 150.322388 -25.652054, 150.319702 -25.655235, 150.312057 -25.660141, 150.311752 -25.660543, 150.306595 -25.668171, 150.303757 -25.67556, 150.303665 -25.676039, 150.302185 -25.684166, 150.300995 -25.69208, 150.297882 -25.700062, 150.295731 -25.703594, 150.292938 -25.708057, 150.287659 -25.714895, 150.286469 -25.716101, 150.286804 -25.724148, 150.286041 -25.732038, 150.285812 -25.74017, 150.284317 -25.748074, 150.279678 -25.754763, 150.278748 -25.756123, 150.273209 -25.764063, 150.271713 -25.765041, 150.263702 -25.770605, 150.262405 -25.772089, 150.255814 -25.78005, 150.255707 -25.780182, 150.249207 -25.788036, 150.247986 -25.796122, 150.247757 -25.797565, 150.246765 -25.804129, 150.244812 -25.812088, 150.243927 -25.820148, 150.243164 -25.828157, 150.241592 -25.836163, 150.239716 -25.843512, 150.239563 -25.844076, 150.239151 -25.852142, 150.2379 -25.860062, 150.232941 -25.868145, 150.23172 -25.869921, 150.227524 -25.876062, 150.223709 -25.881641, 150.222061 -25.884031, 150.216537 -25.892096, 150.215714 -25.893316, 150.211685 -25.900126, 150.207611 -25.901424, 150.201691 -25.908098, 150.201218 -25.916111, 150.201187 -25.924061, 150.199753 -25.929024, 150.199509 -25.932074, 150.198868 -25.940165, 150.198227 -25.948048, 150.196701 -25.956171, 150.193634 -25.964109, 150.192123 -25.972065, 150.191757 -25.973639, 150.190186 -25.980076, 150.189468 -25.988108, 150.189835 -25.996107, 150.189102 -26.004162, 150.188446 -26.012119, 150.187912 -26.020117, 150.188049 -26.028179, 150.190247 -26.036121, 150.191849 -26.041384, 150.193497 -26.044048, 150.195084 -26.05209, 150.199692 -26.060104, 150.199768 -26.060167, 150.207794 -26.066973, 150.209534 -26.068083, 150.215927 -26.071373, 150.22197 -26.076033, 150.223816 -26.081053, 150.224945 -26.084095, 150.22789 -26.092066, 150.230865 -26.100115, 150.231766 -26.102537, 150.234238 -26.108042, 150.237946 -26.116051, 150.239761 -26.121124, 150.240875 -26.124107, 150.24231 -26.132076, 150.241043 -26.140038, 150.239746 -26.148142, 150.23848 -26.156065, 150.239761 -26.161972, 150.240768 -26.164173, 150.24437 -26.172056, 150.247772 -26.179523, 150.248032 -26.18012, 150.251694 -26.188131, 150.255356 -26.196165, 150.255829 -26.197199, 150.258957 -26.204065, 150.262268 -26.212166, 150.263809 -26.215946, 150.265533 -26.220127, 150.268799 -26.228136, 150.271815 -26.235496, 150.272034 -26.23605, 150.271637 -26.239479, 150.263672 -26.243462, 150.262451 -26.244076, 150.255646 -26.247478, 150.247665 -26.251459, 150.246414 -26.252085, 150.239735 -26.255424, 150.23175 -26.259417, 150.230916 -26.260088, 150.223679 -26.265879, 150.220917 -26.268095, 150.215698 -26.272272, 150.210876 -26.276127, 150.207733 -26.278635, 150.200943 -26.284077, 150.199738 -26.285042, 150.194916 -26.292101, 150.193649 -26.300091, 150.192368 -26.308161, 150.191757 -26.312031, 150.191772 -26.315729, 150.191895 -26.31604, 150.194931 -26.319901, 150.195023 -26.319872), (149.427872 -26.362219, 149.427719 -26.362202, 149.431467 -26.363205, 149.439545 -26.364058, 149.447433 -26.366148, 149.455475 -26.367058, 149.463486 -26.367916, 149.464371 -26.368011, 149.471466 -26.368771, 149.479568 -26.369638, 149.487579 -26.371584, 149.495239 -26.376059, 149.495438 -26.376318, 149.503494 -26.38102, 149.51149 -26.381859, 149.519485 -26.3827, 149.527588 -26.383551, 149.53186 -26.384003, 149.535583 -26.384392, 149.543442 -26.385218, 149.551483 -26.386061, 149.559464 -26.387016, 149.567505 -26.388676, 149.575439 -26.389709, 149.583603 -26.39077, 149.591461 -26.391857, 149.592377 -26.392021, 149.599472 -26.393112, 149.607452 -26.394152, 149.615448 -26.395191, 149.62355 -26.396242, 149.631531 -26.39728, 149.639481 -26.398312, 149.647461 -26.398409, 149.655457 -26.398769, 149.663544 -26.399982, 149.663712 -26.400026, 149.671494 -26.402817, 149.679459 -26.40513, 149.687515 -26.407473, 149.689423 -26.408024, 149.695435 -26.410858, 149.70343 -26.411873, 149.711456 -26.414204, 149.719467 -26.415083, 149.726639 -26.416014, 149.727524 -26.416128, 149.735474 -26.417158, 149.743515 -26.418201, 149.751495 -26.419235, 149.758026 -26.415855, 149.759476 -26.411594, 149.767441 -26.41238, 149.775452 -26.41399, 149.783508 -26.414038, 149.791595 -26.415085, 149.798737 -26.416008, 149.799515 -26.416107, 149.807526 -26.417141, 149.815567 -26.41818, 149.823471 -26.419203, 149.831543 -26.417599, 149.833923 -26.415918, 149.839462 -26.413733, 149.847458 -26.411423, 149.851608 -26.407909, 149.850815 -26.399912, 149.848297 -26.391924, 149.849213 -26.383909, 149.85231 -26.375938, 149.855453 -26.369459, 149.863495 -26.368862, 149.871582 -26.373344, 149.87944 -26.371815, 149.887558 -26.372112, 149.895569 -26.374102, 149.903473 -26.372822, 149.91156 -26.369812, 149.916443 -26.367998, 149.919571 -26.366829, 149.92746 -26.365971, 149.935471 -26.367493, 149.938248 -26.368021, 149.943436 -26.369007, 149.951492 -26.369604, 149.956406 -26.367992, 149.959503 -26.367441, 149.967484 -26.364, 149.975571 -26.363064, 149.983444 -26.361929, 149.990387 -26.359997, 149.99144 -26.359663, 149.999512 -26.358936, 150.007431 -26.358761, 150.015472 -26.359564, 150.018433 -26.360004, 150.023499 -26.362965, 150.031433 -26.366287, 150.034286 -26.368004, 150.039612 -26.369249, 150.041672 -26.367994, 150.04744 -26.366564, 150.055588 -26.365353, 150.063477 -26.360952, 150.069366 -26.359976, 150.071564 -26.359304, 150.079498 -26.358131, 150.083603 -26.351892, 150.087479 -26.345732, 150.088608 -26.343916, 150.093613 -26.335968, 150.095474 -26.333897, 150.098618 -26.327959, 150.1035 -26.321743, 150.105526 -26.319975, 150.111542 -26.31806, 150.119537 -26.318624, 150.127472 -26.318256, 150.135483 -26.318512, 150.143539 -26.318769, 150.151459 -26.317316, 150.159592 -26.316555, 150.167557 -26.315868, 150.175583 -26.315559, 150.183518 -26.315376, 150.191452 -26.31543, 150.19426 -26.320066, 150.195114 -26.32037, 150.195206 -26.320341), (150.195267 -26.320469, 150.19516 -26.320498, 150.195053 -26.322346, 150.197006 -26.328836, 150.197556 -26.330381, 150.197739 -26.33839, 150.196945 -26.340714, 150.195023 -26.346411, 150.194687 -26.354393, 150.194962 -26.362455, 150.19371 -26.370432, 150.192444 -26.378359, 150.191162 -26.386366, 150.189896 -26.394341, 150.188965 -26.400246, 150.188629 -26.402407, 150.187347 -26.410479, 150.186081 -26.418396, 150.185974 -26.426363, 150.187759 -26.434389, 150.18898 -26.437168, 150.19133 -26.442398, 150.195328 -26.450373, 150.197006 -26.453701, 150.199356 -26.45841, 150.203354 -26.466356, 150.204666 -26.474442, 150.204971 -26.477827, 150.205627 -26.482347, 150.210587 -26.490383, 150.212997 -26.494307, 150.21553 -26.498392, 150.217102 -26.506365, 150.219055 -26.514357, 150.220978 -26.520418, 150.222443 -26.522455, 150.226044 -26.530409, 150.228424 -26.538464, 150.228363 -26.546356, 150.229004 -26.552715, 150.230774 -26.554438, 150.236969 -26.560507, 150.238892 -26.562386, 150.242493 -26.570368, 150.24498 -26.576319, 150.24585 -26.578407, 150.249207 -26.586437, 150.250793 -26.594391, 150.249695 -26.602364, 150.248444 -26.610388, 150.247208 -26.618343, 150.244965 -26.625954, 150.244736 -26.62639, 150.239594 -26.634441, 150.238373 -26.64246, 150.237198 -26.650362, 150.236954 -26.651979, 150.235962 -26.658361, 150.234695 -26.666349, 150.228897 -26.672056, 150.229019 -26.674122, 150.229189 -26.674386, 150.232193 -26.682343, 150.230927 -26.690443, 150.231796 -26.69845, 150.230591 -26.706383, 150.228836 -26.714333, 150.22876 -26.714373, 150.220886 -26.71875, 150.21875 -26.722408, 150.217499 -26.730404, 150.216248 -26.738346, 150.214981 -26.746387, 150.213745 -26.754349, 150.212967 -26.759295, 150.212463 -26.762466, 150.211227 -26.770452, 150.209976 -26.778376, 150.208786 -26.786386, 150.206726 -26.794439, 150.204941 -26.797714, 150.204697 -26.798183, 150.204681 -26.798334), (150.202011 -26.798294, 150.202103 -26.798306, 150.204636 -26.798248, 150.204651 -26.79825), (150.222504 -26.933071, 150.222366 -26.933016, 150.216019 -26.929068, 150.214951 -26.927778, 150.215012 -26.926165, 150.215958 -26.920988, 150.214951 -26.914312, 150.215012 -26.913197, 150.215027 -26.913033, 150.216278 -26.905006, 150.217529 -26.897024, 150.218781 -26.888975, 150.220016 -26.88105, 150.221283 -26.872965, 150.223022 -26.865505, 150.223206 -26.865067, 150.224792 -26.85701, 150.226212 -26.848984, 150.224167 -26.840952, 150.222977 -26.839424, 150.218018 -26.833008, 150.214935 -26.829039, 150.211792 -26.824951, 150.206955 -26.818726, 150.205627 -26.817009, 150.203934 -26.809002, 150.205048 -26.801062, 150.204941 -26.798241, 150.204926 -26.798367))"/>
  </r>
  <r>
    <s v="P1131"/>
    <s v="Gas"/>
    <s v="Australia"/>
    <s v="Australia"/>
    <s v="Australia"/>
    <m/>
    <s v="https://www.gem.wiki/Arrow_Bowen_Pipeline"/>
    <x v="55"/>
    <m/>
    <s v="ABP; Moranbah to Gladstone Gas Pipeline"/>
    <s v="PetroChina 中国石油天然气股份有限公司 [50.00%]; Shell [50.00%]"/>
    <s v="PetroChina 中国石油天然气股份有限公司 [50.00%]; Shell [50.00%]"/>
    <x v="1"/>
    <n v="2028"/>
    <m/>
    <m/>
    <m/>
    <n v="210"/>
    <s v="TJ/d"/>
    <n v="2.15"/>
    <x v="45"/>
    <n v="475"/>
    <n v="396.95"/>
    <n v="475"/>
    <m/>
    <m/>
    <s v="Bowen Basin"/>
    <s v="Moranbah"/>
    <s v="Australia and New Zealand"/>
    <m/>
    <s v="Queensland"/>
    <s v="Gladstone"/>
    <m/>
    <s v="Queensland"/>
    <s v="Australia and New Zealand"/>
    <m/>
    <m/>
    <m/>
    <m/>
    <m/>
    <s v="LINESTRING (148.002757 -21.978652, 150.517746 -23.515244, 151.147903 -23.821651, 151.287354 -23.863356)"/>
  </r>
  <r>
    <s v="P1135"/>
    <s v="Gas"/>
    <s v="Australia"/>
    <s v="Australia"/>
    <s v="Australia"/>
    <m/>
    <s v="https://www.gem.wiki/Berwyndale_to_Wallumbilla_Pipeline"/>
    <x v="56"/>
    <m/>
    <s v="BWP"/>
    <s v="APA Group [100.00%]"/>
    <s v="APA Group [100.00%]"/>
    <x v="0"/>
    <n v="2009"/>
    <m/>
    <m/>
    <m/>
    <n v="417.04"/>
    <s v="MMcf/d"/>
    <n v="4.3099999999999996"/>
    <x v="46"/>
    <n v="112"/>
    <n v="111.6"/>
    <n v="112"/>
    <m/>
    <m/>
    <s v="Bowen-Surat Basin"/>
    <m/>
    <s v="Australia and New Zealand"/>
    <m/>
    <s v="Queensland"/>
    <s v="Roma"/>
    <m/>
    <s v="Queensland"/>
    <s v="Australia and New Zealand"/>
    <m/>
    <m/>
    <m/>
    <m/>
    <m/>
    <s v="LINESTRING (149.185586 -26.695289, 149.185614 -26.695292, 149.187199 -26.694303, 149.187234 -26.694038, 149.18403 -26.694403, 149.184731 -26.694479, 149.185583 -26.695203, 149.188096 -26.696524, 149.196085 -26.696731, 149.204163 -26.696981, 149.212037 -26.69772, 149.220061 -26.699038, 149.228137 -26.700359, 149.236131 -26.701701, 149.244129 -26.703045, 149.244809 -26.703158, 149.252056 -26.704474, 149.26018 -26.706065, 149.268143 -26.706129, 149.276052 -26.703172, 149.276148 -26.703152, 149.284172 -26.701156, 149.292152 -26.696663, 149.295502 -26.695148, 149.300112 -26.693523, 149.308133 -26.690019, 149.312977 -26.687153, 149.31613 -26.685285, 149.324036 -26.680601, 149.332145 -26.68, 149.340126 -26.680724, 149.348155 -26.680592, 149.356163 -26.679447, 149.358366 -26.679133, 149.364172 -26.678207, 149.37206 -26.679087, 149.372767 -26.679178, 149.373729 -26.67908, 149.380161 -26.675314, 149.388109 -26.671122, 149.396063 -26.667136, 149.403098 -26.663114, 149.404054 -26.66251, 149.412054 -26.656276, 149.413525 -26.655123, 149.420095 -26.651128, 149.428034 -26.652225, 149.436137 -26.653375, 149.44404 -26.65476, 149.445697 -26.655172, 149.452098 -26.655686, 149.460104 -26.65681, 149.468055 -26.657931, 149.476109 -26.658986, 149.484105 -26.660001, 149.492143 -26.661016, 149.500078 -26.66202, 149.508089 -26.663175, 149.516046 -26.66551, 149.524121 -26.669066, 149.532079 -26.671011, 149.539509 -26.671172, 149.5402 -26.67127, 149.548126 -26.672336, 149.549656 -26.671083, 149.556056 -26.670483, 149.561239 -26.671161, 149.564097 -26.671537, 149.572163 -26.672588, 149.58006 -26.673621, 149.588082 -26.674669, 149.596119 -26.675716, 149.604133 -26.676733, 149.612204 -26.677749, 149.620045 -26.67889, 149.622421 -26.679167, 149.628045 -26.679908, 149.636056 -26.680958, 149.64416 -26.68202, 149.652137 -26.683057, 149.66003 -26.683852, 149.668154 -26.685096, 149.676081 -26.685235, 149.684132 -26.686102, 149.692178 -26.687147, 149.692356 -26.68717, 149.700037 -26.687311, 149.701445 -26.687154, 149.708113 -26.686413, 149.716196 -26.686938, 149.717968 -26.687168, 149.724094 -26.687963, 149.732031 -26.688991, 149.740199 -26.690049, 149.748145 -26.69108, 149.756186 -26.692119, 149.764049 -26.691343, 149.772165 -26.689081, 149.780103 -26.688092, 149.788175 -26.687719, 149.796065 -26.687354, 149.800479 -26.687152, 149.804041 -26.685774, 149.812124 -26.68249, 149.820117 -26.681082, 149.828177 -26.679734, 149.831596 -26.679153, 149.836178 -26.678374, 149.844038 -26.677037, 149.852056 -26.675671, 149.860079 -26.674305, 149.868094 -26.673367, 149.876178 -26.673237, 149.884169 -26.673108, 149.892131 -26.672862, 149.900048 -26.672487, 149.908088 -26.672105, 149.915887 -26.671145, 149.916059 -26.671114, 149.924095 -26.665979, 149.932115 -26.666246, 149.940134 -26.666145, 149.948169 -26.66536, 149.956109 -26.664555, 149.964079 -26.663746, 149.969894 -26.663156, 149.972139 -26.662935, 149.980098 -26.662701, 149.986737 -26.663163, 149.988161 -26.663284, 149.9962 -26.664354, 150.004194 -26.665647, 150.01204 -26.666446, 150.02013 -26.666287, 150.028083 -26.666968, 150.036199 -26.668037, 150.044191 -26.669457, 150.052191 -26.670808, 150.055 -26.671162, 150.060202 -26.671776, 150.068197 -26.672786, 150.076113 -26.673791, 150.084155 -26.674813, 150.09213 -26.675879, 150.100104 -26.67689, 150.108176 -26.677847, 150.116091 -26.679119, 150.116437 -26.679162, 150.118538 -26.679154, 150.118639 -26.679166, 150.12406 -26.679856, 150.132143 -26.680879, 150.140198 -26.681896, 150.148098 -26.682077, 150.156085 -26.680545, 150.164126 -26.682919, 150.172076 -26.684958, 150.180055 -26.683227, 150.188038 -26.682914, 150.196181 -26.683939, 150.204177 -26.684948, 150.212048 -26.684973, 150.220056 -26.683591, 150.228169 -26.682469, 150.236146 -26.681363, 150.244118 -26.680078, 150.249508 -26.679149, 150.252113 -26.678976, 150.25333 -26.679182, 150.260183 -26.680353, 150.26696 -26.681543, 150.267303 -26.681603)"/>
  </r>
  <r>
    <s v="P1136"/>
    <s v="Gas"/>
    <s v="Australia"/>
    <s v="Australia"/>
    <s v="Australia"/>
    <m/>
    <s v="https://www.gem.wiki/Bonaparte_Gas_Pipeline"/>
    <x v="57"/>
    <m/>
    <m/>
    <s v="Marubeni [49.90%]; Osaka Gas [30.20%]; APA Group [19.90%]"/>
    <s v="Marubeni [49.90%]; Osaka Gas [30.20%]; APA Group [19.90%]"/>
    <x v="0"/>
    <n v="2008"/>
    <m/>
    <m/>
    <m/>
    <n v="75.819999999999993"/>
    <s v="MMcf/d"/>
    <n v="0.78"/>
    <x v="47"/>
    <n v="287"/>
    <n v="285.91000000000003"/>
    <n v="287"/>
    <m/>
    <m/>
    <m/>
    <s v="Wadeye"/>
    <s v="Australia and New Zealand"/>
    <m/>
    <s v="Northern Territory"/>
    <s v="Ban Ban Springs"/>
    <m/>
    <s v="Northern Territory"/>
    <s v="Australia and New Zealand"/>
    <m/>
    <m/>
    <m/>
    <m/>
    <m/>
    <s v="LINESTRING (129.441386 -14.240785, 129.442203 -14.241241, 129.504997 -14.281944, 129.505823 -14.282385, 129.506713 -14.282684, 129.507639 -14.282832, 129.508577 -14.282826, 129.509501 -14.282667, 129.510386 -14.282358, 129.511204 -14.281909, 129.527922 -14.269793, 129.528645 -14.269106, 129.52925 -14.268382, 129.529788 -14.267581, 129.530223 -14.26675, 129.530607 -14.265762, 129.532419 -14.260604, 129.53288 -14.259821, 129.533744 -14.25951, 129.535576 -14.25767, 129.536011 -14.257161, 129.538375 -14.25486, 129.54021 -14.253239, 129.541033 -14.252819, 129.542084 -14.252684, 129.543007 -14.25269, 129.543911 -14.252811, 129.547883 -14.253734, 129.548701 -14.254146, 129.549571 -14.254662, 129.551089 -14.255128, 129.553215 -14.255578, 129.555341 -14.255971, 129.556248 -14.256098, 129.565001 -14.256251, 129.565929 -14.2563, 129.56863 -14.25897, 129.569327 -14.260006, 129.571492 -14.263866, 129.575223 -14.265503, 129.577961 -14.264601, 129.579855 -14.263212, 129.580571 -14.262466, 129.581819 -14.260938, 129.582541 -14.260247, 129.584213 -14.258928, 129.585017 -14.258471, 129.587999 -14.257775, 129.588977 -14.257795, 129.590794 -14.258269, 129.59165 -14.258578, 129.59477 -14.259922, 129.606332 -14.260693, 129.607168 -14.261046, 129.617101 -14.266355, 129.619343 -14.267383, 129.620817 -14.26793, 129.628956 -14.270593, 129.633156 -14.271707, 129.63732 -14.273252, 129.660568 -14.280909, 129.661409 -14.281245, 129.662256 -14.281797, 129.6655 -14.282833, 129.666419 -14.283171, 129.667316 -14.283834, 129.667998 -14.284459, 129.669783 -14.286964, 129.670152 -14.287802, 129.67824 -14.311521, 129.67875 -14.312558, 129.679909 -14.314562, 129.680535 -14.31532, 129.681284 -14.316057, 129.682732 -14.317007, 129.688563 -14.318798, 129.689412 -14.319509, 129.713057 -14.340834, 129.714081 -14.341089, 129.721528 -14.342364, 129.813075 -14.361677, 129.813975 -14.361603, 129.849205 -14.369475, 129.867795 -14.373248, 129.868706 -14.373547, 129.874474 -14.377333, 129.875404 -14.377595, 129.888027 -14.380039, 129.889037 -14.3801, 129.897391 -14.379317, 129.924235 -14.382005, 129.925142 -14.381841, 129.957199 -14.357996, 129.960249 -14.355151, 129.960955 -14.354543, 129.961867 -14.354285, 129.962679 -14.353714, 129.963155 -14.352834, 129.966555 -14.350579, 129.975793 -14.343824, 129.977084 -14.342404, 130.004742 -14.322184, 130.018314 -14.311505, 130.024455 -14.307533, 130.025202 -14.307011, 130.037444 -14.297036, 130.053005 -14.27936, 130.058509 -14.2767, 130.059168 -14.275926, 130.061092 -14.272612, 130.061437 -14.271773, 130.063338 -14.262114, 130.059947 -14.253631, 130.058272 -14.250812, 130.056987 -14.249337, 130.05475 -14.247318, 130.05388 -14.24694, 130.052921 -14.246616, 130.052239 -14.24599, 130.051799 -14.244988, 130.05062 -14.241061, 130.048668 -14.233786, 130.048787 -14.232813, 130.049355 -14.229781, 130.050326 -14.22908, 130.077816 -14.215168, 130.078611 -14.214646, 130.082923 -14.211439, 130.08331 -14.210615, 130.084078 -14.209879, 130.086261 -14.208088, 130.087252 -14.208193, 130.0881 -14.208525, 130.088795 -14.207946, 130.089193 -14.207091, 130.091098 -14.190121, 130.091719 -14.189348, 130.11509 -14.176851, 130.115922 -14.176158, 130.119172 -14.172132, 130.120195 -14.171494, 130.121226 -14.171362, 130.127009 -14.167575, 130.127793 -14.167119, 130.156632 -14.173137, 130.157604 -14.173175, 130.165792 -14.172279, 130.16782 -14.171949, 130.168742 -14.171753, 130.169674 -14.1715, 130.170575 -14.171133, 130.171285 -14.170546, 130.172611 -14.169116, 130.174255 -14.168002, 130.177325 -14.165396, 130.178147 -14.164863, 130.178838 -14.164256, 130.180524 -14.16304, 130.185134 -14.161231, 130.185967 -14.160857, 130.186715 -14.160273, 130.192143 -14.158203, 130.194125 -14.158354, 130.199858 -14.15461, 130.201283 -14.152007, 130.201836 -14.151203, 130.206283 -14.147243, 130.207118 -14.146382, 130.208533 -14.144259, 130.209161 -14.143474, 130.248603 -14.108477, 130.265395 -14.092265, 130.266348 -14.091529, 130.281194 -14.081012, 130.281667 -14.0802, 130.282491 -14.079431, 130.295941 -14.06998, 130.301845 -14.065237, 130.310057 -14.05754, 130.32984 -14.039188, 130.330409 -14.038412, 130.331208 -14.037608, 130.332692 -14.036315, 130.333409 -14.035764, 130.337479 -14.033528, 130.338427 -14.033459, 130.33925 -14.033887, 130.340162 -14.033595, 130.343965 -14.031426, 130.34507 -14.030947, 130.36751 -14.022174, 130.405366 -14.009675, 130.40631 -14.009449, 130.411372 -14.009325, 130.421369 -14.008414, 130.422412 -14.007991, 130.423146 -14.007461, 130.436192 -14.003854, 130.437099 -14.003745, 130.438027 -14.003744, 130.438913 -14.003569, 130.442754 -14.002569, 130.443655 -14.002491, 130.447718 -14.002429, 130.448616 -14.002353, 130.449309 -14.001694, 130.463602 -13.994226, 130.464432 -13.993842, 130.465426 -13.99379, 130.466555 -13.993447, 130.468968 -13.992672, 130.469899 -13.992287, 130.47072 -13.991646, 130.473732 -13.988971, 130.474284 -13.98781, 130.481605 -13.9665, 130.481501 -13.965571, 130.481777 -13.964475, 130.486551 -13.950485, 130.487506 -13.948748, 130.488051 -13.948002, 130.495496 -13.939992, 130.496293 -13.93954, 130.497227 -13.939368, 130.515993 -13.925666, 130.516906 -13.925455, 130.51807 -13.924861, 130.52647 -13.920034, 130.527339 -13.91969, 130.528254 -13.919551, 130.560801 -13.89804, 130.561678 -13.897539, 130.568659 -13.892045, 130.569621 -13.891327, 130.587893 -13.878381, 130.590191 -13.876451, 130.590832 -13.875817, 130.591431 -13.875022, 130.596341 -13.873196, 130.597231 -13.87272, 130.599584 -13.870908, 130.600497 -13.870712, 130.601447 -13.870817, 130.602142 -13.870188, 130.603161 -13.86993, 130.604049 -13.869386, 130.60648 -13.867355, 130.607448 -13.866672, 130.625527 -13.854587, 130.635982 -13.847534, 130.640857 -13.843835, 130.641435 -13.843119, 130.641894 -13.842324, 130.642626 -13.841745, 130.653352 -13.83398, 130.65424 -13.83361, 130.655746 -13.833347, 130.656709 -13.83359, 130.657669 -13.833923, 130.658765 -13.8342, 130.661829 -13.834189, 130.662623 -13.834772, 130.66323 -13.835439, 130.668451 -13.836536, 130.669378 -13.837006, 130.671156 -13.837971, 130.67515 -13.841631, 130.675726 -13.842378, 130.677189 -13.843456, 130.677938 -13.844323, 130.679553 -13.847968, 130.680162 -13.849003, 130.682371 -13.852285, 130.682964 -13.852979, 130.683834 -13.8535, 130.685653 -13.853941, 130.686437 -13.854401, 130.687165 -13.855032, 130.693086 -13.856299, 130.693988 -13.856555, 130.694892 -13.856705, 130.695837 -13.856721, 130.696758 -13.856187, 130.701867 -13.852426, 130.706939 -13.84938, 130.708877 -13.848649, 130.710797 -13.847987, 130.711547 -13.847474, 130.712207 -13.846715, 130.713038 -13.846218, 130.714025 -13.846098, 130.714865 -13.846476, 130.715658 -13.846993, 130.716551 -13.847168, 130.7174 -13.846568, 130.717906 -13.845693, 130.718501 -13.845009, 130.720395 -13.844519, 130.72125 -13.844814, 130.726524 -13.845444, 130.72985 -13.847367, 130.730844 -13.847143, 130.742779 -13.842735, 130.761055 -13.83968, 130.761965 -13.839464, 130.767152 -13.838168, 130.791636 -13.831125, 130.79268 -13.830888, 130.804654 -13.829004, 130.834491 -13.825193, 130.845428 -13.82173, 130.84636 -13.821471, 130.849087 -13.821007, 130.861007 -13.817599, 130.867898 -13.814768, 130.868805 -13.814325, 130.869523 -13.813752, 130.890301 -13.803038, 130.898744 -13.799264, 130.901704 -13.797858, 130.902645 -13.797608, 130.903569 -13.797271, 130.917311 -13.790413, 130.930143 -13.784953, 130.930748 -13.784249, 130.931577 -13.78384, 130.971373 -13.765025, 130.972647 -13.764987, 130.996638 -13.765067, 131.070325 -13.769253, 131.070986 -13.768483, 131.082932 -13.753605, 131.084647 -13.752386, 131.086286 -13.75132, 131.110344 -13.739921, 131.111321 -13.739495, 131.1242 -13.735158, 131.139623 -13.728697, 131.140479 -13.728207, 131.184861 -13.689051, 131.191097 -13.682668, 131.225075 -13.653314, 131.225767 -13.652673, 131.227754 -13.650455, 131.231604 -13.647492, 131.232518 -13.647057, 131.244988 -13.6439, 131.245916 -13.643589, 131.249434 -13.641763, 131.250313 -13.641532, 131.251242 -13.64175, 131.253672 -13.641606, 131.254475 -13.641133, 131.254892 -13.640298, 131.255682 -13.639841, 131.258508 -13.638914, 131.259399 -13.638766, 131.260369 -13.638541, 131.266304 -13.636926, 131.27449 -13.63506, 131.277593 -13.633441, 131.278521 -13.632905, 131.287522 -13.627417, 131.288697 -13.626637, 131.291037 -13.624923, 131.291833 -13.6244, 131.302666 -13.618324, 131.30344 -13.61785, 131.315981 -13.609204, 131.316865 -13.608856, 131.317911 -13.608699, 131.318826 -13.60815, 131.32493 -13.604001, 131.334029 -13.60063, 131.334916 -13.600351, 131.338033 -13.599836, 131.339575 -13.598506, 131.340554 -13.598665, 131.341047 -13.597563, 131.342474 -13.593492, 131.343147 -13.592686, 131.347742 -13.588791, 131.34834 -13.587891, 131.3489 -13.587185, 131.350623 -13.586283, 131.351506 -13.585697, 131.364879 -13.575373, 131.371204 -13.570134, 131.372097 -13.569443, 131.382541 -13.562616, 131.385894 -13.560205, 131.386485 -13.559516, 131.388205 -13.556176, 131.388988 -13.555569, 131.390537 -13.55447, 131.391209 -13.553839, 131.392644 -13.551344, 131.393063 -13.550505, 131.394733 -13.546813, 131.394897 -13.545908, 131.394885 -13.544983, 131.394532 -13.544116, 131.394476 -13.543101, 131.394606 -13.542205, 131.39484 -13.54126, 131.396374 -13.536697, 131.396793 -13.534871, 131.398422 -13.532683, 131.399078 -13.532059, 131.400655 -13.530869, 131.40183 -13.529204, 131.40311 -13.527628, 131.40562 -13.523294, 131.405971 -13.522311, 131.406484 -13.52144, 131.407531 -13.520871, 131.409469 -13.519956, 131.411424 -13.519439, 131.412221 -13.518983, 131.413061 -13.518111, 131.413849 -13.517429, 131.416299 -13.515948, 131.417216 -13.515445, 131.418043 -13.515086, 131.430953 -13.510822, 131.438898 -13.507588, 131.439829 -13.507354, 131.440853 -13.507404, 131.45435 -13.500236, 131.455266 -13.499861, 131.460874 -13.49899, 131.461629 -13.498362, 131.465357 -13.493884, 131.466144 -13.493435, 131.472465 -13.49015, 131.473221 -13.489489, 131.480445 -13.479149, 131.481193 -13.478424, 131.484418 -13.476834, 131.48993 -13.473453, 131.490686 -13.472876, 131.490777 -13.471836, 131.491194 -13.471036, 131.49228 -13.471026, 131.498908 -13.47135, 131.501448 -13.471518, 131.503595 -13.471779, 131.508281 -13.472468, 131.509211 -13.471907, 131.509774 -13.467306, 131.50997 -13.466416, 131.510595 -13.46545, 131.511133 -13.464426, 131.516636 -13.453352, 131.517072 -13.452471, 131.517315 -13.451583, 131.516859 -13.440105, 131.51573 -13.429071, 131.516042 -13.427856, 131.518338 -13.420961, 131.528516 -13.390239, 131.528559 -13.39011)"/>
  </r>
  <r>
    <s v="P1137"/>
    <s v="Gas"/>
    <s v="Australia"/>
    <s v="Australia"/>
    <s v="Australia"/>
    <m/>
    <s v="https://www.gem.wiki/Riverland_Pipeline_System"/>
    <x v="58"/>
    <m/>
    <m/>
    <s v="Australian Gas Infrastructure Group [unknown %]"/>
    <s v="Australian Gas Infrastructure Group [unknown %]"/>
    <x v="0"/>
    <n v="1995"/>
    <m/>
    <m/>
    <m/>
    <n v="5.6"/>
    <s v="TJ/d"/>
    <n v="0.06"/>
    <x v="48"/>
    <n v="237"/>
    <n v="222.25"/>
    <n v="237"/>
    <m/>
    <m/>
    <m/>
    <m/>
    <s v="Australia and New Zealand"/>
    <m/>
    <s v="South Australia"/>
    <m/>
    <m/>
    <s v="South Australia"/>
    <s v="Australia and New Zealand"/>
    <m/>
    <m/>
    <m/>
    <m/>
    <m/>
    <s v="MULTILINESTRING ((139.253693 -34.549221, 139.244779 -34.560197, 139.245879 -34.611607, 139.249344 -34.628337, 139.247808 -34.649503, 139.252356 -34.6667, 139.248807 -34.731568, 139.239806 -34.769757, 139.250723 -34.796062, 139.23492 -34.896364, 139.235625 -34.940102, 139.231601 -35.000001, 139.248009 -35.103922, 139.263258 -35.1091), (140.546432 -34.281389, 140.544823 -34.28136, 140.544791 -34.282558, 140.542398 -34.282514, 140.542491 -34.283005, 140.542468 -34.283279, 140.54249 -34.285132, 140.540565 -34.285537, 140.540333 -34.293783, 140.51852 -34.293751, 140.516756 -34.293722, 140.516187 -34.294139, 140.509351 -34.294009, 140.509235 -34.29856, 140.509186 -34.298872, 140.509047 -34.299119, 140.507414 -34.300924, 140.50716 -34.301219, 140.506779 -34.301706, 140.506616 -34.302027, 140.506494 -34.302462, 140.506548 -34.303216, 140.50615 -34.303231, 140.505939 -34.303522, 140.505478 -34.303799, 140.503138 -34.305225, 140.501337 -34.306225, 140.501043 -34.306353, 140.500714 -34.306373, 140.489165 -34.30658, 140.489022 -34.306578, 140.48888 -34.306565, 140.48874 -34.306541, 140.488603 -34.306508, 140.488469 -34.306465, 140.488341 -34.306412, 140.488219 -34.30635, 140.488104 -34.306279, 140.487997 -34.306201, 140.48714 -34.305513, 140.48579 -34.306802, 140.468951 -34.369657, 140.424114 -34.389836, 140.314577 -34.428861, 140.186082 -34.458733, 140.066757 -34.468793, 139.917271 -34.476487, 139.75875 -34.577778, 139.603504 -34.577903, 139.596695 -34.567906, 139.596255 -34.561589, 139.586583 -34.559945, 139.529666 -34.554944, 139.275579 -34.557029, 139.253693 -34.549221), (139.023812 -34.502496, 139.02371 -34.506777, 139.042083 -34.526819, 139.064323 -34.53087, 139.07067 -34.539085, 139.078517 -34.543717, 139.084834 -34.543817, 139.088404 -34.540176, 139.098663 -34.539434, 139.136134 -34.54975, 139.16006 -34.551916, 139.17129 -34.546675, 139.194612 -34.55162, 139.228518 -34.545806, 139.235557 -34.542752, 139.253693 -34.549221))"/>
  </r>
  <r>
    <s v="P1138"/>
    <s v="Gas"/>
    <s v="Australia"/>
    <s v="Australia"/>
    <s v="Australia"/>
    <m/>
    <s v="https://www.gem.wiki/Carisbrook_to_Horsham_Pipeline"/>
    <x v="59"/>
    <m/>
    <s v="GPV Pipeline"/>
    <s v="Gas Pipelines Victoria [100.00%]"/>
    <s v="Gas Pipelines Victoria [100.00%]"/>
    <x v="0"/>
    <n v="1998"/>
    <m/>
    <m/>
    <m/>
    <n v="9.7100000000000009"/>
    <s v="MMcf/d"/>
    <n v="0.1"/>
    <x v="49"/>
    <n v="183"/>
    <n v="178.54"/>
    <n v="183"/>
    <m/>
    <m/>
    <m/>
    <s v="Carisbrook"/>
    <s v="Australia and New Zealand"/>
    <m/>
    <s v="Victoria"/>
    <s v="Horsham"/>
    <m/>
    <s v="Victoria"/>
    <s v="Australia and New Zealand"/>
    <m/>
    <m/>
    <m/>
    <m/>
    <m/>
    <s v="MULTILINESTRING ((142.243398 -36.758499, 142.321819 -36.841229, 142.35506 -36.841198, 142.385933 -36.846458, 142.56627 -36.927168, 142.676758 -36.971438, 142.737107 -36.99699, 142.754667 -36.995751, 142.895402 -37.104868, 143.009494 -37.165219, 143.02719184 -37.16906838, 143.027346 -37.169102, 143.086034 -37.176966, 143.150661 -37.197466, 143.184668 -37.19069, 143.196898 -37.192397, 143.220572 -37.195125, 143.231392 -37.192188, 143.262576 -37.192521, 143.313054 -37.201326, 143.320959 -37.199667, 143.328907 -37.199922, 143.333371 -37.200064, 143.348827 -37.196869, 143.368546 -37.193619, 143.369137 -37.187658, 143.400016 -37.168555, 143.474822 -37.166211, 143.500415 -37.163032, 143.516866 -37.165304, 143.52497 -37.162109, 143.539662 -37.163783, 143.552655 -37.161829, 143.567008 -37.158367, 143.58599 -37.150332, 143.59482 -37.151059, 143.635975 -37.14231, 143.657348 -37.153313, 143.680912 -37.154922, 143.710747 -37.148192, 143.774757 -37.101743, 143.790411 -37.094606, 143.809241 -37.043642), (143.02719184 -37.16906838, 143.027088 -37.169173, 142.953424 -37.245371, 142.938162 -37.256899, 142.932294 -37.266977))"/>
  </r>
  <r>
    <s v="P1139"/>
    <s v="Gas"/>
    <s v="Australia"/>
    <s v="Australia"/>
    <s v="Australia"/>
    <m/>
    <s v="https://www.gem.wiki/Carpentaria_Gas_Pipeline"/>
    <x v="60"/>
    <s v="Mainline"/>
    <s v="Ballera to Mount Isa Pipeline"/>
    <s v="APA Group [100.00%]"/>
    <s v="APA Group [100.00%]"/>
    <x v="0"/>
    <n v="1998"/>
    <m/>
    <m/>
    <m/>
    <n v="112.79"/>
    <s v="MMcf/d"/>
    <n v="1.17"/>
    <x v="50"/>
    <n v="840"/>
    <n v="840.51"/>
    <n v="840"/>
    <m/>
    <m/>
    <s v="Ballera Gas Processing Plant"/>
    <m/>
    <s v="Australia and New Zealand"/>
    <m/>
    <s v="Queensland"/>
    <s v="Mt Isa"/>
    <m/>
    <s v="Queensland"/>
    <s v="Australia and New Zealand"/>
    <m/>
    <m/>
    <m/>
    <m/>
    <m/>
    <s v="LINESTRING (139.48417 -20.780624, 139.494102 -20.811502, 139.49712 -20.817193, 139.503015 -20.818572, 139.502965 -20.822691, 139.50485 -20.829302, 139.505079 -20.831418, 139.506642 -20.834647, 139.507913 -20.838272, 139.50981 -20.839788, 139.51382 -20.841449, 139.515589 -20.841401, 139.520989 -20.843214, 139.521958 -20.843792, 139.533105 -20.849592, 139.542326 -20.854052, 139.564635 -20.861729, 139.569192 -20.868642, 139.570501 -20.870385, 139.570489 -20.870386, 139.571892 -20.872334, 139.573325 -20.876243, 139.573945 -20.878637, 139.573699 -20.881759, 139.570269 -20.894983, 139.57194 -20.90891, 139.572485 -20.911158, 139.572809 -20.916143, 139.577842 -20.947135, 139.577005 -20.948239, 139.579284 -20.961518, 139.580601 -20.969184, 139.582375 -20.977718, 139.581376 -20.980121, 139.582623 -20.986713, 139.585276 -20.99736, 139.586653 -21.002868, 139.586933 -21.003995, 139.587654 -21.009222, 139.588965 -21.010968, 139.590962 -21.011346, 139.59253 -21.014403, 139.598659 -21.031852, 139.598785 -21.033841, 139.601285 -21.039227, 139.600308 -21.0408, 139.609218 -21.053204, 139.616278 -21.057824, 139.62149 -21.061353, 139.62238 -21.062355, 139.624036 -21.063475, 139.626291 -21.063285, 139.630652 -21.06346, 139.632571 -21.064044, 139.634836 -21.066881, 139.63924 -21.073673, 139.643329 -21.076931, 139.65152 -21.087611, 139.65844 -21.104848, 139.660196 -21.109863, 139.662373 -21.116081, 139.672931 -21.138097, 139.681786 -21.148248, 139.684048 -21.153903, 139.688252 -21.163005, 139.690939 -21.168546, 139.692335 -21.171614, 139.693601 -21.174063, 139.694779 -21.17698, 139.708873 -21.207926, 139.710118 -21.211367, 139.711107 -21.212831, 139.719509 -21.232828, 139.722679 -21.240371, 139.730454 -21.254062, 139.73423 -21.269512, 139.734281 -21.269719, 139.736852 -21.285737, 139.736608 -21.289566, 139.737868 -21.294327, 139.737538 -21.300205, 139.740439 -21.310525, 139.741796 -21.311872, 139.746109 -21.326223, 139.74851 -21.336377, 139.75082 -21.341498, 139.762672 -21.360027, 139.762672 -21.360028, 139.788803 -21.400861, 139.789124 -21.401468, 139.789496 -21.402049, 139.789917 -21.402601, 139.797271 -21.414088, 139.801958 -21.43443, 139.805719 -21.442975, 139.808856 -21.45111, 139.821902 -21.464203, 139.822899 -21.465641, 139.825982 -21.46795, 139.826808 -21.468628, 139.828734 -21.468945, 139.83116 -21.471241, 139.831743 -21.473187, 139.8334 -21.47513, 139.857191 -21.503003, 139.86021 -21.505947, 139.863208 -21.508345, 139.864261 -21.510087, 139.865013 -21.510995, 139.866737 -21.512313, 139.895235 -21.540099, 139.9074 -21.553152, 139.923921 -21.570315, 139.93007 -21.575964, 139.939904 -21.584998, 139.95298 -21.594801, 139.959527 -21.600525, 139.958405 -21.607428, 139.956203 -21.612672, 139.956451 -21.619901, 139.969357 -21.658258, 139.968219 -21.670185, 139.968427 -21.671895, 139.968402 -21.673969, 139.969502 -21.696678, 139.969718 -21.701135, 139.967805 -21.725746, 139.96744 -21.730435, 139.965809 -21.758448, 139.966735 -21.764199, 139.965266 -21.772031, 139.964694 -21.824748, 139.962506 -21.831513, 139.962505 -21.831513, 139.954559 -21.856067, 139.94645 -21.87448, 139.941567 -21.886889, 139.940973 -21.888782, 139.940078 -21.89067, 139.935402 -21.902549, 139.934014 -21.908249, 139.938605 -21.918396, 139.956487 -21.958222, 139.958334 -21.962335, 139.964638 -21.979809, 139.965308 -21.981737, 139.967859 -21.991184, 139.968421 -21.993178, 139.987264 -22.06297, 139.987265 -22.062973, 139.987779 -22.064967, 139.992643 -22.076746, 139.993463 -22.078669, 139.997338 -22.088057, 140.049614 -22.214502, 140.049615 -22.214502, 140.056039 -22.230026, 140.057768 -22.234203, 140.069327 -22.242635, 140.072048 -22.24359, 140.09616 -22.252073, 140.096159 -22.252075, 140.097701 -22.252443, 140.098947 -22.252638, 140.100141 -22.253476, 140.103731 -22.254734, 140.104826 -22.257803, 140.111876 -22.277345, 140.127461 -22.317502, 140.138893 -22.346921, 140.139108 -22.433507, 140.144386 -22.450381, 140.154045 -22.481255, 140.17451 -22.582835, 140.175856 -22.589514, 140.187047 -22.623771, 140.20409 -22.690395, 140.210695 -22.71404, 140.247371 -22.845197, 140.268478 -22.920567, 140.270043 -22.924087, 140.292177 -22.973851, 140.297948 -22.986821, 140.321918 -23.030203, 140.323115 -23.032755, 140.333956 -23.039797, 140.335633 -23.040475, 140.344558 -23.046684, 140.348491 -23.069246, 140.357554 -23.090509, 140.365253 -23.108566, 140.369817 -23.120495, 140.371176 -23.124448, 140.379543 -23.142068, 140.409371 -23.217236, 140.420727 -23.245832, 140.438861 -23.294108, 140.440957 -23.298675, 140.443351 -23.306054, 140.453793 -23.330961, 140.454066 -23.331952, 140.459403 -23.344585, 140.473871 -23.378819, 140.474081 -23.379342, 140.474081 -23.379342, 140.511005 -23.471425, 140.522036 -23.49891, 140.522574 -23.501097, 140.549079 -23.56624, 140.554084 -23.578691, 140.556379 -23.585669, 140.560315 -23.59419, 140.562583 -23.59826, 140.563062 -23.599121, 140.593655 -23.677841, 140.612773 -23.725458, 140.663861 -23.852526, 140.6681 -23.863056, 140.6681 -23.863057, 140.669419 -23.865517, 140.669348 -23.866585, 140.66964 -23.866947, 140.670697 -23.869508, 140.677486 -23.886371, 140.680482 -23.894597, 140.68545 -23.906768, 140.686385 -23.908671, 140.687018 -23.910609, 140.695708 -23.931889, 140.698915 -23.939741, 140.700429 -23.945661, 140.701197 -23.946968, 140.701824 -23.951202, 140.702253 -23.952879, 140.703326 -23.954478, 140.704316 -23.95666, 140.704919 -23.958214, 140.712187 -23.972897, 140.718176 -23.977241, 140.786308 -24.026616, 140.788557 -24.030279, 140.791319 -24.034921, 140.792368 -24.036645, 140.815495 -24.075497, 140.832008 -24.10322, 140.838555 -24.113696, 140.840676 -24.117341, 140.848443 -24.129869, 140.850618 -24.132995, 140.854972 -24.139959, 140.862094 -24.144153, 140.870043 -24.143735, 140.902423 -24.164699, 140.912495 -24.161182, 140.91293 -24.16103, 140.91761 -24.170805, 140.930836 -24.18109, 140.93273 -24.183287, 140.934131 -24.184866, 140.935513 -24.186516, 140.94351 -24.19579, 140.971912 -24.223572, 140.993727 -24.228578, 141.020153 -24.248934, 141.073562 -24.290041, 141.092622 -24.32035, 141.100273 -24.324573, 141.10849 -24.337354, 141.10849 -24.337354, 141.110431 -24.340374, 141.113763 -24.341778, 141.115107 -24.346724, 141.116902 -24.348387, 141.123011 -24.354045, 141.12659 -24.365844, 141.131761 -24.367883, 141.135401 -24.379007, 141.141493 -24.39469, 141.151546 -24.406485, 141.156419 -24.41515, 141.163168 -24.424093, 141.184434 -24.45473, 141.188204 -24.457735, 141.191795 -24.463436, 141.192995 -24.465342, 141.203419 -24.476166, 141.204617 -24.48488, 141.21401 -24.494874, 141.219798 -24.503347, 141.22214 -24.510207, 141.226178 -24.516126, 141.230164 -24.520446, 141.231048 -24.523471, 141.232071 -24.525255, 141.235913 -24.52787, 141.236114 -24.529514, 141.237331 -24.533176, 141.241656 -24.536749, 141.246637 -24.544228, 141.250263 -24.550535, 141.252129 -24.555454, 141.257473 -24.56081, 141.258649 -24.566109, 141.266802 -24.577355, 141.27634 -24.590508, 141.345851 -24.691942, 141.424666 -24.806709, 141.426008 -24.808662, 141.426265 -24.808994, 141.487308 -24.888002, 141.495496 -24.923306, 141.508866 -24.980903, 141.521746 -25.006687, 141.529745 -25.054393, 141.531714 -25.066128, 141.534434 -25.069261, 141.5416 -25.073227, 141.545404 -25.083571, 141.54654 -25.089229, 141.563499 -25.130725, 141.576371 -25.165723, 141.581422 -25.179065, 141.58579 -25.190601, 141.585875 -25.191643, 141.587241 -25.194434, 141.592925 -25.209438, 141.594064 -25.217097, 141.594519 -25.2187, 141.59462 -25.219414, 141.601755 -25.23467, 141.624884 -25.257276, 141.632987 -25.266769, 141.647995 -25.282191, 141.651996 -25.294821, 141.674934 -25.367124, 141.674934 -25.367125, 141.693287 -25.424974, 141.721132 -25.512572, 141.726661 -25.520175, 141.742329 -25.552341, 141.74233 -25.552341, 141.747738 -25.563439, 141.788017 -25.6789, 141.78918 -25.680846, 141.809595 -25.71499, 141.832699 -25.769128, 141.835175 -25.775389, 141.843185 -25.803723, 141.843842 -25.806326, 141.848131 -25.823288, 141.853522 -25.846186, 141.857878 -25.864685, 141.85841 -25.869224, 141.862989 -25.91558, 141.865194 -25.91815, 141.866607 -25.939465, 141.866686 -25.94066, 141.936948 -26.010821, 141.940003 -26.014295, 141.966017 -26.040449, 142.066325 -26.141131, 142.066326 -26.141131, 142.142108 -26.217031, 142.144579 -26.22, 142.166469 -26.24199, 142.237263 -26.313026, 142.2401 -26.352867, 142.244838 -26.419301, 142.244838 -26.419301, 142.244866 -26.4197, 142.236518 -26.433323, 142.235722 -26.486203, 142.235257 -26.517114, 142.225363 -26.582335, 142.218613 -26.620021, 142.218661 -26.620521, 142.223868 -26.673944, 142.202744 -26.705451, 142.185435 -26.747685, 142.164787 -26.798022, 142.147015 -26.832374, 142.133175 -26.846217, 142.11484 -26.860834, 142.113956 -26.864037, 142.109117 -26.881563, 142.104359 -26.898796, 142.095963 -26.915662, 142.086191 -26.9237, 142.081488 -26.933288, 142.073272 -26.944165, 142.066273 -26.983895, 142.065825 -26.989293, 142.060171 -27.057435, 142.05923 -27.124509, 142.059231 -27.124509, 142.05868 -27.163773, 142.057418 -27.164766, 142.056488 -27.250281, 142.046831 -27.25322, 141.976945 -27.274431, 141.973281 -27.275577, 141.968606 -27.277043, 141.965401 -27.277272, 141.960051 -27.280162, 141.958253 -27.280219, 141.904588 -27.296605, 141.903589 -27.296715, 141.903519 -27.296723, 141.900599 -27.297047, 141.896228 -27.299155, 141.892275 -27.305165, 141.890706 -27.306168, 141.890517 -27.309022, 141.889188 -27.312281, 141.884204 -27.317178, 141.872934 -27.323451, 141.866175 -27.329081, 141.861031 -27.333085, 141.833098 -27.346227, 141.830333 -27.349556, 141.829084 -27.351586, 141.827126 -27.353358, 141.815279 -27.371564, 141.814618 -27.372306, 141.813567 -27.3747, 141.813167 -27.375193, 141.81094 -27.37643, 141.809541 -27.377999, 141.803089 -27.384951, 141.807279 -27.388049, 141.807398 -27.387921)"/>
  </r>
  <r>
    <s v="P1141"/>
    <s v="Gas"/>
    <s v="Australia"/>
    <s v="Australia"/>
    <s v="Australia"/>
    <m/>
    <s v="https://www.gem.wiki/Cheepie_to_Barcaldine_Gas_Pipeline"/>
    <x v="61"/>
    <m/>
    <s v="CBGP"/>
    <s v="Unknown [unknown %]"/>
    <s v="Unknown [unknown %]"/>
    <x v="0"/>
    <n v="1995"/>
    <m/>
    <m/>
    <m/>
    <n v="11"/>
    <s v="MMcf/d"/>
    <n v="0.11"/>
    <x v="51"/>
    <n v="420"/>
    <n v="402.29"/>
    <n v="420"/>
    <m/>
    <m/>
    <m/>
    <s v="Cheepie"/>
    <s v="Australia and New Zealand"/>
    <m/>
    <s v="Queensland"/>
    <s v="Barcaldine"/>
    <m/>
    <s v="Queensland"/>
    <s v="Australia and New Zealand"/>
    <m/>
    <m/>
    <m/>
    <m/>
    <m/>
    <s v="MULTILINESTRING ((145.315 -23.551, 145.468 -24.394, 145.407 -24.42, 145.374 -24.466, 145.288 -24.907, 145.282 -25.016, 145.244 -25.153, 145.053 -25.333, 145.013 -25.334, 144.895 -25.376, 144.879 -25.454, 144.827 -25.565, 144.88 -25.686, 144.861 -25.885, 144.882 -26.178, 144.989 -26.56, 145.015 -26.808), (144.895 -25.376, 144.852 -25.338, 144.815 -25.358))"/>
  </r>
  <r>
    <s v="P1143"/>
    <s v="Gas"/>
    <s v="Australia"/>
    <s v="Australia"/>
    <s v="Australia"/>
    <m/>
    <s v="https://www.gem.wiki/Colongra_Gas_Transmission_and_Storage_Pipeline"/>
    <x v="62"/>
    <m/>
    <m/>
    <s v="Jemena [200.00%]"/>
    <s v="State Grid Corporation of China [60.00%]; SP Group [40.00%]"/>
    <x v="0"/>
    <n v="2009"/>
    <m/>
    <m/>
    <m/>
    <n v="38.86"/>
    <s v="MMcf/d"/>
    <n v="0.4"/>
    <x v="52"/>
    <n v="9"/>
    <n v="6.32"/>
    <n v="9"/>
    <m/>
    <m/>
    <s v="Sydney to Newcastle Pipeline"/>
    <s v="Wyee"/>
    <s v="Australia and New Zealand"/>
    <m/>
    <s v="New South Wales"/>
    <s v="Doyalson"/>
    <m/>
    <s v="New South Wales"/>
    <s v="Australia and New Zealand"/>
    <m/>
    <m/>
    <m/>
    <m/>
    <m/>
    <s v="LINESTRING (151.485815 -33.180585, 151.543961 -33.209898)"/>
  </r>
  <r>
    <s v="P1144"/>
    <s v="Gas"/>
    <s v="Australia"/>
    <s v="Australia"/>
    <s v="Australia"/>
    <m/>
    <s v="https://www.gem.wiki/Comet_Ridge_to_Wallumbilla_Gas_Pipeline"/>
    <x v="63"/>
    <m/>
    <s v="CRWP"/>
    <s v="Santos Limited [30.00%]; Petronas [27.50%]; TotalEnergies SE [27.50%]; KOGAS [15.00%]"/>
    <s v="Santos Limited [30.00%]; Petronas [27.50%]; TotalEnergies SE [27.50%]; KOGAS [15.00%]"/>
    <x v="0"/>
    <n v="2007"/>
    <m/>
    <m/>
    <m/>
    <n v="1066.29"/>
    <s v="MMcf/d"/>
    <n v="11.03"/>
    <x v="53"/>
    <n v="127"/>
    <n v="126.99"/>
    <n v="127"/>
    <m/>
    <m/>
    <s v="Bowen-Surat Basin"/>
    <m/>
    <s v="Australia and New Zealand"/>
    <m/>
    <s v="Queensland"/>
    <s v="Roma"/>
    <m/>
    <s v="Queensland"/>
    <s v="Australia and New Zealand"/>
    <m/>
    <m/>
    <m/>
    <m/>
    <m/>
    <s v="LINESTRING (148.890693 -25.707502, 148.891017 -25.707959, 148.892276 -25.709195, 148.893164 -25.712016, 148.892742 -25.713374, 148.892761 -25.713414, 148.893979 -25.714133, 148.893995 -25.714149, 148.901516 -25.722237, 148.901785 -25.722442, 148.909345 -25.723961, 148.909693 -25.723998, 148.910149 -25.72402, 148.911931 -25.723712, 148.912342 -25.72358, 148.912991 -25.72304, 148.913296 -25.722931, 148.913611 -25.722989, 148.914205 -25.723395, 148.914437 -25.723488, 148.914694 -25.723529, 148.914964 -25.723531, 148.915611 -25.7233, 148.916175 -25.723127, 148.916379 -25.723113, 148.91784 -25.724712, 148.91789 -25.724746, 148.918369 -25.724965, 148.918447 -25.725022, 148.919514 -25.725899, 148.919509 -25.725916, 148.918528 -25.728231, 148.918246 -25.72996, 148.918257 -25.729994, 148.918513 -25.73031, 148.918551 -25.730328, 148.921757 -25.73029, 148.921794 -25.730294, 148.921829 -25.730307, 148.922547 -25.730981, 148.922578 -25.731015, 148.922599 -25.731059, 148.922822 -25.731995, 148.922843 -25.732083, 148.922873 -25.732148, 148.923585 -25.73362, 148.924446 -25.735895, 148.924515 -25.736073, 148.924682 -25.736328, 148.926563 -25.739204, 148.926597 -25.73924, 148.926727 -25.739347, 148.927631 -25.740104, 148.928521 -25.7411, 148.928932 -25.742019, 148.92902 -25.742331, 148.92905 -25.743341, 148.929073 -25.74453, 148.9291 -25.744669, 148.92947 -25.745509, 148.929483 -25.745576, 148.929464 -25.745742, 148.929418 -25.746138, 148.92943 -25.746222, 148.929475 -25.746327, 148.929634 -25.746705, 148.929711 -25.746927, 148.929795 -25.747223, 148.929845 -25.74737, 148.930242 -25.748004, 148.930253 -25.748093, 148.930225 -25.748235, 148.930043 -25.748533, 148.929767 -25.748992, 148.929355 -25.750176, 148.930919 -25.754109, 148.931065 -25.75446, 148.931782 -25.756288, 148.928716 -25.762638, 148.925532 -25.768052, 148.920808 -25.772113, 148.91967 -25.775738, 148.921104 -25.780447, 148.9211 -25.780564, 148.91908 -25.789337, 148.915555 -25.795934, 148.912488 -25.800166, 148.911835 -25.804865, 148.909312 -25.810903, 148.904708 -25.816015, 148.904691 -25.816063, 148.90441 -25.817848, 148.904386 -25.817852, 148.90041 -25.817774, 148.900309 -25.817785, 148.895828 -25.818539, 148.895739 -25.818553, 148.895304 -25.818598, 148.895173 -25.81861, 148.894948 -25.818611, 148.890939 -25.818661, 148.8909 -25.818684, 148.889271 -25.822249, 148.889219 -25.822319, 148.882122 -25.831794, 148.882092 -25.831823, 148.877104 -25.835466, 148.877068 -25.835501, 148.877045 -25.835571, 148.876166 -25.839386, 148.876156 -25.839415, 148.876131 -25.83945, 148.875238 -25.840506, 148.875161 -25.840608, 148.874592 -25.84208, 148.874576 -25.842107, 148.874508 -25.842202, 148.87368 -25.843377, 148.873599 -25.843523, 148.870501 -25.84916, 148.870444 -25.849233, 148.864214 -25.857211, 148.863584 -25.858157, 148.862233 -25.860217, 148.86145 -25.861098, 148.856795 -25.866328, 148.855441 -25.867849, 148.855334 -25.86798, 148.852942 -25.871536, 148.852854 -25.871635, 148.84531 -25.880149, 148.845125 -25.880361, 148.844748 -25.880963, 148.842264 -25.88492, 148.842062 -25.885151, 148.835659 -25.892454, 148.835615 -25.892519, 148.83432 -25.896639, 148.834144 -25.896997, 148.832899 -25.899506, 148.832852 -25.899555, 148.830819 -25.90173, 148.830412 -25.902235, 148.827407 -25.906153, 148.827218 -25.906393, 148.82614 -25.907398, 148.823386 -25.909021, 148.815635 -25.915002, 148.809456 -25.921278, 148.807822 -25.923, 148.807759 -25.936008, 148.80774 -25.936233, 148.806468 -25.950244, 148.806484 -25.950392, 148.806971 -25.953622, 148.806971 -25.95367, 148.806942 -25.953873, 148.80626 -25.958682, 148.806283 -25.958793, 148.809402 -25.966795, 148.814589 -25.980074, 148.815037 -25.981124, 148.835997 -26.015852, 148.836776 -26.017126, 148.837352 -26.017685, 148.838742 -26.018372, 148.839289 -26.018757, 148.843852 -26.02326, 148.843859 -26.023424, 148.843645 -26.02871, 148.843804 -26.029286, 148.845025 -26.03043, 148.845447 -26.030714, 148.847233 -26.031372, 148.847328 -26.031627, 148.847741 -26.032858, 148.848103 -26.033589, 148.850495 -26.03772, 148.851818 -26.039967, 148.852534 -26.040864, 148.854896 -26.043832, 148.855523 -26.052507, 148.855497 -26.05259, 148.855018 -26.054268, 148.855117 -26.054873, 148.877952 -26.087846, 148.878898 -26.089907, 148.899379 -26.134595, 148.900071 -26.136279, 148.901993 -26.141154, 148.909661 -26.1606, 148.925896 -26.188238, 148.926081 -26.18879, 148.930101 -26.200816, 148.930077 -26.201688, 148.930612 -26.203815, 148.93154 -26.207193, 148.936215 -26.219944, 148.94775 -26.25139, 148.948293 -26.252219, 148.949011 -26.254828, 148.958082 -26.279551, 148.959263 -26.282763, 148.959489 -26.283374, 148.960463 -26.28446, 148.998472 -26.323987, 149.002389 -26.331508, 149.003688 -26.332557, 149.004205 -26.332735, 149.004832 -26.334144, 149.005681 -26.335523, 149.007089 -26.337225, 149.007506 -26.337756, 149.010685 -26.357842, 149.010936 -26.358787, 149.011679 -26.360011, 149.012358 -26.361464, 149.031429 -26.403088, 149.058305 -26.451786, 149.058621 -26.45216, 149.059484 -26.452652, 149.060179 -26.454834, 149.060796 -26.456299, 149.069182 -26.471338, 149.086423 -26.491391, 149.094231 -26.504277, 149.094415 -26.504606, 149.11312 -26.520896, 149.119084 -26.534178, 149.131701 -26.580558, 149.132164 -26.581938, 149.133033 -26.583987, 149.132691 -26.586223, 149.13259 -26.587006, 149.133162 -26.58747, 149.147309 -26.599054, 149.151586 -26.607631, 149.164718 -26.629507, 149.172387 -26.653845, 149.17292 -26.661324, 149.181313 -26.683685, 149.180042 -26.693313, 149.180075 -26.693354, 149.18198 -26.693559, 149.181991 -26.693592, 149.181954 -26.693867)"/>
  </r>
  <r>
    <s v="P1145"/>
    <s v="Gas"/>
    <s v="Australia"/>
    <s v="Australia"/>
    <s v="Australia"/>
    <m/>
    <s v="https://www.gem.wiki/Condamine_to_Braemar_Pipeline"/>
    <x v="64"/>
    <m/>
    <s v="Braemar 1 Pipeline"/>
    <s v="Brookfield Infrastructure Partners [100.00%]"/>
    <s v="Brookfield Infrastructure Partners [100.00%]"/>
    <x v="0"/>
    <n v="2005"/>
    <m/>
    <m/>
    <m/>
    <m/>
    <s v="MMcf/d"/>
    <n v="0"/>
    <x v="54"/>
    <n v="150"/>
    <n v="85.78"/>
    <n v="150"/>
    <m/>
    <m/>
    <m/>
    <s v="Condamine"/>
    <s v="Australia and New Zealand"/>
    <m/>
    <s v="Queensland"/>
    <s v="Braemar"/>
    <m/>
    <s v="Queensland"/>
    <s v="Australia and New Zealand"/>
    <m/>
    <m/>
    <m/>
    <m/>
    <m/>
    <s v="LINESTRING (150.197906 -26.944333, 150.202817 -26.94527, 150.207729 -26.946207, 150.21231 -26.947082, 150.212484 -26.947369, 150.215074 -26.951646, 150.217665 -26.955922, 150.220255 -26.960199, 150.222845 -26.964476, 150.225436 -26.968752, 150.228026 -26.973029, 150.229324 -26.975171, 150.229171 -26.977513, 150.229278 -26.977617, 150.229461 -26.977793, 150.22914 -26.979632, 150.230625 -26.982099, 150.233204 -26.986382, 150.235783 -26.990666, 150.238362 -26.99495, 150.240941 -26.999233, 150.24352 -27.003517, 150.246098 -27.007801, 150.248677 -27.012084, 150.251256 -27.016368, 150.253835 -27.020652, 150.256414 -27.024935, 150.258818 -27.028929, 150.259153 -27.028973, 150.264111 -27.029623, 150.269069 -27.030273, 150.274026 -27.030923, 150.278984 -27.031573, 150.283941 -27.032222, 150.285384 -27.032412, 150.285613 -27.03277, 150.28871 -27.033145, 150.293674 -27.033746, 150.298637 -27.034346, 150.303601 -27.034947, 150.308565 -27.035548, 150.310515 -27.035784, 150.313541 -27.035545, 150.318526 -27.035151, 150.32351 -27.034757, 150.328495 -27.034363, 150.333479 -27.033969, 150.338464 -27.033575, 150.342207 -27.033279, 150.343442 -27.03344, 150.348399 -27.034087, 150.353357 -27.034735, 150.358315 -27.035382, 150.363273 -27.036029, 150.368231 -27.036676, 150.370116 -27.036922, 150.373192 -27.037298, 150.378156 -27.037904, 150.383119 -27.03851, 150.388082 -27.039116, 150.393045 -27.039722, 150.398008 -27.040328, 150.402971 -27.040935, 150.407934 -27.041541, 150.408065 -27.041557, 150.410912 -27.045506, 150.411345 -27.046108, 150.415218 -27.047878, 150.416289 -27.048368, 150.418136 -27.045021, 150.419417 -27.042701, 150.421729 -27.043121, 150.426649 -27.044014, 150.431568 -27.044906, 150.436488 -27.045799, 150.441408 -27.046692, 150.444883 -27.047323, 150.446328 -27.047581, 150.45125 -27.048461, 150.456172 -27.049341, 150.461094 -27.050221, 150.466016 -27.051102, 150.470938 -27.051982, 150.47586 -27.052862, 150.480782 -27.053742, 150.485703 -27.054622, 150.490625 -27.055502, 150.495547 -27.056383, 150.500469 -27.057263, 150.505391 -27.058143, 150.509381 -27.058856, 150.51032 -27.058976, 150.51528 -27.059606, 150.520241 -27.060236, 150.525201 -27.060865, 150.530161 -27.061495, 150.535121 -27.062125, 150.540081 -27.062755, 150.545041 -27.063385, 150.550002 -27.064015, 150.554962 -27.064645, 150.559922 -27.065275, 150.564882 -27.065905, 150.569842 -27.066535, 150.574802 -27.067165, 150.578944 -27.067691, 150.579491 -27.068308, 150.580897 -27.069896, 150.582576 -27.072235, 150.58549 -27.076298, 150.587855 -27.079595, 150.588643 -27.080113, 150.592819 -27.082863, 150.596995 -27.085613, 150.598002 -27.086276, 150.601683 -27.085356, 150.606533 -27.084144, 150.611384 -27.082931, 150.616235 -27.081718, 150.621086 -27.080506, 150.62591 -27.0793, 150.625937 -27.079303, 150.630896 -27.079938, 150.635856 -27.080573, 150.640815 -27.081207, 150.645775 -27.081842, 150.650735 -27.082477, 150.655694 -27.083112, 150.660654 -27.083747, 150.664285 -27.084211, 150.665513 -27.084745, 150.667153 -27.085459, 150.670337 -27.085877, 150.675295 -27.086528, 150.680252 -27.087179, 150.685209 -27.08783, 150.690167 -27.088482, 150.695124 -27.089133, 150.700082 -27.089784, 150.705039 -27.090435, 150.708336 -27.090868, 150.70986 -27.091562, 150.714411 -27.093634, 150.718961 -27.095706, 150.723512 -27.097778, 150.728062 -27.09985, 150.729636 -27.100567, 150.732882 -27.100969, 150.737844 -27.101583, 150.742806 -27.102197, 150.747768 -27.102811, 150.75273 -27.103426, 150.757692 -27.10404, 150.762273 -27.104607, 150.762252 -27.10499, 150.762136 -27.10706, 150.761305 -27.109867, 150.76061 -27.112213, 150.760489 -27.114763, 150.76032 -27.118305, 150.761157 -27.119494, 150.764036 -27.123582, 150.766915 -27.12767, 150.769794 -27.131758, 150.771062 -27.133558, 150.771276 -27.136286, 150.771337 -27.136294, 150.776297 -27.136926, 150.781257 -27.137558, 150.786217 -27.138191, 150.791177 -27.138823, 150.796137 -27.139456, 150.797291 -27.139603, 150.800067 -27.14225, 150.800557 -27.142718, 150.803791 -27.144198, 150.804417 -27.14464, 150.804646 -27.144802, 150.808596 -27.14222, 150.812781 -27.139485, 150.814914 -27.13809, 150.817347 -27.138394, 150.822309 -27.139014, 150.82727 -27.139633, 150.832232 -27.140253, 150.837193 -27.140872, 150.842155 -27.141492, 150.847116 -27.142111, 150.852078 -27.14273, 150.857039 -27.14335, 150.862 -27.143969, 150.865725 -27.144434, 150.865897 -27.143199, 150.866588 -27.138247, 150.866671 -27.137658, 150.871041 -27.138205, 150.876002 -27.138826, 150.880963 -27.139448, 150.885925 -27.140069, 150.890886 -27.14069, 150.891725 -27.140795, 150.892472 -27.136709, 150.893372 -27.13179, 150.894029 -27.128195, 150.894828 -27.127113, 150.895296 -27.126479, 150.895954 -27.122318, 150.896736 -27.11738, 150.896852 -27.116648, 150.901083 -27.117143, 150.906049 -27.117725, 150.906175 -27.117739, 150.906894 -27.11292, 150.907335 -27.109963)"/>
  </r>
  <r>
    <s v="P1146"/>
    <s v="Gas"/>
    <s v="Australia"/>
    <s v="Australia"/>
    <s v="Australia"/>
    <m/>
    <s v="https://www.gem.wiki/Coolah_to_Newcastle_Pipeline"/>
    <x v="65"/>
    <m/>
    <m/>
    <s v="Santos Limited [100.00%]"/>
    <s v="Santos Limited [100.00%]"/>
    <x v="4"/>
    <m/>
    <m/>
    <m/>
    <m/>
    <m/>
    <m/>
    <s v="--"/>
    <x v="2"/>
    <n v="280"/>
    <n v="215.17"/>
    <n v="280"/>
    <m/>
    <m/>
    <m/>
    <s v="Coolah"/>
    <s v="Australia and New Zealand"/>
    <m/>
    <s v="New South Wales"/>
    <s v="Newcastle"/>
    <m/>
    <s v="New South Wales"/>
    <s v="Australia and New Zealand"/>
    <m/>
    <m/>
    <m/>
    <m/>
    <m/>
    <s v="LINESTRING (149.723731 -31.827464, 151.6831 -32.82622)"/>
  </r>
  <r>
    <s v="P1147"/>
    <s v="Gas"/>
    <s v="Australia"/>
    <s v="Australia"/>
    <s v="Australia"/>
    <m/>
    <s v="https://www.gem.wiki/Daly_Waters_to_McArthur_River_Gas_Pipeline"/>
    <x v="66"/>
    <m/>
    <m/>
    <s v="Power and Water Corporation [unknown %]"/>
    <s v="Power and Water Corporation [unknown %]"/>
    <x v="0"/>
    <n v="1995"/>
    <m/>
    <m/>
    <m/>
    <n v="16"/>
    <s v="TJ/d"/>
    <n v="0.16"/>
    <x v="55"/>
    <n v="332"/>
    <n v="331.99"/>
    <n v="332"/>
    <m/>
    <m/>
    <m/>
    <m/>
    <s v="Australia and New Zealand"/>
    <m/>
    <m/>
    <m/>
    <m/>
    <m/>
    <s v="Australia and New Zealand"/>
    <m/>
    <m/>
    <m/>
    <m/>
    <m/>
    <s v="LINESTRING (133.302633 -16.212655, 133.383491 -16.207789, 133.486829 -16.238338, 133.530165 -16.246368, 133.669996 -16.285557, 133.985711 -16.361878, 134.091126 -16.385607, 134.141259 -16.411245, 134.320087 -16.475737, 134.32475 -16.476705, 134.372388 -16.492876, 134.373769 -16.497241, 134.63234 -16.487831, 134.74929 -16.572675, 134.837963 -16.627082, 134.847344 -16.624453, 134.857152 -16.628866, 134.860358 -16.633134, 134.863783 -16.635892, 134.866462 -16.637016, 134.869342 -16.639732, 134.875306 -16.648896, 134.884821 -16.660059, 134.885732 -16.660858, 134.888282 -16.662444, 134.891103 -16.664868, 134.894041 -16.67454, 134.894479 -16.681493, 134.898471 -16.6901, 134.899726 -16.69343, 134.901514 -16.695675, 134.903932 -16.697338, 134.909462 -16.699462, 134.912925 -16.69966, 134.916811 -16.699401, 134.919224 -16.700533, 134.92091 -16.701891, 134.925 -16.708733, 134.927692 -16.710653, 134.93118 -16.710967, 134.935425 -16.710318, 134.937662 -16.710772, 134.941706 -16.713256, 134.953194 -16.729709, 134.984793 -16.737902, 135.007189 -16.74753, 135.010106 -16.747987, 135.078704 -16.741962, 135.08547 -16.745039, 135.315723 -16.728439, 135.347478 -16.71265, 135.361658 -16.71778, 135.368814 -16.725136, 135.371968 -16.726026, 135.375581 -16.722734, 135.387572 -16.708318, 135.400876 -16.707486, 135.40412 -16.710682, 135.404298 -16.712027, 135.407811 -16.710407, 135.413023 -16.713638, 135.426253 -16.712406, 135.425861 -16.70653, 135.461315 -16.702304, 135.586144 -16.695446, 135.595938 -16.681624, 135.629348 -16.68873, 135.707573 -16.679878, 135.710973 -16.677864, 135.714463 -16.679074, 135.715175 -16.680921, 135.716291 -16.681016, 135.722117 -16.677489, 135.741671 -16.670258, 135.761368 -16.654307, 135.768115 -16.645794, 135.791519 -16.626962, 135.796339 -16.626167, 135.802758 -16.626855, 135.825984 -16.621194, 135.828567 -16.620221, 135.838253 -16.62192, 135.843634 -16.618731, 135.847341 -16.62022, 135.850448 -16.618195, 135.850751 -16.617286, 135.862017 -16.615666, 135.864729 -16.617227, 135.865711 -16.616415, 135.866656 -16.614517, 135.870632 -16.613954, 135.873098 -16.611532, 135.875313 -16.611532, 135.876582 -16.608716, 135.877133 -16.608387, 135.878867 -16.604833, 135.889853 -16.595575, 135.893545 -16.594685, 135.901172 -16.591109, 135.911349 -16.583728, 135.934688 -16.588003, 135.96259 -16.576274, 135.964187 -16.572879, 135.967566 -16.57194, 135.96766 -16.568716, 135.970108 -16.563589, 135.971467 -16.561593, 135.980469 -16.557764, 135.983834 -16.54965, 135.997403 -16.534263, 136.002372 -16.522745, 136.041498 -16.46932, 136.059683 -16.449141, 136.061354 -16.450326, 136.068375 -16.443839, 136.071781 -16.441222, 136.074598 -16.441941, 136.077757 -16.441556, 136.079561 -16.441859, 136.093106 -16.436937, 136.09385 -16.434734, 136.093735 -16.434407, 136.094674 -16.432485)"/>
  </r>
  <r>
    <s v="P1148"/>
    <s v="Gas"/>
    <s v="Australia"/>
    <s v="Australia"/>
    <s v="Australia"/>
    <m/>
    <s v="https://www.gem.wiki/Dampier_to_Bunbury_Natural_Gas_Pipeline"/>
    <x v="67"/>
    <m/>
    <m/>
    <s v="Diversified Utilities and Energy Trusts [80.00%]; Alcoa [20.00%]"/>
    <s v="Diversified Utilities and Energy Trusts [80.00%]; Alcoa [20.00%]"/>
    <x v="0"/>
    <n v="1984"/>
    <m/>
    <m/>
    <m/>
    <n v="848.3"/>
    <s v="MMcf/d"/>
    <n v="8.77"/>
    <x v="56"/>
    <n v="1597"/>
    <n v="1725.18"/>
    <n v="1597"/>
    <m/>
    <m/>
    <s v="North West Shelf Venture"/>
    <s v="Dampier"/>
    <s v="Australia and New Zealand"/>
    <m/>
    <s v="Western Australia"/>
    <s v="Bunbury"/>
    <m/>
    <s v="Western Australia"/>
    <s v="Australia and New Zealand"/>
    <m/>
    <m/>
    <m/>
    <m/>
    <m/>
    <s v="MULTILINESTRING ((115.755682 -33.265797, 115.755533 -33.244712, 115.763415 -33.243848, 115.773057 -33.206573, 115.783805 -33.184415, 115.78977 -33.056021, 115.801979 -33.014379, 115.822789 -32.911076, 115.823429 -32.830294, 115.827667 -32.822066, 115.829633 -32.797408, 115.843083 -32.788893, 115.865315 -32.700855, 115.889899 -32.687406, 115.890309 -32.648988, 115.902816 -32.606428, 115.910765 -32.564758, 115.911711 -32.422623, 115.901764 -32.402867, 115.875644 -32.381662, 115.875375 -32.359078, 115.840864 -32.326105, 115.837568 -32.31093, 115.827399 -32.293935, 115.803444 -32.291107, 115.802475 -32.272353, 115.794651 -32.267682, 115.792442 -32.232935, 115.804449 -32.222908, 115.82626 -32.223103, 115.833254 -32.21126, 115.842476 -32.201824, 115.881965 -32.178977, 115.924407 -32.155337, 115.941632 -32.140922, 115.95382 -32.137583, 116.007324 -32.092377, 116.018414 -32.075887, 116.016558 -32.057853, 116.01142 -32.037094, 116.000178 -32.016763, 115.997122 -32.009549, 115.997254 -31.998675, 115.979284 -31.980038, 115.988127 -31.944685, 115.993754 -31.927217, 115.98937 -31.917526, 115.988823 -31.908363, 115.988657 -31.896675, 115.983318 -31.891189, 115.981916 -31.867619, 115.981187 -31.845954, 115.977557 -31.831163, 115.974219 -31.827394, 115.973579 -31.813268, 115.970152 -31.805377, 115.969993 -31.795176, 115.956519 -31.780173, 115.952963 -31.777101, 115.948139 -31.717512, 115.955129 -31.70694, 115.957136 -31.653275, 115.975941 -31.619147, 115.976664 -31.614027, 115.9756 -31.608422, 115.940431 -31.512749, 115.930975 -31.476123, 115.900525 -31.40739, 115.897223 -31.400568, 115.883079 -31.368109, 115.835237 -31.261603, 115.809363 -31.201074, 115.802881 -31.188903, 115.79439 -31.141311, 115.781582 -31.117035, 115.770005 -31.093711, 115.758254 -31.075504, 115.728798 -31.021269, 115.698079 -30.937389, 115.694889 -30.927822, 115.664591 -30.858753, 115.626327 -30.771652, 115.605046 -30.711421, 115.594033 -30.698509, 115.553945 -30.607207, 115.502397 -30.41792, 115.491877 -30.387096, 115.473108 -30.354677, 115.473108 -30.354677, 115.471604 -30.345319, 115.443294 -30.287917, 115.441552 -30.277717, 115.440438 -30.275324, 115.432188 -30.265775, 115.427127 -30.25393, 115.424316 -30.241893, 115.404956 -30.220488, 115.401807 -30.210943, 115.383447 -30.129349, 115.354587 -30.038367, 115.355376 -29.995723, 115.350867 -29.973567, 115.358726 -29.902705, 115.357329 -29.70579, 115.318693 -29.625949, 115.292494 -29.586412, 115.234488 -29.523476, 115.186304 -29.470021, 115.154087 -29.432004, 115.14323 -29.416933, 115.125557 -29.351245, 115.121028 -29.329612, 115.121153 -29.303552, 115.120973 -29.276459, 115.130093 -29.250155, 115.129414 -29.203396, 115.138768 -29.134914, 115.138914 -29.060133, 115.140914 -29.029279, 115.141561 -28.810094, 115.138702 -28.724287, 115.134914 -28.647273, 115.132893 -28.616226, 115.130395 -28.595862, 115.128069 -28.586982, 115.122055 -28.581449, 115.120947 -28.580069, 115.121586 -28.468473, 115.117156 -28.425367, 115.119606 -28.364714, 115.116875 -28.10689, 115.125733 -28.044433, 115.144762 -27.942666, 115.156387 -27.799188, 115.173163 -27.715601, 115.180237 -27.543335, 115.183017 -27.522732, 115.190749 -26.801386, 115.214196 -26.29652, 115.218762 -26.203317, 115.241297 -25.83799, 115.262788 -25.432947, 115.272799 -25.340891, 115.273284 -25.289378, 115.275947 -25.274054, 115.2744 -25.259804, 115.278719 -25.145327, 115.279135 -25.128703, 115.278916 -25.072834, 115.285375 -25.045546, 115.282654 -25.016469, 115.286389 -24.893374, 115.305143 -24.749429, 115.289299 -24.725044, 115.304674 -24.665616, 115.276238 -24.503016, 115.272136 -24.462465, 115.272897 -24.419404, 115.278135 -24.412022, 115.296862 -24.403149, 115.300562 -24.393336, 115.299183 -24.311775, 115.282258 -24.260088, 115.272638 -24.200142, 115.25487 -24.154602, 115.214659 -24.094542, 115.184967 -24.014936, 115.191002 -23.998383, 115.177279 -23.925774, 115.174648 -23.894316, 115.1712 -23.855182, 115.164579 -23.837459, 115.164292 -23.821521, 115.161928 -23.708922, 115.151135 -23.661493, 115.138353 -23.627746, 115.108379 -23.561586, 115.094969 -23.530629, 115.097114 -23.519473, 115.065455 -23.447365, 115.045451 -23.315487, 115.047598 -23.275437, 115.032467 -23.117094, 115.024484 -23.020828, 115.032394 -23.009372, 115.064836 -22.870641, 115.102754 -22.729715, 115.172055 -22.591262, 115.233847 -22.487412, 115.270797 -22.431441, 115.302494 -22.37769, 115.365259 -22.264822, 115.411464 -22.201783, 115.459571 -22.120736, 115.507555 -22.041958, 115.538389 -21.998914, 115.567105 -21.964223, 115.570062 -21.950122, 115.604138 -21.901234, 115.646893 -21.845557, 115.688681 -21.796433, 115.723211 -21.742613, 115.889805 -21.526458, 115.97001 -21.426887, 116.000186 -21.379798, 116.055683 -21.309477, 116.088302 -21.257684, 116.127936 -21.226412, 116.189221 -21.186286, 116.240876 -21.140016, 116.259644 -21.116503, 116.28234 -21.070979, 116.294928 -21.031751, 116.329192 -20.984155, 116.365122 -20.944149, 116.401863 -20.918203, 116.437918 -20.896021, 116.47305 -20.881517, 116.575213 -20.850613, 116.638109 -20.831897, 116.674668 -20.80109, 116.695067 -20.790757, 116.722717 -20.769049, 116.728422 -20.764628, 116.742571 -20.7443, 116.751095 -20.726841, 116.760732 -20.717183, 116.760719 -20.715298, 116.748328 -20.702302, 116.736461 -20.688101, 116.733579 -20.676791, 116.735619 -20.666293, 116.744904 -20.658567, 116.758394 -20.645161, 116.769056 -20.634309, 116.770844 -20.631653, 116.768939 -20.627525, 116.770727 -20.619655, 116.777121 -20.611612, 116.778996 -20.607051, 116.781417 -20.601472, 116.782584 -20.598709, 116.78245 -20.59389), (116.071467 -33.242427, 115.947004 -33.156504, 115.935698 -33.159688, 115.920772 -33.153907, 115.905431 -33.139756, 115.892815 -33.122674, 115.880201 -33.122745, 115.875794 -33.119111, 115.815232 -33.118893, 115.802561 -33.124801, 115.798537 -33.122182, 115.793475 -33.121661, 115.789405 -33.121766, 115.78686 -33.121452), (115.279135 -25.128703, 115.264195 -25.126049, 115.241676 -25.122048, 115.021552 -25.082748, 114.976671 -25.07912, 114.969099 -25.082752, 114.948364 -25.085286, 114.908415 -25.080835, 114.878206 -25.086932, 114.846243 -25.068723, 114.751433 -25.024808, 114.683944 -25.0038, 114.614141 -24.976538, 114.280011 -24.920824, 114.065676 -24.906276, 113.960439 -24.898914, 113.86238 -24.898558, 113.781503 -24.895294, 113.737419 -24.893361, 113.728864 -24.900906, 113.723668 -24.9002, 113.722066 -24.897818, 113.71763 -24.892597, 113.708621 -24.898379, 113.684041 -24.897983, 113.67912 -24.896764, 113.676386 -24.891414, 113.682948 -24.874435, 113.682947 -24.870697, 113.680646 -24.868206, 113.676837 -24.869666, 113.674968 -24.86854))"/>
  </r>
  <r>
    <s v="P1149"/>
    <s v="Gas"/>
    <s v="Australia"/>
    <s v="Australia"/>
    <s v="Australia"/>
    <m/>
    <s v="https://www.gem.wiki/Darling_Downs_Pipeline"/>
    <x v="68"/>
    <m/>
    <s v="DDP; Wallumbilla to Darilng Downs Pipeline"/>
    <s v="Jemena [200.00%]"/>
    <s v="State Grid Corporation of China [60.00%]; SP Group [40.00%]"/>
    <x v="0"/>
    <n v="2009"/>
    <m/>
    <m/>
    <m/>
    <n v="502.31"/>
    <s v="MMcf/d"/>
    <n v="5.2"/>
    <x v="57"/>
    <n v="292"/>
    <n v="201.86"/>
    <n v="292"/>
    <m/>
    <m/>
    <s v="Bowen-Surat Basin"/>
    <s v="Roma"/>
    <s v="Australia and New Zealand"/>
    <m/>
    <s v="Queensland"/>
    <s v="Dalby"/>
    <m/>
    <s v="Queensland"/>
    <s v="Australia and New Zealand"/>
    <m/>
    <m/>
    <m/>
    <m/>
    <m/>
    <s v="MULTILINESTRING ((149.189267 -26.69601, 149.189265 -26.696028, 149.193373 -26.695952, 149.197739 -26.693964, 149.201319 -26.691978, 149.209313 -26.689979, 149.216364 -26.685976, 149.217271 -26.685459, 149.225376 -26.680853, 149.230486 -26.677948, 149.23326 -26.676372, 149.24126 -26.671824, 149.24413 -26.669925, 149.249387 -26.665855, 149.254507 -26.661893, 149.257269 -26.65937, 149.263063 -26.653907, 149.265274 -26.651821, 149.27155 -26.645897, 149.273349 -26.644095, 149.280629 -26.637905, 149.281309 -26.637311, 149.289302 -26.630693, 149.289992 -26.629892, 149.297301 -26.622262, 149.29763 -26.621875, 149.304795 -26.613883, 149.305252 -26.613236, 149.311292 -26.605887, 149.313266 -26.603577, 149.319553 -26.597981, 149.321385 -26.596707, 149.329346 -26.591224, 149.332132 -26.58996, 149.337265 -26.587632, 149.345397 -26.584103, 149.350505 -26.581965, 149.353316 -26.580083, 149.361382 -26.576702, 149.368021 -26.57392, 149.369301 -26.573383, 149.377413 -26.569984, 149.385271 -26.566689, 149.387016 -26.565958, 149.39334 -26.563306, 149.401381 -26.559074, 149.409327 -26.55891, 149.417323 -26.557993, 149.417446 -26.557938, 149.425405 -26.554379, 149.433322 -26.551006, 149.436155 -26.549931, 149.441362 -26.547955, 149.449269 -26.544957, 149.457106 -26.54198, 149.45735 -26.541888, 149.465404 -26.538832, 149.472624 -26.542029, 149.473272 -26.542512, 149.481296 -26.546958, 149.486402 -26.550063, 149.489303 -26.551966, 149.497284 -26.553588, 149.505323 -26.554808, 149.513366 -26.556684, 149.517088 -26.558004, 149.521405 -26.559538, 149.529303 -26.562341, 149.537299 -26.565054, 149.54533 -26.565735, 149.548209 -26.565993, 149.553254 -26.566448, 149.56135 -26.571777, 149.563956 -26.574036, 149.569328 -26.578794, 149.571715 -26.581988, 149.577461 -26.586855, 149.581177 -26.590045, 149.585365 -26.591755, 149.593259 -26.594984, 149.600683 -26.59802, 149.601343 -26.59829, 149.609314 -26.601548, 149.617352 -26.604839, 149.620278 -26.606033, 149.625253 -26.608068, 149.633313 -26.611356, 149.639757 -26.613987, 149.64127 -26.61452, 149.649367 -26.617301, 149.657387 -26.620057, 149.663134 -26.622032, 149.665329 -26.622785, 149.673256 -26.625506, 149.681282 -26.627914, 149.6866 -26.630011, 149.689291 -26.632667, 149.694771 -26.638084, 149.697264 -26.641818, 149.705314 -26.641741, 149.713347 -26.64164, 149.721343 -26.645468, 149.723029 -26.645998, 149.72928 -26.647972, 149.737273 -26.650493, 149.745373 -26.653877, 149.745669 -26.654054, 149.753351 -26.658671, 149.759466 -26.662003, 149.761346 -26.662194, 149.76214 -26.661954, 149.768432 -26.662069, 149.769279 -26.662871, 149.777267 -26.669989, 149.785339 -26.674638, 149.790245 -26.677983, 149.793367 -26.680111, 149.801287 -26.68551, 149.802006 -26.685999, 149.809358 -26.691013, 149.814019 -26.694025, 149.817298 -26.696005, 149.825323 -26.700853, 149.827261 -26.702024, 149.833322 -26.705955, 149.838014 -26.710036, 149.841275 -26.713082, 149.849256 -26.714898, 149.852887 -26.718025, 149.85733 -26.721824, 149.862257 -26.725994, 149.865291 -26.72856, 149.873021 -26.734005, 149.873381 -26.734056, 149.881302 -26.735052, 149.889315 -26.739324, 149.894245 -26.74205, 149.897384 -26.743741, 149.905372 -26.748041, 149.909033 -26.749998, 149.913277 -26.753349, 149.916823 -26.757997, 149.921255 -26.758779, 149.929377 -26.760173, 149.937317 -26.761506, 149.945272 -26.762755, 149.95337 -26.764001, 149.961292 -26.76518, 149.967143 -26.765991, 149.969426 -26.766282, 149.977405 -26.7673, 149.985338 -26.768311, 149.993337 -26.769331, 150.001401 -26.770358, 150.00933 -26.771368, 150.017331 -26.772386, 150.025256 -26.773394, 150.03002 -26.774002, 150.033375 -26.774429, 150.0413 -26.775428, 150.047233 -26.782005, 150.049339 -26.784554, 150.053881 -26.790055, 150.057317 -26.794876, 150.059466 -26.798026, 150.064965 -26.80609, 150.065336 -26.806633, 150.070392 -26.814045, 150.073284 -26.817827, 150.076763 -26.822033, 150.081347 -26.827101, 150.089309 -26.829051, 150.093227 -26.830011, 150.097417 -26.831038, 150.105284 -26.832963, 150.113308 -26.83493, 150.121286 -26.836628, 150.123721 -26.837999, 150.129312 -26.843735, 150.132053 -26.846027, 150.137328 -26.850443, 150.145278 -26.849635, 150.153342 -26.848907, 150.161369 -26.850095, 150.169351 -26.851101, 150.177355 -26.852109, 150.182878 -26.854008, 150.185258 -26.856242, 150.193276 -26.86095, 150.200085 -26.862002, 150.201259 -26.862206, 150.209343 -26.863604, 150.217368 -26.864993, 150.225331 -26.86637, 150.233407 -26.867767, 150.241315 -26.869132, 150.24639 -26.870008, 150.249258 -26.870567, 150.257271 -26.871954, 150.26531 -26.873343, 150.273416 -26.874743, 150.281278 -26.8761, 150.284155 -26.878015, 150.289416 -26.879098, 150.297286 -26.880005, 150.305399 -26.881011, 150.313312 -26.882028, 150.321325 -26.883022, 150.329387 -26.883568, 150.337313 -26.882864, 150.345276 -26.88393, 150.353339 -26.885782, 150.354216 -26.885987, 150.353246 -26.889656, 150.353077 -26.889957, 150.35307 -26.889982), (150.353151 -26.890357, 150.353073 -26.890338, 150.354057 -26.892576, 150.356598 -26.90063, 150.356829 -26.900996, 150.362304 -26.908718, 150.359839 -26.916727, 150.363085 -26.924591, 150.364792 -26.929255, 150.365457 -26.9326, 150.372866 -26.938935, 150.376374 -26.940575, 150.380918 -26.941569, 150.388834 -26.9427, 150.396771 -26.946636, 150.399469 -26.948654, 150.404816 -26.952789, 150.409817 -26.956656, 150.412869 -26.957529, 150.4209 -26.958228, 150.428839 -26.959754, 150.436868 -26.960166, 150.444868 -26.956916, 150.452943 -26.957901, 150.460849 -26.958515, 150.468851 -26.95969, 150.476885 -26.960823, 150.48479 -26.961791, 150.492824 -26.963056, 150.500248 -26.964594, 150.500937 -26.964789, 150.508798 -26.966755, 150.516812 -26.967735, 150.524814 -26.968713, 150.532839 -26.969694, 150.540867 -26.970674, 150.548849 -26.971648, 150.556485 -26.97258, 150.556841 -26.972623, 150.564783 -26.974784, 150.572439 -26.980594, 150.572849 -26.980905, 150.580877 -26.985463, 150.584629 -26.98868, 150.588814 -26.995974, 150.589075 -26.996584, 150.592269 -27.004724, 150.59527 -27.012605, 150.596787 -27.016594, 150.597891 -27.020686, 150.599758 -27.028574, 150.601489 -27.036596, 150.602711 -27.044588, 150.603612 -27.052577, 150.604787 -27.05682, 150.605859 -27.060692, 150.610916 -27.068633, 150.612776 -27.070396, 150.619321 -27.07659, 150.620793 -27.077982, 150.628866 -27.083279, 150.632663 -27.084618, 150.636821 -27.086083, 150.644909 -27.088159, 150.652861 -27.089654, 150.660829 -27.091488, 150.666804 -27.092588, 150.668933 -27.093003, 150.676912 -27.09427, 150.684839 -27.095535, 150.692803 -27.096841, 150.700822 -27.098251, 150.708789 -27.100539, 150.709143 -27.1006, 150.716884 -27.101894, 150.724793 -27.101671, 150.732924 -27.101857, 150.740781 -27.102846, 150.748786 -27.108378, 150.749042 -27.108601, 150.756829 -27.115205, 150.759066 -27.116584, 150.764826 -27.118531, 150.772769 -27.119536, 150.780941 -27.120564, 150.788903 -27.117867, 150.792579 -27.116513, 150.79685 -27.114761, 150.804844 -27.11227, 150.812867 -27.112185, 150.820893 -27.112648, 150.82877 -27.114369, 150.836891 -27.116505, 150.837517 -27.116584, 150.844863 -27.117511, 150.852889 -27.118329, 150.860941 -27.119344, 150.868798 -27.120184, 150.874164 -27.116489, 150.876822 -27.115671, 150.88482 -27.116328, 150.891699 -27.11648, 150.891702 -27.116501))"/>
  </r>
  <r>
    <s v="P1151"/>
    <s v="Gas"/>
    <s v="Australia"/>
    <s v="Australia"/>
    <s v="Australia"/>
    <m/>
    <s v="https://www.gem.wiki/Dawson_Valley_Pipeline"/>
    <x v="69"/>
    <m/>
    <s v="DVP"/>
    <s v="WestSide Energy [51.00%]; Mitsui Group [49.00%]"/>
    <s v="WestSide Energy [51.00%]; Mitsui Group [49.00%]"/>
    <x v="0"/>
    <n v="1996"/>
    <m/>
    <m/>
    <m/>
    <n v="28.43"/>
    <s v="MMcf/d"/>
    <n v="0.28999999999999998"/>
    <x v="58"/>
    <n v="47"/>
    <n v="47.54"/>
    <n v="47"/>
    <m/>
    <m/>
    <s v="Bowen Basin"/>
    <m/>
    <s v="Australia and New Zealand"/>
    <m/>
    <s v="Queensland"/>
    <s v="Moura"/>
    <m/>
    <s v="Queensland"/>
    <s v="Australia and New Zealand"/>
    <m/>
    <m/>
    <m/>
    <m/>
    <m/>
    <s v="LINESTRING (149.927231 -24.416822, 149.932663 -24.42727, 149.936648 -24.43524, 149.940633 -24.441882, 149.941696 -24.443476, 149.942493 -24.445336, 149.951526 -24.454635, 149.958168 -24.46234, 149.965076 -24.470576, 149.968264 -24.474827, 149.971983 -24.479343, 149.974375 -24.48386, 149.975703 -24.485985, 149.975969 -24.487579, 149.9765 -24.489705, 149.9765 -24.491033, 149.977828 -24.493159, 149.98022 -24.49741, 149.98447 -24.504317, 149.98819 -24.510959, 149.993238 -24.519727, 149.995363 -24.523446, 149.99616 -24.525306, 149.997223 -24.527963, 149.999349 -24.534871, 150.001474 -24.538856, 150.002271 -24.541513, 150.0036 -24.543904, 150.004662 -24.544967, 150.002133 -24.554043, 150.001179 -24.557996, 149.999135 -24.560858, 149.996409 -24.565628, 149.994092 -24.569853, 149.991912 -24.574487, 149.98997 -24.576834, 149.988232 -24.577758, 149.987005 -24.57953, 149.987005 -24.581301, 149.988368 -24.5843, 149.990276 -24.588389, 149.992048 -24.592341, 149.993956 -24.597111, 149.995183 -24.603108, 149.997227 -24.614829, 150.000498 -24.627913, 150.002815 -24.641406, 150.006086 -24.661713, 150.009084 -24.677387, 150.01181 -24.693742, 150.012628 -24.701511, 150.012628 -24.7041, 150.012219 -24.708734, 150.011674 -24.712141, 150.011674 -24.714595, 150.011946 -24.716912, 150.012628 -24.71991, 150.013446 -24.722363, 150.015626 -24.725498, 150.016989 -24.72836, 150.019442 -24.734902, 150.020669 -24.738309, 150.021759 -24.742398, 150.022441 -24.75003, 150.022986 -24.764477, 150.022986 -24.767748, 150.022713 -24.770065, 150.021896 -24.772655, 150.021078 -24.775517, 150.019851 -24.780832, 150.019034 -24.783558, 150.018625 -24.784785, 150.018488 -24.786284, 150.018761 -24.788192, 150.019306 -24.789964, 150.020397 -24.792826, 150.021623 -24.795007, 150.022168 -24.796915, 150.018025 -24.796402, 150.014399 -24.796082, 150.009174 -24.795655, 150.006508 -24.795122, 150.004269 -24.794695, 150.000964 -24.794589)"/>
  </r>
  <r>
    <s v="P1152"/>
    <s v="Gas"/>
    <s v="Australia"/>
    <s v="Australia"/>
    <s v="Australia"/>
    <m/>
    <s v="https://www.gem.wiki/East_Spar_Pipeline"/>
    <x v="70"/>
    <m/>
    <m/>
    <s v="Apache Corporation [55.00%]; Santos Limited [45.00%]"/>
    <s v="APA Corporation [55.00%]; Santos Limited [45.00%]"/>
    <x v="0"/>
    <n v="1996"/>
    <m/>
    <m/>
    <m/>
    <n v="100"/>
    <s v="MMcf/d"/>
    <n v="1.03"/>
    <x v="59"/>
    <n v="63"/>
    <n v="52.63"/>
    <n v="63"/>
    <m/>
    <m/>
    <s v="East Spar Gas Field"/>
    <s v="Offshore"/>
    <s v="Australia and New Zealand"/>
    <m/>
    <s v="Offshore Australia"/>
    <s v="Varanus Island"/>
    <m/>
    <s v="Western Australia"/>
    <s v="Australia and New Zealand"/>
    <m/>
    <m/>
    <m/>
    <m/>
    <m/>
    <s v="LINESTRING (115.0743964 -20.6230748, 115.578458 -20.65155)"/>
  </r>
  <r>
    <s v="P1153"/>
    <s v="Gas"/>
    <s v="Australia"/>
    <s v="Australia"/>
    <s v="Australia"/>
    <m/>
    <s v="https://www.gem.wiki/Eastern_Gas_Pipeline"/>
    <x v="11"/>
    <m/>
    <s v="Longford to Sydney"/>
    <s v="Jemena [200.00%]"/>
    <s v="State Grid Corporation of China [60.00%]; SP Group [40.00%]"/>
    <x v="0"/>
    <n v="2000"/>
    <m/>
    <m/>
    <m/>
    <n v="336.95"/>
    <s v="MMcf/d"/>
    <n v="3.48"/>
    <x v="60"/>
    <n v="797"/>
    <n v="738.7"/>
    <n v="797"/>
    <m/>
    <m/>
    <s v="Gippsland Basin"/>
    <s v="Longford"/>
    <s v="Australia and New Zealand"/>
    <m/>
    <s v="Victoria"/>
    <s v="Cooma, Canberra, Wollongon, Sydney"/>
    <m/>
    <s v="New South Wales"/>
    <s v="Australia and New Zealand"/>
    <m/>
    <m/>
    <m/>
    <m/>
    <m/>
    <s v="MULTILINESTRING ((147.159 -38.203, 147.167 -38.029, 147.623 -37.784, 147.849 -37.735, 148.608 -37.705, 148.893 -37.602, 148.925 -37.55, 149.101 -37.56, 149.188 -37.453, 149.19 -37.197), (149.19 -37.197, 149.182 -37.155, 149.209 -37.1, 149.188 -37.01, 149.22 -36.9, 149.276 -36.844, 149.282 -36.797, 149.266 -36.764, 149.288 -36.63, 149.285 -36.576, 149.267 -36.562, 149.269 -36.502, 149.218 -36.401, 149.215 -36.353, 149.169 -36.275, 149.174 -36.175, 149.15 -36.13, 149.164 -36.074, 149.142 -35.977, 149.178 -35.818, 149.162 -35.751, 149.217 -35.651, 149.228 -35.579, 149.235 -35.565, 149.291 -35.562, 149.33 -35.54, 149.404 -35.424, 149.436 -35.399, 149.5 -35.384, 149.537 -35.334, 149.748 -35.26, 149.762 -35.236, 149.867 -35.22, 150.05 -35.15, 150.068 -35.116, 150.117 -35.089, 150.211 -35.072, 150.257 -35.104, 150.36 -35.11, 150.372 -35.085, 150.473 -35.02, 150.475 -34.993, 150.51 -34.962, 150.574 -34.839, 150.614 -34.806, 150.709 -34.758, 150.789 -34.761, 150.815 -34.747, 150.816 -34.643, 150.797 -34.627, 150.771 -34.51, 150.812 -34.472, 150.814 -34.41, 150.842 -34.394, 150.809 -34.347, 150.714 -34.281, 150.769 -34.186, 150.77 -34.086, 150.793 -34.001, 150.826 -33.959, 150.824 -33.887, 150.864 -33.832))"/>
  </r>
  <r>
    <s v="P1154"/>
    <s v="Gas"/>
    <s v="Australia"/>
    <s v="Australia"/>
    <s v="Australia"/>
    <m/>
    <s v="https://www.gem.wiki/Eastern_Goldfields_Pipeline_System"/>
    <x v="0"/>
    <s v="Eastern Goldfields Pipeline"/>
    <s v="EPG"/>
    <s v="APA Group [100.00%]"/>
    <s v="APA Group [100.00%]"/>
    <x v="0"/>
    <n v="2015"/>
    <m/>
    <m/>
    <m/>
    <n v="20.6"/>
    <s v="TJ/d"/>
    <n v="0.21"/>
    <x v="61"/>
    <n v="293"/>
    <n v="250.57"/>
    <n v="293"/>
    <m/>
    <m/>
    <m/>
    <m/>
    <s v="Australia and New Zealand"/>
    <m/>
    <s v="Western Australia"/>
    <m/>
    <m/>
    <s v="Western Australia"/>
    <s v="Australia and New Zealand"/>
    <m/>
    <m/>
    <m/>
    <m/>
    <m/>
    <s v="LINESTRING (122.311413 -28.801387, 122.31776 -28.807116, 122.328087 -28.817096, 122.331941 -28.821024, 122.353595 -28.83358, 122.358348 -28.840367, 122.362212 -28.840424, 122.365166 -28.844751, 122.418089 -28.876414, 122.414832 -28.886291, 122.418183 -28.895861, 122.421412 -28.897848, 122.421704 -28.899011, 122.420417 -28.902259, 122.425674 -28.917279, 122.42714 -28.916884, 122.44045 -28.955421, 122.442888 -28.956831, 122.44243 -28.964117, 122.438755 -28.967751, 122.435912 -28.990498, 122.422 -29.041504, 122.427005 -29.057476, 122.441515 -29.057396, 122.441578 -29.066283, 122.437398 -29.070146, 122.43713 -29.090333, 122.438951 -29.090341, 122.438976 -29.088245, 122.446445 -29.083429, 122.451779 -29.083428, 122.451783 -29.076719, 122.545704 -29.066051, 122.585218 -29.066899, 122.62628 -29.087971, 122.701436 -29.092772, 122.773221 -29.103185, 122.863176 -29.124233, 122.988671 -29.142594, 123.003518 -29.151086, 123.031482 -29.151727, 123.044727 -29.171628, 123.045916 -29.173535, 123.064576 -29.176645, 123.19745 -29.18346, 123.342139 -29.178127, 123.354327 -29.181381, 123.377655 -29.182214, 123.424336 -29.189595, 123.506166 -29.194531, 123.527104 -29.198898, 123.553177 -29.215589, 123.564637 -29.217633, 123.594758 -29.214578, 123.616899 -29.215005, 123.676786 -29.224608, 123.7524 -29.228306, 123.789625 -29.234561, 123.805739 -29.236097, 123.866139 -29.236434, 123.936074 -29.239272, 123.978868 -29.242006, 124.058698 -29.249948, 124.107463 -29.253013, 124.159008 -29.253458, 124.184772 -29.255032, 124.244953 -29.255513, 124.276779 -29.257168, 124.294956 -29.257324, 124.336847 -29.262473, 124.381795 -29.251976, 124.400301 -29.249021, 124.431997 -29.248508, 124.467411 -29.252292, 124.507786 -29.25139, 124.518941 -29.248355, 124.521278 -29.244443, 124.528694 -29.240298, 124.533368 -29.238208, 124.536096 -29.235724, 124.535602 -29.235297, 124.536167 -29.234808)"/>
  </r>
  <r>
    <s v="P1155"/>
    <s v="Gas"/>
    <s v="Australia"/>
    <s v="Australia"/>
    <s v="Australia"/>
    <m/>
    <s v="https://www.gem.wiki/ERM_Wellington_Pipeline"/>
    <x v="71"/>
    <m/>
    <m/>
    <s v="ERM Power [100.00%]"/>
    <s v="ERM Power [100.00%]"/>
    <x v="4"/>
    <m/>
    <m/>
    <m/>
    <m/>
    <m/>
    <m/>
    <s v="--"/>
    <x v="2"/>
    <n v="219"/>
    <n v="204.11"/>
    <n v="219"/>
    <m/>
    <m/>
    <m/>
    <s v="Young"/>
    <s v="Australia and New Zealand"/>
    <m/>
    <s v="New South Wales"/>
    <s v="Wellington"/>
    <m/>
    <s v="New South Wales"/>
    <s v="Australia and New Zealand"/>
    <m/>
    <m/>
    <m/>
    <m/>
    <m/>
    <s v="LINESTRING (148.2802804 -34.3092032, 148.9299194 -32.5513363)"/>
  </r>
  <r>
    <s v="P1156"/>
    <s v="Gas"/>
    <s v="Australia"/>
    <s v="Australia"/>
    <s v="Australia"/>
    <m/>
    <s v="https://www.gem.wiki/Fortescue_River_Gas_Pipeline"/>
    <x v="72"/>
    <m/>
    <m/>
    <s v="DUET Group [57.00%]; TransAlta [43.00%]"/>
    <s v="DUET Group [57.00%]; TransAlta [43.00%]"/>
    <x v="0"/>
    <n v="2015"/>
    <m/>
    <m/>
    <m/>
    <n v="64"/>
    <s v="TJ/d"/>
    <n v="0.65"/>
    <x v="62"/>
    <n v="270"/>
    <n v="243.92"/>
    <n v="270"/>
    <m/>
    <m/>
    <m/>
    <s v="Pilbara"/>
    <s v="Australia and New Zealand"/>
    <m/>
    <s v="Western Australia"/>
    <m/>
    <m/>
    <s v="Western Australia"/>
    <s v="Australia and New Zealand"/>
    <m/>
    <m/>
    <m/>
    <m/>
    <m/>
    <s v="LINESTRING (116.024822 -21.639614, 116.049955 -21.645998, 116.084532 -21.643159, 116.084587 -21.641744, 116.088315 -21.641874, 116.091471 -21.642221, 116.093887 -21.642371, 116.096296 -21.643005, 116.097869 -21.644135, 116.100246 -21.645882, 116.101971 -21.64665, 116.103932 -21.647264, 116.106629 -21.647125, 116.107914 -21.646579, 116.110546 -21.646701, 116.13135 -21.651992, 116.13389 -21.655581, 116.134526 -21.658808, 116.134746 -21.659815, 116.141701 -21.666016, 116.140762 -21.666937, 116.16063 -21.684014, 116.161995 -21.684757, 116.169007 -21.684912, 116.178779 -21.679162, 116.182816 -21.676786, 116.197645 -21.670551, 116.206048 -21.667936, 116.210235 -21.666633, 116.218099 -21.657401, 116.219512 -21.656809, 116.221244 -21.656638, 116.222224 -21.656745, 116.232205 -21.661918, 116.23392 -21.662682, 116.237144 -21.663774, 116.238184 -21.664014, 116.238627 -21.664393, 116.255674 -21.665999, 116.258234 -21.666391, 116.274117 -21.663592, 116.276651 -21.663375, 116.278419 -21.66343, 116.282593 -21.664104, 116.283517 -21.664146, 116.286427 -21.664818, 116.286739 -21.663599, 116.289109 -21.664063, 116.290839 -21.663293, 116.294189 -21.66243, 116.299121 -21.66231, 116.300129 -21.661614, 116.300525 -21.661036, 116.301325 -21.660636, 116.30241 -21.659655, 116.303951 -21.657872, 116.304699 -21.658478, 116.306975 -21.655991, 116.319503 -21.648181, 116.32542 -21.647846, 116.32784 -21.647291, 116.329892 -21.646002, 116.332273 -21.64256, 116.334728 -21.640463, 116.335228 -21.637711, 116.339309 -21.635215, 116.341953 -21.634064, 116.347295 -21.632343, 116.349007 -21.631925, 116.350663 -21.631844, 116.352443 -21.631306, 116.366833 -21.632312, 116.368271 -21.63209, 116.380684 -21.627433, 116.381808 -21.626651, 116.383193 -21.626454, 116.386433 -21.625191, 116.389416 -21.62306, 116.394082 -21.618943, 116.395324 -21.61826, 116.396782 -21.617845, 116.398324 -21.617708, 116.407575 -21.617792, 116.410858 -21.617064, 116.412566 -21.616386, 116.413779 -21.615601, 116.416633 -21.614446, 116.417213 -21.614081, 116.419246 -21.613445, 116.42159 -21.613536, 116.423543 -21.614578, 116.431748 -21.622005, 116.434121 -21.623674, 116.435489 -21.624464, 116.436955 -21.62514, 116.437765 -21.625448, 116.441103 -21.626481, 116.444713 -21.627474, 116.44812 -21.628101, 116.45082 -21.62819, 116.460149 -21.628496, 116.464351 -21.629107, 116.468457 -21.630061, 116.470424 -21.630417, 116.481601 -21.631145, 116.483569 -21.631088, 116.488263 -21.632397, 116.4912 -21.633467, 116.491725 -21.633511, 116.492589 -21.633831, 116.493171 -21.634206, 116.496662 -21.635555, 116.500115 -21.636302, 116.503854 -21.636437, 116.51202 -21.635173, 116.514686 -21.635202, 116.518226 -21.635588, 116.523916 -21.636354, 116.527392 -21.63668, 116.529569 -21.636686, 116.540984 -21.635084, 116.542512 -21.635158, 116.546557 -21.635932, 116.554502 -21.638403, 116.557898 -21.638395, 116.563662 -21.63714, 116.58006 -21.637076, 116.595218 -21.635041, 116.596082 -21.635229, 116.603139 -21.63372, 116.610394 -21.631282, 116.620287 -21.626972, 116.6226 -21.626218, 116.62602 -21.62579, 116.633077 -21.625803, 116.636359 -21.626776, 116.646491 -21.631982, 116.647439 -21.632166, 116.648527 -21.63306, 116.649047 -21.633336, 116.675729 -21.647347, 116.677805 -21.648263, 116.678339 -21.648717, 116.683912 -21.651642, 116.685679 -21.652416, 116.689218 -21.653439, 116.693019 -21.655749, 116.694421 -21.657001, 116.697115 -21.658865, 116.69919 -21.660985, 116.699869 -21.661746, 116.700898 -21.661828, 116.701929 -21.661384, 116.706108 -21.665107, 116.708814 -21.667316, 116.710985 -21.669042, 116.71388 -21.670281, 116.738504 -21.677223, 116.7395 -21.677857, 116.740425 -21.67769, 116.741561 -21.678415, 116.742883 -21.679338, 116.74356 -21.679769, 116.74401 -21.680477, 116.745309 -21.681161, 116.748792 -21.681961, 116.748942 -21.681207, 116.750742 -21.681751, 116.753459 -21.683785, 116.761222 -21.692925, 116.765783 -21.704589, 116.765839 -21.71005, 116.781326 -21.730531, 116.783008 -21.731454, 116.785584 -21.732174, 116.788921 -21.732221, 116.788969 -21.732979, 116.789559 -21.732948, 116.794526 -21.731002, 116.799251 -21.729151, 116.800495 -21.728824, 116.804467 -21.72828, 116.829881 -21.728412, 116.832375 -21.729392, 116.840669 -21.734307, 116.84142 -21.734545, 116.845775 -21.734656, 116.846652 -21.734484, 116.848121 -21.733419, 116.85422 -21.727499, 116.860304 -21.725678, 116.896913 -21.719186, 116.912338 -21.710638, 116.913359 -21.709988, 116.918147 -21.7059, 116.933719 -21.693945, 116.938231 -21.690751, 116.942071 -21.689212, 116.951627 -21.684826, 117.001101 -21.670993, 117.002384 -21.67113, 117.018413 -21.667045, 117.179066 -21.747933, 117.182798 -21.750295, 117.284754 -21.802022, 117.330465 -21.816874, 117.356913 -21.825837, 117.433447 -21.83332, 117.499974 -21.849962, 117.50804 -21.853345, 117.510476 -21.85451, 117.604901 -21.893437, 117.620965 -21.89349, 117.633918 -21.89365, 117.763135 -21.899959, 117.783353 -21.899977, 117.818951 -21.909029, 117.861947 -21.919748, 117.893671 -21.925706, 117.893889 -21.925495, 117.903062 -21.943735, 117.931179 -21.969289, 117.978827 -22.046939, 117.986077 -22.085676, 117.990939 -22.112794, 117.987873 -22.121607, 117.987797 -22.127458, 117.984079 -22.138444, 117.98382 -22.139934, 117.984291 -22.141196, 117.984116 -22.145055, 117.975112 -22.154059, 117.957791 -22.148015)"/>
  </r>
  <r>
    <s v="P1361"/>
    <s v="Gas"/>
    <s v="Australia"/>
    <s v="Australia"/>
    <s v="Australia"/>
    <m/>
    <s v="https://www.gem.wiki/Galilee_Gas_Pipeline"/>
    <x v="73"/>
    <m/>
    <s v="GGP"/>
    <s v="Jemena [unknown %]"/>
    <s v="SP Group [unknown %]; State Grid Corporation of China [unknown %]"/>
    <x v="1"/>
    <n v="2028"/>
    <m/>
    <m/>
    <m/>
    <n v="200"/>
    <s v="TJ/d"/>
    <n v="2.0499999999999998"/>
    <x v="1"/>
    <n v="585"/>
    <n v="580.26"/>
    <n v="585"/>
    <m/>
    <m/>
    <m/>
    <s v="Longreach"/>
    <s v="Australia and New Zealand"/>
    <m/>
    <s v="Queensland"/>
    <s v="Injune"/>
    <m/>
    <s v="Queensland"/>
    <s v="Australia and New Zealand"/>
    <m/>
    <m/>
    <m/>
    <m/>
    <m/>
    <s v="MULTILINESTRING ((144.73599 -23.795652, 144.922217 -23.845198, 144.961513 -23.852032, 144.993975 -23.862283, 145.036687 -23.881077, 145.077692 -23.906705, 145.106736 -23.934041, 145.137489 -23.959668, 145.166534 -23.993839, 145.279295 -24.113434, 145.310049 -24.137353, 145.34251 -24.162981, 145.373263 -24.180066, 145.412789 -24.205024, 145.442245 -24.235819, 145.475049 -24.264606, 145.562748 -24.350966, 145.589526 -24.373728, 145.694631 -24.490213, 145.722749 -24.521008, 145.754883 -24.559837, 145.779652 -24.584607, 145.827854 -24.616072, 145.862665 -24.637494, 145.904172 -24.674315, 145.922247 -24.690382, 145.951703 -24.709126, 146.019319 -24.762683, 146.064172 -24.804189, 146.121746 -24.870466, 146.137813 -24.880508, 146.1666 -24.904608, 146.242248 -24.972224, 146.323922 -25.043856, 146.349362 -25.061262, 146.374801 -25.080676, 146.416977 -25.118835, 146.447772 -25.148961, 146.488609 -25.193145, 146.503337 -25.197162, 146.518065 -25.209212, 146.567605 -25.252727, 146.761079 -25.415405, 146.791874 -25.441514, 146.83338 -25.480343, 146.87087 -25.517163, 146.921749 -25.563356, 146.941163 -25.580092, 146.999406 -25.622937, 147.016143 -25.63231, 147.038235 -25.648377, 147.058988 -25.665113, 147.078402 -25.679841, 147.0938 -25.687875, 147.103842 -25.695239, 147.109867 -25.698586, 147.119239 -25.699925, 147.137984 -25.702603, 147.146687 -25.705281, 147.160076 -25.710636, 147.170787 -25.713984, 147.187524 -25.716662, 147.203591 -25.719339, 147.211624 -25.722017, 147.219658 -25.728712, 147.239742 -25.750804, 147.263842 -25.766871, 147.309365 -25.79298, 147.368278 -25.825783, 147.37832 -25.833147, 147.386353 -25.835825, 147.433215 -25.84252, 147.456646 -25.847206, 147.502839 -25.856578, 147.531626 -25.865281, 147.542337 -25.869298, 147.561751 -25.870637, 147.591207 -25.869298, 147.725769 -25.868629, 147.742505 -25.865281, 147.767275 -25.862604, 147.786689 -25.861934, 147.808112 -25.864612, 147.830204 -25.86662, 147.849618 -25.86662, 147.88443 -25.862604, 147.916564 -25.857248, 147.953385 -25.850553, 147.99556 -25.844528, 148.016314 -25.840511, 148.051126 -25.835156, 148.075226 -25.833817, 148.134808 -25.828461, 148.180331 -25.821097, 148.23121 -25.811725, 148.251963 -25.804361, 148.259327 -25.801683, 148.272047 -25.800344, 148.284767 -25.803691, 148.300834 -25.808377, 148.353051 -25.812394, 148.385185 -25.816411, 148.414642 -25.821767, 148.430039 -25.826453, 148.442759 -25.833147, 148.479579 -25.853231, 148.51506 -25.870637, 148.541839 -25.881348, 148.569956 -25.887373, 148.595395 -25.89139, 148.640249 -25.895407, 148.677739 -25.898754, 148.707864 -25.900763, 148.733973 -25.90411, 148.759413 -25.911474, 148.795639 -25.931355), (144.73599 -23.795652, 144.73858 -23.737232, 144.744894 -23.663568, 144.753313 -23.604637, 144.755417 -23.554124, 144.755417 -23.520449, 144.753313 -23.478356, 144.749103 -23.423634, 144.740685 -23.362598, 144.736475 -23.303666, 144.734371 -23.227898, 144.732266 -23.173176, 144.734371 -23.152129, 144.728056 -23.133187, 144.721742 -23.103721, 144.721742 -23.091093))"/>
  </r>
  <r>
    <s v="P1157"/>
    <s v="Gas"/>
    <s v="Australia"/>
    <s v="Australia"/>
    <s v="Australia"/>
    <m/>
    <s v="https://www.gem.wiki/GLNG_Pipeline"/>
    <x v="74"/>
    <m/>
    <s v="Gladstone LNG Pipeline"/>
    <s v="Santos Limited [30.00%]; Petronas [27.50%]; TotalEnergies SE [27.50%]; KOGAS [15.00%]"/>
    <s v="Santos Limited [30.00%]; Petronas [27.50%]; TotalEnergies SE [27.50%]; KOGAS [15.00%]"/>
    <x v="0"/>
    <n v="2014"/>
    <m/>
    <m/>
    <m/>
    <n v="1355.38"/>
    <s v="MMcf/d"/>
    <n v="14.02"/>
    <x v="63"/>
    <n v="435"/>
    <n v="400.83"/>
    <n v="435"/>
    <m/>
    <m/>
    <s v="Bowen-Surat Basin"/>
    <s v="Fairview, Roma, Arcadia, Comet Ridge and Scotia"/>
    <s v="Australia and New Zealand"/>
    <m/>
    <s v="Queensland"/>
    <s v="Curtis Island"/>
    <m/>
    <s v="Queensland"/>
    <s v="Australia and New Zealand"/>
    <m/>
    <m/>
    <m/>
    <m/>
    <m/>
    <s v="MULTILINESTRING ((151.114838 -23.75104, 151.114777 -23.751062, 151.114288 -23.75139, 151.106796 -23.753054, 151.09874 -23.75214, 151.095276 -23.751368, 151.090759 -23.750706, 151.086075 -23.751417, 151.082779 -23.752764, 151.074799 -23.757065, 151.070282 -23.759398, 151.066818 -23.761391, 151.06076 -23.767418, 151.058807 -23.76899, 151.050812 -23.774588, 151.0495 -23.775396, 151.042831 -23.782009, 151.041382 -23.783392, 151.03479 -23.788763, 151.031708 -23.791395, 151.026825 -23.796177, 151.023468 -23.799393, 151.018829 -23.802252, 151.011047 -23.807457, 151.010818 -23.807684, 151.006851 -23.811371, 151.006836 -23.81138), (149.927368 -24.416405, 149.927383 -24.416452, 149.931198 -24.414045, 149.936005 -24.412708, 149.939163 -24.411831, 149.947098 -24.409632, 149.95517 -24.40819, 149.963135 -24.406954, 149.97113 -24.405743, 149.977646 -24.404634, 149.979141 -24.402094, 149.983505 -24.396709, 149.987152 -24.393257, 149.988434 -24.388626, 149.995148 -24.381805, 149.998611 -24.380709, 150.003128 -24.379131, 150.011154 -24.376038, 150.019211 -24.373585, 150.022324 -24.372684, 150.027191 -24.371275, 150.035095 -24.368988, 150.043121 -24.366663, 150.050746 -24.364715, 150.051102 -24.364635, 150.059189 -24.362995, 150.0672 -24.361752, 150.075134 -24.359514, 150.083191 -24.359829, 150.091095 -24.361437, 150.099167 -24.363705, 150.107178 -24.364527, 150.108963 -24.364723, 150.115189 -24.365417, 150.123198 -24.366392, 150.131149 -24.367359, 150.139114 -24.368324, 150.147141 -24.365341, 150.148666 -24.364676, 150.155106 -24.361856, 150.163132 -24.359337, 150.166946 -24.35668, 150.171097 -24.354864, 150.179184 -24.351326, 150.184937 -24.348684, 150.187119 -24.347401, 150.195114 -24.343063, 150.20311 -24.342106, 150.208939 -24.34071, 150.211121 -24.340187, 150.219147 -24.337879, 150.227112 -24.335453, 150.235138 -24.333012, 150.236191 -24.332689, 150.243118 -24.331139, 150.25116 -24.329432, 150.259125 -24.329699, 150.267151 -24.327787, 150.275101 -24.328278, 150.283127 -24.325514, 150.284561 -24.324703, 150.291138 -24.320824, 150.299149 -24.317942, 150.302811 -24.316677, 150.307114 -24.315195, 150.31513 -24.312649, 150.32312 -24.310205, 150.328079 -24.308689, 150.328766 -24.308722, 150.330811 -24.308683, 150.331146 -24.30855, 150.339111 -24.305412, 150.347168 -24.302546, 150.351974 -24.300697, 150.355118 -24.299309, 150.363129 -24.295778, 150.371201 -24.294786, 150.377914 -24.292686, 150.37912 -24.292017, 150.387115 -24.290163, 150.395172 -24.289597, 150.403137 -24.289036, 150.411133 -24.288469, 150.419205 -24.287958, 150.427185 -24.286812, 150.435196 -24.285564, 150.443039 -24.284708, 150.443161 -24.284683, 150.451126 -24.28091, 150.459106 -24.279659, 150.467163 -24.27883, 150.475098 -24.277315, 150.4776 -24.276707, 150.483154 -24.27536, 150.491119 -24.27309, 150.499161 -24.270761, 150.506149 -24.268709, 150.507172 -24.268328, 150.515167 -24.265318, 150.521378 -24.260708, 150.523163 -24.259548, 150.531097 -24.254395, 150.533737 -24.252684, 150.539154 -24.249161, 150.546082 -24.244661, 150.54715 -24.244007, 150.555145 -24.238779, 150.55864 -24.236671, 150.563156 -24.232935, 150.570984 -24.22871, 150.571167 -24.228569, 150.579147 -24.223314, 150.584503 -24.220667, 150.587097 -24.218964, 150.595108 -24.216448, 150.603134 -24.216642, 150.611145 -24.220091, 150.619125 -24.214649, 150.627117 -24.215875, 150.635132 -24.217676, 150.643112 -24.218349, 150.651154 -24.217632, 150.655624 -24.212704, 150.658691 -24.212746, 150.659103 -24.213064, 150.659576 -24.21265, 150.667099 -24.205526, 150.67131 -24.204699, 150.674866 -24.204746, 150.67511 -24.204945, 150.682983 -24.204712, 150.683151 -24.204569, 150.685501 -24.196693, 150.691116 -24.195131, 150.694565 -24.188713, 150.696899 -24.18066, 150.697174 -24.172659, 150.699097 -24.170443, 150.700195 -24.164709, 150.706192 -24.156693, 150.707153 -24.155704, 150.713928 -24.148706, 150.71521 -24.148502, 150.723022 -24.140642, 150.723099 -24.140554, 150.729584 -24.132696, 150.731094 -24.131342, 150.739105 -24.124996, 150.739426 -24.12468, 150.747131 -24.117977, 150.748367 -24.116697, 150.755173 -24.114346, 150.763184 -24.112345, 150.77121 -24.110344, 150.777954 -24.108706, 150.779099 -24.108423, 150.787109 -24.1063, 150.795151 -24.102831, 150.800293 -24.100676, 150.803146 -24.099516, 150.811172 -24.096958, 150.819122 -24.094067, 150.82045 -24.092648, 150.823166 -24.084635, 150.827118 -24.082607, 150.835144 -24.079123, 150.840607 -24.076706, 150.843094 -24.072723, 150.846741 -24.068714, 150.849533 -24.060699, 150.85112 -24.055311, 150.85202 -24.05267, 150.859146 -24.045898, 150.860504 -24.044704, 150.867172 -24.040142, 150.87439 -24.036674, 150.875122 -24.036304, 150.883133 -24.032192, 150.891159 -24.028809, 150.891373 -24.028708, 150.899109 -24.026852, 150.907104 -24.025188, 150.915115 -24.023333, 150.923096 -24.02084, 150.923492 -24.020683, 150.931137 -24.017706, 150.939133 -24.014587, 150.943939 -24.012703, 150.947144 -24.01144, 150.955139 -24.008303, 150.963135 -24.004974, 150.963699 -24.004671, 150.968948 -23.996679, 150.970078 -23.988625, 150.970901 -23.98069, 150.9711 -23.978279, 150.97142 -23.972691, 150.971085 -23.969456, 150.971146 -23.966642, 150.972321 -23.96463, 150.976822 -23.956671, 150.979126 -23.952585, 150.981308 -23.948677, 150.986404 -23.940672, 150.987106 -23.939661, 150.991333 -23.932617, 150.994217 -23.924685, 150.995117 -23.922688, 150.99733 -23.916628, 151.00119 -23.908689, 151.003113 -23.905241, 151.005661 -23.900642, 151.009857 -23.8927, 151.011139 -23.890266, 151.014664 -23.88464, 151.01918 -23.881426, 151.025635 -23.876638, 151.026825 -23.868652, 151.0271 -23.86796, 151.028229 -23.860704, 151.027084 -23.858522, 151.025284 -23.852705, 151.023117 -23.844715, 151.019989 -23.836708, 151.019073 -23.834333, 151.014297 -23.828684, 151.011017 -23.826031, 151.006073 -23.820683, 151.005432 -23.812666, 151.006775 -23.811499, 151.007034 -23.811731), (149.927353 -24.416716, 149.927292 -24.416779, 149.919937 -24.417164, 149.911865 -24.419205, 149.903854 -24.419975, 149.89595 -24.420753, 149.895584 -24.420923, 149.887955 -24.428995, 149.879868 -24.430261, 149.871918 -24.430374, 149.863922 -24.43091, 149.855942 -24.433477, 149.85257 -24.43696, 149.84819 -24.436878, 149.847961 -24.436218, 149.841324 -24.436926, 149.839905 -24.437819, 149.831909 -24.442875, 149.828705 -24.444908, 149.823898 -24.447943, 149.81604 -24.452911, 149.815933 -24.452976, 149.807938 -24.45804, 149.803329 -24.460947, 149.799942 -24.463091, 149.791946 -24.468147, 149.790665 -24.468954, 149.78389 -24.472866, 149.779434 -24.476927, 149.775925 -24.478535, 149.770966 -24.47687, 149.767899 -24.475576, 149.759872 -24.473551, 149.752975 -24.468868, 149.751938 -24.467928, 149.743881 -24.463879, 149.73761 -24.460863, 149.73587 -24.46003, 149.727966 -24.456226, 149.719971 -24.455702, 149.711914 -24.460571, 149.711334 -24.46092, 149.703903 -24.464258, 149.695938 -24.467051, 149.690598 -24.468927, 149.687866 -24.469887, 149.679855 -24.472145, 149.67189 -24.474277, 149.663971 -24.4764, 149.662033 -24.476917, 149.655853 -24.478287, 149.647949 -24.479816, 149.639908 -24.481325, 149.631866 -24.482368, 149.623947 -24.483391, 149.615936 -24.484493, 149.614059 -24.484926, 149.60791 -24.487089, 149.599945 -24.49008, 149.592422 -24.492905, 149.591873 -24.493109, 149.583862 -24.495878, 149.575882 -24.498024, 149.567886 -24.500937, 149.559937 -24.503832, 149.55188 -24.506775, 149.546021 -24.508909, 149.543884 -24.509686, 149.535965 -24.512573, 149.527863 -24.515869, 149.523209 -24.516932, 149.519943 -24.518005, 149.511871 -24.520662, 149.503937 -24.524038, 149.501846 -24.524946, 149.495972 -24.5275, 149.48793 -24.530993, 149.483521 -24.532904, 149.479904 -24.534, 149.471893 -24.536432, 149.463928 -24.538843, 149.457031 -24.54093, 149.455872 -24.541283, 149.447922 -24.543688, 149.439926 -24.54611, 149.431946 -24.548628, 149.431091 -24.548939, 149.423935 -24.550409, 149.415909 -24.551908, 149.407867 -24.553413, 149.399902 -24.555595, 149.396606 -24.556936, 149.391953 -24.558832, 149.383942 -24.562092, 149.377014 -24.564913, 149.375916 -24.565361, 149.367874 -24.567623, 149.359894 -24.569759, 149.351959 -24.571882, 149.348068 -24.572922, 149.343933 -24.572908, 149.343826 -24.572886, 149.335892 -24.57184, 149.329605 -24.572912, 149.327942 -24.574701, 149.322983 -24.580917, 149.319931 -24.583961, 149.311951 -24.586918, 149.306702 -24.588922, 149.303955 -24.589972, 149.295883 -24.593077, 149.287949 -24.596397, 149.286636 -24.596945, 149.279953 -24.599312, 149.271881 -24.601852, 149.263962 -24.603975, 149.260406 -24.604927, 149.255875 -24.605572, 149.247894 -24.606253, 149.239914 -24.606936, 149.231934 -24.609808, 149.225983 -24.612925, 149.223907 -24.614008, 149.215958 -24.618174, 149.207947 -24.620268, 149.202148 -24.620909, 149.199951 -24.621153, 149.191956 -24.622038, 149.18396 -24.623465, 149.175919 -24.625797, 149.167938 -24.628117, 149.165421 -24.628929, 149.159866 -24.630928, 149.151901 -24.635096, 149.145493 -24.636921, 149.143951 -24.637798, 149.135971 -24.640965, 149.12796 -24.644812, 149.127762 -24.644924, 149.119965 -24.648926, 149.111969 -24.652569, 149.111221 -24.65292, 149.103958 -24.65539, 149.096008 -24.65288, 149.095963 -24.652842, 149.087891 -24.652872, 149.087646 -24.652905, 149.079971 -24.654024, 149.071945 -24.654976, 149.063934 -24.656759, 149.055969 -24.654253, 149.047928 -24.653919, 149.039932 -24.654194, 149.031952 -24.654379, 149.028351 -24.652899, 149.023926 -24.648901, 149.016724 -24.652927, 149.015961 -24.654243, 149.013702 -24.66091, 149.007919 -24.663857, 148.999969 -24.667557, 148.991913 -24.667681, 148.983932 -24.668573, 148.983475 -24.668922, 148.975967 -24.673958, 148.967957 -24.675257, 148.965149 -24.676954, 148.959961 -24.679871, 148.951965 -24.683214, 148.949188 -24.684917, 148.943924 -24.68782, 148.935867 -24.690229, 148.927902 -24.692602, 148.92688 -24.692904, 148.919937 -24.699759, 148.91893 -24.700985, 148.911972 -24.704943, 148.906708 -24.708952, 148.903946 -24.711327, 148.896774 -24.716957, 148.895905 -24.717701, 148.887955 -24.72452, 148.887436 -24.724977, 148.882996 -24.732964, 148.879959 -24.738768, 148.878815 -24.740946, 148.874603 -24.749004, 148.871933 -24.754229, 148.870621 -24.756935, 148.866699 -24.764999, 148.863937 -24.770939, 148.863022 -24.773001, 148.858398 -24.780905, 148.855972 -24.782616, 148.847916 -24.788258, 148.84697 -24.788919, 148.839935 -24.79385, 148.835495 -24.796955, 148.831894 -24.79948, 148.824142 -24.804926, 148.823959 -24.805059, 148.815964 -24.810694, 148.81279 -24.812929, 148.807892 -24.816378, 148.805069 -24.820965, 148.802078 -24.828964, 148.799942 -24.834679, 148.799088 -24.836954, 148.796127 -24.844904, 148.794495 -24.85294, 148.793594 -24.860905, 148.792786 -24.868912, 148.791962 -24.876999, 148.790833 -24.884975, 148.787018 -24.892937, 148.78392 -24.899399, 148.783188 -24.900923, 148.779327 -24.908979, 148.777008 -24.916943, 148.77597 -24.922264, 148.775436 -24.924974, 148.773865 -24.932953, 148.772308 -24.940954, 148.773224 -24.94899, 148.774826 -24.956953, 148.775986 -24.962767, 148.776428 -24.964939, 148.77803 -24.972937, 148.779633 -24.980976, 148.781235 -24.988947, 148.782844 -24.996908, 148.782104 -25.004913, 148.78125 -25.012926, 148.780411 -25.020973, 148.779556 -25.028986, 148.778706 -25.036978, 148.777847 -25.044947, 148.776993 -25.052948, 148.779556 -25.060944, 148.78186 -25.068972, 148.78299 -25.076914, 148.783981 -25.083941, 148.784119 -25.084944, 148.7854 -25.092928, 148.788437 -25.100948, 148.791443 -25.108932, 148.791977 -25.110352, 148.794495 -25.117004, 148.797501 -25.124987, 148.800018 -25.131647, 148.800491 -25.132912, 148.803497 -25.140934, 148.807983 -25.146999, 148.809525 -25.148994, 148.81572 -25.156958, 148.81601 -25.157328, 148.82196 -25.164988, 148.824005 -25.167614, 148.82814 -25.172935, 148.831985 -25.179482, 148.832596 -25.180927, 148.836029 -25.188955, 148.83989 -25.196947, 148.839981 -25.197132, 148.844101 -25.204981, 148.847885 -25.212994, 148.847977 -25.2132, 148.851639 -25.220945, 148.856018 -25.228861, 148.856094 -25.228979, 148.861374 -25.236933, 148.863983 -25.240856, 148.865479 -25.244904, 148.867126 -25.252975, 148.868652 -25.260944, 148.869644 -25.268984, 148.870468 -25.276936, 148.871994 -25.283991, 148.872238 -25.284941, 148.873993 -25.292925, 148.875336 -25.30098, 148.876678 -25.309006, 148.878006 -25.316931, 148.879349 -25.324986, 148.879974 -25.328688, 148.881302 -25.332949, 148.885178 -25.340963, 148.888 -25.346804, 148.889038 -25.348961, 148.892441 -25.35692, 148.894974 -25.364927, 148.895981 -25.368135, 148.896423 -25.372976, 148.895966 -25.37546, 148.894791 -25.380983, 148.891815 -25.388922, 148.889252 -25.396925, 148.88797 -25.402519, 148.887421 -25.404942, 148.886292 -25.412943, 148.88533 -25.420904, 148.887985 -25.428255, 148.888245 -25.428949, 148.891037 -25.436989, 148.892944 -25.444983, 148.894836 -25.452932, 148.89473 -25.460909, 148.89212 -25.468937, 148.889709 -25.476913, 148.892487 -25.484995, 148.89537 -25.492975, 148.895981 -25.494719, 148.898163 -25.500933, 148.90097 -25.508966, 148.899734 -25.516945, 148.895935 -25.524731, 148.891525 -25.524923, 148.88797 -25.529064, 148.885406 -25.53294, 148.883209 -25.540968, 148.879913 -25.544746, 148.876282 -25.548925, 148.879684 -25.55694, 148.880005 -25.56303, 148.880371 -25.564947, 148.879959 -25.566938, 148.880005 -25.569719, 148.881683 -25.572947, 148.879898 -25.579697, 148.878342 -25.580908, 148.871964 -25.584908, 148.869278 -25.588976, 148.865356 -25.59693, 148.871674 -25.60491, 148.872012 -25.605298, 148.877121 -25.613005, 148.875763 -25.620962, 148.872253 -25.628914, 148.871964 -25.630171, 148.871979 -25.630436, 148.874603 -25.636932, 148.877899 -25.644909, 148.880005 -25.648136, 148.884781 -25.652922, 148.885864 -25.66095, 148.884995 -25.668945, 148.884949 -25.676945, 148.885315 -25.68494, 148.885941 -25.692999, 148.886398 -25.700909, 148.888031 -25.706247, 148.890671 -25.708925, 148.895386 -25.716959, 148.896011 -25.717655, 148.90403 -25.724797, 148.904282 -25.724922, 148.912003 -25.728828, 148.911972 -25.730724, 148.911942 -25.732927, 148.911987 -25.733398, 148.915131 -25.740911, 148.920059 -25.744194, 148.925629 -25.74894, 148.927979 -25.750765, 148.930099 -25.752836, 148.930191 -25.752903))"/>
  </r>
  <r>
    <s v="P1158"/>
    <s v="Gas"/>
    <s v="Australia"/>
    <s v="Australia"/>
    <s v="Australia"/>
    <m/>
    <s v="https://www.gem.wiki/Gloucester_Gas_Pipeline"/>
    <x v="75"/>
    <m/>
    <m/>
    <s v="AGL Energy [100.00%]"/>
    <s v="AGL Energy [100.00%]"/>
    <x v="4"/>
    <m/>
    <m/>
    <m/>
    <m/>
    <m/>
    <m/>
    <s v="--"/>
    <x v="2"/>
    <n v="100"/>
    <n v="96.54"/>
    <n v="100"/>
    <m/>
    <m/>
    <m/>
    <s v="Gloucester"/>
    <s v="Australia and New Zealand"/>
    <m/>
    <s v="New South Wales"/>
    <s v="Hexham"/>
    <m/>
    <s v="New South Wales"/>
    <s v="Australia and New Zealand"/>
    <m/>
    <m/>
    <m/>
    <m/>
    <m/>
    <s v="LINESTRING (151.9413494 -32.0076953, 151.6734894 -32.8481193)"/>
  </r>
  <r>
    <s v="P1159"/>
    <s v="Gas"/>
    <s v="Australia"/>
    <s v="Australia"/>
    <s v="Australia"/>
    <m/>
    <s v="https://www.gem.wiki/Goldfields_Gas_Pipeline"/>
    <x v="76"/>
    <m/>
    <s v="GGP"/>
    <s v="APA Group [88.16%]; Brookfield Asset Management [11.84%]"/>
    <s v="APA Group [88.16%]; Brookfield Asset Management [11.84%]"/>
    <x v="0"/>
    <n v="1996"/>
    <m/>
    <m/>
    <m/>
    <n v="202.5"/>
    <s v="TJ/d"/>
    <n v="2.0699999999999998"/>
    <x v="64"/>
    <n v="1380"/>
    <n v="1427.61"/>
    <n v="1380"/>
    <m/>
    <m/>
    <s v="Carnavon Basin"/>
    <m/>
    <s v="Australia and New Zealand"/>
    <m/>
    <s v="Western Australia"/>
    <s v="Kalgoorlie"/>
    <m/>
    <s v="Western Australia"/>
    <s v="Australia and New Zealand"/>
    <m/>
    <m/>
    <m/>
    <m/>
    <m/>
    <s v="MULTILINESTRING ((115.955553 -21.444989, 115.960188 -21.448197, 115.960032 -21.451143, 115.960807 -21.453626, 115.961897 -21.457091, 115.965649 -21.46905, 115.971148 -21.49489, 115.988423 -21.543918, 115.993595 -21.548154, 116.012501 -21.598803, 116.0184 -21.619633, 116.020678 -21.630409, 116.037666 -21.668143, 116.045505 -21.68129, 116.046797 -21.694674, 116.051124 -21.701378, 116.065819 -21.715968, 116.072007 -21.749908, 116.071985 -21.785585, 116.072914 -21.815402, 116.071878 -21.880607, 116.061635 -21.939147, 116.058458 -21.956237, 116.058848 -21.969291, 116.054335 -21.976461, 116.057249 -21.999387, 116.069093 -22.03607, 116.0618 -22.114992, 116.060866 -22.160266, 116.063048 -22.165989, 116.063903 -22.195627, 116.061201 -22.214407, 116.063383 -22.242131, 116.065657 -22.297629, 116.066729 -22.302531, 116.066367 -22.341084, 116.093951 -22.394912, 116.094883 -22.403942, 116.093073 -22.433274, 116.083791 -22.474159, 116.082733 -22.508983, 116.09859 -22.532454, 116.104477 -22.537112, 116.109625 -22.540311, 116.129388 -22.549528, 116.143699 -22.561595, 116.168098 -22.593308, 116.176213 -22.600541, 116.196027 -22.623994, 116.22358 -22.648739, 116.241117 -22.65825, 116.251352 -22.660847, 116.272079 -22.662656, 116.26166 -22.660898, 116.281202 -22.664195, 116.311401 -22.677431, 116.331557 -22.681846, 116.355219 -22.68775, 116.40453 -22.708371, 116.442233 -22.727169, 116.451626 -22.738009, 116.496003 -22.762191, 116.533546 -22.790548, 116.548745 -22.800296, 116.600093 -22.816845, 116.638907 -22.834699, 116.651652 -22.83975, 116.68987 -22.852047, 116.716234 -22.862995, 116.736244 -22.870162, 116.755259 -22.877689, 116.798136 -22.897452, 116.810706 -22.901431, 116.843578 -22.916136, 116.876954 -22.929326, 117.118257 -23.088993, 117.157856 -23.106846, 117.246858 -23.136205, 117.382247 -23.216512, 117.396307 -23.220239, 117.398031 -23.222459, 117.426285 -23.237148, 117.432448 -23.244267, 117.44294 -23.251667, 117.45265 -23.253799, 117.497347 -23.271633, 117.514389 -23.289211, 117.524304 -23.292756, 117.543805 -23.302335, 117.548628 -23.312562, 117.554085 -23.319889, 117.562189 -23.325446, 117.578692 -23.338541, 117.581659 -23.340894, 117.586125 -23.344437, 117.616073 -23.362909, 117.623865 -23.363738, 117.636245 -23.37113, 117.640871 -23.36979, 117.675301 -23.39482, 117.677155 -23.396296, 117.681298 -23.39898, 117.684005 -23.400091, 117.686492 -23.401281, 117.704906 -23.413072, 117.709869 -23.415148, 117.747212 -23.439539, 117.761912 -23.447786, 117.77681 -23.457415, 117.778107 -23.46156, 117.788675 -23.470832, 117.801673 -23.474005, 117.814142 -23.475822, 117.819989 -23.475926, 117.839235 -23.481148, 117.849127 -23.487157, 117.864918 -23.513093, 117.921959 -23.538809, 117.924097 -23.540031, 117.926891 -23.54129, 117.932582 -23.547383, 117.936396 -23.550025, 117.943115 -23.555991, 117.958271 -23.561601, 117.962547 -23.563408, 117.968767 -23.563361, 117.973111 -23.564381, 117.982157 -23.562683, 117.984512 -23.562011, 117.990552 -23.560878, 118.003083 -23.561516, 118.013356 -23.558333, 118.028393 -23.558457, 118.065487 -23.555697, 118.099102 -23.555181, 118.112948 -23.558344, 118.135265 -23.557159, 118.13773 -23.557233, 118.13948 -23.557125, 118.141907 -23.556749, 118.15076 -23.556202, 118.157461 -23.554461, 118.158044 -23.554921, 118.167754 -23.553098, 118.170471 -23.552766, 118.190024 -23.547777, 118.196127 -23.54766, 118.205597 -23.548436, 118.215735 -23.547346, 118.241797 -23.548985, 118.257538 -23.545308, 118.272099 -23.548682, 118.277654 -23.550541, 118.323605 -23.551178, 118.327587 -23.556723, 118.351684 -23.556349, 118.466906 -23.550321, 118.485185 -23.552286, 118.500564 -23.553991, 118.565539 -23.554403, 118.572236 -23.555138, 118.726791 -23.555323, 118.730733 -23.558537, 118.772786 -23.558076, 118.778278 -23.558995, 118.789192 -23.559717, 118.879226 -23.557251, 118.974358 -23.541904, 118.977135 -23.539328, 119.020875 -23.534517, 119.06699 -23.525988, 119.069472 -23.526902, 119.078145 -23.524526, 119.221532 -23.553474, 119.224476 -23.557711, 119.384894 -23.621716, 119.401034 -23.636933, 119.404808 -23.639447, 119.421696 -23.640245, 119.441648 -23.652169, 119.44349 -23.654308, 119.54625 -23.715609, 119.55684 -23.748687, 119.558403 -23.74997, 119.567719 -23.782707, 119.576863 -23.792534, 119.579791 -23.803744, 119.586153 -23.828102, 119.592534 -23.838071, 119.596155 -23.852222, 119.607839 -23.910764, 119.605403 -23.914822, 119.614738 -23.952007, 119.614409 -23.954513, 119.62645 -23.999015, 119.623522 -24.010302, 119.627414 -24.041241, 119.652651 -24.110079, 119.652003 -24.110639, 119.666287 -24.19231, 119.661909 -24.244351, 119.663852 -24.26936, 119.663868 -24.278982, 119.685234 -24.313431, 119.690633 -24.345155, 119.696778 -24.347891, 119.70198 -24.409892, 119.706198 -24.43195, 119.707286 -24.457516, 119.705459 -24.479283, 119.714596 -24.538231, 119.701191 -24.557199, 119.693755 -24.569394, 119.643888 -24.631107, 119.624441 -24.649274, 119.617465 -24.665127, 119.622023 -24.674931, 119.615202 -24.70743, 119.610701 -24.714214, 119.610926 -24.737554, 119.603785 -24.750926, 119.603109 -24.760231, 119.612426 -24.837233, 119.623202 -24.845665, 119.62559 -24.850506, 119.616942 -24.950724, 119.615432 -25.120117, 119.614588 -25.121673, 119.613806 -25.170725, 119.610153 -25.176325, 119.608587 -25.195929, 119.61357 -25.201486, 119.615866 -25.203038, 119.619924 -25.211231, 119.623673 -25.226794, 119.625399 -25.237903, 119.620707 -25.253608, 119.623797 -25.325361, 119.630101 -25.347644, 119.636463 -25.38009, 119.638573 -25.386056, 119.656172 -25.477068, 119.692419 -25.521552, 119.696512 -25.52518, 119.704063 -25.533313, 119.841094 -25.703321, 119.841915 -25.706433, 120.001833 -25.898702, 120.043482 -25.977119, 120.059168 -26.012654, 120.142034 -26.113249, 120.161516 -26.182635, 120.168567 -26.224659, 120.165317 -26.24433, 120.174638 -26.261798, 120.175188 -26.264984, 120.216145 -26.323491, 120.221526 -26.32904, 120.227405 -26.337559, 120.226994 -26.336644, 120.229273 -26.341719, 120.247107 -26.366476, 120.251028 -26.375611, 120.27423 -26.413021, 120.311912 -26.582587, 120.34312 -26.620692, 120.342515 -26.62266, 120.364292 -26.648893, 120.369845 -26.650219, 120.371167 -26.651145, 120.372296 -26.654987, 120.420248 -26.713115, 120.421411 -26.716763, 120.493854 -26.803203, 120.495982 -26.807122, 120.54118 -26.861214, 120.544878 -26.862826, 120.602674 -26.932683, 120.602945 -26.951222, 120.606857 -26.957932, 120.604805 -27.056574, 120.606547 -27.111947, 120.607686 -27.115739, 120.606491 -27.125016, 120.607447 -27.170098, 120.638459 -27.24472, 120.651789 -27.293356, 120.655215 -27.312111, 120.655125 -27.317047, 120.656956 -27.321655, 120.657688 -27.325665, 120.656469 -27.39585, 120.652041 -27.422791, 120.667293 -27.467363, 120.6675 -27.472051, 120.665658 -27.476895, 120.667907 -27.481293, 120.669153 -27.509554, 120.710264 -27.711325, 120.71244 -27.713314, 120.728687 -27.779985, 120.72646 -27.794612, 120.763427 -27.888584, 120.764517 -27.980028, 120.760965 -27.984913, 120.766046 -28.097981, 120.800099 -28.200965, 120.809295 -28.213412, 120.808527 -28.220755, 120.80759 -28.223571, 120.862207 -28.388051, 120.862884 -28.413594, 120.860084 -28.416417, 120.873711 -28.435108, 120.910583 -28.546067, 120.94233 -28.5656, 120.946164 -28.569459, 120.953317 -28.572359, 120.976722 -28.586744, 121.010083 -28.698498, 121.008661 -28.700238, 121.016427 -28.733976, 121.019704 -28.73812, 121.17334 -28.837261, 121.175959 -28.855062, 121.175113 -28.858935, 121.179299 -28.887299, 121.179621 -28.91467, 121.176579 -28.92347, 121.177145 -28.926372, 121.17944 -28.928422, 121.179814 -28.931123, 121.180363 -28.954612, 121.179549 -28.959325, 121.161843 -29.301879, 121.239047 -29.4896, 121.247319 -29.495152, 121.249885 -29.499493, 121.257227 -29.506557, 121.259921 -29.509957, 121.265306 -29.545353, 121.261421 -29.558303, 121.261881 -29.565646, 121.311866 -29.764574, 121.349595 -29.897127, 121.356094 -29.91048, 121.362619 -29.920562, 121.37538 -29.921973, 121.380077 -29.923531, 121.448442 -30.369208, 121.464577 -30.473086, 121.464826 -30.498422, 121.464202 -30.504163, 121.464921 -30.508301, 121.464967 -30.512745, 121.463199 -30.521243, 121.44739 -30.536526, 121.435768 -30.574412, 121.430689 -30.576485, 121.432987 -30.596891, 121.432685 -30.611506, 121.432698 -30.619787, 121.45743 -30.698601, 121.442704 -30.710044, 121.440718 -30.715011, 121.423688 -30.731106, 121.417486 -30.74676, 121.415585 -30.747626, 121.409122 -30.769539, 121.418497 -30.781844, 121.418889 -30.782677, 121.419929 -30.786892, 121.423127 -30.789795, 121.472075 -30.844913, 121.478878 -30.863054, 121.480377 -30.865133, 121.480756 -30.866055), (119.548906 -23.716033, 119.614414 -23.65819, 119.617217 -23.656589, 119.630425 -23.644037, 119.659383 -23.528011, 119.668158 -23.516269, 119.722912 -23.382899, 119.723815 -23.373587, 119.72082 -23.371014, 119.716523 -23.368855, 119.708189 -23.361875, 119.707651 -23.360066, 119.706479 -23.35938, 119.70687 -23.358442, 119.706355 -23.357771, 119.707828 -23.353922, 119.710067 -23.352105, 119.710279 -23.351352, 119.70893 -23.349054, 119.710824 -23.346741, 119.709375 -23.345146))"/>
  </r>
  <r>
    <s v="P1160"/>
    <s v="Gas"/>
    <s v="Australia"/>
    <s v="Australia"/>
    <s v="Australia"/>
    <m/>
    <s v="https://www.gem.wiki/Gorgon_and_Jansz_Feed_Gas_Pipeline"/>
    <x v="77"/>
    <m/>
    <m/>
    <s v="Chevron [100.00%]"/>
    <s v="Chevron [100.00%]"/>
    <x v="0"/>
    <n v="2017"/>
    <m/>
    <m/>
    <m/>
    <n v="284.35000000000002"/>
    <s v="MMcf/d"/>
    <n v="2.94"/>
    <x v="65"/>
    <s v="--"/>
    <n v="227.34"/>
    <n v="227.34"/>
    <m/>
    <m/>
    <s v="Gorgon Gas Field"/>
    <m/>
    <s v="Australia and New Zealand"/>
    <m/>
    <s v="Western Australia"/>
    <s v="Dampier"/>
    <m/>
    <s v="Western Australia"/>
    <s v="Australia and New Zealand"/>
    <m/>
    <m/>
    <m/>
    <m/>
    <m/>
    <s v="LINESTRING (114.6999704 -20.2090008, 114.9674244 -20.4819748, 115.4164474 -20.6953787, 116.6995424 -20.6567788)"/>
  </r>
  <r>
    <s v="P1162"/>
    <s v="Gas"/>
    <s v="Australia"/>
    <s v="Australia"/>
    <s v="Australia"/>
    <m/>
    <s v="https://www.gem.wiki/Ironbark_Project_Pipeline"/>
    <x v="78"/>
    <m/>
    <m/>
    <s v="Origin Energy Limited [100.00%]"/>
    <s v="Origin Energy Limited [100.00%]"/>
    <x v="2"/>
    <n v="2021"/>
    <m/>
    <m/>
    <m/>
    <n v="132.69"/>
    <s v="MMcf/d"/>
    <n v="1.37"/>
    <x v="66"/>
    <n v="32"/>
    <n v="33.5"/>
    <n v="32"/>
    <m/>
    <m/>
    <s v="Ironbark CSG Project"/>
    <s v="Dalby"/>
    <s v="Australia and New Zealand"/>
    <m/>
    <s v="Queensland"/>
    <s v="Darling Downs Pipeline"/>
    <m/>
    <s v="Queensland"/>
    <s v="Australia and New Zealand"/>
    <m/>
    <m/>
    <m/>
    <m/>
    <m/>
    <s v="LINESTRING (150.363819 -26.973771, 150.4989593 -26.696831)"/>
  </r>
  <r>
    <s v="P1163"/>
    <s v="Gas"/>
    <s v="Australia"/>
    <s v="Australia"/>
    <s v="Australia"/>
    <m/>
    <s v="https://www.gem.wiki/Kalgoorlie_to_Kambalda_Pipeline"/>
    <x v="79"/>
    <m/>
    <s v="KKP"/>
    <s v="APA Group [100.00%]"/>
    <s v="APA Group [100.00%]"/>
    <x v="0"/>
    <n v="1996"/>
    <m/>
    <m/>
    <m/>
    <n v="26"/>
    <s v="TJ/d"/>
    <n v="0.27"/>
    <x v="67"/>
    <n v="44"/>
    <n v="53.5"/>
    <n v="44"/>
    <m/>
    <m/>
    <m/>
    <s v="Kalgoorlie"/>
    <s v="Australia and New Zealand"/>
    <m/>
    <s v="Western Australia"/>
    <s v="Kambalda"/>
    <m/>
    <s v="Western Australia"/>
    <s v="Australia and New Zealand"/>
    <m/>
    <m/>
    <m/>
    <m/>
    <m/>
    <s v="LINESTRING (121.4494644 -30.7492433, 121.6450474 -31.2014213)"/>
  </r>
  <r>
    <s v="P1164"/>
    <s v="Gas"/>
    <s v="Australia"/>
    <s v="Australia"/>
    <s v="Australia"/>
    <m/>
    <s v="https://www.gem.wiki/Kambalda_to_Esperance_Pipeline"/>
    <x v="80"/>
    <m/>
    <m/>
    <s v="Unknown [unknown %]"/>
    <s v="Unknown [unknown %]"/>
    <x v="0"/>
    <n v="1996"/>
    <m/>
    <m/>
    <m/>
    <n v="6"/>
    <s v="TJ/d"/>
    <n v="0.06"/>
    <x v="68"/>
    <n v="342"/>
    <n v="341.24"/>
    <n v="342"/>
    <m/>
    <m/>
    <m/>
    <s v="Kambalda"/>
    <s v="Australia and New Zealand"/>
    <m/>
    <m/>
    <s v="Esperance"/>
    <m/>
    <s v="Western Australia"/>
    <s v="Australia and New Zealand"/>
    <m/>
    <m/>
    <m/>
    <m/>
    <m/>
    <s v="LINESTRING (121.627642 -31.190878, 121.627741 -31.191294, 121.628507 -31.19433, 121.62866 -31.194967, 121.629363 -31.19759, 121.629727 -31.198517, 121.630162 -31.19937, 121.630665 -31.200173, 121.631071 -31.200722, 121.631631 -31.201372, 121.631983 -31.201745, 121.632739 -31.202457, 121.634934 -31.204467, 121.636645 -31.206038, 121.636633 -31.206082, 121.636455 -31.206184, 121.634888 -31.206957, 121.635125 -31.207358, 121.635126 -31.2074, 121.635108 -31.207415, 121.634647 -31.207641, 121.633149 -31.208884, 121.630258 -31.211752, 121.629467 -31.212622, 121.628531 -31.213649, 121.627271 -31.215031, 121.625949 -31.216479, 121.622112 -31.220679, 121.618062 -31.223581, 121.617236 -31.224662, 121.615915 -31.227207, 121.615116 -31.228261, 121.596763 -31.24612, 121.584547 -31.257626, 121.580778 -31.261126, 121.577692 -31.26398, 121.576604 -31.265082, 121.575621 -31.266456, 121.574509 -31.268195, 121.573539 -31.270128, 121.571517 -31.273241, 121.568281 -31.276411, 121.565023 -31.278841, 121.560159 -31.282389, 121.552953 -31.28764, 121.539363 -31.300319, 121.538101 -31.30153, 121.537606 -31.302222, 121.536902 -31.303729, 121.535963 -31.306419, 121.535084 -31.30892, 121.534398 -31.310256, 121.533387 -31.311618, 121.531702 -31.313852, 121.530645 -31.314791, 121.529448 -31.315436, 121.525476 -31.316804, 121.520203 -31.318599, 121.515687 -31.320155, 121.514093 -31.320704, 121.512762 -31.321168, 121.514149 -31.323253, 121.514591 -31.325856, 121.516034 -31.335304, 121.518465 -31.342139, 121.519038 -31.343346, 121.519824 -31.345322, 121.520519 -31.347984, 121.521371 -31.350691, 121.522148 -31.352733, 121.522855 -31.354196, 121.523907 -31.356013, 121.525248 -31.35764, 121.527172 -31.36013, 121.528635 -31.364596, 121.532044 -31.37155, 121.531858 -31.372657, 121.532484 -31.373902, 121.535987 -31.378217, 121.536943 -31.379059, 121.538698 -31.379547, 121.546226 -31.385118, 121.548396 -31.387801, 121.550411 -31.391709, 121.551877 -31.395708, 121.55384 -31.401066, 121.556001 -31.407011, 121.556065 -31.411922, 121.557594 -31.417143, 121.558364 -31.419985, 121.559355 -31.422774, 121.563503 -31.43365, 121.564132 -31.440448, 121.564295 -31.441149, 121.56458 -31.442747, 121.564695 -31.444049, 121.565614 -31.456267, 121.56546 -31.458536, 121.564924 -31.460188, 121.564745 -31.461854, 121.565166 -31.463172, 121.566327 -31.465574, 121.566777 -31.466815, 121.567525 -31.467387, 121.567908 -31.468166, 121.56823 -31.470855, 121.568087 -31.472749, 121.568995 -31.475445, 121.570348 -31.476845, 121.574107 -31.48101, 121.574703 -31.482207, 121.575974 -31.485739, 121.57704 -31.488236, 121.577966 -31.492902, 121.57862 -31.494543, 121.579909 -31.49648, 121.581598 -31.497662, 121.584521 -31.498567, 121.586009 -31.499451, 121.587778 -31.500559, 121.58851 -31.501, 121.589265 -31.501257, 121.592801 -31.503772, 121.598524 -31.512869, 121.599185 -31.514535, 121.599963 -31.516503, 121.600725 -31.518519, 121.602121 -31.520329, 121.604923 -31.524107, 121.606165 -31.525931, 121.606831 -31.527105, 121.607711 -31.528744, 121.60881 -31.52967, 121.610997 -31.53162, 121.613858 -31.539005, 121.613379 -31.545541, 121.603787 -31.55816, 121.60333 -31.560659, 121.619815 -31.610303, 121.626831 -31.615785, 121.632018 -31.624218, 121.632901 -31.628531, 121.632737 -31.629127, 121.633318 -31.632046, 121.633771 -31.63298, 121.634583 -31.636793, 121.635449 -31.64102, 121.637401 -31.644183, 121.641289 -31.646834, 121.641871 -31.65144, 121.648701 -31.662612, 121.679401 -31.69632, 121.679324 -31.697207, 121.690209 -31.709174, 121.690502 -31.709903, 121.691658 -31.710853, 121.692481 -31.714416, 121.693529 -31.717985, 121.697045 -31.723947, 121.697727 -31.724598, 121.698107 -31.725875, 121.699302 -31.727041, 121.701092 -31.727982, 121.710432 -31.736426, 121.712557 -31.738352, 121.713892 -31.740044, 121.714605 -31.741373, 121.715106 -31.742826, 121.71482 -31.747191, 121.714414 -31.748916, 121.713188 -31.750587, 121.712013 -31.751917, 121.711627 -31.751938, 121.709999 -31.754871, 121.694022 -31.776162, 121.693119 -31.778752, 121.674127 -31.799417, 121.645831 -31.844241, 121.644147 -31.850435, 121.646448 -31.909115, 121.648135 -31.968595, 121.678069 -32.027122, 121.675832 -32.034935, 121.67963 -32.042045, 121.679526 -32.042931, 121.679799 -32.04425, 121.680565 -32.046239, 121.682021 -32.052163, 121.681851 -32.056432, 121.681368 -32.060463, 121.680153 -32.06053, 121.680577 -32.065051, 121.679432 -32.073667, 121.679866 -32.076925, 121.693711 -32.100683, 121.697958 -32.113429, 121.698029 -32.113852, 121.696883 -32.116804, 121.700934 -32.129561, 121.701976 -32.132346, 121.707065 -32.141016, 121.713658 -32.150586, 121.718034 -32.154873, 121.724565 -32.154298, 121.733061 -32.152114, 121.733669 -32.152098, 121.733666 -32.151036, 121.736603 -32.150999, 121.73945 -32.150725, 121.742616 -32.151024, 121.742816 -32.150079, 121.743071 -32.149352, 121.743481 -32.148977, 121.744152 -32.14858, 121.744789 -32.148273, 121.745595 -32.148074, 121.746912 -32.148046, 121.748716 -32.148565, 121.760129 -32.152021, 121.760318 -32.15223, 121.764109 -32.153308, 121.764852 -32.154169, 121.765803 -32.155837, 121.76683 -32.156673, 121.771698 -32.160024, 121.772489 -32.160604, 121.772885 -32.161077, 121.773286 -32.161967, 121.773678 -32.161839, 121.78149 -32.183901, 121.781751 -32.183988, 121.782272 -32.185645, 121.782293 -32.188002, 121.782254 -32.197485, 121.782426 -32.204181, 121.782138 -32.205312, 121.781345 -32.206374, 121.780347 -32.206981, 121.77589 -32.207121, 121.774509 -32.207576, 121.773296 -32.208363, 121.772325 -32.209581, 121.771961 -32.210719, 121.77185 -32.212016, 121.768966 -32.236768, 121.769804 -32.237015, 121.767887 -32.251532, 121.76797 -32.253221, 121.768354 -32.25459, 121.769282 -32.256252, 121.770408 -32.257781, 121.771155 -32.25939, 121.771535 -32.261305, 121.771458 -32.26294, 121.770042 -32.26777, 121.763602 -32.289945, 121.762664 -32.294134, 121.759975 -32.301784, 121.75962 -32.303369, 121.759496 -32.304898, 121.759516 -32.33029, 121.759593 -32.361357, 121.759613 -32.390671, 121.759509 -32.393139, 121.75866 -32.395416, 121.756876 -32.397583, 121.700339 -32.445877, 121.698439 -32.447749, 121.694026 -32.453271, 121.692069 -32.454979, 121.686669 -32.457979, 121.684621 -32.459351, 121.614826 -32.518711, 121.601085 -32.547906, 121.601735 -32.549114, 121.600378 -32.55203, 121.598911 -32.552526, 121.580731 -32.591231, 121.579844 -32.592427, 121.57211 -32.599593, 121.568374 -32.603042, 121.56088 -32.608228, 121.557167 -32.611657, 121.554298 -32.61622, 121.545602 -32.631074, 121.544747 -32.632785, 121.544494 -32.634415, 121.54385 -32.643692, 121.536104 -32.744053, 121.53621 -32.745323, 121.536709 -32.746933, 121.597877 -32.878665, 121.641603 -32.973443, 121.643973 -32.97827, 121.64589 -32.980558, 121.647585 -32.982529, 121.648557 -32.984266, 121.648606 -32.985792, 121.647932 -32.987445, 121.647219 -32.98869, 121.646865 -32.989826, 121.64681 -32.990838, 121.652389 -33.004371, 121.673254 -33.044793, 121.674068 -33.046392, 121.674942 -33.047458, 121.680238 -33.051608, 121.680886 -33.052417, 121.681177 -33.053182, 121.681393 -33.054287, 121.681244 -33.055236, 121.679468 -33.060499, 121.679347 -33.061405, 121.679519 -33.06231, 121.680825 -33.066195, 121.681501 -33.066724, 121.682876 -33.070791, 121.682661 -33.071473, 121.683699 -33.07496, 121.684017 -33.075231, 121.692348 -33.098982, 121.699445 -33.119588, 121.699564 -33.123458, 121.699915 -33.125868, 121.705774 -33.142288, 121.706384 -33.142798, 121.707821 -33.14683, 121.707569 -33.147607, 121.719435 -33.180986, 121.719891 -33.184171, 121.716976 -33.199896, 121.716875 -33.201484, 121.716933 -33.215016, 121.716386 -33.215033, 121.71641 -33.245315, 121.716862 -33.245282, 121.716835 -33.35, 121.715803 -33.352144, 121.715489 -33.352899, 121.715363 -33.353644, 121.715382 -33.354377, 121.724213 -33.406935, 121.723435 -33.410427, 121.725486 -33.422455, 121.723557 -33.427915, 121.723213 -33.429234, 121.723249 -33.43052, 121.72557 -33.440604, 121.726295 -33.441574, 121.727226 -33.445489, 121.726887 -33.446229, 121.727812 -33.449384, 121.732664 -33.45723, 121.739712 -33.469085, 121.756626 -33.502378, 121.764491 -33.517814, 121.76384 -33.518031, 121.771119 -33.532339, 121.779999 -33.548342, 121.783959 -33.558293, 121.783949 -33.559121, 121.78609 -33.561753, 121.786497 -33.565754, 121.796831 -33.5956, 121.802971 -33.622406, 121.812425 -33.646872, 121.813899 -33.64983, 121.815013 -33.651254, 121.825578 -33.663125, 121.836106 -33.674881, 121.845549 -33.682466, 121.84643 -33.683336, 121.852429 -33.691915, 121.853266 -33.693202, 121.853743 -33.695062, 121.853798 -33.696676, 121.853208 -33.702305, 121.853262 -33.703575, 121.855127 -33.712301, 121.856826 -33.720528, 121.858654 -33.723893, 121.860707 -33.727042, 121.862395 -33.730426, 121.864167 -33.741122, 121.86383 -33.741701, 121.864146 -33.743522, 121.865129 -33.747017, 121.866624 -33.750031, 121.866922 -33.751419, 121.867106 -33.754482, 121.866975 -33.756315, 121.866286 -33.757374, 121.864157 -33.759264, 121.863267 -33.760252, 121.862924 -33.76149, 121.862474 -33.762861, 121.862882 -33.766369, 121.862668 -33.769333, 121.862483 -33.771202, 121.862867 -33.77362, 121.863482 -33.776282, 121.863536 -33.777563, 121.863375 -33.778196, 121.863048 -33.778973, 121.86187 -33.780582, 121.861509 -33.781507, 121.861444 -33.782141, 121.861381 -33.782604, 121.861531 -33.783573, 121.862261 -33.785499, 121.862684 -33.787057, 121.849148 -33.787067, 121.848903 -33.787023, 121.848399 -33.787426, 121.848405 -33.80248, 121.833222 -33.802504, 121.832957 -33.802505, 121.832895 -33.802512, 121.839326 -33.817285, 121.83935 -33.817493, 121.839259 -33.817808, 121.839092 -33.818417, 121.842518 -33.819914, 121.847774 -33.823143, 121.848486 -33.823758, 121.852209 -33.826148, 121.853563 -33.827397, 121.854328 -33.828376, 121.855207 -33.829966, 121.855884 -33.831102, 121.856834 -33.832314, 121.858148 -33.833489, 121.860567 -33.835033, 121.861266 -33.83536, 121.862203 -33.835951, 121.8631 -33.836537, 121.864145 -33.837263, 121.865267 -33.837864, 121.865946 -33.83812, 121.867465 -33.838415, 121.869358 -33.838503, 121.870522 -33.838406, 121.873731 -33.838334, 121.878742 -33.838437, 121.887581 -33.838663, 121.887636 -33.839362, 121.887613 -33.840167, 121.887616 -33.841144, 121.887613 -33.841631, 121.887665 -33.842067, 121.88767 -33.843298, 121.887677 -33.844208, 121.887458 -33.845301, 121.886749 -33.8464, 121.885926 -33.847288, 121.88415 -33.848332, 121.883338 -33.849035, 121.883027 -33.849714, 121.882863 -33.853972, 121.882809 -33.854422, 121.882699 -33.854806, 121.882362 -33.855676, 121.882254 -33.856129, 121.882247 -33.857261, 121.882193 -33.857517, 121.882209 -33.859614, 121.882178 -33.864929, 121.882268 -33.865272, 121.88235 -33.867197, 121.882862 -33.868398, 121.88317 -33.868801, 121.884228 -33.869372, 121.885468 -33.869733, 121.890843 -33.86964, 121.89253 -33.869705, 121.892631 -33.869742, 121.892716 -33.870533, 121.893116 -33.870557, 121.893522 -33.870751, 121.893864 -33.871184, 121.893986 -33.871755, 121.894203 -33.872032, 121.894716 -33.872234, 121.895443 -33.872412, 121.896199 -33.872715, 121.897292 -33.873381, 121.897555 -33.873668, 121.897743 -33.874044, 121.897948 -33.874489, 121.898181 -33.874739, 121.898752 -33.875184, 121.899178 -33.875519, 121.899345 -33.875645, 121.899399 -33.875678, 121.89947 -33.875731)"/>
  </r>
  <r>
    <s v="P1165"/>
    <s v="Gas"/>
    <s v="Australia"/>
    <s v="Australia"/>
    <s v="Australia"/>
    <m/>
    <s v="https://www.gem.wiki/Karratha_to_Cape_Lambert_Pipeline"/>
    <x v="81"/>
    <m/>
    <m/>
    <s v="Hamill Resources Limited [unknown %]; Mitsui Group [unknown %]; Rio Tinto Group [unknown %]"/>
    <s v="Hamill Resources Limited [unknown %]; Mitsui Group [unknown %]; Rio Tinto Group [unknown %]"/>
    <x v="0"/>
    <n v="1984"/>
    <m/>
    <m/>
    <m/>
    <n v="95"/>
    <s v="TJ/d"/>
    <n v="0.97"/>
    <x v="69"/>
    <n v="57"/>
    <n v="53.41"/>
    <n v="57"/>
    <m/>
    <m/>
    <m/>
    <s v="Karratha"/>
    <s v="Australia and New Zealand"/>
    <m/>
    <s v="Western Australia"/>
    <s v="Cape Lambert"/>
    <m/>
    <s v="Western Australia"/>
    <s v="Australia and New Zealand"/>
    <m/>
    <m/>
    <m/>
    <m/>
    <m/>
    <s v="LINESTRING (116.6981684 -20.6574207, 116.8282204 -20.7348148, 117.1545724 -20.5946158)"/>
  </r>
  <r>
    <s v="P1166"/>
    <s v="Gas"/>
    <s v="Australia"/>
    <s v="Australia"/>
    <s v="Australia"/>
    <m/>
    <s v="https://www.gem.wiki/Kincora_to_Wallumbilla_Pipeline"/>
    <x v="82"/>
    <m/>
    <s v="KWP"/>
    <s v="Armour Energy [100.00%]"/>
    <s v="Armour Energy [100.00%]"/>
    <x v="0"/>
    <n v="1977"/>
    <n v="2017"/>
    <m/>
    <m/>
    <n v="30"/>
    <s v="TJ/d"/>
    <n v="0.31"/>
    <x v="6"/>
    <n v="53"/>
    <n v="62.15"/>
    <n v="53"/>
    <n v="219"/>
    <s v="mm"/>
    <s v="Surat-Bowen Basin"/>
    <s v="Kincora"/>
    <s v="Australia and New Zealand"/>
    <m/>
    <s v="Queensland"/>
    <s v="Wallumbilla"/>
    <m/>
    <s v="Queensland"/>
    <s v="Australia and New Zealand"/>
    <m/>
    <m/>
    <m/>
    <m/>
    <m/>
    <s v="MULTILINESTRING ((148.805352 -27.017526, 148.805741 -27.018001, 148.808907 -27.02187, 148.812074 -27.02574, 148.81259 -27.026372, 148.814693 -27.028919, 148.814776 -27.029061, 148.816103 -27.027847, 148.819793 -27.024473, 148.823482 -27.021099, 148.827172 -27.017724, 148.830862 -27.01435, 148.834551 -27.010976, 148.834624 -27.01091, 148.838256 -27.007618, 148.841961 -27.004261, 148.845667 -27.000903, 148.846993 -26.999701, 148.849109 -26.997794, 148.849381 -26.997556, 148.853147 -26.994268, 148.856716 -26.991152, 148.856914 -26.990979, 148.858554 -26.989545, 148.860682 -26.987693, 148.862577 -26.986042, 148.863097 -26.985603, 148.86445 -26.984407, 148.864542 -26.984326, 148.865779 -26.983684, 148.867247 -26.982846, 148.868401 -26.981473, 148.870831 -26.97858, 148.871647 -26.97767, 148.872126 -26.977135, 148.874716 -26.974279, 148.875041 -26.974003, 148.878288 -26.971239, 148.878715 -26.97064, 148.87934 -26.969765, 148.879594 -26.96943, 148.880531 -26.968135, 148.882076 -26.967019, 148.886128 -26.96409, 148.890181 -26.961162, 148.890242 -26.961117, 148.890704 -26.960782, 148.894355 -26.95841, 148.894831 -26.9581, 148.896855 -26.956782, 148.898542 -26.955695, 148.89855 -26.955689, 148.90193 -26.95284, 148.902371 -26.952465, 148.906185 -26.949232, 148.909999 -26.945998, 148.913813 -26.942765, 148.914542 -26.942146, 148.91762 -26.939524, 148.920334 -26.93721, 148.921425 -26.93628, 148.925231 -26.933037, 148.927606 -26.931013, 148.929037 -26.929795, 148.932843 -26.926553, 148.93665 -26.923311, 148.9389 -26.921395, 148.940452 -26.920064, 148.944248 -26.91681, 148.945305 -26.915904, 148.94806 -26.913574, 148.951878 -26.910346, 148.955696 -26.907118, 148.959515 -26.90389, 148.963333 -26.900661, 148.96468 -26.899522, 148.966959 -26.897225, 148.967663 -26.896516, 148.97072 -26.893935, 148.970784 -26.89388, 148.9749 -26.892146, 148.975107 -26.891747, 148.97594 -26.890146, 148.976195 -26.888667, 148.976333 -26.888435, 148.977417 -26.887511, 148.978299 -26.886759, 148.981307 -26.884371, 148.981605 -26.884135, 148.983362 -26.882701, 148.985174 -26.881201, 148.987662 -26.879141, 148.989037 -26.878028, 148.992924 -26.874882, 148.993974 -26.874031, 148.996851 -26.871787, 148.999385 -26.869811, 149.000815 -26.868741, 149.004819 -26.865746, 149.004887 -26.865695, 149.008633 -26.862875, 149.008803 -26.862726, 149.010442 -26.861297, 149.011196 -26.86072, 149.012693 -26.859589, 149.016683 -26.856576, 149.020673 -26.853562, 149.020676 -26.85356, 149.021764 -26.852716, 149.024385 -26.85022, 149.02596 -26.84872, 149.027004 -26.847721, 149.028003 -26.846769, 149.031623 -26.84332, 149.032154 -26.842814, 149.035226 -26.839853, 149.038826 -26.836383, 149.04139 -26.833911, 149.04242 -26.832907, 149.044898 -26.830492, 149.046008 -26.829425, 149.049615 -26.825962, 149.051602 -26.824054, 149.052379 -26.823321, 149.053225 -26.822503, 149.056817 -26.819025, 149.06041 -26.815547, 149.061393 -26.814596, 149.064 -26.812068, 149.067188 -26.808979, 149.067591 -26.808589, 149.071187 -26.805114, 149.074783 -26.80164, 149.078379 -26.798166, 149.078976 -26.797589, 149.081971 -26.794688, 149.085562 -26.791209, 149.089153 -26.78773, 149.09001 -26.786899, 149.092746 -26.784252, 149.096339 -26.780776, 149.099932 -26.777299, 149.100956 -26.776309, 149.103527 -26.773823, 149.107122 -26.770348, 149.110717 -26.766873, 149.114312 -26.763398, 149.117907 -26.759923, 149.118894 -26.758969, 149.119538 -26.758325, 149.121493 -26.756439, 149.124644 -26.753396, 149.125091 -26.752967, 149.125799 -26.752286, 149.128716 -26.749523, 149.132346 -26.746085, 149.134438 -26.744103, 149.13449 -26.742939, 149.134774 -26.742662, 149.135328 -26.742614, 149.136068 -26.742551, 149.139154 -26.739618, 149.142779 -26.736174, 149.142819 -26.736136, 149.146406 -26.732733, 149.150034 -26.729292, 149.153661 -26.72585, 149.157288 -26.722409, 149.158442 -26.721314, 149.160905 -26.718957, 149.164518 -26.7155, 149.16813 -26.712043, 149.16928 -26.710942, 149.171731 -26.708573, 149.174686 -26.705717, 149.175326 -26.705098, 149.178919 -26.701622, 149.182513 -26.698146, 149.185731 -26.695034, 149.185809 -26.694516), (148.825391 -27.078396, 148.823305 -27.073852, 148.821219 -27.069307, 148.819952 -27.066547, 148.819466 -27.065577, 148.819203 -27.065192, 148.819001 -27.06495, 148.819034 -27.064859, 148.819082 -27.064727, 148.819183 -27.064505, 148.820839 -27.060197, 148.821569 -27.058298, 148.822559 -27.055503, 148.824229 -27.05079, 148.825208 -27.048026, 148.825673 -27.046813, 148.826199 -27.04651, 148.826162 -27.046352, 148.826138 -27.046247, 148.825936 -27.046025, 148.823428 -27.042365, 148.823344 -27.042234, 148.820619 -27.038042, 148.820314 -27.037573, 148.818454 -27.034864, 148.817843 -27.033884, 148.816776 -27.032174, 148.815153 -27.02967, 148.814916 -27.029303, 148.814776 -27.029061, 148.814208 -27.02958, 148.814243 -27.030042, 148.814197 -27.030516, 148.813685 -27.031919, 148.811972 -27.036616, 148.81192 -27.036759, 148.810283 -27.041322, 148.808595 -27.046029, 148.808521 -27.046233))"/>
  </r>
  <r>
    <s v="P1168"/>
    <s v="Gas"/>
    <s v="Australia"/>
    <s v="Australia"/>
    <s v="Australia"/>
    <m/>
    <s v="https://www.gem.wiki/Mid_West_Pipeline"/>
    <x v="83"/>
    <m/>
    <m/>
    <s v="Unknown [unknown %]"/>
    <s v="Unknown [unknown %]"/>
    <x v="0"/>
    <n v="1999"/>
    <m/>
    <m/>
    <m/>
    <n v="18.5"/>
    <s v="MMcf/d"/>
    <n v="0.19"/>
    <x v="70"/>
    <n v="353"/>
    <n v="362"/>
    <n v="353"/>
    <m/>
    <m/>
    <s v="Carnarvon basin"/>
    <s v="Geraldton"/>
    <s v="Australia and New Zealand"/>
    <m/>
    <s v="Western Australia"/>
    <s v="Mount Magnet"/>
    <m/>
    <s v="Western Australia"/>
    <s v="Australia and New Zealand"/>
    <m/>
    <m/>
    <m/>
    <m/>
    <m/>
    <s v="MULTILINESTRING ((118.537533 -28.292648, 118.538255 -28.291703, 118.538232 -28.291133, 118.537787 -28.29041, 118.53577 -28.287199, 118.535178 -28.28697, 118.534777 -28.286597, 118.533486 -28.285106, 118.532827 -28.284695, 118.532468 -28.284322, 118.531679 -28.284039, 118.529719 -28.28374, 118.528581 -28.283316, 118.518116 -28.276926, 118.517179 -28.276169, 118.516286 -28.275177, 118.512837 -28.269799, 118.513618 -28.266111, 118.513361 -28.265158, 118.512918 -28.264, 118.511424 -28.262303, 118.506713 -28.260438, 118.505881 -28.259144, 118.505204 -28.257862, 118.504793 -28.256658, 118.50458 -28.255231, 118.505103 -28.2403, 118.505339 -28.239003, 118.504894 -28.238487, 118.500529 -28.237514, 118.477642 -28.226437, 118.475971 -28.226073, 118.468583 -28.226368, 118.420866 -28.232838, 118.390741 -28.232026, 118.389234 -28.231975, 118.386839 -28.229928, 118.384301 -28.229127, 118.383718 -28.226844, 118.372719 -28.216573, 118.313945 -28.199967, 118.21678 -28.183455, 118.150171 -28.159541, 118.097433 -28.15272, 118.072039 -28.154555, 118.062048 -28.152554, 118.056576 -28.148658, 118.052548 -28.148559, 118.046269 -28.150614, 118.035646 -28.149646, 117.978208 -28.152507, 117.952749 -28.162085, 117.917831 -28.169648, 117.872373 -28.174852, 117.834802 -28.190907, 117.766666 -28.217311, 117.719283 -28.214212, 117.665426 -28.222031, 117.658824 -28.227581, 117.656635 -28.228654, 117.655671 -28.228999, 117.654469 -28.229251, 117.650429 -28.229854, 117.649933 -28.230117, 117.645662 -28.230762, 117.524067 -28.248752, 117.424594 -28.263196, 117.423365 -28.263171, 117.377323 -28.269426, 117.3759 -28.269833, 117.333866 -28.275482, 117.332496 -28.275458, 117.327983 -28.276071, 117.327269 -28.276406, 117.232002 -28.289118, 117.230954 -28.289051, 117.20556 -28.292448, 117.204325 -28.292831, 117.155859 -28.299239, 117.135154 -28.299336, 116.886129 -28.340559, 116.822255 -28.350941, 116.798427 -28.35098, 116.781344 -28.351036, 116.731722 -28.351365, 116.715252 -28.351453, 116.686617 -28.347132, 116.68301 -28.348497, 116.68184 -28.348219, 116.680781 -28.346459, 116.673036 -28.345267, 116.671871 -28.345231, 116.642817 -28.348129, 116.642241 -28.347987, 116.581216 -28.354125, 116.489172 -28.363295, 116.488657 -28.363547, 116.486278 -28.363817, 116.436259 -28.378403, 116.381162 -28.394401, 116.368633 -28.396063, 116.365146 -28.39656, 116.363719 -28.397024, 116.350071 -28.403018, 116.349012 -28.403678, 116.347937 -28.404573, 116.346995 -28.405196, 116.345694 -28.405689, 116.344655 -28.405838, 116.337788 -28.405372, 116.336079 -28.405382, 116.334923 -28.405568, 116.333495 -28.406023, 116.331722 -28.406998, 116.327544 -28.409896, 116.320423 -28.414631, 116.318759 -28.415169, 116.314809 -28.416083, 116.311301 -28.416628, 116.309879 -28.41656, 116.305642 -28.416028, 116.301349 -28.416127, 116.292022 -28.416381, 116.289338 -28.416009, 116.288709 -28.415711, 116.282035 -28.414645, 116.280326 -28.414141, 116.269564 -28.409734, 116.268379 -28.409249, 116.266972 -28.408814, 116.264989 -28.408588, 116.25025 -28.409021, 116.24636 -28.409051, 116.236427 -28.407575, 116.23343 -28.407869, 116.229548 -28.410163, 116.225948 -28.410775, 116.037659 -28.434358, 115.934421 -28.463136, 115.932268 -28.463335, 115.823794 -28.471814, 115.810138 -28.483709, 115.785524 -28.483691, 115.768663 -28.489044, 115.757757 -28.492005, 115.751534 -28.492039, 115.743341 -28.488424, 115.742969 -28.487613, 115.741997 -28.487243, 115.738614 -28.487579, 115.713472 -28.496461, 115.710761 -28.497388, 115.699788 -28.498653, 115.696838 -28.49875, 115.693817 -28.499924, 115.689688 -28.503764, 115.656538 -28.512443, 115.647038 -28.514985, 115.621906 -28.521501, 115.613011 -28.522059, 115.591287 -28.51681, 115.564585 -28.515617, 115.539121 -28.517003, 115.522029 -28.517198, 115.512024 -28.51866, 115.490721 -28.518583, 115.479958 -28.518016, 115.473386 -28.520826, 115.470125 -28.521894, 115.46363 -28.524758, 115.434237 -28.536986, 115.426178 -28.543138, 115.417921 -28.550042, 115.409154 -28.555462, 115.381613 -28.555516, 115.37326 -28.555959, 115.355431 -28.560456, 115.341077 -28.562754, 115.331731 -28.562833, 115.320299 -28.564394, 115.3159 -28.566174, 115.298398 -28.568743, 115.297472 -28.569315, 115.296923 -28.569469, 115.291767 -28.573563, 115.277427 -28.581898, 115.277247 -28.58212, 115.265019 -28.58802, 115.244604 -28.594782, 115.220796 -28.603937, 115.178308 -28.604069, 115.176847 -28.603899, 115.147141 -28.604066, 115.146855 -28.604396, 115.142561 -28.611056, 115.136296 -28.623471, 115.134404 -28.623559, 115.133373 -28.623594), (117.872373 -28.174852, 117.857093 -28.141713, 117.856924 -28.139429, 117.856717 -28.137215, 117.855833 -28.135558, 117.854057 -28.133713, 117.852877 -28.132474, 117.851808 -28.13069, 117.850456 -28.127822, 117.836542 -28.09825, 117.835979 -28.096496, 117.835905 -28.096167, 117.835783 -28.095509, 117.835673 -28.094521, 117.83567 -28.093839, 117.835576 -28.093246, 117.835144 -28.092906, 117.834955 -28.09264, 117.834063 -28.08857, 117.833595 -28.087603, 117.833401 -28.087481, 117.833045 -28.087477))"/>
  </r>
  <r>
    <s v="P1169"/>
    <s v="Gas"/>
    <s v="Australia"/>
    <s v="Australia"/>
    <s v="Australia"/>
    <m/>
    <s v="https://www.gem.wiki/Moomba_Adelaide_Pipeline_System"/>
    <x v="84"/>
    <m/>
    <m/>
    <s v="Queensland Investment Corporation [100.00%]"/>
    <s v="Queensland Investment Corporation [100.00%]"/>
    <x v="0"/>
    <n v="1969"/>
    <m/>
    <m/>
    <m/>
    <n v="241"/>
    <s v="TJ/d"/>
    <n v="2.46"/>
    <x v="71"/>
    <n v="1184"/>
    <n v="777.18"/>
    <n v="1184"/>
    <m/>
    <m/>
    <s v="Cooper Basin"/>
    <s v="Moomba"/>
    <s v="Australia and New Zealand"/>
    <m/>
    <s v="South Australia"/>
    <s v="Adelaide, Whyalla"/>
    <m/>
    <s v="South Australia"/>
    <s v="Australia and New Zealand"/>
    <m/>
    <m/>
    <m/>
    <m/>
    <m/>
    <s v="LINESTRING (140.206 -28.116, 140.184 -28.254, 140.037 -28.731, 140.011 -29.336, 139.887 -29.81, 139.83 -29.97, 139.396 -30.9, 139.344 -31.735, 139.308 -31.857, 139.209 -31.976, 139.089 -32.219, 138.816 -33.155, 138.81 -33.235, 138.761 -33.333, 138.745 -33.615, 138.752 -33.871, 138.634 -34.146, 138.605 -34.564, 138.621 -34.661, 138.58 -34.725, 138.59 -34.825, 138.572 -34.836, 138.52 -34.805)"/>
  </r>
  <r>
    <s v="P1170"/>
    <s v="Gas"/>
    <s v="Australia"/>
    <s v="Australia"/>
    <s v="Australia"/>
    <m/>
    <s v="https://www.gem.wiki/Moomba_Sydney_Pipeline_System"/>
    <x v="85"/>
    <s v="Mainline"/>
    <m/>
    <s v="APA Group [100.00%]"/>
    <s v="APA Group [100.00%]"/>
    <x v="0"/>
    <n v="1976"/>
    <m/>
    <m/>
    <m/>
    <n v="446"/>
    <s v="TJ/d"/>
    <n v="4.5599999999999996"/>
    <x v="72"/>
    <n v="1300"/>
    <n v="1680.57"/>
    <n v="1300"/>
    <m/>
    <m/>
    <s v="Cooper Basin"/>
    <s v="Moomba"/>
    <s v="Australia and New Zealand"/>
    <m/>
    <s v="South Australia"/>
    <s v="Sydney, Newcastle, Wollongong, Canberra"/>
    <m/>
    <s v="South Australia, New South Wales"/>
    <s v="Australia and New Zealand"/>
    <m/>
    <m/>
    <m/>
    <m/>
    <m/>
    <s v="LINESTRING (140.206289 -28.115865, 140.206179 -28.116858, 140.205658 -28.118479, 140.235227 -28.141034, 140.281427 -28.173533, 140.399453 -28.256401, 140.761357 -28.532647, 140.971367 -28.672493, 140.999335 -28.689887, 141.003452 -28.692298, 141.007557 -28.694799, 141.010761 -28.696798, 141.014057 -28.698898, 141.017551 -28.700998, 141.029056 -28.708099, 141.032749 -28.710399, 141.03606 -28.712499, 141.043155 -28.716897, 141.045749 -28.718599, 141.04755 -28.719699, 141.049259 -28.720699, 141.052356 -28.722598, 141.055347 -28.724498, 141.057651 -28.725898, 141.060153 -28.727498, 141.06496 -28.730397, 141.073154 -28.735498, 141.07706 -28.737899, 141.082157 -28.741097, 141.091754 -28.746999, 141.093753 -28.748298, 141.097354 -28.750499, 141.101047 -28.752797, 141.104053 -28.754598, 141.108157 -28.757197, 141.109149 -28.757897, 141.111758 -28.759599, 141.114352 -28.761197, 141.116855 -28.762797, 141.118961 -28.764197, 141.121951 -28.766097, 141.124957 -28.768098, 141.132953 -28.773198, 141.134357 -28.774198, 141.136951 -28.775798, 141.14046 -28.778098, 141.143161 -28.779798, 141.14635 -28.781999, 141.148959 -28.783599, 141.15285 -28.786098, 141.158954 -28.790097, 141.166247 -28.794799, 141.169055 -28.796898, 141.17705 -28.802998, 141.179354 -28.804698, 141.181353 -28.806298, 141.185351 -28.808799, 141.193148 -28.813798, 141.196459 -28.815799, 141.198351 -28.817098, 141.206346 -28.822099, 141.209459 -28.824098, 141.210955 -28.824998, 141.213457 -28.826598, 141.216158 -28.828298, 141.220049 -28.830798, 141.222948 -28.832698, 141.225847 -28.834397, 141.227755 -28.835698, 141.231752 -28.838199, 141.23395 -28.839599, 141.237947 -28.842198, 141.241747 -28.844499, 141.243349 -28.845597, 141.245149 -28.846698, 141.255556 -28.853297, 141.258348 -28.854998, 141.262453 -28.857697, 141.266557 -28.860198, 141.269655 -28.862199, 141.274049 -28.864999, 141.276048 -28.866297, 141.278658 -28.867898, 141.282747 -28.870497, 141.28615 -28.872597, 141.288957 -28.874398, 141.292146 -28.876397, 141.293855 -28.877497, 141.29796 -28.880097, 141.29915 -28.880797, 141.299745 -28.881297, 141.30385 -28.884398, 141.306245 -28.886298, 141.308549 -28.887997, 141.313447 -28.891796, 141.315355 -28.893196, 141.318956 -28.895996, 141.322252 -28.898497, 141.325654 -28.901198, 141.329057 -28.903696, 141.33246 -28.906298, 141.335847 -28.908997, 141.33896 -28.911297, 141.341951 -28.913597, 141.344346 -28.915398, 141.346849 -28.917397, 141.349458 -28.919397, 141.352754 -28.921997, 141.356553 -28.924797, 141.358949 -28.926697, 141.36696 -28.932796, 141.370256 -28.935396, 141.372957 -28.937397, 141.375459 -28.939296, 141.378252 -28.941497, 141.381654 -28.944097, 141.385652 -28.947097, 141.390749 -28.950996, 141.392854 -28.952697, 141.397157 -28.955896, 141.398653 -28.957096, 141.404146 -28.961295, 141.411149 -28.966697, 141.414552 -28.969297, 141.419847 -28.973296, 141.42296 -28.975696, 141.42505 -28.977397, 141.428758 -28.980197, 141.430848 -28.981795, 141.433152 -28.983596, 141.436052 -28.985797, 141.439653 -28.988496, 141.44185 -28.990195, 141.444245 -28.991996, 141.448258 -28.995095, 141.45329 -28.999086, 140.206103 -28.115478, 140.205649 -28.116844, 140.205274 -28.118881, 140.207737 -28.122176, 140.207811 -28.122133, 140.208274 -28.122737, 140.210371 -28.128436, 140.262317 -28.170519, 140.280728 -28.174408, 140.281427 -28.173533, 140.209673 -28.121067, 140.235624 -28.141144, 140.399901 -28.25662, 140.761858 -28.532837, 140.971899 -28.672773, 140.999335 -28.689866, 141.453549 -28.999085, 141.50131 -29.03324, 141.54625 -29.0642, 141.56988 -29.08283, 141.61145 -29.1104, 141.66511 -29.14481, 141.69168 -29.16642, 141.72867 -29.19078, 141.74542 -29.2001, 141.76048 -29.20901, 141.77289 -29.21769, 141.79419 -29.23174, 141.91192 -29.31045, 141.95039 -29.33422, 142.00145 -29.36671, 142.03178 -29.38597, 142.18429 -29.49902, 142.22479 -29.52376, 142.50149 -29.77972, 142.56846 -29.84229, 142.70857 -29.95268, 142.76745 -29.99884, 142.84867 -30.05951, 142.86778 -30.07568, 142.8739 -30.07883, 142.95037 -30.14034, 142.99372 -30.17424, 143.00086 -30.18187, 143.07287 -30.2595, 143.15669 -30.33209, 143.16827 -30.34187, 143.19082 -30.3598, 143.21586 -30.38024, 143.23211 -30.39262, 143.28729 -30.42577, 143.31606 -30.44802, 143.35189 -30.47733, 143.3731 -30.49455, 143.37809 -30.49878, 143.39393 -30.51155, 143.45828 -30.56394, 143.50124 -30.59579, 143.55132 -30.6315, 143.57754 -30.65166, 143.61987 -30.68622, 143.73954 -30.78964, 143.86404 -30.90376, 143.88552 -30.93096, 143.93948 -30.99851, 143.9829 -31.05149, 144.00138 -31.06476, 144.00597 -31.06839, 144.04957 -31.09825, 144.13511 -31.1496, 144.14075 -31.15017, 144.17863 -31.17067, 144.37549 -31.34006, 144.50118 -31.43997, 144.52076 -31.45541, 144.55898 -31.48257, 144.5763 -31.4989, 144.60392 -31.52373, 144.6671 -31.57793, 144.75626 -31.64717, 144.8467 -31.7171, 144.88663 -31.74873, 144.9603 -31.81458, 144.99906 -31.84947, 145.00103 -31.85094, 145.02623 -31.87334, 145.12903 -31.95211, 145.18909 -31.99835, 145.20027 -32.0059, 145.48822 -32.2238, 145.50124 -32.23226, 145.63585 -32.31412, 145.75888 -32.41384, 145.88704 -32.49847, 145.9178 -32.52562, 145.94472 -32.53622, 146.00131 -32.56979, 146.0247 -32.58323, 146.10382 -32.65247, 146.16301 -32.69699, 146.23564 -32.74932, 146.26013 -32.76985, 146.28689 -32.78696, 146.31695 -32.80797, 146.39402 -32.86401, 146.46447 -32.91342, 146.5007 -32.93873, 146.54216 -32.96784, 146.58439 -32.99839, 146.60935 -33.01525, 146.61094 -33.01932, 146.6452 -33.04865, 146.65801 -33.05761, 146.6734 -33.07001, 146.71926 -33.09953, 146.75463 -33.13902, 146.76264 -33.1477, 146.77098 -33.15826, 146.77975 -33.16739, 146.80265 -33.18881, 146.81593 -33.202, 146.83929 -33.21889, 146.87779 -33.24844, 146.91488 -33.28274, 146.93517 -33.29899, 147.00123 -33.36304, 147.00521 -33.36674, 147.0151 -33.37351, 147.03059 -33.38866, 147.03434 -33.38956, 147.06759 -33.41769, 147.09461 -33.44292, 147.12176 -33.46581, 147.15722 -33.49851, 147.19888 -33.53841, 147.22068 -33.55623, 147.27813 -33.59977, 147.33549 -33.65997, 147.35769 -33.68173, 147.3606 -33.68235, 147.39156 -33.70427, 147.46107 -33.74849, 147.50106 -33.77314, 147.56328 -33.80841, 147.70617 -33.89498, 147.73685 -33.91572, 147.73836 -33.91625, 147.77907 -33.9435, 147.81084 -33.9617, 147.83732 -33.97947, 147.86858 -33.99846, 147.9412 -34.02444, 148.00116 -34.04877, 148.04416 -34.08268, 148.05104 -34.0874, 148.08817 -34.10836, 148.11389 -34.12716, 148.12784 -34.13262, 148.16878 -34.15965, 148.23412 -34.19175, 148.25931 -34.208, 148.30403 -34.22822, 148.32982 -34.23935, 148.33592 -34.2441, 148.34274 -34.24842, 148.35966 -34.25755, 148.36855 -34.26283, 148.37971 -34.27, 148.38626 -34.27512, 148.39828 -34.28438, 148.40605 -34.28965, 148.41507 -34.29602, 148.42223 -34.30078, 148.43021 -34.30546, 148.43776 -34.31055, 148.45653 -34.32123, 148.46239 -34.32667, 148.48105 -34.33068, 148.50125 -34.33639, 148.55423 -34.37198, 148.56766 -34.37919, 148.58188 -34.38775, 148.59738 -34.39741, 148.60187 -34.40017, 148.61604 -34.40862, 148.62503 -34.41392, 148.66115 -34.43502, 148.71156 -34.46636, 148.74818 -34.48595, 148.77882 -34.49471, 148.79309 -34.50111, 148.81733 -34.51171, 148.84976 -34.52484, 148.88528 -34.54432, 148.9057 -34.55581, 148.92421 -34.56886, 148.95309 -34.60176, 148.97021 -34.60663, 148.99247 -34.60699, 149.00129 -34.61568, 149.01017 -34.62238, 149.018 -34.63037, 149.05436 -34.64509, 149.0985 -34.65642, 149.14301 -34.69459, 149.17095 -34.70681, 149.20341 -34.72029, 149.20763 -34.72301, 149.21302 -34.72453, 149.21624 -34.72637, 149.24265 -34.72598, 149.25118 -34.72627, 149.27761 -34.72668, 149.29066 -34.72833, 149.30828 -34.73367, 149.3391 -34.74273, 149.35587 -34.74845, 149.36803 -34.7538, 149.37165 -34.75409, 149.38111 -34.75661, 149.39411 -34.7642, 149.39687 -34.76514, 149.39927 -34.76473, 149.40635 -34.7681, 149.41776 -34.76968, 149.44036 -34.76923, 149.45081 -34.76397, 149.46668 -34.7541, 149.49065 -34.74856, 149.49759 -34.74679, 149.50124 -34.74483, 149.52143 -34.73359, 149.55809 -34.72904, 149.59505 -34.72727, 149.60243 -34.72598, 149.61881 -34.72608, 149.63593 -34.72531, 149.66194 -34.726, 149.67288 -34.72351, 149.67818 -34.72186, 149.71391 -34.7162, 149.73119 -34.71374, 149.74322 -34.70932, 149.75119 -34.71122, 149.75636 -34.71227, 149.76478 -34.71785, 149.77417 -34.72269, 149.77637 -34.723, 149.78139 -34.72297, 149.79233 -34.72353, 149.79291 -34.7246, 149.83778 -34.72473, 149.858 -34.72192, 149.87126 -34.72052, 149.87384 -34.71938, 149.8829 -34.7161, 149.95243 -34.70056, 149.9541 -34.69529, 149.97822 -34.68623, 150.0016 -34.67594, 150.0102 -34.6721, 150.03381 -34.66402, 150.04571 -34.66106, 150.08294 -34.64772, 150.08665 -34.64753, 150.11436 -34.63792, 150.11704 -34.636, 150.12145 -34.63439, 150.12485 -34.63411, 150.14236 -34.63148, 150.15423 -34.62899, 150.1675 -34.62507, 150.17341 -34.62353, 150.17387 -34.62318, 150.1852 -34.6218, 150.19977 -34.61864, 150.21657 -34.61425, 150.22025 -34.61514, 150.22757 -34.61125, 150.23029 -34.60825, 150.25022 -34.59914, 150.25123 -34.59854, 150.25193 -34.59846, 150.26081 -34.59217, 150.27189 -34.58665, 150.27202 -34.58566, 150.27254 -34.58495, 150.27681 -34.58243, 150.2817 -34.57984, 150.28809 -34.57583, 150.29982 -34.56888, 150.32358 -34.55489, 150.33747 -34.54663, 150.34583 -34.54086, 150.3559 -34.53586, 150.35913 -34.53349, 150.36727 -34.53448, 150.37418 -34.53661, 150.37969 -34.53799, 150.3889 -34.53576, 150.39839 -34.53542, 150.40737 -34.53407, 150.41173 -34.53056, 150.41274 -34.5295, 150.43314 -34.52164, 150.4525 -34.50979, 150.46671 -34.50296, 150.47157 -34.49816, 150.48735 -34.48247, 150.49884 -34.47342, 150.5011 -34.47049, 150.51622 -34.44511, 150.52954 -34.41806, 150.53296 -34.40884, 150.53236 -34.39946, 150.53422 -34.39561, 150.53167 -34.38953, 150.53146 -34.38213, 150.53254 -34.38242, 150.54278 -34.37415, 150.54324 -34.37335, 150.54564 -34.3697, 150.54667 -34.36395, 150.55392 -34.35364, 150.55331 -34.35228, 150.55774 -34.34614, 150.55584 -34.34394, 150.55662 -34.33927, 150.55555 -34.33699, 150.55706 -34.32404, 150.55928 -34.32264, 150.56428 -34.31147, 150.57896 -34.29959, 150.58116 -34.29865, 150.58213 -34.29858, 150.5867 -34.29885, 150.60655 -34.29572, 150.61624 -34.28743, 150.62095 -34.28194, 150.6258 -34.27554, 150.63636 -34.2633, 150.6398 -34.26057, 150.64594 -34.25221, 150.65035 -34.24833, 150.65635 -34.24349, 150.66833 -34.23781, 150.67359 -34.23611, 150.67933 -34.23257, 150.68235 -34.22947, 150.70463 -34.23241, 150.71053 -34.23297, 150.71694 -34.23152, 150.72953 -34.22779, 150.73635 -34.22007, 150.75155 -34.20782, 150.76293 -34.19586, 150.76728 -34.18764, 150.76928 -34.1856, 150.76978 -34.18318, 150.77111 -34.16959, 150.77076 -34.16661, 150.77131 -34.15823, 150.77204 -34.155, 150.77291 -34.14257, 150.77221 -34.13192, 150.77341 -34.12333, 150.77427 -34.1197, 150.77347 -34.11283, 150.77176 -34.10757, 150.77033 -34.09627, 150.76539 -34.09069, 150.76416 -34.08336, 150.76741 -34.07945, 150.76993 -34.07192, 150.77501 -34.06652, 150.77896 -34.06037, 150.78492 -34.04821, 150.78748 -34.04519, 150.78963 -34.0419, 150.79022 -34.02081, 150.7947 -34.00633, 150.79872 -33.99986, 150.80081 -33.99837, 150.80776 -33.99362, 150.8185 -33.98029, 150.82099 -33.97627, 150.82332 -33.9737, 150.82727 -33.96268, 150.82706 -33.96208, 150.84948 -33.95323, 150.8528 -33.95387, 150.85714 -33.9549, 150.86103 -33.95574, 150.86321 -33.95625, 150.86997 -33.95714, 150.87512 -33.95809, 150.88064 -33.95857, 150.88488 -33.95902, 150.88799 -33.95982, 150.89079 -33.96104, 150.89836 -33.96353, 150.9035 -33.96432, 150.9104 -33.96586, 150.91601 -33.96637, 150.93118 -33.96554, 150.93297 -33.96543, 150.93616 -33.96508, 150.94652 -33.9645, 150.95218 -33.96423, 150.95842 -33.96345, 150.96259 -33.96335, 150.96658 -33.96368, 150.97104 -33.96437, 150.97519 -33.96464, 150.9769 -33.9646, 150.9806 -33.96409)"/>
  </r>
  <r>
    <s v="P1171"/>
    <s v="Gas"/>
    <s v="Australia"/>
    <s v="Australia"/>
    <s v="Australia"/>
    <m/>
    <s v="https://www.gem.wiki/Mortlake_Gas_Pipeline"/>
    <x v="86"/>
    <m/>
    <m/>
    <s v="SEA Gas [100.00%]"/>
    <s v="SEA Gas [100.00%]"/>
    <x v="0"/>
    <n v="2011"/>
    <m/>
    <m/>
    <m/>
    <n v="400"/>
    <s v="TJ/d"/>
    <n v="4.09"/>
    <x v="73"/>
    <n v="83"/>
    <n v="81.78"/>
    <n v="83"/>
    <m/>
    <m/>
    <m/>
    <s v="Port Campbell"/>
    <s v="Australia and New Zealand"/>
    <m/>
    <s v="Victoria"/>
    <s v="Mortlake"/>
    <m/>
    <s v="Victoria"/>
    <s v="Australia and New Zealand"/>
    <m/>
    <m/>
    <m/>
    <m/>
    <m/>
    <s v="LINESTRING (143.053316 -38.568457, 143.055914 -38.567078, 143.05594 -38.567057, 143.055939 -38.567025, 143.055884 -38.566869, 143.054891 -38.564121, 143.052047 -38.56063, 143.050204 -38.559277, 143.048979 -38.557629, 143.048949 -38.557589, 143.048856 -38.557498, 143.044236 -38.553071, 143.042333 -38.551908, 143.041537 -38.551313, 143.039906 -38.549635, 143.039454 -38.548346, 143.03772 -38.545889, 143.037685 -38.545828, 143.037683 -38.545734, 143.037756 -38.545168, 143.03789 -38.544636, 143.037937 -38.544297, 143.038053 -38.543611, 143.038114 -38.543089, 143.038136 -38.542828, 143.038181 -38.541866, 143.038218 -38.541343, 143.038263 -38.540158, 143.038157 -38.539924, 143.036205 -38.537105, 143.036132 -38.537017, 143.036074 -38.536984, 143.036008 -38.536959, 143.035875 -38.536951, 143.033982 -38.536924, 143.033583 -38.536824, 143.033514 -38.5368, 143.033298 -38.536625, 143.033241 -38.536602, 143.032323 -38.53629, 143.030971 -38.53577, 143.030686 -38.535653, 143.030609 -38.535579, 143.030576 -38.535501, 143.029462 -38.53221, 143.029395 -38.532019, 143.029374 -38.531992, 143.027739 -38.531755, 143.027543 -38.531668, 143.02654 -38.531186, 143.026518 -38.531172, 143.026507 -38.531154, 143.026042 -38.530136, 143.026022 -38.530071, 143.026042 -38.529978, 143.026534 -38.528504, 143.026534 -38.528472, 143.026502 -38.52845, 143.023395 -38.527271, 143.022777 -38.527155, 143.022682 -38.527128, 143.022606 -38.527072, 143.022543 -38.527011, 143.021504 -38.525982, 143.016617 -38.521816, 143.016521 -38.521776, 143.016402 -38.521761, 143.010523 -38.521154, 143.009099 -38.520831, 143.008965 -38.520807, 143.008833 -38.520826, 143.008719 -38.520887, 143.007739 -38.521472, 143.007666 -38.521507, 143.007546 -38.521521, 143.005891 -38.521602, 143.004891 -38.521988, 142.994552 -38.520888, 142.994466 -38.520869, 142.994377 -38.520811, 142.99376 -38.520313, 142.993607 -38.520206, 142.991558 -38.519333, 142.990105 -38.517916, 142.989854 -38.517815, 142.987799 -38.517037, 142.981189 -38.515976, 142.976615 -38.515483, 142.976565 -38.515465, 142.976517 -38.515442, 142.976418 -38.515353, 142.973942 -38.512984, 142.973833 -38.51289, 142.973735 -38.512847, 142.963357 -38.511719, 142.962769 -38.511606, 142.958962 -38.511206, 142.958867 -38.511167, 142.958765 -38.511086, 142.956627 -38.509305, 142.953267 -38.508051, 142.947003 -38.507376, 142.946976 -38.507371, 142.946956 -38.507356, 142.946729 -38.507156, 142.946617 -38.507136, 142.942778 -38.506726, 142.936226 -38.506057, 142.934624 -38.505771, 142.929429 -38.503954, 142.929362 -38.50393, 142.928916 -38.503703, 142.928882 -38.503692, 142.928847 -38.503701, 142.927474 -38.50434, 142.925332 -38.504771, 142.917463 -38.503862, 142.916516 -38.504293, 142.916481 -38.504303, 142.916448 -38.504292, 142.916173 -38.504145, 142.916076 -38.504104, 142.915981 -38.504098, 142.915172 -38.504119, 142.912819 -38.504576, 142.912651 -38.504608, 142.912563 -38.504618, 142.911707 -38.504464, 142.910699 -38.504375, 142.909535 -38.504196, 142.909436 -38.504143, 142.909353 -38.504049, 142.906222 -38.500233, 142.906111 -38.500089, 142.906088 -38.5, 142.906107 -38.499885, 142.906748 -38.49669, 142.906748 -38.496608, 142.906702 -38.496537, 142.906428 -38.496247, 142.906397 -38.496159, 142.906977 -38.493079, 142.906979 -38.493006, 142.906934 -38.492926, 142.903056 -38.487958, 142.902971 -38.487521, 142.902852 -38.48682, 142.902837 -38.486777, 142.902781 -38.486709, 142.902263 -38.486197, 142.901371 -38.485347, 142.900732 -38.48477, 142.900323 -38.484389, 142.898994 -38.4831, 142.897329 -38.48218, 142.897229 -38.482134, 142.897139 -38.482123, 142.896267 -38.482101, 142.896061 -38.482091, 142.895673 -38.482058, 142.893565 -38.481802, 142.893462 -38.481755, 142.893368 -38.481666, 142.890628 -38.478902, 142.890563 -38.478884, 142.889773 -38.47901, 142.889672 -38.478993, 142.887971 -38.478573, 142.887836 -38.478533, 142.887744 -38.478465, 142.885656 -38.474547, 142.885442 -38.474136, 142.885433 -38.474094, 142.885429 -38.474057, 142.885448 -38.473933, 142.885776 -38.472311, 142.886318 -38.469361, 142.886335 -38.469246, 142.88631 -38.469157, 142.880829 -38.462639, 142.880769 -38.462561, 142.880745 -38.462472, 142.881359 -38.459224, 142.881688 -38.456912, 142.883225 -38.451195, 142.883247 -38.44902, 142.883242 -38.448802, 142.883184 -38.448706, 142.882978 -38.448414, 142.88296 -38.448396, 142.882929 -38.448387, 142.876238 -38.447617, 142.876197 -38.447601, 142.87619 -38.447565, 142.878506 -38.435203, 142.878512 -38.43513, 142.878492 -38.435074, 142.87846 -38.435022, 142.878369 -38.434954, 142.87251 -38.431138, 142.871341 -38.429675, 142.871291 -38.429603, 142.87127 -38.429515, 142.871282 -38.429435, 142.872488 -38.423038, 142.872493 -38.422978, 142.872297 -38.422553, 142.872308 -38.422451, 142.872663 -38.420569, 142.872669 -38.420471, 142.872643 -38.420411, 142.872601 -38.420357, 142.872501 -38.420298, 142.865487 -38.416703, 142.865438 -38.416672, 142.865436 -38.416643, 142.868119 -38.402379, 142.868125 -38.401713, 142.868853 -38.397745, 142.868871 -38.39769, 142.868946 -38.397604, 142.870113 -38.396474, 142.870185 -38.396391, 142.870203 -38.396335, 142.870598 -38.39423, 142.87064 -38.393928, 142.870683 -38.393769, 142.870817 -38.393041, 142.870943 -38.392672, 142.871497 -38.389713, 142.873288 -38.38115, 142.8733 -38.38105, 142.873278 -38.380992, 142.873243 -38.380937, 142.873148 -38.38087, 142.871705 -38.37999, 142.867233 -38.379143, 142.867146 -38.379118, 142.867065 -38.379057, 142.866626 -38.378643, 142.866548 -38.378584, 142.866463 -38.378559, 142.86604 -38.378487, 142.8653 -38.378556, 142.864572 -38.378483, 142.864481 -38.378465, 142.864392 -38.378412, 142.862526 -38.377028, 142.859163 -38.375527, 142.856876 -38.374048, 142.856785 -38.373997, 142.856694 -38.373979, 142.850085 -38.373075, 142.849589 -38.373004, 142.849532 -38.372979, 142.849481 -38.372948, 142.849285 -38.372718, 142.845102 -38.36756, 142.844725 -38.367106, 142.839211 -38.3627, 142.8306 -38.356544, 142.828915 -38.355203, 142.828847 -38.355141, 142.82882 -38.35509, 142.828804 -38.355037, 142.828818 -38.354931, 142.830748 -38.345138, 142.830764 -38.345109, 142.830799 -38.345097, 142.832455 -38.344834, 142.832488 -38.344822, 142.832502 -38.344795, 142.833985 -38.338479, 142.835623 -38.329904, 142.835955 -38.328118, 142.835928 -38.328027, 142.835849 -38.32793, 142.83491 -38.326862, 142.83483 -38.326401, 142.835812 -38.321542, 142.835792 -38.320987, 142.835733 -38.320891, 142.834313 -38.318976, 142.834278 -38.31891, 142.834284 -38.318821, 142.834967 -38.315721, 142.834724 -38.313242, 142.834686 -38.312805, 142.834687 -38.312705, 142.834716 -38.312647, 142.834756 -38.312593, 142.834853 -38.31253, 142.836879 -38.311394, 142.837194 -38.311226, 142.838389 -38.31056, 142.838557 -38.310466, 142.838584 -38.310439, 142.838573 -38.310406, 142.837086 -38.30843, 142.833559 -38.302241, 142.833169 -38.301572, 142.833086 -38.301509, 142.832952 -38.30146, 142.828471 -38.299956, 142.828348 -38.299908, 142.828257 -38.299829, 142.828212 -38.299727, 142.827645 -38.298053, 142.827361 -38.297398, 142.826854 -38.296061, 142.826838 -38.296038, 142.826755 -38.295967, 142.826322 -38.295625, 142.825684 -38.294533, 142.825634 -38.294033, 142.825615 -38.293705, 142.825786 -38.293115, 142.826168 -38.291866, 142.826251 -38.291425, 142.831911 -38.261323, 142.832089 -38.260633, 142.832169 -38.26022, 142.837558 -38.231769, 142.837692 -38.231392, 142.837773 -38.230977, 142.837785 -38.230908, 142.837775 -38.230363, 142.83858 -38.226239, 142.838595 -38.226129, 142.838559 -38.22603, 142.838473 -38.225943, 142.834781 -38.222636, 142.834232 -38.221658, 142.828505 -38.211288, 142.828501 -38.210257, 142.828524 -38.20053, 142.829168 -38.19709, 142.82918 -38.196982, 142.82914 -38.19688, 142.829051 -38.196797, 142.826152 -38.194358, 142.826061 -38.194272, 142.826025 -38.194177, 142.82607 -38.193905, 142.827008 -38.189057, 142.827067 -38.188736, 142.827075 -38.188656, 142.827058 -38.188603, 142.827031 -38.188553, 142.826963 -38.188492, 142.823061 -38.18549, 142.818877 -38.182965, 142.818792 -38.182908, 142.818745 -38.182844, 142.815832 -38.177967, 142.813652 -38.17183, 142.810931 -38.165566, 142.807609 -38.155995, 142.808399 -38.150004, 142.808492 -38.149522, 142.809196 -38.144505, 142.809189 -38.144263, 142.809405 -38.142737, 142.809402 -38.142648, 142.809391 -38.142618, 142.80936 -38.142604, 142.808251 -38.142336, 142.77189 -38.137904, 142.771825 -38.137891, 142.771376 -38.137653, 142.771281 -38.137636, 142.762161 -38.136524, 142.762067 -38.136499, 142.761992 -38.136441, 142.756115 -38.130312, 142.749801 -38.121731, 142.745917 -38.11432, 142.744607 -38.112128, 142.744543 -38.112036, 142.74449 -38.111998, 142.744428 -38.111968, 142.743726 -38.111876, 142.74046 -38.111483, 142.738273 -38.111501, 142.737535 -38.111393, 142.728468 -38.108495, 142.728373 -38.108458, 142.728322 -38.108416, 142.72828 -38.108368, 142.728251 -38.108279, 142.727792 -38.106286, 142.727778 -38.106258, 142.727743 -38.106247, 142.726591 -38.106065, 142.726019 -38.105999, 142.7254 -38.105968, 142.717691 -38.105021, 142.717576 -38.105006, 142.716518 -38.104683, 142.714364 -38.104422, 142.714319 -38.104418, 142.713208 -38.104469, 142.707866 -38.103925, 142.707827 -38.103911, 142.707818 -38.103874, 142.707862 -38.103591, 142.707855 -38.103554, 142.707814 -38.103538, 142.707408 -38.103488, 142.702107 -38.102844, 142.702028 -38.102839, 142.701941 -38.102853, 142.701189 -38.103002, 142.701112 -38.102996, 142.685851 -38.101125, 142.685815 -38.10111, 142.685807 -38.101072, 142.688553 -38.086511, 142.688547 -38.086477, 142.688503 -38.08646, 142.68795 -38.086391, 142.679573 -38.085372, 142.67953 -38.085356, 142.679522 -38.085322, 142.680258 -38.081351, 142.680278 -38.08128, 142.680343 -38.081207, 142.680606 -38.080958, 142.68065 -38.080907, 142.680678 -38.080809, 142.681144 -38.07834, 142.681183 -38.078098, 142.681154 -38.078006, 142.680836 -38.07765, 142.679601 -38.076943, 142.679488 -38.076316, 142.678607 -38.07581, 142.678534 -38.075761, 142.678482 -38.075685, 142.677377 -38.073748, 142.677349 -38.073682, 142.677356 -38.07359, 142.677509 -38.072666, 142.6775 -38.07263, 142.677458 -38.072615, 142.676861 -38.072552, 142.676825 -38.072541, 142.67681 -38.072513, 142.676695 -38.071918, 142.677021 -38.069963, 142.677029 -38.069862, 142.677005 -38.069804, 142.676969 -38.06975, 142.676872 -38.069685, 142.67657 -38.069507, 142.673565 -38.06778, 142.673543 -38.067764, 142.673536 -38.067744, 142.673419 -38.067093, 142.673408 -38.067067, 142.673366 -38.067051, 142.665814 -38.066165, 142.665775 -38.066151, 142.665766 -38.066112, 142.665783 -38.066026)"/>
  </r>
  <r>
    <s v="P3591"/>
    <s v="Gas"/>
    <s v="Australia"/>
    <s v="Australia"/>
    <s v="Australia"/>
    <m/>
    <s v="https://www.gem.wiki/Central_West_Pipeline"/>
    <x v="87"/>
    <m/>
    <m/>
    <s v="APA Group [unknown %]"/>
    <s v="APA Group [unknown %]"/>
    <x v="0"/>
    <m/>
    <m/>
    <m/>
    <m/>
    <n v="13"/>
    <s v="TJ/d"/>
    <n v="0.13"/>
    <x v="38"/>
    <n v="255"/>
    <n v="255.1"/>
    <n v="255"/>
    <m/>
    <m/>
    <s v="Moomba to Sydney Gas Pipeline"/>
    <s v="Marsden"/>
    <s v="Australia and New Zealand"/>
    <m/>
    <s v="New South Wales"/>
    <s v="Dubbo"/>
    <m/>
    <s v="New South Wales"/>
    <s v="Australia and New Zealand"/>
    <m/>
    <m/>
    <m/>
    <m/>
    <m/>
    <s v="LINESTRING (147.50766 -33.77707, 147.51306 -33.77254, 147.518 -33.76517, 147.5216 -33.76233, 147.52149 -33.76095, 147.52324 -33.75883, 147.52302 -33.75863, 147.5247 -33.75638, 147.52552 -33.75439, 147.52568 -33.7518, 147.52411 -33.74504, 147.5226 -33.73748, 147.51873 -33.7277, 147.51627 -33.71635, 147.51623 -33.71299, 147.51624 -33.70648, 147.52516 -33.68475, 147.53177 -33.67732, 147.53362 -33.67641, 147.54522 -33.67261, 147.55875 -33.66755, 147.56356 -33.6666, 147.5836 -33.63501, 147.58963 -33.63138, 147.60034 -33.62606, 147.60331 -33.62433, 147.60453 -33.62162, 147.60446 -33.62141, 147.60529 -33.62056, 147.60634 -33.6181, 147.60758 -33.61692, 147.6079 -33.61462, 147.61914 -33.58963, 147.6227 -33.58649, 147.63347 -33.58019, 147.64159 -33.57567, 147.64267 -33.57468, 147.64891 -33.57055, 147.6528 -33.56759, 147.65399 -33.56532, 147.65495 -33.56405, 147.66636 -33.55531, 147.66714 -33.55523, 147.66938 -33.55373, 147.67015 -33.55285, 147.67495 -33.55037, 147.70664 -33.53801, 147.70887 -33.53686, 147.71169 -33.53648, 147.71553 -33.5363, 147.71669 -33.53613, 147.71827 -33.53561, 147.71983 -33.53463, 147.72881 -33.52625, 147.74563 -33.51253, 147.7518 -33.50907, 147.75681 -33.50574, 147.77554 -33.49579, 147.79082 -33.48866, 147.79354 -33.48713, 147.79492 -33.48665, 147.79995 -33.48423, 147.80307 -33.48367, 147.81243 -33.48358, 147.81572 -33.48365, 147.81673 -33.48382, 147.81858 -33.48369, 147.82283 -33.48254, 147.83045 -33.48078, 147.83059 -33.48063, 147.83095 -33.48069, 147.83881 -33.47935, 147.85625 -33.47243, 147.87298 -33.46905, 147.88147 -33.46962, 147.8833 -33.46925, 147.88621 -33.46917, 147.89478 -33.46366, 147.89977 -33.46021, 147.90351 -33.4558, 147.90523 -33.45245, 147.90783 -33.44342, 147.90903 -33.44008, 147.91008 -33.4386, 147.9111 -33.43772, 147.92006 -33.43325, 147.92161 -33.43232, 147.94796 -33.41325, 147.9497 -33.41205, 147.95138 -33.41121, 147.95181 -33.41101, 147.954 -33.41084, 147.95592 -33.41086, 147.96111 -33.41165, 147.96346 -33.41145, 147.97039 -33.40953, 147.9675 -33.40235, 147.96853 -33.39748, 147.96862 -33.39736, 147.97006 -33.39755, 147.97073 -33.39416, 147.97193 -33.39343, 147.97261 -33.39117, 147.97307 -33.3889, 147.97433 -33.38874, 147.97579 -33.38816, 147.97612 -33.38701, 147.97578 -33.3847, 147.97629 -33.38418, 147.9783 -33.38099, 147.98069 -33.38154, 147.98385 -33.38195, 147.98482 -33.3773, 147.98536 -33.37674, 147.98626 -33.37243, 147.99237 -33.37015, 147.99663 -33.34934, 148.00661 -33.3507, 148.00813 -33.35072, 148.01232 -33.35133, 148.01726 -33.35232, 148.01721 -33.35209, 148.02258 -33.34408, 148.02319 -33.34168, 148.0252 -33.34007, 148.03259 -33.34094, 148.03511 -33.33996, 148.03592 -33.33896, 148.03766 -33.33771, 148.03978 -33.33703, 148.04455 -33.33677, 148.04615 -33.33637, 148.04786 -33.33539, 148.04869 -33.33455, 148.0492 -33.33385, 148.0524 -33.32783, 148.05434 -33.3235, 148.05718 -33.31637, 148.05807 -33.31471, 148.06134 -33.31095, 148.06213 -33.30954, 148.06417 -33.30484, 148.06526 -33.30345, 148.06753 -33.30143, 148.0681 -33.30062, 148.06847 -33.29941, 148.06832 -33.29538, 148.06884 -33.29363, 148.06976 -33.29209, 148.07331 -33.28683, 148.07478 -33.28494, 148.08302 -33.27754, 148.08407 -33.27601, 148.08942 -33.26645, 148.09084 -33.26427, 148.10926 -33.24361, 148.11133 -33.24065, 148.11239 -33.23854, 148.11442 -33.23271, 148.11445 -33.23213, 148.11531 -33.23013, 148.11665 -33.2276, 148.11864 -33.22488, 148.1189 -33.2218, 148.12108 -33.22014, 148.1227 -33.21927, 148.12393 -33.2177, 148.1258 -33.21419, 148.12584 -33.2138, 148.12519 -33.2127, 148.1239 -33.21099, 148.12404 -33.21024, 148.12464 -33.20979, 148.12586 -33.20392, 148.12587 -33.20306, 148.12646 -33.20156, 148.12746 -33.19606, 148.12803 -33.19483, 148.13021 -33.1921, 148.1304 -33.19107, 148.13037 -33.18897, 148.13186 -33.18594, 148.1364 -33.1815, 148.13736 -33.18033, 148.13697 -33.17986, 148.13761 -33.17905, 148.13988 -33.17732, 148.1452 -33.17589, 148.14971 -33.17178, 148.1522 -33.16996, 148.15271 -33.16456, 148.15264 -33.16286, 148.15212 -33.15895, 148.15241 -33.15652, 148.1529 -33.15477, 148.15364 -33.15308, 148.15423 -33.15207, 148.15614 -33.14964, 148.15682 -33.14686, 148.15577 -33.14595, 148.1545 -33.14434, 148.15251 -33.14256, 148.15281 -33.14209, 148.15118 -33.14054, 148.15241 -33.13569, 148.15525 -33.12956, 148.16009 -33.12395, 148.16072 -33.12273, 148.16277 -33.11175, 148.16303 -33.10853, 148.16349 -33.10779, 148.16608 -33.10579, 148.16717 -33.10316, 148.16361 -33.09313, 148.16334 -33.09009, 148.16135 -33.08454, 148.16117 -33.08255, 148.15776 -33.07291, 148.15653 -33.07056, 148.15504 -33.06924, 148.15294 -33.06674, 148.15326 -33.06611, 148.15345 -33.06522, 148.15324 -33.06358, 148.15317 -33.0608, 148.15401 -33.05779, 148.15416 -33.05642, 148.15542 -33.05242, 148.15562 -33.05048, 148.15525 -33.04896, 148.15557 -33.04813, 148.15711 -33.04009, 148.15494 -33.024, 148.15745 -33.02133, 148.15764 -33.01833, 148.15767 -33.011, 148.15827 -33.00718, 148.16056 -32.99825, 148.16049 -32.99792, 148.15854 -32.99562, 148.15866 -32.99432, 148.16986 -32.96124, 148.1714 -32.95298, 148.17172 -32.95259, 148.17311 -32.94517, 148.17298 -32.94466, 148.17529 -32.93205, 148.17287 -32.9317, 148.17295 -32.93125, 148.1728 -32.93106, 148.17676 -32.88208, 148.17742 -32.8799, 148.17792 -32.8788, 148.17877 -32.87751, 148.19213 -32.86372, 148.19206 -32.86333, 148.19747 -32.85763, 148.20042 -32.84274, 148.20171 -32.83168, 148.20189 -32.82862, 148.20178 -32.82635, 148.20188 -32.82492, 148.20234 -32.82323, 148.20302 -32.81745, 148.20902 -32.80067, 148.21029 -32.79688, 148.21024 -32.79662, 148.21166 -32.79313, 148.21217 -32.79123, 148.21426 -32.79159, 148.2144 -32.79144, 148.21417 -32.78929, 148.21123 -32.78273, 148.21129 -32.78225, 148.2093 -32.77836, 148.20751 -32.77647, 148.20002 -32.77161, 148.19869 -32.77028, 148.19801 -32.7693, 148.19739 -32.76789, 148.19667 -32.76424, 148.18544 -32.73769, 148.18471 -32.73421, 148.18558 -32.73385, 148.18516 -32.7328, 148.18532 -32.7324, 148.1849 -32.73222, 148.18397 -32.73006, 148.18353 -32.73016, 148.18325 -32.73002, 148.18181 -32.72659, 148.18104 -32.72618, 148.17531 -32.71259, 148.17511 -32.71169, 148.17522 -32.70973, 148.17792 -32.70503, 148.17803 -32.70312, 148.16423 -32.64165, 148.16395 -32.63838, 148.1641 -32.63662, 148.16566 -32.62758, 148.16581 -32.62475, 148.16541 -32.62168, 148.16279 -32.60864, 148.16323 -32.60807, 148.16312 -32.60695, 148.16228 -32.60619, 148.15757 -32.58284, 148.15726 -32.58206, 148.1568 -32.58092, 148.1565 -32.5809, 148.1563 -32.58062, 148.15376 -32.57596, 148.15269 -32.57566, 148.15118 -32.57279, 148.15094 -32.57193, 148.1509 -32.57045, 148.14369 -32.55682, 148.13729 -32.54202, 148.13772 -32.54175, 148.13718 -32.53882, 148.13449 -32.50838, 148.13433 -32.50823, 148.13248 -32.48591, 148.13219 -32.48359, 148.13182 -32.48332, 148.12992 -32.46209, 148.13007 -32.45989, 148.13364 -32.44062, 148.13884 -32.42268, 148.14209 -32.40781, 148.143 -32.40544, 148.15277 -32.38992, 148.16427 -32.36874, 148.16499 -32.36698, 148.16583 -32.36355, 148.16889 -32.34782, 148.16869 -32.34755, 148.16972 -32.34336, 148.17059 -32.34139, 148.17682 -32.33035, 148.17575 -32.32145, 148.17589 -32.32129, 148.17466 -32.31567, 148.17496 -32.31318, 148.17519 -32.30625, 148.17746 -32.30426, 148.18203 -32.29974, 148.18947 -32.28969, 148.20195 -32.27448, 148.2027 -32.27376, 148.20651 -32.27174, 148.20806 -32.26982, 148.20963 -32.2615, 148.21194 -32.25907, 148.21266 -32.25853, 148.21474 -32.25767, 148.21549 -32.25761, 148.21573 -32.25731, 148.21653 -32.25717, 148.21757 -32.25669, 148.21935 -32.25517, 148.22399 -32.25279, 148.22432 -32.25327, 148.22457 -32.25319, 148.22596 -32.25482, 148.22667 -32.25506, 148.23941 -32.25662, 148.23984 -32.25683, 148.25054 -32.25795, 148.26109 -32.2593, 148.26125 -32.25916, 148.26244 -32.25255, 148.26314 -32.25237, 148.28321 -32.25489, 148.28349 -32.25464, 148.28398 -32.2518, 148.28465 -32.24914, 148.28701 -32.24984, 148.28717 -32.24958, 148.29753 -32.25274, 148.30248 -32.25397, 148.30771 -32.25476, 148.31313 -32.25507, 148.31603 -32.25392, 148.31673 -32.25343, 148.32074 -32.25191, 148.33486 -32.24768, 148.34028 -32.24664, 148.35062 -32.2442, 148.35349 -32.2433, 148.3593 -32.24296, 148.36255 -32.2414, 148.36489 -32.23992, 148.36712 -32.23835, 148.3702 -32.2357, 148.37258 -32.23238, 148.37424 -32.22936, 148.3745 -32.22829, 148.37583 -32.22614, 148.3783 -32.22403, 148.3839 -32.22012, 148.3868 -32.21925, 148.38953 -32.21778, 148.39088 -32.21647, 148.39272 -32.21421, 148.39342 -32.21367, 148.39449 -32.21316, 148.39455 -32.21262, 148.39812 -32.21172, 148.40633 -32.21137, 148.41429 -32.20795, 148.4182 -32.20656, 148.41913 -32.20648, 148.42288 -32.20518, 148.4333 -32.2013, 148.43555 -32.20009, 148.43757 -32.19845, 148.43896 -32.19754, 148.44286 -32.19528, 148.44481 -32.19447, 148.44791 -32.19413, 148.45364 -32.1931, 148.45723 -32.19264, 148.46513 -32.19349, 148.46661 -32.19326, 148.47009 -32.19328, 148.47848 -32.1945, 148.48425 -32.19743, 148.48609 -32.19758, 148.48799 -32.19664, 148.48891 -32.19657, 148.49315 -32.1978, 148.49713 -32.19768, 148.49969 -32.19813, 148.50272 -32.19798, 148.50278 -32.19833, 148.50921 -32.1989, 148.51731 -32.19997, 148.51761 -32.20046, 148.5258 -32.20141, 148.52629 -32.20123, 148.52776 -32.20131, 148.5329 -32.20211, 148.53619 -32.20318, 148.54004 -32.20521, 148.55614 -32.2176, 148.55657 -32.2174, 148.55882 -32.21906, 148.5644 -32.22253, 148.56701 -32.22482, 148.57234 -32.22384, 148.57484 -32.22283, 148.57945 -32.22188, 148.58328 -32.22238, 148.58392 -32.2227, 148.59345 -32.22395, 148.59382 -32.22271, 148.5942 -32.22028, 148.60237 -32.2214, 148.60347 -32.222, 148.60733 -32.22241, 148.61109 -32.22149, 148.61478 -32.22204, 148.6171 -32.21787, 148.61776 -32.21597, 148.61792 -32.21431, 148.61835 -32.2143, 148.61847 -32.21259, 148.61983 -32.21167, 148.63261 -32.21358)"/>
  </r>
  <r>
    <s v="P1172"/>
    <s v="Gas"/>
    <s v="Australia"/>
    <s v="Australia"/>
    <s v="Australia"/>
    <m/>
    <s v="https://www.gem.wiki/Narrabri_to_Wellington_Pipeline"/>
    <x v="88"/>
    <m/>
    <m/>
    <s v="Santos Limited [100.00%]"/>
    <s v="Santos Limited [100.00%]"/>
    <x v="4"/>
    <m/>
    <m/>
    <m/>
    <m/>
    <n v="189.56"/>
    <s v="MMcf/d"/>
    <n v="1.96"/>
    <x v="29"/>
    <n v="83"/>
    <n v="258.92"/>
    <n v="83"/>
    <m/>
    <m/>
    <m/>
    <s v="Narrabi"/>
    <s v="Australia and New Zealand"/>
    <m/>
    <s v="New South Wales"/>
    <s v="Wellington"/>
    <m/>
    <s v="New South Wales"/>
    <s v="Australia and New Zealand"/>
    <m/>
    <m/>
    <m/>
    <m/>
    <m/>
    <s v="LINESTRING (149.7643474 -30.3281853, 148.9271724 -32.5503233)"/>
  </r>
  <r>
    <s v="P3621"/>
    <s v="Gas"/>
    <s v="Australia"/>
    <s v="Australia"/>
    <s v="Australia"/>
    <m/>
    <s v="https://www.gem.wiki/Beetaloo_Lateral_Pipeline"/>
    <x v="89"/>
    <s v="Amadeus Gas Pipeline (AGP) Lateral (1a)"/>
    <m/>
    <s v="Unknown [unknown %]"/>
    <s v="Unknown [unknown %]"/>
    <x v="1"/>
    <n v="2025"/>
    <m/>
    <m/>
    <m/>
    <n v="350"/>
    <s v="TJ/d"/>
    <n v="3.58"/>
    <x v="74"/>
    <s v="--"/>
    <n v="86.84"/>
    <n v="86.84"/>
    <m/>
    <m/>
    <m/>
    <m/>
    <s v="Australia and New Zealand"/>
    <m/>
    <m/>
    <m/>
    <m/>
    <m/>
    <s v="Australia and New Zealand"/>
    <m/>
    <m/>
    <m/>
    <m/>
    <m/>
    <s v="LINESTRING (134.091126 -16.385607, 133.985711 -16.361878, 133.669996 -16.285557, 133.530165 -16.246368, 133.486829 -16.238338, 133.383491 -16.207789, 133.302633 -16.212655)"/>
  </r>
  <r>
    <s v="P3622"/>
    <s v="Gas"/>
    <s v="Australia"/>
    <s v="Australia"/>
    <s v="Australia"/>
    <m/>
    <s v="https://www.gem.wiki/Beetaloo_Lateral_Pipeline"/>
    <x v="89"/>
    <s v="Northern Gas Pipeline (NGP) Lateral (1b)"/>
    <m/>
    <s v="Unknown [unknown %]"/>
    <s v="Unknown [unknown %]"/>
    <x v="1"/>
    <n v="2025"/>
    <m/>
    <m/>
    <m/>
    <n v="350"/>
    <s v="TJ/d"/>
    <n v="3.58"/>
    <x v="74"/>
    <s v="--"/>
    <n v="361.14"/>
    <n v="361.14"/>
    <m/>
    <m/>
    <m/>
    <m/>
    <s v="Australia and New Zealand"/>
    <m/>
    <m/>
    <m/>
    <m/>
    <m/>
    <s v="Australia and New Zealand"/>
    <m/>
    <m/>
    <m/>
    <m/>
    <m/>
    <s v="LINESTRING (134.091126 -16.385607, 134.173101 -19.647581)"/>
  </r>
  <r>
    <s v="P3623"/>
    <s v="Gas"/>
    <s v="Australia"/>
    <s v="Australia"/>
    <s v="Australia"/>
    <m/>
    <s v="https://www.gem.wiki/Beetaloo_Lateral_Pipeline"/>
    <x v="89"/>
    <s v="Beetaloo to Mount Isa Pipeline (BIP) (1c)"/>
    <m/>
    <s v="Unknown [unknown %]"/>
    <s v="Unknown [unknown %]"/>
    <x v="1"/>
    <n v="2025"/>
    <m/>
    <m/>
    <m/>
    <n v="350"/>
    <s v="TJ/d"/>
    <n v="3.58"/>
    <x v="74"/>
    <s v="--"/>
    <n v="748.96"/>
    <n v="748.96"/>
    <m/>
    <m/>
    <m/>
    <m/>
    <s v="Australia and New Zealand"/>
    <m/>
    <m/>
    <m/>
    <m/>
    <m/>
    <s v="Australia and New Zealand"/>
    <m/>
    <m/>
    <m/>
    <m/>
    <m/>
    <s v="LINESTRING (134.091126 -16.385607, 139.482462 -20.787127)"/>
  </r>
  <r>
    <s v="P3625"/>
    <s v="Gas"/>
    <s v="Australia"/>
    <s v="Australia"/>
    <s v="Australia"/>
    <m/>
    <s v="https://www.gem.wiki/Beetaloo_Lateral_Pipeline"/>
    <x v="89"/>
    <s v="Beetaloo Lateral Pipeline capacity expansion"/>
    <m/>
    <s v="Unknown [unknown %]"/>
    <s v="Unknown [unknown %]"/>
    <x v="1"/>
    <n v="2028"/>
    <m/>
    <m/>
    <m/>
    <n v="1350"/>
    <s v="TJ/d"/>
    <n v="13.81"/>
    <x v="75"/>
    <n v="0"/>
    <s v="--"/>
    <n v="0"/>
    <m/>
    <m/>
    <m/>
    <m/>
    <s v="Australia and New Zealand"/>
    <m/>
    <m/>
    <m/>
    <m/>
    <m/>
    <s v="Australia and New Zealand"/>
    <m/>
    <m/>
    <m/>
    <m/>
    <m/>
    <s v="--"/>
  </r>
  <r>
    <s v="P3626"/>
    <s v="Gas"/>
    <s v="Australia"/>
    <s v="Australia"/>
    <s v="Australia"/>
    <m/>
    <s v="https://www.gem.wiki/Northern_Gas_Pipeline"/>
    <x v="5"/>
    <s v="Mainline twinning project"/>
    <m/>
    <s v="Unknown [unknown %]"/>
    <s v="Unknown [unknown %]"/>
    <x v="1"/>
    <n v="2028"/>
    <m/>
    <m/>
    <m/>
    <n v="1608"/>
    <s v="TJ/d"/>
    <n v="16.45"/>
    <x v="76"/>
    <n v="622"/>
    <n v="613.72"/>
    <n v="622"/>
    <m/>
    <m/>
    <m/>
    <m/>
    <s v="Australia and New Zealand"/>
    <m/>
    <m/>
    <m/>
    <m/>
    <m/>
    <s v="Australia and New Zealand"/>
    <m/>
    <m/>
    <m/>
    <m/>
    <m/>
    <s v="LINESTRING (133.960504 -19.665309, 134.173101 -19.647581, 135.524848 -19.534859, 137.315844 -20.397532, 137.99682 -20.611785, 138.065553 -20.630959, 138.126213 -20.649457, 138.133386 -20.65237, 138.195722 -20.668016, 138.30008 -20.68279, 138.473804 -20.715892, 138.609701 -20.740771, 138.695986 -20.750399, 138.704181 -20.753327, 138.88442 -20.746637, 138.996946 -20.749098, 139.120574 -20.760721, 139.173218 -20.775522, 139.177761 -20.781631, 139.187676 -20.796749, 139.189582 -20.797486, 139.192752 -20.799988, 139.224085 -20.825142, 139.233025 -20.824975, 139.235163 -20.825327, 139.236869 -20.824792, 139.263519 -20.824284, 139.281515 -20.825867, 139.286608 -20.82521, 139.303194 -20.830137, 139.311457 -20.830854, 139.333781 -20.835483, 139.336615 -20.835569, 139.34222 -20.831385, 139.362953 -20.81172, 139.377985 -20.811768, 139.380883 -20.813351, 139.395587 -20.813557, 139.397422 -20.812499, 139.397897 -20.812147, 139.398923 -20.811933, 139.400373 -20.812237, 139.402167 -20.812436, 139.415385 -20.810914, 139.417897 -20.809926, 139.419675 -20.810043, 139.42219 -20.810835, 139.42666 -20.814647, 139.429267 -20.816014, 139.430182 -20.816145, 139.431189 -20.816661, 139.431803 -20.817401, 139.43262 -20.817893, 139.433851 -20.818417, 139.435301 -20.818767, 139.436192 -20.818784, 139.438445 -20.819633, 139.438574 -20.821066, 139.439107 -20.822121, 139.442331 -20.822951, 139.44733 -20.824837, 139.450815 -20.823863, 139.455542 -20.823097, 139.456675 -20.822583, 139.457675 -20.822342, 139.45948 -20.822512, 139.461582 -20.822041, 139.461941 -20.819609, 139.464714 -20.815394, 139.466825 -20.810985, 139.467967 -20.808626, 139.473048 -20.80475, 139.474235 -20.801342, 139.481817 -20.790484, 139.482547 -20.790002, 139.482462 -20.787127)"/>
  </r>
  <r>
    <s v="P3627"/>
    <s v="Gas"/>
    <s v="Australia"/>
    <s v="Australia"/>
    <s v="Australia"/>
    <m/>
    <s v="https://www.gem.wiki/Carpentaria_Gas_Pipeline"/>
    <x v="60"/>
    <s v="Mainline twinning project"/>
    <m/>
    <s v="Unknown [unknown %]"/>
    <s v="Unknown [unknown %]"/>
    <x v="1"/>
    <n v="2028"/>
    <m/>
    <m/>
    <m/>
    <n v="1081"/>
    <s v="TJ/d"/>
    <n v="11.06"/>
    <x v="77"/>
    <n v="840"/>
    <n v="840.51"/>
    <n v="840"/>
    <m/>
    <m/>
    <m/>
    <m/>
    <s v="Australia and New Zealand"/>
    <m/>
    <m/>
    <m/>
    <m/>
    <m/>
    <s v="Australia and New Zealand"/>
    <m/>
    <m/>
    <m/>
    <m/>
    <m/>
    <s v="LINESTRING (139.48417 -20.780624, 139.494102 -20.811502, 139.49712 -20.817193, 139.503015 -20.818572, 139.502965 -20.822691, 139.50485 -20.829302, 139.505079 -20.831418, 139.506642 -20.834647, 139.507913 -20.838272, 139.50981 -20.839788, 139.51382 -20.841449, 139.515589 -20.841401, 139.520989 -20.843214, 139.521958 -20.843792, 139.533105 -20.849592, 139.542326 -20.854052, 139.564635 -20.861729, 139.569192 -20.868642, 139.570501 -20.870385, 139.570489 -20.870386, 139.571892 -20.872334, 139.573325 -20.876243, 139.573945 -20.878637, 139.573699 -20.881759, 139.570269 -20.894983, 139.57194 -20.90891, 139.572485 -20.911158, 139.572809 -20.916143, 139.577842 -20.947135, 139.577005 -20.948239, 139.579284 -20.961518, 139.580601 -20.969184, 139.582375 -20.977718, 139.581376 -20.980121, 139.582623 -20.986713, 139.585276 -20.99736, 139.586653 -21.002868, 139.586933 -21.003995, 139.587654 -21.009222, 139.588965 -21.010968, 139.590962 -21.011346, 139.59253 -21.014403, 139.598659 -21.031852, 139.598785 -21.033841, 139.601285 -21.039227, 139.600308 -21.0408, 139.609218 -21.053204, 139.616278 -21.057824, 139.62149 -21.061353, 139.62238 -21.062355, 139.624036 -21.063475, 139.626291 -21.063285, 139.630652 -21.06346, 139.632571 -21.064044, 139.634836 -21.066881, 139.63924 -21.073673, 139.643329 -21.076931, 139.65152 -21.087611, 139.65844 -21.104848, 139.660196 -21.109863, 139.662373 -21.116081, 139.672931 -21.138097, 139.681786 -21.148248, 139.684048 -21.153903, 139.688252 -21.163005, 139.690939 -21.168546, 139.692335 -21.171614, 139.693601 -21.174063, 139.694779 -21.17698, 139.708873 -21.207926, 139.710118 -21.211367, 139.711107 -21.212831, 139.719509 -21.232828, 139.722679 -21.240371, 139.730454 -21.254062, 139.73423 -21.269512, 139.734281 -21.269719, 139.736852 -21.285737, 139.736608 -21.289566, 139.737868 -21.294327, 139.737538 -21.300205, 139.740439 -21.310525, 139.741796 -21.311872, 139.746109 -21.326223, 139.74851 -21.336377, 139.75082 -21.341498, 139.762672 -21.360027, 139.762672 -21.360028, 139.788803 -21.400861, 139.789124 -21.401468, 139.789496 -21.402049, 139.789917 -21.402601, 139.797271 -21.414088, 139.801958 -21.43443, 139.805719 -21.442975, 139.808856 -21.45111, 139.821902 -21.464203, 139.822899 -21.465641, 139.825982 -21.46795, 139.826808 -21.468628, 139.828734 -21.468945, 139.83116 -21.471241, 139.831743 -21.473187, 139.8334 -21.47513, 139.857191 -21.503003, 139.86021 -21.505947, 139.863208 -21.508345, 139.864261 -21.510087, 139.865013 -21.510995, 139.866737 -21.512313, 139.895235 -21.540099, 139.9074 -21.553152, 139.923921 -21.570315, 139.93007 -21.575964, 139.939904 -21.584998, 139.95298 -21.594801, 139.959527 -21.600525, 139.958405 -21.607428, 139.956203 -21.612672, 139.956451 -21.619901, 139.969357 -21.658258, 139.968219 -21.670185, 139.968427 -21.671895, 139.968402 -21.673969, 139.969502 -21.696678, 139.969718 -21.701135, 139.967805 -21.725746, 139.96744 -21.730435, 139.965809 -21.758448, 139.966735 -21.764199, 139.965266 -21.772031, 139.964694 -21.824748, 139.962506 -21.831513, 139.962505 -21.831513, 139.954559 -21.856067, 139.94645 -21.87448, 139.941567 -21.886889, 139.940973 -21.888782, 139.940078 -21.89067, 139.935402 -21.902549, 139.934014 -21.908249, 139.938605 -21.918396, 139.956487 -21.958222, 139.958334 -21.962335, 139.964638 -21.979809, 139.965308 -21.981737, 139.967859 -21.991184, 139.968421 -21.993178, 139.987264 -22.06297, 139.987265 -22.062973, 139.987779 -22.064967, 139.992643 -22.076746, 139.993463 -22.078669, 139.997338 -22.088057, 140.049614 -22.214502, 140.049615 -22.214502, 140.056039 -22.230026, 140.057768 -22.234203, 140.069327 -22.242635, 140.072048 -22.24359, 140.09616 -22.252073, 140.096159 -22.252075, 140.097701 -22.252443, 140.098947 -22.252638, 140.100141 -22.253476, 140.103731 -22.254734, 140.104826 -22.257803, 140.111876 -22.277345, 140.127461 -22.317502, 140.138893 -22.346921, 140.139108 -22.433507, 140.144386 -22.450381, 140.154045 -22.481255, 140.17451 -22.582835, 140.175856 -22.589514, 140.187047 -22.623771, 140.20409 -22.690395, 140.210695 -22.71404, 140.247371 -22.845197, 140.268478 -22.920567, 140.270043 -22.924087, 140.292177 -22.973851, 140.297948 -22.986821, 140.321918 -23.030203, 140.323115 -23.032755, 140.333956 -23.039797, 140.335633 -23.040475, 140.344558 -23.046684, 140.348491 -23.069246, 140.357554 -23.090509, 140.365253 -23.108566, 140.369817 -23.120495, 140.371176 -23.124448, 140.379543 -23.142068, 140.409371 -23.217236, 140.420727 -23.245832, 140.438861 -23.294108, 140.440957 -23.298675, 140.443351 -23.306054, 140.453793 -23.330961, 140.454066 -23.331952, 140.459403 -23.344585, 140.473871 -23.378819, 140.474081 -23.379342, 140.474081 -23.379342, 140.511005 -23.471425, 140.522036 -23.49891, 140.522574 -23.501097, 140.549079 -23.56624, 140.554084 -23.578691, 140.556379 -23.585669, 140.560315 -23.59419, 140.562583 -23.59826, 140.563062 -23.599121, 140.593655 -23.677841, 140.612773 -23.725458, 140.663861 -23.852526, 140.6681 -23.863056, 140.6681 -23.863057, 140.669419 -23.865517, 140.669348 -23.866585, 140.66964 -23.866947, 140.670697 -23.869508, 140.677486 -23.886371, 140.680482 -23.894597, 140.68545 -23.906768, 140.686385 -23.908671, 140.687018 -23.910609, 140.695708 -23.931889, 140.698915 -23.939741, 140.700429 -23.945661, 140.701197 -23.946968, 140.701824 -23.951202, 140.702253 -23.952879, 140.703326 -23.954478, 140.704316 -23.95666, 140.704919 -23.958214, 140.712187 -23.972897, 140.718176 -23.977241, 140.786308 -24.026616, 140.788557 -24.030279, 140.791319 -24.034921, 140.792368 -24.036645, 140.815495 -24.075497, 140.832008 -24.10322, 140.838555 -24.113696, 140.840676 -24.117341, 140.848443 -24.129869, 140.850618 -24.132995, 140.854972 -24.139959, 140.862094 -24.144153, 140.870043 -24.143735, 140.902423 -24.164699, 140.912495 -24.161182, 140.91293 -24.16103, 140.91761 -24.170805, 140.930836 -24.18109, 140.93273 -24.183287, 140.934131 -24.184866, 140.935513 -24.186516, 140.94351 -24.19579, 140.971912 -24.223572, 140.993727 -24.228578, 141.020153 -24.248934, 141.073562 -24.290041, 141.092622 -24.32035, 141.100273 -24.324573, 141.10849 -24.337354, 141.10849 -24.337354, 141.110431 -24.340374, 141.113763 -24.341778, 141.115107 -24.346724, 141.116902 -24.348387, 141.123011 -24.354045, 141.12659 -24.365844, 141.131761 -24.367883, 141.135401 -24.379007, 141.141493 -24.39469, 141.151546 -24.406485, 141.156419 -24.41515, 141.163168 -24.424093, 141.184434 -24.45473, 141.188204 -24.457735, 141.191795 -24.463436, 141.192995 -24.465342, 141.203419 -24.476166, 141.204617 -24.48488, 141.21401 -24.494874, 141.219798 -24.503347, 141.22214 -24.510207, 141.226178 -24.516126, 141.230164 -24.520446, 141.231048 -24.523471, 141.232071 -24.525255, 141.235913 -24.52787, 141.236114 -24.529514, 141.237331 -24.533176, 141.241656 -24.536749, 141.246637 -24.544228, 141.250263 -24.550535, 141.252129 -24.555454, 141.257473 -24.56081, 141.258649 -24.566109, 141.266802 -24.577355, 141.27634 -24.590508, 141.345851 -24.691942, 141.424666 -24.806709, 141.426008 -24.808662, 141.426265 -24.808994, 141.487308 -24.888002, 141.495496 -24.923306, 141.508866 -24.980903, 141.521746 -25.006687, 141.529745 -25.054393, 141.531714 -25.066128, 141.534434 -25.069261, 141.5416 -25.073227, 141.545404 -25.083571, 141.54654 -25.089229, 141.563499 -25.130725, 141.576371 -25.165723, 141.581422 -25.179065, 141.58579 -25.190601, 141.585875 -25.191643, 141.587241 -25.194434, 141.592925 -25.209438, 141.594064 -25.217097, 141.594519 -25.2187, 141.59462 -25.219414, 141.601755 -25.23467, 141.624884 -25.257276, 141.632987 -25.266769, 141.647995 -25.282191, 141.651996 -25.294821, 141.674934 -25.367124, 141.674934 -25.367125, 141.693287 -25.424974, 141.721132 -25.512572, 141.726661 -25.520175, 141.742329 -25.552341, 141.74233 -25.552341, 141.747738 -25.563439, 141.788017 -25.6789, 141.78918 -25.680846, 141.809595 -25.71499, 141.832699 -25.769128, 141.835175 -25.775389, 141.843185 -25.803723, 141.843842 -25.806326, 141.848131 -25.823288, 141.853522 -25.846186, 141.857878 -25.864685, 141.85841 -25.869224, 141.862989 -25.91558, 141.865194 -25.91815, 141.866607 -25.939465, 141.866686 -25.94066, 141.936948 -26.010821, 141.940003 -26.014295, 141.966017 -26.040449, 142.066325 -26.141131, 142.066326 -26.141131, 142.142108 -26.217031, 142.144579 -26.22, 142.166469 -26.24199, 142.237263 -26.313026, 142.2401 -26.352867, 142.244838 -26.419301, 142.244838 -26.419301, 142.244866 -26.4197, 142.236518 -26.433323, 142.235722 -26.486203, 142.235257 -26.517114, 142.225363 -26.582335, 142.218613 -26.620021, 142.218661 -26.620521, 142.223868 -26.673944, 142.202744 -26.705451, 142.185435 -26.747685, 142.164787 -26.798022, 142.147015 -26.832374, 142.133175 -26.846217, 142.11484 -26.860834, 142.113956 -26.864037, 142.109117 -26.881563, 142.104359 -26.898796, 142.095963 -26.915662, 142.086191 -26.9237, 142.081488 -26.933288, 142.073272 -26.944165, 142.066273 -26.983895, 142.065825 -26.989293, 142.060171 -27.057435, 142.05923 -27.124509, 142.059231 -27.124509, 142.05868 -27.163773, 142.057418 -27.164766, 142.056488 -27.250281, 142.046831 -27.25322, 141.976945 -27.274431, 141.973281 -27.275577, 141.968606 -27.277043, 141.965401 -27.277272, 141.960051 -27.280162, 141.958253 -27.280219, 141.904588 -27.296605, 141.903589 -27.296715, 141.903519 -27.296723, 141.900599 -27.297047, 141.896228 -27.299155, 141.892275 -27.305165, 141.890706 -27.306168, 141.890517 -27.309022, 141.889188 -27.312281, 141.884204 -27.317178, 141.872934 -27.323451, 141.866175 -27.329081, 141.861031 -27.333085, 141.833098 -27.346227, 141.830333 -27.349556, 141.829084 -27.351586, 141.827126 -27.353358, 141.815279 -27.371564, 141.814618 -27.372306, 141.813567 -27.3747, 141.813167 -27.375193, 141.81094 -27.37643, 141.809541 -27.377999, 141.803089 -27.384951, 141.807279 -27.388049, 141.807398 -27.387921)"/>
  </r>
  <r>
    <s v="P3628"/>
    <s v="Gas"/>
    <s v="Australia"/>
    <s v="Australia"/>
    <s v="Australia"/>
    <m/>
    <s v="https://www.gem.wiki/Galilee_Gas_Pipeline"/>
    <x v="73"/>
    <s v="Capacity expansion for Beetaloo Basin"/>
    <m/>
    <s v="Unknown [unknown %]"/>
    <s v="Unknown [unknown %]"/>
    <x v="1"/>
    <n v="2028"/>
    <m/>
    <m/>
    <m/>
    <n v="500"/>
    <s v="TJ/d"/>
    <n v="5.1100000000000003"/>
    <x v="7"/>
    <n v="0"/>
    <s v="--"/>
    <n v="0"/>
    <m/>
    <m/>
    <m/>
    <m/>
    <s v="Australia and New Zealand"/>
    <m/>
    <m/>
    <m/>
    <m/>
    <m/>
    <s v="Australia and New Zealand"/>
    <m/>
    <m/>
    <m/>
    <m/>
    <m/>
    <s v="--"/>
  </r>
  <r>
    <s v="P3629"/>
    <s v="Gas"/>
    <s v="Australia"/>
    <s v="Australia"/>
    <s v="Australia"/>
    <m/>
    <s v="https://www.gem.wiki/Queensland_Hunter_Gas_Pipeline"/>
    <x v="16"/>
    <s v="Mainline twinning project"/>
    <m/>
    <s v="Unknown [unknown %]"/>
    <s v="Unknown [unknown %]"/>
    <x v="1"/>
    <n v="2028"/>
    <m/>
    <m/>
    <m/>
    <n v="700"/>
    <s v="TJ/d"/>
    <n v="7.16"/>
    <x v="78"/>
    <n v="820"/>
    <n v="770.7"/>
    <n v="820"/>
    <m/>
    <m/>
    <m/>
    <m/>
    <s v="Australia and New Zealand"/>
    <m/>
    <m/>
    <m/>
    <m/>
    <m/>
    <s v="Australia and New Zealand"/>
    <m/>
    <m/>
    <m/>
    <m/>
    <m/>
    <s v="MULTILINESTRING ((149.186142 -26.693663, 149.24233 -26.74534, 149.264841 -26.774416, 149.265779 -26.809119, 149.268593 -26.889782, 149.27891 -26.964817, 149.30142 -27.009838, 149.307048 -27.056735, 149.33331 -27.09519, 149.372703 -27.134583, 149.386773 -27.15428, 149.394276 -27.188046, 149.416912 -27.43204, 149.431076 -27.635048, 149.426354 -27.715307, 149.40747 -27.76724, 149.398028 -27.800288, 149.393307 -27.861662, 149.393307 -27.923037, 149.393307 -27.993853, 149.421633 -28.083555, 149.464123 -28.211025, 149.483008 -28.305448, 149.516056 -28.39987, 149.544383 -28.475408, 149.567624 -28.631634, 149.579103 -28.669899, 149.590583 -28.696684, 149.617368 -28.738775, 149.6365 -28.769386, 149.655632 -28.811477, 149.670938 -28.857394, 149.682417 -28.914791, 149.682417 -28.964534, 149.678591 -29.025757, 149.682417 -29.075501, 149.69007 -29.121418, 149.698349 -29.147488, 149.713029 -29.167335, 149.762772 -29.220905, 149.827822 -29.301261, 149.873739 -29.351004, 149.90435 -29.393095, 149.916811 -29.410826, 149.923483 -29.423707, 149.924732 -29.430953, 149.923129 -29.437678, 149.919656 -29.450492, 149.908177 -29.530847, 149.869912 -29.741301, 149.846248 -29.938805, 149.827822 -30.062721, 149.827822 -30.181341, 149.820269 -30.305444, 149.823995 -30.334398), (149.823995 -30.334398, 149.828655 -30.34977, 149.877565 -30.437712, 149.938788 -30.537199, 149.948157 -30.551782, 149.961068 -30.564694, 150.006327 -30.597515, 150.018374 -30.608224, 150.029752 -30.613578, 150.084193 -30.629034, 150.106718 -30.637672, 150.124788 -30.646372, 150.13011 -30.651992, 150.134827 -30.660427, 150.137763 -30.68643, 150.160722 -30.759132, 150.214292 -30.835661, 150.260209 -30.893058, 150.298473 -30.954281, 150.348217 -31.046115, 150.401787 -31.12647, 150.436225 -31.187693, 150.46301 -31.222131, 150.487631 -31.257509, 150.532342 -31.299116, 150.547965 -31.311401, 150.557689 -31.31918, 150.563523 -31.328904, 150.565468 -31.336035, 150.566223 -31.350744, 150.575903 -31.399145, 150.585584 -31.44432, 150.609784 -31.484654, 150.646892 -31.518535, 150.682386 -31.570163, 150.716267 -31.634698, 150.7324 -31.696006, 150.771121 -31.728273, 150.822749 -31.768607, 150.867923 -31.789581, 150.877926 -31.800184, 150.885056 -31.811204, 150.889594 -31.821576, 150.892124 -31.834756, 150.887001 -31.863064, 150.877277 -31.891587, 150.840496 -31.967052, 150.827589 -32.004159, 150.826714 -32.023831, 150.830816 -32.041267, 150.859857 -32.088055, 150.887649 -32.134682, 150.907745 -32.162557, 150.930434 -32.18719, 151.034101 -32.280046, 151.127676 -32.346194, 151.142938 -32.353015, 151.156617 -32.363186, 151.167139 -32.377216, 151.174464 -32.392982, 151.178715 -32.406948, 151.184144 -32.415569, 151.19168 -32.422506, 151.230932 -32.455903, 151.285787 -32.486557, 151.356775 -32.543025, 151.384202 -32.572066, 151.401714 -32.583921, 151.42131 -32.591426, 151.490685 -32.604333, 151.504138 -32.609203, 151.535254 -32.630595, 151.576193 -32.660801, 151.611099 -32.692179, 151.621368 -32.701136, 151.629899 -32.709034, 151.653236 -32.735612, 151.662311 -32.751818, 151.668155 -32.764057, 151.678145 -32.787329, 151.681042 -32.799278, 151.682354 -32.810076, 151.68296 -32.820168, 151.6831 -32.82622))"/>
  </r>
  <r>
    <s v="P3630"/>
    <s v="Gas"/>
    <s v="Australia"/>
    <s v="Australia"/>
    <s v="Australia"/>
    <m/>
    <s v="https://www.gem.wiki/Denison_Gas_Pipeline"/>
    <x v="90"/>
    <m/>
    <m/>
    <s v="Denison Gas (Queensland) Pty Ltd [100.00%]"/>
    <s v="Denison Gas (Queensland) Pty Ltd [100.00%]"/>
    <x v="0"/>
    <m/>
    <m/>
    <m/>
    <m/>
    <m/>
    <m/>
    <s v="--"/>
    <x v="2"/>
    <n v="127"/>
    <n v="118.84"/>
    <n v="127"/>
    <m/>
    <m/>
    <s v="Denison Trough"/>
    <m/>
    <s v="Australia and New Zealand"/>
    <m/>
    <s v="Queensland"/>
    <s v="Queensland Gas Pipeline"/>
    <m/>
    <s v="Queensland"/>
    <s v="Australia and New Zealand"/>
    <m/>
    <m/>
    <m/>
    <m/>
    <m/>
    <s v="MULTILINESTRING ((148.379345 -23.92569, 148.379435 -23.925775, 148.390418 -23.939637, 148.390628 -23.940054, 148.39072 -23.940171, 148.390802 -23.940274, 148.39117 -23.940586, 148.399295 -23.950863, 148.402178 -23.954513, 148.403226 -23.95584, 148.430064 -23.981358, 148.439699 -23.991742, 148.441636 -23.993589, 148.442789 -23.994688, 148.468767 -24.021894, 148.491275 -24.041911, 148.491552 -24.042063, 148.491599 -24.042131, 148.502306 -24.057185, 148.505966 -24.064949, 148.505976 -24.064969, 148.505515 -24.071792, 148.504319 -24.08995, 148.504273 -24.090339, 148.504376 -24.090379, 148.511668 -24.113497, 148.522545 -24.152022, 148.530675 -24.196169, 148.535283 -24.210785, 148.539499 -24.2278, 148.546094 -24.237833, 148.579751 -24.287952, 148.589225 -24.302051, 148.590306 -24.309221, 148.59334 -24.320146, 148.606282 -24.346064, 148.609003 -24.347417, 148.60699 -24.355937, 148.620662 -24.38813, 148.634211 -24.414529, 148.643651 -24.428255, 148.646224 -24.431238, 148.646849 -24.43132, 148.653904 -24.446779, 148.660656 -24.462399, 148.666106 -24.47577, 148.665998 -24.478165, 148.67137 -24.487162, 148.671541 -24.492031, 148.671413 -24.492886, 148.672934 -24.493449, 148.673275 -24.493488, 148.686422 -24.521767, 148.69782 -24.546341, 148.724095 -24.573628, 148.747177 -24.597722, 148.763189 -24.611258, 148.776702 -24.62084, 148.78358 -24.626862, 148.784261 -24.627562, 148.802488 -24.646264, 148.842966 -24.707708, 148.843641 -24.708399, 148.843709 -24.708542), (148.639934 -24.56161, 148.638979 -24.558645, 148.638043 -24.549568, 148.638091 -24.546407, 148.63762 -24.541273, 148.638508 -24.540749, 148.639753 -24.540921, 148.65959 -24.516888, 148.661567 -24.502098, 148.671207 -24.494463, 148.671426 -24.492921), (148.624453 -24.5614, 148.63231 -24.547972, 148.635549 -24.542438, 148.63762 -24.541273), (148.632204 -24.554021, 148.632131 -24.553761, 148.632317 -24.548776, 148.632318 -24.547976), (148.62424 -24.546699, 148.63231 -24.547972), (148.409607 -24.009051, 148.441594 -23.993609, 148.441636 -23.993589), (148.500021 -24.065179, 148.50548 -24.064967, 148.505966 -24.064949))"/>
  </r>
  <r>
    <s v="P3631"/>
    <s v="Gas"/>
    <s v="Australia"/>
    <s v="Australia"/>
    <s v="Australia"/>
    <m/>
    <s v="https://www.gem.wiki/Gatton_to_Gympie_Pipeline"/>
    <x v="91"/>
    <m/>
    <m/>
    <s v="Allgas Energy Pty Ltd [100.00%]"/>
    <s v="APA Group [100.00%]"/>
    <x v="4"/>
    <m/>
    <m/>
    <m/>
    <m/>
    <m/>
    <m/>
    <s v="--"/>
    <x v="2"/>
    <n v="200"/>
    <n v="213.83"/>
    <n v="200"/>
    <s v="4, 6, 8"/>
    <s v="in"/>
    <s v="Roma to Brisbane Pipeline, Wallumbilla gas hub"/>
    <m/>
    <s v="Australia and New Zealand"/>
    <m/>
    <s v="Queensland"/>
    <m/>
    <m/>
    <s v="Queensland"/>
    <s v="Australia and New Zealand"/>
    <m/>
    <m/>
    <m/>
    <m/>
    <m/>
    <s v="LINESTRING (152.278053 -27.53554, 152.277548 -27.532909, 152.278454 -27.527992, 152.278571 -27.527355, 152.282883 -27.527947, 152.284476 -27.528166, 152.284842 -27.527931, 152.284689 -27.526132, 152.285175 -27.525088, 152.287281 -27.520553, 152.28768 -27.519695, 152.288469 -27.515719, 152.288794 -27.51408, 152.288519 -27.512392, 152.288818 -27.5108, 152.289679 -27.506216, 152.289854 -27.50593, 152.290137 -27.505472, 152.290228 -27.505171, 152.290365 -27.504453, 152.290671 -27.504249, 152.291113 -27.503586, 152.291678 -27.502996, 152.292334 -27.502491, 152.292866 -27.502198, 152.293066 -27.502088, 152.295187 -27.501873, 152.295584 -27.501554, 152.29714 -27.501564, 152.297812 -27.501568, 152.298666 -27.501573, 152.299353 -27.501579, 152.299704 -27.501581, 152.300268 -27.50156, 152.300985 -27.501535, 152.302084 -27.501478, 152.30303 -27.499612, 152.303396 -27.497623, 152.303671 -27.496091, 152.304937 -27.49576, 152.305049 -27.495749, 152.305746 -27.495683, 152.307073 -27.495752, 152.308233 -27.495433, 152.309942 -27.495016, 152.309951 -27.495016, 152.310781 -27.494999, 152.311547 -27.4909, 152.312465 -27.485985, 152.312643 -27.485037, 152.314123 -27.484497, 152.314573 -27.482079, 152.315487 -27.477163, 152.315755 -27.475723, 152.316402 -27.472248, 152.317022 -27.468914, 152.318355 -27.468013, 152.321401 -27.465957, 152.321644 -27.464655, 152.32256 -27.459739, 152.323475 -27.454824, 152.324391 -27.449908, 152.325002 -27.446632, 152.325215 -27.44553, 152.325078 -27.445276, 152.325124 -27.445024, 152.32578 -27.441433, 152.326023 -27.440106, 152.326406 -27.438013, 152.326711 -27.43635, 152.326222 -27.435678, 152.326305 -27.435337, 152.326726 -27.433609, 152.326619 -27.433416, 152.32718 -27.430468, 152.327245 -27.43013, 152.329443 -27.426025, 152.331803 -27.421618, 152.333317 -27.418791, 152.334187 -27.418449, 152.334539 -27.417666, 152.336588 -27.413105, 152.337254 -27.411621, 152.338879 -27.408665, 152.339787 -27.407015, 152.341403 -27.40435, 152.341969 -27.403417, 152.343487 -27.399815, 152.344792 -27.396719, 152.345557 -27.395268, 152.347891 -27.390846, 152.348026 -27.39059, 152.34644 -27.386961, 152.346951 -27.386413, 152.347935 -27.385358, 152.349585 -27.382207, 152.34969 -27.382007, 152.350697 -27.380104, 152.351185 -27.377529, 152.351963 -27.373432, 152.352117 -27.372616, 152.352863 -27.36865, 152.353044 -27.367703, 152.353123 -27.367294, 152.354218 -27.362843, 152.354435 -27.361961, 152.354816 -27.360111, 152.355675 -27.358082, 152.35593 -27.357479, 152.356525 -27.355926, 152.356984 -27.353284, 152.357166 -27.352234, 152.357818 -27.348354, 152.357975 -27.347421, 152.358648 -27.343423, 152.359119 -27.340629, 152.358078 -27.338729, 152.357868 -27.338346, 152.35889 -27.335361, 152.358005 -27.33498, 152.358081 -27.334816, 152.358198 -27.33458, 152.359302 -27.33234, 152.359928 -27.331575, 152.36063 -27.330946, 152.361144 -27.330695, 152.361545 -27.330499, 152.363422 -27.328865, 152.362781 -27.328113, 152.362522 -27.327255, 152.362477 -27.32708, 152.362293 -27.326351, 152.362171 -27.325449, 152.362186 -27.324518, 152.36241 -27.322122, 152.362552 -27.320595, 152.362911 -27.317147, 152.362949 -27.31678, 152.365357 -27.312825, 152.367957 -27.308554, 152.370059 -27.305101, 152.370215 -27.304156, 152.371028 -27.299223, 152.371841 -27.294289, 152.372119 -27.292604, 152.372652 -27.289355, 152.372668 -27.289255, 152.375279 -27.285111, 152.375842 -27.284218, 152.376391 -27.28326, 152.374439 -27.281196, 152.374057 -27.280792, 152.374739 -27.276401, 152.375507 -27.271461, 152.375613 -27.270777, 152.376696 -27.26848, 152.377847 -27.267137, 152.381101 -27.263341, 152.382265 -27.261984, 152.382815 -27.261013, 152.384454 -27.259707, 152.384463 -27.259701, 152.385233 -27.254771, 152.385287 -27.254425, 152.385891 -27.249814, 152.385943 -27.249418, 152.387545 -27.247122, 152.387838 -27.245346, 152.388262 -27.242782, 152.389515 -27.240733, 152.390307 -27.239439, 152.389849 -27.238094, 152.388475 -27.236757, 152.388498 -27.236613, 152.389288 -27.231676, 152.390077 -27.226738, 152.390866 -27.221801, 152.391655 -27.216864, 152.392137 -27.213848, 152.393902 -27.213028, 152.394335 -27.212827, 152.397667 -27.209769, 152.397844 -27.209606, 152.399934 -27.208015, 152.400267 -27.205909, 152.40056 -27.204057, 152.399995 -27.203129, 152.400316 -27.201115, 152.400804 -27.198044, 152.399898 -27.196385, 152.397859 -27.192655, 152.397915 -27.191908, 152.398291 -27.186922, 152.398667 -27.181937, 152.398866 -27.179294, 152.398994 -27.176948, 152.399064 -27.175672, 152.398469 -27.172514, 152.398324 -27.172026, 152.397813 -27.170301, 152.39528 -27.168344, 152.394563 -27.167789, 152.393022 -27.166048, 152.392755 -27.1643, 152.392595 -27.163244, 152.39264 -27.161528, 152.393403 -27.159508, 152.393392 -27.159453, 152.3929 -27.157003, 152.391877 -27.156031, 152.391509 -27.155005, 152.39142 -27.154755, 152.389352 -27.150496, 152.387168 -27.145998, 152.386521 -27.144667, 152.385555 -27.141282, 152.384182 -27.136474, 152.382981 -27.132271, 152.382958 -27.131643, 152.382844 -27.128508, 152.38285 -27.126645, 152.382867 -27.121645, 152.382874 -27.119532, 152.38289 -27.117277, 152.383508 -27.117146, 152.388399 -27.116105, 152.389954 -27.115774, 152.390015 -27.113712, 152.390427 -27.112471, 152.390416 -27.112434, 152.390107 -27.111431, 152.390168 -27.109825, 152.39209 -27.108706, 152.392109 -27.108588, 152.392792 -27.104147, 152.3932 -27.103846, 152.397221 -27.100874, 152.397965 -27.100325, 152.400271 -27.096965, 152.403101 -27.092843, 152.405931 -27.088721, 152.40828 -27.0853, 152.408764 -27.084601, 152.409622 -27.083365, 152.410538 -27.083506, 152.411606 -27.082785, 152.412665 -27.082067, 152.416805 -27.079262, 152.420944 -27.076458, 152.421051 -27.076385, 152.422073 -27.075096, 152.422577 -27.074848, 152.422821 -27.075111, 152.424713 -27.073794, 152.428619 -27.071075, 152.428828 -27.070957, 152.431518 -27.069429, 152.433017 -27.068251, 152.435745 -27.066107, 152.437265 -27.065924, 152.442229 -27.065326, 152.442748 -27.065264, 152.44548 -27.063696, 152.446764 -27.063362, 152.450668 -27.062347, 152.451373 -27.061686, 152.45349 -27.059704, 152.455122 -27.058383, 152.45584 -27.057802, 152.459487 -27.056858, 152.459787 -27.056781, 152.462401 -27.056112, 152.46451 -27.05519, 152.46469 -27.055111, 152.46874 -27.052528, 152.47119 -27.050966, 152.471709 -27.050367, 152.472898 -27.049837, 152.473082 -27.049755, 152.474929 -27.048607, 152.476714 -27.046959, 152.476871 -27.046845, 152.478301 -27.04581, 152.480193 -27.043777, 152.480608 -27.043584, 152.481429 -27.043203, 152.484831 -27.038849, 152.484953 -27.036875, 152.485777 -27.035414, 152.486021 -27.034397, 152.485955 -27.034105, 152.485793 -27.033396, 152.486433 -27.032469, 152.486647 -27.030008, 152.486527 -27.029343, 152.485899 -27.025863, 152.486754 -27.025072, 152.487044 -27.025055, 152.48705 -27.025049, 152.487532 -27.024605, 152.489653 -27.022569, 152.489165 -27.021538, 152.489272 -27.021297, 152.489699 -27.020336, 152.490797 -27.019264, 152.491392 -27.018753, 152.491621 -27.018375, 152.492109 -27.017637, 152.492293 -27.017396, 152.492476 -27.017156, 152.492857 -27.016685, 152.492903 -27.015989, 152.493391 -27.015125, 152.494368 -27.015138, 152.494581 -27.015243, 152.49507 -27.015144, 152.495573 -27.015373, 152.495645 -27.015488, 152.496046 -27.01613, 152.496275 -27.016353, 152.496885 -27.016554, 152.497374 -27.016865, 152.497633 -27.016929, 152.498121 -27.016914, 152.498442 -27.017069, 152.498823 -27.01709, 152.499189 -27.0172, 152.499525 -27.017414, 152.499754 -27.017675, 152.499817 -27.017726, 152.499937 -27.017822, 152.500364 -27.017912, 152.500807 -27.017944, 152.501417 -27.01816, 152.501875 -27.018337, 152.502699 -27.018367, 152.503065 -27.018221, 152.503157 -27.017841, 152.503386 -27.016924, 152.503267 -27.016678, 152.503141 -27.01642, 152.503996 -27.0154, 152.503965 -27.014917, 152.504087 -27.014236, 152.504911 -27.014295, 152.505354 -27.014496, 152.505918 -27.014435, 152.506193 -27.014358, 152.506235 -27.014354, 152.506788 -27.014297, 152.50691 -27.014061, 152.506742 -27.013614, 152.506834 -27.013006, 152.506697 -27.012582, 152.506681 -27.011772, 152.50662 -27.011339, 152.506636 -27.0102, 152.506821 -27.010027, 152.507185 -27.009685, 152.507429 -27.009277, 152.50778 -27.008896, 152.508314 -27.008474, 152.509138 -27.008444, 152.509886 -27.008236, 152.510557 -27.007848, 152.511005 -27.007902, 152.511717 -27.007988, 152.512235 -27.006971, 152.513181 -27.006199, 152.513868 -27.006025, 152.514494 -27.00548, 152.514669 -27.00514, 152.514692 -27.005096, 152.515348 -27.004882, 152.516081 -27.003801, 152.516843 -27.003488, 152.517713 -27.00308, 152.518674 -27.003217, 152.51887 -27.003189, 152.519743 -27.003061, 152.520856 -27.002714, 152.521543 -27.002409, 152.52197 -27.001445, 152.522718 -27.001194, 152.523064 -27.001285, 152.523496 -27.0014, 152.524961 -27.001886, 152.525739 -27.002239, 152.526044 -27.00243, 152.526594 -27.002845, 152.52699 -27.003166, 152.527463 -27.003221, 152.52757 -27.003276, 152.528074 -27.003536, 152.528379 -27.003774, 152.528882 -27.003908, 152.52934 -27.004116, 152.529676 -27.004314, 152.530179 -27.004169, 152.530591 -27.004175, 152.531049 -27.004251, 152.532096 -27.003601, 152.532606 -27.003284, 152.533185 -27.002718, 152.534025 -27.002702, 152.536773 -27.002626, 152.538541 -27.002576, 152.539681 -26.999553, 152.539716 -26.99946, 152.538495 -26.997901, 152.538965 -26.995018, 152.539167 -26.993778, 152.538022 -26.992879, 152.538289 -26.990607, 152.538648 -26.987543, 152.539661 -26.985917, 152.540753 -26.984165, 152.541228 -26.981269, 152.541257 -26.981094, 152.543576 -26.977563, 152.543591 -26.976965, 152.543637 -26.975099, 152.544022 -26.971989, 152.544385 -26.969051, 152.545471 -26.967325, 152.547665 -26.96384, 152.548301 -26.963228, 152.550214 -26.961387, 152.551501 -26.959427, 152.551968 -26.958715, 152.554059 -26.958328, 152.555981 -26.9577, 152.556058 -26.957675, 152.560738 -26.95616, 152.564099 -26.955072, 152.564557 -26.95486, 152.564831 -26.954574, 152.565121 -26.954277, 152.567303 -26.952121, 152.568325 -26.951078, 152.568713 -26.950807, 152.569653 -26.950151, 152.570721 -26.949628, 152.571066 -26.946987, 152.571087 -26.946828, 152.574734 -26.945552, 152.575647 -26.945205, 152.579922 -26.943576, 152.580321 -26.943429, 152.585012 -26.941699, 152.585674 -26.941455, 152.589654 -26.939841, 152.590237 -26.939605, 152.594561 -26.938967, 152.595669 -26.938804, 152.595928 -26.938535, 152.59666 -26.937255, 152.598604 -26.936664, 152.603388 -26.935208, 152.608171 -26.933752, 152.612102 -26.932555, 152.612594 -26.931813, 152.613353 -26.930667, 152.616671 -26.929206, 152.616969 -26.929074, 152.621641 -26.92891, 152.626638 -26.928735, 152.631635 -26.92856, 152.636632 -26.928384, 152.641629 -26.928209, 152.646626 -26.928033, 152.649302 -26.927939, 152.65066 -26.928111, 152.651597 -26.927936, 152.652613 -26.927747, 152.656578 -26.927645, 152.657298 -26.927626, 152.660426 -26.928099, 152.66153 -26.928264, 152.662165 -26.928359, 152.66273 -26.927394, 152.665661 -26.928773, 152.665705 -26.928794, 152.666316 -26.929509, 152.668269 -26.928223, 152.669566 -26.928786, 152.669824 -26.928803, 152.674799 -26.929127, 152.674814 -26.929125, 152.679748 -26.928316, 152.684682 -26.927507, 152.686457 -26.927216, 152.689657 -26.927143, 152.693766 -26.927048, 152.694639 -26.926875, 152.696344 -26.926537, 152.69953 -26.925839, 152.700403 -26.925648, 152.700739 -26.925192, 152.701349 -26.924853, 152.70414 -26.924314, 152.704264 -26.92429, 152.704569 -26.924235, 152.70553 -26.923836, 152.709038 -26.923506, 152.714016 -26.923038, 152.717172 -26.922741, 152.718933 -26.922245, 152.723746 -26.920889, 152.725534 -26.920386, 152.728662 -26.920086, 152.729456 -26.92001, 152.731699 -26.919926, 152.733618 -26.920314, 152.737131 -26.921025, 152.737377 -26.91963, 152.737909 -26.916619, 152.739836 -26.916859, 152.739938 -26.916872, 152.744287 -26.915644, 152.744662 -26.91569, 152.747018 -26.91598, 152.748269 -26.916132, 152.748437 -26.916086, 152.74962 -26.916233, 152.75303 -26.916655, 152.754582 -26.916845, 152.755334 -26.916937, 152.755334 -26.916927, 152.756372 -26.918064, 152.75805 -26.917723, 152.760751 -26.917154, 152.761249 -26.917328, 152.763314 -26.918049, 152.766102 -26.918421, 152.768899 -26.918795, 152.76983 -26.918777, 152.771063 -26.91896, 152.771386 -26.919008, 152.773354 -26.92013, 152.775672 -26.920786, 152.77578 -26.920816, 152.778603 -26.919037, 152.779488 -26.918705, 152.779931 -26.918463, 152.780027 -26.918433, 152.784432 -26.917086, 152.784685 -26.916785, 152.784798 -26.916651, 152.788921 -26.914144, 152.793193 -26.911547, 152.794182 -26.910946, 152.793801 -26.907122, 152.793801 -26.907116, 152.796517 -26.902926, 152.798546 -26.899795, 152.799699 -26.899263, 152.802208 -26.898105, 152.803647 -26.896393, 152.804512 -26.895363, 152.808014 -26.894317, 152.812805 -26.892887, 152.81501 -26.892229, 152.817434 -26.891043, 152.821926 -26.888846, 152.826417 -26.886649, 152.8292 -26.885288, 152.828875 -26.883414, 152.828019 -26.878488, 152.827163 -26.873562, 152.82714 -26.87343, 152.827781 -26.870107, 152.82864 -26.868899, 152.830314 -26.866542, 152.829518 -26.864589, 152.82946 -26.864444, 152.827018 -26.861152, 152.82711 -26.860691, 152.827224 -26.860441, 152.828224 -26.858253, 152.830642 -26.857312, 152.834235 -26.855913, 152.835369 -26.855763, 152.838706 -26.855323, 152.840049 -26.855033, 152.840188 -26.854814, 152.841636 -26.852533, 152.8422 -26.852144, 152.843529 -26.851229, 152.844855 -26.850315, 152.844886 -26.850036, 152.847915 -26.849337, 152.849616 -26.848945, 152.852609 -26.847666, 152.853522 -26.847276, 152.855048 -26.847551, 152.855445 -26.845161, 152.855476 -26.845147, 152.855841 -26.844982, 152.857077 -26.845045, 152.858527 -26.845207, 152.859194 -26.843425, 152.860129 -26.840927, 152.860241 -26.838597, 152.860266 -26.838069, 152.860312 -26.83757, 152.859854 -26.836442, 152.860282 -26.835485, 152.861977 -26.835307, 152.864798 -26.835012, 152.866945 -26.835281, 152.86872 -26.835504, 152.870017 -26.83566, 152.871588 -26.836068, 152.871699 -26.83581, 152.872092 -26.83489, 152.872168 -26.833568, 152.872855 -26.833099, 152.873038 -26.831485, 152.873206 -26.831344, 152.877037 -26.828131, 152.877478 -26.827762, 152.879141 -26.825912, 152.880625 -26.824666, 152.881811 -26.823669, 152.882071 -26.82277, 152.882574 -26.822297, 152.883902 -26.821943, 152.884335 -26.821822, 152.886709 -26.821161, 152.887274 -26.82105, 152.889207 -26.820727, 152.889944 -26.820604, 152.891836 -26.819553, 152.893737 -26.818687, 152.895376 -26.817941, 152.896826 -26.816692, 152.898025 -26.816228, 152.899008 -26.815848, 152.899893 -26.815511, 152.902865 -26.815908, 152.903158 -26.815948, 152.903814 -26.815711, 152.904684 -26.815499, 152.905935 -26.814586, 152.907496 -26.814504, 152.909078 -26.814422, 152.910101 -26.814714, 152.910726 -26.814622, 152.91181 -26.81482, 152.912385 -26.815048, 152.912817 -26.815219, 152.914419 -26.81397, 152.916113 -26.813876, 152.916911 -26.813759, 152.918249 -26.813563, 152.918996 -26.813094, 152.919424 -26.812156, 152.920019 -26.811347, 152.92069 -26.811116, 152.920705 -26.811102, 152.920995 -26.810813, 152.921331 -26.810492, 152.922185 -26.810357, 152.923009 -26.80973, 152.924062 -26.80882, 152.924682 -26.808262, 152.924947 -26.808022, 152.926046 -26.807124, 152.926793 -26.806989, 152.927617 -26.806119, 152.928166 -26.804978, 152.928502 -26.80428, 152.928441 -26.803655, 152.928548 -26.803327, 152.928945 -26.802909, 152.92925 -26.802102, 152.929433 -26.801825, 152.930028 -26.801372, 152.930455 -26.80096, 152.930559 -26.800866, 152.931051 -26.80042, 152.931386 -26.800153, 152.931768 -26.800044, 152.931905 -26.799928, 152.932088 -26.799634, 152.932607 -26.798892, 152.932759 -26.798716, 152.933187 -26.798348, 152.93337 -26.79824, 152.933934 -26.798005, 152.934052 -26.797562, 152.934102 -26.797372, 152.934011 -26.796781, 152.933934 -26.796166, 152.933736 -26.795615, 152.93366 -26.794856, 152.934499 -26.7942, 152.935155 -26.793733, 152.935334 -26.793413, 152.935628 -26.792886, 152.935765 -26.7926, 152.935979 -26.792386, 152.936452 -26.791961, 152.93691 -26.791659, 152.937261 -26.791613, 152.937673 -26.791676, 152.938115 -26.791766, 152.938588 -26.791751, 152.938985 -26.791583, 152.939282 -26.791223, 152.939336 -26.791158, 152.940038 -26.7904, 152.940206 -26.789733, 152.94048 -26.789477, 152.940831 -26.789435, 152.941197 -26.789401, 152.943265 -26.789048, 152.943318 -26.789039, 152.943974 -26.789016, 152.944249 -26.788772, 152.945012 -26.788026, 152.945424 -26.787381, 152.946309 -26.786155, 152.946701 -26.78573, 152.946751 -26.785676, 152.947148 -26.785088, 152.947286 -26.784379, 152.947682 -26.783818, 152.94782 -26.783044, 152.948491 -26.78262, 152.949559 -26.782237, 152.949633 -26.782182, 152.950124 -26.781821, 152.950246 -26.781333, 152.950566 -26.780459, 152.950795 -26.780143, 152.950932 -26.779382, 152.951009 -26.778725, 152.951466 -26.777806, 152.951498 -26.777705, 152.95168 -26.777133, 152.951894 -26.776736, 152.95226 -26.776299, 152.953435 -26.774827, 152.954472 -26.77443, 152.954823 -26.774319, 152.954839 -26.774315, 152.956074 -26.77394, 152.956486 -26.773757, 152.957448 -26.773137, 152.957738 -26.77291, 152.95786 -26.772658, 152.958027 -26.771821, 152.958088 -26.771409, 152.95812 -26.771216, 152.958195 -26.770751, 152.958394 -26.769496, 152.958912 -26.766279, 152.959126 -26.764951, 152.958699 -26.764981, 152.958714 -26.764851, 152.958745 -26.764659, 152.959172 -26.76406, 152.959584 -26.763758, 152.959752 -26.763474, 152.959904 -26.763028, 152.96024 -26.762744, 152.960571 -26.762497, 152.960637 -26.762448, 152.960743 -26.762343, 152.961003 -26.762116, 152.961293 -26.76204, 152.962254 -26.760218, 152.962284 -26.759917, 152.962651 -26.759774, 152.962941 -26.759055, 152.962823 -26.758474, 152.962819 -26.758452, 152.962254 -26.755736, 152.962361 -26.755688, 152.96291 -26.754054, 152.963197 -26.753832, 152.963932 -26.753262, 152.964671 -26.74926, 152.964833 -26.748385, 152.965779 -26.747851, 152.966389 -26.746985, 152.966328 -26.745713, 152.966061 -26.745076, 152.96584 -26.744546, 152.965748 -26.743361, 152.966664 -26.742488, 152.968525 -26.742913, 152.968515 -26.742852, 152.968052 -26.74009, 152.967716 -26.738025, 152.96769 -26.73792, 152.967335 -26.736502, 152.966313 -26.735463, 152.966144 -26.73339, 152.966023 -26.731902, 152.966343 -26.731286, 152.966877 -26.729558, 152.967057 -26.72857, 152.967106 -26.728301, 152.967457 -26.727259, 152.967381 -26.726504, 152.968769 -26.724374, 152.968864 -26.724062, 152.968906 -26.723924, 152.96944 -26.722583, 152.969639 -26.722007, 152.969761 -26.721078, 152.969013 -26.720807, 152.968696 -26.719785, 152.96854 -26.719281, 152.968418 -26.718867, 152.968052 -26.718299, 152.968143 -26.717036, 152.968571 -26.716506, 152.969767 -26.715744, 152.970447 -26.71531, 152.970676 -26.714387, 152.972187 -26.71333, 152.972187 -26.71291, 152.972278 -26.712786, 152.972506 -26.711994, 152.973118 -26.709863, 152.973697 -26.707976, 152.973923 -26.707199, 152.974704 -26.704499, 152.975324 -26.7024, 152.975895 -26.700469, 152.976612 -26.698491, 152.97654 -26.697611, 152.976535 -26.697551, 152.976841 -26.695981, 152.976719 -26.695576, 152.977024 -26.69451, 152.97771 -26.694136, 152.977795 -26.693113, 152.977863 -26.692302, 152.978275 -26.690593, 152.978939 -26.688257, 152.979404 -26.686623, 152.978351 -26.685933, 152.978015 -26.685473, 152.977741 -26.68459, 152.977263 -26.684321, 152.975208 -26.683162, 152.975223 -26.683055, 152.973377 -26.68232, 152.972842 -26.682215, 152.972293 -26.682107, 152.97269 -26.681538, 152.973316 -26.680262, 152.973194 -26.679837, 152.973377 -26.678906, 152.973787 -26.678065, 152.974216 -26.677184, 152.974155 -26.676074, 152.973911 -26.674674, 152.973947 -26.673187, 152.973957 -26.67282, 152.974063 -26.672555, 152.974094 -26.670501, 152.974185 -26.669629, 152.974231 -26.66882, 152.974128 -26.668223, 152.974048 -26.667758, 152.972995 -26.666434, 152.971576 -26.665444, 152.970905 -26.665112, 152.970618 -26.6649, 152.969669 -26.664199, 152.969028 -26.662957, 152.968646 -26.661553, 152.96857 -26.660657, 152.968567 -26.660588, 152.96854 -26.659928, 152.968585 -26.658393, 152.968891 -26.657121, 152.970371 -26.657326, 152.971912 -26.65754, 152.972553 -26.656924, 152.972507 -26.655106, 152.972796 -26.654428, 152.973041 -26.653851, 152.973911 -26.653766, 152.975513 -26.653468, 152.975971 -26.653411, 152.977366 -26.6536, 152.978091 -26.653699, 152.979755 -26.653153, 152.982251 -26.652822, 152.987207 -26.652165, 152.987765 -26.652091, 152.988559 -26.651725, 152.989047 -26.651572, 152.989276 -26.65075, 152.989169 -26.650355, 152.988849 -26.649123, 152.988715 -26.648625, 152.988574 -26.648097, 152.988452 -26.647183, 152.987918 -26.645236, 152.987578 -26.643762, 152.987399 -26.642987, 152.98717 -26.641774, 152.987018 -26.640374, 152.986941 -26.639539, 152.986945 -26.638815, 152.986957 -26.636859, 152.987262 -26.635901, 152.987399 -26.633867, 152.98743 -26.633408, 152.987597 -26.630811, 152.987582 -26.629729, 152.987521 -26.628993, 152.987539 -26.628878, 152.987674 -26.628041, 152.987735 -26.627463, 152.98775 -26.626679, 152.987429 -26.625529, 152.987216 -26.624253, 152.98702 -26.624027, 152.986972 -26.623971, 152.986804 -26.623286, 152.986102 -26.622298, 152.98537 -26.621251, 152.985034 -26.621013, 152.984256 -26.620946, 152.984134 -26.620572, 152.984028 -26.620472, 152.983844 -26.620297, 152.982379 -26.619422, 152.981479 -26.618798, 152.980807 -26.617877, 152.98025 -26.617297, 152.979419 -26.616433, 152.978244 -26.615939, 152.977679 -26.615655, 152.978045 -26.61465, 152.977588 -26.613963, 152.977359 -26.61362, 152.976184 -26.613069, 152.976108 -26.612885, 152.975955 -26.610646, 152.975634 -26.610196, 152.975462 -26.609958, 152.975238 -26.609649, 152.974536 -26.609374, 152.973864 -26.608666, 152.973559 -26.607545, 152.973224 -26.607121, 152.972857 -26.606833, 152.972675 -26.606137, 152.972354 -26.604915, 152.971881 -26.601714, 152.971866 -26.601213, 152.97185 -26.600646, 152.971179 -26.598475, 152.971179 -26.598065, 152.970828 -26.596746, 152.970786 -26.596363, 152.970553 -26.594239, 152.969775 -26.592799, 152.969311 -26.591664, 152.96921 -26.591416, 152.968386 -26.588248, 152.968188 -26.588243, 152.967852 -26.587462, 152.967586 -26.587148, 152.967074 -26.586545, 152.965976 -26.58567, 152.964633 -26.583541, 152.964438 -26.583329, 152.963916 -26.582759, 152.964022 -26.582522, 152.962268 -26.580913, 152.962434 -26.579336, 152.962451 -26.579171, 152.963094 -26.57438, 152.963107 -26.574287, 152.96329 -26.573173, 152.963366 -26.571941, 152.963214 -26.570993, 152.963092 -26.57092, 152.962863 -26.570237, 152.962535 -26.569596, 152.962527 -26.569579, 152.961901 -26.56875, 152.961322 -26.567811, 152.960635 -26.566344, 152.960589 -26.565749, 152.960413 -26.565152, 152.960391 -26.565078, 152.960116 -26.56434, 152.959841 -26.563701, 152.959445 -26.562724, 152.959292 -26.562219, 152.959414 -26.561868, 152.959536 -26.561414, 152.959964 -26.560748, 152.959857 -26.560626, 152.959872 -26.560565, 152.959964 -26.560189, 152.959719 -26.55998, 152.959033 -26.560188, 152.958453 -26.560119, 152.95827 -26.558892, 152.958026 -26.558074, 152.95796 -26.55718, 152.957705 -26.553693, 152.957751 -26.553464, 152.957675 -26.553313, 152.957621 -26.552214, 152.957583 -26.551437, 152.957522 -26.550775, 152.957324 -26.550761, 152.957171 -26.550492, 152.956896 -26.550485, 152.956835 -26.548833, 152.956777 -26.547713, 152.956744 -26.547084, 152.956561 -26.542854, 152.956527 -26.542722, 152.956271 -26.541728, 152.956042 -26.540845, 152.956027 -26.54021, 152.955996 -26.539394, 152.956057 -26.538734, 152.955835 -26.537814, 152.955752 -26.537473, 152.955477 -26.536927, 152.955157 -26.536548, 152.954577 -26.536037, 152.953097 -26.535363, 152.952242 -26.534742, 152.952182 -26.534681, 152.951495 -26.53399, 152.949298 -26.532541, 152.948977 -26.531654, 152.948922 -26.531207, 152.948886 -26.530917, 152.948977 -26.530029, 152.950292 -26.526447, 152.951083 -26.524293, 152.951418 -26.523469, 152.95151 -26.523017, 152.951602 -26.521666, 152.951632 -26.521226, 152.95183 -26.519273, 152.9518 -26.518506, 152.951601 -26.517598, 152.951251 -26.51677, 152.95122 -26.516696, 152.951357 -26.516626, 152.951067 -26.516172, 152.951743 -26.511999, 152.952303 -26.50854, 152.953448 -26.508634, 152.953524 -26.508354, 152.95351 -26.508298, 152.952883 -26.505853, 152.952029 -26.503713, 152.951946 -26.503563, 152.950899 -26.501659, 152.950396 -26.500818, 152.949695 -26.499109, 152.949053 -26.497545, 152.94858 -26.496036, 152.948611 -26.495717, 152.94828 -26.494348, 152.948229 -26.494138, 152.948015 -26.492832, 152.947893 -26.492765, 152.947344 -26.490713, 152.947161 -26.489997, 152.946765 -26.489767, 152.945888 -26.489259, 152.944887 -26.488738, 152.944201 -26.488067, 152.944563 -26.486204, 152.944567 -26.486183, 152.944842 -26.484722, 152.945132 -26.482923, 152.944502 -26.481376, 152.943835 -26.479736, 152.943575 -26.477954, 152.943392 -26.477241, 152.943026 -26.476755, 152.942999 -26.476676, 152.942705 -26.475828, 152.941881 -26.474018, 152.941271 -26.473112, 152.940788 -26.472211, 152.940737 -26.472116, 152.939927 -26.470905, 152.938337 -26.469378, 152.937229 -26.468842, 152.936334 -26.468409, 152.933871 -26.466905, 152.93381 -26.466346, 152.933471 -26.465904, 152.933047 -26.465349, 152.932558 -26.464805, 152.931856 -26.464565, 152.932299 -26.462547, 152.931993 -26.461848, 152.931811 -26.461433, 152.931444 -26.459878, 152.931078 -26.457265, 152.931027 -26.456959, 152.930376 -26.453079, 152.930145 -26.452039, 152.92943 -26.448829, 152.929156 -26.447839, 152.928951 -26.447186, 152.928927 -26.447109, 152.928621 -26.446371, 152.928621 -26.445911, 152.927996 -26.445098, 152.927355 -26.444738, 152.925681 -26.443838, 152.925478 -26.443729, 152.924669 -26.443559, 152.924532 -26.442924, 152.92438 -26.442623, 152.924318 -26.442199, 152.924196 -26.441831, 152.924196 -26.441326, 152.9238 -26.440822, 152.923754 -26.440021, 152.923726 -26.439832, 152.923662 -26.439392, 152.92383 -26.438783, 152.924196 -26.438116, 152.924242 -26.437551, 152.923159 -26.437271, 152.923365 -26.435809, 152.923372 -26.435758, 152.921801 -26.434751, 152.921399 -26.431695, 152.92116 -26.429876, 152.920794 -26.427124, 152.920743 -26.426738, 152.920595 -26.425625, 152.920077 -26.421783, 152.919817 -26.419855, 152.919085 -26.418432, 152.91913 -26.417915, 152.919191 -26.416982, 152.919329 -26.414842, 152.918951 -26.412011, 152.91884 -26.41118, 152.918138 -26.410183, 152.917772 -26.409416, 152.917253 -26.408354, 152.916679 -26.407648, 152.91646 -26.407379, 152.916124 -26.406767, 152.916323 -26.4064, 152.915789 -26.405836, 152.91501 -26.405187, 152.914186 -26.404407, 152.913734 -26.403992, 152.913179 -26.403482, 152.912355 -26.402929, 152.909981 -26.400704, 152.906333 -26.397285, 152.904665 -26.395721, 152.902678 -26.393873, 152.902392 -26.393606, 152.900499 -26.390505, 152.899989 -26.389674, 152.897372 -26.385413, 152.895708 -26.382704, 152.894757 -26.381151, 152.893404 -26.378942, 152.89215 -26.376885, 152.89142 -26.375689, 152.888803 -26.371428, 152.888384 -26.370747, 152.886705 -26.368008, 152.886191 -26.367165, 152.884783 -26.364855, 152.883583 -26.362899, 152.88097 -26.358636, 152.880358 -26.357637, 152.880404 -26.356699, 152.8799 -26.356363, 152.879778 -26.355789, 152.87938 -26.354139, 152.87932 -26.353891, 152.878466 -26.351805, 152.876619 -26.351563, 152.876293 -26.351026, 152.874865 -26.348683, 152.873537 -26.347511, 152.873055 -26.34746, 152.871081 -26.347252, 152.868245 -26.346228, 152.868227 -26.346221, 152.866823 -26.345467, 152.863651 -26.344279, 152.863344 -26.344164, 152.861101 -26.343313, 152.858975 -26.342509, 152.85895 -26.342499, 152.854297 -26.340744, 152.852969 -26.340243, 152.852007 -26.33988, 152.850451 -26.339466, 152.849605 -26.339052, 152.848879 -26.338696, 152.846575 -26.337828, 152.844845 -26.337836, 152.843997 -26.337839, 152.842913 -26.336604, 152.840884 -26.335425, 152.840723 -26.335422, 152.839739 -26.335404, 152.837649 -26.334446, 152.836043 -26.33384, 152.835284 -26.333554, 152.83327 -26.332962, 152.831988 -26.332354, 152.831515 -26.331913, 152.831491 -26.331909, 152.830371 -26.3317, 152.828677 -26.331055, 152.826755 -26.330347, 152.824771 -26.329615, 152.824359 -26.329424, 152.822406 -26.328673, 152.822088 -26.328555, 152.819278 -26.327508, 152.818393 -26.327469, 152.817384 -26.326994, 152.816928 -26.326779, 152.815905 -26.326262, 152.814563 -26.325894, 152.812731 -26.325203, 152.810901 -26.324513, 152.808054 -26.323435, 152.805087 -26.322312, 152.803378 -26.321666, 152.801806 -26.321072, 152.800021 -26.320391, 152.798747 -26.319788, 152.798221 -26.319539, 152.796588 -26.318925, 152.794482 -26.318127, 152.794082 -26.317995, 152.790988 -26.316968, 152.790774 -26.316884, 152.79024 -26.316781, 152.789706 -26.316695, 152.789352 -26.31646, 152.789203 -26.316361, 152.787753 -26.315602, 152.786624 -26.315156, 152.784786 -26.314445, 152.784488 -26.31433, 152.784335 -26.313508, 152.784477 -26.312852, 152.782962 -26.311372, 152.782167 -26.310678, 152.781512 -26.310106, 152.779946 -26.30978, 152.779477 -26.307293, 152.779326 -26.306493, 152.779143 -26.305499, 152.779016 -26.304935, 152.779 -26.304617, 152.778937 -26.304355, 152.778552 -26.302383, 152.778189 -26.300519, 152.777563 -26.297482, 152.777331 -26.296354, 152.776687 -26.292559, 152.776329 -26.290452, 152.775971 -26.289999, 152.775867 -26.289094, 152.776138 -26.287988, 152.776097 -26.287756, 152.775226 -26.282833, 152.775033 -26.281744, 152.774334 -26.278012, 152.774315 -26.277917, 152.773358 -26.273009, 152.772951 -26.270921, 152.772736 -26.269665, 152.771155 -26.269429, 152.769867 -26.269236, 152.769954 -26.269014, 152.770073 -26.268672, 152.769374 -26.267774, 152.768515 -26.266685, 152.768212 -26.266201, 152.768142 -26.266088, 152.76815 -26.265381, 152.767917 -26.265233, 152.768475 -26.261486, 152.768396 -26.261433, 152.766957 -26.26048, 152.764208 -26.258701, 152.763285 -26.258104, 152.760061 -26.255909, 152.7597 -26.255663, 152.756886 -26.253795, 152.755795 -26.253331, 152.755709 -26.253295, 152.753619 -26.252078, 152.753023 -26.251256, 152.751771 -26.250479, 152.749859 -26.249292, 152.747529 -26.247833, 152.746387 -26.247117, 152.743372 -26.245056, 152.742435 -26.244416, 152.739209 -26.242286, 152.738961 -26.242122, 152.735038 -26.23953, 152.733373 -26.23843, 152.730868 -26.23677, 152.729073 -26.235581, 152.726692 -26.234021, 152.725686 -26.233363, 152.725757 -26.232875, 152.726123 -26.230787, 152.725129 -26.230141, 152.724124 -26.229488, 152.7204 -26.228727, 152.719791 -26.228603, 152.718417 -26.226759, 152.717929 -26.226537, 152.716386 -26.226528, 152.715137 -26.22652, 152.713489 -26.225952, 152.711484 -26.225865, 152.708927 -26.225753, 152.707706 -26.224344, 152.707154 -26.224178, 152.705326 -26.223629, 152.704303 -26.223671, 152.702638 -26.222446, 152.70119 -26.221382, 152.699817 -26.220657, 152.699832 -26.219837, 152.699115 -26.219759, 152.699006 -26.219761, 152.698185 -26.219778)"/>
  </r>
  <r>
    <s v="P3632"/>
    <s v="Gas"/>
    <s v="Australia"/>
    <s v="Australia"/>
    <s v="Australia"/>
    <m/>
    <s v="https://www.gem.wiki/NSW_Gas_Network"/>
    <x v="92"/>
    <s v="Northern Trunk Gas Pipeline"/>
    <s v="Jemena Gas Network; Wilton to Newcastle Trunk Pipeline"/>
    <s v="Jemena Gas Networks (NSW) Ltd [200.00%]"/>
    <s v="State Grid Corporation of China [60.00%]; SP Group [40.00%]"/>
    <x v="0"/>
    <m/>
    <m/>
    <m/>
    <m/>
    <m/>
    <m/>
    <s v="--"/>
    <x v="2"/>
    <s v="--"/>
    <n v="238.57"/>
    <n v="238.57"/>
    <m/>
    <m/>
    <m/>
    <s v="Wilton"/>
    <s v="Australia and New Zealand"/>
    <m/>
    <s v="New South Wales"/>
    <s v="Newcastle"/>
    <m/>
    <s v="New South Wales"/>
    <s v="Australia and New Zealand"/>
    <m/>
    <m/>
    <m/>
    <m/>
    <m/>
    <s v="MULTILINESTRING ((150.71064 -34.2333, 150.71712 -34.23184, 150.73002 -34.22802, 150.73697 -34.22015, 150.75216 -34.20791, 150.75741 -34.20238, 150.76368 -34.1958, 150.76803 -34.18759, 150.77013 -34.18544, 150.77037 -34.18429, 150.7707 -34.18268, 150.77088 -34.18095, 150.77095 -34.18022, 150.77108 -34.17889, 150.77205 -34.16893, 150.77169 -34.16593, 150.77223 -34.15772, 150.77296 -34.1545, 150.77384 -34.14192, 150.77314 -34.13131, 150.77327 -34.13042, 150.77432 -34.12287, 150.77436 -34.1227, 150.77459 -34.12172, 150.775 -34.12, 150.77521 -34.11911, 150.77442 -34.11231, 150.7744 -34.11215, 150.77438 -34.11197, 150.77267 -34.1067, 150.77203 -34.10165, 150.77121 -34.09519, 150.76626 -34.08959, 150.76515 -34.083, 150.76823 -34.0793, 150.77074 -34.0718, 150.77573 -34.06649, 150.77976 -34.06021, 150.78569 -34.04811, 150.78821 -34.04514, 150.79055 -34.04156, 150.79069 -34.03659, 150.79115 -34.02032, 150.79555 -34.0061, 150.79939 -33.99991, 150.80131 -33.99854, 150.80838 -33.99371, 150.81925 -33.98022, 150.82172 -33.97622, 150.82412 -33.97357, 150.82735 -33.96457, 150.82736 -33.96453, 150.82692 -33.9628, 150.82633 -33.96107, 150.82637 -33.95891, 150.82486 -33.95616, 150.82442 -33.95536, 150.82467 -33.95261, 150.82471 -33.95221, 150.82453 -33.95085, 150.82538 -33.94871, 150.82672 -33.9453, 150.82625 -33.94191, 150.8246 -33.9405, 150.82404 -33.94003, 150.82082 -33.93519, 150.82057 -33.93176, 150.81989 -33.92904, 150.82161 -33.92114, 150.82169 -33.92006, 150.82363 -33.90955, 150.82097 -33.90346, 150.82099 -33.90332, 150.82234 -33.89225, 150.82288 -33.88789, 150.82967 -33.88035, 150.83349 -33.879, 150.836 -33.87811, 150.83758 -33.87764, 150.83908 -33.8772, 150.84232 -33.87624, 150.8466 -33.87343, 150.84859 -33.87202, 150.85399 -33.86301, 150.85617 -33.858, 150.85742 -33.85577, 150.85927 -33.85066, 150.85918 -33.84606, 150.85963 -33.84462, 150.86038 -33.84094, 150.86076 -33.84001, 150.86096 -33.83951, 150.86143 -33.83817, 150.86154 -33.83785, 150.86207 -33.83564, 150.86214 -33.83538, 150.86253 -33.8348, 150.86438 -33.83208), (150.86438 -33.83208, 150.86351 -33.82828, 150.86432 -33.82622, 150.86469 -33.82226, 150.86517 -33.82182, 150.86423 -33.82117, 150.86014 -33.81632, 150.85982 -33.81577, 150.85963 -33.81478, 150.8607 -33.80668, 150.86028 -33.80216, 150.85947 -33.7999, 150.85971 -33.79846, 150.85625 -33.79452, 150.858 -33.78932, 150.85747 -33.78877, 150.85661 -33.78858, 150.85567 -33.78766, 150.85646 -33.78353, 150.85896 -33.78113, 150.85898 -33.7805, 150.85825 -33.77959, 150.85788 -33.77246, 150.85529 -33.76827, 150.85713 -33.76794, 150.85609 -33.76594, 150.85483 -33.76059, 150.85495 -33.76005, 150.85596 -33.75881), (150.85596 -33.75881, 150.85867 -33.75354, 150.85933 -33.75337, 150.86114 -33.74952, 150.86215 -33.74837, 150.86502 -33.74139, 150.86561 -33.73878, 150.86575 -33.73779, 150.86851 -33.73067, 150.86497 -33.72155, 150.86098 -33.71318, 150.86159 -33.71022, 150.86044 -33.70821, 150.86024 -33.70758, 150.85942 -33.70617, 150.85922 -33.7054, 150.85991 -33.70352, 150.85818 -33.6951, 150.85786 -33.69464, 150.85719 -33.69148, 150.85727 -33.68859, 150.85412 -33.68466, 150.85362 -33.68348, 150.85519 -33.6808, 150.85481 -33.67872, 150.84904 -33.66771, 150.8482 -33.66679, 150.84779 -33.66634, 150.84666 -33.66406, 150.8408 -33.65639, 150.83673 -33.64265, 150.83497 -33.6396, 150.83362 -33.63787, 150.83189 -33.63396, 150.83429 -33.63269, 150.83758 -33.63045, 150.83867 -33.63002, 150.839 -33.62949, 150.84184 -33.62827, 150.84601 -33.62501, 150.84581 -33.62478, 150.84646 -33.62447, 150.84703 -33.6234, 150.84747 -33.62251, 150.84788 -33.619, 150.85075 -33.61661, 150.85208 -33.61501, 150.85451 -33.61316, 150.85635 -33.61229, 150.85867 -33.61017, 150.86062 -33.6093, 150.8612 -33.60791, 150.8647 -33.60585, 150.86905 -33.60467, 150.87068 -33.60352, 150.87202 -33.60165, 150.87347 -33.5997, 150.87416 -33.59817, 150.87407 -33.59727, 150.87675 -33.59371, 150.87794 -33.59111, 150.8793 -33.59041, 150.88342 -33.58985, 150.88672 -33.58694, 150.89006 -33.58663, 150.89285 -33.58307, 150.89497 -33.57959, 150.89451 -33.5767, 150.89671 -33.57484, 150.89814 -33.57342, 150.9002 -33.57296, 150.90207 -33.57367, 150.90255 -33.57368, 150.90287 -33.57342, 150.90547 -33.56895, 150.90916 -33.56771, 150.9113 -33.56815, 150.9152 -33.56713, 150.91682 -33.56734, 150.92266 -33.57041, 150.92634 -33.56984, 150.93055 -33.56946, 150.93412 -33.5688, 150.93618 -33.56803, 150.93673 -33.56794, 150.93721 -33.56804, 150.93791 -33.56823, 150.94212 -33.56758, 150.94343 -33.56688, 150.94787 -33.56605, 150.94961 -33.56527, 150.9524 -33.56532, 150.96504 -33.56426, 150.9664 -33.56365, 150.96694 -33.56303, 150.9665 -33.56158, 150.96592 -33.56076, 150.96653 -33.56005, 150.96717 -33.5556, 150.96768 -33.55493, 150.96807 -33.55422, 150.96826 -33.55314, 150.96789 -33.5525, 150.9676 -33.55114, 150.96678 -33.54978, 150.96615 -33.54882, 150.96617 -33.54841, 150.96693 -33.54793, 150.96855 -33.54773, 150.96994 -33.54811, 150.97222 -33.5468, 150.9746 -33.54666, 150.97672 -33.54786, 150.97976 -33.55188, 150.98104 -33.55208, 150.98391 -33.54951, 150.98596 -33.54955, 150.98942 -33.5483, 150.99104 -33.54855, 150.99136 -33.54873, 150.99188 -33.54973, 150.992 -33.55104, 150.9943 -33.55158, 150.99581 -33.55133, 150.99839 -33.55191, 150.99955 -33.55301, 151.00109 -33.55235, 151.00193 -33.55181, 151.00353 -33.55102, 151.00535 -33.5489, 151.0082 -33.54798, 151.01029 -33.54572, 151.01025 -33.54371, 151.01205 -33.54241, 151.0127 -33.54116, 151.01382 -33.53866, 151.0136 -33.53614, 151.01222 -33.53508, 151.01252 -33.53353, 151.01202 -33.53196, 151.01338 -33.53065, 151.01615 -33.52944, 151.01759 -33.52865, 151.01806 -33.5271, 151.01914 -33.5263, 151.02172 -33.52545, 151.02432 -33.52423, 151.02601 -33.52179, 151.02693 -33.52058, 151.02874 -33.51906, 151.0296 -33.51777, 151.02961 -33.51715, 151.02911 -33.51584, 151.0281 -33.51495, 151.02722 -33.51425, 151.02702 -33.51313, 151.02683 -33.51182, 151.02606 -33.51019, 151.02555 -33.50943, 151.02616 -33.50826, 151.02744 -33.5076, 151.02894 -33.50688, 151.02934 -33.50626, 151.03123 -33.50462, 151.03289 -33.5034, 151.03446 -33.50267, 151.03558 -33.50251, 151.03646 -33.50258, 151.03852 -33.50367, 151.03925 -33.50406, 151.04112 -33.50353, 151.0418 -33.50267, 151.04426 -33.5024, 151.04575 -33.50236, 151.04673 -33.50181, 151.04784 -33.50183, 151.04922 -33.5031, 151.05009 -33.50423, 151.05067 -33.50461, 151.05267 -33.50477, 151.05453 -33.50473, 151.05615 -33.50501, 151.0574 -33.50552, 151.0579 -33.50665, 151.05795 -33.50752, 151.0586 -33.50797, 151.05956 -33.50817, 151.05962 -33.50917, 151.05953 -33.50997, 151.05967 -33.5101, 151.0619 -33.51038, 151.06381 -33.51049, 151.0668 -33.50949, 151.07066 -33.50696, 151.07058 -33.50476, 151.07227 -33.50209, 151.07159 -33.5007, 151.06966 -33.49858, 151.06988 -33.49765, 151.07128 -33.49629, 151.07304 -33.4965, 151.07583 -33.4977, 151.07748 -33.49652, 151.07966 -33.49595, 151.08064 -33.49496, 151.08282 -33.49433, 151.08273 -33.49584, 151.08398 -33.49662, 151.08608 -33.49645, 151.08665 -33.4954, 151.08718 -33.49531, 151.08796 -33.49527, 151.08988 -33.49545, 151.09121 -33.49547, 151.09264 -33.4955, 151.0935 -33.49495, 151.0937 -33.49445, 151.09429 -33.49426, 151.09537 -33.49463, 151.09571 -33.49549, 151.09649 -33.49575, 151.09722 -33.49516, 151.09855 -33.49463, 151.09924 -33.49358, 151.10032 -33.49324, 151.10123 -33.49316, 151.10296 -33.49344, 151.10387 -33.49322, 151.10491 -33.49324, 151.10657 -33.49326, 151.10821 -33.49267, 151.10896 -33.49164, 151.1105 -33.491, 151.11114 -33.49105, 151.11129 -33.49021, 151.1119 -33.48956, 151.11251 -33.48919, 151.1132 -33.4873, 151.11341 -33.48631, 151.11347 -33.48538, 151.11376 -33.48457, 151.11401 -33.48373, 151.11535 -33.48336, 151.11646 -33.48318, 151.11661 -33.48257, 151.11681 -33.48204, 151.11733 -33.48162, 151.11738 -33.48131, 151.1182 -33.48132, 151.11913 -33.48138, 151.11956 -33.48053, 151.11994 -33.47996, 151.12064 -33.47959, 151.12199 -33.4791, 151.12337 -33.47858, 151.12495 -33.47837, 151.12583 -33.4782, 151.1262 -33.47832, 151.12867 -33.47874, 151.1309 -33.4804, 151.13192 -33.48024, 151.13317 -33.47926, 151.13468 -33.47911, 151.14071 -33.47956, 151.14379 -33.48104, 151.14812 -33.48003, 151.15615 -33.4815, 151.15885 -33.48145, 151.16392 -33.48062, 151.16691 -33.48184, 151.16929 -33.48143, 151.17014 -33.4818, 151.17261 -33.48165, 151.1749 -33.48024, 151.17647 -33.47765, 151.17931 -33.47571, 151.17997 -33.47464, 151.18236 -33.47377, 151.18529 -33.47282, 151.18619 -33.47094, 151.18641 -33.47031, 151.18642 -33.46977, 151.18487 -33.46722, 151.18467 -33.46654, 151.18404 -33.46559, 151.18726 -33.4605, 151.18867 -33.4552, 151.19245 -33.45435, 151.19455 -33.45159, 151.19704 -33.4509, 151.19817 -33.45083, 151.20786 -33.44772, 151.21337 -33.4469, 151.21752 -33.44362, 151.21731 -33.43839, 151.2195 -33.43364, 151.21863 -33.42614, 151.22129 -33.42469, 151.22672 -33.42491, 151.22937 -33.42693, 151.23208 -33.42625, 151.23673 -33.43001, 151.24067 -33.43223, 151.24324 -33.4319, 151.24591 -33.43059, 151.24865 -33.4309, 151.25121 -33.43202, 151.25153 -33.43211, 151.25476 -33.43148, 151.25696 -33.42948, 151.26094 -33.42936, 151.26465 -33.42679, 151.26589 -33.42375, 151.26673 -33.4197, 151.27283 -33.41527, 151.2748 -33.41368, 151.27889 -33.41329, 151.28785 -33.40674, 151.29503 -33.40215, 151.29407 -33.39609, 151.29612 -33.39017, 151.30086 -33.3735, 151.30228 -33.36626, 151.30295 -33.36528, 151.30355 -33.36213, 151.30368 -33.36087, 151.30327 -33.36005, 151.30379 -33.35798, 151.3044 -33.35727, 151.30596 -33.35468, 151.30649 -33.35433, 151.30768 -33.35398, 151.30832 -33.35462, 151.30927 -33.35554, 151.31002 -33.35573, 151.31076 -33.35565, 151.31217 -33.35521, 151.31304 -33.35532, 151.314 -33.35497, 151.31529 -33.3549, 151.31563 -33.35436, 151.3189 -33.35504, 151.32013 -33.35469, 151.32176 -33.35381, 151.32363 -33.35176, 151.32488 -33.35079, 151.32526 -33.35061, 151.32591 -33.35008, 151.32828 -33.34984, 151.32981 -33.34905, 151.33298 -33.34918, 151.33464 -33.34876, 151.33582 -33.34895, 151.34436 -33.34627, 151.34657 -33.34341, 151.34631 -33.3398, 151.34873 -33.3374, 151.34886 -33.33578, 151.35304 -33.33069, 151.35855 -33.3286, 151.35954 -33.3278, 151.36054 -33.3261, 151.36356 -33.32565, 151.36411 -33.32516, 151.36488 -33.32363, 151.3721 -33.31669, 151.37381 -33.31167, 151.37349 -33.31085, 151.37297 -33.31003, 151.37288 -33.30904, 151.37259 -33.30768, 151.37187 -33.30551, 151.37201 -33.30425, 151.37331 -33.30345, 151.37419 -33.30274, 151.3741 -33.30157, 151.37401 -33.30031, 151.37392 -33.29967, 151.37317 -33.29939, 151.37405 -33.29832, 151.37418 -33.29769, 151.37418 -33.29715, 151.37291 -33.29624, 151.37314 -33.29569, 151.37527 -33.29581, 151.37613 -33.29609, 151.37752 -33.29675, 151.37935 -33.29614, 151.38185 -33.29509, 151.38303 -33.29492, 151.38661 -33.29253, 151.3923 -33.29261, 151.39264 -33.29216, 151.39287 -33.29135, 151.39696 -33.29051, 151.40524 -33.28412, 151.40686 -33.28378, 151.40881 -33.28209, 151.40941 -33.27939, 151.40868 -33.27821, 151.40947 -33.27574, 151.40959 -33.26938, 151.40619 -33.26735, 151.40591 -33.2651, 151.40401 -33.25741, 151.40416 -33.25533, 151.40474 -33.25282, 151.40675 -33.24842, 151.4084 -33.24583, 151.4095 -33.24476, 151.40973 -33.24377, 151.41182 -33.24109, 151.41946 -33.23334, 151.4236 -33.2306, 151.42482 -33.22809, 151.42604 -33.22648, 151.42744 -33.22542, 151.42821 -33.22489, 151.43091 -33.22357, 151.4368 -33.2213, 151.4389 -33.22069, 151.44031 -33.22044, 151.44487 -33.2205, 151.44546 -33.21987, 151.4505 -33.21407, 151.45521 -33.20872, 151.4563 -33.20828, 151.45804 -33.20686, 151.45871 -33.20507, 151.46127 -33.20248, 151.46264 -33.20097, 151.46374 -33.19954, 151.4656 -33.19677, 151.46728 -33.19282, 151.46763 -33.19138, 151.46812 -33.1885, 151.46834 -33.18174, 151.46795 -33.17957, 151.46756 -33.17704, 151.46739 -33.17451, 151.46756 -33.17117, 151.46998 -33.16156, 151.47125 -33.15625, 151.47226 -33.15374, 151.47314 -33.15258, 151.47349 -33.15068, 151.47427 -33.14925, 151.47503 -33.14827, 151.47628 -33.14524, 151.47667 -33.14026, 151.47375 -33.13229, 151.47111 -33.1273, 151.46901 -33.12373, 151.46759 -33.12165, 151.46681 -33.11763, 151.46522 -33.11626, 151.46371 -33.11443, 151.46321 -33.11326, 151.4624 -33.11092, 151.46167 -33.10904, 151.46193 -33.1073, 151.46296 -33.10479, 151.46304 -33.10072, 151.46423 -33.09841, 151.46563 -33.09675, 151.46661 -33.0956, 151.46865 -33.09321, 151.47233 -33.0891, 151.47419 -33.08514, 151.47587 -33.08062, 151.47692 -33.07743, 151.47757 -33.07503, 151.47799 -33.07352, 151.47816 -33.07212, 151.47879 -33.07032, 151.47895 -33.06806, 151.47888 -33.06472, 151.47869 -33.06053, 151.47787 -33.05719, 151.47654 -33.05265, 151.47549 -33.04705, 151.47476 -33.04489, 151.47468 -33.04188, 151.47448 -33.03833, 151.47583 -33.03458, 151.47876 -33.02795, 151.48008 -33.02495, 151.48139 -33.02261, 151.4833 -33.02078, 151.488 -33.01632, 151.4893 -33.01525, 151.49197 -33.01376, 151.49353 -33.01148, 151.49559 -33.01035, 151.49604 -33.00985, 151.49795 -33.0093, 151.50032 -33.00831, 151.50221 -33.00756, 151.50421 -33.00632, 151.50727 -33.00361, 151.51066 -33.00047, 151.51249 -32.9987, 151.51336 -32.99839, 151.51467 -32.99714, 151.51798 -32.99113, 151.51534 -32.98903, 151.51655 -32.9867, 151.51936 -32.98556, 151.52127 -32.9836, 151.52285 -32.98136, 151.52299 -32.97974, 151.52349 -32.97876, 151.52503 -32.97859, 151.53132 -32.9738, 151.53935 -32.96077, 151.54218 -32.95769, 151.54441 -32.94608, 151.54878 -32.94099, 151.55158 -32.93886, 151.55305 -32.93743, 151.55497 -32.93429, 151.55532 -32.93299), (151.55532 -32.93299, 151.55787 -32.92757, 151.57276 -32.91267, 151.57439 -32.90385, 151.57658 -32.90117, 151.57958 -32.89345, 151.57923 -32.88858, 151.57999 -32.88805, 151.5816 -32.8877, 151.58271 -32.88564, 151.58808 -32.88317, 151.58926 -32.8803, 151.59255 -32.87836, 151.59631 -32.87731, 151.59571 -32.87433, 151.59699 -32.87363, 151.59852 -32.87274, 151.59928 -32.87113, 151.60094 -32.87028, 151.60264 -32.868, 151.60273 -32.86708, 151.60374 -32.86622, 151.60548 -32.86498, 151.60722 -32.8632, 151.60755 -32.86243, 151.609 -32.86032, 151.61181 -32.85925, 151.6137 -32.85956, 151.61613 -32.85976, 151.62383 -32.86003, 151.62524 -32.85861, 151.6258 -32.85663, 151.62742 -32.85619, 151.62968 -32.85468, 151.63096 -32.84847, 151.63277 -32.84822, 151.6384 -32.84332, 151.64235 -32.83597, 151.66424 -32.83026, 151.67237 -32.82944, 151.67367 -32.82837, 151.67528 -32.82749, 151.6831 -32.82622, 151.68404 -32.82812, 151.69031 -32.83008, 151.69272 -32.83317, 151.69741 -32.83466, 151.69947 -32.83928, 151.70438 -32.84709, 151.71628 -32.8584, 151.72873 -32.86319, 151.74047 -32.86397, 151.75892 -32.86686, 151.7751 -32.87108, 151.77846 -32.87615, 151.77797 -32.88087, 151.78275 -32.8831, 151.78185 -32.89019, 151.7789 -32.89766))"/>
  </r>
  <r>
    <s v="P3633"/>
    <s v="Gas"/>
    <s v="Australia"/>
    <s v="Australia"/>
    <s v="Australia"/>
    <m/>
    <s v="https://www.gem.wiki/NSW_Gas_Network"/>
    <x v="92"/>
    <s v="Southern Trunk Gas Pipeline"/>
    <s v="Jemena Gas Network; Wilton to Wollongong Trunk Pipeline"/>
    <s v="Jemena Gas Networks (NSW) Ltd [200.00%]"/>
    <s v="State Grid Corporation of China [60.00%]; SP Group [40.00%]"/>
    <x v="0"/>
    <m/>
    <m/>
    <m/>
    <m/>
    <m/>
    <m/>
    <s v="--"/>
    <x v="2"/>
    <n v="421"/>
    <n v="32.619999999999997"/>
    <n v="421"/>
    <m/>
    <m/>
    <m/>
    <s v="Wilton"/>
    <s v="Australia and New Zealand"/>
    <m/>
    <s v="New South Wales"/>
    <s v="Wollongong"/>
    <m/>
    <s v="New South Wales"/>
    <s v="Australia and New Zealand"/>
    <m/>
    <m/>
    <m/>
    <m/>
    <m/>
    <s v="LINESTRING (150.84715 -34.44111, 150.84643 -34.43983, 150.84322 -34.43752, 150.84182 -34.43705, 150.83781 -34.43432, 150.83382 -34.43023, 150.82977 -34.42741, 150.82935 -34.42664, 150.82917 -34.42546, 150.82864 -34.42473, 150.82723 -34.42416, 150.82443 -34.42375, 150.82368 -34.42329, 150.82226 -34.42326, 150.82151 -34.42262, 150.81977 -34.42241, 150.81535 -34.42134, 150.81428 -34.42051, 150.81329 -34.41661, 150.8132 -34.41607, 150.81413 -34.41392, 150.81272 -34.41327, 150.81374 -34.41184, 150.81381 -34.40959, 150.81796 -34.40466, 150.82829 -34.40074, 150.82995 -34.40131, 150.83382 -34.40111, 150.83839 -34.40137, 150.83993 -34.4005, 150.84104 -34.39943, 150.84127 -34.39881, 150.841 -34.39682, 150.84153 -34.39494, 150.8413 -34.39331, 150.84069 -34.39204, 150.84063 -34.38987, 150.84026 -34.38752, 150.83994 -34.38698, 150.83965 -34.38544, 150.83471 -34.37904, 150.83323 -34.37739, 150.83105 -34.37338, 150.82915 -34.3692, 150.82276 -34.3616, 150.81313 -34.35178, 150.80935 -34.34685, 150.79697 -34.34167, 150.79215 -34.34163, 150.77912 -34.33454, 150.77059 -34.32415, 150.76531 -34.32252, 150.7575 -34.32193, 150.75114 -34.3164, 150.73794 -34.30994, 150.73261 -34.2937, 150.72996 -34.29176, 150.72601 -34.28934, 150.72343 -34.28794, 150.71688 -34.28511, 150.71572 -34.28419, 150.71352 -34.28099, 150.71639 -34.25517, 150.71505 -34.24848, 150.7136 -34.24196, 150.71185 -34.23886, 150.71128 -34.23515, 150.71064 -34.2333)"/>
  </r>
  <r>
    <s v="P3634"/>
    <s v="Gas"/>
    <s v="Australia"/>
    <s v="Australia"/>
    <s v="Australia"/>
    <m/>
    <s v="https://www.gem.wiki/Moomba_Sydney_Pipeline_System"/>
    <x v="85"/>
    <s v="Dalton to Canberra Pipeline"/>
    <m/>
    <s v="Australian Gas Infrastructure Group [unknown %]"/>
    <s v="Australian Gas Infrastructure Group [unknown %]"/>
    <x v="0"/>
    <m/>
    <m/>
    <m/>
    <m/>
    <n v="446"/>
    <s v="TJ/d"/>
    <n v="4.5599999999999996"/>
    <x v="72"/>
    <n v="58"/>
    <n v="57.87"/>
    <n v="58"/>
    <m/>
    <m/>
    <m/>
    <m/>
    <s v="Australia and New Zealand"/>
    <m/>
    <m/>
    <m/>
    <m/>
    <m/>
    <s v="Australia and New Zealand"/>
    <m/>
    <m/>
    <m/>
    <m/>
    <m/>
    <s v="LINESTRING (149.20341 -34.72029, 149.19288 -34.72697, 149.18955 -34.73334, 149.18911 -34.73678, 149.19434 -34.74479, 149.19378 -34.7485, 149.1889 -34.77888, 149.18868 -34.78757, 149.18832 -34.79155, 149.18479 -34.81367, 149.17987 -34.82989, 149.17936 -34.83567, 149.18214 -34.84157, 149.18083 -34.8498, 149.18197 -34.85996, 149.17823 -34.86733, 149.17793 -34.86842, 149.17796 -34.86941, 149.1781 -34.87022, 149.17832 -34.87094, 149.19236 -34.89295, 149.19259 -34.89349, 149.19252 -34.89421, 149.19209 -34.89503, 149.19145 -34.89549, 149.18782 -34.89881, 149.18765 -34.9172, 149.18707 -34.92037, 149.19075 -34.92274, 149.19419 -34.9288, 149.19998 -34.93627, 149.2048 -34.94466, 149.20706 -34.95543, 149.21064 -34.96673, 149.21147 -34.96852, 149.21263 -34.97093, 149.21458 -34.97423, 149.21608 -34.97717, 149.21632 -34.97816, 149.21624 -34.97907, 149.21583 -34.98015, 149.21457 -34.98225, 149.21345 -34.98525, 149.21399 -34.98894, 149.21635 -34.9952, 149.21611 -34.99845, 149.21682 -35.01728, 149.2167 -35.02495, 149.21904 -35.03401, 149.21786 -35.05143, 149.21495 -35.07653, 149.19604 -35.10871, 149.18872 -35.11768, 149.18587 -35.14234, 149.17989 -35.17023, 149.17964 -35.21641)"/>
  </r>
  <r>
    <s v="P3635"/>
    <s v="Gas"/>
    <s v="Australia"/>
    <s v="Australia"/>
    <s v="Australia"/>
    <m/>
    <s v="https://www.gem.wiki/Moomba_Sydney_Pipeline_System"/>
    <x v="85"/>
    <s v="Young to Lithgow and Bathurst Pipeline"/>
    <m/>
    <s v="Australian Gas Infrastructure Group [unknown %]"/>
    <s v="Australian Gas Infrastructure Group [unknown %]"/>
    <x v="0"/>
    <m/>
    <m/>
    <m/>
    <m/>
    <n v="25"/>
    <s v="TJ/d"/>
    <n v="0.26"/>
    <x v="79"/>
    <n v="245"/>
    <n v="264.39"/>
    <n v="245"/>
    <m/>
    <m/>
    <m/>
    <m/>
    <s v="Australia and New Zealand"/>
    <m/>
    <m/>
    <m/>
    <m/>
    <m/>
    <s v="Australia and New Zealand"/>
    <m/>
    <m/>
    <m/>
    <m/>
    <m/>
    <s v="MULTILINESTRING ((148.32975 -34.23947, 148.33664 -34.22413, 148.38136 -34.18423, 148.42029 -34.16322, 148.43722 -34.15085, 148.44825 -34.14306, 148.47288 -34.13059, 148.47757 -34.12548, 148.49205 -34.12314, 148.50088 -34.10771, 148.51895 -34.09937, 148.54926 -34.04984, 148.56083 -34.04853, 148.56567 -34.04666, 148.56884 -34.04238, 148.57247 -34.03332, 148.58424 -34.0136, 148.59338 -33.99653, 148.6097 -33.97675, 148.62681 -33.95731, 148.63897 -33.94273, 148.6867 -33.89429, 148.69718 -33.87746, 148.71714 -33.84833, 148.80054 -33.77996, 148.8037 -33.77585, 148.83536 -33.74157, 148.8387 -33.73543, 148.92242 -33.70643, 148.98344 -33.68022, 149.05421 -33.5943, 149.05561 -33.58571, 149.06088 -33.58021, 149.07766 -33.57047, 149.09045 -33.55582, 149.11575 -33.5333, 149.14494 -33.51657), (149.14494 -33.51657, 149.18765 -33.51078, 149.19704 -33.51249, 149.22352 -33.51608, 149.22883 -33.51328, 149.23511 -33.50663, 149.2718 -33.51024, 149.30265 -33.51644, 149.34511 -33.51474, 149.35384 -33.51487, 149.36588 -33.51307, 149.37383 -33.51247, 149.3837 -33.51281, 149.40642 -33.51311, 149.43712 -33.51386, 149.45432 -33.51262, 149.4639 -33.50883, 149.48102 -33.49675, 149.49132 -33.49283, 149.50531 -33.48951, 149.51384 -33.48663, 149.53194 -33.47995, 149.54411 -33.47339, 149.55425 -33.47003, 149.58601 -33.47162, 149.61221 -33.46612, 149.62305 -33.46859, 149.6348 -33.46609, 149.65579 -33.46654, 149.67848 -33.46966, 149.6989 -33.46877, 149.70146 -33.46465, 149.71866 -33.46428), (149.14494 -33.51657, 149.13824 -33.50631, 149.14077 -33.45622, 149.13551 -33.43918, 149.13293 -33.42164, 149.13354 -33.40269, 149.1245 -33.39338, 149.11907 -33.38265, 149.11842 -33.35561, 149.11475 -33.34576, 149.1135 -33.34118, 149.11196 -33.33301, 149.11184 -33.32777, 149.11079 -33.32529, 149.10903 -33.32286, 149.10894 -33.3188, 149.1056 -33.3139), (149.71866 -33.46428, 149.72888 -33.4645, 149.75142 -33.4631, 149.78033 -33.45451, 149.78499 -33.45395, 149.79793 -33.45331, 149.83645 -33.45659, 149.86233 -33.45821, 149.89985 -33.46287, 149.91648 -33.46158, 149.92759 -33.45636, 149.96351 -33.4528, 149.96876 -33.44907, 149.98153 -33.44515, 149.99348 -33.44498, 149.99801 -33.44289, 150.0189 -33.43925, 150.02822 -33.43773, 150.04882 -33.4278, 150.05479 -33.42704, 150.05962 -33.42715, 150.07555 -33.42965, 150.09461 -33.43233, 150.10554 -33.43379, 150.11468 -33.43485, 150.12431 -33.45482, 150.126 -33.46232), (149.71866 -33.46428, 149.72024 -33.48092, 149.72865 -33.49155, 149.73283 -33.50453, 149.73207 -33.51492, 149.73416 -33.52975, 149.74809 -33.56189, 149.75757 -33.57205, 149.76442 -33.58407, 149.76723 -33.58761, 149.77365 -33.58657, 149.78245 -33.59223, 149.79939 -33.61664, 149.80464 -33.62869, 149.80849 -33.64754, 149.80869 -33.65384, 149.81979 -33.66396, 149.8318 -33.66819, 149.84918 -33.68852, 149.85965 -33.6955))"/>
  </r>
  <r>
    <s v="P3636"/>
    <s v="Gas"/>
    <s v="Australia"/>
    <s v="Australia"/>
    <s v="Australia"/>
    <m/>
    <s v="https://www.gem.wiki/Moomba_Sydney_Pipeline_System"/>
    <x v="85"/>
    <s v="Young to Wagga Wagga Pipeline"/>
    <m/>
    <s v="Australian Gas Infrastructure Group [unknown %]"/>
    <s v="Australian Gas Infrastructure Group [unknown %]"/>
    <x v="0"/>
    <m/>
    <m/>
    <m/>
    <m/>
    <n v="223"/>
    <s v="TJ/d"/>
    <n v="2.2799999999999998"/>
    <x v="80"/>
    <n v="131"/>
    <n v="131.16999999999999"/>
    <n v="131"/>
    <m/>
    <m/>
    <m/>
    <m/>
    <s v="Australia and New Zealand"/>
    <m/>
    <m/>
    <m/>
    <m/>
    <m/>
    <s v="Australia and New Zealand"/>
    <m/>
    <m/>
    <m/>
    <m/>
    <m/>
    <s v="MULTILINESTRING ((148.00137 -34.62366, 148.01815 -34.59637, 148.04234 -34.57687, 148.14135 -34.52233, 148.14713 -34.49848, 148.14985 -34.49105, 148.15105 -34.46688, 148.16361 -34.43078, 148.20432 -34.36275, 148.23003 -34.29928, 148.23242 -34.28483, 148.26116 -34.25829, 148.32975 -34.23947), (147.62012 -34.91863, 147.64997 -34.89873, 147.66674 -34.88691, 147.70034 -34.86319, 147.73168 -34.84326, 147.76363 -34.82151, 147.77406 -34.81423, 147.79276 -34.80239, 147.81207 -34.78783, 147.81336 -34.78548, 147.81743 -34.77698, 147.83684 -34.76152, 147.84331 -34.75416, 147.85567 -34.74389, 147.87208 -34.74747, 147.8741 -34.74123, 147.88644 -34.7204, 147.9096 -34.68191, 147.96145 -34.64319, 148.00137 -34.62366), (147.41579 -35.07667, 147.44424 -35.04853, 147.47048 -35.034, 147.49726 -35.02217, 147.51197 -35.00679, 147.5224 -34.99714, 147.52914 -34.99208, 147.53159 -34.99047, 147.53814 -34.98593, 147.54794 -34.97777, 147.55883 -34.96844, 147.58822 -34.94106, 147.60772 -34.92861, 147.62012 -34.91863))"/>
  </r>
  <r>
    <s v="P3637"/>
    <s v="Gas"/>
    <s v="Australia"/>
    <s v="Australia"/>
    <s v="Australia"/>
    <m/>
    <s v="https://www.gem.wiki/Moomba_Sydney_Pipeline_System"/>
    <x v="85"/>
    <s v="Burnt Creek to Griffith Pipeline"/>
    <m/>
    <s v="Australian Gas Infrastructure Group [unknown %]"/>
    <s v="Australian Gas Infrastructure Group [unknown %]"/>
    <x v="0"/>
    <m/>
    <m/>
    <m/>
    <m/>
    <n v="13"/>
    <s v="TJ/d"/>
    <n v="0.13"/>
    <x v="38"/>
    <n v="179"/>
    <n v="178.96"/>
    <n v="179"/>
    <m/>
    <m/>
    <m/>
    <m/>
    <s v="Australia and New Zealand"/>
    <m/>
    <m/>
    <m/>
    <m/>
    <m/>
    <s v="Australia and New Zealand"/>
    <m/>
    <m/>
    <m/>
    <m/>
    <m/>
    <s v="LINESTRING (147.62012 -34.91863, 147.58182 -34.88943, 147.579 -34.89223, 147.52439 -34.89239, 147.52085 -34.88592, 147.51234 -34.88983, 147.50466 -34.88878, 147.50117 -34.88888, 147.45426 -34.87807, 147.43952 -34.88155, 147.41636 -34.86855, 147.38363 -34.86379, 147.37156 -34.85743, 147.3697 -34.85788, 147.36556 -34.86123, 147.33105 -34.84871, 147.31518 -34.84785, 147.29878 -34.84699, 147.28127 -34.84613, 147.26596 -34.84391, 147.25218 -34.84781, 147.23477 -34.84298, 147.22331 -34.84994, 147.18042 -34.84289, 147.17405 -34.83442, 147.14462 -34.83103, 147.11935 -34.82159, 147.09408 -34.81846, 147.04936 -34.81055, 147.00802 -34.80515, 147.00125 -34.80515, 146.99306 -34.80587, 146.96571 -34.80857, 146.9127 -34.79998, 146.90013 -34.79726, 146.80234 -34.7755, 146.77123 -34.76417, 146.75705 -34.75287, 146.74344 -34.73797, 146.71179 -34.72798, 146.71073 -34.72166, 146.62169 -34.72638, 146.59001 -34.72583, 146.56821 -34.72034, 146.55678 -34.71218, 146.54384 -34.68102, 146.53841 -34.67829, 146.53078 -34.67466, 146.51444 -34.66919, 146.5112 -34.66421, 146.49381 -34.65107, 146.4748 -34.63836, 146.46883 -34.63337, 146.46233 -34.62523, 146.45049 -34.61391, 146.43503 -34.60247, 146.42759 -34.60208, 146.42052 -34.59934, 146.42173 -34.58311, 146.42398 -34.57185, 146.44803 -34.56024, 146.45079 -34.55484, 146.45407 -34.55486, 146.45844 -34.55307, 146.46842 -34.52606, 146.46578 -34.51252, 146.46256 -34.50529, 146.4577 -34.49806, 146.44634 -34.48854, 146.42958 -34.46862, 146.41011 -34.45184, 146.39275 -34.44364, 146.38573 -34.43639, 146.3853 -34.41971, 146.37233 -34.40882, 146.36473 -34.40652, 146.35767 -34.40514, 146.34792 -34.39922, 146.3349 -34.39464, 146.32463 -34.38647, 146.31804 -34.3932, 146.29248 -34.39305, 146.2697 -34.38661, 146.26477 -34.39018, 146.25504 -34.38381, 146.24587 -34.37564, 146.22469 -34.37145, 146.20688 -34.35781, 146.19771 -34.34963, 146.13047 -34.33294, 146.12293 -34.32657, 146.10618 -34.31789)"/>
  </r>
  <r>
    <s v="P3638"/>
    <s v="Gas"/>
    <s v="Australia"/>
    <s v="Australia"/>
    <s v="Australia"/>
    <m/>
    <s v="https://www.gem.wiki/Moomba_Sydney_Pipeline_System"/>
    <x v="85"/>
    <s v="Culcairn to Wagga Wagga Pipeline"/>
    <m/>
    <s v="Australian Gas Infrastructure Group [unknown %]"/>
    <s v="Australian Gas Infrastructure Group [unknown %]"/>
    <x v="0"/>
    <m/>
    <m/>
    <m/>
    <m/>
    <n v="223"/>
    <s v="TJ/d"/>
    <n v="2.2799999999999998"/>
    <x v="80"/>
    <n v="88"/>
    <n v="87.13"/>
    <n v="88"/>
    <m/>
    <m/>
    <m/>
    <m/>
    <s v="Australia and New Zealand"/>
    <m/>
    <m/>
    <m/>
    <m/>
    <m/>
    <s v="Australia and New Zealand"/>
    <m/>
    <m/>
    <m/>
    <m/>
    <m/>
    <s v="LINESTRING (147.41579 -35.07667, 147.41253 -35.07871, 147.41212 -35.07862, 147.40763 -35.08068, 147.40762 -35.08068, 147.40637 -35.08027, 147.4053 -35.08059, 147.40402 -35.08131, 147.40326 -35.08096, 147.40286 -35.08118, 147.40229 -35.08156, 147.40173 -35.08198, 147.40115 -35.08247, 147.39747 -35.08597, 147.39653 -35.08683, 147.39598 -35.08739, 147.39549 -35.08796, 147.39503 -35.08857, 147.39474 -35.08902, 147.39184 -35.0874, 147.38845 -35.08626, 147.38542 -35.08524, 147.38156 -35.08395, 147.37707 -35.08157, 147.3723 -35.08071, 147.36758 -35.08016, 147.36361 -35.08055, 147.36123 -35.08172, 147.35872 -35.08275, 147.35603 -35.08344, 147.35278 -35.08393, 147.35168 -35.08364, 147.3491 -35.08349, 147.34344 -35.08457, 147.34094 -35.08515, 147.33914 -35.08515, 147.33119 -35.08399, 147.32721 -35.08418, 147.32222 -35.08347, 147.31735 -35.08166, 147.31392 -35.08017, 147.31076 -35.07881, 147.31032 -35.07855, 147.30975 -35.07644, 147.30702 -35.07581, 147.29866 -35.07352, 147.29767 -35.07299, 147.29411 -35.07149, 147.29394 -35.07143, 147.29095 -35.07042, 147.29037 -35.07024, 147.28434 -35.0752, 147.28048 -35.07512, 147.2778 -35.07635, 147.27691 -35.0777, 147.27664 -35.08109, 147.27553 -35.08454, 147.2755 -35.08588, 147.27463 -35.09007, 147.27391 -35.0935, 147.27176 -35.09464, 147.26858 -35.0988, 147.26591 -35.10107, 147.26016 -35.10671, 147.25715 -35.10963, 147.253 -35.11481, 147.24492 -35.13489, 147.24444 -35.1371, 147.24397 -35.1393, 147.24367 -35.14075, 147.24354 -35.1456, 147.24055 -35.15031, 147.23972 -35.15289, 147.23645 -35.16299, 147.23044 -35.17165, 147.21451 -35.17834, 147.21411 -35.18043, 147.21376 -35.18222, 147.21375 -35.18231, 147.21252 -35.18215, 147.20079 -35.19461, 147.20262 -35.20315, 147.1985 -35.20709, 147.19447 -35.20938, 147.1837 -35.2176, 147.18434 -35.22521, 147.18495 -35.23236, 147.18485 -35.23359, 147.18411 -35.2376, 147.18198 -35.24925, 147.18149 -35.2497, 147.18138 -35.25009, 147.18161 -35.25124, 147.18106 -35.2543, 147.17929 -35.26385, 147.17766 -35.27268, 147.17737 -35.273, 147.17304 -35.27712, 147.16651 -35.28332, 147.15778 -35.29084, 147.1552 -35.29424, 147.14997 -35.30112, 147.14177 -35.30931, 147.14035 -35.31102, 147.13942 -35.3134, 147.13655 -35.31672, 147.13608 -35.31804, 147.12729 -35.34316, 147.12484 -35.3483, 147.1169 -35.35223, 147.10868 -35.35629, 147.10297 -35.3611, 147.09964 -35.36713, 147.09714 -35.37351, 147.09594 -35.38055, 147.09568 -35.38189, 147.09589 -35.38635, 147.09054 -35.39161, 147.09035 -35.39198, 147.08783 -35.40546, 147.08716 -35.40892, 147.08581 -35.41737, 147.08368 -35.42731, 147.08169 -35.44207, 147.0768 -35.45547, 147.06998 -35.47886, 147.07163 -35.48562, 147.06879 -35.49707, 147.06834 -35.49891, 147.06565 -35.51874, 147.06997 -35.52694, 147.06745 -35.5306, 147.05853 -35.56151, 147.05682 -35.56395, 147.05473 -35.56696, 147.05119 -35.57184, 147.04641 -35.57356, 147.0395 -35.57555, 147.037 -35.58813, 147.03393 -35.59874, 147.03571 -35.61041, 147.03663 -35.62775, 147.0251 -35.64249, 147.01716 -35.66077)"/>
  </r>
  <r>
    <s v="P3642"/>
    <s v="Gas"/>
    <s v="Australia"/>
    <s v="Australia"/>
    <s v="Australia"/>
    <m/>
    <s v="https://www.gem.wiki/Dingo_Gas_Field_Pipeline"/>
    <x v="93"/>
    <m/>
    <m/>
    <s v="Central Petroleum [unknown %]"/>
    <s v="Central Petroleum [unknown %]"/>
    <x v="0"/>
    <n v="2015"/>
    <m/>
    <m/>
    <m/>
    <n v="2.4"/>
    <s v="PJ/y"/>
    <n v="7.0000000000000007E-2"/>
    <x v="81"/>
    <n v="50"/>
    <n v="47.58"/>
    <n v="50"/>
    <n v="100"/>
    <s v="mm"/>
    <m/>
    <m/>
    <s v="Australia and New Zealand"/>
    <m/>
    <s v="Northern Territory"/>
    <m/>
    <m/>
    <s v="Northern Territory"/>
    <s v="Australia and New Zealand"/>
    <m/>
    <m/>
    <m/>
    <m/>
    <m/>
    <s v="LINESTRING (133.807253 -23.813693, 133.807997 -23.814835, 133.817948 -23.814694, 133.821839 -23.819685, 133.820588 -23.842391, 133.820741 -23.842555, 133.82032 -23.850062, 133.824324 -23.866366, 133.826296 -23.883321, 133.827365 -23.891132, 133.826672 -23.914887, 133.822954 -23.937864, 133.820287 -23.960472, 133.819952 -23.968164, 133.818861 -23.969457, 133.8167 -23.985674, 133.818298 -23.986447, 133.847665 -24.037678, 133.85715 -24.06328, 133.857008 -24.126672, 133.85527 -24.144498, 133.856379 -24.146729, 133.855796 -24.174464, 133.855381 -24.180375, 133.854766 -24.183794, 133.855321 -24.191879, 133.857155 -24.197247, 133.857606 -24.202868, 133.856525 -24.205087, 133.855274 -24.206245, 133.855153 -24.210052, 133.855555 -24.212404, 133.862089 -24.215529, 133.863853 -24.215549)"/>
  </r>
  <r>
    <s v="P3643"/>
    <s v="Gas"/>
    <s v="Australia"/>
    <s v="Australia"/>
    <s v="Australia"/>
    <m/>
    <s v="https://www.gem.wiki/Carpentaria_Gas_Pipeline"/>
    <x v="60"/>
    <s v="Cannington Lateral"/>
    <m/>
    <s v="APA Group [100.00%]"/>
    <s v="APA Group [100.00%]"/>
    <x v="0"/>
    <n v="1998"/>
    <m/>
    <m/>
    <m/>
    <n v="10"/>
    <s v="TJ/d"/>
    <n v="0.1"/>
    <x v="82"/>
    <n v="96"/>
    <n v="97.8"/>
    <n v="96"/>
    <m/>
    <m/>
    <s v="Carpentaria Gas Pipeline Mainline"/>
    <m/>
    <s v="Australia and New Zealand"/>
    <m/>
    <s v="Queensland"/>
    <s v="Cannington"/>
    <m/>
    <s v="Queensland"/>
    <s v="Australia and New Zealand"/>
    <m/>
    <m/>
    <m/>
    <m/>
    <m/>
    <s v="LINESTRING (140.104826 -22.257803, 140.105109 -22.257723, 140.10535 -22.257651, 140.105691 -22.257577, 140.106038 -22.257532, 140.106381 -22.257469, 140.106893 -22.257356, 140.108235 -22.257061, 140.111613 -22.256315, 140.114774 -22.255619, 140.116803 -22.255172, 140.117964 -22.254918, 140.12019 -22.254428, 140.120872 -22.254277, 140.121379 -22.254154, 140.121707 -22.254041, 140.125122 -22.252786, 140.126423 -22.252309, 140.126744 -22.25218, 140.142765 -22.242685, 140.159589 -22.23272, 140.162372 -22.231082, 140.178886 -22.223626, 140.180963 -22.222769, 140.191896 -22.219811, 140.197835 -22.220113, 140.202609 -22.219134, 140.208142 -22.215886, 140.209368 -22.215737, 140.211472 -22.214198, 140.232637 -22.20356, 140.258643 -22.198347, 140.262736 -22.196877, 140.266401 -22.195303, 140.269574 -22.194524, 140.276431 -22.192156, 140.291788 -22.190231, 140.295333 -22.188507, 140.297451 -22.187761, 140.321514 -22.177167, 140.328631 -22.171346, 140.360748 -22.161951, 140.3632 -22.161143, 140.367301 -22.159792, 140.395777 -22.15038, 140.411216 -22.145269, 140.42266 -22.141484, 140.423502 -22.141234, 140.42519 -22.140798, 140.463449 -22.130809, 140.463611 -22.130743, 140.490826 -22.117273, 140.504649 -22.107613, 140.51314 -22.10274, 140.515338 -22.102027, 140.518663 -22.101051, 140.531998 -22.097194, 140.549496 -22.092768, 140.557199 -22.090818, 140.563819 -22.088885, 140.571163 -22.085768, 140.579894 -22.083161, 140.583865 -22.082083, 140.589165 -22.07987, 140.590527 -22.079789, 140.605605 -22.07288, 140.612825 -22.068912, 140.618847 -22.063945, 140.623489 -22.053537, 140.61911 -22.042501, 140.631269 -22.034335, 140.633137 -22.034597, 140.645177 -22.027099, 140.663798 -22.016771, 140.668721 -22.01708, 140.686138 -22.00204, 140.705504 -21.977996, 140.715987 -21.971867, 140.716993 -21.971573, 140.719228 -21.96994, 140.723231 -21.967583, 140.736715 -21.959644, 140.737296 -21.957955, 140.756674 -21.947949, 140.764315 -21.947603, 140.818325 -21.916388, 140.848509 -21.898919, 140.886205 -21.877119, 140.910832 -21.86284, 140.909762 -21.861226, 140.912511 -21.859643, 140.913192 -21.859802, 140.914381 -21.859158, 140.914496 -21.859329)"/>
  </r>
  <r>
    <s v="P3644"/>
    <s v="Gas"/>
    <s v="Australia"/>
    <s v="Australia"/>
    <s v="Australia"/>
    <m/>
    <s v="https://www.gem.wiki/Braemer_2_Gas_Pipeline"/>
    <x v="94"/>
    <m/>
    <m/>
    <s v="Arrow Energy [unknown %]"/>
    <s v="Arrow Energy [unknown %]"/>
    <x v="0"/>
    <n v="2009"/>
    <m/>
    <m/>
    <m/>
    <m/>
    <m/>
    <s v="--"/>
    <x v="2"/>
    <n v="110"/>
    <n v="75.77"/>
    <n v="110"/>
    <n v="400"/>
    <s v="mm"/>
    <m/>
    <m/>
    <s v="Australia and New Zealand"/>
    <m/>
    <s v="Queensland"/>
    <m/>
    <m/>
    <s v="Queensland"/>
    <s v="Australia and New Zealand"/>
    <m/>
    <m/>
    <m/>
    <m/>
    <m/>
    <s v="LINESTRING (150.908394 -27.110257, 150.908221 -27.110164, 150.90806 -27.110235, 150.905377 -27.127379, 150.90527 -27.127528, 150.905059 -27.127547, 150.895232 -27.126312, 150.895187 -27.12626, 150.895337 -27.125302, 150.895304 -27.125252, 150.893556 -27.12504, 150.893519 -27.125041, 150.89342 -27.125075, 150.883167 -27.129235, 150.866297 -27.142832, 150.866134 -27.142901, 150.866026 -27.142918, 150.865779 -27.142886, 150.861955 -27.142408, 150.860157 -27.142782, 150.859977 -27.142785, 150.859813 -27.142742, 150.857764 -27.141554, 150.850518 -27.140627, 150.85038 -27.140568, 150.850145 -27.140538, 150.849967 -27.140548, 150.841464 -27.139491, 150.839518 -27.137755, 150.839398 -27.137718, 150.838294 -27.137459, 150.838137 -27.137422, 150.83795 -27.137401, 150.836413 -27.137261, 150.836291 -27.137274, 150.833732 -27.138577, 150.833662 -27.138604, 150.833557 -27.138598, 150.816553 -27.136446, 150.816361 -27.136421, 150.816342 -27.136422, 150.816318 -27.13644, 150.81529 -27.137493, 150.815143 -27.137585, 150.808937 -27.141534, 150.808731 -27.141568, 150.808493 -27.14152, 150.803403 -27.140484, 150.803227 -27.140463, 150.797668 -27.140108, 150.797457 -27.14012, 150.797022 -27.14014, 150.796663 -27.140093, 150.772442 -27.137053, 150.772202 -27.136928, 150.772132 -27.136686, 150.771938 -27.134862, 150.771414 -27.129966, 150.771358 -27.129876, 150.764179 -27.119682, 150.764042 -27.119493, 150.763953 -27.119437, 150.763804 -27.119405, 150.749264 -27.117034, 150.749115 -27.117007, 150.748624 -27.11699, 150.723757 -27.115982, 150.723222 -27.115961, 150.722861 -27.115926, 150.721934 -27.1158, 150.721778 -27.115816, 150.714326 -27.116876, 150.714239 -27.116906, 150.712085 -27.119177, 150.711945 -27.119277, 150.71161 -27.119299, 150.701203 -27.118669, 150.701022 -27.118657, 150.700681 -27.118648, 150.694333 -27.118769, 150.693904 -27.11877, 150.69371 -27.118655, 150.693082 -27.118657, 150.692949 -27.118618, 150.685623 -27.112704, 150.685353 -27.112661, 150.660279 -27.109443, 150.660215 -27.109475, 150.659984 -27.109464, 150.64663 -27.107739, 150.646477 -27.107769, 150.645972 -27.107924, 150.645652 -27.108024, 150.645358 -27.10805, 150.645034 -27.10808, 150.643954 -27.108418, 150.643669 -27.108649, 150.642633 -27.109001, 150.642303 -27.108982, 150.631213 -27.112369, 150.63104 -27.112423, 150.630726 -27.112461, 150.630539 -27.112227, 150.626617 -27.104112, 150.626552 -27.104038, 150.626235 -27.10392, 150.606132 -27.096602, 150.605966 -27.096541, 150.605761 -27.096437, 150.605622 -27.096246, 150.599933 -27.088631, 150.598293 -27.086438, 150.598088 -27.08617, 150.598 -27.086111, 150.596686 -27.085281, 150.588046 -27.079837, 150.587959 -27.079769, 150.581743 -27.071153, 150.581738 -27.071146, 150.581728 -27.071136, 150.581715 -27.071122, 150.580482 -27.069795, 150.580426 -27.069731, 150.580295 -27.069535, 150.580004 -27.069087, 150.579964 -27.069029, 150.579837 -27.068895, 150.579017 -27.068055, 150.578996 -27.068009, 150.578999 -27.067947, 150.578997 -27.067933, 150.57888 -27.067816, 150.578857 -27.067799, 150.578481 -27.06765, 150.578406 -27.067621, 150.578381 -27.067616, 150.577797 -27.067557, 150.57579 -27.067334, 150.574103 -27.067119, 150.572204 -27.06688, 150.570261 -27.066634, 150.545717 -27.063501, 150.545212 -27.063481, 150.533285 -27.062004, 150.529098 -27.06144, 150.528919 -27.061416, 150.528015 -27.061326, 150.520165 -27.060295, 150.515051 -27.059673, 150.51397 -27.059521, 150.509491 -27.058927, 150.508637 -27.058729, 150.508546 -27.058612, 150.508535 -27.058602, 150.50851 -27.058595, 150.489097 -27.055096, 150.467523 -27.0512, 150.445651 -27.047249, 150.444064 -27.046954, 150.443517 -27.046959, 150.428532 -27.04425, 150.42 -27.042708, 150.419535 -27.042622, 150.419345 -27.042588, 150.4193 -27.042617, 150.416445 -27.047808, 150.416232 -27.048194, 150.416194 -27.048224, 150.416144 -27.048221, 150.411031 -27.045957, 150.410943 -27.045943, 150.410755 -27.045958, 150.410593 -27.046089, 150.410424 -27.046242, 150.410314 -27.046292, 150.410097 -27.046234, 150.409018 -27.045757, 150.405741 -27.044283, 150.405518 -27.044157, 150.405319 -27.044067, 150.405297 -27.044006, 150.405365 -27.043885, 150.406629 -27.0416, 150.406698 -27.041471, 150.406694 -27.041452, 150.406663 -27.041432, 150.406568 -27.04142, 150.399194 -27.040509, 150.391882 -27.039608, 150.38502 -27.03876, 150.384797 -27.038735, 150.384536 -27.038755, 150.380465 -27.038262, 150.380379 -27.038234, 150.380227 -27.038177, 150.380203 -27.038169, 150.380165 -27.038164, 150.370636 -27.036989, 150.369559 -27.036855, 150.368639 -27.036742, 150.367732 -27.036629, 150.366931 -27.036529, 150.366555 -27.036421, 150.366084 -27.036364, 150.365701 -27.036377, 150.36337 -27.036091, 150.361058 -27.035805, 150.359193 -27.035573, 150.357587 -27.035374, 150.356032 -27.035182, 150.341837 -27.033426, 150.321894 -27.035001, 150.310751 -27.035882, 150.310347 -27.035747, 150.310218 -27.03573, 150.309885 -27.03569, 150.30623 -27.035235, 150.306123 -27.035222, 150.306087 -27.035207, 150.30608 -27.03517, 150.306105 -27.035015, 150.306344 -27.033517, 150.306817 -27.031228, 150.30771 -27.02745, 150.308949 -27.02226, 150.309734 -27.018973, 150.310925 -27.013985, 150.31228 -27.008307, 150.313282 -27.004107, 150.31458 -26.998675, 150.314598 -26.998635, 150.316588 -26.994901, 150.318988 -26.990289, 150.321324 -26.985813, 150.323086 -26.98243, 150.323133 -26.982384, 150.327552 -26.979566, 150.327584 -26.979545, 150.327627 -26.979479, 150.330987 -26.973934, 150.331518 -26.973052, 150.331666 -26.972375, 150.331672 -26.972289)"/>
  </r>
  <r>
    <s v="P3645"/>
    <s v="Gas"/>
    <s v="Australia"/>
    <s v="Australia"/>
    <s v="Australia"/>
    <m/>
    <s v="https://www.gem.wiki/Berri_to_Mildura_Pipeline"/>
    <x v="95"/>
    <m/>
    <s v="Mildura Pipeline"/>
    <s v="Australian Gas Infrastructure Group [unknown %]"/>
    <s v="Australian Gas Infrastructure Group [unknown %]"/>
    <x v="0"/>
    <n v="1999"/>
    <m/>
    <m/>
    <m/>
    <n v="2.4"/>
    <s v="TJ/d"/>
    <n v="0.02"/>
    <x v="83"/>
    <n v="148"/>
    <n v="159.72"/>
    <n v="148"/>
    <n v="114.3"/>
    <s v="mm"/>
    <s v="Riverland Pipeline System"/>
    <s v="Berri"/>
    <s v="Australia and New Zealand"/>
    <m/>
    <s v="South Australia"/>
    <s v="Mildura"/>
    <m/>
    <s v="New South Wales"/>
    <s v="Australia and New Zealand"/>
    <m/>
    <m/>
    <m/>
    <m/>
    <m/>
    <s v="MULTILINESTRING ((140.546432 -34.281389, 140.547536 -34.281458, 140.547742 -34.280568, 140.547996 -34.280131, 140.547749 -34.279903, 140.547811 -34.279586, 140.548003 -34.279301, 140.548893 -34.278947, 140.548957 -34.278795, 140.549449 -34.278563, 140.549661 -34.278455, 140.550186 -34.278148, 140.550829 -34.277781, 140.550968 -34.277693, 140.551112 -34.277575, 140.551327 -34.277385, 140.551494 -34.277263, 140.551726 -34.277125, 140.553312 -34.276226, 140.555008 -34.275424, 140.555502 -34.275154, 140.558061 -34.273702, 140.558253 -34.273558, 140.558412 -34.27341, 140.55849 -34.273336, 140.558568 -34.273274, 140.559118 -34.272958, 140.559504 -34.272747, 140.559987 -34.272511, 140.56045 -34.272379, 140.560946 -34.272276, 140.561531 -34.272204, 140.563367 -34.272217, 140.563638 -34.272209, 140.564759 -34.272231, 140.565594 -34.272206, 140.566522 -34.272168, 140.567563 -34.272057, 140.567792 -34.272025, 140.568579 -34.271959, 140.570544 -34.271761, 140.571682 -34.271687, 140.572044 -34.271672, 140.572155 -34.271663, 140.576481 -34.27146, 140.577332 -34.271402, 140.579012 -34.271311, 140.587804 -34.271083, 140.588085 -34.271072, 140.593469 -34.270943, 140.593466 -34.270512, 140.593552 -34.270303, 140.593878 -34.27028, 140.596777 -34.270292, 140.597023 -34.270256, 140.597062 -34.270218, 140.597084 -34.269497, 140.597375 -34.269504, 140.598368 -34.269647, 140.599052 -34.269634, 140.599567 -34.269593, 140.599664 -34.269474, 140.600696 -34.269389, 140.601378 -34.269195, 140.601641 -34.26903, 140.602754 -34.268074, 140.602997 -34.267793, 140.603649 -34.26764, 140.606286 -34.267159, 140.607535 -34.265822, 140.607868 -34.265496, 140.610511 -34.262558, 140.612977 -34.259847, 140.613186 -34.259673, 140.614117 -34.258404, 140.616326 -34.258596, 140.617883 -34.258638, 140.620206 -34.258758, 140.621058 -34.258445, 140.625642 -34.258908, 140.625953 -34.258756, 140.626132 -34.258733, 140.626772 -34.258468, 140.627786 -34.258364, 140.628441 -34.258532, 140.629103 -34.258575, 140.629443 -34.258543, 140.630455 -34.258295, 140.631361 -34.258499, 140.632577 -34.258521, 140.633254 -34.258798, 140.634589 -34.259153, 140.635637 -34.259749, 140.636153 -34.260288, 140.639471 -34.262017, 140.639545 -34.262337, 140.639706 -34.262388, 140.640253 -34.264506, 140.640311 -34.264581, 140.640405 -34.264634, 140.649676 -34.267003, 140.650035 -34.26704, 140.650185 -34.267167, 140.652201 -34.267612, 140.652568 -34.267712, 140.652805 -34.267766, 140.656616 -34.268314, 140.657329 -34.268846, 140.657856 -34.269047, 140.659144 -34.269618, 140.660397 -34.270398, 140.661151 -34.270738, 140.680646 -34.291055, 140.680974 -34.291433, 140.681327 -34.291767, 140.683278 -34.293796, 140.686032 -34.298224, 140.68618 -34.298265, 140.687878 -34.301004, 140.68827 -34.301325, 140.688954 -34.301249, 140.699907 -34.301253, 140.700016 -34.301343, 140.743023 -34.301337, 140.743367 -34.301624, 140.78905 -34.301768, 140.842363 -34.290606, 140.845451 -34.288269, 140.848988 -34.287456, 140.852624 -34.286933, 140.854597 -34.287078, 140.858696 -34.284917, 140.861693 -34.283755, 140.869918 -34.282652, 140.883633 -34.281024, 140.898494 -34.281052, 140.938136 -34.277159, 140.950742 -34.276091, 140.962238 -34.274676, 140.963193 -34.274527), (140.963193 -34.274527, 140.964116 -34.273263, 140.964256 -34.273022, 140.969132 -34.273081, 140.989753 -34.272984, 141.010428 -34.273424, 141.010428 -34.273402, 141.024246 -34.273605, 141.035876 -34.27309, 141.046567 -34.273423, 141.058814 -34.272795, 141.075272 -34.273643, 141.075331 -34.273187, 141.089369 -34.273106, 141.096482 -34.273332, 141.098574 -34.273809, 141.098971 -34.273638, 141.112119 -34.273781, 141.133663 -34.273749, 141.149681 -34.273889, 141.165489 -34.273615, 141.185004 -34.27368, 141.196667 -34.273218, 141.198576 -34.27346, 141.210324 -34.273217, 141.219803 -34.273362, 141.231353 -34.273389, 141.243073 -34.273582, 141.254971 -34.273705, 141.266741 -34.273807, 141.278677 -34.273314, 141.290741 -34.273764, 141.292565 -34.274226, 141.310058 -34.274332, 141.322793 -34.274482, 141.336005 -34.274396, 141.350752 -34.274439, 141.366561 -34.274606, 141.386124 -34.27438, 141.401509 -34.27447, 141.406021 -34.275087, 141.421433 -34.275136, 141.434109 -34.274792, 141.449376 -34.275034, 141.459551 -34.275119, 141.461622 -34.274535, 141.46763 -34.274492, 141.480923 -34.274674, 141.495638 -34.274797, 141.506227 -34.274448, 141.520314 -34.275076, 141.541647 -34.274813, 141.560428 -34.274866, 141.580352 -34.275085, 141.583248 -34.275, 141.593516 -34.277022, 141.609496 -34.276346, 141.611239 -34.275767, 141.619489 -34.275633, 141.62148 -34.275193, 141.626179 -34.275622, 141.643007 -34.275123, 141.650007 -34.275568, 141.652078 -34.276142, 141.657014 -34.275885, 141.66558 -34.276662, 141.668653 -34.275756, 141.670032 -34.275659, 141.671936 -34.275262, 141.678567 -34.27539, 141.680809 -34.275991, 141.685133 -34.275948, 141.68973 -34.275664, 141.691688 -34.275224, 141.699064 -34.275514, 141.709626 -34.275406, 141.726299 -34.275471, 141.742987 -34.27546, 141.763436 -34.275626, 141.784765 -34.275856, 141.799415 -34.275384, 141.812659 -34.275496, 141.832781 -34.275459, 141.857253 -34.275668, 141.859496 -34.276376, 141.874606 -34.276096, 141.87694 -34.27564, 141.894573 -34.275747, 141.896552 -34.276284, 141.898237 -34.275984, 141.928712 -34.276236, 141.952239 -34.276289, 141.998749 -34.276084, 141.998518 -34.275854, 141.998647 -34.271927, 142.003142 -34.27256, 142.006318 -34.271573, 142.019132 -34.270994, 142.062343 -34.26374, 142.072379 -34.259293, 142.095891 -34.23916, 142.103921 -34.232519, 142.097377 -34.227375, 142.092544 -34.223614, 142.08888 -34.220621, 142.087367 -34.220127, 142.083392 -34.219312, 142.078473 -34.214312, 142.074262 -34.212059, 142.073822 -34.202585, 142.068522 -34.202875, 142.05944 -34.195177, 142.074008 -34.175785, 142.078064 -34.170431, 142.081032 -34.1667))"/>
  </r>
  <r>
    <s v="P3646"/>
    <s v="Gas"/>
    <s v="Australia"/>
    <s v="Australia"/>
    <s v="Australia"/>
    <m/>
    <s v="https://www.gem.wiki/BassGas_Pipeline"/>
    <x v="96"/>
    <m/>
    <s v="BassGas Sales Pipeline"/>
    <s v="Beach Energy Limited [53.75%]; Mitsui Global Investment [35.00%]; Oil and Natural Gas [11.25%]"/>
    <s v="Beach Energy Limited [53.75%]; Mitsui Global Investment [35.00%]; Oil and Natural Gas [11.25%]"/>
    <x v="0"/>
    <n v="2017"/>
    <m/>
    <m/>
    <m/>
    <m/>
    <m/>
    <s v="--"/>
    <x v="2"/>
    <n v="35.1"/>
    <n v="35.380000000000003"/>
    <n v="35.1"/>
    <m/>
    <m/>
    <s v="Yolla gas field"/>
    <m/>
    <s v="Australia and New Zealand"/>
    <m/>
    <s v="Victoria"/>
    <m/>
    <m/>
    <s v="Victoria"/>
    <s v="Australia and New Zealand"/>
    <m/>
    <m/>
    <m/>
    <m/>
    <m/>
    <s v="MULTILINESTRING ((145.526378 -38.063723, 145.526449 -38.063824, 145.523942 -38.064296, 145.522795 -38.069222, 145.52217 -38.070956, 145.524107 -38.071988, 145.523795 -38.073592, 145.523898 -38.074274, 145.52293 -38.078903, 145.52512 -38.081294, 145.531045 -38.082328, 145.531436 -38.082942, 145.531015 -38.085032, 145.530752 -38.085323, 145.528729 -38.094586, 145.529958 -38.094762, 145.529453 -38.095764, 145.529649 -38.096177, 145.529283 -38.098134, 145.530667 -38.100358, 145.53682 -38.102758, 145.540377 -38.10324, 145.540792 -38.10347, 145.54248 -38.103701, 145.542959 -38.104191, 145.54218 -38.108132, 145.541895 -38.108389, 145.542033 -38.108876, 145.540096 -38.118199, 145.548251 -38.124582, 145.546665 -38.132109, 145.546884 -38.132581, 145.546233 -38.135435, 145.545952 -38.135795, 145.545371 -38.137493, 145.544997 -38.139332, 145.548079 -38.142186, 145.549021 -38.143484, 145.553837 -38.144141, 145.555246 -38.145257, 145.557057 -38.145531, 145.555825 -38.151655, 145.563436 -38.149979, 145.564785 -38.153748, 145.565624 -38.15456, 145.566121 -38.15542, 145.568723 -38.162734, 145.567383 -38.163092, 145.563804 -38.168172, 145.563887 -38.168724, 145.574136 -38.17324, 145.575904 -38.176652, 145.579837 -38.178998, 145.578913 -38.183372, 145.577866 -38.184725, 145.577477 -38.186887, 145.574993 -38.191039, 145.574933 -38.191559, 145.573532 -38.193874, 145.576704 -38.195064, 145.579584 -38.196941, 145.580508 -38.200575, 145.577725 -38.205235, 145.582564 -38.207057, 145.591226 -38.220099, 145.591566 -38.244103, 145.59448 -38.248513, 145.592867 -38.252572, 145.592892 -38.25316, 145.595803 -38.257569, 145.594284 -38.260553, 145.591047 -38.271825, 145.587093 -38.279837, 145.589092 -38.28114, 145.58876 -38.281716, 145.58653 -38.291999, 145.585195 -38.29288, 145.588815 -38.298256), (145.588815 -38.298256, 145.589312 -38.299005, 145.589347 -38.300869, 145.589522 -38.301478, 145.592552 -38.304044, 145.592564 -38.304344, 145.591141 -38.308381, 145.591445 -38.309453, 145.591122 -38.310012, 145.591919 -38.311234, 145.591881 -38.311579, 145.593158 -38.313146, 145.594732 -38.315561, 145.594055 -38.316172, 145.594772 -38.320272, 145.596853 -38.320559, 145.601079 -38.321668, 145.601822 -38.321672))"/>
  </r>
  <r>
    <s v="P3647"/>
    <s v="Gas"/>
    <s v="Australia"/>
    <s v="Australia"/>
    <s v="Australia"/>
    <m/>
    <s v="https://www.gem.wiki/Otway_Gas_Pipeline"/>
    <x v="97"/>
    <m/>
    <m/>
    <s v="Beach Energy Limited [100.00%]"/>
    <s v="Beach Energy Limited [100.00%]"/>
    <x v="0"/>
    <n v="2006"/>
    <m/>
    <m/>
    <m/>
    <m/>
    <m/>
    <s v="--"/>
    <x v="2"/>
    <n v="80"/>
    <n v="63.24"/>
    <n v="80"/>
    <n v="20"/>
    <s v="in"/>
    <s v="Otway gas basin"/>
    <m/>
    <s v="Australia and New Zealand"/>
    <m/>
    <s v="Victoria"/>
    <m/>
    <m/>
    <s v="Victoria"/>
    <s v="Australia and New Zealand"/>
    <m/>
    <m/>
    <m/>
    <m/>
    <m/>
    <s v="MULTILINESTRING ((142.9157 -39.198525, 142.935944 -39.140465, 142.929474 -39.086025, 142.973328 -38.812241, 142.971375 -38.788124, 142.975266 -38.761536, 142.982681 -38.748631, 142.987305 -38.732719, 142.981214 -38.675494), (142.902206 -39.237225, 142.9157 -39.198525))"/>
  </r>
  <r>
    <s v="P3648"/>
    <s v="Gas"/>
    <s v="Australia"/>
    <s v="Australia"/>
    <s v="Australia"/>
    <m/>
    <s v="https://www.gem.wiki/Kalgoorlie_to_Kambalda_Pipeline"/>
    <x v="79"/>
    <m/>
    <m/>
    <s v="APA Group [100.00%]"/>
    <s v="APA Group [100.00%]"/>
    <x v="0"/>
    <n v="1996"/>
    <m/>
    <m/>
    <m/>
    <n v="26"/>
    <s v="TJ/d"/>
    <n v="0.27"/>
    <x v="67"/>
    <n v="44.3"/>
    <n v="44.17"/>
    <n v="44.3"/>
    <n v="219"/>
    <s v="mm"/>
    <s v="Goldfields Gas Pipeline"/>
    <s v="Kalgoorlie"/>
    <s v="Australia and New Zealand"/>
    <m/>
    <s v="Western Australia"/>
    <s v="Kambalda"/>
    <m/>
    <s v="Western Australia"/>
    <s v="Australia and New Zealand"/>
    <m/>
    <m/>
    <m/>
    <m/>
    <m/>
    <s v="LINESTRING (121.480756 -30.866055, 121.480118 -30.866197, 121.480529 -30.867311, 121.480494 -30.867509, 121.477115 -30.868893, 121.480117 -30.876728, 121.483779 -30.879196, 121.506885 -30.941581, 121.514657 -30.953273, 121.523592 -30.973986, 121.52629 -30.999744, 121.55742 -31.079429, 121.588887 -31.13386, 121.590667 -31.135953, 121.596578 -31.146268, 121.597639 -31.147834, 121.598985 -31.149227, 121.602632 -31.151693, 121.603853 -31.152689, 121.604753 -31.153607, 121.60585 -31.156011, 121.609343 -31.169445, 121.610807 -31.173052, 121.618694 -31.180862, 121.620769 -31.184712, 121.625518 -31.191171, 121.62994 -31.190561, 121.633126 -31.191021, 121.637062 -31.190803, 121.641479 -31.189977, 121.642296 -31.190373, 121.653653 -31.189202, 121.660176 -31.190632, 121.663497 -31.190984, 121.667824 -31.191666, 121.670749 -31.192546, 121.672568 -31.193612, 121.67313 -31.192914)"/>
  </r>
  <r>
    <s v="P3650"/>
    <s v="Gas"/>
    <s v="Australia"/>
    <s v="Australia"/>
    <s v="Australia"/>
    <m/>
    <s v="https://www.gem.wiki/Eastern_Goldfields_Pipeline_System"/>
    <x v="0"/>
    <s v="Murrin Murrin Lateral"/>
    <m/>
    <s v="APA Group [100.00%]"/>
    <s v="APA Group [100.00%]"/>
    <x v="0"/>
    <m/>
    <m/>
    <m/>
    <m/>
    <n v="45.6"/>
    <s v="TJ/d"/>
    <n v="0.47"/>
    <x v="84"/>
    <n v="85"/>
    <n v="122.48"/>
    <n v="85"/>
    <m/>
    <m/>
    <m/>
    <m/>
    <s v="Australia and New Zealand"/>
    <m/>
    <m/>
    <m/>
    <m/>
    <m/>
    <s v="Australia and New Zealand"/>
    <m/>
    <m/>
    <m/>
    <m/>
    <m/>
    <s v="LINESTRING (121.174463 -28.843995, 121.176349 -28.844801, 121.177193 -28.84482, 121.179526 -28.844138, 121.181789 -28.844184, 121.183635 -28.844644, 121.18417 -28.845139, 121.197374 -28.861204, 121.198642 -28.861943, 121.202499 -28.862979, 121.207577 -28.864407, 121.211504 -28.865518, 121.212303 -28.865781, 121.230042 -28.874801, 121.231194 -28.87515, 121.239641 -28.876347, 121.240765 -28.87681, 121.245813 -28.879819, 121.247304 -28.880601, 121.24965 -28.881135, 121.290858 -28.890619, 121.29318 -28.891494, 121.295418 -28.891966, 121.297705 -28.890629, 121.30582 -28.887879, 121.311121 -28.88621, 121.315107 -28.884955, 121.320582 -28.881839, 121.326643 -28.881902, 121.326639 -28.885061, 121.330522 -28.885124, 121.331048 -28.885129, 121.335159 -28.885075, 121.34136 -28.885871, 121.342651 -28.885834, 121.343631 -28.88601, 121.344794 -28.88632, 121.360209 -28.887989, 121.375804 -28.889679, 121.37738 -28.889985, 121.379676 -28.890634, 121.422339 -28.902724, 121.426203 -28.903594, 121.432975 -28.904735, 121.443055 -28.906433, 121.446742 -28.907133, 121.450707 -28.908608, 121.455995 -28.910789, 121.463415 -28.913845, 121.466184 -28.914706, 121.470107 -28.915589, 121.474549 -28.916555, 121.480856 -28.917555, 121.492263 -28.919266, 121.493499 -28.919544, 121.495149 -28.920046, 121.496586 -28.920616, 121.508693 -28.925971, 121.510411 -28.926531, 121.511902 -28.926783, 121.513449 -28.926833, 121.54701 -28.925658, 121.548984 -28.925411, 121.551503 -28.924523, 121.553375 -28.923537, 121.572391 -28.913484, 121.574749 -28.912625, 121.578058 -28.911981, 121.603047 -28.907179, 121.60488 -28.906579, 121.606952 -28.905581, 121.626354 -28.89592, 121.628835 -28.894744, 121.631289 -28.893765, 121.642124 -28.890115, 121.644929 -28.889444, 121.646882 -28.889274, 121.658232 -28.888869, 121.660174 -28.88867, 121.661895 -28.8882, 121.662657 -28.887892, 121.67351 -28.883013, 121.675072 -28.882506, 121.676438 -28.882263, 121.677878 -28.882192, 121.687987 -28.882419, 121.688002 -28.881577, 121.690305 -28.881582, 121.691262 -28.881481, 121.692454 -28.881224, 121.694688 -28.88028, 121.697305 -28.878712, 121.698468 -28.878094, 121.708931 -28.874681, 121.709909 -28.874604, 121.711219 -28.874646, 121.719029 -28.875752, 121.721077 -28.875989, 121.725509 -28.876227, 121.728525 -28.876241, 121.730505 -28.875917, 121.732919 -28.874755, 121.741365 -28.86879, 121.743407 -28.867505, 121.757072 -28.859169, 121.759355 -28.85815, 121.762763 -28.857386, 121.767515 -28.85653, 121.769551 -28.856521, 121.776381 -28.857004, 121.777676 -28.857016, 121.779492 -28.85676, 121.791999 -28.853873, 121.793487 -28.853683, 121.795623 -28.853608, 121.798409 -28.853437, 121.800434 -28.853043, 121.802999 -28.85237, 121.807466 -28.851052, 121.820946 -28.845559, 121.822788 -28.844938, 121.824895 -28.844459, 121.837588 -28.841688, 121.839166 -28.84112, 121.840839 -28.840172, 121.849429 -28.833665, 121.850996 -28.83279, 121.852126 -28.832324, 121.8578 -28.830282, 121.861709 -28.8287, 121.870797 -28.823094, 121.872899 -28.821382, 121.87543 -28.818015, 121.878292 -28.814677, 121.879893 -28.813576, 121.882368 -28.812157, 121.885431 -28.810401, 121.889426 -28.808129, 121.900461 -28.804003, 121.902031 -28.803258, 121.904474 -28.801132, 121.907335 -28.797477, 121.909948 -28.795001, 121.914223 -28.791976, 121.91703 -28.79006, 121.916464 -28.789351, 121.926843 -28.782463, 121.927726 -28.783426, 121.945761 -28.789051, 122.014165 -28.787754, 122.043498 -28.782536, 122.044875 -28.784398, 122.057638 -28.796247, 122.079586 -28.792987, 122.09806 -28.777113, 122.162037 -28.793185, 122.168117 -28.793669, 122.17868 -28.786522, 122.182294 -28.786458, 122.190393 -28.77763, 122.197109 -28.774662, 122.226249 -28.768319, 122.233918 -28.773334, 122.239598 -28.774958, 122.242156 -28.776106, 122.245032 -28.779746, 122.258126 -28.789474, 122.266611 -28.790526, 122.308456 -28.800016, 122.3101 -28.800723, 122.311204 -28.801198, 122.311413 -28.801387)"/>
  </r>
  <r>
    <s v="P3651"/>
    <s v="Gas"/>
    <s v="Australia"/>
    <s v="Australia"/>
    <s v="Australia"/>
    <m/>
    <s v="https://www.gem.wiki/Eastern_Goldfields_Pipeline_System"/>
    <x v="0"/>
    <s v="Gwalia Lateral"/>
    <m/>
    <s v="APA Group [100.00%]"/>
    <s v="APA Group [100.00%]"/>
    <x v="0"/>
    <m/>
    <m/>
    <m/>
    <m/>
    <n v="8"/>
    <s v="TJ/d"/>
    <n v="0.08"/>
    <x v="0"/>
    <n v="5.7"/>
    <s v="--"/>
    <n v="5.7"/>
    <m/>
    <m/>
    <m/>
    <m/>
    <s v="Australia and New Zealand"/>
    <m/>
    <m/>
    <m/>
    <m/>
    <m/>
    <s v="Australia and New Zealand"/>
    <m/>
    <m/>
    <m/>
    <m/>
    <m/>
    <s v="--"/>
  </r>
  <r>
    <s v="P3652"/>
    <s v="Gas"/>
    <s v="Australia"/>
    <s v="Australia"/>
    <s v="Australia"/>
    <m/>
    <s v="https://www.gem.wiki/Eastern_Goldfields_Pipeline_System"/>
    <x v="0"/>
    <s v="Mount Morgans Gas Pipeline"/>
    <m/>
    <s v="APA Group [100.00%]"/>
    <s v="APA Group [100.00%]"/>
    <x v="0"/>
    <m/>
    <m/>
    <m/>
    <m/>
    <n v="8"/>
    <s v="TJ/d"/>
    <n v="0.08"/>
    <x v="0"/>
    <n v="5"/>
    <s v="--"/>
    <n v="5"/>
    <m/>
    <m/>
    <m/>
    <m/>
    <s v="Australia and New Zealand"/>
    <m/>
    <m/>
    <m/>
    <m/>
    <m/>
    <s v="Australia and New Zealand"/>
    <m/>
    <m/>
    <m/>
    <m/>
    <m/>
    <s v="--"/>
  </r>
  <r>
    <s v="P3653"/>
    <s v="Gas"/>
    <s v="Australia"/>
    <s v="Australia"/>
    <s v="Australia"/>
    <m/>
    <s v="https://www.gem.wiki/Amadeus_Gas_Pipeline"/>
    <x v="52"/>
    <s v="Capacity expansion for Beetaloo Basin"/>
    <m/>
    <s v="Unknown [unknown %]"/>
    <s v="Unknown [unknown %]"/>
    <x v="1"/>
    <n v="2025"/>
    <m/>
    <m/>
    <m/>
    <n v="350"/>
    <s v="TJ/d"/>
    <n v="3.58"/>
    <x v="74"/>
    <n v="0"/>
    <s v="--"/>
    <n v="0"/>
    <m/>
    <m/>
    <m/>
    <m/>
    <s v="Australia and New Zealand"/>
    <m/>
    <m/>
    <m/>
    <m/>
    <m/>
    <s v="Australia and New Zealand"/>
    <m/>
    <m/>
    <m/>
    <m/>
    <m/>
    <s v="--"/>
  </r>
  <r>
    <s v="P3654"/>
    <s v="Gas"/>
    <s v="Australia"/>
    <s v="Australia"/>
    <s v="Australia"/>
    <m/>
    <s v="https://www.gem.wiki/Carpentaria_Gas_Pipeline"/>
    <x v="60"/>
    <s v="Capacity expansion for Beetaloo Basin"/>
    <m/>
    <s v="Unknown [unknown %]"/>
    <s v="Unknown [unknown %]"/>
    <x v="1"/>
    <n v="2025"/>
    <m/>
    <m/>
    <m/>
    <n v="350"/>
    <s v="TJ/d"/>
    <n v="3.58"/>
    <x v="74"/>
    <n v="0"/>
    <s v="--"/>
    <n v="0"/>
    <m/>
    <m/>
    <m/>
    <m/>
    <s v="Australia and New Zealand"/>
    <m/>
    <m/>
    <m/>
    <m/>
    <m/>
    <s v="Australia and New Zealand"/>
    <m/>
    <m/>
    <m/>
    <m/>
    <m/>
    <s v="--"/>
  </r>
  <r>
    <s v="P3655"/>
    <s v="Gas"/>
    <s v="Australia"/>
    <s v="Australia"/>
    <s v="Australia"/>
    <m/>
    <s v="https://www.gem.wiki/Northern_Gas_Pipeline"/>
    <x v="5"/>
    <s v="Capacity expansion for Beetaloo Basin"/>
    <m/>
    <s v="Unknown [unknown %]"/>
    <s v="Unknown [unknown %]"/>
    <x v="1"/>
    <n v="2025"/>
    <m/>
    <m/>
    <m/>
    <n v="350"/>
    <s v="TJ/d"/>
    <n v="3.58"/>
    <x v="74"/>
    <n v="0"/>
    <s v="--"/>
    <n v="0"/>
    <m/>
    <m/>
    <m/>
    <m/>
    <s v="Australia and New Zealand"/>
    <m/>
    <m/>
    <m/>
    <m/>
    <m/>
    <s v="Australia and New Zealand"/>
    <m/>
    <m/>
    <m/>
    <m/>
    <m/>
    <s v="--"/>
  </r>
  <r>
    <s v="P3660"/>
    <s v="Gas"/>
    <s v="Australia"/>
    <s v="Australia"/>
    <s v="Australia"/>
    <m/>
    <s v="https://www.gem.wiki/Roma_to_Brisbane_Pipeline"/>
    <x v="18"/>
    <s v="Peat Lateral"/>
    <m/>
    <s v="Unknown [unknown %]"/>
    <s v="Unknown [unknown %]"/>
    <x v="0"/>
    <m/>
    <m/>
    <m/>
    <m/>
    <m/>
    <m/>
    <s v="--"/>
    <x v="2"/>
    <n v="121"/>
    <n v="118.53"/>
    <n v="121"/>
    <m/>
    <m/>
    <s v="Peat and Scotia gas fields"/>
    <m/>
    <s v="Australia and New Zealand"/>
    <m/>
    <m/>
    <m/>
    <m/>
    <m/>
    <s v="Australia and New Zealand"/>
    <m/>
    <m/>
    <m/>
    <m/>
    <m/>
    <s v="LINESTRING (150.120134 -26.932247, 150.121248 -26.926625, 150.129529 -26.922388, 150.131394 -26.920338, 150.132055 -26.920426, 150.137643 -26.913306, 150.141868 -26.899268, 150.142051 -26.896736, 150.142331 -26.892827, 150.142917 -26.89067, 150.145905 -26.882866, 150.150056 -26.869877, 150.154331 -26.856548, 150.154715 -26.844919, 150.155193 -26.83256, 150.155382 -26.829368, 150.155542 -26.827257, 150.161429 -26.8095, 150.162338 -26.806669, 150.163581 -26.79438, 150.166704 -26.787725, 150.164877 -26.786616, 150.172688 -26.769924, 150.175088 -26.767873, 150.163761 -26.752531, 150.162129 -26.75136, 150.158101 -26.748729, 150.154963 -26.746906, 150.152935 -26.745721, 150.153107 -26.742908, 150.153698 -26.740105, 150.154506 -26.735484, 150.155027 -26.732803, 150.156752 -26.722975, 150.157277 -26.712383, 150.157475 -26.708196, 150.159069 -26.70377, 150.15921 -26.695937, 150.152638 -26.6898, 150.152404 -26.689563, 150.151439 -26.683211, 150.151467 -26.682939, 150.15323 -26.675239, 150.153583 -26.672972, 150.157891 -26.64618, 150.1589 -26.639764, 150.159255 -26.638662, 150.161636 -26.62412, 150.164809 -26.607641, 150.168953 -26.604286, 150.167804 -26.599289, 150.160379 -26.591013, 150.149353 -26.568706, 150.148506 -26.567498, 150.147863 -26.566597, 150.148006 -26.565358, 150.147052 -26.562961, 150.146278 -26.561364, 150.145775 -26.559627, 150.143028 -26.552508, 150.141794 -26.545464, 150.140619 -26.539657, 150.140113 -26.536135, 150.140308 -26.535001, 150.134726 -26.50856, 150.134277 -26.50614, 150.134223 -26.505827, 150.144835 -26.439457, 150.145133 -26.439063, 150.148067 -26.436383, 150.147996 -26.434988, 150.148008 -26.432642, 150.147694 -26.432265, 150.146657 -26.431402, 150.145619 -26.429749, 150.144437 -26.396715, 150.145012 -26.396509, 150.148698 -26.395574, 150.148769 -26.395459, 150.156035 -26.35014, 150.155565 -26.349609, 150.158506 -26.331095, 150.120893 -26.289971, 150.121363 -26.287021, 150.120689 -26.284679, 150.120264 -26.279986, 150.120808 -26.278759, 150.1222 -26.263308, 150.12119 -26.259532, 150.124004 -26.249964, 150.116085 -26.240369, 150.119709 -26.23497, 150.113728 -26.224459, 150.113694 -26.217537, 150.111118 -26.215143, 150.110875 -26.213412, 150.110173 -26.212719, 150.107791 -26.175554, 150.106976 -26.162176, 150.107101 -26.155461, 150.107694 -26.146099, 150.104776 -26.135038, 150.104169 -26.119341, 150.1033 -26.11101, 150.101862 -26.080103, 150.099854 -26.051113, 150.090433 -26.043181, 150.094798 -26.03984, 150.094486 -26.038825, 150.094693 -26.033112, 150.092659 -26.032531, 150.093261 -26.009351, 150.096187 -26.002755, 150.088537 -26.001791, 150.094405 -25.96231, 150.090084 -25.958479, 150.075354 -25.94543, 150.07322 -25.944515)"/>
  </r>
  <r>
    <s v="P3661"/>
    <s v="Gas"/>
    <s v="Australia"/>
    <s v="Australia"/>
    <s v="Australia"/>
    <m/>
    <s v="https://www.gem.wiki/Telfer_Pipeline"/>
    <x v="31"/>
    <s v="Nifty Gas Lateral"/>
    <m/>
    <s v="Unknown [unknown %]"/>
    <s v="Unknown [unknown %]"/>
    <x v="0"/>
    <m/>
    <m/>
    <m/>
    <m/>
    <m/>
    <m/>
    <s v="--"/>
    <x v="2"/>
    <n v="45"/>
    <n v="44.85"/>
    <n v="45"/>
    <m/>
    <m/>
    <m/>
    <m/>
    <s v="Australia and New Zealand"/>
    <m/>
    <m/>
    <m/>
    <m/>
    <m/>
    <s v="Australia and New Zealand"/>
    <m/>
    <m/>
    <m/>
    <m/>
    <m/>
    <s v="LINESTRING (121.853422 -21.50219, 121.85201 -21.506172, 121.845427 -21.518988, 121.838472 -21.532495, 121.838109 -21.532991, 121.820571 -21.556077, 121.818583 -21.559834, 121.811786 -21.568004, 121.799644 -21.578561, 121.798027 -21.580726, 121.785368 -21.582245, 121.778758 -21.584393, 121.776081 -21.585953, 121.772489 -21.592018, 121.770204 -21.594614, 121.769448 -21.595175, 121.769178 -21.595593, 121.768648 -21.596421, 121.7612 -21.607997, 121.740513 -21.617284, 121.737372 -21.619717, 121.722606 -21.625728, 121.721979 -21.628634, 121.719772 -21.634591, 121.718164 -21.640299, 121.716223 -21.64722, 121.713443 -21.653299, 121.710531 -21.663015, 121.710429 -21.670344, 121.711322 -21.678313, 121.718545 -21.686446, 121.718836 -21.68764, 121.717687 -21.696783, 121.713018 -21.708989, 121.712264 -21.710077, 121.710375 -21.710523, 121.699673 -21.706336, 121.681944 -21.700203, 121.636058 -21.68692, 121.634796 -21.687219, 121.609624 -21.681235, 121.592789 -21.674332, 121.57934 -21.670071, 121.579141 -21.669987, 121.578232 -21.669584, 121.578073 -21.669671)"/>
  </r>
  <r>
    <s v="P3662"/>
    <s v="Gas"/>
    <s v="Australia"/>
    <s v="Australia"/>
    <s v="Australia"/>
    <m/>
    <s v="https://www.gem.wiki/Neerabup_Pipeline"/>
    <x v="98"/>
    <m/>
    <m/>
    <s v="Unknown [unknown %]"/>
    <s v="Unknown [unknown %]"/>
    <x v="0"/>
    <m/>
    <m/>
    <m/>
    <m/>
    <m/>
    <m/>
    <s v="--"/>
    <x v="2"/>
    <s v="--"/>
    <n v="30.3"/>
    <n v="30.3"/>
    <m/>
    <m/>
    <m/>
    <m/>
    <s v="Australia and New Zealand"/>
    <m/>
    <m/>
    <m/>
    <m/>
    <m/>
    <s v="Australia and New Zealand"/>
    <m/>
    <m/>
    <m/>
    <m/>
    <m/>
    <s v="LINESTRING (115.956742 -31.556791, 115.948918 -31.556701, 115.943715 -31.556036, 115.940647 -31.555509, 115.937973 -31.554773, 115.936468 -31.554391, 115.900734 -31.554361, 115.839092 -31.554295, 115.812531 -31.554272, 115.812423 -31.554368, 115.812389 -31.555843, 115.812909 -31.557314, 115.812839 -31.558189, 115.812843 -31.558251, 115.812956 -31.558543, 115.813529 -31.559292, 115.813784 -31.562642, 115.813133 -31.566235, 115.811112 -31.568062, 115.810372 -31.56831, 115.808983 -31.569075, 115.807021 -31.570649, 115.805051 -31.573595, 115.803644 -31.575005, 115.802547 -31.575588, 115.80125 -31.576613, 115.800781 -31.577275, 115.80055 -31.577723, 115.799979 -31.57882, 115.799076 -31.580124, 115.796867 -31.583297, 115.79577 -31.584492, 115.794117 -31.585918, 115.780396 -31.589331, 115.780153 -31.609612, 115.775419 -31.611501, 115.774341 -31.612545, 115.788816 -31.625096, 115.79678 -31.633996, 115.797484 -31.633609, 115.798663 -31.635171, 115.798992 -31.636513, 115.799257 -31.63879, 115.798499 -31.638964, 115.800855 -31.660037, 115.801045 -31.660863, 115.801357 -31.661651, 115.80229 -31.663412, 115.80324 -31.665205, 115.803616 -31.666237, 115.803913 -31.666845, 115.804409 -31.667512, 115.805428 -31.668698, 115.806188 -31.669645, 115.80619 -31.669781, 115.802719 -31.66982, 115.802594 -31.669989, 115.80293 -31.671405, 115.802998 -31.6718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65DF51-97E5-40EF-AFB9-7AEDE8C8B2E7}" name="PivotTable2"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7" firstHeaderRow="1" firstDataRow="1" firstDataCol="1" rowPageCount="1" colPageCount="1"/>
  <pivotFields count="8">
    <pivotField showAll="0"/>
    <pivotField showAll="0"/>
    <pivotField axis="axisRow" multipleItemSelectionAllowed="1" showAll="0">
      <items count="35">
        <item m="1" x="19"/>
        <item m="1" x="25"/>
        <item m="1" x="32"/>
        <item m="1" x="31"/>
        <item m="1" x="21"/>
        <item m="1" x="28"/>
        <item m="1" x="26"/>
        <item m="1" x="20"/>
        <item m="1" x="33"/>
        <item m="1" x="22"/>
        <item m="1" x="27"/>
        <item m="1" x="23"/>
        <item m="1" x="30"/>
        <item m="1" x="24"/>
        <item m="1" x="29"/>
        <item m="1" x="18"/>
        <item m="1" x="17"/>
        <item x="0"/>
        <item x="1"/>
        <item x="2"/>
        <item x="3"/>
        <item x="4"/>
        <item x="5"/>
        <item x="6"/>
        <item x="7"/>
        <item x="8"/>
        <item x="9"/>
        <item x="10"/>
        <item x="11"/>
        <item x="12"/>
        <item x="13"/>
        <item x="14"/>
        <item x="15"/>
        <item x="16"/>
        <item t="default"/>
      </items>
    </pivotField>
    <pivotField axis="axisPage" showAll="0">
      <items count="19">
        <item x="4"/>
        <item x="5"/>
        <item x="1"/>
        <item x="9"/>
        <item x="12"/>
        <item x="2"/>
        <item x="3"/>
        <item x="10"/>
        <item x="13"/>
        <item x="11"/>
        <item x="14"/>
        <item x="7"/>
        <item x="8"/>
        <item x="0"/>
        <item x="17"/>
        <item x="15"/>
        <item x="16"/>
        <item x="6"/>
        <item t="default"/>
      </items>
    </pivotField>
    <pivotField axis="axisRow" showAll="0">
      <items count="59">
        <item x="25"/>
        <item x="43"/>
        <item x="49"/>
        <item x="52"/>
        <item x="32"/>
        <item x="14"/>
        <item x="31"/>
        <item x="39"/>
        <item x="13"/>
        <item x="18"/>
        <item x="55"/>
        <item x="50"/>
        <item x="34"/>
        <item x="26"/>
        <item x="22"/>
        <item x="47"/>
        <item x="30"/>
        <item x="4"/>
        <item x="5"/>
        <item x="41"/>
        <item x="57"/>
        <item x="35"/>
        <item x="19"/>
        <item x="8"/>
        <item x="36"/>
        <item x="45"/>
        <item x="40"/>
        <item x="1"/>
        <item x="28"/>
        <item x="15"/>
        <item x="29"/>
        <item x="23"/>
        <item x="54"/>
        <item x="20"/>
        <item x="12"/>
        <item x="44"/>
        <item x="11"/>
        <item x="10"/>
        <item x="51"/>
        <item x="46"/>
        <item x="37"/>
        <item x="33"/>
        <item x="56"/>
        <item x="7"/>
        <item x="9"/>
        <item x="0"/>
        <item x="6"/>
        <item x="3"/>
        <item x="27"/>
        <item x="21"/>
        <item x="53"/>
        <item x="16"/>
        <item x="24"/>
        <item x="2"/>
        <item x="38"/>
        <item x="48"/>
        <item x="17"/>
        <item x="42"/>
        <item t="default"/>
      </items>
    </pivotField>
    <pivotField axis="axisRow" showAll="0">
      <items count="62">
        <item x="26"/>
        <item x="16"/>
        <item x="20"/>
        <item x="21"/>
        <item x="19"/>
        <item x="59"/>
        <item x="0"/>
        <item x="14"/>
        <item x="13"/>
        <item x="4"/>
        <item x="22"/>
        <item x="45"/>
        <item x="18"/>
        <item x="5"/>
        <item x="9"/>
        <item x="1"/>
        <item x="2"/>
        <item x="3"/>
        <item x="6"/>
        <item x="27"/>
        <item x="46"/>
        <item x="25"/>
        <item x="12"/>
        <item x="52"/>
        <item x="31"/>
        <item x="24"/>
        <item x="49"/>
        <item x="60"/>
        <item x="39"/>
        <item x="28"/>
        <item x="58"/>
        <item x="33"/>
        <item x="34"/>
        <item x="11"/>
        <item x="44"/>
        <item x="55"/>
        <item x="30"/>
        <item x="56"/>
        <item x="17"/>
        <item x="29"/>
        <item x="57"/>
        <item x="38"/>
        <item x="42"/>
        <item x="43"/>
        <item x="32"/>
        <item x="48"/>
        <item x="50"/>
        <item x="36"/>
        <item x="10"/>
        <item x="37"/>
        <item x="15"/>
        <item x="8"/>
        <item x="47"/>
        <item x="40"/>
        <item x="35"/>
        <item x="41"/>
        <item x="23"/>
        <item x="54"/>
        <item x="51"/>
        <item x="53"/>
        <item x="7"/>
        <item t="default"/>
      </items>
    </pivotField>
    <pivotField axis="axisRow" showAll="0">
      <items count="62">
        <item x="53"/>
        <item x="13"/>
        <item x="30"/>
        <item x="38"/>
        <item x="40"/>
        <item x="49"/>
        <item x="9"/>
        <item x="10"/>
        <item x="2"/>
        <item x="5"/>
        <item x="48"/>
        <item x="37"/>
        <item x="20"/>
        <item x="24"/>
        <item x="17"/>
        <item x="11"/>
        <item x="54"/>
        <item x="3"/>
        <item x="27"/>
        <item x="47"/>
        <item x="1"/>
        <item x="33"/>
        <item x="25"/>
        <item x="0"/>
        <item x="39"/>
        <item x="7"/>
        <item x="6"/>
        <item x="56"/>
        <item x="43"/>
        <item x="42"/>
        <item x="29"/>
        <item x="26"/>
        <item x="15"/>
        <item x="41"/>
        <item x="32"/>
        <item x="31"/>
        <item x="50"/>
        <item x="19"/>
        <item x="18"/>
        <item x="46"/>
        <item x="59"/>
        <item x="22"/>
        <item x="57"/>
        <item x="34"/>
        <item x="45"/>
        <item x="28"/>
        <item x="58"/>
        <item x="55"/>
        <item x="12"/>
        <item x="8"/>
        <item x="36"/>
        <item x="51"/>
        <item x="52"/>
        <item x="4"/>
        <item x="14"/>
        <item x="16"/>
        <item x="35"/>
        <item x="44"/>
        <item x="60"/>
        <item x="23"/>
        <item x="21"/>
        <item t="default"/>
      </items>
    </pivotField>
    <pivotField showAll="0"/>
  </pivotFields>
  <rowFields count="4">
    <field x="2"/>
    <field x="4"/>
    <field x="6"/>
    <field x="5"/>
  </rowFields>
  <rowItems count="13">
    <i>
      <x v="17"/>
    </i>
    <i r="1">
      <x v="26"/>
    </i>
    <i r="2">
      <x v="33"/>
    </i>
    <i r="3">
      <x v="55"/>
    </i>
    <i>
      <x v="19"/>
    </i>
    <i r="1">
      <x v="54"/>
    </i>
    <i r="2">
      <x v="24"/>
    </i>
    <i r="3">
      <x v="28"/>
    </i>
    <i>
      <x v="28"/>
    </i>
    <i r="1">
      <x v="7"/>
    </i>
    <i r="2">
      <x v="4"/>
    </i>
    <i r="3">
      <x v="53"/>
    </i>
    <i t="grand">
      <x/>
    </i>
  </rowItems>
  <colItems count="1">
    <i/>
  </colItems>
  <pageFields count="1">
    <pageField fld="3" item="4" hier="-1"/>
  </pageFields>
  <formats count="10">
    <format dxfId="106">
      <pivotArea type="all" dataOnly="0" outline="0" fieldPosition="0"/>
    </format>
    <format dxfId="105">
      <pivotArea field="3" type="button" dataOnly="0" labelOnly="1" outline="0" axis="axisPage" fieldPosition="0"/>
    </format>
    <format dxfId="104">
      <pivotArea field="2" type="button" dataOnly="0" labelOnly="1" outline="0" axis="axisRow" fieldPosition="0"/>
    </format>
    <format dxfId="103">
      <pivotArea dataOnly="0" labelOnly="1" grandRow="1" outline="0" fieldPosition="0"/>
    </format>
    <format dxfId="102">
      <pivotArea type="all" dataOnly="0" outline="0" fieldPosition="0"/>
    </format>
    <format dxfId="101">
      <pivotArea field="3" type="button" dataOnly="0" labelOnly="1" outline="0" axis="axisPage" fieldPosition="0"/>
    </format>
    <format dxfId="100">
      <pivotArea field="2" type="button" dataOnly="0" labelOnly="1" outline="0" axis="axisRow" fieldPosition="0"/>
    </format>
    <format dxfId="99">
      <pivotArea dataOnly="0" labelOnly="1" grandRow="1" outline="0" fieldPosition="0"/>
    </format>
    <format dxfId="98">
      <pivotArea dataOnly="0" labelOnly="1" outline="0" fieldPosition="0">
        <references count="1">
          <reference field="3" count="1">
            <x v="4"/>
          </reference>
        </references>
      </pivotArea>
    </format>
    <format dxfId="97">
      <pivotArea dataOnly="0" labelOnly="1" outline="0" fieldPosition="0">
        <references count="1">
          <reference field="3"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7DB98CC-A05A-4592-B274-867311DC2A18}" name="PivotTable5"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129:J134" firstHeaderRow="1" firstDataRow="1" firstDataCol="1"/>
  <pivotFields count="13">
    <pivotField showAll="0"/>
    <pivotField showAll="0"/>
    <pivotField showAll="0"/>
    <pivotField showAll="0">
      <items count="8">
        <item x="1"/>
        <item x="0"/>
        <item x="2"/>
        <item x="3"/>
        <item x="4"/>
        <item x="6"/>
        <item x="5"/>
        <item t="default"/>
      </items>
    </pivotField>
    <pivotField showAll="0">
      <items count="3">
        <item x="1"/>
        <item x="0"/>
        <item t="default"/>
      </items>
    </pivotField>
    <pivotField showAll="0"/>
    <pivotField dataField="1" showAll="0"/>
    <pivotField showAll="0"/>
    <pivotField showAll="0"/>
    <pivotField axis="axisRow" showAll="0">
      <items count="5">
        <item x="3"/>
        <item x="2"/>
        <item x="0"/>
        <item x="1"/>
        <item t="default"/>
      </items>
    </pivotField>
    <pivotField showAll="0"/>
    <pivotField showAll="0"/>
    <pivotField showAll="0"/>
  </pivotFields>
  <rowFields count="1">
    <field x="9"/>
  </rowFields>
  <rowItems count="5">
    <i>
      <x/>
    </i>
    <i>
      <x v="1"/>
    </i>
    <i>
      <x v="2"/>
    </i>
    <i>
      <x v="3"/>
    </i>
    <i t="grand">
      <x/>
    </i>
  </rowItems>
  <colItems count="1">
    <i/>
  </colItems>
  <dataFields count="1">
    <dataField name="Sum of Hydrogen Production (kg/day)" fld="6" baseField="0" baseItem="0"/>
  </dataFields>
  <formats count="1">
    <format dxfId="74">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36E9CA-B513-42C8-8CBD-642834354F93}" name="PivotTable3"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D37" firstHeaderRow="0" firstDataRow="1" firstDataCol="1"/>
  <pivotFields count="39">
    <pivotField showAll="0"/>
    <pivotField showAll="0"/>
    <pivotField axis="axisRow" showAll="0">
      <items count="32">
        <item x="2"/>
        <item x="4"/>
        <item x="5"/>
        <item x="6"/>
        <item x="7"/>
        <item x="8"/>
        <item x="9"/>
        <item x="10"/>
        <item x="12"/>
        <item x="15"/>
        <item x="19"/>
        <item x="20"/>
        <item x="21"/>
        <item x="22"/>
        <item x="24"/>
        <item x="27"/>
        <item x="28"/>
        <item x="30"/>
        <item x="0"/>
        <item x="1"/>
        <item x="3"/>
        <item x="11"/>
        <item x="13"/>
        <item x="14"/>
        <item x="16"/>
        <item x="17"/>
        <item x="18"/>
        <item x="23"/>
        <item x="25"/>
        <item x="26"/>
        <item x="29"/>
        <item t="default"/>
      </items>
    </pivotField>
    <pivotField numFmtId="17" showAll="0">
      <items count="15">
        <item x="0"/>
        <item x="1"/>
        <item x="2"/>
        <item x="3"/>
        <item x="4"/>
        <item x="5"/>
        <item x="6"/>
        <item x="7"/>
        <item x="8"/>
        <item x="9"/>
        <item x="10"/>
        <item x="11"/>
        <item x="12"/>
        <item x="13"/>
        <item t="default"/>
      </items>
    </pivotField>
    <pivotField dataField="1" showAll="0"/>
    <pivotField dataField="1" showAll="0"/>
    <pivotField showAll="0">
      <items count="28">
        <item x="16"/>
        <item x="18"/>
        <item x="10"/>
        <item x="2"/>
        <item x="22"/>
        <item x="7"/>
        <item x="6"/>
        <item x="1"/>
        <item x="20"/>
        <item x="19"/>
        <item x="5"/>
        <item x="13"/>
        <item x="23"/>
        <item x="0"/>
        <item x="26"/>
        <item x="14"/>
        <item x="15"/>
        <item x="17"/>
        <item x="9"/>
        <item x="21"/>
        <item x="8"/>
        <item x="24"/>
        <item x="12"/>
        <item x="3"/>
        <item x="4"/>
        <item x="11"/>
        <item x="25"/>
        <item t="default"/>
      </items>
    </pivotField>
    <pivotField showAll="0">
      <items count="4">
        <item x="2"/>
        <item x="0"/>
        <item x="1"/>
        <item t="default"/>
      </items>
    </pivotField>
    <pivotField showAll="0">
      <items count="27">
        <item x="17"/>
        <item x="0"/>
        <item x="3"/>
        <item x="18"/>
        <item x="5"/>
        <item x="13"/>
        <item x="16"/>
        <item x="22"/>
        <item x="4"/>
        <item x="21"/>
        <item x="7"/>
        <item x="6"/>
        <item x="20"/>
        <item x="10"/>
        <item x="12"/>
        <item x="9"/>
        <item x="15"/>
        <item x="2"/>
        <item x="24"/>
        <item x="1"/>
        <item x="14"/>
        <item x="19"/>
        <item x="23"/>
        <item x="8"/>
        <item x="25"/>
        <item x="11"/>
        <item t="default"/>
      </items>
    </pivotField>
    <pivotField numFmtId="6" showAll="0"/>
    <pivotField numFmtId="6" showAll="0"/>
    <pivotField numFmtId="6" showAll="0"/>
    <pivotField multipleItemSelectionAllowed="1" showAll="0">
      <items count="6">
        <item x="3"/>
        <item x="2"/>
        <item x="1"/>
        <item x="0"/>
        <item x="4"/>
        <item t="default"/>
      </items>
    </pivotField>
    <pivotField multipleItemSelectionAllowed="1" showAll="0">
      <items count="3">
        <item x="1"/>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6">
        <item x="7"/>
        <item x="18"/>
        <item x="14"/>
        <item x="5"/>
        <item x="2"/>
        <item x="21"/>
        <item x="1"/>
        <item x="9"/>
        <item x="12"/>
        <item x="10"/>
        <item x="0"/>
        <item x="22"/>
        <item x="19"/>
        <item x="15"/>
        <item x="24"/>
        <item x="13"/>
        <item x="11"/>
        <item x="16"/>
        <item x="6"/>
        <item x="3"/>
        <item x="17"/>
        <item x="20"/>
        <item x="8"/>
        <item x="23"/>
        <item x="4"/>
        <item t="default"/>
      </items>
    </pivotField>
    <pivotField showAll="0">
      <items count="7">
        <item sd="0" x="0"/>
        <item sd="0" x="1"/>
        <item sd="0" x="2"/>
        <item sd="0" x="3"/>
        <item sd="0" x="4"/>
        <item sd="0" x="5"/>
        <item t="default"/>
      </items>
    </pivotField>
    <pivotField showAll="0">
      <items count="7">
        <item sd="0" x="0"/>
        <item sd="0" x="1"/>
        <item sd="0" x="2"/>
        <item sd="0" x="3"/>
        <item sd="0" x="4"/>
        <item sd="0" x="5"/>
        <item t="default"/>
      </items>
    </pivotField>
  </pivotFields>
  <rowFields count="1">
    <field x="2"/>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3">
    <i>
      <x/>
    </i>
    <i i="1">
      <x v="1"/>
    </i>
    <i i="2">
      <x v="2"/>
    </i>
  </colItems>
  <dataFields count="3">
    <dataField name="Sum of Target in Mt by 2030 (lower bound)" fld="4" baseField="0" baseItem="0"/>
    <dataField name="Sum of Target in Mt by 2030 (upper bound)" fld="5" baseField="0" baseItem="0"/>
    <dataField name="Sum of Gas w/ CC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213617F-EDA7-4B59-BA07-A48CF57CBA47}" name="PivotTable1"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C47" firstHeaderRow="0" firstDataRow="1" firstDataCol="1" rowPageCount="2" colPageCount="1"/>
  <pivotFields count="21">
    <pivotField axis="axisRow" showAll="0">
      <items count="76">
        <item x="38"/>
        <item x="35"/>
        <item x="51"/>
        <item x="25"/>
        <item x="3"/>
        <item x="6"/>
        <item x="62"/>
        <item x="11"/>
        <item x="72"/>
        <item x="12"/>
        <item x="45"/>
        <item x="56"/>
        <item x="27"/>
        <item x="26"/>
        <item x="46"/>
        <item x="17"/>
        <item x="39"/>
        <item x="22"/>
        <item x="7"/>
        <item x="47"/>
        <item x="49"/>
        <item x="20"/>
        <item x="53"/>
        <item x="41"/>
        <item x="28"/>
        <item x="48"/>
        <item x="52"/>
        <item x="23"/>
        <item x="1"/>
        <item x="37"/>
        <item x="16"/>
        <item x="21"/>
        <item x="5"/>
        <item x="43"/>
        <item x="34"/>
        <item x="4"/>
        <item x="63"/>
        <item x="61"/>
        <item x="40"/>
        <item x="74"/>
        <item x="44"/>
        <item x="66"/>
        <item x="13"/>
        <item x="70"/>
        <item x="57"/>
        <item x="50"/>
        <item x="73"/>
        <item x="54"/>
        <item x="69"/>
        <item x="59"/>
        <item x="10"/>
        <item x="64"/>
        <item x="31"/>
        <item x="0"/>
        <item x="24"/>
        <item x="32"/>
        <item x="9"/>
        <item x="58"/>
        <item x="33"/>
        <item x="67"/>
        <item x="42"/>
        <item x="8"/>
        <item x="68"/>
        <item x="36"/>
        <item x="15"/>
        <item x="71"/>
        <item x="30"/>
        <item x="18"/>
        <item x="55"/>
        <item x="19"/>
        <item x="60"/>
        <item x="29"/>
        <item x="65"/>
        <item x="14"/>
        <item x="2"/>
        <item t="default"/>
      </items>
    </pivotField>
    <pivotField showAll="0"/>
    <pivotField showAll="0"/>
    <pivotField axis="axisPage" multipleItemSelectionAllowed="1" showAll="0">
      <items count="8">
        <item x="6"/>
        <item h="1" x="3"/>
        <item h="1" x="2"/>
        <item h="1" x="1"/>
        <item h="1" x="5"/>
        <item h="1" x="0"/>
        <item h="1" x="4"/>
        <item t="default"/>
      </items>
    </pivotField>
    <pivotField showAll="0"/>
    <pivotField showAll="0"/>
    <pivotField showAll="0"/>
    <pivotField showAll="0"/>
    <pivotField dataField="1" showAll="0"/>
    <pivotField axis="axisPage" multipleItemSelectionAllowed="1" showAll="0">
      <items count="18">
        <item x="2"/>
        <item x="8"/>
        <item x="11"/>
        <item x="12"/>
        <item x="13"/>
        <item x="9"/>
        <item x="10"/>
        <item x="0"/>
        <item x="3"/>
        <item x="16"/>
        <item x="6"/>
        <item x="15"/>
        <item x="1"/>
        <item x="4"/>
        <item x="7"/>
        <item x="14"/>
        <item x="5"/>
        <item t="default"/>
      </items>
    </pivotField>
    <pivotField showAll="0"/>
    <pivotField showAll="0"/>
    <pivotField showAll="0"/>
    <pivotField showAll="0"/>
    <pivotField showAll="0">
      <items count="19">
        <item x="0"/>
        <item x="14"/>
        <item x="6"/>
        <item x="9"/>
        <item x="8"/>
        <item x="4"/>
        <item x="12"/>
        <item x="11"/>
        <item x="15"/>
        <item m="1" x="17"/>
        <item x="5"/>
        <item m="1" x="16"/>
        <item x="10"/>
        <item x="1"/>
        <item x="13"/>
        <item x="2"/>
        <item x="7"/>
        <item x="3"/>
        <item t="default"/>
      </items>
    </pivotField>
    <pivotField showAll="0"/>
    <pivotField axis="axisRow" dataField="1" showAll="0">
      <items count="14">
        <item x="8"/>
        <item x="7"/>
        <item x="6"/>
        <item x="12"/>
        <item x="11"/>
        <item x="5"/>
        <item x="9"/>
        <item x="3"/>
        <item x="2"/>
        <item x="0"/>
        <item x="4"/>
        <item x="1"/>
        <item x="10"/>
        <item t="default"/>
      </items>
    </pivotField>
    <pivotField showAll="0"/>
    <pivotField axis="axisRow" showAll="0">
      <items count="3">
        <item x="1"/>
        <item x="0"/>
        <item t="default"/>
      </items>
    </pivotField>
    <pivotField showAll="0"/>
    <pivotField showAll="0"/>
  </pivotFields>
  <rowFields count="3">
    <field x="16"/>
    <field x="18"/>
    <field x="0"/>
  </rowFields>
  <rowItems count="43">
    <i>
      <x v="2"/>
    </i>
    <i r="1">
      <x/>
    </i>
    <i r="2">
      <x v="58"/>
    </i>
    <i>
      <x v="5"/>
    </i>
    <i r="1">
      <x/>
    </i>
    <i r="2">
      <x v="13"/>
    </i>
    <i>
      <x v="7"/>
    </i>
    <i r="1">
      <x/>
    </i>
    <i r="2">
      <x v="31"/>
    </i>
    <i r="2">
      <x v="67"/>
    </i>
    <i r="2">
      <x v="71"/>
    </i>
    <i>
      <x v="8"/>
    </i>
    <i r="1">
      <x/>
    </i>
    <i r="2">
      <x v="3"/>
    </i>
    <i r="2">
      <x v="23"/>
    </i>
    <i r="2">
      <x v="54"/>
    </i>
    <i>
      <x v="9"/>
    </i>
    <i r="1">
      <x v="1"/>
    </i>
    <i r="2">
      <x/>
    </i>
    <i r="2">
      <x v="1"/>
    </i>
    <i r="2">
      <x v="12"/>
    </i>
    <i r="2">
      <x v="15"/>
    </i>
    <i r="2">
      <x v="17"/>
    </i>
    <i r="2">
      <x v="21"/>
    </i>
    <i r="2">
      <x v="24"/>
    </i>
    <i r="2">
      <x v="27"/>
    </i>
    <i r="2">
      <x v="29"/>
    </i>
    <i r="2">
      <x v="30"/>
    </i>
    <i r="2">
      <x v="34"/>
    </i>
    <i r="2">
      <x v="38"/>
    </i>
    <i r="2">
      <x v="52"/>
    </i>
    <i r="2">
      <x v="55"/>
    </i>
    <i r="2">
      <x v="63"/>
    </i>
    <i r="2">
      <x v="64"/>
    </i>
    <i r="2">
      <x v="69"/>
    </i>
    <i>
      <x v="10"/>
    </i>
    <i r="1">
      <x v="1"/>
    </i>
    <i r="2">
      <x v="16"/>
    </i>
    <i r="2">
      <x v="33"/>
    </i>
    <i r="2">
      <x v="60"/>
    </i>
    <i r="2">
      <x v="66"/>
    </i>
    <i r="2">
      <x v="73"/>
    </i>
    <i t="grand">
      <x/>
    </i>
  </rowItems>
  <colFields count="1">
    <field x="-2"/>
  </colFields>
  <colItems count="2">
    <i>
      <x/>
    </i>
    <i i="1">
      <x v="1"/>
    </i>
  </colItems>
  <pageFields count="2">
    <pageField fld="3" hier="-1"/>
    <pageField fld="9" hier="-1"/>
  </pageFields>
  <dataFields count="2">
    <dataField name="Sum of Hydrogen (t/yr)" fld="8" baseField="0" baseItem="0"/>
    <dataField name="Sum of Commissioning Year" fld="16" baseField="0" baseItem="0"/>
  </dataFields>
  <formats count="1">
    <format dxfId="75">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0B4E562-B173-4A18-B806-A2E8442175E2}" name="PivotTable7"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V130:W134" firstHeaderRow="1" firstDataRow="1" firstDataCol="1"/>
  <pivotFields count="9">
    <pivotField showAll="0"/>
    <pivotField showAll="0"/>
    <pivotField showAll="0"/>
    <pivotField dataField="1" showAll="0"/>
    <pivotField showAll="0"/>
    <pivotField showAll="0"/>
    <pivotField axis="axisRow" showAll="0">
      <items count="4">
        <item x="1"/>
        <item x="2"/>
        <item x="0"/>
        <item t="default"/>
      </items>
    </pivotField>
    <pivotField showAll="0"/>
    <pivotField showAll="0"/>
  </pivotFields>
  <rowFields count="1">
    <field x="6"/>
  </rowFields>
  <rowItems count="4">
    <i>
      <x/>
    </i>
    <i>
      <x v="1"/>
    </i>
    <i>
      <x v="2"/>
    </i>
    <i t="grand">
      <x/>
    </i>
  </rowItems>
  <colItems count="1">
    <i/>
  </colItems>
  <dataFields count="1">
    <dataField name="Sum of Tonnes per Annum Stee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255679C-5D63-417E-8B4F-A37544DEED55}" name="PivotTable3"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28:B184" firstHeaderRow="1" firstDataRow="1" firstDataCol="1" rowPageCount="2" colPageCount="1"/>
  <pivotFields count="24">
    <pivotField axis="axisRow" showAll="0">
      <items count="101">
        <item x="69"/>
        <item x="24"/>
        <item x="61"/>
        <item x="21"/>
        <item x="11"/>
        <item x="55"/>
        <item x="47"/>
        <item x="97"/>
        <item x="41"/>
        <item x="59"/>
        <item x="49"/>
        <item x="95"/>
        <item x="13"/>
        <item x="12"/>
        <item x="46"/>
        <item x="3"/>
        <item n="Crystal Brook Energy Park" x="25"/>
        <item x="84"/>
        <item x="48"/>
        <item x="8"/>
        <item x="39"/>
        <item x="87"/>
        <item x="90"/>
        <item x="64"/>
        <item x="51"/>
        <item x="68"/>
        <item x="80"/>
        <item x="60"/>
        <item x="6"/>
        <item x="82"/>
        <item x="78"/>
        <item x="79"/>
        <item x="71"/>
        <item x="27"/>
        <item x="14"/>
        <item x="85"/>
        <item x="45"/>
        <item x="98"/>
        <item x="40"/>
        <item x="96"/>
        <item x="44"/>
        <item x="42"/>
        <item x="70"/>
        <item x="88"/>
        <item x="89"/>
        <item x="9"/>
        <item x="38"/>
        <item x="75"/>
        <item x="76"/>
        <item x="36"/>
        <item x="37"/>
        <item x="86"/>
        <item x="23"/>
        <item x="2"/>
        <item x="7"/>
        <item x="56"/>
        <item x="91"/>
        <item x="34"/>
        <item x="74"/>
        <item x="29"/>
        <item x="83"/>
        <item x="20"/>
        <item x="66"/>
        <item x="26"/>
        <item x="77"/>
        <item x="65"/>
        <item x="33"/>
        <item x="62"/>
        <item x="32"/>
        <item x="35"/>
        <item x="94"/>
        <item x="67"/>
        <item x="92"/>
        <item x="43"/>
        <item x="52"/>
        <item x="73"/>
        <item x="17"/>
        <item x="54"/>
        <item x="57"/>
        <item x="10"/>
        <item x="63"/>
        <item x="18"/>
        <item x="72"/>
        <item x="93"/>
        <item x="19"/>
        <item x="50"/>
        <item x="28"/>
        <item x="53"/>
        <item x="22"/>
        <item x="1"/>
        <item x="16"/>
        <item x="30"/>
        <item x="4"/>
        <item x="81"/>
        <item x="5"/>
        <item x="99"/>
        <item x="58"/>
        <item x="31"/>
        <item x="15"/>
        <item x="0"/>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23">
        <item x="0"/>
        <item x="2"/>
        <item x="16"/>
        <item x="7"/>
        <item x="4"/>
        <item x="21"/>
        <item x="17"/>
        <item x="10"/>
        <item x="20"/>
        <item x="15"/>
        <item x="11"/>
        <item x="12"/>
        <item x="13"/>
        <item x="5"/>
        <item x="8"/>
        <item x="9"/>
        <item x="18"/>
        <item x="1"/>
        <item x="19"/>
        <item x="3"/>
        <item x="14"/>
        <item x="6"/>
        <item t="default"/>
      </items>
    </pivotField>
    <pivotField showAll="0"/>
    <pivotField showAll="0"/>
    <pivotField axis="axisPage" showAll="0">
      <items count="3">
        <item x="1"/>
        <item h="1" x="0"/>
        <item t="default"/>
      </items>
    </pivotField>
    <pivotField axis="axisPage" multipleItemSelectionAllowed="1" showAll="0">
      <items count="12">
        <item x="1"/>
        <item x="4"/>
        <item h="1" x="3"/>
        <item x="5"/>
        <item h="1" x="2"/>
        <item h="1" x="8"/>
        <item x="10"/>
        <item h="1" x="7"/>
        <item h="1" x="9"/>
        <item x="6"/>
        <item h="1" x="0"/>
        <item t="default"/>
      </items>
    </pivotField>
    <pivotField showAll="0"/>
    <pivotField axis="axisRow" showAll="0">
      <items count="16">
        <item x="14"/>
        <item x="8"/>
        <item x="10"/>
        <item x="5"/>
        <item x="9"/>
        <item x="13"/>
        <item x="11"/>
        <item x="2"/>
        <item x="7"/>
        <item x="1"/>
        <item x="3"/>
        <item x="12"/>
        <item x="6"/>
        <item x="0"/>
        <item x="4"/>
        <item t="default"/>
      </items>
    </pivotField>
    <pivotField showAll="0"/>
    <pivotField showAll="0"/>
  </pivotFields>
  <rowFields count="3">
    <field x="15"/>
    <field x="0"/>
    <field x="21"/>
  </rowFields>
  <rowItems count="56">
    <i>
      <x/>
    </i>
    <i r="1">
      <x v="24"/>
    </i>
    <i r="2">
      <x v="3"/>
    </i>
    <i r="1">
      <x v="29"/>
    </i>
    <i r="2">
      <x v="5"/>
    </i>
    <i r="1">
      <x v="30"/>
    </i>
    <i r="2">
      <x v="12"/>
    </i>
    <i>
      <x v="6"/>
    </i>
    <i r="1">
      <x v="78"/>
    </i>
    <i r="2">
      <x v="12"/>
    </i>
    <i>
      <x v="7"/>
    </i>
    <i r="1">
      <x v="10"/>
    </i>
    <i r="2">
      <x v="2"/>
    </i>
    <i r="1">
      <x v="25"/>
    </i>
    <i r="2">
      <x v="3"/>
    </i>
    <i r="1">
      <x v="27"/>
    </i>
    <i r="2">
      <x v="6"/>
    </i>
    <i r="1">
      <x v="39"/>
    </i>
    <i r="2">
      <x v="12"/>
    </i>
    <i r="1">
      <x v="41"/>
    </i>
    <i r="2">
      <x v="2"/>
    </i>
    <i r="1">
      <x v="42"/>
    </i>
    <i r="2">
      <x v="2"/>
    </i>
    <i r="1">
      <x v="43"/>
    </i>
    <i r="2">
      <x v="3"/>
    </i>
    <i r="1">
      <x v="57"/>
    </i>
    <i r="2">
      <x v="12"/>
    </i>
    <i r="1">
      <x v="68"/>
    </i>
    <i r="2">
      <x v="14"/>
    </i>
    <i r="1">
      <x v="72"/>
    </i>
    <i r="2">
      <x v="12"/>
    </i>
    <i r="1">
      <x v="74"/>
    </i>
    <i r="2">
      <x v="2"/>
    </i>
    <i r="1">
      <x v="77"/>
    </i>
    <i r="2">
      <x v="12"/>
    </i>
    <i r="1">
      <x v="82"/>
    </i>
    <i r="2">
      <x v="3"/>
    </i>
    <i>
      <x v="15"/>
    </i>
    <i r="1">
      <x v="7"/>
    </i>
    <i r="2">
      <x v="3"/>
    </i>
    <i>
      <x v="17"/>
    </i>
    <i r="1">
      <x v="2"/>
    </i>
    <i r="2">
      <x v="12"/>
    </i>
    <i r="1">
      <x v="22"/>
    </i>
    <i r="2">
      <x v="3"/>
    </i>
    <i r="1">
      <x v="51"/>
    </i>
    <i r="2">
      <x v="3"/>
    </i>
    <i r="1">
      <x v="65"/>
    </i>
    <i r="2">
      <x v="12"/>
    </i>
    <i r="1">
      <x v="83"/>
    </i>
    <i r="2">
      <x v="12"/>
    </i>
    <i r="1">
      <x v="93"/>
    </i>
    <i r="2">
      <x v="2"/>
    </i>
    <i r="1">
      <x v="96"/>
    </i>
    <i r="2">
      <x v="12"/>
    </i>
    <i t="grand">
      <x/>
    </i>
  </rowItems>
  <colItems count="1">
    <i/>
  </colItems>
  <pageFields count="2">
    <pageField fld="19" hier="-1"/>
    <pageField fld="18" item="0" hier="-1"/>
  </pageFields>
  <dataFields count="1">
    <dataField name="Sum of Hydrogen (t/yr)" fld="8" baseField="0" baseItem="0"/>
  </dataFields>
  <formats count="1">
    <format dxfId="6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5EBD596-6ADE-49C0-9D18-288390EB5191}" name="PivotTable4" cacheId="1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128:D130" firstHeaderRow="1" firstDataRow="1" firstDataCol="1" rowPageCount="1" colPageCount="1"/>
  <pivotFields count="37">
    <pivotField showAll="0"/>
    <pivotField showAll="0"/>
    <pivotField axis="axisPage" showAll="0">
      <items count="2">
        <item x="0"/>
        <item t="default"/>
      </items>
    </pivotField>
    <pivotField showAll="0"/>
    <pivotField showAll="0">
      <items count="2">
        <item x="0"/>
        <item t="default"/>
      </items>
    </pivotField>
    <pivotField axis="axisRow" showAll="0">
      <items count="2">
        <item x="0"/>
        <item t="default"/>
      </items>
    </pivotField>
    <pivotField showAll="0"/>
    <pivotField showAll="0"/>
    <pivotField showAll="0" sortType="ascending">
      <items count="2">
        <item x="0"/>
        <item t="default"/>
      </items>
    </pivotField>
    <pivotField showAll="0"/>
    <pivotField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
    <i>
      <x/>
    </i>
    <i t="grand">
      <x/>
    </i>
  </rowItems>
  <colItems count="1">
    <i/>
  </colItems>
  <pageFields count="1">
    <pageField fld="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89BAA2C-4406-475E-9DB1-D8303C43B38B}" name="PivotTable9"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J130:AK204" firstHeaderRow="1" firstDataRow="1" firstDataCol="1" rowPageCount="1" colPageCount="1"/>
  <pivotFields count="41">
    <pivotField showAll="0"/>
    <pivotField showAll="0"/>
    <pivotField showAll="0"/>
    <pivotField showAll="0"/>
    <pivotField showAll="0"/>
    <pivotField showAll="0"/>
    <pivotField showAll="0"/>
    <pivotField axis="axisRow" showAll="0">
      <items count="100">
        <item x="52"/>
        <item x="7"/>
        <item x="53"/>
        <item x="54"/>
        <item x="55"/>
        <item x="51"/>
        <item x="8"/>
        <item x="96"/>
        <item x="44"/>
        <item x="89"/>
        <item x="45"/>
        <item x="95"/>
        <item x="56"/>
        <item x="9"/>
        <item x="57"/>
        <item x="94"/>
        <item x="10"/>
        <item x="59"/>
        <item x="60"/>
        <item x="40"/>
        <item x="49"/>
        <item x="87"/>
        <item x="61"/>
        <item x="62"/>
        <item x="63"/>
        <item x="64"/>
        <item x="65"/>
        <item x="50"/>
        <item x="27"/>
        <item x="66"/>
        <item x="67"/>
        <item x="68"/>
        <item x="69"/>
        <item x="90"/>
        <item x="93"/>
        <item x="70"/>
        <item x="11"/>
        <item x="0"/>
        <item x="12"/>
        <item x="71"/>
        <item x="72"/>
        <item x="73"/>
        <item x="1"/>
        <item x="91"/>
        <item x="74"/>
        <item x="75"/>
        <item x="76"/>
        <item x="77"/>
        <item x="43"/>
        <item x="78"/>
        <item x="79"/>
        <item x="80"/>
        <item x="81"/>
        <item x="41"/>
        <item x="82"/>
        <item x="83"/>
        <item x="84"/>
        <item x="85"/>
        <item x="25"/>
        <item x="86"/>
        <item x="88"/>
        <item x="98"/>
        <item x="4"/>
        <item x="42"/>
        <item x="5"/>
        <item x="26"/>
        <item x="92"/>
        <item x="97"/>
        <item x="6"/>
        <item x="14"/>
        <item x="15"/>
        <item x="13"/>
        <item x="35"/>
        <item x="16"/>
        <item x="17"/>
        <item x="58"/>
        <item x="18"/>
        <item x="2"/>
        <item x="19"/>
        <item x="48"/>
        <item x="20"/>
        <item x="21"/>
        <item x="22"/>
        <item x="23"/>
        <item x="24"/>
        <item x="47"/>
        <item x="30"/>
        <item x="31"/>
        <item x="3"/>
        <item x="32"/>
        <item x="33"/>
        <item x="34"/>
        <item x="46"/>
        <item x="28"/>
        <item x="36"/>
        <item x="37"/>
        <item x="38"/>
        <item x="39"/>
        <item x="29"/>
        <item t="default"/>
      </items>
    </pivotField>
    <pivotField showAll="0"/>
    <pivotField showAll="0"/>
    <pivotField showAll="0"/>
    <pivotField showAll="0"/>
    <pivotField axis="axisPage" showAll="0">
      <items count="6">
        <item x="4"/>
        <item x="3"/>
        <item x="0"/>
        <item x="1"/>
        <item x="2"/>
        <item t="default"/>
      </items>
    </pivotField>
    <pivotField showAll="0"/>
    <pivotField showAll="0"/>
    <pivotField showAll="0"/>
    <pivotField showAll="0"/>
    <pivotField showAll="0"/>
    <pivotField showAll="0"/>
    <pivotField showAll="0"/>
    <pivotField dataField="1" showAll="0">
      <items count="86">
        <item x="54"/>
        <item x="83"/>
        <item x="48"/>
        <item x="68"/>
        <item x="31"/>
        <item x="81"/>
        <item x="0"/>
        <item x="39"/>
        <item x="49"/>
        <item x="82"/>
        <item x="51"/>
        <item x="38"/>
        <item x="17"/>
        <item x="55"/>
        <item x="70"/>
        <item x="61"/>
        <item x="79"/>
        <item x="67"/>
        <item x="58"/>
        <item x="24"/>
        <item x="6"/>
        <item x="41"/>
        <item x="37"/>
        <item x="52"/>
        <item x="18"/>
        <item x="84"/>
        <item x="43"/>
        <item x="62"/>
        <item x="12"/>
        <item x="47"/>
        <item x="22"/>
        <item x="33"/>
        <item x="69"/>
        <item x="59"/>
        <item x="32"/>
        <item x="25"/>
        <item x="4"/>
        <item x="3"/>
        <item x="50"/>
        <item x="42"/>
        <item x="8"/>
        <item x="23"/>
        <item x="66"/>
        <item x="34"/>
        <item x="21"/>
        <item x="27"/>
        <item x="13"/>
        <item x="29"/>
        <item x="1"/>
        <item x="64"/>
        <item x="45"/>
        <item x="80"/>
        <item x="71"/>
        <item x="65"/>
        <item x="9"/>
        <item x="16"/>
        <item x="15"/>
        <item x="10"/>
        <item x="30"/>
        <item x="60"/>
        <item x="74"/>
        <item x="73"/>
        <item x="20"/>
        <item x="46"/>
        <item x="14"/>
        <item x="72"/>
        <item x="11"/>
        <item x="36"/>
        <item x="7"/>
        <item x="57"/>
        <item x="28"/>
        <item x="19"/>
        <item x="78"/>
        <item x="56"/>
        <item x="5"/>
        <item x="26"/>
        <item x="53"/>
        <item x="77"/>
        <item x="75"/>
        <item x="63"/>
        <item x="44"/>
        <item x="76"/>
        <item x="35"/>
        <item x="4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4">
    <i>
      <x/>
    </i>
    <i>
      <x v="2"/>
    </i>
    <i>
      <x v="3"/>
    </i>
    <i>
      <x v="5"/>
    </i>
    <i>
      <x v="7"/>
    </i>
    <i>
      <x v="8"/>
    </i>
    <i>
      <x v="10"/>
    </i>
    <i>
      <x v="11"/>
    </i>
    <i>
      <x v="12"/>
    </i>
    <i>
      <x v="14"/>
    </i>
    <i>
      <x v="15"/>
    </i>
    <i>
      <x v="16"/>
    </i>
    <i>
      <x v="17"/>
    </i>
    <i>
      <x v="18"/>
    </i>
    <i>
      <x v="19"/>
    </i>
    <i>
      <x v="20"/>
    </i>
    <i>
      <x v="21"/>
    </i>
    <i>
      <x v="22"/>
    </i>
    <i>
      <x v="23"/>
    </i>
    <i>
      <x v="24"/>
    </i>
    <i>
      <x v="25"/>
    </i>
    <i>
      <x v="29"/>
    </i>
    <i>
      <x v="30"/>
    </i>
    <i>
      <x v="31"/>
    </i>
    <i>
      <x v="32"/>
    </i>
    <i>
      <x v="33"/>
    </i>
    <i>
      <x v="34"/>
    </i>
    <i>
      <x v="35"/>
    </i>
    <i>
      <x v="36"/>
    </i>
    <i>
      <x v="37"/>
    </i>
    <i>
      <x v="40"/>
    </i>
    <i>
      <x v="44"/>
    </i>
    <i>
      <x v="46"/>
    </i>
    <i>
      <x v="47"/>
    </i>
    <i>
      <x v="48"/>
    </i>
    <i>
      <x v="50"/>
    </i>
    <i>
      <x v="51"/>
    </i>
    <i>
      <x v="52"/>
    </i>
    <i>
      <x v="54"/>
    </i>
    <i>
      <x v="55"/>
    </i>
    <i>
      <x v="56"/>
    </i>
    <i>
      <x v="57"/>
    </i>
    <i>
      <x v="59"/>
    </i>
    <i>
      <x v="61"/>
    </i>
    <i>
      <x v="62"/>
    </i>
    <i>
      <x v="63"/>
    </i>
    <i>
      <x v="64"/>
    </i>
    <i>
      <x v="66"/>
    </i>
    <i>
      <x v="67"/>
    </i>
    <i>
      <x v="68"/>
    </i>
    <i>
      <x v="69"/>
    </i>
    <i>
      <x v="70"/>
    </i>
    <i>
      <x v="72"/>
    </i>
    <i>
      <x v="74"/>
    </i>
    <i>
      <x v="75"/>
    </i>
    <i>
      <x v="76"/>
    </i>
    <i>
      <x v="78"/>
    </i>
    <i>
      <x v="79"/>
    </i>
    <i>
      <x v="80"/>
    </i>
    <i>
      <x v="81"/>
    </i>
    <i>
      <x v="82"/>
    </i>
    <i>
      <x v="83"/>
    </i>
    <i>
      <x v="84"/>
    </i>
    <i>
      <x v="85"/>
    </i>
    <i>
      <x v="86"/>
    </i>
    <i>
      <x v="87"/>
    </i>
    <i>
      <x v="88"/>
    </i>
    <i>
      <x v="90"/>
    </i>
    <i>
      <x v="91"/>
    </i>
    <i>
      <x v="92"/>
    </i>
    <i>
      <x v="96"/>
    </i>
    <i>
      <x v="97"/>
    </i>
    <i>
      <x v="98"/>
    </i>
    <i t="grand">
      <x/>
    </i>
  </rowItems>
  <colItems count="1">
    <i/>
  </colItems>
  <pageFields count="1">
    <pageField fld="12" item="2" hier="-1"/>
  </pageFields>
  <dataFields count="1">
    <dataField name="Sum of CapacityBOEd" fld="20" baseField="7" baseItem="0"/>
  </dataFields>
  <formats count="11">
    <format dxfId="72">
      <pivotArea grandRow="1" outline="0" collapsedLevelsAreSubtotals="1" fieldPosition="0"/>
    </format>
    <format dxfId="71">
      <pivotArea dataOnly="0" fieldPosition="0">
        <references count="2">
          <reference field="7" count="1">
            <x v="10"/>
          </reference>
          <reference field="12" count="1" selected="0">
            <x v="2"/>
          </reference>
        </references>
      </pivotArea>
    </format>
    <format dxfId="70">
      <pivotArea dataOnly="0" fieldPosition="0">
        <references count="2">
          <reference field="7" count="1">
            <x v="11"/>
          </reference>
          <reference field="12" count="1" selected="0">
            <x v="2"/>
          </reference>
        </references>
      </pivotArea>
    </format>
    <format dxfId="69">
      <pivotArea collapsedLevelsAreSubtotals="1" fieldPosition="0">
        <references count="1">
          <reference field="7" count="1">
            <x v="10"/>
          </reference>
        </references>
      </pivotArea>
    </format>
    <format dxfId="68">
      <pivotArea dataOnly="0" labelOnly="1" fieldPosition="0">
        <references count="1">
          <reference field="7" count="1">
            <x v="10"/>
          </reference>
        </references>
      </pivotArea>
    </format>
    <format dxfId="67">
      <pivotArea collapsedLevelsAreSubtotals="1" fieldPosition="0">
        <references count="1">
          <reference field="7" count="1">
            <x v="11"/>
          </reference>
        </references>
      </pivotArea>
    </format>
    <format dxfId="66">
      <pivotArea dataOnly="0" labelOnly="1" fieldPosition="0">
        <references count="1">
          <reference field="7" count="1">
            <x v="11"/>
          </reference>
        </references>
      </pivotArea>
    </format>
    <format dxfId="65">
      <pivotArea collapsedLevelsAreSubtotals="1" fieldPosition="0">
        <references count="1">
          <reference field="7" count="1">
            <x v="33"/>
          </reference>
        </references>
      </pivotArea>
    </format>
    <format dxfId="64">
      <pivotArea dataOnly="0" labelOnly="1" fieldPosition="0">
        <references count="1">
          <reference field="7" count="1">
            <x v="33"/>
          </reference>
        </references>
      </pivotArea>
    </format>
    <format dxfId="63">
      <pivotArea collapsedLevelsAreSubtotals="1" fieldPosition="0">
        <references count="1">
          <reference field="7" count="1">
            <x v="72"/>
          </reference>
        </references>
      </pivotArea>
    </format>
    <format dxfId="62">
      <pivotArea dataOnly="0" labelOnly="1" fieldPosition="0">
        <references count="1">
          <reference field="7" count="1">
            <x v="7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179832D-1F4A-42F9-AEF8-F753EC055597}" name="PivotTable6"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129:Q146" firstHeaderRow="1" firstDataRow="2" firstDataCol="1" rowPageCount="1" colPageCount="1"/>
  <pivotFields count="13">
    <pivotField showAll="0"/>
    <pivotField axis="axisRow" showAll="0">
      <items count="16">
        <item x="4"/>
        <item x="12"/>
        <item x="7"/>
        <item x="0"/>
        <item x="6"/>
        <item x="11"/>
        <item x="9"/>
        <item x="13"/>
        <item x="14"/>
        <item x="1"/>
        <item x="3"/>
        <item x="2"/>
        <item x="8"/>
        <item x="5"/>
        <item x="10"/>
        <item t="default"/>
      </items>
    </pivotField>
    <pivotField axis="axisPage" showAll="0">
      <items count="5">
        <item x="1"/>
        <item x="3"/>
        <item x="0"/>
        <item x="2"/>
        <item t="default"/>
      </items>
    </pivotField>
    <pivotField showAll="0"/>
    <pivotField showAll="0">
      <items count="13">
        <item x="8"/>
        <item x="6"/>
        <item x="9"/>
        <item x="10"/>
        <item x="4"/>
        <item x="5"/>
        <item x="3"/>
        <item x="7"/>
        <item x="2"/>
        <item x="1"/>
        <item x="11"/>
        <item x="0"/>
        <item t="default"/>
      </items>
    </pivotField>
    <pivotField showAll="0"/>
    <pivotField axis="axisCol" showAll="0">
      <items count="3">
        <item x="1"/>
        <item x="0"/>
        <item t="default"/>
      </items>
    </pivotField>
    <pivotField dataField="1" showAll="0">
      <items count="18">
        <item x="3"/>
        <item x="1"/>
        <item x="8"/>
        <item x="10"/>
        <item x="15"/>
        <item x="16"/>
        <item x="7"/>
        <item x="13"/>
        <item x="6"/>
        <item x="5"/>
        <item x="9"/>
        <item x="4"/>
        <item x="14"/>
        <item x="12"/>
        <item x="11"/>
        <item x="0"/>
        <item x="2"/>
        <item t="default"/>
      </items>
    </pivotField>
    <pivotField showAll="0"/>
    <pivotField showAll="0"/>
    <pivotField showAll="0"/>
    <pivotField showAll="0"/>
    <pivotField showAll="0"/>
  </pivotFields>
  <rowFields count="1">
    <field x="1"/>
  </rowFields>
  <rowItems count="16">
    <i>
      <x/>
    </i>
    <i>
      <x v="1"/>
    </i>
    <i>
      <x v="2"/>
    </i>
    <i>
      <x v="3"/>
    </i>
    <i>
      <x v="4"/>
    </i>
    <i>
      <x v="5"/>
    </i>
    <i>
      <x v="6"/>
    </i>
    <i>
      <x v="7"/>
    </i>
    <i>
      <x v="8"/>
    </i>
    <i>
      <x v="9"/>
    </i>
    <i>
      <x v="10"/>
    </i>
    <i>
      <x v="11"/>
    </i>
    <i>
      <x v="12"/>
    </i>
    <i>
      <x v="13"/>
    </i>
    <i>
      <x v="14"/>
    </i>
    <i t="grand">
      <x/>
    </i>
  </rowItems>
  <colFields count="1">
    <field x="6"/>
  </colFields>
  <colItems count="3">
    <i>
      <x/>
    </i>
    <i>
      <x v="1"/>
    </i>
    <i t="grand">
      <x/>
    </i>
  </colItems>
  <pageFields count="1">
    <pageField fld="2" hier="-1"/>
  </pageFields>
  <dataFields count="1">
    <dataField name="Sum of Capacity (tonnes per year)" fld="7" baseField="4" baseItem="0" numFmtId="164"/>
  </dataFields>
  <formats count="1">
    <format dxfId="7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536A0EF-679E-45C2-AF38-88C7B7C14FEC}" name="PivotTable8" cacheId="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B130:AC133" firstHeaderRow="1" firstDataRow="1" firstDataCol="1"/>
  <pivotFields count="9">
    <pivotField showAll="0"/>
    <pivotField axis="axisRow" showAll="0">
      <items count="3">
        <item x="1"/>
        <item x="0"/>
        <item t="default"/>
      </items>
    </pivotField>
    <pivotField showAll="0"/>
    <pivotField showAll="0"/>
    <pivotField showAll="0"/>
    <pivotField showAll="0"/>
    <pivotField dataField="1" showAll="0"/>
    <pivotField showAll="0"/>
    <pivotField showAll="0"/>
  </pivotFields>
  <rowFields count="1">
    <field x="1"/>
  </rowFields>
  <rowItems count="3">
    <i>
      <x/>
    </i>
    <i>
      <x v="1"/>
    </i>
    <i t="grand">
      <x/>
    </i>
  </rowItems>
  <colItems count="1">
    <i/>
  </colItems>
  <dataFields count="1">
    <dataField name="Sum of Capacity (bp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EE7F7E67-D0F2-4465-83CB-CAE1B260ED84}" autoFormatId="16" applyNumberFormats="0" applyBorderFormats="0" applyFontFormats="0" applyPatternFormats="0" applyAlignmentFormats="0" applyWidthHeightFormats="0">
  <queryTableRefresh nextId="25">
    <queryTableFields count="24">
      <queryTableField id="1" name="Plant" tableColumnId="1"/>
      <queryTableField id="2" name="City/Region" tableColumnId="2"/>
      <queryTableField id="3" name="Country" tableColumnId="3"/>
      <queryTableField id="4" name="GEOID" tableColumnId="4"/>
      <queryTableField id="5" name="Latitude" tableColumnId="5"/>
      <queryTableField id="6" name="Longitude" tableColumnId="6"/>
      <queryTableField id="7" name="Capacity (MW)" tableColumnId="7"/>
      <queryTableField id="8" name="Hydrogen (kg/day)" tableColumnId="8"/>
      <queryTableField id="9" name="Hydrogen (t/yr)" tableColumnId="9"/>
      <queryTableField id="10" name="Technology" tableColumnId="10"/>
      <queryTableField id="11" name="Energy Source" tableColumnId="11"/>
      <queryTableField id="12" name="Energy Capacity (MW)" tableColumnId="12"/>
      <queryTableField id="13" name="CO2 removed (tons/yr)" tableColumnId="13"/>
      <queryTableField id="14" name="Cost" tableColumnId="14"/>
      <queryTableField id="15" name="Cost (USD)" tableColumnId="15"/>
      <queryTableField id="16" name="End Use" tableColumnId="16"/>
      <queryTableField id="17" name="End Use Location" tableColumnId="17"/>
      <queryTableField id="18" name="Commissioning Year" tableColumnId="18"/>
      <queryTableField id="19" name="Operational, Under Construction, or at FID?" tableColumnId="19"/>
      <queryTableField id="20" name="Demand Project?" tableColumnId="20"/>
      <queryTableField id="21" name="Midstream Project?" tableColumnId="21"/>
      <queryTableField id="22" name="Status" tableColumnId="22"/>
      <queryTableField id="23" name="Company" tableColumnId="23"/>
      <queryTableField id="24" name="Source"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9" xr16:uid="{A5E0F7ED-D5FB-4579-8F00-497E13A6E1BC}" autoFormatId="16" applyNumberFormats="0" applyBorderFormats="0" applyFontFormats="0" applyPatternFormats="0" applyAlignmentFormats="0" applyWidthHeightFormats="0">
  <queryTableRefresh nextId="14">
    <queryTableFields count="13">
      <queryTableField id="1" name="GEOID" tableColumnId="1"/>
      <queryTableField id="2" name="City/Region" tableColumnId="2"/>
      <queryTableField id="3" name="State" tableColumnId="3"/>
      <queryTableField id="4" name="Producer" tableColumnId="4"/>
      <queryTableField id="5" name="Technology" tableColumnId="5"/>
      <queryTableField id="6" name="On Stream Date" tableColumnId="6"/>
      <queryTableField id="7" name="Hydrogen Production (kg/day)" tableColumnId="7"/>
      <queryTableField id="8" name="Type" tableColumnId="8"/>
      <queryTableField id="9" name="Form" tableColumnId="9"/>
      <queryTableField id="10" name="Demand" tableColumnId="10"/>
      <queryTableField id="11" name="Column1" tableColumnId="11"/>
      <queryTableField id="12" name="Column2" tableColumnId="12"/>
      <queryTableField id="13" name="Additional Information" tableColumnId="1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11" xr16:uid="{3B3D9485-E650-4C45-B0FF-1DC6B439AB0E}" autoFormatId="16" applyNumberFormats="0" applyBorderFormats="0" applyFontFormats="0" applyPatternFormats="0" applyAlignmentFormats="0" applyWidthHeightFormats="0">
  <queryTableRefresh nextId="14">
    <queryTableFields count="13">
      <queryTableField id="1" name="GEOID" tableColumnId="1"/>
      <queryTableField id="2" name="LNG Terminal" tableColumnId="2"/>
      <queryTableField id="3" name="Status" tableColumnId="3"/>
      <queryTableField id="4" name="Number of Terminals" tableColumnId="4"/>
      <queryTableField id="5" name="Commissioning Year" tableColumnId="5"/>
      <queryTableField id="6" name="Location" tableColumnId="6"/>
      <queryTableField id="7" name="Import or Export" tableColumnId="7"/>
      <queryTableField id="8" name="Capacity (tonnes per year)" tableColumnId="8"/>
      <queryTableField id="9" name="Company" tableColumnId="9"/>
      <queryTableField id="10" name="Cost (2022 USD)" tableColumnId="10"/>
      <queryTableField id="11" name="Latitude" tableColumnId="11"/>
      <queryTableField id="12" name="Longitude" tableColumnId="12"/>
      <queryTableField id="13" name="Details"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connectionId="5" xr16:uid="{F0BFE97E-D492-46F5-BDD8-F5392E2A74E0}" autoFormatId="16" applyNumberFormats="0" applyBorderFormats="0" applyFontFormats="0" applyPatternFormats="0" applyAlignmentFormats="0" applyWidthHeightFormats="0">
  <queryTableRefresh nextId="10">
    <queryTableFields count="9">
      <queryTableField id="1" name="GEOID" tableColumnId="1"/>
      <queryTableField id="2" name="Name" tableColumnId="2"/>
      <queryTableField id="3" name="Prov_State" tableColumnId="3"/>
      <queryTableField id="4" name="City" tableColumnId="4"/>
      <queryTableField id="5" name="Latitude" tableColumnId="5"/>
      <queryTableField id="6" name="Longitude" tableColumnId="6"/>
      <queryTableField id="7" name="Capacity (bpd)" tableColumnId="7"/>
      <queryTableField id="8" name="Company" tableColumnId="8"/>
      <queryTableField id="9" name="Sourc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5" connectionId="7" xr16:uid="{C839356B-E66C-4BFC-9ECF-4A6939457870}" autoFormatId="16" applyNumberFormats="0" applyBorderFormats="0" applyFontFormats="0" applyPatternFormats="0" applyAlignmentFormats="0" applyWidthHeightFormats="0">
  <queryTableRefresh nextId="42">
    <queryTableFields count="41">
      <queryTableField id="1" name="ProjectID" tableColumnId="1"/>
      <queryTableField id="2" name="Fuel" tableColumnId="2"/>
      <queryTableField id="3" name="StartCountry" tableColumnId="3"/>
      <queryTableField id="4" name="EndCountry" tableColumnId="4"/>
      <queryTableField id="5" name="Countries" tableColumnId="5"/>
      <queryTableField id="6" name="Column1" tableColumnId="6"/>
      <queryTableField id="7" name="Wiki" tableColumnId="7"/>
      <queryTableField id="8" name="PipelineName" tableColumnId="8"/>
      <queryTableField id="9" name="SegmentName" tableColumnId="9"/>
      <queryTableField id="10" name="OtherEnglishNames" tableColumnId="10"/>
      <queryTableField id="11" name="Owner" tableColumnId="11"/>
      <queryTableField id="12" name="Parent" tableColumnId="12"/>
      <queryTableField id="13" name="Status" tableColumnId="13"/>
      <queryTableField id="14" name="StartYear1" tableColumnId="14"/>
      <queryTableField id="15" name="StartYear2" tableColumnId="15"/>
      <queryTableField id="16" name="StartYear3" tableColumnId="16"/>
      <queryTableField id="17" name="StopYear" tableColumnId="17"/>
      <queryTableField id="18" name="Capacity" tableColumnId="18"/>
      <queryTableField id="19" name="CapacityUnits" tableColumnId="19"/>
      <queryTableField id="20" name="CapacityBcm/y" tableColumnId="20"/>
      <queryTableField id="21" name="CapacityBOEd" tableColumnId="21"/>
      <queryTableField id="22" name="LengthKnownKm" tableColumnId="22"/>
      <queryTableField id="23" name="LengthEstimateKm" tableColumnId="23"/>
      <queryTableField id="24" name="LengthMergedKm" tableColumnId="24"/>
      <queryTableField id="25" name="Diameter" tableColumnId="25"/>
      <queryTableField id="26" name="DiameterUnits" tableColumnId="26"/>
      <queryTableField id="27" name="FuelSource" tableColumnId="27"/>
      <queryTableField id="28" name="StartLocation" tableColumnId="28"/>
      <queryTableField id="29" name="StartRegion" tableColumnId="29"/>
      <queryTableField id="30" name="StartPrefecture/District" tableColumnId="30"/>
      <queryTableField id="31" name="StartState/Province" tableColumnId="31"/>
      <queryTableField id="32" name="EndLocation" tableColumnId="32"/>
      <queryTableField id="33" name="EndPrefecture/District" tableColumnId="33"/>
      <queryTableField id="34" name="EndState/Province" tableColumnId="34"/>
      <queryTableField id="35" name="EndRegion" tableColumnId="35"/>
      <queryTableField id="36" name="FID" tableColumnId="36"/>
      <queryTableField id="37" name="FIDYear" tableColumnId="37"/>
      <queryTableField id="38" name="OtherLanguagePrimaryPipelineName" tableColumnId="38"/>
      <queryTableField id="39" name="OtherLanguageSegmentName" tableColumnId="39"/>
      <queryTableField id="40" name="OtherLanguageWikiPage" tableColumnId="40"/>
      <queryTableField id="41" name="WKTFormat" tableColumnId="41"/>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20E6E8-03A8-4F55-8D03-59C2695A034E}" name="Table4" displayName="Table4" ref="A1:N455" totalsRowCount="1">
  <autoFilter ref="A1:N454" xr:uid="{7320E6E8-03A8-4F55-8D03-59C2695A034E}">
    <filterColumn colId="5">
      <filters>
        <filter val="2027"/>
      </filters>
    </filterColumn>
    <filterColumn colId="7">
      <filters>
        <filter val="1,079"/>
        <filter val="1,168"/>
        <filter val="1,258"/>
        <filter val="1,438"/>
        <filter val="1,528"/>
        <filter val="1,618"/>
        <filter val="1,708"/>
        <filter val="1,798"/>
        <filter val="1,887"/>
        <filter val="1,977"/>
        <filter val="10,156"/>
        <filter val="10,606"/>
        <filter val="10,696"/>
        <filter val="101,834"/>
        <filter val="103,901"/>
        <filter val="104,620"/>
        <filter val="105,609"/>
        <filter val="108,439"/>
        <filter val="108,665"/>
        <filter val="11,055"/>
        <filter val="11,325"/>
        <filter val="11,774"/>
        <filter val="111,002"/>
        <filter val="112,170"/>
        <filter val="114,507"/>
        <filter val="116,934"/>
        <filter val="118,102"/>
        <filter val="118,150"/>
        <filter val="119,091"/>
        <filter val="12,763"/>
        <filter val="12,943"/>
        <filter val="120,709"/>
        <filter val="122,866"/>
        <filter val="126,821"/>
        <filter val="127,270"/>
        <filter val="129,511"/>
        <filter val="13,482"/>
        <filter val="132,303"/>
        <filter val="134,730"/>
        <filter val="136,797"/>
        <filter val="136,977"/>
        <filter val="138,235"/>
        <filter val="139,314"/>
        <filter val="14,021"/>
        <filter val="14,201"/>
        <filter val="140,572"/>
        <filter val="142,640"/>
        <filter val="146,415"/>
        <filter val="146,954"/>
        <filter val="148,841"/>
        <filter val="15,010"/>
        <filter val="15,280"/>
        <filter val="15,369"/>
        <filter val="152,706"/>
        <filter val="16,268"/>
        <filter val="16,538"/>
        <filter val="16,808"/>
        <filter val="163,582"/>
        <filter val="165,379"/>
        <filter val="167,716"/>
        <filter val="167,806"/>
        <filter val="17,257"/>
        <filter val="17,347"/>
        <filter val="17,706"/>
        <filter val="17,796"/>
        <filter val="17,976"/>
        <filter val="174,817"/>
        <filter val="175,626"/>
        <filter val="176,165"/>
        <filter val="178,142"/>
        <filter val="179,490"/>
        <filter val="18,425"/>
        <filter val="18,605"/>
        <filter val="18,875"/>
        <filter val="183,805"/>
        <filter val="188,928"/>
        <filter val="19,055"/>
        <filter val="19,414"/>
        <filter val="190,635"/>
        <filter val="2,157"/>
        <filter val="2,247"/>
        <filter val="2,337"/>
        <filter val="2,427"/>
        <filter val="2,517"/>
        <filter val="2,607"/>
        <filter val="2,696"/>
        <filter val="2,786"/>
        <filter val="2,876"/>
        <filter val="203,578"/>
        <filter val="21,302"/>
        <filter val="21,391"/>
        <filter val="216,431"/>
        <filter val="22,021"/>
        <filter val="22,470"/>
        <filter val="229,104"/>
        <filter val="23,638"/>
        <filter val="23,908"/>
        <filter val="233,868"/>
        <filter val="236,205"/>
        <filter val="236,300"/>
        <filter val="238,542"/>
        <filter val="24,088"/>
        <filter val="24,357"/>
        <filter val="24,447"/>
        <filter val="24,537"/>
        <filter val="247,979"/>
        <filter val="248,069"/>
        <filter val="25,436"/>
        <filter val="25,706"/>
        <filter val="254,540"/>
        <filter val="259,753"/>
        <filter val="259,843"/>
        <filter val="26,964"/>
        <filter val="267,213"/>
        <filter val="270"/>
        <filter val="279,976"/>
        <filter val="28,222"/>
        <filter val="28,312"/>
        <filter val="28,762"/>
        <filter val="29,301"/>
        <filter val="292,649"/>
        <filter val="295,256"/>
        <filter val="297,593"/>
        <filter val="3,056"/>
        <filter val="3,146"/>
        <filter val="3,236"/>
        <filter val="3,326"/>
        <filter val="3,505"/>
        <filter val="3,685"/>
        <filter val="3,775"/>
        <filter val="30,200"/>
        <filter val="30,559"/>
        <filter val="30,739"/>
        <filter val="305,412"/>
        <filter val="307,030"/>
        <filter val="31,458"/>
        <filter val="31,907"/>
        <filter val="318,175"/>
        <filter val="318,894"/>
        <filter val="32,357"/>
        <filter val="32,806"/>
        <filter val="33,076"/>
        <filter val="34,963"/>
        <filter val="343,611"/>
        <filter val="35,233"/>
        <filter val="35,413"/>
        <filter val="353,139"/>
        <filter val="354,307"/>
        <filter val="36,132"/>
        <filter val="36,146"/>
        <filter val="360"/>
        <filter val="37,120"/>
        <filter val="37,300"/>
        <filter val="37,750"/>
        <filter val="377,945"/>
        <filter val="381,810"/>
        <filter val="385,765"/>
        <filter val="4,494"/>
        <filter val="4,584"/>
        <filter val="4,764"/>
        <filter val="4,854"/>
        <filter val="40,176"/>
        <filter val="40,716"/>
        <filter val="40,985"/>
        <filter val="42,513"/>
        <filter val="432,682"/>
        <filter val="439,333"/>
        <filter val="44,580"/>
        <filter val="44,850"/>
        <filter val="448,771"/>
        <filter val="449"/>
        <filter val="45,839"/>
        <filter val="458,208"/>
        <filter val="47,277"/>
        <filter val="470,072"/>
        <filter val="49,614"/>
        <filter val="5,123"/>
        <filter val="5,213"/>
        <filter val="5,303"/>
        <filter val="5,542"/>
        <filter val="5,662"/>
        <filter val="5,842"/>
        <filter val="5,932"/>
        <filter val="50,000"/>
        <filter val="50,872"/>
        <filter val="503,418"/>
        <filter val="508,990"/>
        <filter val="51,951"/>
        <filter val="53,479"/>
        <filter val="531,460"/>
        <filter val="539"/>
        <filter val="54,288"/>
        <filter val="540,898"/>
        <filter val="55,007"/>
        <filter val="55,726"/>
        <filter val="55,995"/>
        <filter val="555,099"/>
        <filter val="56,355"/>
        <filter val="566,873"/>
        <filter val="57,254"/>
        <filter val="58,332"/>
        <filter val="59,051"/>
        <filter val="6,381"/>
        <filter val="6,831"/>
        <filter val="61,388"/>
        <filter val="63,096"/>
        <filter val="63,635"/>
        <filter val="63,815"/>
        <filter val="64,714"/>
        <filter val="66,152"/>
        <filter val="66,871"/>
        <filter val="661,697"/>
        <filter val="67,050"/>
        <filter val="67,320"/>
        <filter val="7,101"/>
        <filter val="7,640"/>
        <filter val="7,820"/>
        <filter val="7,909"/>
        <filter val="7,999"/>
        <filter val="70,825"/>
        <filter val="719"/>
        <filter val="72,084"/>
        <filter val="73,252"/>
        <filter val="73,791"/>
        <filter val="74,421"/>
        <filter val="76,398"/>
        <filter val="77,926"/>
        <filter val="779,439"/>
        <filter val="8,269"/>
        <filter val="8,718"/>
        <filter val="80,892"/>
        <filter val="82,420"/>
        <filter val="83,588"/>
        <filter val="86,554"/>
        <filter val="862,129"/>
        <filter val="88,082"/>
        <filter val="88,622"/>
        <filter val="89,071"/>
        <filter val="89,790"/>
        <filter val="899"/>
        <filter val="9,078"/>
        <filter val="9,437"/>
        <filter val="9,527"/>
        <filter val="9,707"/>
        <filter val="9,977"/>
        <filter val="90"/>
        <filter val="91,588"/>
        <filter val="92,127"/>
        <filter val="93,116"/>
        <filter val="94,374"/>
        <filter val="94,464"/>
        <filter val="96,531"/>
        <filter val="96,981"/>
        <filter val="98,868"/>
        <filter val="989"/>
        <filter val="99,228"/>
      </filters>
    </filterColumn>
  </autoFilter>
  <tableColumns count="14">
    <tableColumn id="1" xr3:uid="{D151F841-8B0D-4EFB-AEB0-41FFCD0316BA}" name="GEOID" totalsRowFunction="custom">
      <totalsRowFormula>VLOOKUP(Table4[[#Totals],[State]],Countries!$A$1:$D$205,2,FALSE)</totalsRowFormula>
    </tableColumn>
    <tableColumn id="2" xr3:uid="{BBA9840A-B11A-40CC-ADA5-F353AF0FA8A1}" name="City/Region" totalsRowLabel="Villach"/>
    <tableColumn id="3" xr3:uid="{985F2F6C-8470-4E21-928D-9787E31BFC35}" name="State" totalsRowLabel="Austria"/>
    <tableColumn id="4" xr3:uid="{1DDFF6EF-A31E-4CCE-AEEB-5C3872774F05}" name="Producer" totalsRowLabel="Linde"/>
    <tableColumn id="5" xr3:uid="{EF257FFA-080D-465C-B872-78FCA1A294FB}" name="Technology" totalsRowLabel="Electrolysis"/>
    <tableColumn id="6" xr3:uid="{9CE9035D-045C-4385-BE58-A7762DAF3BEB}" name="On Stream Date" totalsRowLabel="2022" totalsRowDxfId="130"/>
    <tableColumn id="14" xr3:uid="{CB3D8601-8044-4D09-BD44-D683B38D20E2}" name="Capacity (MW)" totalsRowDxfId="129"/>
    <tableColumn id="7" xr3:uid="{EB049359-7341-4C01-9993-E8A0FF9FDA04}" name="Hydrogen Production (kg/day)" totalsRowFunction="custom" dataDxfId="128" totalsRowDxfId="127" dataCellStyle="Comma">
      <totalsRowFormula>11000*Conversion!$A$2</totalsRowFormula>
    </tableColumn>
    <tableColumn id="8" xr3:uid="{FDA03234-20A8-45D0-927B-9E7491E3938D}" name="Type" totalsRowLabel="Captive"/>
    <tableColumn id="9" xr3:uid="{82800349-D354-4137-A1F5-EB9BE150739D}" name="Form" totalsRowLabel="Gaseous"/>
    <tableColumn id="10" xr3:uid="{73C3097D-188E-4A96-88C2-C09EBE0B6B34}" name="Demand" totalsRowLabel="Electronics"/>
    <tableColumn id="11" xr3:uid="{E7B1FAD9-C838-4CD1-B1AF-231ACCA83FF1}" name="Latitude"/>
    <tableColumn id="12" xr3:uid="{CE90B67D-454A-48C5-B14C-56C960F7C114}" name="Longitude"/>
    <tableColumn id="13" xr3:uid="{D5DD763D-2412-46D7-AA5F-E3ED5C5F2AA0}" name="Additional Information" totalsRowLabel="On-site supply for Infineon Technologies from 2 MW electrolyzer." totalsRowDxfId="12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9A8E09C-1896-4E2E-A2E5-B89789F2BC0F}" name="Table_Table1215" displayName="Table_Table1215" ref="EM1:EU3" tableType="queryTable" totalsRowShown="0">
  <autoFilter ref="EM1:EU3" xr:uid="{19A8E09C-1896-4E2E-A2E5-B89789F2BC0F}"/>
  <tableColumns count="9">
    <tableColumn id="1" xr3:uid="{E1A03647-6DA2-46DA-9347-1987FF0E22B9}" uniqueName="1" name="GEOID" queryTableFieldId="1" dataDxfId="31"/>
    <tableColumn id="2" xr3:uid="{62529B1C-1BCE-43BE-AD77-C41A0860FEF1}" uniqueName="2" name="Name" queryTableFieldId="2" dataDxfId="30"/>
    <tableColumn id="3" xr3:uid="{C1F552A3-8911-44FE-8BA3-24872942AAB8}" uniqueName="3" name="Prov_State" queryTableFieldId="3" dataDxfId="29"/>
    <tableColumn id="4" xr3:uid="{47651DFC-8204-4F19-9C60-BEAEB705DD75}" uniqueName="4" name="City" queryTableFieldId="4" dataDxfId="28"/>
    <tableColumn id="5" xr3:uid="{C77E18F7-0960-4432-949C-5AA9FECB2DF5}" uniqueName="5" name="Latitude" queryTableFieldId="5"/>
    <tableColumn id="6" xr3:uid="{5515C8B0-FA2B-4FB9-91D0-4EB073474C51}" uniqueName="6" name="Longitude" queryTableFieldId="6"/>
    <tableColumn id="7" xr3:uid="{24F16253-92FC-4B69-BA38-8390C01FE681}" uniqueName="7" name="Capacity (bpd)" queryTableFieldId="7"/>
    <tableColumn id="8" xr3:uid="{37EB986A-D000-46E3-ABD6-1EFB60B1B00B}" uniqueName="8" name="Company" queryTableFieldId="8" dataDxfId="27"/>
    <tableColumn id="9" xr3:uid="{23200875-45A4-4C56-B491-33B37DDA376D}" uniqueName="9" name="Source" queryTableFieldId="9" dataDxfId="26"/>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172E9B3-3107-45EC-9D0A-CDF4524ED8A9}" name="Table_Table1518" displayName="Table_Table1518" ref="FG1:GU126" tableType="queryTable" totalsRowShown="0">
  <autoFilter ref="FG1:GU126" xr:uid="{8172E9B3-3107-45EC-9D0A-CDF4524ED8A9}"/>
  <tableColumns count="41">
    <tableColumn id="1" xr3:uid="{7E573784-42CB-479A-901D-277E10708E2B}" uniqueName="1" name="ProjectID" queryTableFieldId="1" dataDxfId="25"/>
    <tableColumn id="2" xr3:uid="{6106F2FF-35E1-45FE-AA8D-DB3F314855D6}" uniqueName="2" name="Fuel" queryTableFieldId="2" dataDxfId="24"/>
    <tableColumn id="3" xr3:uid="{37D47D64-EA4B-4917-87EF-B60D76C7D6CD}" uniqueName="3" name="StartCountry" queryTableFieldId="3" dataDxfId="23"/>
    <tableColumn id="4" xr3:uid="{F0B6B71C-A0EE-44FD-985E-8F302A4E46E8}" uniqueName="4" name="EndCountry" queryTableFieldId="4" dataDxfId="22"/>
    <tableColumn id="5" xr3:uid="{E957671B-1175-48F3-B928-E8F8B9FEE20E}" uniqueName="5" name="Countries" queryTableFieldId="5" dataDxfId="21"/>
    <tableColumn id="6" xr3:uid="{E14B5D9B-F628-450D-9C80-ED5342E5A5E0}" uniqueName="6" name="Column1" queryTableFieldId="6"/>
    <tableColumn id="7" xr3:uid="{7F0773C4-D9F0-4712-83AA-57E6A0DAE8C8}" uniqueName="7" name="Wiki" queryTableFieldId="7" dataDxfId="20"/>
    <tableColumn id="8" xr3:uid="{38C015A6-25A2-4B79-81EC-CB67A82DA3EC}" uniqueName="8" name="PipelineName" queryTableFieldId="8" dataDxfId="19"/>
    <tableColumn id="9" xr3:uid="{987FA262-0237-48B8-AEB4-A4A572BCC8E0}" uniqueName="9" name="SegmentName" queryTableFieldId="9" dataDxfId="18"/>
    <tableColumn id="10" xr3:uid="{D0E666BE-43D2-44DC-9714-A834C90C6E58}" uniqueName="10" name="OtherEnglishNames" queryTableFieldId="10" dataDxfId="17"/>
    <tableColumn id="11" xr3:uid="{16A5BEAE-5D91-4769-A4A5-D9DACF20529E}" uniqueName="11" name="Owner" queryTableFieldId="11" dataDxfId="16"/>
    <tableColumn id="12" xr3:uid="{4FDF7D47-90A9-449F-8299-8B0C334BF63B}" uniqueName="12" name="Parent" queryTableFieldId="12" dataDxfId="15"/>
    <tableColumn id="13" xr3:uid="{7F118A75-8FE1-4718-842E-2095C438AB1B}" uniqueName="13" name="Status" queryTableFieldId="13" dataDxfId="14"/>
    <tableColumn id="14" xr3:uid="{A7E94F48-A0F6-4068-8476-A28886A402ED}" uniqueName="14" name="StartYear1" queryTableFieldId="14"/>
    <tableColumn id="15" xr3:uid="{0C9E4A4A-B5A8-4F1A-91C7-3C6101756BB6}" uniqueName="15" name="StartYear2" queryTableFieldId="15"/>
    <tableColumn id="16" xr3:uid="{705DCE91-EDA2-4EE2-B87C-84A6B4D22A47}" uniqueName="16" name="StartYear3" queryTableFieldId="16"/>
    <tableColumn id="17" xr3:uid="{2C3606C1-D942-419F-9582-C80658A479B6}" uniqueName="17" name="StopYear" queryTableFieldId="17"/>
    <tableColumn id="18" xr3:uid="{9A1C2CE6-22EC-4BB8-8397-95A5AB61A004}" uniqueName="18" name="Capacity" queryTableFieldId="18"/>
    <tableColumn id="19" xr3:uid="{CACBB9B0-A7A7-40E4-BFD6-A97D978BB0FD}" uniqueName="19" name="CapacityUnits" queryTableFieldId="19" dataDxfId="13"/>
    <tableColumn id="20" xr3:uid="{110D43DE-25DC-418F-9607-650A7EF078C8}" uniqueName="20" name="CapacityBcm/y" queryTableFieldId="20"/>
    <tableColumn id="21" xr3:uid="{12140F3A-BBD6-4BDB-8C2A-294E068428EB}" uniqueName="21" name="CapacityBOEd" queryTableFieldId="21"/>
    <tableColumn id="22" xr3:uid="{6F970506-6BCA-4A2A-833F-3B3186BC9D3C}" uniqueName="22" name="LengthKnownKm" queryTableFieldId="22"/>
    <tableColumn id="23" xr3:uid="{97B73B6A-A576-4D44-9621-CCA191E962A1}" uniqueName="23" name="LengthEstimateKm" queryTableFieldId="23"/>
    <tableColumn id="24" xr3:uid="{A6E72F75-B136-40ED-9010-69CDED6D866D}" uniqueName="24" name="LengthMergedKm" queryTableFieldId="24"/>
    <tableColumn id="25" xr3:uid="{081A41AE-EA1D-48A9-8A8D-72B83CC13F17}" uniqueName="25" name="Diameter" queryTableFieldId="25"/>
    <tableColumn id="26" xr3:uid="{08A8B6C5-DD9D-4FF0-AFBA-3BC14278599D}" uniqueName="26" name="DiameterUnits" queryTableFieldId="26" dataDxfId="12"/>
    <tableColumn id="27" xr3:uid="{F00CA8F5-524B-43EA-BD0D-1087D660CB36}" uniqueName="27" name="FuelSource" queryTableFieldId="27" dataDxfId="11"/>
    <tableColumn id="28" xr3:uid="{B3739B2D-BA9B-4941-A354-E487F70FF6E8}" uniqueName="28" name="StartLocation" queryTableFieldId="28" dataDxfId="10"/>
    <tableColumn id="29" xr3:uid="{E65BA516-831F-45AA-B184-9AFFE6E14FDD}" uniqueName="29" name="StartRegion" queryTableFieldId="29" dataDxfId="9"/>
    <tableColumn id="30" xr3:uid="{BA791447-F97F-429D-88B6-D2ADC49479DC}" uniqueName="30" name="StartPrefecture/District" queryTableFieldId="30" dataDxfId="8"/>
    <tableColumn id="31" xr3:uid="{967C3033-5BF1-431D-B777-8978FDDFBBFE}" uniqueName="31" name="StartState/Province" queryTableFieldId="31" dataDxfId="7"/>
    <tableColumn id="32" xr3:uid="{49308944-083A-40EB-937C-3F448A9E1BB4}" uniqueName="32" name="EndLocation" queryTableFieldId="32" dataDxfId="6"/>
    <tableColumn id="33" xr3:uid="{8B40C4AD-B870-4C37-A127-9AAA06A04ADA}" uniqueName="33" name="EndPrefecture/District" queryTableFieldId="33" dataDxfId="5"/>
    <tableColumn id="34" xr3:uid="{0D5CE010-6286-46C2-B1A0-C297FD90B81B}" uniqueName="34" name="EndState/Province" queryTableFieldId="34" dataDxfId="4"/>
    <tableColumn id="35" xr3:uid="{D869C8BA-AC92-4141-9C95-0B20C7C9A1B6}" uniqueName="35" name="EndRegion" queryTableFieldId="35" dataDxfId="3"/>
    <tableColumn id="36" xr3:uid="{6EBE7308-42E6-4C80-B6C5-3EBE396A6072}" uniqueName="36" name="FID" queryTableFieldId="36"/>
    <tableColumn id="37" xr3:uid="{87C0B0B5-A9C7-4783-88CB-12C46209BB57}" uniqueName="37" name="FIDYear" queryTableFieldId="37"/>
    <tableColumn id="38" xr3:uid="{5335002C-943D-48ED-B43B-E7253CDEE4CB}" uniqueName="38" name="OtherLanguagePrimaryPipelineName" queryTableFieldId="38" dataDxfId="2"/>
    <tableColumn id="39" xr3:uid="{C78B070D-24B7-482C-8C4B-C03D65158DEB}" uniqueName="39" name="OtherLanguageSegmentName" queryTableFieldId="39"/>
    <tableColumn id="40" xr3:uid="{7DD97614-29B0-437E-B026-25CC6AAC46F9}" uniqueName="40" name="OtherLanguageWikiPage" queryTableFieldId="40" dataDxfId="1"/>
    <tableColumn id="41" xr3:uid="{8A548802-FE6D-427E-9BD5-B7718F330B31}" uniqueName="41" name="WKTFormat" queryTableFieldId="41"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6766964-A7FA-4C0B-86F0-911272E8B2CF}" name="Table12" displayName="Table12" ref="A1:H511" totalsRowShown="0">
  <autoFilter ref="A1:H511" xr:uid="{06766964-A7FA-4C0B-86F0-911272E8B2CF}"/>
  <tableColumns count="8">
    <tableColumn id="1" xr3:uid="{CDB72159-295D-4091-B523-E3DD1DAB5198}" name="GEOID"/>
    <tableColumn id="2" xr3:uid="{C7E8172C-C1D0-4740-BFFC-1ED7329B5CA6}" name="Name"/>
    <tableColumn id="3" xr3:uid="{B0CF21F5-B6BB-4A2D-A60E-73B31A58B361}" name="Prov_State"/>
    <tableColumn id="4" xr3:uid="{229FA833-4804-4005-AFB9-2CFE78D60188}" name="City"/>
    <tableColumn id="5" xr3:uid="{43969312-91D6-45DB-951A-D920E0F9EAF8}" name="Latitude"/>
    <tableColumn id="6" xr3:uid="{C66B8AF8-FA70-4FB8-9146-E8FE5B18C51A}" name="Longitude"/>
    <tableColumn id="7" xr3:uid="{E73A5E30-CAC3-49BF-BCC6-E814A5698488}" name="Capacity (bpd)"/>
    <tableColumn id="9" xr3:uid="{58268265-0DD6-4904-8D23-93C4A4E21FC3}" name="Sourc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7F3F8F2-4BC3-456D-A6F1-5CD8BF2AA34E}" name="Table10" displayName="Table10" ref="A1:L1434" totalsRowShown="0">
  <autoFilter ref="A1:L1434" xr:uid="{C7F3F8F2-4BC3-456D-A6F1-5CD8BF2AA34E}">
    <filterColumn colId="3">
      <filters>
        <filter val="China"/>
      </filters>
    </filterColumn>
  </autoFilter>
  <tableColumns count="12">
    <tableColumn id="1" xr3:uid="{45CFD873-A52A-4A50-BC3A-360ABDF49A54}" name="Steel Plant Name"/>
    <tableColumn id="2" xr3:uid="{CB7BEC03-D6DC-4960-AA33-0683E4A0BD18}" name="City"/>
    <tableColumn id="3" xr3:uid="{3B74C3D2-1181-4452-A994-D75ECA54E3D7}" name="State"/>
    <tableColumn id="13" xr3:uid="{98E161E7-4238-4030-B5AE-15BE939AE192}" name="Country"/>
    <tableColumn id="4" xr3:uid="{14219FE9-4004-44DA-87E6-ABE748F2CEA7}" name="GEOID" dataDxfId="125">
      <calculatedColumnFormula>VLOOKUP(Table10[[#This Row],[Country]],Countries!$A$1:$D$205,2,TRUE)</calculatedColumnFormula>
    </tableColumn>
    <tableColumn id="14" xr3:uid="{5789A110-17D1-4B33-90BF-93107EAC4309}" name="Start Date"/>
    <tableColumn id="15" xr3:uid="{4E70F32B-64AF-44A7-B45B-56BB73EC3BBB}" name="Status" dataDxfId="124"/>
    <tableColumn id="5" xr3:uid="{1E074D15-6C0B-4179-86F8-B1DF91C42C36}" name="Tonnes per Annum Steel" dataDxfId="123"/>
    <tableColumn id="6" xr3:uid="{2CB7CC80-D9AC-4E84-83A3-FCD62BCD9E84}" name="Tonnes per Annum Iron"/>
    <tableColumn id="8" xr3:uid="{4C8572DE-0DEA-4AE8-9C68-566327F6BA51}" name="Primary Equipment"/>
    <tableColumn id="9" xr3:uid="{DA9C0FA2-1487-4880-8D3E-2A0CCCCF280F}" name="Latitude"/>
    <tableColumn id="10" xr3:uid="{53D67832-68BA-4188-8BB0-774B061AB488}" name="Longitud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6AC7811-7FE6-4879-B201-608985397590}" name="Table7" displayName="Table7" ref="A1:M20" totalsRowCount="1" headerRowDxfId="122">
  <autoFilter ref="A1:M19" xr:uid="{36AC7811-7FE6-4879-B201-608985397590}"/>
  <tableColumns count="13">
    <tableColumn id="1" xr3:uid="{AEBCF3E6-F890-4C72-83F8-9D67016769E5}" name="GEOID" totalsRowFunction="custom" totalsRowDxfId="121">
      <totalsRowFormula>VLOOKUP("Albania",Countries!$A$1:$D$205,2,FALSE)</totalsRowFormula>
    </tableColumn>
    <tableColumn id="2" xr3:uid="{CD18ACE0-DBFF-446C-85AA-90CE658C6A96}" name="LNG Terminal" totalsRowLabel="Port of Vlora FSRU"/>
    <tableColumn id="3" xr3:uid="{104CFCEB-7D26-4D53-AE5E-B5AEADCBD6B0}" name="Status" totalsRowLabel="Proposed, pre-FID"/>
    <tableColumn id="4" xr3:uid="{7D5DE455-59BD-441E-855F-94F0004FE264}" name="Number of Terminals" totalsRowLabel="1" totalsRowDxfId="120"/>
    <tableColumn id="5" xr3:uid="{2E68B1B6-F190-4CC1-BE69-45F270D4BC53}" name="Commissioning Year" totalsRowLabel="2023" totalsRowDxfId="119"/>
    <tableColumn id="6" xr3:uid="{71C8AB5B-20E1-44E5-AFC6-84A4D056163E}" name="Location" totalsRowLabel="Port of Vlora" totalsRowDxfId="118"/>
    <tableColumn id="7" xr3:uid="{0B6470A9-9806-4933-BFD7-727DFF28C5EE}" name="Import or Export" totalsRowLabel="Import" totalsRowDxfId="117"/>
    <tableColumn id="8" xr3:uid="{3DB3F671-5645-4926-BFFD-F3F12E669570}" name="Capacity (tonnes per year)" totalsRowFunction="custom" totalsRowDxfId="116">
      <totalsRowFormula>3500000</totalsRowFormula>
    </tableColumn>
    <tableColumn id="9" xr3:uid="{5D89B3A0-42B5-4E70-B834-9A5CBF0DD2A0}" name="Company" totalsRowLabel="Excelerate Energy [unknown %]; ExxonMobil [unknown %]; Ministry of Infrastructure and Energy of Albania [unknown %]" totalsRowDxfId="115"/>
    <tableColumn id="10" xr3:uid="{6833927F-0235-4DFB-9455-F736FD6B4EF3}" name="Cost (2022 USD)" dataDxfId="114" totalsRowDxfId="113"/>
    <tableColumn id="11" xr3:uid="{B25DCA4E-1DB8-4D63-A017-DC44F0398066}" name="Latitude" totalsRowLabel="40.449271" dataDxfId="112" totalsRowDxfId="111"/>
    <tableColumn id="12" xr3:uid="{A814B4BB-DC46-4EA2-A8B9-1E13778902BA}" name="Longitude" totalsRowLabel="19.480761" totalsRowDxfId="110"/>
    <tableColumn id="13" xr3:uid="{7072E94D-13F4-447D-B82B-D52B165A0BD4}" name="Details" dataDxfId="109" totalsRowDxfId="108" dataCellStyle="Hyperlink"/>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A48A0C0-28ED-436F-BE46-E46FEBC30B32}" name="Table15" displayName="Table15" ref="A1:AO3145" totalsRowShown="0">
  <autoFilter ref="A1:AO3145" xr:uid="{0A48A0C0-28ED-436F-BE46-E46FEBC30B32}">
    <filterColumn colId="2">
      <filters>
        <filter val="Australia"/>
      </filters>
    </filterColumn>
  </autoFilter>
  <tableColumns count="41">
    <tableColumn id="1" xr3:uid="{56B73E64-3DC0-4AEF-872F-E30ED43C1703}" name="ProjectID"/>
    <tableColumn id="2" xr3:uid="{D90F0918-168E-4532-AD6B-96CAC2C41D3D}" name="Fuel"/>
    <tableColumn id="3" xr3:uid="{6240C833-CF49-4612-AFAE-9C636B2C2526}" name="StartCountry"/>
    <tableColumn id="4" xr3:uid="{0D5D77EF-1616-4677-9F46-4F403F90A97D}" name="EndCountry"/>
    <tableColumn id="5" xr3:uid="{DC8B3C74-77A9-4512-AA44-FE5BA8EBB73E}" name="Countries"/>
    <tableColumn id="41" xr3:uid="{A5EC385A-F5FC-42CD-B5AA-A4941E900806}" name="Column1"/>
    <tableColumn id="6" xr3:uid="{4C9285C6-DA23-41CF-BAAD-8DBA7805A9D3}" name="Wiki" dataDxfId="107" dataCellStyle="Hyperlink"/>
    <tableColumn id="7" xr3:uid="{AB8BEE0C-586F-4E34-8074-DE2FA1F4CA0A}" name="PipelineName"/>
    <tableColumn id="8" xr3:uid="{8B972E8F-19A9-4566-8952-9DB04460DFF6}" name="SegmentName"/>
    <tableColumn id="9" xr3:uid="{1E24A025-A432-4F8A-835C-3E36B84CD40B}" name="OtherEnglishNames"/>
    <tableColumn id="10" xr3:uid="{CA175FD1-D1CE-4EBD-B441-4ED0BED17BD6}" name="Owner"/>
    <tableColumn id="11" xr3:uid="{92DFF650-B4CB-4FC8-812A-4942D9444D9D}" name="Parent"/>
    <tableColumn id="12" xr3:uid="{5480225A-353B-4388-A91F-D1D4B2920E15}" name="Status"/>
    <tableColumn id="13" xr3:uid="{1FE7EE6D-67B4-4321-B22B-2AF1D3779C31}" name="StartYear1"/>
    <tableColumn id="14" xr3:uid="{A60DB593-592D-47FB-87D5-FE264410E639}" name="StartYear2"/>
    <tableColumn id="15" xr3:uid="{8EAC8596-F509-4689-BC9C-198232D00C41}" name="StartYear3"/>
    <tableColumn id="16" xr3:uid="{B3757292-489D-45C9-B1D0-3B185DD11D01}" name="StopYear"/>
    <tableColumn id="17" xr3:uid="{5DA35125-AF36-40B6-BD1C-AFE205CF3D52}" name="Capacity"/>
    <tableColumn id="18" xr3:uid="{89EEF9E6-A960-4EF8-8A9F-C1D1C0EF95D1}" name="CapacityUnits"/>
    <tableColumn id="19" xr3:uid="{1B66A4FE-D4E8-4AB3-B3D9-4C48A2A9A74E}" name="CapacityBcm/y"/>
    <tableColumn id="20" xr3:uid="{5DAAE4EF-EA64-4D3F-BAE4-59624F82FFF9}" name="CapacityBOEd"/>
    <tableColumn id="21" xr3:uid="{CBEEE5CE-A87A-43E4-A7C5-518C544FC7DF}" name="LengthKnownKm"/>
    <tableColumn id="22" xr3:uid="{170EC7AA-2F49-4855-9E06-F9CE91BE80EC}" name="LengthEstimateKm"/>
    <tableColumn id="23" xr3:uid="{DDBC08BF-1968-49FB-9FB2-723C3C1963C1}" name="LengthMergedKm"/>
    <tableColumn id="24" xr3:uid="{8CFAC4D2-146B-41F5-8248-9E0801FEB7DD}" name="Diameter"/>
    <tableColumn id="25" xr3:uid="{8094BA44-833C-45AF-991D-9E922C3FF7F7}" name="DiameterUnits"/>
    <tableColumn id="26" xr3:uid="{A046E003-00A7-4E1A-907E-F5148F8C8D50}" name="FuelSource"/>
    <tableColumn id="27" xr3:uid="{3A15AAA4-4FED-42A9-921F-D5C84AB00866}" name="StartLocation"/>
    <tableColumn id="28" xr3:uid="{CB355165-550C-4375-9E07-5B69AA67E403}" name="StartRegion"/>
    <tableColumn id="29" xr3:uid="{106E0AA5-C597-4BF5-A2E5-7BCDE1195FDD}" name="StartPrefecture/District"/>
    <tableColumn id="30" xr3:uid="{F156AC49-829C-4AF3-9503-36487F29BDBB}" name="StartState/Province"/>
    <tableColumn id="31" xr3:uid="{32982679-E873-495D-B680-69B25FA5388B}" name="EndLocation"/>
    <tableColumn id="32" xr3:uid="{45090332-9C2A-4704-A03C-CAE6A78D34A7}" name="EndPrefecture/District"/>
    <tableColumn id="33" xr3:uid="{14F1AF10-EA4A-45C2-A464-15C10E8D7DE8}" name="EndState/Province"/>
    <tableColumn id="34" xr3:uid="{47C0D992-D601-408A-B4E4-EC6166136F4C}" name="EndRegion"/>
    <tableColumn id="35" xr3:uid="{258A30E5-4ADA-48BB-8864-B86C5F7C80DD}" name="FID"/>
    <tableColumn id="36" xr3:uid="{DAF910DD-91C7-4FF3-BD45-ADAC8BD8D1AF}" name="FIDYear"/>
    <tableColumn id="37" xr3:uid="{0E041288-118D-45E7-B8EA-39F49C77AB31}" name="OtherLanguagePrimaryPipelineName"/>
    <tableColumn id="38" xr3:uid="{07861800-994F-4F5A-A0DA-E9DA0AF4FC27}" name="OtherLanguageSegmentName"/>
    <tableColumn id="39" xr3:uid="{689DF6D2-4F11-406C-BD14-9E479EC8CD47}" name="OtherLanguageWikiPage"/>
    <tableColumn id="40" xr3:uid="{2CF80CC0-5B70-4AD4-A1F8-9A8BD50D79EA}" name="WKTFormat"/>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D496558-D122-4F6A-A043-966C54E7180F}" name="Table1" displayName="Table1" ref="A1:X1020" totalsRowShown="0" dataDxfId="96">
  <autoFilter ref="A1:X1020" xr:uid="{BD496558-D122-4F6A-A043-966C54E7180F}">
    <filterColumn colId="18">
      <filters blank="1">
        <filter val="Operational"/>
        <filter val="Under Consruction"/>
        <filter val="Yes"/>
      </filters>
    </filterColumn>
  </autoFilter>
  <sortState xmlns:xlrd2="http://schemas.microsoft.com/office/spreadsheetml/2017/richdata2" ref="A15:X15">
    <sortCondition ref="A1:A1020"/>
  </sortState>
  <tableColumns count="24">
    <tableColumn id="1" xr3:uid="{8EDAF1EB-DBE3-4BBF-8DFC-F8CF39002938}" name="Plant" dataDxfId="95"/>
    <tableColumn id="2" xr3:uid="{53711FC9-C833-49ED-978C-1C33D40DE974}" name="City/Region" dataDxfId="94"/>
    <tableColumn id="3" xr3:uid="{27ED33E3-F3FE-4C7C-9F75-938900203FCE}" name="Country" dataDxfId="93"/>
    <tableColumn id="4" xr3:uid="{4F44AF59-A097-44E5-8C8E-05FF122AC3E0}" name="GEOID" dataDxfId="92"/>
    <tableColumn id="5" xr3:uid="{E965FA80-9C68-4CC3-9D1C-BB6D00CA4562}" name="Latitude" dataDxfId="91"/>
    <tableColumn id="6" xr3:uid="{35C1D087-14CD-4D35-A6F7-EB93405F01A3}" name="Longitude" dataDxfId="90"/>
    <tableColumn id="17" xr3:uid="{04FA8BF1-D761-427E-9A58-815FF2A166AA}" name="Commissioning Year" dataDxfId="89"/>
    <tableColumn id="7" xr3:uid="{BE9D01AC-463C-49B3-BA14-09B3BF03733A}" name="Capacity (MW)" dataDxfId="88"/>
    <tableColumn id="8" xr3:uid="{DF975A31-2BFD-4BF4-B491-3A5A5332D942}" name="Hydrogen (kg/day)" dataDxfId="87"/>
    <tableColumn id="9" xr3:uid="{62021A63-2A16-45EC-BDFD-92C3215B81A6}" name="Hydrogen (t/yr)">
      <calculatedColumnFormula>I2*365/1000</calculatedColumnFormula>
    </tableColumn>
    <tableColumn id="10" xr3:uid="{B53E56F1-E1E2-4E91-9E05-E34251F7AF28}" name="Technology" dataDxfId="86"/>
    <tableColumn id="11" xr3:uid="{4C5D87E3-17D0-40C1-9394-62D7C90E1CD9}" name="Energy Source" dataDxfId="85"/>
    <tableColumn id="12" xr3:uid="{657C7C65-377C-4952-A8ED-0DDBE420B67F}" name="Energy Capacity (MW)" dataDxfId="84"/>
    <tableColumn id="13" xr3:uid="{E241CB95-5FB3-401A-A2F7-DE0DF2DE13A0}" name="CO2 removed (tons/yr)" dataDxfId="83"/>
    <tableColumn id="14" xr3:uid="{7FDBA59E-3956-42C9-8960-1E23BE19A5C2}" name="Cost" dataDxfId="82"/>
    <tableColumn id="22" xr3:uid="{5D0EDD23-F1D2-4B2C-9A58-9F9D65D24E54}" name="Cost (USD)"/>
    <tableColumn id="15" xr3:uid="{087DA4AB-A1C2-4541-8833-8B9342EC2CD1}" name="End Use" dataDxfId="81"/>
    <tableColumn id="16" xr3:uid="{945E01DB-AB3E-422A-A870-D9CA6E8CEF9F}" name="End Use Location" dataDxfId="80"/>
    <tableColumn id="18" xr3:uid="{CF957EDD-D42B-4F33-A82D-21AAE51D331E}" name="Operational, Under Construction, or at FID?" dataDxfId="79"/>
    <tableColumn id="23" xr3:uid="{12ADFD28-3B8C-4B10-992E-AB8372590D84}" name="Demand Project?"/>
    <tableColumn id="24" xr3:uid="{C3ABE5F0-E2E1-4EAA-94EF-A7018D09F668}" name="Midstream Project?"/>
    <tableColumn id="19" xr3:uid="{8F15253B-11D8-4979-A986-E04A43497D52}" name="Status" dataDxfId="78">
      <calculatedColumnFormula>IF(G2&lt;2023,"Operational","Under Constuction or FID")</calculatedColumnFormula>
    </tableColumn>
    <tableColumn id="20" xr3:uid="{34153C93-9D82-4E27-91B2-B560CB214CDF}" name="Company" dataDxfId="77"/>
    <tableColumn id="21" xr3:uid="{9D6DAEDD-D3D9-42FB-85A0-F9FA3E83CB18}" name="Source" dataDxfId="76"/>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DD7D026-CD42-44F3-8A64-C90B8D0E9F6F}" name="Table_Table14" displayName="Table_Table14" ref="A1:X101" tableType="queryTable" totalsRowShown="0">
  <autoFilter ref="A1:X101" xr:uid="{95E34D0A-CA1F-4975-97B3-40CC59D4EF47}"/>
  <tableColumns count="24">
    <tableColumn id="1" xr3:uid="{3B539BB1-6854-463A-BEB5-8C209C911576}" uniqueName="1" name="Plant" queryTableFieldId="1" dataDxfId="60"/>
    <tableColumn id="2" xr3:uid="{3CD571D0-7266-4511-B9F1-1E87E01006B5}" uniqueName="2" name="City/Region" queryTableFieldId="2" dataDxfId="59"/>
    <tableColumn id="3" xr3:uid="{7CFFE3D3-A5CF-4FEC-BA42-509E1D2F4AF8}" uniqueName="3" name="Country" queryTableFieldId="3" dataDxfId="58"/>
    <tableColumn id="4" xr3:uid="{AF4E2A45-9032-43C1-A38F-84FBE969D1B3}" uniqueName="4" name="GEOID" queryTableFieldId="4" dataDxfId="57"/>
    <tableColumn id="5" xr3:uid="{2001EC12-ADD4-45A1-9F2A-27A9B6522FBA}" uniqueName="5" name="Latitude" queryTableFieldId="5"/>
    <tableColumn id="6" xr3:uid="{E14A7842-BEEA-45E1-B07C-E6E95507DF61}" uniqueName="6" name="Longitude" queryTableFieldId="6"/>
    <tableColumn id="7" xr3:uid="{A32B2607-E572-4257-9D4C-4D298DF35EB4}" uniqueName="7" name="Capacity (MW)" queryTableFieldId="7"/>
    <tableColumn id="8" xr3:uid="{205A3D98-A1C8-411B-A0B7-E3D97FF15958}" uniqueName="8" name="Hydrogen (kg/day)" queryTableFieldId="8"/>
    <tableColumn id="9" xr3:uid="{E6C15566-82AA-4CDD-8ABD-F9BD565F4A48}" uniqueName="9" name="Hydrogen (t/yr)" queryTableFieldId="9"/>
    <tableColumn id="10" xr3:uid="{3C1608CB-53C6-46B2-A041-69A6D77E0E8C}" uniqueName="10" name="Technology" queryTableFieldId="10" dataDxfId="56"/>
    <tableColumn id="11" xr3:uid="{0A3B1FF0-0FDC-4E18-80A2-0F00FFFDC29E}" uniqueName="11" name="Energy Source" queryTableFieldId="11" dataDxfId="55"/>
    <tableColumn id="12" xr3:uid="{7F2736C7-BD67-4AE9-A1AA-8A4D284EEC7A}" uniqueName="12" name="Energy Capacity (MW)" queryTableFieldId="12"/>
    <tableColumn id="13" xr3:uid="{37E467D1-F224-4CC0-9DD2-3CC00A6931A9}" uniqueName="13" name="CO2 removed (tons/yr)" queryTableFieldId="13"/>
    <tableColumn id="14" xr3:uid="{8F4F4BB1-F822-49EA-902C-D4BCD0FE8D63}" uniqueName="14" name="Cost" queryTableFieldId="14"/>
    <tableColumn id="15" xr3:uid="{92546BBB-6CDA-4F13-89D6-EDDEF7C9BB5B}" uniqueName="15" name="Cost (USD)" queryTableFieldId="15"/>
    <tableColumn id="16" xr3:uid="{5E7568FA-2B2C-4A93-8E3B-039C434E757C}" uniqueName="16" name="End Use" queryTableFieldId="16" dataDxfId="54"/>
    <tableColumn id="17" xr3:uid="{1FA78893-088C-40B6-8AEC-A9F5F0419F7A}" uniqueName="17" name="End Use Location" queryTableFieldId="17" dataDxfId="53"/>
    <tableColumn id="18" xr3:uid="{0FAC41D7-5BD3-48FE-AA3E-0BD241DD082A}" uniqueName="18" name="Commissioning Year" queryTableFieldId="18"/>
    <tableColumn id="19" xr3:uid="{D43914FE-DD32-4F59-94C2-234889B33C55}" uniqueName="19" name="Operational, Under Construction, or at FID?" queryTableFieldId="19" dataDxfId="52"/>
    <tableColumn id="20" xr3:uid="{AD59871A-C4FF-489C-A8B9-CE476780B608}" uniqueName="20" name="Demand Project?" queryTableFieldId="20" dataDxfId="51"/>
    <tableColumn id="21" xr3:uid="{1358AB93-1E70-4097-B17E-CDD817ADC808}" uniqueName="21" name="Midstream Project?" queryTableFieldId="21" dataDxfId="50"/>
    <tableColumn id="22" xr3:uid="{BB098E6E-EC16-415E-AF3F-5A0A1B85DDD1}" uniqueName="22" name="Status" queryTableFieldId="22" dataDxfId="49"/>
    <tableColumn id="23" xr3:uid="{6A861503-7D4C-44F2-8C02-ECB4E30D7CB6}" uniqueName="23" name="Company" queryTableFieldId="23" dataDxfId="48"/>
    <tableColumn id="24" xr3:uid="{7F74416E-5F25-4B02-83BE-286ACC50CBBA}" uniqueName="24" name="Source" queryTableFieldId="24" dataDxfId="47"/>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548749-771E-4AC6-8F4B-0CD17E04DA2E}" name="Table_Table47" displayName="Table_Table47" ref="CN1:CZ10" tableType="queryTable" totalsRowShown="0">
  <autoFilter ref="CN1:CZ10" xr:uid="{B3548749-771E-4AC6-8F4B-0CD17E04DA2E}"/>
  <tableColumns count="13">
    <tableColumn id="1" xr3:uid="{1A6E70B2-7B6B-4A12-A12C-5F8F66979699}" uniqueName="1" name="GEOID" queryTableFieldId="1"/>
    <tableColumn id="2" xr3:uid="{8DBA1A69-1404-4F7E-A243-699436FA5EAB}" uniqueName="2" name="City/Region" queryTableFieldId="2" dataDxfId="46"/>
    <tableColumn id="3" xr3:uid="{83DC5C29-8E61-42E0-B965-81EF5430F90C}" uniqueName="3" name="State" queryTableFieldId="3" dataDxfId="45"/>
    <tableColumn id="4" xr3:uid="{0DBE2C45-E54F-4B5E-8452-571597FB99EF}" uniqueName="4" name="Producer" queryTableFieldId="4" dataDxfId="44"/>
    <tableColumn id="5" xr3:uid="{1BE48276-5389-4FE3-AB4A-5004DC902EB9}" uniqueName="5" name="Technology" queryTableFieldId="5" dataDxfId="43"/>
    <tableColumn id="6" xr3:uid="{CB2CF1E0-088D-4373-9CDC-0E34431B0EF3}" uniqueName="6" name="On Stream Date" queryTableFieldId="6"/>
    <tableColumn id="7" xr3:uid="{4F179DD3-C7A0-455A-A09C-9389B686E283}" uniqueName="7" name="Hydrogen Production (kg/day)" queryTableFieldId="7"/>
    <tableColumn id="8" xr3:uid="{285B74D1-7BA1-421E-914E-D8D16CD5CB37}" uniqueName="8" name="Type" queryTableFieldId="8" dataDxfId="42"/>
    <tableColumn id="9" xr3:uid="{7ADCF5F0-128D-422A-B369-4CEBC4E29B74}" uniqueName="9" name="Form" queryTableFieldId="9" dataDxfId="41"/>
    <tableColumn id="10" xr3:uid="{C194E4C7-0EB0-49E6-A896-568C6F66BDD3}" uniqueName="10" name="Demand" queryTableFieldId="10" dataDxfId="40"/>
    <tableColumn id="11" xr3:uid="{096B7CFD-109F-435A-80DC-B304A2AF0DFA}" uniqueName="11" name="Latitude" queryTableFieldId="11"/>
    <tableColumn id="12" xr3:uid="{5BD294C4-9104-490D-AE70-D26309B77DA5}" uniqueName="12" name="Longitude" queryTableFieldId="12"/>
    <tableColumn id="13" xr3:uid="{9A9350E6-4E72-4709-9109-F04D1F2AE196}" uniqueName="13" name="Additional Information" queryTableFieldId="13" dataDxfId="39"/>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D45B60C-F490-4877-9DAB-C2F7D8FA000B}" name="Table_Table710" displayName="Table_Table710" ref="DD1:DP19" tableType="queryTable" totalsRowShown="0">
  <autoFilter ref="DD1:DP19" xr:uid="{2D45B60C-F490-4877-9DAB-C2F7D8FA000B}"/>
  <tableColumns count="13">
    <tableColumn id="1" xr3:uid="{F9FAD5D5-AECD-4A60-9019-D82CB6DB5677}" uniqueName="1" name="GEOID" queryTableFieldId="1" dataDxfId="38"/>
    <tableColumn id="2" xr3:uid="{EA39659D-B271-4906-B9C3-15E8C0A21D9B}" uniqueName="2" name="LNG Terminal" queryTableFieldId="2" dataDxfId="37"/>
    <tableColumn id="3" xr3:uid="{9DE586A6-73BB-4889-9665-A4771CF94AD4}" uniqueName="3" name="Status" queryTableFieldId="3" dataDxfId="36"/>
    <tableColumn id="4" xr3:uid="{F7350317-C60A-4835-AD5F-F3CE30341997}" uniqueName="4" name="Number of Terminals" queryTableFieldId="4"/>
    <tableColumn id="5" xr3:uid="{FF7D6F02-12C0-4303-8599-128701751ACF}" uniqueName="5" name="Commissioning Year" queryTableFieldId="5"/>
    <tableColumn id="6" xr3:uid="{2AAE51DC-6561-4BB9-8A4C-72FA9E38B311}" uniqueName="6" name="Location" queryTableFieldId="6" dataDxfId="35"/>
    <tableColumn id="7" xr3:uid="{D30AA1FC-EBE9-474D-BCD4-43423E57C7D6}" uniqueName="7" name="Import or Export" queryTableFieldId="7" dataDxfId="34"/>
    <tableColumn id="8" xr3:uid="{09BFD0E6-BA5A-4A01-8DFF-C13E18105389}" uniqueName="8" name="Capacity (tonnes per year)" queryTableFieldId="8"/>
    <tableColumn id="9" xr3:uid="{6C3E0465-5C92-4F3C-A217-EE80623D9DE8}" uniqueName="9" name="Company" queryTableFieldId="9" dataDxfId="33"/>
    <tableColumn id="10" xr3:uid="{61E38F9C-C21A-4073-A179-055C083FB030}" uniqueName="10" name="Cost (2022 USD)" queryTableFieldId="10"/>
    <tableColumn id="11" xr3:uid="{9E6E0F8A-C530-47E7-A627-3FEEDE9A6A47}" uniqueName="11" name="Latitude" queryTableFieldId="11"/>
    <tableColumn id="12" xr3:uid="{1D50AA7F-D489-4B47-AF6A-19DA4C71B48A}" uniqueName="12" name="Longitude" queryTableFieldId="12"/>
    <tableColumn id="13" xr3:uid="{08F0C757-5266-45EC-9681-DB5B2E6C99AF}" uniqueName="13" name="Details" queryTableFieldId="13" dataDxfId="32"/>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7" dT="2023-05-08T16:51:37.32" personId="{BA1D89BC-9952-4246-990D-6281148C32A0}" id="{A39345EB-DAE6-4E06-85BA-7BD004C4999C}">
    <text>Careful not to double count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gub.uy/ministerio-industria-energia-mineria/politicas-y-gestion/national-green-hydrogen-strategy" TargetMode="External"/><Relationship Id="rId2" Type="http://schemas.openxmlformats.org/officeDocument/2006/relationships/hyperlink" Target="https://www.hydrogenenergysupplychain.com/wp-content/uploads/2021/07/0312_002b.pdf" TargetMode="External"/><Relationship Id="rId1" Type="http://schemas.openxmlformats.org/officeDocument/2006/relationships/hyperlink" Target="https://www.tresor.economie.gouv.fr/Articles/4a1ac560-a021-4358-a466-f5430928a1db/files/7d2fd0e2-8a3d-4ce8-bbb3-94cbd5b9c3d1" TargetMode="Externa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bharatpetroleum.in/our-businesses/refineries/kochi-refinery/irep.aspx" TargetMode="External"/><Relationship Id="rId13" Type="http://schemas.openxmlformats.org/officeDocument/2006/relationships/table" Target="../tables/table6.xml"/><Relationship Id="rId3" Type="http://schemas.openxmlformats.org/officeDocument/2006/relationships/hyperlink" Target="https://economictimes.indiatimes.com/industry/renewables/lt-commissions-its-first-green-hydrogen-plant-at-hazira/articleshow/93678715.cms?from=mdr" TargetMode="External"/><Relationship Id="rId7" Type="http://schemas.openxmlformats.org/officeDocument/2006/relationships/hyperlink" Target="https://www.thehindubusinessline.com/companies/bharat-oman-refineries-amalgamates-with-bpcl/article65589389.ece" TargetMode="External"/><Relationship Id="rId12" Type="http://schemas.openxmlformats.org/officeDocument/2006/relationships/printerSettings" Target="../printerSettings/printerSettings4.bin"/><Relationship Id="rId2" Type="http://schemas.openxmlformats.org/officeDocument/2006/relationships/hyperlink" Target="https://renewablesnow.com/news/another-plug-green-hydrogen-plant-enters-construction-in-georgia-801169/" TargetMode="External"/><Relationship Id="rId1" Type="http://schemas.openxmlformats.org/officeDocument/2006/relationships/hyperlink" Target="https://urldefense.com/v3/__http:/www.standardhydrogencorp.com__;!!B3hxM_NYsQ!nk3uglP1MuOl-QRLSW9bf8SEaKthzwunSaO0GKgSwhKwvWk9HoF21JzUo7JsnQDUtuw2YFio$" TargetMode="External"/><Relationship Id="rId6" Type="http://schemas.openxmlformats.org/officeDocument/2006/relationships/hyperlink" Target="https://www.thehindubusinessline.com/companies/indian-oil-to-build-indias-first-green-hydrogen-plant-at-mathura-refinery/article35483935.ece" TargetMode="External"/><Relationship Id="rId11" Type="http://schemas.openxmlformats.org/officeDocument/2006/relationships/hyperlink" Target="https://www.offshore-technology.com/marketdata/nagapattinam-ii-refinery-coking-india/" TargetMode="External"/><Relationship Id="rId5" Type="http://schemas.openxmlformats.org/officeDocument/2006/relationships/hyperlink" Target="https://www.acme-ghc.com/india-green-hydrogen-project/rajasthan" TargetMode="External"/><Relationship Id="rId10" Type="http://schemas.openxmlformats.org/officeDocument/2006/relationships/hyperlink" Target="https://timesofindia.indiatimes.com/city/chennai/iit-madras-develops-eco-friendly-way-to-produce-hydrogen-fuel-from-seawater/articleshow/73294967.cms" TargetMode="External"/><Relationship Id="rId4" Type="http://schemas.openxmlformats.org/officeDocument/2006/relationships/hyperlink" Target="https://www.arci.res.in/centres-about-fuel-cell-technology" TargetMode="External"/><Relationship Id="rId9" Type="http://schemas.openxmlformats.org/officeDocument/2006/relationships/hyperlink" Target="https://www.reuters.com/business/energy/indias-bpcl-halves-crude-runs-mumbai-refinery-plans-repairs-other-plants-2022-06-22/" TargetMode="Externa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pivotTable" Target="../pivotTables/pivotTable6.xml"/><Relationship Id="rId7" Type="http://schemas.openxmlformats.org/officeDocument/2006/relationships/pivotTable" Target="../pivotTables/pivotTable10.xml"/><Relationship Id="rId12" Type="http://schemas.openxmlformats.org/officeDocument/2006/relationships/table" Target="../tables/table11.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table" Target="../tables/table10.xml"/><Relationship Id="rId5" Type="http://schemas.openxmlformats.org/officeDocument/2006/relationships/pivotTable" Target="../pivotTables/pivotTable8.xml"/><Relationship Id="rId10" Type="http://schemas.openxmlformats.org/officeDocument/2006/relationships/table" Target="../tables/table9.xml"/><Relationship Id="rId4" Type="http://schemas.openxmlformats.org/officeDocument/2006/relationships/pivotTable" Target="../pivotTables/pivotTable7.xml"/><Relationship Id="rId9"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fractracker.org/data/" TargetMode="External"/><Relationship Id="rId2" Type="http://schemas.openxmlformats.org/officeDocument/2006/relationships/hyperlink" Target="https://www.fractracker.org/data/" TargetMode="External"/><Relationship Id="rId1" Type="http://schemas.openxmlformats.org/officeDocument/2006/relationships/hyperlink" Target="https://www.fractracker.org/data/" TargetMode="External"/><Relationship Id="rId5" Type="http://schemas.openxmlformats.org/officeDocument/2006/relationships/table" Target="../tables/table2.xml"/><Relationship Id="rId4" Type="http://schemas.openxmlformats.org/officeDocument/2006/relationships/hyperlink" Target="https://www.fractracker.org/data/"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3.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gem.wiki/Ichthys_FLNG_Terminal" TargetMode="External"/><Relationship Id="rId7" Type="http://schemas.openxmlformats.org/officeDocument/2006/relationships/printerSettings" Target="../printerSettings/printerSettings3.bin"/><Relationship Id="rId2" Type="http://schemas.openxmlformats.org/officeDocument/2006/relationships/hyperlink" Target="https://www.gem.wiki/Wheatstone_LNG_Terminal" TargetMode="External"/><Relationship Id="rId1" Type="http://schemas.openxmlformats.org/officeDocument/2006/relationships/hyperlink" Target="https://www.gem.wiki/Port_Phillip_Bay_FSRU" TargetMode="External"/><Relationship Id="rId6" Type="http://schemas.openxmlformats.org/officeDocument/2006/relationships/hyperlink" Target="https://www.gem.wiki/Pluto_LNG_Terminal" TargetMode="External"/><Relationship Id="rId5" Type="http://schemas.openxmlformats.org/officeDocument/2006/relationships/hyperlink" Target="https://www.gem.wiki/North_West_Shelf_LNG_Terminal" TargetMode="External"/><Relationship Id="rId4" Type="http://schemas.openxmlformats.org/officeDocument/2006/relationships/hyperlink" Target="https://www.gem.wiki/North_West_Shelf_LNG_Terminal"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gem.wiki/Phased_Gas_Pipeline_Network" TargetMode="External"/><Relationship Id="rId3182" Type="http://schemas.openxmlformats.org/officeDocument/2006/relationships/hyperlink" Target="https://www.gem.wiki/West-East_Gas_Pipeline_2_Guangzhou-Nanning_Branch" TargetMode="External"/><Relationship Id="rId3042" Type="http://schemas.openxmlformats.org/officeDocument/2006/relationships/hyperlink" Target="https://www.gem.wiki/Jiangxi_Natural_Gas_Pipeline_Network" TargetMode="External"/><Relationship Id="rId170" Type="http://schemas.openxmlformats.org/officeDocument/2006/relationships/hyperlink" Target="https://www.gem.wiki/Whistler_Pipeline" TargetMode="External"/><Relationship Id="rId987" Type="http://schemas.openxmlformats.org/officeDocument/2006/relationships/hyperlink" Target="https://www.gem.wiki/Red_de_Gasoductos_Promigas" TargetMode="External"/><Relationship Id="rId2668" Type="http://schemas.openxmlformats.org/officeDocument/2006/relationships/hyperlink" Target="https://www.gem.wiki/Le_Havre%E2%80%93Paris_Gas_Pipeline" TargetMode="External"/><Relationship Id="rId2875" Type="http://schemas.openxmlformats.org/officeDocument/2006/relationships/hyperlink" Target="https://www.gem.wiki/Shanxi_Natural_Gas_Pipeline_Network" TargetMode="External"/><Relationship Id="rId847" Type="http://schemas.openxmlformats.org/officeDocument/2006/relationships/hyperlink" Target="https://www.gem.wiki/Sakhalin-Khabarovsk-Vladivostok_Gas_Pipeline" TargetMode="External"/><Relationship Id="rId1477" Type="http://schemas.openxmlformats.org/officeDocument/2006/relationships/hyperlink" Target="https://gem.wiki/Mitchelstown&#8211;Clonmel_Gas_Pipeline" TargetMode="External"/><Relationship Id="rId1684" Type="http://schemas.openxmlformats.org/officeDocument/2006/relationships/hyperlink" Target="https://www.gem.wiki/West_Erregulla_Gas_Pipeline" TargetMode="External"/><Relationship Id="rId1891" Type="http://schemas.openxmlformats.org/officeDocument/2006/relationships/hyperlink" Target="https://www.gem.wiki/Gasoducto_del_Noreste_Argentino" TargetMode="External"/><Relationship Id="rId2528" Type="http://schemas.openxmlformats.org/officeDocument/2006/relationships/hyperlink" Target="https://www.gem.wiki/The_Area_72-Rustavi_Gas_Pipeline" TargetMode="External"/><Relationship Id="rId2735" Type="http://schemas.openxmlformats.org/officeDocument/2006/relationships/hyperlink" Target="https://www.gem.wiki/Sino-Myanmar_Gas_Pipeline" TargetMode="External"/><Relationship Id="rId2942" Type="http://schemas.openxmlformats.org/officeDocument/2006/relationships/hyperlink" Target="https://www.gem.wiki/Guangdong_West_Gas_Pipeline_Network" TargetMode="External"/><Relationship Id="rId707" Type="http://schemas.openxmlformats.org/officeDocument/2006/relationships/hyperlink" Target="https://www.gem.wiki/Kate%C5%99insk%C3%BD_Potok_Junction_Point%E2%80%93P%C5%99imda_Junction_Point_Gas_Pipeline" TargetMode="External"/><Relationship Id="rId914" Type="http://schemas.openxmlformats.org/officeDocument/2006/relationships/hyperlink" Target="https://www.gem.wiki/Daini_Joso_Gas_Pipeline" TargetMode="External"/><Relationship Id="rId1337" Type="http://schemas.openxmlformats.org/officeDocument/2006/relationships/hyperlink" Target="https://gem.wiki/Bernalda&#8211;Grumento_Gas_Pipeline" TargetMode="External"/><Relationship Id="rId1544" Type="http://schemas.openxmlformats.org/officeDocument/2006/relationships/hyperlink" Target="https://gem.wiki/Taisnieres_sur_Hon&#8211;Morelmaison_Gas_Pipeline" TargetMode="External"/><Relationship Id="rId1751" Type="http://schemas.openxmlformats.org/officeDocument/2006/relationships/hyperlink" Target="https://www.gem.wiki/Iroquois_Gas_Pipeline" TargetMode="External"/><Relationship Id="rId2802" Type="http://schemas.openxmlformats.org/officeDocument/2006/relationships/hyperlink" Target="https://www.gem.wiki/Changqing-Huhhot_Parallel_Pipeline" TargetMode="External"/><Relationship Id="rId43" Type="http://schemas.openxmlformats.org/officeDocument/2006/relationships/hyperlink" Target="https://www.gem.wiki/Midla_Natchez_Pipeline" TargetMode="External"/><Relationship Id="rId1404" Type="http://schemas.openxmlformats.org/officeDocument/2006/relationships/hyperlink" Target="https://gem.wiki/Zeebrugge&#8211;Mons_Gas_Pipeline" TargetMode="External"/><Relationship Id="rId1611" Type="http://schemas.openxmlformats.org/officeDocument/2006/relationships/hyperlink" Target="https://www.gem.wiki/Gasoduto_GASALP" TargetMode="External"/><Relationship Id="rId497" Type="http://schemas.openxmlformats.org/officeDocument/2006/relationships/hyperlink" Target="https://www.gem.wiki/Mallavaram-Bhopal-Bhilwara-Vijaipur_Gas_Pipeline" TargetMode="External"/><Relationship Id="rId2178" Type="http://schemas.openxmlformats.org/officeDocument/2006/relationships/hyperlink" Target="https://www.gem.wiki/Whistler_Pipeline" TargetMode="External"/><Relationship Id="rId2385" Type="http://schemas.openxmlformats.org/officeDocument/2006/relationships/hyperlink" Target="https://www.gem.wiki/Volkhov-Segezha-Kostomuksha_Gas_Pipeline" TargetMode="External"/><Relationship Id="rId3229" Type="http://schemas.openxmlformats.org/officeDocument/2006/relationships/hyperlink" Target="https://www.gem.wiki/Guizhou_Gas_Pipeline_Network" TargetMode="External"/><Relationship Id="rId357" Type="http://schemas.openxmlformats.org/officeDocument/2006/relationships/hyperlink" Target="https://www.gem.wiki/Gas_Interconnection_Poland-Lithuania_(GIPL)" TargetMode="External"/><Relationship Id="rId1194" Type="http://schemas.openxmlformats.org/officeDocument/2006/relationships/hyperlink" Target="https://www.gem.wiki/ANR_Gas_Pipeline" TargetMode="External"/><Relationship Id="rId2038" Type="http://schemas.openxmlformats.org/officeDocument/2006/relationships/hyperlink" Target="https://www.gem.wiki/Presidente_Kennedy-S%C3%A3o_Br%C3%A1s_do_Sua%C3%A7u%C3%AD_Gas_Pipeline" TargetMode="External"/><Relationship Id="rId2592" Type="http://schemas.openxmlformats.org/officeDocument/2006/relationships/hyperlink" Target="https://gem.wiki/Poggio_Renatico&#8211;Minerbio_Gas_Pipeline" TargetMode="External"/><Relationship Id="rId217" Type="http://schemas.openxmlformats.org/officeDocument/2006/relationships/hyperlink" Target="https://www.gem.wiki/Gasoducto_de_Integraci%C3%B3n_Juana_Azurduy" TargetMode="External"/><Relationship Id="rId564" Type="http://schemas.openxmlformats.org/officeDocument/2006/relationships/hyperlink" Target="https://www.gem.wiki/Batu-Brandan_Gas_Pipeline" TargetMode="External"/><Relationship Id="rId771" Type="http://schemas.openxmlformats.org/officeDocument/2006/relationships/hyperlink" Target="https://www.gem.wiki/Km-91.5-Brega_gas_pipeline" TargetMode="External"/><Relationship Id="rId2245" Type="http://schemas.openxmlformats.org/officeDocument/2006/relationships/hyperlink" Target="https://www.gem.wiki/Zhanazhol-Aktobe_Gas_Pipeline" TargetMode="External"/><Relationship Id="rId2452" Type="http://schemas.openxmlformats.org/officeDocument/2006/relationships/hyperlink" Target="https://www.gem.wiki/Novosokolniki-Pustoshka_Gas_Pipeline" TargetMode="External"/><Relationship Id="rId424" Type="http://schemas.openxmlformats.org/officeDocument/2006/relationships/hyperlink" Target="https://www.gem.wiki/Turkmenistan-Afghanistan-Pakistan-India_Gas_Pipeline" TargetMode="External"/><Relationship Id="rId631" Type="http://schemas.openxmlformats.org/officeDocument/2006/relationships/hyperlink" Target="https://www.gem.wiki/Nihongi_Pipeline" TargetMode="External"/><Relationship Id="rId1054" Type="http://schemas.openxmlformats.org/officeDocument/2006/relationships/hyperlink" Target="https://www.gem.wiki/Zdzieszowice-Wroc%C5%82aw_Gas_Pipeline" TargetMode="External"/><Relationship Id="rId1261" Type="http://schemas.openxmlformats.org/officeDocument/2006/relationships/hyperlink" Target="https://www.gem.wiki/Columbia-to-Eastover_Gas_Pipeline" TargetMode="External"/><Relationship Id="rId2105" Type="http://schemas.openxmlformats.org/officeDocument/2006/relationships/hyperlink" Target="https://www.gem.wiki/Austria%E2%80%93Slovenia_Interconnector_Gas_Pipeline" TargetMode="External"/><Relationship Id="rId2312" Type="http://schemas.openxmlformats.org/officeDocument/2006/relationships/hyperlink" Target="https://www.gem.wiki/Quetta_Gas_Pipeline" TargetMode="External"/><Relationship Id="rId1121" Type="http://schemas.openxmlformats.org/officeDocument/2006/relationships/hyperlink" Target="https://www.gem.wiki/Ring_of_the_Moscow_Region_Gas_Pipeline" TargetMode="External"/><Relationship Id="rId3086" Type="http://schemas.openxmlformats.org/officeDocument/2006/relationships/hyperlink" Target="https://www.gem.wiki/Zhejiang_Natural_Gas_Pipeline_Network" TargetMode="External"/><Relationship Id="rId3293" Type="http://schemas.openxmlformats.org/officeDocument/2006/relationships/hyperlink" Target="https://www.gem.wiki/Yulin%E2%80%93Xi%27an_Gas_Pipeline" TargetMode="External"/><Relationship Id="rId1938" Type="http://schemas.openxmlformats.org/officeDocument/2006/relationships/hyperlink" Target="https://www.gem.wiki/Bathinda-Jammu-Srinagar_Gas_Pipeline" TargetMode="External"/><Relationship Id="rId3153" Type="http://schemas.openxmlformats.org/officeDocument/2006/relationships/hyperlink" Target="https://www.gem.wiki/Gulang-Hekou_Connecting_Gas_Pipeline" TargetMode="External"/><Relationship Id="rId281" Type="http://schemas.openxmlformats.org/officeDocument/2006/relationships/hyperlink" Target="https://www.gem.wiki/Arish%E2%80%93Ashkelon_Pipeline" TargetMode="External"/><Relationship Id="rId3013" Type="http://schemas.openxmlformats.org/officeDocument/2006/relationships/hyperlink" Target="https://www.gem.wiki/Jiangsu_Coastal_Gas_Pipeline" TargetMode="External"/><Relationship Id="rId141" Type="http://schemas.openxmlformats.org/officeDocument/2006/relationships/hyperlink" Target="https://www.gem.wiki/Pecos_Trail_Pipeline" TargetMode="External"/><Relationship Id="rId3220" Type="http://schemas.openxmlformats.org/officeDocument/2006/relationships/hyperlink" Target="https://www.gem.wiki/Guizhou_Gas_Pipeline_Network" TargetMode="External"/><Relationship Id="rId7" Type="http://schemas.openxmlformats.org/officeDocument/2006/relationships/hyperlink" Target="https://www.gem.wiki/Algonquin_Gas_Transmission_Pipeline" TargetMode="External"/><Relationship Id="rId2779" Type="http://schemas.openxmlformats.org/officeDocument/2006/relationships/hyperlink" Target="https://www.gem.wiki/Inner_Mongolia_Gas_Pipeline_Network" TargetMode="External"/><Relationship Id="rId2986" Type="http://schemas.openxmlformats.org/officeDocument/2006/relationships/hyperlink" Target="https://www.gem.wiki/Zungharia_Basin_Rim_Gas_Pipeline_Network" TargetMode="External"/><Relationship Id="rId958" Type="http://schemas.openxmlformats.org/officeDocument/2006/relationships/hyperlink" Target="https://www.gem.wiki/Omuta_Kumamoto_Gas_Pipeline" TargetMode="External"/><Relationship Id="rId1588" Type="http://schemas.openxmlformats.org/officeDocument/2006/relationships/hyperlink" Target="https://www.gem.wiki/Adriatica_Pipeline" TargetMode="External"/><Relationship Id="rId1795" Type="http://schemas.openxmlformats.org/officeDocument/2006/relationships/hyperlink" Target="https://www.gem.wiki/Bataan-Manila_Gas_Pipeline_2" TargetMode="External"/><Relationship Id="rId2639" Type="http://schemas.openxmlformats.org/officeDocument/2006/relationships/hyperlink" Target="https://www.gem.wiki/Konya-Kirsehir_Gas_Pipeline" TargetMode="External"/><Relationship Id="rId2846" Type="http://schemas.openxmlformats.org/officeDocument/2006/relationships/hyperlink" Target="https://www.gem.wiki/Anhui_Gas_Pipeline_Network" TargetMode="External"/><Relationship Id="rId87" Type="http://schemas.openxmlformats.org/officeDocument/2006/relationships/hyperlink" Target="https://www.gem.wiki/Ohio_Pipeline_Energy_Network_(OPEN)_Gas_Pipeline" TargetMode="External"/><Relationship Id="rId818" Type="http://schemas.openxmlformats.org/officeDocument/2006/relationships/hyperlink" Target="https://www.gem.wiki/Abu_Ali-Berri_gas_pipeline" TargetMode="External"/><Relationship Id="rId1448" Type="http://schemas.openxmlformats.org/officeDocument/2006/relationships/hyperlink" Target="https://gem.wiki/LSF&#8211;Extra_Gas_Pipeline" TargetMode="External"/><Relationship Id="rId1655" Type="http://schemas.openxmlformats.org/officeDocument/2006/relationships/hyperlink" Target="https://www.gem.wiki/ANR_Gas_Pipeline" TargetMode="External"/><Relationship Id="rId2706" Type="http://schemas.openxmlformats.org/officeDocument/2006/relationships/hyperlink" Target="https://www.gem.wiki/Columbia_Gas_Transmission" TargetMode="External"/><Relationship Id="rId1308" Type="http://schemas.openxmlformats.org/officeDocument/2006/relationships/hyperlink" Target="https://www.gem.wiki/Kochi-Koottanad-Bangalore-Mangalore_Gas_Pipeline" TargetMode="External"/><Relationship Id="rId1862" Type="http://schemas.openxmlformats.org/officeDocument/2006/relationships/hyperlink" Target="https://www.gem.wiki/El_Tina_Abou_Sultan_New_Administrative_Capital_Gas_Pipeline" TargetMode="External"/><Relationship Id="rId2913" Type="http://schemas.openxmlformats.org/officeDocument/2006/relationships/hyperlink" Target="https://www.gem.wiki/Sichuan%E2%80%93Shanghai_Parallel_Gas_Pipeline" TargetMode="External"/><Relationship Id="rId1515" Type="http://schemas.openxmlformats.org/officeDocument/2006/relationships/hyperlink" Target="https://gem.wiki/Ravenstein&#8211;Ewijk_Gas_Pipeline" TargetMode="External"/><Relationship Id="rId1722" Type="http://schemas.openxmlformats.org/officeDocument/2006/relationships/hyperlink" Target="https://www.gem.wiki/Yokohama_Transmission_Line" TargetMode="External"/><Relationship Id="rId14" Type="http://schemas.openxmlformats.org/officeDocument/2006/relationships/hyperlink" Target="https://www.gem.wiki/Atlantic_Sunrise_Gas_Pipeline" TargetMode="External"/><Relationship Id="rId2289" Type="http://schemas.openxmlformats.org/officeDocument/2006/relationships/hyperlink" Target="https://www.gem.wiki/Gasoducto_Noroccidente" TargetMode="External"/><Relationship Id="rId2496" Type="http://schemas.openxmlformats.org/officeDocument/2006/relationships/hyperlink" Target="https://www.gem.wiki/Vergara-Irun_Gas_Pipeline" TargetMode="External"/><Relationship Id="rId468" Type="http://schemas.openxmlformats.org/officeDocument/2006/relationships/hyperlink" Target="https://www.gem.wiki/Bangabandu_Bridge_Gas_Pipeline" TargetMode="External"/><Relationship Id="rId675" Type="http://schemas.openxmlformats.org/officeDocument/2006/relationships/hyperlink" Target="https://www.gem.wiki/Sean_Field%E2%80%93Bacton_Pipeline" TargetMode="External"/><Relationship Id="rId882" Type="http://schemas.openxmlformats.org/officeDocument/2006/relationships/hyperlink" Target="https://www.gem.wiki/Gasoducto_Santa_Cruz_Sur" TargetMode="External"/><Relationship Id="rId1098" Type="http://schemas.openxmlformats.org/officeDocument/2006/relationships/hyperlink" Target="https://www.gem.wiki/Mokrous-Samara-Tolyatti_Gas_Pipeline" TargetMode="External"/><Relationship Id="rId2149" Type="http://schemas.openxmlformats.org/officeDocument/2006/relationships/hyperlink" Target="https://www.gem.wiki/Eastern_Goldfields_Pipeline_System" TargetMode="External"/><Relationship Id="rId2356" Type="http://schemas.openxmlformats.org/officeDocument/2006/relationships/hyperlink" Target="https://www.gem.wiki/Trans-Iraqi-Daura_Gas_Pipeline" TargetMode="External"/><Relationship Id="rId2563" Type="http://schemas.openxmlformats.org/officeDocument/2006/relationships/hyperlink" Target="https://www.gem.wiki/Montesano-Buccino_Gas_Pipeline" TargetMode="External"/><Relationship Id="rId2770" Type="http://schemas.openxmlformats.org/officeDocument/2006/relationships/hyperlink" Target="https://www.gem.wiki/Hebei-Nanjing_Connecting_Pipeline" TargetMode="External"/><Relationship Id="rId328" Type="http://schemas.openxmlformats.org/officeDocument/2006/relationships/hyperlink" Target="https://www.gem.wiki/WHP-6-Ras_Laffan_gas_pipeline" TargetMode="External"/><Relationship Id="rId535" Type="http://schemas.openxmlformats.org/officeDocument/2006/relationships/hyperlink" Target="https://www.gem.wiki/Badak-Bontang_Gas_Pipeline" TargetMode="External"/><Relationship Id="rId742" Type="http://schemas.openxmlformats.org/officeDocument/2006/relationships/hyperlink" Target="https://www.gem.wiki/Gasoducto_Amistad-Bajo_Alto" TargetMode="External"/><Relationship Id="rId1165" Type="http://schemas.openxmlformats.org/officeDocument/2006/relationships/hyperlink" Target="https://www.gem.wiki/Demirciler-Adapazar%C4%B1-D%C3%BCzce_Gas_Pipeline" TargetMode="External"/><Relationship Id="rId1372" Type="http://schemas.openxmlformats.org/officeDocument/2006/relationships/hyperlink" Target="https://gem.wiki/Ciciliano&#8211;Melizzano_Gas_Pipeline" TargetMode="External"/><Relationship Id="rId2009" Type="http://schemas.openxmlformats.org/officeDocument/2006/relationships/hyperlink" Target="https://www.gem.wiki/Troll%E2%80%93Kollsnes_Gas_Pipeline" TargetMode="External"/><Relationship Id="rId2216" Type="http://schemas.openxmlformats.org/officeDocument/2006/relationships/hyperlink" Target="https://www.gem.wiki/Southeast_Gateway_Gas_Pipeline" TargetMode="External"/><Relationship Id="rId2423" Type="http://schemas.openxmlformats.org/officeDocument/2006/relationships/hyperlink" Target="https://www.gem.wiki/Sheikhupura-Gujranwala_Gas_Pipeline" TargetMode="External"/><Relationship Id="rId2630" Type="http://schemas.openxmlformats.org/officeDocument/2006/relationships/hyperlink" Target="https://www.gem.wiki/Romanian_National_Transmission_System" TargetMode="External"/><Relationship Id="rId602" Type="http://schemas.openxmlformats.org/officeDocument/2006/relationships/hyperlink" Target="https://www.gem.wiki/West_Kalimantan-Central_Kalimantan_Gas_Pipeline" TargetMode="External"/><Relationship Id="rId1025" Type="http://schemas.openxmlformats.org/officeDocument/2006/relationships/hyperlink" Target="https://www.gem.wiki/Energia_Mayakan_Pipeline" TargetMode="External"/><Relationship Id="rId1232" Type="http://schemas.openxmlformats.org/officeDocument/2006/relationships/hyperlink" Target="https://www.gem.wiki/Transcontinental_Gas_Pipeline" TargetMode="External"/><Relationship Id="rId3197" Type="http://schemas.openxmlformats.org/officeDocument/2006/relationships/hyperlink" Target="https://www.gem.wiki/Guizhou_Gas_Pipeline_Network" TargetMode="External"/><Relationship Id="rId3057" Type="http://schemas.openxmlformats.org/officeDocument/2006/relationships/hyperlink" Target="https://www.gem.wiki/Henan_Gas_Pipeline_Network" TargetMode="External"/><Relationship Id="rId185" Type="http://schemas.openxmlformats.org/officeDocument/2006/relationships/hyperlink" Target="https://www.gem.wiki/Cheyenne_Connector_Pipeline" TargetMode="External"/><Relationship Id="rId1909" Type="http://schemas.openxmlformats.org/officeDocument/2006/relationships/hyperlink" Target="https://www.gem.wiki/Gulf_Run_Pipeline" TargetMode="External"/><Relationship Id="rId3264" Type="http://schemas.openxmlformats.org/officeDocument/2006/relationships/hyperlink" Target="https://www.gem.wiki/Chongqing_Gas_Pipeline_Network" TargetMode="External"/><Relationship Id="rId392" Type="http://schemas.openxmlformats.org/officeDocument/2006/relationships/hyperlink" Target="https://www.gem.wiki/WEDAL_Gas_Pipeline" TargetMode="External"/><Relationship Id="rId2073" Type="http://schemas.openxmlformats.org/officeDocument/2006/relationships/hyperlink" Target="https://www.gem.wiki/Jaroslaw-Rozwad%C3%B3w_Gas_Pipeline" TargetMode="External"/><Relationship Id="rId2280" Type="http://schemas.openxmlformats.org/officeDocument/2006/relationships/hyperlink" Target="https://www.gem.wiki/Gazli-Kagan_Gas_Pipeline" TargetMode="External"/><Relationship Id="rId3124" Type="http://schemas.openxmlformats.org/officeDocument/2006/relationships/hyperlink" Target="https://www.gem.wiki/Hunan_Gas_Pipeline_Network" TargetMode="External"/><Relationship Id="rId3331" Type="http://schemas.openxmlformats.org/officeDocument/2006/relationships/hyperlink" Target="https://www.gem.wiki/Heilongjiang_Natural_Gas_Pipeline_Network" TargetMode="External"/><Relationship Id="rId252" Type="http://schemas.openxmlformats.org/officeDocument/2006/relationships/hyperlink" Target="https://www.gem.wiki/Villa_de_Reyes-Aguascalientes-Guadalajara_Gas_Pipeline" TargetMode="External"/><Relationship Id="rId2140" Type="http://schemas.openxmlformats.org/officeDocument/2006/relationships/hyperlink" Target="https://www.gem.wiki/Dingo_Gas_Field_Pipeline" TargetMode="External"/><Relationship Id="rId112" Type="http://schemas.openxmlformats.org/officeDocument/2006/relationships/hyperlink" Target="https://www.gem.wiki/Texas_Eastern_Appalachia_to_Market_(TEAM)_Gas_Pipeline" TargetMode="External"/><Relationship Id="rId1699" Type="http://schemas.openxmlformats.org/officeDocument/2006/relationships/hyperlink" Target="https://www.gem.wiki/Western_Slopes_Pipeline" TargetMode="External"/><Relationship Id="rId2000" Type="http://schemas.openxmlformats.org/officeDocument/2006/relationships/hyperlink" Target="https://www.gem.wiki/Draugen_Gas_Export_Pipeline" TargetMode="External"/><Relationship Id="rId2957" Type="http://schemas.openxmlformats.org/officeDocument/2006/relationships/hyperlink" Target="https://www.gem.wiki/Huizhou_LNG_Terminal_Transport_Pipeline" TargetMode="External"/><Relationship Id="rId929" Type="http://schemas.openxmlformats.org/officeDocument/2006/relationships/hyperlink" Target="https://www.gem.wiki/Reedy_Creek_Wallumbilla_Pipeline" TargetMode="External"/><Relationship Id="rId1559" Type="http://schemas.openxmlformats.org/officeDocument/2006/relationships/hyperlink" Target="https://gem.wiki/Vastogirardi&#8211;Campochiaro_Gas_Pipeline" TargetMode="External"/><Relationship Id="rId1766" Type="http://schemas.openxmlformats.org/officeDocument/2006/relationships/hyperlink" Target="https://www.gem.wiki/Cuiab%C3%A1_Pipeline" TargetMode="External"/><Relationship Id="rId1973" Type="http://schemas.openxmlformats.org/officeDocument/2006/relationships/hyperlink" Target="https://www.gem.wiki/Daly_Waters_to_McArthur_River_Gas_Pipeline" TargetMode="External"/><Relationship Id="rId2817" Type="http://schemas.openxmlformats.org/officeDocument/2006/relationships/hyperlink" Target="https://www.gem.wiki/CNPC_Sichuan_%26_Chongqing_Gas_Pipeline_Network" TargetMode="External"/><Relationship Id="rId58" Type="http://schemas.openxmlformats.org/officeDocument/2006/relationships/hyperlink" Target="https://www.gem.wiki/Horn_River_Gas_Pipeline" TargetMode="External"/><Relationship Id="rId1419" Type="http://schemas.openxmlformats.org/officeDocument/2006/relationships/hyperlink" Target="https://gem.wiki/Swinoujscie&#8211;Goleniow_Gas_Pipeline" TargetMode="External"/><Relationship Id="rId1626" Type="http://schemas.openxmlformats.org/officeDocument/2006/relationships/hyperlink" Target="https://www.gem.wiki/Anaco-Puerto_La_Cruz_Gas_Pipeline" TargetMode="External"/><Relationship Id="rId1833" Type="http://schemas.openxmlformats.org/officeDocument/2006/relationships/hyperlink" Target="https://www.gem.wiki/Ghana%E2%80%93C%C3%B4te_d%27Ivoire_Gas_Pipeline" TargetMode="External"/><Relationship Id="rId1900" Type="http://schemas.openxmlformats.org/officeDocument/2006/relationships/hyperlink" Target="https://www.gem.wiki/Bang_Pakong-Wang_Noi_Gas_Pipeline" TargetMode="External"/><Relationship Id="rId579" Type="http://schemas.openxmlformats.org/officeDocument/2006/relationships/hyperlink" Target="https://www.gem.wiki/Dashava-Kiev-Bryansk-Moscow_Gas_Pipeline" TargetMode="External"/><Relationship Id="rId786" Type="http://schemas.openxmlformats.org/officeDocument/2006/relationships/hyperlink" Target="https://www.gem.wiki/Rumuji_Node-Bonny_gas_pipeline" TargetMode="External"/><Relationship Id="rId993" Type="http://schemas.openxmlformats.org/officeDocument/2006/relationships/hyperlink" Target="https://www.gem.wiki/Ethiopia%E2%80%93Djibouti_Gas_Pipeline" TargetMode="External"/><Relationship Id="rId2467" Type="http://schemas.openxmlformats.org/officeDocument/2006/relationships/hyperlink" Target="https://www.gem.wiki/Sakhakot-Swat_Gas_Pipeline" TargetMode="External"/><Relationship Id="rId2674" Type="http://schemas.openxmlformats.org/officeDocument/2006/relationships/hyperlink" Target="https://www.gem.wiki/Echt%E2%80%93Puth_Schinnen_Gas_Pipeline" TargetMode="External"/><Relationship Id="rId439" Type="http://schemas.openxmlformats.org/officeDocument/2006/relationships/hyperlink" Target="https://www.gem.wiki/Rozdilna-Izmail_Gas_Pipeline" TargetMode="External"/><Relationship Id="rId646" Type="http://schemas.openxmlformats.org/officeDocument/2006/relationships/hyperlink" Target="https://www.gem.wiki/Beigang_Liaison_Tube" TargetMode="External"/><Relationship Id="rId1069" Type="http://schemas.openxmlformats.org/officeDocument/2006/relationships/hyperlink" Target="https://www.gem.wiki/Dolgoderevenskoye-Sysert_Gas_Pipeline" TargetMode="External"/><Relationship Id="rId1276" Type="http://schemas.openxmlformats.org/officeDocument/2006/relationships/hyperlink" Target="https://www.gem.wiki/Cordillerano-Patag%C3%B3nico_Gas_Pipeline" TargetMode="External"/><Relationship Id="rId1483" Type="http://schemas.openxmlformats.org/officeDocument/2006/relationships/hyperlink" Target="https://gem.wiki/Montoir&#8211;Donges_Gas_Pipeline" TargetMode="External"/><Relationship Id="rId2327" Type="http://schemas.openxmlformats.org/officeDocument/2006/relationships/hyperlink" Target="https://www.gem.wiki/Florida_Gas_Transmission_Pipeline" TargetMode="External"/><Relationship Id="rId2881" Type="http://schemas.openxmlformats.org/officeDocument/2006/relationships/hyperlink" Target="https://www.gem.wiki/Shanxi_Natural_Gas_Pipeline_Network" TargetMode="External"/><Relationship Id="rId506" Type="http://schemas.openxmlformats.org/officeDocument/2006/relationships/hyperlink" Target="https://www.gem.wiki/Route_4a_Gas_Pipeline" TargetMode="External"/><Relationship Id="rId853" Type="http://schemas.openxmlformats.org/officeDocument/2006/relationships/hyperlink" Target="https://www.gem.wiki/Mountaineer_Gas_Pipeline" TargetMode="External"/><Relationship Id="rId1136" Type="http://schemas.openxmlformats.org/officeDocument/2006/relationships/hyperlink" Target="https://www.gem.wiki/Tuymazy-Ufa_Gas_Pipeline" TargetMode="External"/><Relationship Id="rId1690" Type="http://schemas.openxmlformats.org/officeDocument/2006/relationships/hyperlink" Target="https://www.gem.wiki/Trans-Bay_Gas_Pipeline" TargetMode="External"/><Relationship Id="rId2534" Type="http://schemas.openxmlformats.org/officeDocument/2006/relationships/hyperlink" Target="https://www.gem.wiki/Dusseldorf-Paffrath_Gas_Pipeline" TargetMode="External"/><Relationship Id="rId2741" Type="http://schemas.openxmlformats.org/officeDocument/2006/relationships/hyperlink" Target="https://www.gem.wiki/Sino-Myanmar_Gas_Pipeline" TargetMode="External"/><Relationship Id="rId713" Type="http://schemas.openxmlformats.org/officeDocument/2006/relationships/hyperlink" Target="https://www.gem.wiki/Komotini-Thesprotia_Gas_Pipeline" TargetMode="External"/><Relationship Id="rId920" Type="http://schemas.openxmlformats.org/officeDocument/2006/relationships/hyperlink" Target="https://www.gem.wiki/Pilbara_Pipeline_System" TargetMode="External"/><Relationship Id="rId1343" Type="http://schemas.openxmlformats.org/officeDocument/2006/relationships/hyperlink" Target="https://gem.wiki/Biccari&#8211;Candela_Gas_Pipeline" TargetMode="External"/><Relationship Id="rId1550" Type="http://schemas.openxmlformats.org/officeDocument/2006/relationships/hyperlink" Target="https://gem.wiki/Terranuova_Bracciolini&#8211;Livorno_Gas_Pipeline" TargetMode="External"/><Relationship Id="rId2601" Type="http://schemas.openxmlformats.org/officeDocument/2006/relationships/hyperlink" Target="https://www.gem.wiki/Mazara_del_Vallo-Gagliano_Gas_Pipeline" TargetMode="External"/><Relationship Id="rId1203" Type="http://schemas.openxmlformats.org/officeDocument/2006/relationships/hyperlink" Target="https://www.gem.wiki/Transcontinental_Gas_Pipeline" TargetMode="External"/><Relationship Id="rId1410" Type="http://schemas.openxmlformats.org/officeDocument/2006/relationships/hyperlink" Target="https://gem.wiki/Gallese_Civita_Cast&#8211;Oricola_Gas_Pipeline" TargetMode="External"/><Relationship Id="rId3168" Type="http://schemas.openxmlformats.org/officeDocument/2006/relationships/hyperlink" Target="https://www.gem.wiki/Nanjing-Wuhu_gas_pipeline" TargetMode="External"/><Relationship Id="rId296" Type="http://schemas.openxmlformats.org/officeDocument/2006/relationships/hyperlink" Target="https://www.gem.wiki/Obaiyed-Amreya_Northern_Gas_Pipeline" TargetMode="External"/><Relationship Id="rId2184" Type="http://schemas.openxmlformats.org/officeDocument/2006/relationships/hyperlink" Target="https://www.gem.wiki/Kysyl-Syr-Amga-Ayan_Gas_Pipeline" TargetMode="External"/><Relationship Id="rId2391" Type="http://schemas.openxmlformats.org/officeDocument/2006/relationships/hyperlink" Target="https://www.gem.wiki/AV22-Kot_Addu_Gas_Pipeline" TargetMode="External"/><Relationship Id="rId3028" Type="http://schemas.openxmlformats.org/officeDocument/2006/relationships/hyperlink" Target="https://www.gem.wiki/Jiangxi_Natural_Gas_Pipeline_Network" TargetMode="External"/><Relationship Id="rId3235" Type="http://schemas.openxmlformats.org/officeDocument/2006/relationships/hyperlink" Target="https://www.gem.wiki/Liaoning_Gas_Pipeline_Network" TargetMode="External"/><Relationship Id="rId156" Type="http://schemas.openxmlformats.org/officeDocument/2006/relationships/hyperlink" Target="https://www.gem.wiki/CJ_Express_Pipeline" TargetMode="External"/><Relationship Id="rId363" Type="http://schemas.openxmlformats.org/officeDocument/2006/relationships/hyperlink" Target="https://www.gem.wiki/Zeebrugge%E2%80%93Bacton_Gas_Pipeline" TargetMode="External"/><Relationship Id="rId570" Type="http://schemas.openxmlformats.org/officeDocument/2006/relationships/hyperlink" Target="https://www.gem.wiki/Shebelinka-Poltava-Kiev_Gas_Pipeline" TargetMode="External"/><Relationship Id="rId2044" Type="http://schemas.openxmlformats.org/officeDocument/2006/relationships/hyperlink" Target="https://www.gem.wiki/Santo_Ant%C3%B4nio_dos_Lopes-Barcarena_Gas_Pipeline" TargetMode="External"/><Relationship Id="rId2251" Type="http://schemas.openxmlformats.org/officeDocument/2006/relationships/hyperlink" Target="https://www.gem.wiki/Salman%E2%80%93Siri_Gas_Pipeline" TargetMode="External"/><Relationship Id="rId3302" Type="http://schemas.openxmlformats.org/officeDocument/2006/relationships/hyperlink" Target="https://www.gem.wiki/China%E2%80%93Russia_East_Pipeline" TargetMode="External"/><Relationship Id="rId223" Type="http://schemas.openxmlformats.org/officeDocument/2006/relationships/hyperlink" Target="https://www.gem.wiki/Gasoducto_L%C3%A1zaro_C%C3%A1rdenas-Acapulco" TargetMode="External"/><Relationship Id="rId430" Type="http://schemas.openxmlformats.org/officeDocument/2006/relationships/hyperlink" Target="https://www.gem.wiki/Yelets_Kursk_Dykanka_Pipeline" TargetMode="External"/><Relationship Id="rId1060" Type="http://schemas.openxmlformats.org/officeDocument/2006/relationships/hyperlink" Target="https://www.gem.wiki/Belousovo-Leningrad_Gas_Pipeline" TargetMode="External"/><Relationship Id="rId2111" Type="http://schemas.openxmlformats.org/officeDocument/2006/relationships/hyperlink" Target="https://www.gem.wiki/Nova_Gas_Transmission_(NGTL)_Pipeline" TargetMode="External"/><Relationship Id="rId1877" Type="http://schemas.openxmlformats.org/officeDocument/2006/relationships/hyperlink" Target="https://www.gem.wiki/Anjar-Chotila_Gas_Pipeline" TargetMode="External"/><Relationship Id="rId2928" Type="http://schemas.openxmlformats.org/officeDocument/2006/relationships/hyperlink" Target="https://www.gem.wiki/Guangdong_Gas_Pipeline_Network_Phase_I" TargetMode="External"/><Relationship Id="rId1737" Type="http://schemas.openxmlformats.org/officeDocument/2006/relationships/hyperlink" Target="https://www.gem.wiki/KG_Basin_Gas_Pipeline" TargetMode="External"/><Relationship Id="rId1944" Type="http://schemas.openxmlformats.org/officeDocument/2006/relationships/hyperlink" Target="https://www.gem.wiki/Sai_Noi-South_Bangkok_Gas_Pipeline" TargetMode="External"/><Relationship Id="rId3092" Type="http://schemas.openxmlformats.org/officeDocument/2006/relationships/hyperlink" Target="https://www.gem.wiki/Zhejiang_Natural_Gas_Pipeline_Network" TargetMode="External"/><Relationship Id="rId29" Type="http://schemas.openxmlformats.org/officeDocument/2006/relationships/hyperlink" Target="https://www.gem.wiki/Constitution_Gas_Pipeline" TargetMode="External"/><Relationship Id="rId1804" Type="http://schemas.openxmlformats.org/officeDocument/2006/relationships/hyperlink" Target="https://www.gem.wiki/Low_Pressure_Gujarat_Gas_Grid_Network" TargetMode="External"/><Relationship Id="rId897" Type="http://schemas.openxmlformats.org/officeDocument/2006/relationships/hyperlink" Target="https://www.gem.wiki/North-South_Gas_Transmission_Pipeline" TargetMode="External"/><Relationship Id="rId2578" Type="http://schemas.openxmlformats.org/officeDocument/2006/relationships/hyperlink" Target="https://www.gem.wiki/Flaibano-Gonars-Villesse_Gas_Pipeline" TargetMode="External"/><Relationship Id="rId2785" Type="http://schemas.openxmlformats.org/officeDocument/2006/relationships/hyperlink" Target="https://www.gem.wiki/Inner_Mongolia_Gas_Pipeline_Network" TargetMode="External"/><Relationship Id="rId2992" Type="http://schemas.openxmlformats.org/officeDocument/2006/relationships/hyperlink" Target="https://www.gem.wiki/Tarim_Basin_Rim_Gas_Pipeline_Network" TargetMode="External"/><Relationship Id="rId757" Type="http://schemas.openxmlformats.org/officeDocument/2006/relationships/hyperlink" Target="https://www.gem.wiki/Bouri-Bahr_Assalam_gas_pipeline" TargetMode="External"/><Relationship Id="rId964" Type="http://schemas.openxmlformats.org/officeDocument/2006/relationships/hyperlink" Target="https://www.gem.wiki/Second_Joso_Gas_Pipeline" TargetMode="External"/><Relationship Id="rId1387" Type="http://schemas.openxmlformats.org/officeDocument/2006/relationships/hyperlink" Target="https://gem.wiki/Echt&#8211;Nederweert_Gas_Pipeline" TargetMode="External"/><Relationship Id="rId1594" Type="http://schemas.openxmlformats.org/officeDocument/2006/relationships/hyperlink" Target="https://www.gem.wiki/Carrasco-Cochabamba_Gas_Pipeline" TargetMode="External"/><Relationship Id="rId2438" Type="http://schemas.openxmlformats.org/officeDocument/2006/relationships/hyperlink" Target="https://www.gem.wiki/Qatargas_Ras_Laffan_Gas_Pipelines" TargetMode="External"/><Relationship Id="rId2645" Type="http://schemas.openxmlformats.org/officeDocument/2006/relationships/hyperlink" Target="https://www.gem.wiki/Poznan-Krobia_Gas_Pipeline" TargetMode="External"/><Relationship Id="rId2852" Type="http://schemas.openxmlformats.org/officeDocument/2006/relationships/hyperlink" Target="https://www.gem.wiki/Shandong_LNG_Terminal_Transport_Pipeline_Phase_II" TargetMode="External"/><Relationship Id="rId93" Type="http://schemas.openxmlformats.org/officeDocument/2006/relationships/hyperlink" Target="https://www.gem.wiki/Port_Arthur_Gas_Pipeline" TargetMode="External"/><Relationship Id="rId617" Type="http://schemas.openxmlformats.org/officeDocument/2006/relationships/hyperlink" Target="https://www.gem.wiki/Kawachi_Pipeline" TargetMode="External"/><Relationship Id="rId824" Type="http://schemas.openxmlformats.org/officeDocument/2006/relationships/hyperlink" Target="https://www.gem.wiki/Muscar-Soto_gas_pipeline" TargetMode="External"/><Relationship Id="rId1247" Type="http://schemas.openxmlformats.org/officeDocument/2006/relationships/hyperlink" Target="https://www.gem.wiki/El_Paso_Gas_Pipeline" TargetMode="External"/><Relationship Id="rId1454" Type="http://schemas.openxmlformats.org/officeDocument/2006/relationships/hyperlink" Target="https://gem.wiki/Lyon&#8211;Tersanne_Gas_Pipeline" TargetMode="External"/><Relationship Id="rId1661" Type="http://schemas.openxmlformats.org/officeDocument/2006/relationships/hyperlink" Target="https://www.gem.wiki/Gator_Express_Gas_Pipeline" TargetMode="External"/><Relationship Id="rId2505" Type="http://schemas.openxmlformats.org/officeDocument/2006/relationships/hyperlink" Target="https://www.gem.wiki/Genser_Natural_Gas_Pipeline_Network" TargetMode="External"/><Relationship Id="rId2712" Type="http://schemas.openxmlformats.org/officeDocument/2006/relationships/hyperlink" Target="https://www.gem.wiki/Oasis_Gas_Pipeline" TargetMode="External"/><Relationship Id="rId1107" Type="http://schemas.openxmlformats.org/officeDocument/2006/relationships/hyperlink" Target="https://www.gem.wiki/SRTO-Ural_II_Gas_Pipeline" TargetMode="External"/><Relationship Id="rId1314" Type="http://schemas.openxmlformats.org/officeDocument/2006/relationships/hyperlink" Target="https://gem.wiki/Alessandria&#8211;Cortemaggiore_Gas_Pipeline" TargetMode="External"/><Relationship Id="rId1521" Type="http://schemas.openxmlformats.org/officeDocument/2006/relationships/hyperlink" Target="https://gem.wiki/Riga&#8211;Daugavpils_Gas_Pipeline" TargetMode="External"/><Relationship Id="rId3279" Type="http://schemas.openxmlformats.org/officeDocument/2006/relationships/hyperlink" Target="https://www.gem.wiki/Shaanxi_Gas_Pipeline_Network" TargetMode="External"/><Relationship Id="rId20" Type="http://schemas.openxmlformats.org/officeDocument/2006/relationships/hyperlink" Target="https://www.gem.wiki/Mississippi_River_Transmission" TargetMode="External"/><Relationship Id="rId2088" Type="http://schemas.openxmlformats.org/officeDocument/2006/relationships/hyperlink" Target="https://www.gem.wiki/Mortlake_Gas_Pipeline" TargetMode="External"/><Relationship Id="rId2295" Type="http://schemas.openxmlformats.org/officeDocument/2006/relationships/hyperlink" Target="https://www.gem.wiki/Zaterechny-Velichaevskoe_Gas_Pipelinee" TargetMode="External"/><Relationship Id="rId3139" Type="http://schemas.openxmlformats.org/officeDocument/2006/relationships/hyperlink" Target="https://www.gem.wiki/Hunan_Gas_Pipeline_Network" TargetMode="External"/><Relationship Id="rId3346" Type="http://schemas.openxmlformats.org/officeDocument/2006/relationships/hyperlink" Target="https://www.gem.wiki/Shenmu-Anping_Coalbed_Gas_Pipeline" TargetMode="External"/><Relationship Id="rId267" Type="http://schemas.openxmlformats.org/officeDocument/2006/relationships/hyperlink" Target="https://www.gem.wiki/IGAT_9_Gas_Pipeline" TargetMode="External"/><Relationship Id="rId474" Type="http://schemas.openxmlformats.org/officeDocument/2006/relationships/hyperlink" Target="https://www.gem.wiki/Bonpara-Rajshahi_Gas_Pipeline" TargetMode="External"/><Relationship Id="rId2155" Type="http://schemas.openxmlformats.org/officeDocument/2006/relationships/hyperlink" Target="https://www.gem.wiki/Arish%E2%80%93Port_Said_Gas_Pipeline" TargetMode="External"/><Relationship Id="rId127" Type="http://schemas.openxmlformats.org/officeDocument/2006/relationships/hyperlink" Target="https://www.gem.wiki/Tuscarora_Gas_Pipeline" TargetMode="External"/><Relationship Id="rId681" Type="http://schemas.openxmlformats.org/officeDocument/2006/relationships/hyperlink" Target="https://www.gem.wiki/Erzurum-Sivas_Pipeline" TargetMode="External"/><Relationship Id="rId2362" Type="http://schemas.openxmlformats.org/officeDocument/2006/relationships/hyperlink" Target="https://www.gem.wiki/Ahangaran-Pungan_Gas_Pipeline" TargetMode="External"/><Relationship Id="rId3206" Type="http://schemas.openxmlformats.org/officeDocument/2006/relationships/hyperlink" Target="https://www.gem.wiki/Guizhou_Gas_Pipeline_Network" TargetMode="External"/><Relationship Id="rId334" Type="http://schemas.openxmlformats.org/officeDocument/2006/relationships/hyperlink" Target="https://www.gem.wiki/Bab-Habshan%E2%80%93Ruwais_gas_pipeline" TargetMode="External"/><Relationship Id="rId541" Type="http://schemas.openxmlformats.org/officeDocument/2006/relationships/hyperlink" Target="https://www.gem.wiki/Duri-Dumai_Gas_Pipeline" TargetMode="External"/><Relationship Id="rId1171" Type="http://schemas.openxmlformats.org/officeDocument/2006/relationships/hyperlink" Target="https://www.gem.wiki/Gulf_Coast_Southbound_Pipeline" TargetMode="External"/><Relationship Id="rId2015" Type="http://schemas.openxmlformats.org/officeDocument/2006/relationships/hyperlink" Target="https://www.gem.wiki/Dahej-Uran-Panvel-Dhabhol_Gas_Pipeline" TargetMode="External"/><Relationship Id="rId2222" Type="http://schemas.openxmlformats.org/officeDocument/2006/relationships/hyperlink" Target="https://www.gem.wiki/El_Wasta%E2%80%93Beni_Suef_Gas_Pipeline" TargetMode="External"/><Relationship Id="rId401" Type="http://schemas.openxmlformats.org/officeDocument/2006/relationships/hyperlink" Target="https://www.gem.wiki/Caspian_Coastal_Gas_Pipeline" TargetMode="External"/><Relationship Id="rId1031" Type="http://schemas.openxmlformats.org/officeDocument/2006/relationships/hyperlink" Target="https://www.gem.wiki/S%C3%A1sabe-Guaymas_Gas_Pipeline" TargetMode="External"/><Relationship Id="rId1988" Type="http://schemas.openxmlformats.org/officeDocument/2006/relationships/hyperlink" Target="https://www.gem.wiki/Svishtov_Gas_Pipeline" TargetMode="External"/><Relationship Id="rId1848" Type="http://schemas.openxmlformats.org/officeDocument/2006/relationships/hyperlink" Target="https://www.gem.wiki/Agartala_Regional_Gas_Network" TargetMode="External"/><Relationship Id="rId3063" Type="http://schemas.openxmlformats.org/officeDocument/2006/relationships/hyperlink" Target="https://www.gem.wiki/Henan_Gas_Pipeline_Network" TargetMode="External"/><Relationship Id="rId3270" Type="http://schemas.openxmlformats.org/officeDocument/2006/relationships/hyperlink" Target="https://www.gem.wiki/Yongqing-Tangshan-Qinhuangdao_Pipeline" TargetMode="External"/><Relationship Id="rId191" Type="http://schemas.openxmlformats.org/officeDocument/2006/relationships/hyperlink" Target="https://www.gem.wiki/B-System_Project_Pipeline" TargetMode="External"/><Relationship Id="rId1708" Type="http://schemas.openxmlformats.org/officeDocument/2006/relationships/hyperlink" Target="https://www.gem.wiki/Florida_Gas_Transmission_Pipeline" TargetMode="External"/><Relationship Id="rId1915" Type="http://schemas.openxmlformats.org/officeDocument/2006/relationships/hyperlink" Target="https://www.gem.wiki/North_East_Natural_Gas_Pipeline_Grid_Project" TargetMode="External"/><Relationship Id="rId3130" Type="http://schemas.openxmlformats.org/officeDocument/2006/relationships/hyperlink" Target="https://www.gem.wiki/Hunan_Gas_Pipeline_Network" TargetMode="External"/><Relationship Id="rId2689" Type="http://schemas.openxmlformats.org/officeDocument/2006/relationships/hyperlink" Target="https://www.gem.wiki/Melizzano%E2%80%93Benevento_Gas_Pipeline" TargetMode="External"/><Relationship Id="rId2896" Type="http://schemas.openxmlformats.org/officeDocument/2006/relationships/hyperlink" Target="https://www.gem.wiki/Sichuan%E2%80%93Shanghai_Gas_Pipeline" TargetMode="External"/><Relationship Id="rId868" Type="http://schemas.openxmlformats.org/officeDocument/2006/relationships/hyperlink" Target="https://www.gem.wiki/Medgaz_Gas_Pipeline" TargetMode="External"/><Relationship Id="rId1498" Type="http://schemas.openxmlformats.org/officeDocument/2006/relationships/hyperlink" Target="https://gem.wiki/Palagiano&#8211;Bernalda_Gas_Pipeline" TargetMode="External"/><Relationship Id="rId2549" Type="http://schemas.openxmlformats.org/officeDocument/2006/relationships/hyperlink" Target="https://www.gem.wiki/Steinitz-Brandov_Gas_Pipeline" TargetMode="External"/><Relationship Id="rId2756" Type="http://schemas.openxmlformats.org/officeDocument/2006/relationships/hyperlink" Target="https://www.gem.wiki/Yunnan_Gas_Pipeline_Network" TargetMode="External"/><Relationship Id="rId2963" Type="http://schemas.openxmlformats.org/officeDocument/2006/relationships/hyperlink" Target="https://www.gem.wiki/Guangxi_LNG_Terminal_Transport_Pipeline" TargetMode="External"/><Relationship Id="rId728" Type="http://schemas.openxmlformats.org/officeDocument/2006/relationships/hyperlink" Target="https://www.gem.wiki/Siret-Khotyn_Gas_Pipeline" TargetMode="External"/><Relationship Id="rId935" Type="http://schemas.openxmlformats.org/officeDocument/2006/relationships/hyperlink" Target="https://www.gem.wiki/Kinki_Trunk_Line_Bay_Line" TargetMode="External"/><Relationship Id="rId1358" Type="http://schemas.openxmlformats.org/officeDocument/2006/relationships/hyperlink" Target="https://gem.wiki/Campagna_Lupia&#8211;Ravenna_Terra_Gas_Pipeline" TargetMode="External"/><Relationship Id="rId1565" Type="http://schemas.openxmlformats.org/officeDocument/2006/relationships/hyperlink" Target="https://gem.wiki/Villar_de_Arnedo&#8211;Haro_Gas_Pipeline" TargetMode="External"/><Relationship Id="rId1772" Type="http://schemas.openxmlformats.org/officeDocument/2006/relationships/hyperlink" Target="https://www.gem.wiki/Point_Comfort_Pipeline" TargetMode="External"/><Relationship Id="rId2409" Type="http://schemas.openxmlformats.org/officeDocument/2006/relationships/hyperlink" Target="https://www.gem.wiki/Leudelange-Mertert_Gas_Pipeline" TargetMode="External"/><Relationship Id="rId2616" Type="http://schemas.openxmlformats.org/officeDocument/2006/relationships/hyperlink" Target="https://www.gem.wiki/Rogatec-Novo_Mesto_Gas_Pipeline" TargetMode="External"/><Relationship Id="rId64" Type="http://schemas.openxmlformats.org/officeDocument/2006/relationships/hyperlink" Target="https://www.gem.wiki/Leach_XPress_Gas_Pipeline" TargetMode="External"/><Relationship Id="rId1218" Type="http://schemas.openxmlformats.org/officeDocument/2006/relationships/hyperlink" Target="https://www.gem.wiki/Norte_Crossing_Pipeline" TargetMode="External"/><Relationship Id="rId1425" Type="http://schemas.openxmlformats.org/officeDocument/2006/relationships/hyperlink" Target="https://gem.wiki/Hostim&#8211;Malesovice_Gas_Pipeline" TargetMode="External"/><Relationship Id="rId2823" Type="http://schemas.openxmlformats.org/officeDocument/2006/relationships/hyperlink" Target="https://www.gem.wiki/Tianjin_Gas_Pipeline_Network" TargetMode="External"/><Relationship Id="rId1632" Type="http://schemas.openxmlformats.org/officeDocument/2006/relationships/hyperlink" Target="https://www.gem.wiki/Thi_Vai_Import_Terminal_Gas_Pipeline" TargetMode="External"/><Relationship Id="rId2199" Type="http://schemas.openxmlformats.org/officeDocument/2006/relationships/hyperlink" Target="https://www.gem.wiki/Tiguentourine/Hassi-Kifaf_Gas_Pipeline" TargetMode="External"/><Relationship Id="rId378" Type="http://schemas.openxmlformats.org/officeDocument/2006/relationships/hyperlink" Target="https://www.gem.wiki/United%20Kingdom%E2%80%93Northern_Ireland_Gas_Pipeline_(SNIP)" TargetMode="External"/><Relationship Id="rId585" Type="http://schemas.openxmlformats.org/officeDocument/2006/relationships/hyperlink" Target="https://www.gem.wiki/Maykop-Samur-Sochi_Pipeline" TargetMode="External"/><Relationship Id="rId792" Type="http://schemas.openxmlformats.org/officeDocument/2006/relationships/hyperlink" Target="https://www.gem.wiki/Amenam-Bonny_gas_pipeline" TargetMode="External"/><Relationship Id="rId2059" Type="http://schemas.openxmlformats.org/officeDocument/2006/relationships/hyperlink" Target="https://www.gem.wiki/Ennore-Tuticorn-Bengalaru_Gas_Pipeline" TargetMode="External"/><Relationship Id="rId2266" Type="http://schemas.openxmlformats.org/officeDocument/2006/relationships/hyperlink" Target="https://www.gem.wiki/Valley_Crossing_Pipeline" TargetMode="External"/><Relationship Id="rId2473" Type="http://schemas.openxmlformats.org/officeDocument/2006/relationships/hyperlink" Target="https://www.gem.wiki/Trans_Nigeria_Gas_Pipeline" TargetMode="External"/><Relationship Id="rId2680" Type="http://schemas.openxmlformats.org/officeDocument/2006/relationships/hyperlink" Target="https://www.gem.wiki/Karperi%E2%80%93Ampelia_Gas_Pipeline" TargetMode="External"/><Relationship Id="rId3317" Type="http://schemas.openxmlformats.org/officeDocument/2006/relationships/hyperlink" Target="https://www.hlj.gov.cn/n200/2020/1213/c35-11012253.html" TargetMode="External"/><Relationship Id="rId238" Type="http://schemas.openxmlformats.org/officeDocument/2006/relationships/hyperlink" Target="https://www.gem.wiki/Ramal_Tula_Gas_Pipeline" TargetMode="External"/><Relationship Id="rId445" Type="http://schemas.openxmlformats.org/officeDocument/2006/relationships/hyperlink" Target="https://www.gem.wiki/Petrovsk_Frolovo_Izobilnoye_Pipeline" TargetMode="External"/><Relationship Id="rId652" Type="http://schemas.openxmlformats.org/officeDocument/2006/relationships/hyperlink" Target="https://www.gem.wiki/Shizuhama_Trunk_Line" TargetMode="External"/><Relationship Id="rId1075" Type="http://schemas.openxmlformats.org/officeDocument/2006/relationships/hyperlink" Target="https://www.gem.wiki/Soka-Yashio_Gas_Pipeline" TargetMode="External"/><Relationship Id="rId1282" Type="http://schemas.openxmlformats.org/officeDocument/2006/relationships/hyperlink" Target="https://www.gem.wiki/Bolivia%E2%80%93Paraguay_Gas_Pipeline" TargetMode="External"/><Relationship Id="rId2126" Type="http://schemas.openxmlformats.org/officeDocument/2006/relationships/hyperlink" Target="https://www.gem.wiki/Galilee_Gas_Pipeline" TargetMode="External"/><Relationship Id="rId2333" Type="http://schemas.openxmlformats.org/officeDocument/2006/relationships/hyperlink" Target="https://www.gem.wiki/Pearl_North_Field_Gas_Pipelines" TargetMode="External"/><Relationship Id="rId2540" Type="http://schemas.openxmlformats.org/officeDocument/2006/relationships/hyperlink" Target="https://www.gem.wiki/Karlsruhe-Ulm_Gas_Pipeline" TargetMode="External"/><Relationship Id="rId305" Type="http://schemas.openxmlformats.org/officeDocument/2006/relationships/hyperlink" Target="https://www.gem.wiki/Escravos-Warri-Oben_Gas_Pipeline" TargetMode="External"/><Relationship Id="rId512" Type="http://schemas.openxmlformats.org/officeDocument/2006/relationships/hyperlink" Target="https://www.gem.wiki/Chasco_Bay-Vallenar_Gas_Pipeline" TargetMode="External"/><Relationship Id="rId1142" Type="http://schemas.openxmlformats.org/officeDocument/2006/relationships/hyperlink" Target="https://www.gem.wiki/Yurga-Novosibirsk_Gas_Pipeline" TargetMode="External"/><Relationship Id="rId2400" Type="http://schemas.openxmlformats.org/officeDocument/2006/relationships/hyperlink" Target="https://www.gem.wiki/Bolshoy_Kamen-Vrangel_Gas_Pipeline" TargetMode="External"/><Relationship Id="rId1002" Type="http://schemas.openxmlformats.org/officeDocument/2006/relationships/hyperlink" Target="https://www.gem.wiki/Jubilee%E2%80%93Atuabo_Gas_Pipeline" TargetMode="External"/><Relationship Id="rId1959" Type="http://schemas.openxmlformats.org/officeDocument/2006/relationships/hyperlink" Target="https://www.gem.wiki/Amadeus_Gas_Pipeline" TargetMode="External"/><Relationship Id="rId3174" Type="http://schemas.openxmlformats.org/officeDocument/2006/relationships/hyperlink" Target="https://www.gem.wiki/West-East_Gas_Pipeline_3" TargetMode="External"/><Relationship Id="rId1819" Type="http://schemas.openxmlformats.org/officeDocument/2006/relationships/hyperlink" Target="https://www.gem.wiki/Gasoducto_Tula-Villa_de_Reyes" TargetMode="External"/><Relationship Id="rId2190" Type="http://schemas.openxmlformats.org/officeDocument/2006/relationships/hyperlink" Target="https://sonatrach.com/wp-content/uploads/2022/01/DESCRIPTION-DU-RESEAU-DE-TRANSPORT-PAR-CANALISATION-DES-HYDROCARBURES-TARIF-DE-TRANSPORT-ANNEE-2022.pdf" TargetMode="External"/><Relationship Id="rId3034" Type="http://schemas.openxmlformats.org/officeDocument/2006/relationships/hyperlink" Target="https://www.gem.wiki/Jiangxi_Natural_Gas_Pipeline_Network" TargetMode="External"/><Relationship Id="rId3241" Type="http://schemas.openxmlformats.org/officeDocument/2006/relationships/hyperlink" Target="https://www.gem.wiki/Liaoning_Gas_Pipeline_Network" TargetMode="External"/><Relationship Id="rId162" Type="http://schemas.openxmlformats.org/officeDocument/2006/relationships/hyperlink" Target="https://www.gem.wiki/Buncombe_County_Pipeline" TargetMode="External"/><Relationship Id="rId2050" Type="http://schemas.openxmlformats.org/officeDocument/2006/relationships/hyperlink" Target="https://www.gem.wiki/Fortescue_River_Gas_Pipeline" TargetMode="External"/><Relationship Id="rId3101" Type="http://schemas.openxmlformats.org/officeDocument/2006/relationships/hyperlink" Target="https://www.gem.wiki/Hainan_Gas_Pipeline_Network" TargetMode="External"/><Relationship Id="rId979" Type="http://schemas.openxmlformats.org/officeDocument/2006/relationships/hyperlink" Target="https://www.gem.wiki/Shizuoka_Gas_Pipeline" TargetMode="External"/><Relationship Id="rId839" Type="http://schemas.openxmlformats.org/officeDocument/2006/relationships/hyperlink" Target="https://www.gem.wiki/Nova_Gas_Transmission_(NGTL)_Pipeline" TargetMode="External"/><Relationship Id="rId1469" Type="http://schemas.openxmlformats.org/officeDocument/2006/relationships/hyperlink" Target="https://gem.wiki/Melizzano&#8211;Benevento_Gas_Pipeline" TargetMode="External"/><Relationship Id="rId2867" Type="http://schemas.openxmlformats.org/officeDocument/2006/relationships/hyperlink" Target="https://www.gem.wiki/Yantai_LNG_Terminal_Transport_Pipeline" TargetMode="External"/><Relationship Id="rId1676" Type="http://schemas.openxmlformats.org/officeDocument/2006/relationships/hyperlink" Target="https://www.gem.wiki/Tamazunchale_Gas_Pipeline" TargetMode="External"/><Relationship Id="rId1883" Type="http://schemas.openxmlformats.org/officeDocument/2006/relationships/hyperlink" Target="https://www.gem.wiki/Serbia%E2%80%93Bosnia_Interconnector_Gas_Pipeline" TargetMode="External"/><Relationship Id="rId2727" Type="http://schemas.openxmlformats.org/officeDocument/2006/relationships/hyperlink" Target="https://www.gem.wiki/Ningxia_Gas_Pipeline_Network" TargetMode="External"/><Relationship Id="rId2934" Type="http://schemas.openxmlformats.org/officeDocument/2006/relationships/hyperlink" Target="https://www.gem.wiki/Chaozhou_LNG_Terminal_Transport_Pipeline" TargetMode="External"/><Relationship Id="rId906" Type="http://schemas.openxmlformats.org/officeDocument/2006/relationships/hyperlink" Target="https://www.gem.wiki/Panagiurishte-Pirdop_Gas_Pipeline" TargetMode="External"/><Relationship Id="rId1329" Type="http://schemas.openxmlformats.org/officeDocument/2006/relationships/hyperlink" Target="https://gem.wiki/Baneras&#8211;Pinasses_Gas_Pipeline" TargetMode="External"/><Relationship Id="rId1536" Type="http://schemas.openxmlformats.org/officeDocument/2006/relationships/hyperlink" Target="https://gem.wiki/Sergnano&#8211;Vigasio_Gas_Pipeline" TargetMode="External"/><Relationship Id="rId1743" Type="http://schemas.openxmlformats.org/officeDocument/2006/relationships/hyperlink" Target="https://www.gem.wiki/Trans_Thailand%E2%80%93Malaysia_Gas_Pipeline" TargetMode="External"/><Relationship Id="rId1950" Type="http://schemas.openxmlformats.org/officeDocument/2006/relationships/hyperlink" Target="https://www.gem.wiki/Contai-Paradip-Dattapulia_Gas_Pipeline" TargetMode="External"/><Relationship Id="rId35" Type="http://schemas.openxmlformats.org/officeDocument/2006/relationships/hyperlink" Target="https://www.gem.wiki/Driftwood_LNG_Pipeline" TargetMode="External"/><Relationship Id="rId1603" Type="http://schemas.openxmlformats.org/officeDocument/2006/relationships/hyperlink" Target="https://www.gem.wiki/Gasoducto_Yapacani-Colpa" TargetMode="External"/><Relationship Id="rId1810" Type="http://schemas.openxmlformats.org/officeDocument/2006/relationships/hyperlink" Target="https://www.gem.wiki/Gasoducto_Rosarito" TargetMode="External"/><Relationship Id="rId489" Type="http://schemas.openxmlformats.org/officeDocument/2006/relationships/hyperlink" Target="https://www.gem.wiki/Kutumbopur-Meghnaghat-Haripur_Transmission_Pipeline" TargetMode="External"/><Relationship Id="rId696" Type="http://schemas.openxmlformats.org/officeDocument/2006/relationships/hyperlink" Target="https://www.gem.wiki/Nord%E2%80%93West_Anbindungsleitung_Gas_Pipeline_(NOWAL)" TargetMode="External"/><Relationship Id="rId2377" Type="http://schemas.openxmlformats.org/officeDocument/2006/relationships/hyperlink" Target="https://www.gem.wiki/Qadirpur_Gas_Loopline" TargetMode="External"/><Relationship Id="rId2584" Type="http://schemas.openxmlformats.org/officeDocument/2006/relationships/hyperlink" Target="https://www.gem.wiki/Veruno-Bizzarone_Gas_Pipeline" TargetMode="External"/><Relationship Id="rId2791" Type="http://schemas.openxmlformats.org/officeDocument/2006/relationships/hyperlink" Target="https://www.gem.wiki/Inner_Mongolia_Gas_Pipeline_Network" TargetMode="External"/><Relationship Id="rId349" Type="http://schemas.openxmlformats.org/officeDocument/2006/relationships/hyperlink" Target="https://www.gem.wiki/Estonia%E2%80%93Latvia_Interconnection_(Vire%C5%A1i%E2%80%93Tallinn_pipeline)" TargetMode="External"/><Relationship Id="rId556" Type="http://schemas.openxmlformats.org/officeDocument/2006/relationships/hyperlink" Target="https://www.gem.wiki/Porong-Grati_Gas_Pipeline" TargetMode="External"/><Relationship Id="rId763" Type="http://schemas.openxmlformats.org/officeDocument/2006/relationships/hyperlink" Target="http://www.alwasatnews.com/news/639479.html" TargetMode="External"/><Relationship Id="rId1186" Type="http://schemas.openxmlformats.org/officeDocument/2006/relationships/hyperlink" Target="https://www.gem.wiki/Comanche_Trail_Pipeline" TargetMode="External"/><Relationship Id="rId1393" Type="http://schemas.openxmlformats.org/officeDocument/2006/relationships/hyperlink" Target="https://gem.wiki/Oswiecim&#8211;Pogorska_Wola_Gas_Pipeline" TargetMode="External"/><Relationship Id="rId2237" Type="http://schemas.openxmlformats.org/officeDocument/2006/relationships/hyperlink" Target="https://egyptoil-gas.com/wp-content/uploads/2020/03/The-Western-Desert-Egypt%E2%80%99s-Giant-Petroleum-Reservoir-.pdf" TargetMode="External"/><Relationship Id="rId2444" Type="http://schemas.openxmlformats.org/officeDocument/2006/relationships/hyperlink" Target="https://www.gem.wiki/Phool_Nagar-Dawood_Hercules_Gas_Loopline" TargetMode="External"/><Relationship Id="rId209" Type="http://schemas.openxmlformats.org/officeDocument/2006/relationships/hyperlink" Target="https://www.gem.wiki/Gasoducto_El_Encino-La_Laguna" TargetMode="External"/><Relationship Id="rId416" Type="http://schemas.openxmlformats.org/officeDocument/2006/relationships/hyperlink" Target="https://www.gem.wiki/Sakhalin-Khabarovsk-Vladivostok_Gas_Pipeline" TargetMode="External"/><Relationship Id="rId970" Type="http://schemas.openxmlformats.org/officeDocument/2006/relationships/hyperlink" Target="https://www.gem.wiki/South_West_Queensland_Pipeline" TargetMode="External"/><Relationship Id="rId1046" Type="http://schemas.openxmlformats.org/officeDocument/2006/relationships/hyperlink" Target="https://www.gem.wiki/Fahud-Sohar_Gas_Pipeline" TargetMode="External"/><Relationship Id="rId1253" Type="http://schemas.openxmlformats.org/officeDocument/2006/relationships/hyperlink" Target="https://www.gem.wiki/WB_Xpress_Gas_Pipeline" TargetMode="External"/><Relationship Id="rId2651" Type="http://schemas.openxmlformats.org/officeDocument/2006/relationships/hyperlink" Target="https://www.gem.wiki/Apatin-Paracin_Gas_Pipeline" TargetMode="External"/><Relationship Id="rId623" Type="http://schemas.openxmlformats.org/officeDocument/2006/relationships/hyperlink" Target="https://www.gem.wiki/Hakata_line" TargetMode="External"/><Relationship Id="rId830" Type="http://schemas.openxmlformats.org/officeDocument/2006/relationships/hyperlink" Target="https://www.gem.wiki/Atlantic_Bridge_Gas_Pipeline" TargetMode="External"/><Relationship Id="rId1460" Type="http://schemas.openxmlformats.org/officeDocument/2006/relationships/hyperlink" Target="https://gem.wiki/Malesovice&#8211;Brodsk&#233;_Gas_Pipeline" TargetMode="External"/><Relationship Id="rId2304" Type="http://schemas.openxmlformats.org/officeDocument/2006/relationships/hyperlink" Target="https://www.gem.wiki/Borok-Breytovo_Gas_Pipeline" TargetMode="External"/><Relationship Id="rId2511" Type="http://schemas.openxmlformats.org/officeDocument/2006/relationships/hyperlink" Target="https://www.gem.wiki/Laren-Vreden_Gas_Pipeline" TargetMode="External"/><Relationship Id="rId1113" Type="http://schemas.openxmlformats.org/officeDocument/2006/relationships/hyperlink" Target="https://www.gem.wiki/Pochinki-Izobilnoe-North_Stavropol_Underground_Gas_Storage_Pipeline" TargetMode="External"/><Relationship Id="rId1320" Type="http://schemas.openxmlformats.org/officeDocument/2006/relationships/hyperlink" Target="https://gem.wiki/Ampelia&#8211;Volvos_Gas_Pipeline" TargetMode="External"/><Relationship Id="rId3078" Type="http://schemas.openxmlformats.org/officeDocument/2006/relationships/hyperlink" Target="https://www.gem.wiki/Zhongyuan-Kaifeng_Gas_Pipeline" TargetMode="External"/><Relationship Id="rId3285" Type="http://schemas.openxmlformats.org/officeDocument/2006/relationships/hyperlink" Target="https://www.gem.wiki/Shaanxi_Gas_Pipeline_Network" TargetMode="External"/><Relationship Id="rId2094" Type="http://schemas.openxmlformats.org/officeDocument/2006/relationships/hyperlink" Target="https://www.gem.wiki/CP_Express_Pipeline" TargetMode="External"/><Relationship Id="rId3145" Type="http://schemas.openxmlformats.org/officeDocument/2006/relationships/hyperlink" Target="https://www.gem.wiki/Hunan_Gas_Pipeline_Network" TargetMode="External"/><Relationship Id="rId273" Type="http://schemas.openxmlformats.org/officeDocument/2006/relationships/hyperlink" Target="https://www.gem.wiki/Mozambique-South_Africa_Gas_Pipeline" TargetMode="External"/><Relationship Id="rId480" Type="http://schemas.openxmlformats.org/officeDocument/2006/relationships/hyperlink" Target="https://www.gem.wiki/Dhanua-Mymensingh_Gas_Pipeline" TargetMode="External"/><Relationship Id="rId2161" Type="http://schemas.openxmlformats.org/officeDocument/2006/relationships/hyperlink" Target="https://www.gem.wiki/Lake_Charles_LNG_Pipeline" TargetMode="External"/><Relationship Id="rId3005" Type="http://schemas.openxmlformats.org/officeDocument/2006/relationships/hyperlink" Target="https://www.gem.wiki/Jiangsu_Coastal_Gas_Pipeline" TargetMode="External"/><Relationship Id="rId3212" Type="http://schemas.openxmlformats.org/officeDocument/2006/relationships/hyperlink" Target="https://www.gem.wiki/Guizhou_Gas_Pipeline_Network" TargetMode="External"/><Relationship Id="rId133" Type="http://schemas.openxmlformats.org/officeDocument/2006/relationships/hyperlink" Target="https://www.gem.wiki/Williston_Basin_Gas_Pipeline" TargetMode="External"/><Relationship Id="rId340" Type="http://schemas.openxmlformats.org/officeDocument/2006/relationships/hyperlink" Target="https://www.gem.wiki/Sajaa%E2%80%93Jebel_Dhana_gas_pipeline" TargetMode="External"/><Relationship Id="rId2021" Type="http://schemas.openxmlformats.org/officeDocument/2006/relationships/hyperlink" Target="https://www.gem.wiki/Gasoduto_da_Rota_5c" TargetMode="External"/><Relationship Id="rId200" Type="http://schemas.openxmlformats.org/officeDocument/2006/relationships/hyperlink" Target="https://www.gem.wiki/Taproot_Baja_Pipeline_System" TargetMode="External"/><Relationship Id="rId2978" Type="http://schemas.openxmlformats.org/officeDocument/2006/relationships/hyperlink" Target="https://www.gem.wiki/Guangxi_Gas_Pipeline_Network" TargetMode="External"/><Relationship Id="rId1787" Type="http://schemas.openxmlformats.org/officeDocument/2006/relationships/hyperlink" Target="https://www.gem.wiki/Saryarka_Gas_Pipeline" TargetMode="External"/><Relationship Id="rId1994" Type="http://schemas.openxmlformats.org/officeDocument/2006/relationships/hyperlink" Target="https://www.gem.wiki/East_Spar_Pipeline" TargetMode="External"/><Relationship Id="rId2838" Type="http://schemas.openxmlformats.org/officeDocument/2006/relationships/hyperlink" Target="https://www.gem.wiki/Anhui_Gas_Pipeline_Network" TargetMode="External"/><Relationship Id="rId79" Type="http://schemas.openxmlformats.org/officeDocument/2006/relationships/hyperlink" Target="https://www.gem.wiki/NET_Mexico_Gas_Pipeline" TargetMode="External"/><Relationship Id="rId1647" Type="http://schemas.openxmlformats.org/officeDocument/2006/relationships/hyperlink" Target="https://www.gem.wiki/Somiani%E2%80%93Nawabshah_Gas_Pipeline" TargetMode="External"/><Relationship Id="rId1854" Type="http://schemas.openxmlformats.org/officeDocument/2006/relationships/hyperlink" Target="https://www.gem.wiki/Gasoduto_da_Rota_2" TargetMode="External"/><Relationship Id="rId2905" Type="http://schemas.openxmlformats.org/officeDocument/2006/relationships/hyperlink" Target="https://www.gem.wiki/Sichuan%E2%80%93Shanghai_Gas_Pipeline" TargetMode="External"/><Relationship Id="rId1507" Type="http://schemas.openxmlformats.org/officeDocument/2006/relationships/hyperlink" Target="https://gem.wiki/Poggio_Renatico&#8211;Minerbio_Gas_Pipeline" TargetMode="External"/><Relationship Id="rId1714" Type="http://schemas.openxmlformats.org/officeDocument/2006/relationships/hyperlink" Target="https://www.gem.wiki/Cordillerano-Patag%C3%B3nico_Gas_Pipeline" TargetMode="External"/><Relationship Id="rId1921" Type="http://schemas.openxmlformats.org/officeDocument/2006/relationships/hyperlink" Target="https://www.gem.wiki/Donji_Miholjac%E2%80%93Beli%C5%A1%C4%87e_Gas_pipeline" TargetMode="External"/><Relationship Id="rId2488" Type="http://schemas.openxmlformats.org/officeDocument/2006/relationships/hyperlink" Target="https://www.gem.wiki/Ruta_de_la_Plata_Gas_Pipeline" TargetMode="External"/><Relationship Id="rId1297" Type="http://schemas.openxmlformats.org/officeDocument/2006/relationships/hyperlink" Target="https://www.gem.wiki/Sealine_Tirrenica_gas_pipeline" TargetMode="External"/><Relationship Id="rId2695" Type="http://schemas.openxmlformats.org/officeDocument/2006/relationships/hyperlink" Target="https://www.gem.wiki/Helsinki%E2%80%93Siuntio_Gas_Pipeline" TargetMode="External"/><Relationship Id="rId667" Type="http://schemas.openxmlformats.org/officeDocument/2006/relationships/hyperlink" Target="https://www.gem.wiki/Yela%E2%80%93Villar_de_Arnedo_Gas_Pipeline" TargetMode="External"/><Relationship Id="rId874" Type="http://schemas.openxmlformats.org/officeDocument/2006/relationships/hyperlink" Target="https://www.gem.wiki/Hassi_Messaoud-El_Oued_gas_pipeline" TargetMode="External"/><Relationship Id="rId2348" Type="http://schemas.openxmlformats.org/officeDocument/2006/relationships/hyperlink" Target="https://www.gem.wiki/Eastern_Iraq_Gas_Pipeline" TargetMode="External"/><Relationship Id="rId2555" Type="http://schemas.openxmlformats.org/officeDocument/2006/relationships/hyperlink" Target="https://www.gem.wiki/Ghazakh-Yerevan_Gas_Pipeline" TargetMode="External"/><Relationship Id="rId2762" Type="http://schemas.openxmlformats.org/officeDocument/2006/relationships/hyperlink" Target="https://www.gem.wiki/Yunnan_Gas_Pipeline_Network" TargetMode="External"/><Relationship Id="rId527" Type="http://schemas.openxmlformats.org/officeDocument/2006/relationships/hyperlink" Target="https://www.gem.wiki/Nalka-Baghabari_Gas_Pipeline" TargetMode="External"/><Relationship Id="rId734" Type="http://schemas.openxmlformats.org/officeDocument/2006/relationships/hyperlink" Target="https://www.gem.wiki/El_Aricha-Beni_Saf_Gas_Pipeline" TargetMode="External"/><Relationship Id="rId941" Type="http://schemas.openxmlformats.org/officeDocument/2006/relationships/hyperlink" Target="https://www.gem.wiki/Kinki_Trunk_Line_No._3_West_Line" TargetMode="External"/><Relationship Id="rId1157" Type="http://schemas.openxmlformats.org/officeDocument/2006/relationships/hyperlink" Target="https://www.gem.wiki/Yong%27an-Nankan_Gas_Pipeline" TargetMode="External"/><Relationship Id="rId1364" Type="http://schemas.openxmlformats.org/officeDocument/2006/relationships/hyperlink" Target="https://gem.wiki/Cervignano&#8211;Sergnano_Gas_Pipeline" TargetMode="External"/><Relationship Id="rId1571" Type="http://schemas.openxmlformats.org/officeDocument/2006/relationships/hyperlink" Target="https://gem.wiki/Wieringermeer&#8211;Anna_Paulowna_Gas_Pipeline" TargetMode="External"/><Relationship Id="rId2208" Type="http://schemas.openxmlformats.org/officeDocument/2006/relationships/hyperlink" Target="https://www.gem.wiki/Bhatinda_-_Gurdaspur_Gas_Pipeline" TargetMode="External"/><Relationship Id="rId2415" Type="http://schemas.openxmlformats.org/officeDocument/2006/relationships/hyperlink" Target="https://www.gem.wiki/Faisalabad-Malakwal_Gas_Pipeline_II" TargetMode="External"/><Relationship Id="rId2622" Type="http://schemas.openxmlformats.org/officeDocument/2006/relationships/hyperlink" Target="https://www.gem.wiki/Hoscht-St.Magrethen_Gas_Pipeline" TargetMode="External"/><Relationship Id="rId70" Type="http://schemas.openxmlformats.org/officeDocument/2006/relationships/hyperlink" Target="https://www.gem.wiki/Mier_Monterrey_Gas_Pipeline" TargetMode="External"/><Relationship Id="rId801" Type="http://schemas.openxmlformats.org/officeDocument/2006/relationships/hyperlink" Target="https://www.gem.wiki/Tanajib-Berri_gas_pipeline" TargetMode="External"/><Relationship Id="rId1017" Type="http://schemas.openxmlformats.org/officeDocument/2006/relationships/hyperlink" Target="https://www.gem.wiki/North_Gas-Taji_gas_pipeline" TargetMode="External"/><Relationship Id="rId1224" Type="http://schemas.openxmlformats.org/officeDocument/2006/relationships/hyperlink" Target="https://www.gem.wiki/Empire_Pipeline" TargetMode="External"/><Relationship Id="rId1431" Type="http://schemas.openxmlformats.org/officeDocument/2006/relationships/hyperlink" Target="https://gem.wiki/Jablonov_Velke&#8211;Kapusany_Gas_Pipeline" TargetMode="External"/><Relationship Id="rId3189" Type="http://schemas.openxmlformats.org/officeDocument/2006/relationships/hyperlink" Target="https://www.gem.wiki/West-East_Gas_Pipeline_2_Guangzhou-Nanning_Branch" TargetMode="External"/><Relationship Id="rId3049" Type="http://schemas.openxmlformats.org/officeDocument/2006/relationships/hyperlink" Target="https://www.gem.wiki/Qinhuangdao-Fengnan_Gas_Pipeline" TargetMode="External"/><Relationship Id="rId3256" Type="http://schemas.openxmlformats.org/officeDocument/2006/relationships/hyperlink" Target="https://www.gem.wiki/Chongqing_Gas_Pipeline_Network" TargetMode="External"/><Relationship Id="rId177" Type="http://schemas.openxmlformats.org/officeDocument/2006/relationships/hyperlink" Target="https://www.gem.wiki/Island_Gas_Connector" TargetMode="External"/><Relationship Id="rId384" Type="http://schemas.openxmlformats.org/officeDocument/2006/relationships/hyperlink" Target="https://www.gem.wiki/Trans_Austria_Gas_Pipeline" TargetMode="External"/><Relationship Id="rId591" Type="http://schemas.openxmlformats.org/officeDocument/2006/relationships/hyperlink" Target="https://www.gem.wiki/Kemenchug-Ananijiv_Gas_Pipeline" TargetMode="External"/><Relationship Id="rId2065" Type="http://schemas.openxmlformats.org/officeDocument/2006/relationships/hyperlink" Target="https://www.gem.wiki/Poseidon_Gas_Pipeline" TargetMode="External"/><Relationship Id="rId2272" Type="http://schemas.openxmlformats.org/officeDocument/2006/relationships/hyperlink" Target="https://www.gem.wiki/Mishkino-Yurgamysh-Kurgan_Gas_Pipeline" TargetMode="External"/><Relationship Id="rId3116" Type="http://schemas.openxmlformats.org/officeDocument/2006/relationships/hyperlink" Target="https://www.gem.wiki/Hubei_Gas_Pipeline_Network" TargetMode="External"/><Relationship Id="rId244" Type="http://schemas.openxmlformats.org/officeDocument/2006/relationships/hyperlink" Target="https://www.gem.wiki/Samalayuca-S%C3%A1sabe_Gas_Pipeline" TargetMode="External"/><Relationship Id="rId1081" Type="http://schemas.openxmlformats.org/officeDocument/2006/relationships/hyperlink" Target="https://www.gem.wiki/Gorky-Center_Gas_Pipeline" TargetMode="External"/><Relationship Id="rId3323" Type="http://schemas.openxmlformats.org/officeDocument/2006/relationships/hyperlink" Target="https://www.hlj.gov.cn/n200/2020/1213/c35-11012253.html" TargetMode="External"/><Relationship Id="rId451" Type="http://schemas.openxmlformats.org/officeDocument/2006/relationships/hyperlink" Target="https://www.gem.wiki/Yamal_Europe_2_Pipeline" TargetMode="External"/><Relationship Id="rId2132" Type="http://schemas.openxmlformats.org/officeDocument/2006/relationships/hyperlink" Target="https://www.gem.wiki/Moomba_Sydney_Pipeline_System" TargetMode="External"/><Relationship Id="rId104" Type="http://schemas.openxmlformats.org/officeDocument/2006/relationships/hyperlink" Target="https://www.gem.wiki/Southern_Star_Central_Gas_Pipeline" TargetMode="External"/><Relationship Id="rId311" Type="http://schemas.openxmlformats.org/officeDocument/2006/relationships/hyperlink" Target="https://www.gem.wiki/Bul_Hanine-Idd-Al-Shargi_North_Dome_gas_pipeline" TargetMode="External"/><Relationship Id="rId1898" Type="http://schemas.openxmlformats.org/officeDocument/2006/relationships/hyperlink" Target="https://www.gem.wiki/Ban_I-Tong-Ratchaburi_Gas_Pipeline" TargetMode="External"/><Relationship Id="rId2949" Type="http://schemas.openxmlformats.org/officeDocument/2006/relationships/hyperlink" Target="https://www.gem.wiki/Guangdong_Gas_Pipeline_Network_Phase_I" TargetMode="External"/><Relationship Id="rId1758" Type="http://schemas.openxmlformats.org/officeDocument/2006/relationships/hyperlink" Target="https://www.gem.wiki/TGI_Pipeline_Network" TargetMode="External"/><Relationship Id="rId2809" Type="http://schemas.openxmlformats.org/officeDocument/2006/relationships/hyperlink" Target="https://www.gem.wiki/Jilin_Gas_Pipeline_Network" TargetMode="External"/><Relationship Id="rId1965" Type="http://schemas.openxmlformats.org/officeDocument/2006/relationships/hyperlink" Target="https://www.gem.wiki/Riverland_Pipeline_System" TargetMode="External"/><Relationship Id="rId3180" Type="http://schemas.openxmlformats.org/officeDocument/2006/relationships/hyperlink" Target="https://www.gem.wiki/West-East_Gas_Pipeline_2" TargetMode="External"/><Relationship Id="rId1618" Type="http://schemas.openxmlformats.org/officeDocument/2006/relationships/hyperlink" Target="https://www.gem.wiki/Alexandroupolis_INGS_Terminal_Pipeline" TargetMode="External"/><Relationship Id="rId1825" Type="http://schemas.openxmlformats.org/officeDocument/2006/relationships/hyperlink" Target="https://gem.wiki/Phased_Gas_Pipeline_Network" TargetMode="External"/><Relationship Id="rId3040" Type="http://schemas.openxmlformats.org/officeDocument/2006/relationships/hyperlink" Target="https://www.gem.wiki/Jiangxi_Natural_Gas_Pipeline_Network" TargetMode="External"/><Relationship Id="rId2599" Type="http://schemas.openxmlformats.org/officeDocument/2006/relationships/hyperlink" Target="https://www.gem.wiki/Caldonazzo-Trento_Gas_Pipeline" TargetMode="External"/><Relationship Id="rId778" Type="http://schemas.openxmlformats.org/officeDocument/2006/relationships/hyperlink" Target="https://www.gem.wiki/Alagbado-SNG_gas_pipeline" TargetMode="External"/><Relationship Id="rId985" Type="http://schemas.openxmlformats.org/officeDocument/2006/relationships/hyperlink" Target="https://www.gem.wiki/Red_de_Gasoductos_Promigas" TargetMode="External"/><Relationship Id="rId2459" Type="http://schemas.openxmlformats.org/officeDocument/2006/relationships/hyperlink" Target="https://www.gem.wiki/Wah-Nowshera_Gas_Pipeline_II" TargetMode="External"/><Relationship Id="rId2666" Type="http://schemas.openxmlformats.org/officeDocument/2006/relationships/hyperlink" Target="https://www.gem.wiki/Carolina_Gas_Transmission" TargetMode="External"/><Relationship Id="rId2873" Type="http://schemas.openxmlformats.org/officeDocument/2006/relationships/hyperlink" Target="https://www.gem.wiki/Shanxi_Natural_Gas_Pipeline_Network" TargetMode="External"/><Relationship Id="rId638" Type="http://schemas.openxmlformats.org/officeDocument/2006/relationships/hyperlink" Target="https://www.gem.wiki/Kogoshima_Hayato_Gas_Pipeline" TargetMode="External"/><Relationship Id="rId845" Type="http://schemas.openxmlformats.org/officeDocument/2006/relationships/hyperlink" Target="https://www.gem.wiki/IGAT_7_Gas_Pipeline" TargetMode="External"/><Relationship Id="rId1268" Type="http://schemas.openxmlformats.org/officeDocument/2006/relationships/hyperlink" Target="https://www.gem.wiki/PM3_CAA_%E2%80%93_Ca_Mau_Gas_Pipeline_System" TargetMode="External"/><Relationship Id="rId1475" Type="http://schemas.openxmlformats.org/officeDocument/2006/relationships/hyperlink" Target="https://gem.wiki/Minerbio&#8211;Ravenna_Terra_Gas_Pipeline" TargetMode="External"/><Relationship Id="rId1682" Type="http://schemas.openxmlformats.org/officeDocument/2006/relationships/hyperlink" Target="https://www.gem.wiki/Northern_Goldfields_Interconnect_Gas_Pipeline" TargetMode="External"/><Relationship Id="rId2319" Type="http://schemas.openxmlformats.org/officeDocument/2006/relationships/hyperlink" Target="https://www.gem.wiki/Florida_Gas_Transmission_Pipeline" TargetMode="External"/><Relationship Id="rId2526" Type="http://schemas.openxmlformats.org/officeDocument/2006/relationships/hyperlink" Target="https://www.gem.wiki/Tsiteli_Khidi-Akhalkalaki_Gas_Pipeline" TargetMode="External"/><Relationship Id="rId2733" Type="http://schemas.openxmlformats.org/officeDocument/2006/relationships/hyperlink" Target="https://www.gem.wiki/China%E2%80%93Russia_East_Pipeline" TargetMode="External"/><Relationship Id="rId705" Type="http://schemas.openxmlformats.org/officeDocument/2006/relationships/hyperlink" Target="https://www.gem.wiki/Lozenets%E2%80%93Nedyalsko_Loop_Gas_Pipeline" TargetMode="External"/><Relationship Id="rId1128" Type="http://schemas.openxmlformats.org/officeDocument/2006/relationships/hyperlink" Target="https://www.gem.wiki/Sobolevo-Petropavlovsk-Kamchatsky_Gas_Pipeline" TargetMode="External"/><Relationship Id="rId1335" Type="http://schemas.openxmlformats.org/officeDocument/2006/relationships/hyperlink" Target="https://gem.wiki/Beregdaroc&#8211;Hajduszoboszlo_Gas_Pipeline" TargetMode="External"/><Relationship Id="rId1542" Type="http://schemas.openxmlformats.org/officeDocument/2006/relationships/hyperlink" Target="https://gem.wiki/Strandja&#8211;Lozenets_Gas_Pipeline" TargetMode="External"/><Relationship Id="rId2940" Type="http://schemas.openxmlformats.org/officeDocument/2006/relationships/hyperlink" Target="https://www.gem.wiki/Guangdong_North_Gas_Pipeline_Network" TargetMode="External"/><Relationship Id="rId912" Type="http://schemas.openxmlformats.org/officeDocument/2006/relationships/hyperlink" Target="https://www.gem.wiki/Alton_Natural_Gas_Pipeline" TargetMode="External"/><Relationship Id="rId2800" Type="http://schemas.openxmlformats.org/officeDocument/2006/relationships/hyperlink" Target="https://www.gem.wiki/Sumitu-Dongsheng-Junger_gas_pipeline" TargetMode="External"/><Relationship Id="rId41" Type="http://schemas.openxmlformats.org/officeDocument/2006/relationships/hyperlink" Target="https://www.gem.wiki/AlaTenn_Gas_Pipeline" TargetMode="External"/><Relationship Id="rId1402" Type="http://schemas.openxmlformats.org/officeDocument/2006/relationships/hyperlink" Target="https://gem.wiki/Ewijk&#8211;Ommen_Gas_Pipeline" TargetMode="External"/><Relationship Id="rId288" Type="http://schemas.openxmlformats.org/officeDocument/2006/relationships/hyperlink" Target="https://www.gem.wiki/Hassi_R'Mel-Skikda_Gas_Pipeline" TargetMode="External"/><Relationship Id="rId495" Type="http://schemas.openxmlformats.org/officeDocument/2006/relationships/hyperlink" Target="https://www.gem.wiki/Scarborough_Gas_Pipeline" TargetMode="External"/><Relationship Id="rId2176" Type="http://schemas.openxmlformats.org/officeDocument/2006/relationships/hyperlink" Target="https://www.gem.wiki/Warrior_Gas_Pipeline" TargetMode="External"/><Relationship Id="rId2383" Type="http://schemas.openxmlformats.org/officeDocument/2006/relationships/hyperlink" Target="https://www.gem.wiki/Volkhov-Segezha-Kostomuksha_Gas_Pipeline" TargetMode="External"/><Relationship Id="rId2590" Type="http://schemas.openxmlformats.org/officeDocument/2006/relationships/hyperlink" Target="https://www.gem.wiki/Tarvisio-Malborghetto_Gas_Pipeline" TargetMode="External"/><Relationship Id="rId3227" Type="http://schemas.openxmlformats.org/officeDocument/2006/relationships/hyperlink" Target="https://www.gem.wiki/Guizhou_Gas_Pipeline_Network" TargetMode="External"/><Relationship Id="rId148" Type="http://schemas.openxmlformats.org/officeDocument/2006/relationships/hyperlink" Target="https://www.gem.wiki/Delmarva_Pipeline" TargetMode="External"/><Relationship Id="rId355" Type="http://schemas.openxmlformats.org/officeDocument/2006/relationships/hyperlink" Target="https://www.gem.wiki/Frigg_UK_Gas_Pipeline_System" TargetMode="External"/><Relationship Id="rId562" Type="http://schemas.openxmlformats.org/officeDocument/2006/relationships/hyperlink" Target="https://www.gem.wiki/PLL-DGEN-Sugen_Gas_Pipeline" TargetMode="External"/><Relationship Id="rId1192" Type="http://schemas.openxmlformats.org/officeDocument/2006/relationships/hyperlink" Target="https://www.gem.wiki/Donlin_Gold_Mine_Pipeline" TargetMode="External"/><Relationship Id="rId2036" Type="http://schemas.openxmlformats.org/officeDocument/2006/relationships/hyperlink" Target="https://www.gem.wiki/Bilac-Santa_Maria_Gas_Pipeline" TargetMode="External"/><Relationship Id="rId2243" Type="http://schemas.openxmlformats.org/officeDocument/2006/relationships/hyperlink" Target="https://www.gem.wiki/Northern_Natural_Gas_Pipeline" TargetMode="External"/><Relationship Id="rId2450" Type="http://schemas.openxmlformats.org/officeDocument/2006/relationships/hyperlink" Target="https://www.gem.wiki/Dhulian-Daud_Khel_Gas_Pipeline" TargetMode="External"/><Relationship Id="rId215" Type="http://schemas.openxmlformats.org/officeDocument/2006/relationships/hyperlink" Target="https://www.gem.wiki/Gasoducto_J%C3%A1ltipan-Salina_Cruz" TargetMode="External"/><Relationship Id="rId422" Type="http://schemas.openxmlformats.org/officeDocument/2006/relationships/hyperlink" Target="https://www.gem.wiki/Trans-Caspian_Gas_Pipeline" TargetMode="External"/><Relationship Id="rId1052" Type="http://schemas.openxmlformats.org/officeDocument/2006/relationships/hyperlink" Target="https://www.gem.wiki/Szczecin_-_Lw%C3%B3wek_to_Dolna_Odra_Gas_Pipeline" TargetMode="External"/><Relationship Id="rId2103" Type="http://schemas.openxmlformats.org/officeDocument/2006/relationships/hyperlink" Target="https://www.gem.wiki/Power_of_Siberia_2%E2%80%93Sayansk_Gas_Pipeline" TargetMode="External"/><Relationship Id="rId2310" Type="http://schemas.openxmlformats.org/officeDocument/2006/relationships/hyperlink" Target="https://www.gem.wiki/Dadu-Malir-Karachi_Gas_Pipeline" TargetMode="External"/><Relationship Id="rId1869" Type="http://schemas.openxmlformats.org/officeDocument/2006/relationships/hyperlink" Target="https://www.gem.wiki/Bayu-Undan_to_Sunrise_Gas_Pipeline" TargetMode="External"/><Relationship Id="rId3084" Type="http://schemas.openxmlformats.org/officeDocument/2006/relationships/hyperlink" Target="https://www.gem.wiki/Zhejiang_Natural_Gas_Pipeline_Network" TargetMode="External"/><Relationship Id="rId3291" Type="http://schemas.openxmlformats.org/officeDocument/2006/relationships/hyperlink" Target="https://www.gem.wiki/Shaanxi_Gas_Pipeline_Network" TargetMode="External"/><Relationship Id="rId1729" Type="http://schemas.openxmlformats.org/officeDocument/2006/relationships/hyperlink" Target="https://www.gem.wiki/Kakinada-Vizag-Srikakulam_Gas_Pipeline" TargetMode="External"/><Relationship Id="rId1936" Type="http://schemas.openxmlformats.org/officeDocument/2006/relationships/hyperlink" Target="https://www.gem.wiki/Ratchaburi-Wang_Noi_Gas_Pipeline" TargetMode="External"/><Relationship Id="rId3151" Type="http://schemas.openxmlformats.org/officeDocument/2006/relationships/hyperlink" Target="https://www.gem.wiki/Lanzhou-Dingxi_Gas_Pipeline" TargetMode="External"/><Relationship Id="rId3011" Type="http://schemas.openxmlformats.org/officeDocument/2006/relationships/hyperlink" Target="https://www.gem.wiki/Jiangsu_Coastal_Gas_Pipeline" TargetMode="External"/><Relationship Id="rId5" Type="http://schemas.openxmlformats.org/officeDocument/2006/relationships/hyperlink" Target="https://www.gem.wiki/Alaska_Gas_Pipeline" TargetMode="External"/><Relationship Id="rId889" Type="http://schemas.openxmlformats.org/officeDocument/2006/relationships/hyperlink" Target="https://www.gem.wiki/Amadeus_to_Moomba_Gas_Pipeline" TargetMode="External"/><Relationship Id="rId2777" Type="http://schemas.openxmlformats.org/officeDocument/2006/relationships/hyperlink" Target="https://www.gem.wiki/Inner_Mongolia_Gas_Pipeline_Network" TargetMode="External"/><Relationship Id="rId749" Type="http://schemas.openxmlformats.org/officeDocument/2006/relationships/hyperlink" Target="https://www.gem.wiki/Khor_Al-Zubair-Hartha_gas_pipeline" TargetMode="External"/><Relationship Id="rId1379" Type="http://schemas.openxmlformats.org/officeDocument/2006/relationships/hyperlink" Target="https://gem.wiki/Craughwell&#8211;Bellanaby_Gas_Pipeline" TargetMode="External"/><Relationship Id="rId1586" Type="http://schemas.openxmlformats.org/officeDocument/2006/relationships/hyperlink" Target="https://www.gem.wiki/Adriatica_Pipeline" TargetMode="External"/><Relationship Id="rId2984" Type="http://schemas.openxmlformats.org/officeDocument/2006/relationships/hyperlink" Target="https://www.gem.wiki/Zungharia_Basin_Rim_Gas_Pipeline_Network" TargetMode="External"/><Relationship Id="rId609" Type="http://schemas.openxmlformats.org/officeDocument/2006/relationships/hyperlink" Target="https://www.gem.wiki/Chiba-Kashima_Gas_Pipeline" TargetMode="External"/><Relationship Id="rId956" Type="http://schemas.openxmlformats.org/officeDocument/2006/relationships/hyperlink" Target="https://www.gem.wiki/Niigata-Sendai_Gas_Pipeline" TargetMode="External"/><Relationship Id="rId1239" Type="http://schemas.openxmlformats.org/officeDocument/2006/relationships/hyperlink" Target="https://www.gem.wiki/Transcontinental_Gas_Pipeline" TargetMode="External"/><Relationship Id="rId1793" Type="http://schemas.openxmlformats.org/officeDocument/2006/relationships/hyperlink" Target="https://www.gem.wiki/Southern_Cross_Gas_Pipeline" TargetMode="External"/><Relationship Id="rId2637" Type="http://schemas.openxmlformats.org/officeDocument/2006/relationships/hyperlink" Target="https://www.gem.wiki/Duzce-Sungurlu_Gas_Pipeline" TargetMode="External"/><Relationship Id="rId2844" Type="http://schemas.openxmlformats.org/officeDocument/2006/relationships/hyperlink" Target="https://www.gem.wiki/Anhui_Gas_Pipeline_Network" TargetMode="External"/><Relationship Id="rId85" Type="http://schemas.openxmlformats.org/officeDocument/2006/relationships/hyperlink" Target="https://www.gem.wiki/NYMarc_Gas_Pipeline_Project" TargetMode="External"/><Relationship Id="rId816" Type="http://schemas.openxmlformats.org/officeDocument/2006/relationships/hyperlink" Target="https://www.gem.wiki/Haradh_Khuff-Hawiyah_3_gas_pipeline" TargetMode="External"/><Relationship Id="rId1446" Type="http://schemas.openxmlformats.org/officeDocument/2006/relationships/hyperlink" Target="https://www.gem.wiki/Wijngaarden%E2%80%93Schmeeda_Gas_Pipeline" TargetMode="External"/><Relationship Id="rId1653" Type="http://schemas.openxmlformats.org/officeDocument/2006/relationships/hyperlink" Target="https://www.gem.wiki/Alliance_Gas_Pipeline" TargetMode="External"/><Relationship Id="rId1860" Type="http://schemas.openxmlformats.org/officeDocument/2006/relationships/hyperlink" Target="https://www.gem.wiki/Srednevilyuyskoye_Gas_Condensate_Field-Yakutsk_Gas_Pipeline" TargetMode="External"/><Relationship Id="rId2704" Type="http://schemas.openxmlformats.org/officeDocument/2006/relationships/hyperlink" Target="https://www.gem.wiki/Gagliano-Syracuse_Gas_Pipeline" TargetMode="External"/><Relationship Id="rId2911" Type="http://schemas.openxmlformats.org/officeDocument/2006/relationships/hyperlink" Target="https://www.gem.wiki/Sichuan%E2%80%93Shanghai_Parallel_Gas_Pipeline" TargetMode="External"/><Relationship Id="rId1306" Type="http://schemas.openxmlformats.org/officeDocument/2006/relationships/hyperlink" Target="https://www.gem.wiki/Malmoe%E2%80%93Stenungsund_Gas_Pipeline" TargetMode="External"/><Relationship Id="rId1513" Type="http://schemas.openxmlformats.org/officeDocument/2006/relationships/hyperlink" Target="https://gem.wiki/Ravenna_Mare&#8211;Rubicone_Gas_Pipeline" TargetMode="External"/><Relationship Id="rId1720" Type="http://schemas.openxmlformats.org/officeDocument/2006/relationships/hyperlink" Target="https://www.gem.wiki/India-Myanmar-Bangladesh_Gas_Pipeline" TargetMode="External"/><Relationship Id="rId12" Type="http://schemas.openxmlformats.org/officeDocument/2006/relationships/hyperlink" Target="https://www.gem.wiki/Atlantic_Bridge_Gas_Project" TargetMode="External"/><Relationship Id="rId399" Type="http://schemas.openxmlformats.org/officeDocument/2006/relationships/hyperlink" Target="https://www.gem.wiki/Bovanenkovo-Ukhta_2_Gas_Pipeline" TargetMode="External"/><Relationship Id="rId2287" Type="http://schemas.openxmlformats.org/officeDocument/2006/relationships/hyperlink" Target="https://www.gem.wiki/Pazhga-Vizinga_Gas_Pipeline" TargetMode="External"/><Relationship Id="rId2494" Type="http://schemas.openxmlformats.org/officeDocument/2006/relationships/hyperlink" Target="https://www.gem.wiki/Castelnou-Villar_de_Arnedo-Haro_Gas_Pipeline" TargetMode="External"/><Relationship Id="rId3338" Type="http://schemas.openxmlformats.org/officeDocument/2006/relationships/hyperlink" Target="https://www.gem.wiki/Central_Asia%E2%80%93China_Gas_Pipeline" TargetMode="External"/><Relationship Id="rId259" Type="http://schemas.openxmlformats.org/officeDocument/2006/relationships/hyperlink" Target="https://www.gem.wiki/IGAT_10_Gas_Pipeline" TargetMode="External"/><Relationship Id="rId466" Type="http://schemas.openxmlformats.org/officeDocument/2006/relationships/hyperlink" Target="https://www.gem.wiki/Bakhrabad_to_Demra_Gas_Pipeline" TargetMode="External"/><Relationship Id="rId673" Type="http://schemas.openxmlformats.org/officeDocument/2006/relationships/hyperlink" Target="https://www.gem.wiki/Hewett_Pipeline_System" TargetMode="External"/><Relationship Id="rId880" Type="http://schemas.openxmlformats.org/officeDocument/2006/relationships/hyperlink" Target="https://www.gem.wiki/Gasoducto_Santa_Cruz_Norte" TargetMode="External"/><Relationship Id="rId1096" Type="http://schemas.openxmlformats.org/officeDocument/2006/relationships/hyperlink" Target="https://www.gem.wiki/Minnibaevo-Kazan_Gas_Pipeline" TargetMode="External"/><Relationship Id="rId2147" Type="http://schemas.openxmlformats.org/officeDocument/2006/relationships/hyperlink" Target="https://www.gem.wiki/Eastern_Goldfields_Pipeline_System" TargetMode="External"/><Relationship Id="rId2354" Type="http://schemas.openxmlformats.org/officeDocument/2006/relationships/hyperlink" Target="https://www.gem.wiki/Trans-Iraqi-Najaf_PWR_St_Gas_Pipeline" TargetMode="External"/><Relationship Id="rId2561" Type="http://schemas.openxmlformats.org/officeDocument/2006/relationships/hyperlink" Target="https://www.gem.wiki/Sciacca-Canicatti_Gas_Pipeline" TargetMode="External"/><Relationship Id="rId119" Type="http://schemas.openxmlformats.org/officeDocument/2006/relationships/hyperlink" Target="https://www.gem.wiki/Trans_Qu%C3%A9bec_and_Maritimes_(TQM)_Pipeline" TargetMode="External"/><Relationship Id="rId326" Type="http://schemas.openxmlformats.org/officeDocument/2006/relationships/hyperlink" Target="https://www.gem.wiki/WHP-2-Ras_Laffan_gas_pipeline" TargetMode="External"/><Relationship Id="rId533" Type="http://schemas.openxmlformats.org/officeDocument/2006/relationships/hyperlink" Target="https://www.gem.wiki/Arun-Belawan_Gas_Pipeline" TargetMode="External"/><Relationship Id="rId1163" Type="http://schemas.openxmlformats.org/officeDocument/2006/relationships/hyperlink" Target="https://www.gem.wiki/Bing%C3%B6l-Bitlis_Gas_Pipeline" TargetMode="External"/><Relationship Id="rId1370" Type="http://schemas.openxmlformats.org/officeDocument/2006/relationships/hyperlink" Target="https://gem.wiki/Chivasso&#8211;Mortara_Gas_Pipeline" TargetMode="External"/><Relationship Id="rId2007" Type="http://schemas.openxmlformats.org/officeDocument/2006/relationships/hyperlink" Target="https://www.gem.wiki/Heidrun_Gas_Export_Pipeline" TargetMode="External"/><Relationship Id="rId2214" Type="http://schemas.openxmlformats.org/officeDocument/2006/relationships/hyperlink" Target="https://www.gem.wiki/Bhola-Barishal_Gas_Transmission_Pipeline" TargetMode="External"/><Relationship Id="rId740" Type="http://schemas.openxmlformats.org/officeDocument/2006/relationships/hyperlink" Target="https://www.aljazeera.net/ebusiness/2006/2/7/%D8%B3%D9%88%D9%86%D8%A7%D8%B7%D8%B1%D8%A7%D9%83-%D8%A7%D9%84%D8%AC%D8%B2%D8%A7%D8%A6%D8%B1%D9%8A%D8%A9-%D8%AA%D9%88%D9%82%D8%B9-%D8%A7%D8%AA%D9%81%D8%A7%D9%82%D9%8A%D8%A7%D8%AA-%D8%A8%D9%80240" TargetMode="External"/><Relationship Id="rId1023" Type="http://schemas.openxmlformats.org/officeDocument/2006/relationships/hyperlink" Target="https://www.gem.wiki/Cuxtal_Gas_Pipeline" TargetMode="External"/><Relationship Id="rId2421" Type="http://schemas.openxmlformats.org/officeDocument/2006/relationships/hyperlink" Target="https://www.gem.wiki/Faisalabad-Shahdara_Gas_Pipeline-I" TargetMode="External"/><Relationship Id="rId600" Type="http://schemas.openxmlformats.org/officeDocument/2006/relationships/hyperlink" Target="https://www.gem.wiki/Trans-Central_Sumatra_Gas_Pipeline" TargetMode="External"/><Relationship Id="rId1230" Type="http://schemas.openxmlformats.org/officeDocument/2006/relationships/hyperlink" Target="https://www.gem.wiki/Florida_Gas_Transmission_Pipeline" TargetMode="External"/><Relationship Id="rId3195" Type="http://schemas.openxmlformats.org/officeDocument/2006/relationships/hyperlink" Target="https://www.gem.wiki/Guizhou_Gas_Pipeline_Network" TargetMode="External"/><Relationship Id="rId3055" Type="http://schemas.openxmlformats.org/officeDocument/2006/relationships/hyperlink" Target="https://www.gem.wiki/Henan_North_gas_pipeline_(Bo%27ai-Anyang)" TargetMode="External"/><Relationship Id="rId3262" Type="http://schemas.openxmlformats.org/officeDocument/2006/relationships/hyperlink" Target="https://www.gem.wiki/Chongqing_Gas_Pipeline_Network" TargetMode="External"/><Relationship Id="rId183" Type="http://schemas.openxmlformats.org/officeDocument/2006/relationships/hyperlink" Target="https://www.gem.wiki/Gasoducto_de_Mayakan" TargetMode="External"/><Relationship Id="rId390" Type="http://schemas.openxmlformats.org/officeDocument/2006/relationships/hyperlink" Target="https://www.gem.wiki/V%C3%A1rosf%C3%B6ld%E2%80%93Slobodnica_pipeline" TargetMode="External"/><Relationship Id="rId1907" Type="http://schemas.openxmlformats.org/officeDocument/2006/relationships/hyperlink" Target="https://www.gem.wiki/Camisea_Gas_Pipeline" TargetMode="External"/><Relationship Id="rId2071" Type="http://schemas.openxmlformats.org/officeDocument/2006/relationships/hyperlink" Target="https://www.gem.wiki/Gasoduto_Uruguaiana-Porto_Alegre" TargetMode="External"/><Relationship Id="rId3122" Type="http://schemas.openxmlformats.org/officeDocument/2006/relationships/hyperlink" Target="https://www.gem.wiki/Hunan_Gas_Pipeline_Network" TargetMode="External"/><Relationship Id="rId250" Type="http://schemas.openxmlformats.org/officeDocument/2006/relationships/hyperlink" Target="https://www.gem.wiki/Tuxpan-Tula_Gas_Pipeline" TargetMode="External"/><Relationship Id="rId110" Type="http://schemas.openxmlformats.org/officeDocument/2006/relationships/hyperlink" Target="https://www.gem.wiki/Tejas_Gas_Pipeline" TargetMode="External"/><Relationship Id="rId2888" Type="http://schemas.openxmlformats.org/officeDocument/2006/relationships/hyperlink" Target="https://www.gem.wiki/Shanxi_Natural_Gas_Pipeline_Network" TargetMode="External"/><Relationship Id="rId1697" Type="http://schemas.openxmlformats.org/officeDocument/2006/relationships/hyperlink" Target="https://www.gem.wiki/Queensland_Gas_Pipeline" TargetMode="External"/><Relationship Id="rId2748" Type="http://schemas.openxmlformats.org/officeDocument/2006/relationships/hyperlink" Target="https://www.gem.wiki/Yunnan_Gas_Pipeline_Network" TargetMode="External"/><Relationship Id="rId2955" Type="http://schemas.openxmlformats.org/officeDocument/2006/relationships/hyperlink" Target="https://www.gem.wiki/Guangdong_Gas_Pipeline_Network_Phase_I" TargetMode="External"/><Relationship Id="rId927" Type="http://schemas.openxmlformats.org/officeDocument/2006/relationships/hyperlink" Target="https://www.gem.wiki/Queensland_Hunter_Gas_Pipeline" TargetMode="External"/><Relationship Id="rId1557" Type="http://schemas.openxmlformats.org/officeDocument/2006/relationships/hyperlink" Target="https://gem.wiki/Varosfoeld&#8211;Bata_Gas_Pipeline" TargetMode="External"/><Relationship Id="rId1764" Type="http://schemas.openxmlformats.org/officeDocument/2006/relationships/hyperlink" Target="https://www.gem.wiki/North_Coast_Marine_Area_Development_Pipeline" TargetMode="External"/><Relationship Id="rId1971" Type="http://schemas.openxmlformats.org/officeDocument/2006/relationships/hyperlink" Target="https://www.gem.wiki/Condamine_to_Braemar_Pipeline" TargetMode="External"/><Relationship Id="rId2608" Type="http://schemas.openxmlformats.org/officeDocument/2006/relationships/hyperlink" Target="https://www.gem.wiki/Celleno-Gallese_Gas_Pipeline" TargetMode="External"/><Relationship Id="rId2815" Type="http://schemas.openxmlformats.org/officeDocument/2006/relationships/hyperlink" Target="https://www.gem.wiki/Hohhot-Zhangjiakou-Yanqing_Gas_Pipeline" TargetMode="External"/><Relationship Id="rId56" Type="http://schemas.openxmlformats.org/officeDocument/2006/relationships/hyperlink" Target="https://www.gem.wiki/High_Island_Offshore_Gas_Pipeline_System" TargetMode="External"/><Relationship Id="rId1417" Type="http://schemas.openxmlformats.org/officeDocument/2006/relationships/hyperlink" Target="https://gem.wiki/Hajduszoboszlo&#8211;Varosfoeld_Gas_Pipeline" TargetMode="External"/><Relationship Id="rId1624" Type="http://schemas.openxmlformats.org/officeDocument/2006/relationships/hyperlink" Target="https://www.gem.wiki/Anaco-Barquisimeto_Gas_Pipeline" TargetMode="External"/><Relationship Id="rId1831" Type="http://schemas.openxmlformats.org/officeDocument/2006/relationships/hyperlink" Target="https://www.gem.wiki/El_Tina_Gas_Pipeline" TargetMode="External"/><Relationship Id="rId2398" Type="http://schemas.openxmlformats.org/officeDocument/2006/relationships/hyperlink" Target="https://www.gem.wiki/Mannovka-Ust-Luga_Gas_Pipeline" TargetMode="External"/><Relationship Id="rId577" Type="http://schemas.openxmlformats.org/officeDocument/2006/relationships/hyperlink" Target="https://www.gem.wiki/Bilche-Wolitz-Dolyna_Gas_Pipeline" TargetMode="External"/><Relationship Id="rId2258" Type="http://schemas.openxmlformats.org/officeDocument/2006/relationships/hyperlink" Target="https://www.gem.wiki/Madrakah%E2%80%93Al_Hawiyah_Gas_Pipeline" TargetMode="External"/><Relationship Id="rId784" Type="http://schemas.openxmlformats.org/officeDocument/2006/relationships/hyperlink" Target="https://www.gem.wiki/Ubeta_Node-Rumuji_gas_pipeline" TargetMode="External"/><Relationship Id="rId991" Type="http://schemas.openxmlformats.org/officeDocument/2006/relationships/hyperlink" Target="https://www.gem.wiki/Omi%C5%A1alj-Zlobin-Bosiljevo-Sisak-Kozarac-Slobodnica_LNG_main_evacuation_pipeline" TargetMode="External"/><Relationship Id="rId1067" Type="http://schemas.openxmlformats.org/officeDocument/2006/relationships/hyperlink" Target="https://www.gem.wiki/Central_Asia-Center_Gas_Pipeline" TargetMode="External"/><Relationship Id="rId2465" Type="http://schemas.openxmlformats.org/officeDocument/2006/relationships/hyperlink" Target="https://www.gem.wiki/Nowshera-Mardan-Takht_Bhai-Sakhakot_Gas_Pipeline" TargetMode="External"/><Relationship Id="rId2672" Type="http://schemas.openxmlformats.org/officeDocument/2006/relationships/hyperlink" Target="https://www.gem.wiki/Mons-Berneau_Gas_Pipeline" TargetMode="External"/><Relationship Id="rId3309" Type="http://schemas.openxmlformats.org/officeDocument/2006/relationships/hyperlink" Target="https://www.gem.wiki/Heilongjiang_Natural_Gas_Pipeline_Network" TargetMode="External"/><Relationship Id="rId437" Type="http://schemas.openxmlformats.org/officeDocument/2006/relationships/hyperlink" Target="https://www.gem.wiki/Shebelinka_Dnipropetrovsk_Kryvyi_Rih_Rozdilna_Izmail_Pipeline" TargetMode="External"/><Relationship Id="rId644" Type="http://schemas.openxmlformats.org/officeDocument/2006/relationships/hyperlink" Target="https://www.gem.wiki/Sakai_Connection_Pipeline" TargetMode="External"/><Relationship Id="rId851" Type="http://schemas.openxmlformats.org/officeDocument/2006/relationships/hyperlink" Target="https://www.gem.wiki/Bulgaria_National_Gas_Transmission_Network" TargetMode="External"/><Relationship Id="rId1274" Type="http://schemas.openxmlformats.org/officeDocument/2006/relationships/hyperlink" Target="https://www.gem.wiki/Arc_de_Dierrey_Gas_Pipeline" TargetMode="External"/><Relationship Id="rId1481" Type="http://schemas.openxmlformats.org/officeDocument/2006/relationships/hyperlink" Target="https://gem.wiki/Mons&#8211;Poppel_Gas_Pipeline" TargetMode="External"/><Relationship Id="rId2118" Type="http://schemas.openxmlformats.org/officeDocument/2006/relationships/hyperlink" Target="https://www.gem.wiki/Cedar_LNG_Pipeline" TargetMode="External"/><Relationship Id="rId2325" Type="http://schemas.openxmlformats.org/officeDocument/2006/relationships/hyperlink" Target="https://www.gem.wiki/Florida_Gas_Transmission_Pipeline" TargetMode="External"/><Relationship Id="rId2532" Type="http://schemas.openxmlformats.org/officeDocument/2006/relationships/hyperlink" Target="https://www.gem.wiki/Rostock-Schwerin_Gas_Pipeline" TargetMode="External"/><Relationship Id="rId504" Type="http://schemas.openxmlformats.org/officeDocument/2006/relationships/hyperlink" Target="https://www.gem.wiki/Route_3_Gas_Pipeline" TargetMode="External"/><Relationship Id="rId711" Type="http://schemas.openxmlformats.org/officeDocument/2006/relationships/hyperlink" Target="https://www.gem.wiki/North_Macedonia%E2%80%93Greece_Interconnector_Gas_Pipeline" TargetMode="External"/><Relationship Id="rId1134" Type="http://schemas.openxmlformats.org/officeDocument/2006/relationships/hyperlink" Target="https://www.gem.wiki/Torzhok-Valdai_Gas_Pipeline" TargetMode="External"/><Relationship Id="rId1341" Type="http://schemas.openxmlformats.org/officeDocument/2006/relationships/hyperlink" Target="https://gem.wiki/Beziers&#8211;St_Martin_De_Crau_Gas_Pipeline" TargetMode="External"/><Relationship Id="rId1201" Type="http://schemas.openxmlformats.org/officeDocument/2006/relationships/hyperlink" Target="https://www.gem.wiki/Gulfstream_Natural_Gas_Pipeline" TargetMode="External"/><Relationship Id="rId3099" Type="http://schemas.openxmlformats.org/officeDocument/2006/relationships/hyperlink" Target="https://www.gem.wiki/Zhejiang_Natural_Gas_Pipeline_Network" TargetMode="External"/><Relationship Id="rId3166" Type="http://schemas.openxmlformats.org/officeDocument/2006/relationships/hyperlink" Target="https://www.gem.wiki/Dingyuan-Hefei_Parallel_Line" TargetMode="External"/><Relationship Id="rId294" Type="http://schemas.openxmlformats.org/officeDocument/2006/relationships/hyperlink" Target="https://www.gem.wiki/Petroci_Foxtrot_Gas_Pipeline" TargetMode="External"/><Relationship Id="rId2182" Type="http://schemas.openxmlformats.org/officeDocument/2006/relationships/hyperlink" Target="https://www.gem.wiki/Sakhalin-Khabarovsk-Vladivostok_Gas_Pipeline" TargetMode="External"/><Relationship Id="rId3026" Type="http://schemas.openxmlformats.org/officeDocument/2006/relationships/hyperlink" Target="https://www.gem.wiki/Jiangxi_Natural_Gas_Pipeline_Network" TargetMode="External"/><Relationship Id="rId3233" Type="http://schemas.openxmlformats.org/officeDocument/2006/relationships/hyperlink" Target="https://www.gem.wiki/Guizhou_Gas_Pipeline_Network" TargetMode="External"/><Relationship Id="rId154" Type="http://schemas.openxmlformats.org/officeDocument/2006/relationships/hyperlink" Target="https://www.gem.wiki/Granite_Bridge_Pipeline" TargetMode="External"/><Relationship Id="rId361" Type="http://schemas.openxmlformats.org/officeDocument/2006/relationships/hyperlink" Target="https://www.gem.wiki/Giurgiu%E2%80%93Ruse_Gas_Pipeline" TargetMode="External"/><Relationship Id="rId2042" Type="http://schemas.openxmlformats.org/officeDocument/2006/relationships/hyperlink" Target="https://www.gem.wiki/Santo_Ant%C3%B4nio_dos_Lopes-S%C3%A3o_Luis_Gas_Pipeline" TargetMode="External"/><Relationship Id="rId2999" Type="http://schemas.openxmlformats.org/officeDocument/2006/relationships/hyperlink" Target="https://www.gem.wiki/Xinjiang_Coal-to-Gas_Pipeline_Project" TargetMode="External"/><Relationship Id="rId3300" Type="http://schemas.openxmlformats.org/officeDocument/2006/relationships/hyperlink" Target="https://www.gem.wiki/Budongquan%E2%80%93Yushu_Gas_Pipeline" TargetMode="External"/><Relationship Id="rId221" Type="http://schemas.openxmlformats.org/officeDocument/2006/relationships/hyperlink" Target="https://www.gem.wiki/Gasoducto_Lakach" TargetMode="External"/><Relationship Id="rId2859" Type="http://schemas.openxmlformats.org/officeDocument/2006/relationships/hyperlink" Target="https://www.gem.wiki/Linzi-Qingdao_gas_pipeline" TargetMode="External"/><Relationship Id="rId1668" Type="http://schemas.openxmlformats.org/officeDocument/2006/relationships/hyperlink" Target="https://www.gem.wiki/Transcontinental_Gas_Pipeline" TargetMode="External"/><Relationship Id="rId1875" Type="http://schemas.openxmlformats.org/officeDocument/2006/relationships/hyperlink" Target="https://www.gem.wiki/Tongxiao-Taoyuan_Gas_Pipeline" TargetMode="External"/><Relationship Id="rId2719" Type="http://schemas.openxmlformats.org/officeDocument/2006/relationships/hyperlink" Target="https://www.gem.wiki/Northern_Natural_Gas_Pipeline" TargetMode="External"/><Relationship Id="rId1528" Type="http://schemas.openxmlformats.org/officeDocument/2006/relationships/hyperlink" Target="https://gem.wiki/Roussines&#8211;Gregy_Gas_Pipeline" TargetMode="External"/><Relationship Id="rId2926" Type="http://schemas.openxmlformats.org/officeDocument/2006/relationships/hyperlink" Target="https://www.gem.wiki/Guangdong_Gas_Pipeline_Network_Phase_I" TargetMode="External"/><Relationship Id="rId3090" Type="http://schemas.openxmlformats.org/officeDocument/2006/relationships/hyperlink" Target="https://www.gem.wiki/Zhejiang_Natural_Gas_Pipeline_Network" TargetMode="External"/><Relationship Id="rId1735" Type="http://schemas.openxmlformats.org/officeDocument/2006/relationships/hyperlink" Target="https://www.gem.wiki/V%C3%ADa_Verde_Project" TargetMode="External"/><Relationship Id="rId1942" Type="http://schemas.openxmlformats.org/officeDocument/2006/relationships/hyperlink" Target="https://www.gem.wiki/Rayong-Bang_Pakong_2_Gas_Pipeline" TargetMode="External"/><Relationship Id="rId27" Type="http://schemas.openxmlformats.org/officeDocument/2006/relationships/hyperlink" Target="https://www.gem.wiki/Columbia_Gas_Transmission" TargetMode="External"/><Relationship Id="rId1802" Type="http://schemas.openxmlformats.org/officeDocument/2006/relationships/hyperlink" Target="https://www.gem.wiki/Atacama_Gas_Pipeline" TargetMode="External"/><Relationship Id="rId688" Type="http://schemas.openxmlformats.org/officeDocument/2006/relationships/hyperlink" Target="https://www.gem.wiki/Paterna-Tivissa_Gas_Pipeline" TargetMode="External"/><Relationship Id="rId895" Type="http://schemas.openxmlformats.org/officeDocument/2006/relationships/hyperlink" Target="https://www.gem.wiki/Port_Kembla_to_EGP_Gas_Pipeline" TargetMode="External"/><Relationship Id="rId2369" Type="http://schemas.openxmlformats.org/officeDocument/2006/relationships/hyperlink" Target="https://www.gem.wiki/Sawan-_Qadirpur_Gas_Pipeline" TargetMode="External"/><Relationship Id="rId2576" Type="http://schemas.openxmlformats.org/officeDocument/2006/relationships/hyperlink" Target="https://www.gem.wiki/Malborghetto-Camisano_Gas_Pipeline" TargetMode="External"/><Relationship Id="rId2783" Type="http://schemas.openxmlformats.org/officeDocument/2006/relationships/hyperlink" Target="https://www.gem.wiki/Inner_Mongolia_Gas_Pipeline_Network" TargetMode="External"/><Relationship Id="rId2990" Type="http://schemas.openxmlformats.org/officeDocument/2006/relationships/hyperlink" Target="https://www.gem.wiki/Shanshan-Wulumuqi_Pipeline" TargetMode="External"/><Relationship Id="rId548" Type="http://schemas.openxmlformats.org/officeDocument/2006/relationships/hyperlink" Target="https://www.gem.wiki/Gresik-Pusri_Gas_Pipeline" TargetMode="External"/><Relationship Id="rId755" Type="http://schemas.openxmlformats.org/officeDocument/2006/relationships/hyperlink" Target="https://www.gem.wiki/103D-103A_gas_pipeline" TargetMode="External"/><Relationship Id="rId962" Type="http://schemas.openxmlformats.org/officeDocument/2006/relationships/hyperlink" Target="https://www.gem.wiki/Minamiashigara_Pipeline" TargetMode="External"/><Relationship Id="rId1178" Type="http://schemas.openxmlformats.org/officeDocument/2006/relationships/hyperlink" Target="https://www.gem.wiki/Appalachian_Gateway_Pipeline" TargetMode="External"/><Relationship Id="rId1385" Type="http://schemas.openxmlformats.org/officeDocument/2006/relationships/hyperlink" Target="https://gem.wiki/Donges&#8211;Paris_Gas_Pipeline" TargetMode="External"/><Relationship Id="rId1592" Type="http://schemas.openxmlformats.org/officeDocument/2006/relationships/hyperlink" Target="https://www.gem.wiki/Dhanua-Elenga_and_Bangabandhu_Bridge-Nalka_Gas_Transmission_Pipeline" TargetMode="External"/><Relationship Id="rId2229" Type="http://schemas.openxmlformats.org/officeDocument/2006/relationships/hyperlink" Target="https://www.gem.wiki/Tarek%E2%80%93Ameryia_Gas_Pipeline" TargetMode="External"/><Relationship Id="rId2436" Type="http://schemas.openxmlformats.org/officeDocument/2006/relationships/hyperlink" Target="https://www.gem.wiki/Novorzhev-Pushkinskiye_Gory_Gas_Pipeline" TargetMode="External"/><Relationship Id="rId2643" Type="http://schemas.openxmlformats.org/officeDocument/2006/relationships/hyperlink" Target="https://www.gem.wiki/Odolanow-Latynia_Gas_Pipeline" TargetMode="External"/><Relationship Id="rId2850" Type="http://schemas.openxmlformats.org/officeDocument/2006/relationships/hyperlink" Target="https://www.gem.wiki/Anhui_Gas_Pipeline_Network" TargetMode="External"/><Relationship Id="rId91" Type="http://schemas.openxmlformats.org/officeDocument/2006/relationships/hyperlink" Target="https://www.gem.wiki/Panhandle_Eastern_Gas_Pipeline" TargetMode="External"/><Relationship Id="rId408" Type="http://schemas.openxmlformats.org/officeDocument/2006/relationships/hyperlink" Target="https://www.gem.wiki/Korpeje-Kordkuy_Gas_Pipeline" TargetMode="External"/><Relationship Id="rId615" Type="http://schemas.openxmlformats.org/officeDocument/2006/relationships/hyperlink" Target="https://www.gem.wiki/Izumisawa_Pipeline" TargetMode="External"/><Relationship Id="rId822" Type="http://schemas.openxmlformats.org/officeDocument/2006/relationships/hyperlink" Target="https://www.gem.wiki/Depco-Abqaiq_gas_pipeline" TargetMode="External"/><Relationship Id="rId1038" Type="http://schemas.openxmlformats.org/officeDocument/2006/relationships/hyperlink" Target="https://www.gem.wiki/African_Renaissance_Gas_Pipeline" TargetMode="External"/><Relationship Id="rId1245" Type="http://schemas.openxmlformats.org/officeDocument/2006/relationships/hyperlink" Target="https://www.gem.wiki/Gasoducto_Sierrita" TargetMode="External"/><Relationship Id="rId1452" Type="http://schemas.openxmlformats.org/officeDocument/2006/relationships/hyperlink" Target="https://gem.wiki/Lussagnet&#8211;Lacq_Gas_Pipeline" TargetMode="External"/><Relationship Id="rId2503" Type="http://schemas.openxmlformats.org/officeDocument/2006/relationships/hyperlink" Target="https://www.gem.wiki/Genser_Natural_Gas_Pipeline_Network" TargetMode="External"/><Relationship Id="rId1105" Type="http://schemas.openxmlformats.org/officeDocument/2006/relationships/hyperlink" Target="https://www.gem.wiki/Power_of_Siberia_Gas_Pipeline" TargetMode="External"/><Relationship Id="rId1312" Type="http://schemas.openxmlformats.org/officeDocument/2006/relationships/hyperlink" Target="https://www.gem.wiki/Sajaa%E2%80%93Jebel_Dhana_Gas_Pipeline" TargetMode="External"/><Relationship Id="rId2710" Type="http://schemas.openxmlformats.org/officeDocument/2006/relationships/hyperlink" Target="https://www.gem.wiki/DTE_Michigan_Lateral_Gas_Pipeline" TargetMode="External"/><Relationship Id="rId3277" Type="http://schemas.openxmlformats.org/officeDocument/2006/relationships/hyperlink" Target="https://www.gem.wiki/Shaan-Jing_Gas_Pipeline_4" TargetMode="External"/><Relationship Id="rId198" Type="http://schemas.openxmlformats.org/officeDocument/2006/relationships/hyperlink" Target="https://www.gem.wiki/Gasoducto_Paso_Norte" TargetMode="External"/><Relationship Id="rId2086" Type="http://schemas.openxmlformats.org/officeDocument/2006/relationships/hyperlink" Target="https://www.gem.wiki/Hazira-Ankleshwar_Gas_Pipeline" TargetMode="External"/><Relationship Id="rId2293" Type="http://schemas.openxmlformats.org/officeDocument/2006/relationships/hyperlink" Target="https://www.gem.wiki/Zaterechny_Gas_Distribution_Station_Gas_Pipeline" TargetMode="External"/><Relationship Id="rId3137" Type="http://schemas.openxmlformats.org/officeDocument/2006/relationships/hyperlink" Target="https://www.gem.wiki/Hunan_Gas_Pipeline_Network" TargetMode="External"/><Relationship Id="rId3344" Type="http://schemas.openxmlformats.org/officeDocument/2006/relationships/hyperlink" Target="https://www.gem.wiki/Hainan_Haikou%E2%80%93Guangdong_Xvwen_Pipeline" TargetMode="External"/><Relationship Id="rId265" Type="http://schemas.openxmlformats.org/officeDocument/2006/relationships/hyperlink" Target="https://www.gem.wiki/IGAT_7_Gas_Pipeline" TargetMode="External"/><Relationship Id="rId472" Type="http://schemas.openxmlformats.org/officeDocument/2006/relationships/hyperlink" Target="https://www.gem.wiki/Bibiyana-Dhanua_Gas_Pipeline" TargetMode="External"/><Relationship Id="rId2153" Type="http://schemas.openxmlformats.org/officeDocument/2006/relationships/hyperlink" Target="https://www.gem.wiki/Israel%E2%80%93Egypt_Offshore_Gas_Pipeline" TargetMode="External"/><Relationship Id="rId2360" Type="http://schemas.openxmlformats.org/officeDocument/2006/relationships/hyperlink" Target="https://www.gem.wiki/North_Brooklyn_Pipeline" TargetMode="External"/><Relationship Id="rId3204" Type="http://schemas.openxmlformats.org/officeDocument/2006/relationships/hyperlink" Target="https://www.gem.wiki/Guizhou_Gas_Pipeline_Network" TargetMode="External"/><Relationship Id="rId125" Type="http://schemas.openxmlformats.org/officeDocument/2006/relationships/hyperlink" Target="https://www.gem.wiki/Transwestern_Gas_Pipeline" TargetMode="External"/><Relationship Id="rId332" Type="http://schemas.openxmlformats.org/officeDocument/2006/relationships/hyperlink" Target="https://www.gem.wiki/South_Tunisia_Gas_Project_pipeline" TargetMode="External"/><Relationship Id="rId2013" Type="http://schemas.openxmlformats.org/officeDocument/2006/relationships/hyperlink" Target="https://www.gem.wiki/Gudrun_Gas_Pipeline" TargetMode="External"/><Relationship Id="rId2220" Type="http://schemas.openxmlformats.org/officeDocument/2006/relationships/hyperlink" Target="https://www.gem.wiki/GR-4_Gas_Pipeline" TargetMode="External"/><Relationship Id="rId1779" Type="http://schemas.openxmlformats.org/officeDocument/2006/relationships/hyperlink" Target="https://www.gem.wiki/Yadana_Gas_Pipeline_1" TargetMode="External"/><Relationship Id="rId1986" Type="http://schemas.openxmlformats.org/officeDocument/2006/relationships/hyperlink" Target="https://www.gem.wiki/Northern_Lights_Gas_Pipeline" TargetMode="External"/><Relationship Id="rId1639" Type="http://schemas.openxmlformats.org/officeDocument/2006/relationships/hyperlink" Target="https://www.gem.wiki/Dakota_Natural_Gas_Pipeline" TargetMode="External"/><Relationship Id="rId1846" Type="http://schemas.openxmlformats.org/officeDocument/2006/relationships/hyperlink" Target="https://www.gem.wiki/Tamazunchale_Gas_Pipeline" TargetMode="External"/><Relationship Id="rId3061" Type="http://schemas.openxmlformats.org/officeDocument/2006/relationships/hyperlink" Target="https://www.gem.wiki/Henan_Gas_Pipeline_Network" TargetMode="External"/><Relationship Id="rId1706" Type="http://schemas.openxmlformats.org/officeDocument/2006/relationships/hyperlink" Target="https://www.gem.wiki/Khulna-Bagerhat-Pirojpur-Jhalokathi-Barishal_Gas_Transmission_Pipeline_Project" TargetMode="External"/><Relationship Id="rId1913" Type="http://schemas.openxmlformats.org/officeDocument/2006/relationships/hyperlink" Target="https://www.gem.wiki/Steady_Eddy_Pipeline" TargetMode="External"/><Relationship Id="rId799" Type="http://schemas.openxmlformats.org/officeDocument/2006/relationships/hyperlink" Target="https://www.gem.wiki/Safianah-Juanymah_gas_pipeline" TargetMode="External"/><Relationship Id="rId2687" Type="http://schemas.openxmlformats.org/officeDocument/2006/relationships/hyperlink" Target="https://www.gem.wiki/Istrana%E2%80%93Mira_Gas_Pipeline" TargetMode="External"/><Relationship Id="rId2894" Type="http://schemas.openxmlformats.org/officeDocument/2006/relationships/hyperlink" Target="https://www.gem.wiki/Shanxi_Natural_Gas_Pipeline_Network" TargetMode="External"/><Relationship Id="rId659" Type="http://schemas.openxmlformats.org/officeDocument/2006/relationships/hyperlink" Target="https://www.gem.wiki/Almer%C3%ADa-Chinchilla_Gas_Pipeline" TargetMode="External"/><Relationship Id="rId866" Type="http://schemas.openxmlformats.org/officeDocument/2006/relationships/hyperlink" Target="https://www.gem.wiki/Medgaz_Gas_Pipeline" TargetMode="External"/><Relationship Id="rId1289" Type="http://schemas.openxmlformats.org/officeDocument/2006/relationships/hyperlink" Target="https://www.gem.wiki/Gasoduto_do_Brasil_Central" TargetMode="External"/><Relationship Id="rId1496" Type="http://schemas.openxmlformats.org/officeDocument/2006/relationships/hyperlink" Target="https://gem.wiki/Oricola&#8211;Sulmona_Gas_Pipeline" TargetMode="External"/><Relationship Id="rId2547" Type="http://schemas.openxmlformats.org/officeDocument/2006/relationships/hyperlink" Target="https://www.gem.wiki/Genser_Natural_Gas_Pipeline_Network" TargetMode="External"/><Relationship Id="rId519" Type="http://schemas.openxmlformats.org/officeDocument/2006/relationships/hyperlink" Target="https://www.gem.wiki/Gasoducto_Drag%C3%B3n" TargetMode="External"/><Relationship Id="rId1149" Type="http://schemas.openxmlformats.org/officeDocument/2006/relationships/hyperlink" Target="https://gem.wiki/Phased_Gas_Pipeline_Network" TargetMode="External"/><Relationship Id="rId1356" Type="http://schemas.openxmlformats.org/officeDocument/2006/relationships/hyperlink" Target="https://gem.wiki/Calderari_Enna&#8211;Gela_Gas_Pipeline" TargetMode="External"/><Relationship Id="rId2754" Type="http://schemas.openxmlformats.org/officeDocument/2006/relationships/hyperlink" Target="https://www.gem.wiki/Yunnan_Gas_Pipeline_Network" TargetMode="External"/><Relationship Id="rId2961" Type="http://schemas.openxmlformats.org/officeDocument/2006/relationships/hyperlink" Target="https://www.gem.wiki/Guangdong_Dapeng_LNG_Terminal_Transport_Pipeline" TargetMode="External"/><Relationship Id="rId726" Type="http://schemas.openxmlformats.org/officeDocument/2006/relationships/hyperlink" Target="https://www.gem.wiki/Britannia%E2%80%93St._Fergus_Pipeline" TargetMode="External"/><Relationship Id="rId933" Type="http://schemas.openxmlformats.org/officeDocument/2006/relationships/hyperlink" Target="https://www.gem.wiki/Keihin_Gas_Pipeline" TargetMode="External"/><Relationship Id="rId1009" Type="http://schemas.openxmlformats.org/officeDocument/2006/relationships/hyperlink" Target="https://www.gem.wiki/Langtala-Jodhpur-Pali_Gas_Pipeline" TargetMode="External"/><Relationship Id="rId1563" Type="http://schemas.openxmlformats.org/officeDocument/2006/relationships/hyperlink" Target="https://gem.wiki/Veseli_Nad_Luznici&#8211;Hostim_Gas_Pipeline" TargetMode="External"/><Relationship Id="rId1770" Type="http://schemas.openxmlformats.org/officeDocument/2006/relationships/hyperlink" Target="https://gem.wiki/Tanami_Gas_Pipeline" TargetMode="External"/><Relationship Id="rId2407" Type="http://schemas.openxmlformats.org/officeDocument/2006/relationships/hyperlink" Target="https://www.gem.wiki/Petange-Esch_sur_Alzette_Gas_Pipeline" TargetMode="External"/><Relationship Id="rId2614" Type="http://schemas.openxmlformats.org/officeDocument/2006/relationships/hyperlink" Target="https://www.gem.wiki/Adjovscina-Koper_Gas_Pipeline" TargetMode="External"/><Relationship Id="rId2821" Type="http://schemas.openxmlformats.org/officeDocument/2006/relationships/hyperlink" Target="https://www.gem.wiki/Dagang%E2%80%93Yongqing_Gas_Pipelines_(1%E2%80%933)" TargetMode="External"/><Relationship Id="rId62" Type="http://schemas.openxmlformats.org/officeDocument/2006/relationships/hyperlink" Target="https://www.gem.wiki/Kern_River_Gas_Pipeline" TargetMode="External"/><Relationship Id="rId1216" Type="http://schemas.openxmlformats.org/officeDocument/2006/relationships/hyperlink" Target="https://www.gem.wiki/MoGas_Pipeline" TargetMode="External"/><Relationship Id="rId1423" Type="http://schemas.openxmlformats.org/officeDocument/2006/relationships/hyperlink" Target="https://gem.wiki/Hospozin&#8211;Dobr&#233;_Pole_Gas_Pipeline" TargetMode="External"/><Relationship Id="rId1630" Type="http://schemas.openxmlformats.org/officeDocument/2006/relationships/hyperlink" Target="https://www.gem.wiki/Ule-Amuay_Gas_Pipeline" TargetMode="External"/><Relationship Id="rId2197" Type="http://schemas.openxmlformats.org/officeDocument/2006/relationships/hyperlink" Target="https://www.gem.wiki/Hassi_R%27Mel-El_Aricha_gas_pipeline" TargetMode="External"/><Relationship Id="rId3248" Type="http://schemas.openxmlformats.org/officeDocument/2006/relationships/hyperlink" Target="https://www.gem.wiki/Ordos-Anping-Cangzhou_Gas_Pipeline" TargetMode="External"/><Relationship Id="rId169" Type="http://schemas.openxmlformats.org/officeDocument/2006/relationships/hyperlink" Target="https://www.gem.wiki/Arkoma_Residue_Capacity_Pipeline" TargetMode="External"/><Relationship Id="rId376" Type="http://schemas.openxmlformats.org/officeDocument/2006/relationships/hyperlink" Target="https://www.gem.wiki/Polarled_Gas_Pipeline" TargetMode="External"/><Relationship Id="rId583" Type="http://schemas.openxmlformats.org/officeDocument/2006/relationships/hyperlink" Target="https://www.gem.wiki/Novopskov-Aksai-Mozdok_Pipeline" TargetMode="External"/><Relationship Id="rId790" Type="http://schemas.openxmlformats.org/officeDocument/2006/relationships/hyperlink" Target="https://www.gem.wiki/Obiafu-Rumuji_gas_pipeline" TargetMode="External"/><Relationship Id="rId2057" Type="http://schemas.openxmlformats.org/officeDocument/2006/relationships/hyperlink" Target="https://www.gem.wiki/GLNG_Pipeline" TargetMode="External"/><Relationship Id="rId2264" Type="http://schemas.openxmlformats.org/officeDocument/2006/relationships/hyperlink" Target="https://www.gem.wiki/Hungary-Austria_Interconnector_Gas_Pipeline" TargetMode="External"/><Relationship Id="rId2471" Type="http://schemas.openxmlformats.org/officeDocument/2006/relationships/hyperlink" Target="https://www.gem.wiki/Los_Ramones_Gas_Pipeline" TargetMode="External"/><Relationship Id="rId3108" Type="http://schemas.openxmlformats.org/officeDocument/2006/relationships/hyperlink" Target="https://www.gem.wiki/Hubei_Gas_Pipeline_Network" TargetMode="External"/><Relationship Id="rId3315" Type="http://schemas.openxmlformats.org/officeDocument/2006/relationships/hyperlink" Target="https://www.hlj.gov.cn/n200/2020/1213/c35-11012253.html" TargetMode="External"/><Relationship Id="rId236" Type="http://schemas.openxmlformats.org/officeDocument/2006/relationships/hyperlink" Target="https://www.gem.wiki/Ramal_Hermosillo_Gas_Pipeline" TargetMode="External"/><Relationship Id="rId443" Type="http://schemas.openxmlformats.org/officeDocument/2006/relationships/hyperlink" Target="https://www.gem.wiki/Orenburg_Novopskov_Pipeline" TargetMode="External"/><Relationship Id="rId650" Type="http://schemas.openxmlformats.org/officeDocument/2006/relationships/hyperlink" Target="https://www.gem.wiki/Chuen-Fukuroi_Line" TargetMode="External"/><Relationship Id="rId1073" Type="http://schemas.openxmlformats.org/officeDocument/2006/relationships/hyperlink" Target="https://www.gem.wiki/Titas-Dhaka_Gas_Pipeline" TargetMode="External"/><Relationship Id="rId1280" Type="http://schemas.openxmlformats.org/officeDocument/2006/relationships/hyperlink" Target="https://www.gem.wiki/N%C3%A9stor_Kirchner_Gas_Pipeline" TargetMode="External"/><Relationship Id="rId2124" Type="http://schemas.openxmlformats.org/officeDocument/2006/relationships/hyperlink" Target="https://www.gem.wiki/Northern_Gas_Pipeline" TargetMode="External"/><Relationship Id="rId2331" Type="http://schemas.openxmlformats.org/officeDocument/2006/relationships/hyperlink" Target="https://www.gem.wiki/North_Rumela-Al-Najaf_Gas_Pipeline" TargetMode="External"/><Relationship Id="rId303" Type="http://schemas.openxmlformats.org/officeDocument/2006/relationships/hyperlink" Target="https://www.gem.wiki/Libya_Coastal_Gas_Pipeline" TargetMode="External"/><Relationship Id="rId1140" Type="http://schemas.openxmlformats.org/officeDocument/2006/relationships/hyperlink" Target="https://www.gem.wiki/Valdai-Pskov-Riga_Gas_Pipeline" TargetMode="External"/><Relationship Id="rId510" Type="http://schemas.openxmlformats.org/officeDocument/2006/relationships/hyperlink" Target="https://www.gem.wiki/Route_6a_Gas_Pipeline" TargetMode="External"/><Relationship Id="rId1000" Type="http://schemas.openxmlformats.org/officeDocument/2006/relationships/hyperlink" Target="https://www.gem.wiki/Atuabo%E2%80%93Aboadze_Gas_Pipeline" TargetMode="External"/><Relationship Id="rId1957" Type="http://schemas.openxmlformats.org/officeDocument/2006/relationships/hyperlink" Target="https://www.gem.wiki/Dadri-Panipat_Gas_Pipeline" TargetMode="External"/><Relationship Id="rId1817" Type="http://schemas.openxmlformats.org/officeDocument/2006/relationships/hyperlink" Target="https://www.gem.wiki/Bea%C3%A7o_Gas_Pipeline" TargetMode="External"/><Relationship Id="rId3172" Type="http://schemas.openxmlformats.org/officeDocument/2006/relationships/hyperlink" Target="https://www.gem.wiki/West-East_Gas_Pipeline_3" TargetMode="External"/><Relationship Id="rId3032" Type="http://schemas.openxmlformats.org/officeDocument/2006/relationships/hyperlink" Target="https://www.gem.wiki/Jiangxi_Natural_Gas_Pipeline_Network" TargetMode="External"/><Relationship Id="rId160" Type="http://schemas.openxmlformats.org/officeDocument/2006/relationships/hyperlink" Target="https://www.gem.wiki/Adelphia_Gateway_Pipeline" TargetMode="External"/><Relationship Id="rId2798" Type="http://schemas.openxmlformats.org/officeDocument/2006/relationships/hyperlink" Target="https://www.gem.wiki/Baotou-Linhe_Gas_pipeline" TargetMode="External"/><Relationship Id="rId977" Type="http://schemas.openxmlformats.org/officeDocument/2006/relationships/hyperlink" Target="https://www.gem.wiki/Shin-Yachiyo_Gas_Pipeline" TargetMode="External"/><Relationship Id="rId2658" Type="http://schemas.openxmlformats.org/officeDocument/2006/relationships/hyperlink" Target="https://www.gem.wiki/Prahovo-Nis_Gas_Pipeline" TargetMode="External"/><Relationship Id="rId2865" Type="http://schemas.openxmlformats.org/officeDocument/2006/relationships/hyperlink" Target="https://www.gem.wiki/Tai%27an-Qingdao-Weihai_Gas_Pipeline" TargetMode="External"/><Relationship Id="rId837" Type="http://schemas.openxmlformats.org/officeDocument/2006/relationships/hyperlink" Target="https://www.gem.wiki/Nova_Gas_Transmission_(NGTL)_Pipeline" TargetMode="External"/><Relationship Id="rId1467" Type="http://schemas.openxmlformats.org/officeDocument/2006/relationships/hyperlink" Target="https://gem.wiki/Mediesu_Aurit&#8211;Khust_Gas_Pipeline" TargetMode="External"/><Relationship Id="rId1674" Type="http://schemas.openxmlformats.org/officeDocument/2006/relationships/hyperlink" Target="https://www.gem.wiki/East_Med_Gas_Pipeline" TargetMode="External"/><Relationship Id="rId1881" Type="http://schemas.openxmlformats.org/officeDocument/2006/relationships/hyperlink" Target="https://www.gem.wiki/Shebelinka%E2%80%93Slovyansk_Gas_Pipeline" TargetMode="External"/><Relationship Id="rId2518" Type="http://schemas.openxmlformats.org/officeDocument/2006/relationships/hyperlink" Target="https://www.gem.wiki/Wijngaarden%E2%80%93Schmeeda_Gas_Pipeline" TargetMode="External"/><Relationship Id="rId2725" Type="http://schemas.openxmlformats.org/officeDocument/2006/relationships/hyperlink" Target="https://www.gem.wiki/South_Caucasus_Gas_Pipeline" TargetMode="External"/><Relationship Id="rId2932" Type="http://schemas.openxmlformats.org/officeDocument/2006/relationships/hyperlink" Target="https://www.gem.wiki/Guangdong_Gas_Pipeline_Network_Phase_II" TargetMode="External"/><Relationship Id="rId904" Type="http://schemas.openxmlformats.org/officeDocument/2006/relationships/hyperlink" Target="https://www.gem.wiki/Dobrish-Silistra_Gas_Pipeline" TargetMode="External"/><Relationship Id="rId1327" Type="http://schemas.openxmlformats.org/officeDocument/2006/relationships/hyperlink" Target="https://www.gem.wiki/Illats%E2%80%93Montauban-Toulouse_Gas_Pipeline" TargetMode="External"/><Relationship Id="rId1534" Type="http://schemas.openxmlformats.org/officeDocument/2006/relationships/hyperlink" Target="https://gem.wiki/Scheemda&#8211;Schuilenburg_Gas_Pipeline" TargetMode="External"/><Relationship Id="rId1741" Type="http://schemas.openxmlformats.org/officeDocument/2006/relationships/hyperlink" Target="https://www.gem.wiki/Beharra_Springs_Pipeline" TargetMode="External"/><Relationship Id="rId33" Type="http://schemas.openxmlformats.org/officeDocument/2006/relationships/hyperlink" Target="https://www.gem.wiki/Destin_Gas_Pipeline" TargetMode="External"/><Relationship Id="rId1601" Type="http://schemas.openxmlformats.org/officeDocument/2006/relationships/hyperlink" Target="https://www.gem.wiki/Gasoducto_Colpa-Warnes" TargetMode="External"/><Relationship Id="rId487" Type="http://schemas.openxmlformats.org/officeDocument/2006/relationships/hyperlink" Target="https://www.gem.wiki/Kailashtila-Chhatak_Gas_Pipeline" TargetMode="External"/><Relationship Id="rId694" Type="http://schemas.openxmlformats.org/officeDocument/2006/relationships/hyperlink" Target="https://www.gem.wiki/Goldeneye_Field%E2%80%93St._Fergus_Pipeline" TargetMode="External"/><Relationship Id="rId2168" Type="http://schemas.openxmlformats.org/officeDocument/2006/relationships/hyperlink" Target="https://www.gem.wiki/Vladimir_Filanovsky_Gas_Pipeline" TargetMode="External"/><Relationship Id="rId2375" Type="http://schemas.openxmlformats.org/officeDocument/2006/relationships/hyperlink" Target="https://www.gem.wiki/Olonets-Pitkyaranta_Gas_Pipeline" TargetMode="External"/><Relationship Id="rId3219" Type="http://schemas.openxmlformats.org/officeDocument/2006/relationships/hyperlink" Target="https://www.gem.wiki/Guizhou_Gas_Pipeline_Network" TargetMode="External"/><Relationship Id="rId347" Type="http://schemas.openxmlformats.org/officeDocument/2006/relationships/hyperlink" Target="https://www.gem.wiki/Balticconnector_Gas_Pipeline" TargetMode="External"/><Relationship Id="rId1184" Type="http://schemas.openxmlformats.org/officeDocument/2006/relationships/hyperlink" Target="https://www.gem.wiki/Rockies_Express_Gas_Pipeline" TargetMode="External"/><Relationship Id="rId2028" Type="http://schemas.openxmlformats.org/officeDocument/2006/relationships/hyperlink" Target="https://www.gem.wiki/SEAL_Gas_Pipeline" TargetMode="External"/><Relationship Id="rId2582" Type="http://schemas.openxmlformats.org/officeDocument/2006/relationships/hyperlink" Target="https://www.gem.wiki/Rognano-Mortara_Gas_Pipeline" TargetMode="External"/><Relationship Id="rId554" Type="http://schemas.openxmlformats.org/officeDocument/2006/relationships/hyperlink" Target="https://www.gem.wiki/Brandan-Wampu_Gas_Pipeline" TargetMode="External"/><Relationship Id="rId761" Type="http://schemas.openxmlformats.org/officeDocument/2006/relationships/hyperlink" Target="https://www.gem.wiki/Brega-Khoms_gas_pipeline" TargetMode="External"/><Relationship Id="rId1391" Type="http://schemas.openxmlformats.org/officeDocument/2006/relationships/hyperlink" Target="https://gem.wiki/Odolanow&#8211;Husow_Gas_Pipeline" TargetMode="External"/><Relationship Id="rId2235" Type="http://schemas.openxmlformats.org/officeDocument/2006/relationships/hyperlink" Target="https://egyptoil-gas.com/wp-content/uploads/2020/03/The-Western-Desert-Egypt%E2%80%99s-Giant-Petroleum-Reservoir-.pdf" TargetMode="External"/><Relationship Id="rId2442" Type="http://schemas.openxmlformats.org/officeDocument/2006/relationships/hyperlink" Target="https://www.gem.wiki/Pushkinskiye_Gory-Opochka_Gas_Pipeline" TargetMode="External"/><Relationship Id="rId207" Type="http://schemas.openxmlformats.org/officeDocument/2006/relationships/hyperlink" Target="https://www.gem.wiki/Gasoducto_Angelin" TargetMode="External"/><Relationship Id="rId414" Type="http://schemas.openxmlformats.org/officeDocument/2006/relationships/hyperlink" Target="https://www.gem.wiki/Northern_Tyumen_Regions_(SRTO)%E2%80%93Torzhok_Gas_Pipeline" TargetMode="External"/><Relationship Id="rId621" Type="http://schemas.openxmlformats.org/officeDocument/2006/relationships/hyperlink" Target="https://www.gem.wiki/Izumi_line" TargetMode="External"/><Relationship Id="rId1044" Type="http://schemas.openxmlformats.org/officeDocument/2006/relationships/hyperlink" Target="https://www.gem.wiki/Escravos%E2%80%93Lagos_Pipeline_System" TargetMode="External"/><Relationship Id="rId1251" Type="http://schemas.openxmlformats.org/officeDocument/2006/relationships/hyperlink" Target="https://www.gem.wiki/Florida_Gas_Transmission_Pipeline" TargetMode="External"/><Relationship Id="rId2302" Type="http://schemas.openxmlformats.org/officeDocument/2006/relationships/hyperlink" Target="https://www.gem.wiki/PS-4%E2%80%93Ras_Laffan_Gas_Pipelines" TargetMode="External"/><Relationship Id="rId1111" Type="http://schemas.openxmlformats.org/officeDocument/2006/relationships/hyperlink" Target="https://www.gem.wiki/Orenburg-Zainsk_Gas_Pipeline" TargetMode="External"/><Relationship Id="rId3076" Type="http://schemas.openxmlformats.org/officeDocument/2006/relationships/hyperlink" Target="https://www.gem.wiki/Yima-Zhengzhou_gas_pipeline" TargetMode="External"/><Relationship Id="rId3283" Type="http://schemas.openxmlformats.org/officeDocument/2006/relationships/hyperlink" Target="https://www.gem.wiki/Shaanxi_Gas_Pipeline_Network" TargetMode="External"/><Relationship Id="rId1928" Type="http://schemas.openxmlformats.org/officeDocument/2006/relationships/hyperlink" Target="https://www.gem.wiki/Erawan-Rayong_Gas_Pipeline_3" TargetMode="External"/><Relationship Id="rId2092" Type="http://schemas.openxmlformats.org/officeDocument/2006/relationships/hyperlink" Target="https://www.gem.wiki/North_Bakken_Expansion_Pipeline" TargetMode="External"/><Relationship Id="rId3143" Type="http://schemas.openxmlformats.org/officeDocument/2006/relationships/hyperlink" Target="https://www.gem.wiki/Hunan_Gas_Pipeline_Network" TargetMode="External"/><Relationship Id="rId3350" Type="http://schemas.openxmlformats.org/officeDocument/2006/relationships/table" Target="../tables/table5.xml"/><Relationship Id="rId271" Type="http://schemas.openxmlformats.org/officeDocument/2006/relationships/hyperlink" Target="https://www.gem.wiki/Iran-Pakistan_Pipeline" TargetMode="External"/><Relationship Id="rId3003" Type="http://schemas.openxmlformats.org/officeDocument/2006/relationships/hyperlink" Target="https://www.gem.wiki/Yulin-Jinan_Pipeline" TargetMode="External"/><Relationship Id="rId131" Type="http://schemas.openxmlformats.org/officeDocument/2006/relationships/hyperlink" Target="https://www.gem.wiki/WB_Xpress_Gas_Pipeline" TargetMode="External"/><Relationship Id="rId3210" Type="http://schemas.openxmlformats.org/officeDocument/2006/relationships/hyperlink" Target="https://www.gem.wiki/Guizhou_Gas_Pipeline_Network" TargetMode="External"/><Relationship Id="rId2769" Type="http://schemas.openxmlformats.org/officeDocument/2006/relationships/hyperlink" Target="https://www.gem.wiki/Hebei-Nanjing_Connecting_Pipeline" TargetMode="External"/><Relationship Id="rId2976" Type="http://schemas.openxmlformats.org/officeDocument/2006/relationships/hyperlink" Target="https://www.gem.wiki/Guangxi_Gas_Pipeline_Network" TargetMode="External"/><Relationship Id="rId948" Type="http://schemas.openxmlformats.org/officeDocument/2006/relationships/hyperlink" Target="https://www.gem.wiki/Kumagaya-Sano_Gas_Pipeline" TargetMode="External"/><Relationship Id="rId1578" Type="http://schemas.openxmlformats.org/officeDocument/2006/relationships/hyperlink" Target="https://www.gem.wiki/Zeebrugge%E2%80%93Bacton_Gas_Pipeline" TargetMode="External"/><Relationship Id="rId1785" Type="http://schemas.openxmlformats.org/officeDocument/2006/relationships/hyperlink" Target="https://www.gem.wiki/Saryarka_Gas_Pipeline" TargetMode="External"/><Relationship Id="rId1992" Type="http://schemas.openxmlformats.org/officeDocument/2006/relationships/hyperlink" Target="https://www.gem.wiki/Cluden_to_Brighouse_Bay_Gas_Pipeline" TargetMode="External"/><Relationship Id="rId2629" Type="http://schemas.openxmlformats.org/officeDocument/2006/relationships/hyperlink" Target="https://www.gem.wiki/Romanian_National_Transmission_System" TargetMode="External"/><Relationship Id="rId2836" Type="http://schemas.openxmlformats.org/officeDocument/2006/relationships/hyperlink" Target="https://www.gem.wiki/Anhui_Gas_Pipeline_Network" TargetMode="External"/><Relationship Id="rId77" Type="http://schemas.openxmlformats.org/officeDocument/2006/relationships/hyperlink" Target="https://www.gem.wiki/Natural_Gas_Pipeline_Company_of_America" TargetMode="External"/><Relationship Id="rId808" Type="http://schemas.openxmlformats.org/officeDocument/2006/relationships/hyperlink" Target="https://www.gem.wiki/UBTG-1-km0-UBTG-1-km56_2_gas_pipeline" TargetMode="External"/><Relationship Id="rId1438" Type="http://schemas.openxmlformats.org/officeDocument/2006/relationships/hyperlink" Target="https://gem.wiki/Kulata&#8211;Petrich_Gas_Pipeline" TargetMode="External"/><Relationship Id="rId1645" Type="http://schemas.openxmlformats.org/officeDocument/2006/relationships/hyperlink" Target="https://www.gem.wiki/Santa_Fe_Mainline_Gas_Pipeline" TargetMode="External"/><Relationship Id="rId1852" Type="http://schemas.openxmlformats.org/officeDocument/2006/relationships/hyperlink" Target="https://www.gem.wiki/Gasoducto_San_Fernando" TargetMode="External"/><Relationship Id="rId2903" Type="http://schemas.openxmlformats.org/officeDocument/2006/relationships/hyperlink" Target="https://www.gem.wiki/Sichuan%E2%80%93Shanghai_Gas_Pipeline" TargetMode="External"/><Relationship Id="rId1505" Type="http://schemas.openxmlformats.org/officeDocument/2006/relationships/hyperlink" Target="https://gem.wiki/Plavecky&#8211;Nitra_Gas_Pipeline" TargetMode="External"/><Relationship Id="rId1712" Type="http://schemas.openxmlformats.org/officeDocument/2006/relationships/hyperlink" Target="https://www.gem.wiki/Maui_Pipeline" TargetMode="External"/><Relationship Id="rId598" Type="http://schemas.openxmlformats.org/officeDocument/2006/relationships/hyperlink" Target="https://www.gem.wiki/Tanjung_Batu-Muara_Badak_Gas_Pipeline" TargetMode="External"/><Relationship Id="rId2279" Type="http://schemas.openxmlformats.org/officeDocument/2006/relationships/hyperlink" Target="https://www.gem.wiki/Tyukalinsk-Valuevskaya-Nalimovskaya-Nazyvaevsk_Gas_Pipelinee" TargetMode="External"/><Relationship Id="rId2486" Type="http://schemas.openxmlformats.org/officeDocument/2006/relationships/hyperlink" Target="https://www.gem.wiki/Eje_Levante_Gas_Pipeline" TargetMode="External"/><Relationship Id="rId2693" Type="http://schemas.openxmlformats.org/officeDocument/2006/relationships/hyperlink" Target="https://www.gem.wiki/Klaipeda-Kursenai_Gas_Pipeline" TargetMode="External"/><Relationship Id="rId458" Type="http://schemas.openxmlformats.org/officeDocument/2006/relationships/hyperlink" Target="https://www.gem.wiki/Sakhalin-Hokkaido_Gas_Pipeline" TargetMode="External"/><Relationship Id="rId665" Type="http://schemas.openxmlformats.org/officeDocument/2006/relationships/hyperlink" Target="https://www.gem.wiki/Ruta_de_la_Plata_Gas_Pipeline" TargetMode="External"/><Relationship Id="rId872" Type="http://schemas.openxmlformats.org/officeDocument/2006/relationships/hyperlink" Target="https://www.gem.wiki/Ilizi-Djanet_Gas_Pipeline" TargetMode="External"/><Relationship Id="rId1088" Type="http://schemas.openxmlformats.org/officeDocument/2006/relationships/hyperlink" Target="https://www.gem.wiki/Kazan-Gorky_Gas_Pipeline" TargetMode="External"/><Relationship Id="rId1295" Type="http://schemas.openxmlformats.org/officeDocument/2006/relationships/hyperlink" Target="https://www.gem.wiki/One%C8%99ti-Gheraesti-Letcani_Gas_Pipeline" TargetMode="External"/><Relationship Id="rId2139" Type="http://schemas.openxmlformats.org/officeDocument/2006/relationships/hyperlink" Target="https://www.gem.wiki/Nova_Gas_Transmission_(NGTL)_Pipeline" TargetMode="External"/><Relationship Id="rId2346" Type="http://schemas.openxmlformats.org/officeDocument/2006/relationships/hyperlink" Target="https://www.gem.wiki/Novokuznetsk-Prokopyevsk_Gas_Pipeline" TargetMode="External"/><Relationship Id="rId2553" Type="http://schemas.openxmlformats.org/officeDocument/2006/relationships/hyperlink" Target="https://www.gem.wiki/Karlsruhe-Basel_Gas_Pipeline" TargetMode="External"/><Relationship Id="rId2760" Type="http://schemas.openxmlformats.org/officeDocument/2006/relationships/hyperlink" Target="https://www.gem.wiki/Yunnan_Gas_Pipeline_Network" TargetMode="External"/><Relationship Id="rId318" Type="http://schemas.openxmlformats.org/officeDocument/2006/relationships/hyperlink" Target="https://www.gem.wiki/Qatar_Station_N-Station_B_Gas_Pipeline" TargetMode="External"/><Relationship Id="rId525" Type="http://schemas.openxmlformats.org/officeDocument/2006/relationships/hyperlink" Target="https://www.gem.wiki/Mumbai_Regional_Natural_Gas_Pipeline_Network" TargetMode="External"/><Relationship Id="rId732" Type="http://schemas.openxmlformats.org/officeDocument/2006/relationships/hyperlink" Target="https://www.gem.wiki/Alwyn_Field%E2%80%93Frigg_Field_Gas_Pipeline" TargetMode="External"/><Relationship Id="rId1155" Type="http://schemas.openxmlformats.org/officeDocument/2006/relationships/hyperlink" Target="https://www.gem.wiki/Secunda%E2%80%93Durban_Lilly_Gas_Pipeline" TargetMode="External"/><Relationship Id="rId1362" Type="http://schemas.openxmlformats.org/officeDocument/2006/relationships/hyperlink" Target="https://gem.wiki/Castelnou&#8211;Tamarite_Gas_Pipeline" TargetMode="External"/><Relationship Id="rId2206" Type="http://schemas.openxmlformats.org/officeDocument/2006/relationships/hyperlink" Target="https://www.gem.wiki/Swan_LNG_Terminal_to_Hadala_Gas_Pipeline" TargetMode="External"/><Relationship Id="rId2413" Type="http://schemas.openxmlformats.org/officeDocument/2006/relationships/hyperlink" Target="https://www.gem.wiki/Mons-Berneau_Gas_Pipeline" TargetMode="External"/><Relationship Id="rId2620" Type="http://schemas.openxmlformats.org/officeDocument/2006/relationships/hyperlink" Target="https://www.gem.wiki/Donje_Mijolac-Bata_Gas_Pipeline" TargetMode="External"/><Relationship Id="rId1015" Type="http://schemas.openxmlformats.org/officeDocument/2006/relationships/hyperlink" Target="https://www.gem.wiki/North_Gas-Baiji_gas_pipeline" TargetMode="External"/><Relationship Id="rId1222" Type="http://schemas.openxmlformats.org/officeDocument/2006/relationships/hyperlink" Target="https://www.gem.wiki/Transcontinental_Gas_Pipeline" TargetMode="External"/><Relationship Id="rId3187" Type="http://schemas.openxmlformats.org/officeDocument/2006/relationships/hyperlink" Target="https://www.gem.wiki/West-East_Gas_Pipeline_2_Zhangshu-Xiangtan_Branch" TargetMode="External"/><Relationship Id="rId3047" Type="http://schemas.openxmlformats.org/officeDocument/2006/relationships/hyperlink" Target="https://gem.wiki/Yongqing&#8211;Baoding_Gas_Pipeline" TargetMode="External"/><Relationship Id="rId175" Type="http://schemas.openxmlformats.org/officeDocument/2006/relationships/hyperlink" Target="https://www.gem.wiki/Buckeye_Xpress_Pipeline" TargetMode="External"/><Relationship Id="rId3254" Type="http://schemas.openxmlformats.org/officeDocument/2006/relationships/hyperlink" Target="https://www.gem.wiki/Chongqing_Gas_Pipeline_Network" TargetMode="External"/><Relationship Id="rId382" Type="http://schemas.openxmlformats.org/officeDocument/2006/relationships/hyperlink" Target="https://www.gem.wiki/Statpipe_Gas_Pipeline" TargetMode="External"/><Relationship Id="rId2063" Type="http://schemas.openxmlformats.org/officeDocument/2006/relationships/hyperlink" Target="https://www.gem.wiki/Goldfields_Gas_Pipeline" TargetMode="External"/><Relationship Id="rId2270" Type="http://schemas.openxmlformats.org/officeDocument/2006/relationships/hyperlink" Target="https://www.gem.wiki/Puchezh-Yuryevets_Gas_Pipeline" TargetMode="External"/><Relationship Id="rId3114" Type="http://schemas.openxmlformats.org/officeDocument/2006/relationships/hyperlink" Target="https://www.gem.wiki/Hubei_Gas_Pipeline_Network" TargetMode="External"/><Relationship Id="rId3321" Type="http://schemas.openxmlformats.org/officeDocument/2006/relationships/hyperlink" Target="https://www.hlj.gov.cn/n200/2020/1213/c35-11012253.html" TargetMode="External"/><Relationship Id="rId242" Type="http://schemas.openxmlformats.org/officeDocument/2006/relationships/hyperlink" Target="https://www.gem.wiki/Salina_Cruz-Tapachula_Gas_Pipeline" TargetMode="External"/><Relationship Id="rId2130" Type="http://schemas.openxmlformats.org/officeDocument/2006/relationships/hyperlink" Target="https://www.gem.wiki/NSW_Gas_Network" TargetMode="External"/><Relationship Id="rId102" Type="http://schemas.openxmlformats.org/officeDocument/2006/relationships/hyperlink" Target="https://www.gem.wiki/Sea_Robin_Gas_Pipeline" TargetMode="External"/><Relationship Id="rId1689" Type="http://schemas.openxmlformats.org/officeDocument/2006/relationships/hyperlink" Target="https://www.gem.wiki/Tekerhat-Faridpur_and_Tekerhat-Barishal_Gas_Transmission_Pipeline_Project" TargetMode="External"/><Relationship Id="rId1896" Type="http://schemas.openxmlformats.org/officeDocument/2006/relationships/hyperlink" Target="https://www.gem.wiki/GasAndes_Pipeline" TargetMode="External"/><Relationship Id="rId2947" Type="http://schemas.openxmlformats.org/officeDocument/2006/relationships/hyperlink" Target="https://www.gem.wiki/Guangdong_Gas_Pipeline_Network_Phase_I" TargetMode="External"/><Relationship Id="rId919" Type="http://schemas.openxmlformats.org/officeDocument/2006/relationships/hyperlink" Target="https://www.gem.wiki/Fukunan_Gas_Pipeline" TargetMode="External"/><Relationship Id="rId1549" Type="http://schemas.openxmlformats.org/officeDocument/2006/relationships/hyperlink" Target="https://gem.wiki/Terranuova_Bracciolini&#8211;Gallese_Civita_Cast_Gas_Pipeline" TargetMode="External"/><Relationship Id="rId1756" Type="http://schemas.openxmlformats.org/officeDocument/2006/relationships/hyperlink" Target="https://www.gem.wiki/Acadian_Gas_Pipeline_System" TargetMode="External"/><Relationship Id="rId1963" Type="http://schemas.openxmlformats.org/officeDocument/2006/relationships/hyperlink" Target="https://www.gem.wiki/Berwyndale_to_Wallumbilla_Pipeline" TargetMode="External"/><Relationship Id="rId2807" Type="http://schemas.openxmlformats.org/officeDocument/2006/relationships/hyperlink" Target="https://www.gem.wiki/Jilin_Gas_Pipeline_Network" TargetMode="External"/><Relationship Id="rId48" Type="http://schemas.openxmlformats.org/officeDocument/2006/relationships/hyperlink" Target="https://www.gem.wiki/Garden_Banks_Gas_Pipeline" TargetMode="External"/><Relationship Id="rId1409" Type="http://schemas.openxmlformats.org/officeDocument/2006/relationships/hyperlink" Target="https://gem.wiki/Gagliano_Sparacollo&#8211;Calderari_Enna_Gas_Pipeline" TargetMode="External"/><Relationship Id="rId1616" Type="http://schemas.openxmlformats.org/officeDocument/2006/relationships/hyperlink" Target="https://www.gem.wiki/GASEB_Pipeline" TargetMode="External"/><Relationship Id="rId1823" Type="http://schemas.openxmlformats.org/officeDocument/2006/relationships/hyperlink" Target="https://www.gem.wiki/North_Macedonia%E2%80%93Bulgaria_Gas_Pipeline" TargetMode="External"/><Relationship Id="rId2597" Type="http://schemas.openxmlformats.org/officeDocument/2006/relationships/hyperlink" Target="https://www.gem.wiki/Istrana-Caldonazzo_Gas_Pipeline" TargetMode="External"/><Relationship Id="rId569" Type="http://schemas.openxmlformats.org/officeDocument/2006/relationships/hyperlink" Target="https://www.gem.wiki/Hust%E2%80%93Satu_Mare_Gas_Pipeline" TargetMode="External"/><Relationship Id="rId776" Type="http://schemas.openxmlformats.org/officeDocument/2006/relationships/hyperlink" Target="https://www.gem.wiki/Escravos-Egbin_gas_pipeline" TargetMode="External"/><Relationship Id="rId983" Type="http://schemas.openxmlformats.org/officeDocument/2006/relationships/hyperlink" Target="https://www.gem.wiki/Gasoducto_Noroccidente" TargetMode="External"/><Relationship Id="rId1199" Type="http://schemas.openxmlformats.org/officeDocument/2006/relationships/hyperlink" Target="https://www.gem.wiki/Golden_Pass_Gas_Pipeline" TargetMode="External"/><Relationship Id="rId2457" Type="http://schemas.openxmlformats.org/officeDocument/2006/relationships/hyperlink" Target="https://www.gem.wiki/Pskov-Strugi_Krasnye_Gas_Pipeline" TargetMode="External"/><Relationship Id="rId2664" Type="http://schemas.openxmlformats.org/officeDocument/2006/relationships/hyperlink" Target="https://www.gem.wiki/ADCC_Pipeline" TargetMode="External"/><Relationship Id="rId429" Type="http://schemas.openxmlformats.org/officeDocument/2006/relationships/hyperlink" Target="https://www.gem.wiki/Progress_Gas_Pipeline" TargetMode="External"/><Relationship Id="rId636" Type="http://schemas.openxmlformats.org/officeDocument/2006/relationships/hyperlink" Target="https://www.gem.wiki/Hosokusa_pipeline" TargetMode="External"/><Relationship Id="rId1059" Type="http://schemas.openxmlformats.org/officeDocument/2006/relationships/hyperlink" Target="https://www.gem.wiki/Novosibirsk-Barnaul_Gas_Pipeline" TargetMode="External"/><Relationship Id="rId1266" Type="http://schemas.openxmlformats.org/officeDocument/2006/relationships/hyperlink" Target="https://www.gem.wiki/Mubarek-Shurtan-Sheraban_Gas_Pipeline" TargetMode="External"/><Relationship Id="rId1473" Type="http://schemas.openxmlformats.org/officeDocument/2006/relationships/hyperlink" Target="https://www.gem.wiki/Puth_Schinnen%E2%80%93Ravenstein_Gas_Pipeline" TargetMode="External"/><Relationship Id="rId2317" Type="http://schemas.openxmlformats.org/officeDocument/2006/relationships/hyperlink" Target="https://www.gem.wiki/North_Field_B-PU%E2%80%93Ras_Laffan_Landfall_Gas_Pipelines" TargetMode="External"/><Relationship Id="rId2871" Type="http://schemas.openxmlformats.org/officeDocument/2006/relationships/hyperlink" Target="https://www.gem.wiki/Shanxi_Natural_Gas_Pipeline_Network" TargetMode="External"/><Relationship Id="rId843" Type="http://schemas.openxmlformats.org/officeDocument/2006/relationships/hyperlink" Target="https://www.gem.wiki/Gasoducto_de_Mayakan" TargetMode="External"/><Relationship Id="rId1126" Type="http://schemas.openxmlformats.org/officeDocument/2006/relationships/hyperlink" Target="https://www.gem.wiki/Shkapovo-Ishimbay_Gas_Pipeline" TargetMode="External"/><Relationship Id="rId1680" Type="http://schemas.openxmlformats.org/officeDocument/2006/relationships/hyperlink" Target="https://www.gem.wiki/Gasoducto_Carrasco-Yapacan%C3%AD" TargetMode="External"/><Relationship Id="rId2524" Type="http://schemas.openxmlformats.org/officeDocument/2006/relationships/hyperlink" Target="https://www.gem.wiki/Gardabani-Navtlugi-Saguramo_Gas_Pipeline" TargetMode="External"/><Relationship Id="rId2731" Type="http://schemas.openxmlformats.org/officeDocument/2006/relationships/hyperlink" Target="https://www.gem.wiki/China%E2%80%93Russia_East_Pipeline" TargetMode="External"/><Relationship Id="rId703" Type="http://schemas.openxmlformats.org/officeDocument/2006/relationships/hyperlink" Target="https://www.gem.wiki/Beglej-Dermantsi-Batultsi-Kalugerovo_Pipeline" TargetMode="External"/><Relationship Id="rId910" Type="http://schemas.openxmlformats.org/officeDocument/2006/relationships/hyperlink" Target="https://www.gem.wiki/North_Wapiti_Pipeline_System" TargetMode="External"/><Relationship Id="rId1333" Type="http://schemas.openxmlformats.org/officeDocument/2006/relationships/hyperlink" Target="https://gem.wiki/Belfast&#8211;Dundalk_Gas_Pipeline" TargetMode="External"/><Relationship Id="rId1540" Type="http://schemas.openxmlformats.org/officeDocument/2006/relationships/hyperlink" Target="https://gem.wiki/St._Hubert&#8211;Weissweiler_Gas_Pipeline" TargetMode="External"/><Relationship Id="rId1400" Type="http://schemas.openxmlformats.org/officeDocument/2006/relationships/hyperlink" Target="https://gem.wiki/ERM-Pipeline_GASCADE" TargetMode="External"/><Relationship Id="rId3298" Type="http://schemas.openxmlformats.org/officeDocument/2006/relationships/hyperlink" Target="https://www.gem.wiki/Qingdao-Nanjing_Pipeline" TargetMode="External"/><Relationship Id="rId3158" Type="http://schemas.openxmlformats.org/officeDocument/2006/relationships/hyperlink" Target="https://www.gem.wiki/Strait_West_Natural_Gas_Pipeline_Network_Phase_II" TargetMode="External"/><Relationship Id="rId286" Type="http://schemas.openxmlformats.org/officeDocument/2006/relationships/hyperlink" Target="https://www.gem.wiki/Hassi_R'mel-Isser_Gas_Pipeline" TargetMode="External"/><Relationship Id="rId493" Type="http://schemas.openxmlformats.org/officeDocument/2006/relationships/hyperlink" Target="https://www.gem.wiki/Monohardi-Narshingdi_Gas_Pipeline" TargetMode="External"/><Relationship Id="rId2174" Type="http://schemas.openxmlformats.org/officeDocument/2006/relationships/hyperlink" Target="https://www.gem.wiki/Matterhorn_Express_Gas_Pipeline" TargetMode="External"/><Relationship Id="rId2381" Type="http://schemas.openxmlformats.org/officeDocument/2006/relationships/hyperlink" Target="https://www.gem.wiki/Priozersk-Ikhala_Gas_Pipeline" TargetMode="External"/><Relationship Id="rId3018" Type="http://schemas.openxmlformats.org/officeDocument/2006/relationships/hyperlink" Target="https://www.gem.wiki/Jiangsu_Coastal_Gas_Pipeline" TargetMode="External"/><Relationship Id="rId3225" Type="http://schemas.openxmlformats.org/officeDocument/2006/relationships/hyperlink" Target="https://www.gem.wiki/Guizhou_Gas_Pipeline_Network" TargetMode="External"/><Relationship Id="rId146" Type="http://schemas.openxmlformats.org/officeDocument/2006/relationships/hyperlink" Target="https://www.gem.wiki/Alaska_Stand_Alone_Pipeline" TargetMode="External"/><Relationship Id="rId353" Type="http://schemas.openxmlformats.org/officeDocument/2006/relationships/hyperlink" Target="https://www.gem.wiki/Far_North_Liquids_And_Associated_Gas_System_(Flags)_Pipeline" TargetMode="External"/><Relationship Id="rId560" Type="http://schemas.openxmlformats.org/officeDocument/2006/relationships/hyperlink" Target="https://www.gem.wiki/Baroda-Ahmedabad-Kalol_Gas_Pipeline" TargetMode="External"/><Relationship Id="rId1190" Type="http://schemas.openxmlformats.org/officeDocument/2006/relationships/hyperlink" Target="https://www.gem.wiki/Delhi_Connector_Gas_Pipeline" TargetMode="External"/><Relationship Id="rId2034" Type="http://schemas.openxmlformats.org/officeDocument/2006/relationships/hyperlink" Target="https://www.gem.wiki/Pen%C3%A1polis-Canoas_Gas_Pipeline" TargetMode="External"/><Relationship Id="rId2241" Type="http://schemas.openxmlformats.org/officeDocument/2006/relationships/hyperlink" Target="https://www.gem.wiki/Gasoducto_N%C3%A9stor_Kirchner" TargetMode="External"/><Relationship Id="rId213" Type="http://schemas.openxmlformats.org/officeDocument/2006/relationships/hyperlink" Target="https://www.gem.wiki/Gasoducto_del_Corredor_Interoce%C3%A1nico" TargetMode="External"/><Relationship Id="rId420" Type="http://schemas.openxmlformats.org/officeDocument/2006/relationships/hyperlink" Target="https://www.gem.wiki/Tesla_Gas_Pipeline" TargetMode="External"/><Relationship Id="rId1050" Type="http://schemas.openxmlformats.org/officeDocument/2006/relationships/hyperlink" Target="https://www.gem.wiki/Rembelszczyzna-Mory_Gas_Pipeline" TargetMode="External"/><Relationship Id="rId2101" Type="http://schemas.openxmlformats.org/officeDocument/2006/relationships/hyperlink" Target="https://www.gem.wiki/Tuscarora_Gas_Pipeline" TargetMode="External"/><Relationship Id="rId1867" Type="http://schemas.openxmlformats.org/officeDocument/2006/relationships/hyperlink" Target="https://www.gem.wiki/Western_LNG_Pipeline" TargetMode="External"/><Relationship Id="rId2918" Type="http://schemas.openxmlformats.org/officeDocument/2006/relationships/hyperlink" Target="https://www.gem.wiki/Sichuan_%26_Chongqing_Grand_Loop_Line" TargetMode="External"/><Relationship Id="rId1727" Type="http://schemas.openxmlformats.org/officeDocument/2006/relationships/hyperlink" Target="https://www.gem.wiki/Gasoducto_Neuba_II" TargetMode="External"/><Relationship Id="rId1934" Type="http://schemas.openxmlformats.org/officeDocument/2006/relationships/hyperlink" Target="https://www.gem.wiki/Pailin_Field-Erawan_Field_Gas_Pipeline" TargetMode="External"/><Relationship Id="rId3082" Type="http://schemas.openxmlformats.org/officeDocument/2006/relationships/hyperlink" Target="https://www.gem.wiki/Zhejiang_Natural_Gas_Pipeline_Network" TargetMode="External"/><Relationship Id="rId19" Type="http://schemas.openxmlformats.org/officeDocument/2006/relationships/hyperlink" Target="https://www.gem.wiki/Enable_Gas_Transmission" TargetMode="External"/><Relationship Id="rId3" Type="http://schemas.openxmlformats.org/officeDocument/2006/relationships/hyperlink" Target="https://www.gem.wiki/Access_Northeast_Gas_Pipeline" TargetMode="External"/><Relationship Id="rId887" Type="http://schemas.openxmlformats.org/officeDocument/2006/relationships/hyperlink" Target="https://www.gem.wiki/San_Sebasti%C3%A1n-Ushuaia_Gas_Pipeline" TargetMode="External"/><Relationship Id="rId2568" Type="http://schemas.openxmlformats.org/officeDocument/2006/relationships/hyperlink" Target="https://www.gem.wiki/Terranuova-Minerbio_Gas_Pipeline" TargetMode="External"/><Relationship Id="rId2775" Type="http://schemas.openxmlformats.org/officeDocument/2006/relationships/hyperlink" Target="https://www.gem.wiki/Inner_Mongolia_Gas_Pipeline_Network" TargetMode="External"/><Relationship Id="rId2982" Type="http://schemas.openxmlformats.org/officeDocument/2006/relationships/hyperlink" Target="https://www.gem.wiki/Zhongxian-Wuhan_Pipeline" TargetMode="External"/><Relationship Id="rId747" Type="http://schemas.openxmlformats.org/officeDocument/2006/relationships/hyperlink" Target="https://www.gem.wiki/Strategy-Hilla_gas_pipeline" TargetMode="External"/><Relationship Id="rId954" Type="http://schemas.openxmlformats.org/officeDocument/2006/relationships/hyperlink" Target="https://www.gem.wiki/Nanohana_Gas_Pipeline" TargetMode="External"/><Relationship Id="rId1377" Type="http://schemas.openxmlformats.org/officeDocument/2006/relationships/hyperlink" Target="https://gem.wiki/Cortemaggiore&#8211;Pontremoli_Gas_Pipeline" TargetMode="External"/><Relationship Id="rId1584" Type="http://schemas.openxmlformats.org/officeDocument/2006/relationships/hyperlink" Target="https://www.gem.wiki/Pakistan_Stream_Gas_Pipeline" TargetMode="External"/><Relationship Id="rId1791" Type="http://schemas.openxmlformats.org/officeDocument/2006/relationships/hyperlink" Target="https://www.gem.wiki/Inter-Caribbean_Natural_Gas_Pipeline" TargetMode="External"/><Relationship Id="rId2428" Type="http://schemas.openxmlformats.org/officeDocument/2006/relationships/hyperlink" Target="https://www.gem.wiki/Rzhev-Olenino-Zapadnaya_Dvina_Gas_Pipeline" TargetMode="External"/><Relationship Id="rId2635" Type="http://schemas.openxmlformats.org/officeDocument/2006/relationships/hyperlink" Target="https://www.gem.wiki/Romanian_National_Transmission_System" TargetMode="External"/><Relationship Id="rId2842" Type="http://schemas.openxmlformats.org/officeDocument/2006/relationships/hyperlink" Target="https://www.gem.wiki/Anhui_Gas_Pipeline_Network" TargetMode="External"/><Relationship Id="rId83" Type="http://schemas.openxmlformats.org/officeDocument/2006/relationships/hyperlink" Target="https://www.gem.wiki/Gas_Transmission_Northwest" TargetMode="External"/><Relationship Id="rId607" Type="http://schemas.openxmlformats.org/officeDocument/2006/relationships/hyperlink" Target="https://www.gem.wiki/Chiba_Gas_Pipeline" TargetMode="External"/><Relationship Id="rId814" Type="http://schemas.openxmlformats.org/officeDocument/2006/relationships/hyperlink" Target="https://www.gem.wiki/Haradh_Khuff-Hawiyah_gas_pipeline" TargetMode="External"/><Relationship Id="rId1237" Type="http://schemas.openxmlformats.org/officeDocument/2006/relationships/hyperlink" Target="https://www.gem.wiki/Sabal_Trail_Gas_Transmission_Pipeline" TargetMode="External"/><Relationship Id="rId1444" Type="http://schemas.openxmlformats.org/officeDocument/2006/relationships/hyperlink" Target="https://gem.wiki/Le_Havre&#8211;Paris_Gas_Pipeline" TargetMode="External"/><Relationship Id="rId1651" Type="http://schemas.openxmlformats.org/officeDocument/2006/relationships/hyperlink" Target="https://www.gem.wiki/Karachi%E2%80%93Sawan_Gas_Pipeline" TargetMode="External"/><Relationship Id="rId2702" Type="http://schemas.openxmlformats.org/officeDocument/2006/relationships/hyperlink" Target="https://www.gem.wiki/Bunde-Quendorf_Gas_Pipeline" TargetMode="External"/><Relationship Id="rId1304" Type="http://schemas.openxmlformats.org/officeDocument/2006/relationships/hyperlink" Target="https://www.gem.wiki/Florida_Gas_Transmission_Pipeline" TargetMode="External"/><Relationship Id="rId1511" Type="http://schemas.openxmlformats.org/officeDocument/2006/relationships/hyperlink" Target="https://gem.wiki/Puth_Schinnen&#8211;Bemelen_Gas_Pipeline" TargetMode="External"/><Relationship Id="rId3269" Type="http://schemas.openxmlformats.org/officeDocument/2006/relationships/hyperlink" Target="https://www.gem.wiki/Western_Chongqing_Natural_Gas_Pipeline_Network" TargetMode="External"/><Relationship Id="rId10" Type="http://schemas.openxmlformats.org/officeDocument/2006/relationships/hyperlink" Target="https://www.gem.wiki/ANR_Gas_Pipeline" TargetMode="External"/><Relationship Id="rId397" Type="http://schemas.openxmlformats.org/officeDocument/2006/relationships/hyperlink" Target="https://www.gem.wiki/Blue_Stream_Gas_Pipeline" TargetMode="External"/><Relationship Id="rId2078" Type="http://schemas.openxmlformats.org/officeDocument/2006/relationships/hyperlink" Target="https://www.gem.wiki/Kalgoorlie_to_Kambalda_Pipeline" TargetMode="External"/><Relationship Id="rId2285" Type="http://schemas.openxmlformats.org/officeDocument/2006/relationships/hyperlink" Target="https://www.gem.wiki/CS-12-Ust-Vym-Chasovo-Zelenets-Syktyvkar_Gas_Pipeline" TargetMode="External"/><Relationship Id="rId2492" Type="http://schemas.openxmlformats.org/officeDocument/2006/relationships/hyperlink" Target="https://www.gem.wiki/Tivissa-Barcelona_Gas_Pipeline" TargetMode="External"/><Relationship Id="rId3129" Type="http://schemas.openxmlformats.org/officeDocument/2006/relationships/hyperlink" Target="https://www.gem.wiki/Hunan_Gas_Pipeline_Network" TargetMode="External"/><Relationship Id="rId3336" Type="http://schemas.openxmlformats.org/officeDocument/2006/relationships/hyperlink" Target="https://www.gem.wiki/Central_Asia%E2%80%93China_Gas_Pipeline" TargetMode="External"/><Relationship Id="rId257" Type="http://schemas.openxmlformats.org/officeDocument/2006/relationships/hyperlink" Target="https://www.gem.wiki/Greenstream_Pipeline" TargetMode="External"/><Relationship Id="rId464" Type="http://schemas.openxmlformats.org/officeDocument/2006/relationships/hyperlink" Target="https://www.gem.wiki/Ashuganj-Monohardi_Gas_Pipeline" TargetMode="External"/><Relationship Id="rId1094" Type="http://schemas.openxmlformats.org/officeDocument/2006/relationships/hyperlink" Target="https://www.gem.wiki/Magnitogorsk-Sterlitamak_Gas_Pipeline" TargetMode="External"/><Relationship Id="rId2145" Type="http://schemas.openxmlformats.org/officeDocument/2006/relationships/hyperlink" Target="https://www.gem.wiki/Otway_Gas_Pipeline" TargetMode="External"/><Relationship Id="rId117" Type="http://schemas.openxmlformats.org/officeDocument/2006/relationships/hyperlink" Target="https://www.gem.wiki/Tiger_Gas_Pipeline" TargetMode="External"/><Relationship Id="rId671" Type="http://schemas.openxmlformats.org/officeDocument/2006/relationships/hyperlink" Target="https://www.gem.wiki/Robregordo-Segovia-Avila_Gas_Pipeline" TargetMode="External"/><Relationship Id="rId2352" Type="http://schemas.openxmlformats.org/officeDocument/2006/relationships/hyperlink" Target="https://www.gem.wiki/Trans-Iraq-Hilla-Gas_Pipeline" TargetMode="External"/><Relationship Id="rId324" Type="http://schemas.openxmlformats.org/officeDocument/2006/relationships/hyperlink" Target="https://www.gem.wiki/WH-7-Ras_Laffan_gas_pipeline" TargetMode="External"/><Relationship Id="rId531" Type="http://schemas.openxmlformats.org/officeDocument/2006/relationships/hyperlink" Target="https://www.gem.wiki/Surat-Paradip_Gas_Pipeline" TargetMode="External"/><Relationship Id="rId1161" Type="http://schemas.openxmlformats.org/officeDocument/2006/relationships/hyperlink" Target="https://www.gem.wiki/South_Natural_Gas_Pipeline" TargetMode="External"/><Relationship Id="rId2005" Type="http://schemas.openxmlformats.org/officeDocument/2006/relationships/hyperlink" Target="https://www.gem.wiki/Norne_Gas_Transport_System_Pipeline" TargetMode="External"/><Relationship Id="rId2212" Type="http://schemas.openxmlformats.org/officeDocument/2006/relationships/hyperlink" Target="https://www.gem.wiki/Khulna-Gopalgonj-Tekerhat_Gas_Transmission_Pipeline" TargetMode="External"/><Relationship Id="rId1021" Type="http://schemas.openxmlformats.org/officeDocument/2006/relationships/hyperlink" Target="https://www.gem.wiki/Northern_Kyushu_Gas_Pipeline" TargetMode="External"/><Relationship Id="rId1978" Type="http://schemas.openxmlformats.org/officeDocument/2006/relationships/hyperlink" Target="https://www.gem.wiki/Torzhok-Minsk-Ivatsevichy_Gas_Pipeline" TargetMode="External"/><Relationship Id="rId3193" Type="http://schemas.openxmlformats.org/officeDocument/2006/relationships/hyperlink" Target="https://www.gem.wiki/West-East_Gas_Pipeline_4" TargetMode="External"/><Relationship Id="rId1838" Type="http://schemas.openxmlformats.org/officeDocument/2006/relationships/hyperlink" Target="https://www.gem.wiki/Gasoducto_Norte_Gas_Pipeline" TargetMode="External"/><Relationship Id="rId3053" Type="http://schemas.openxmlformats.org/officeDocument/2006/relationships/hyperlink" Target="https://www.gem.wiki/Beijing%E2%80%93Shijiazhuang%E2%80%93Handan_Parallel_Gas_Pipeline" TargetMode="External"/><Relationship Id="rId3260" Type="http://schemas.openxmlformats.org/officeDocument/2006/relationships/hyperlink" Target="https://www.gem.wiki/Chongqing_Gas_Pipeline_Network" TargetMode="External"/><Relationship Id="rId181" Type="http://schemas.openxmlformats.org/officeDocument/2006/relationships/hyperlink" Target="https://www.gem.wiki/Merrick_Mainline_Pipeline" TargetMode="External"/><Relationship Id="rId1905" Type="http://schemas.openxmlformats.org/officeDocument/2006/relationships/hyperlink" Target="https://www.gem.wiki/El_Encino_Topolobampo_Gas_Pipeline" TargetMode="External"/><Relationship Id="rId3120" Type="http://schemas.openxmlformats.org/officeDocument/2006/relationships/hyperlink" Target="https://www.gem.wiki/Hunan_Gas_Pipeline_Network" TargetMode="External"/><Relationship Id="rId998" Type="http://schemas.openxmlformats.org/officeDocument/2006/relationships/hyperlink" Target="https://www.gem.wiki/Werne-Gernsheim_Gas_Pipeline" TargetMode="External"/><Relationship Id="rId2679" Type="http://schemas.openxmlformats.org/officeDocument/2006/relationships/hyperlink" Target="https://www.gem.wiki/Sofia-Thessaloniki_Gas_Pipeline" TargetMode="External"/><Relationship Id="rId2886" Type="http://schemas.openxmlformats.org/officeDocument/2006/relationships/hyperlink" Target="https://www.gem.wiki/Shanxi_Natural_Gas_Pipeline_Network" TargetMode="External"/><Relationship Id="rId858" Type="http://schemas.openxmlformats.org/officeDocument/2006/relationships/hyperlink" Target="https://www.gem.wiki/Gasoducto_del_Pac%C3%ADfico" TargetMode="External"/><Relationship Id="rId1488" Type="http://schemas.openxmlformats.org/officeDocument/2006/relationships/hyperlink" Target="https://www.gem.wiki/Schwerin-Magdeburg_Gas_Pipeline" TargetMode="External"/><Relationship Id="rId1695" Type="http://schemas.openxmlformats.org/officeDocument/2006/relationships/hyperlink" Target="https://www.gem.wiki/Tubridgi_Pipeline_System" TargetMode="External"/><Relationship Id="rId2539" Type="http://schemas.openxmlformats.org/officeDocument/2006/relationships/hyperlink" Target="https://www.gem.wiki/Scheinfeld-Lindau_Gas_Pipeline" TargetMode="External"/><Relationship Id="rId2746" Type="http://schemas.openxmlformats.org/officeDocument/2006/relationships/hyperlink" Target="https://www.gem.wiki/Zhongwei-Guiyang_Connecting_Pipeline" TargetMode="External"/><Relationship Id="rId2953" Type="http://schemas.openxmlformats.org/officeDocument/2006/relationships/hyperlink" Target="https://www.gem.wiki/Guangdong_Gas_Pipeline_Network_Phase_I" TargetMode="External"/><Relationship Id="rId718" Type="http://schemas.openxmlformats.org/officeDocument/2006/relationships/hyperlink" Target="https://www.gem.wiki/Umag-Plovanija-Koper_Gas_Pipeline" TargetMode="External"/><Relationship Id="rId925" Type="http://schemas.openxmlformats.org/officeDocument/2006/relationships/hyperlink" Target="https://www.gem.wiki/Ibaraki-Tochigi_Gas_Pipeline" TargetMode="External"/><Relationship Id="rId1348" Type="http://schemas.openxmlformats.org/officeDocument/2006/relationships/hyperlink" Target="https://gem.wiki/Bosiljevo&#8211;Split_Gas_Pipeline" TargetMode="External"/><Relationship Id="rId1555" Type="http://schemas.openxmlformats.org/officeDocument/2006/relationships/hyperlink" Target="https://gem.wiki/Valenca_Do_Minho&#8211;Braga_Gas_Pipeline" TargetMode="External"/><Relationship Id="rId1762" Type="http://schemas.openxmlformats.org/officeDocument/2006/relationships/hyperlink" Target="https://www.gem.wiki/ECMA_Development_Gas_Pipeline" TargetMode="External"/><Relationship Id="rId2606" Type="http://schemas.openxmlformats.org/officeDocument/2006/relationships/hyperlink" Target="https://www.gem.wiki/Tarvisio-Zimella_Gas_Pipeline" TargetMode="External"/><Relationship Id="rId1208" Type="http://schemas.openxmlformats.org/officeDocument/2006/relationships/hyperlink" Target="https://www.gem.wiki/Gulf_Coast_Southbound_Pipeline" TargetMode="External"/><Relationship Id="rId1415" Type="http://schemas.openxmlformats.org/officeDocument/2006/relationships/hyperlink" Target="https://gem.wiki/Grumento&#8211;Moliterno_Gas_Pipeline" TargetMode="External"/><Relationship Id="rId2813" Type="http://schemas.openxmlformats.org/officeDocument/2006/relationships/hyperlink" Target="https://www.gem.wiki/Jilin_Gas_Pipeline_Network" TargetMode="External"/><Relationship Id="rId54" Type="http://schemas.openxmlformats.org/officeDocument/2006/relationships/hyperlink" Target="https://www.gem.wiki/Coastal_Bend_Header_Pipeline" TargetMode="External"/><Relationship Id="rId1622" Type="http://schemas.openxmlformats.org/officeDocument/2006/relationships/hyperlink" Target="https://www.gem.wiki/Taichung-Tunghsiao-Tatan_Offshore_Gas_Pipeline" TargetMode="External"/><Relationship Id="rId2189" Type="http://schemas.openxmlformats.org/officeDocument/2006/relationships/hyperlink" Target="https://www.gem.wiki/Hassi_R'Mel-Arzew_Gas_Pipeline" TargetMode="External"/><Relationship Id="rId2396" Type="http://schemas.openxmlformats.org/officeDocument/2006/relationships/hyperlink" Target="https://www.gem.wiki/Sidhnai-Faisalabad_Gas_Pipeline_II" TargetMode="External"/><Relationship Id="rId368" Type="http://schemas.openxmlformats.org/officeDocument/2006/relationships/hyperlink" Target="https://www.gem.wiki/MEGAL_Gas_Pipeline" TargetMode="External"/><Relationship Id="rId575" Type="http://schemas.openxmlformats.org/officeDocument/2006/relationships/hyperlink" Target="https://www.gem.wiki/Rostov-Taganrog-Zhdanov_Gas_Pipeline" TargetMode="External"/><Relationship Id="rId782" Type="http://schemas.openxmlformats.org/officeDocument/2006/relationships/hyperlink" Target="https://www.gem.wiki/Alakiri-Ikot-Abasi_gas_pipeline" TargetMode="External"/><Relationship Id="rId2049" Type="http://schemas.openxmlformats.org/officeDocument/2006/relationships/hyperlink" Target="https://www.gem.wiki/ERM_Wellington_Pipeline" TargetMode="External"/><Relationship Id="rId2256" Type="http://schemas.openxmlformats.org/officeDocument/2006/relationships/hyperlink" Target="https://www.gem.wiki/Barents_Stream_Pipeline" TargetMode="External"/><Relationship Id="rId2463" Type="http://schemas.openxmlformats.org/officeDocument/2006/relationships/hyperlink" Target="https://www.gem.wiki/Krapa-Manjiwala_Gas_Pipeline" TargetMode="External"/><Relationship Id="rId2670" Type="http://schemas.openxmlformats.org/officeDocument/2006/relationships/hyperlink" Target="https://www.gem.wiki/Morelmaison%E2%80%93Voisines_Gas_Pipeline" TargetMode="External"/><Relationship Id="rId3307" Type="http://schemas.openxmlformats.org/officeDocument/2006/relationships/hyperlink" Target="https://www.gem.wiki/Heilongjiang_Natural_Gas_Pipeline_Network" TargetMode="External"/><Relationship Id="rId228" Type="http://schemas.openxmlformats.org/officeDocument/2006/relationships/hyperlink" Target="https://www.gem.wiki/NorAndino_Gas_Pipeline" TargetMode="External"/><Relationship Id="rId435" Type="http://schemas.openxmlformats.org/officeDocument/2006/relationships/hyperlink" Target="https://www.gem.wiki/Uzhhorod_Berehove_Pipeline" TargetMode="External"/><Relationship Id="rId642" Type="http://schemas.openxmlformats.org/officeDocument/2006/relationships/hyperlink" Target="https://www.gem.wiki/Kashima_Area_High-Pressure_Distribution_Pipeline" TargetMode="External"/><Relationship Id="rId1065" Type="http://schemas.openxmlformats.org/officeDocument/2006/relationships/hyperlink" Target="https://www.gem.wiki/Gazli-Kagan_Gas_Pipeline" TargetMode="External"/><Relationship Id="rId1272" Type="http://schemas.openxmlformats.org/officeDocument/2006/relationships/hyperlink" Target="https://www.gem.wiki/Yakutsk-Aldan_Gas_Pipeline" TargetMode="External"/><Relationship Id="rId2116" Type="http://schemas.openxmlformats.org/officeDocument/2006/relationships/hyperlink" Target="https://www.gem.wiki/Nova_Gas_Transmission_(NGTL)_Pipeline" TargetMode="External"/><Relationship Id="rId2323" Type="http://schemas.openxmlformats.org/officeDocument/2006/relationships/hyperlink" Target="https://www.gem.wiki/Florida_Gas_Transmission_Pipeline" TargetMode="External"/><Relationship Id="rId2530" Type="http://schemas.openxmlformats.org/officeDocument/2006/relationships/hyperlink" Target="https://www.gem.wiki/Khashuri-Zestaponi_Gas_Pipeline" TargetMode="External"/><Relationship Id="rId502" Type="http://schemas.openxmlformats.org/officeDocument/2006/relationships/hyperlink" Target="https://www.gem.wiki/Second_Transmagall%C3%A1nico_Gas_Pipeline" TargetMode="External"/><Relationship Id="rId1132" Type="http://schemas.openxmlformats.org/officeDocument/2006/relationships/hyperlink" Target="https://www.gem.wiki/Syzran-Ulyanovsk_Gas_Pipeline" TargetMode="External"/><Relationship Id="rId3097" Type="http://schemas.openxmlformats.org/officeDocument/2006/relationships/hyperlink" Target="https://www.gem.wiki/Zhejiang_Natural_Gas_Pipeline_Network" TargetMode="External"/><Relationship Id="rId1949" Type="http://schemas.openxmlformats.org/officeDocument/2006/relationships/hyperlink" Target="https://www.gem.wiki/Chainsa-Jhajjar-Hissar_Gas_Pipeline" TargetMode="External"/><Relationship Id="rId3164" Type="http://schemas.openxmlformats.org/officeDocument/2006/relationships/hyperlink" Target="https://www.gem.wiki/CNOOC_Coal_Gasification_Transmission_Pipeline" TargetMode="External"/><Relationship Id="rId292" Type="http://schemas.openxmlformats.org/officeDocument/2006/relationships/hyperlink" Target="https://sonatrach.com/wp-content/uploads/2022/01/DESCRIPTION-DU-RESEAU-DE-TRANSPORT-PAR-CANALISATION-DES-HYDROCARBURES-TARIF-DE-TRANSPORT-ANNEE-2022.pdf" TargetMode="External"/><Relationship Id="rId1809" Type="http://schemas.openxmlformats.org/officeDocument/2006/relationships/hyperlink" Target="https://www.gem.wiki/Rosarito_Gas_Pipeline" TargetMode="External"/><Relationship Id="rId2180" Type="http://schemas.openxmlformats.org/officeDocument/2006/relationships/hyperlink" Target="https://www.gem.wiki/Ducto_Menor_Linea_12_Plg" TargetMode="External"/><Relationship Id="rId3024" Type="http://schemas.openxmlformats.org/officeDocument/2006/relationships/hyperlink" Target="https://www.gem.wiki/Jiangxi_Natural_Gas_Pipeline_Network" TargetMode="External"/><Relationship Id="rId3231" Type="http://schemas.openxmlformats.org/officeDocument/2006/relationships/hyperlink" Target="https://www.gem.wiki/Guizhou_Gas_Pipeline_Network" TargetMode="External"/><Relationship Id="rId152" Type="http://schemas.openxmlformats.org/officeDocument/2006/relationships/hyperlink" Target="https://www.gem.wiki/East_West_Pipeline" TargetMode="External"/><Relationship Id="rId2040" Type="http://schemas.openxmlformats.org/officeDocument/2006/relationships/hyperlink" Target="https://www.gem.wiki/Santo_Ant%C3%B4nio_dos_Lopes-Caucaia_Gas_Pipeline" TargetMode="External"/><Relationship Id="rId2997" Type="http://schemas.openxmlformats.org/officeDocument/2006/relationships/hyperlink" Target="https://www.gem.wiki/Xinjiang_Coal-to-Gas_Pipeline_Project" TargetMode="External"/><Relationship Id="rId969" Type="http://schemas.openxmlformats.org/officeDocument/2006/relationships/hyperlink" Target="https://www.gem.wiki/Second_Suruga_Trunk_Pipeline" TargetMode="External"/><Relationship Id="rId1599" Type="http://schemas.openxmlformats.org/officeDocument/2006/relationships/hyperlink" Target="https://www.gem.wiki/Gasoducto_Carrasco-Yapacan%C3%AD" TargetMode="External"/><Relationship Id="rId1459" Type="http://schemas.openxmlformats.org/officeDocument/2006/relationships/hyperlink" Target="https://www.gem.wiki/Maldegem%E2%80%93Zelzate-Zandvliet_Gas_Pipeline" TargetMode="External"/><Relationship Id="rId2857" Type="http://schemas.openxmlformats.org/officeDocument/2006/relationships/hyperlink" Target="https://www.gem.wiki/Jinan-Linzi_gas_pipeline" TargetMode="External"/><Relationship Id="rId98" Type="http://schemas.openxmlformats.org/officeDocument/2006/relationships/hyperlink" Target="https://www.gem.wiki/Rockies_Express_Gas_Pipeline" TargetMode="External"/><Relationship Id="rId829" Type="http://schemas.openxmlformats.org/officeDocument/2006/relationships/hyperlink" Target="https://www.gem.wiki/Gasoducto_Santa_B%C3%A1rbara-Aguasay_2" TargetMode="External"/><Relationship Id="rId1666" Type="http://schemas.openxmlformats.org/officeDocument/2006/relationships/hyperlink" Target="https://www.gem.wiki/Port_Arthur_Gas_Pipeline" TargetMode="External"/><Relationship Id="rId1873" Type="http://schemas.openxmlformats.org/officeDocument/2006/relationships/hyperlink" Target="https://www.gem.wiki/Route_1_Gas_Pipeline" TargetMode="External"/><Relationship Id="rId2717" Type="http://schemas.openxmlformats.org/officeDocument/2006/relationships/hyperlink" Target="https://www.gem.wiki/Northern_Natural_Gas_Pipeline" TargetMode="External"/><Relationship Id="rId2924" Type="http://schemas.openxmlformats.org/officeDocument/2006/relationships/hyperlink" Target="https://www.gem.wiki/Sichuan_%26_Chongqing_Grand_Loop_Line" TargetMode="External"/><Relationship Id="rId1319" Type="http://schemas.openxmlformats.org/officeDocument/2006/relationships/hyperlink" Target="https://gem.wiki/Ampelia&#8211;Bralos_Gas_Pipeline" TargetMode="External"/><Relationship Id="rId1526" Type="http://schemas.openxmlformats.org/officeDocument/2006/relationships/hyperlink" Target="https://gem.wiki/Roussines&#8211;Chemery_Gas_Pipeline" TargetMode="External"/><Relationship Id="rId1733" Type="http://schemas.openxmlformats.org/officeDocument/2006/relationships/hyperlink" Target="https://www.gem.wiki/Centro_Oeste_Gas_Pipeline" TargetMode="External"/><Relationship Id="rId1940" Type="http://schemas.openxmlformats.org/officeDocument/2006/relationships/hyperlink" Target="https://www.gem.wiki/BPB-Hazira_Gas_Pipeline" TargetMode="External"/><Relationship Id="rId25" Type="http://schemas.openxmlformats.org/officeDocument/2006/relationships/hyperlink" Target="https://www.gem.wiki/Coastal_GasLink_Pipeline" TargetMode="External"/><Relationship Id="rId1800" Type="http://schemas.openxmlformats.org/officeDocument/2006/relationships/hyperlink" Target="https://www.gem.wiki/Malampaya_Gas_Pipeline" TargetMode="External"/><Relationship Id="rId479" Type="http://schemas.openxmlformats.org/officeDocument/2006/relationships/hyperlink" Target="https://www.gem.wiki/Dhaka_Clean_Fuel_Gas_Pipeline" TargetMode="External"/><Relationship Id="rId686" Type="http://schemas.openxmlformats.org/officeDocument/2006/relationships/hyperlink" Target="https://www.gem.wiki/Sarakhs-Sari_Pipeline" TargetMode="External"/><Relationship Id="rId893" Type="http://schemas.openxmlformats.org/officeDocument/2006/relationships/hyperlink" Target="https://www.gem.wiki/Eastern_Gas_Pipeline" TargetMode="External"/><Relationship Id="rId2367" Type="http://schemas.openxmlformats.org/officeDocument/2006/relationships/hyperlink" Target="https://www.gem.wiki/Vologda-20-Vytegra_Gas_Pipeline" TargetMode="External"/><Relationship Id="rId2574" Type="http://schemas.openxmlformats.org/officeDocument/2006/relationships/hyperlink" Target="https://www.gem.wiki/Maida_Saint_Eufemia-Castrovillari_Gas_PIpeline" TargetMode="External"/><Relationship Id="rId2781" Type="http://schemas.openxmlformats.org/officeDocument/2006/relationships/hyperlink" Target="https://www.gem.wiki/Inner_Mongolia_Gas_Pipeline_Network" TargetMode="External"/><Relationship Id="rId339" Type="http://schemas.openxmlformats.org/officeDocument/2006/relationships/hyperlink" Target="https://www.gem.wiki/Sajaa%E2%80%93Hamriya_gas_pipeline" TargetMode="External"/><Relationship Id="rId546" Type="http://schemas.openxmlformats.org/officeDocument/2006/relationships/hyperlink" Target="https://www.gem.wiki/Gresik-Batam-Singapore_Gas_Pipeline" TargetMode="External"/><Relationship Id="rId753" Type="http://schemas.openxmlformats.org/officeDocument/2006/relationships/hyperlink" Target="https://www.gem.wiki/Bahr_Assalam-Mellitah_gas_pipeline" TargetMode="External"/><Relationship Id="rId1176" Type="http://schemas.openxmlformats.org/officeDocument/2006/relationships/hyperlink" Target="https://www.gem.wiki/AlaTenn_Gas_Pipeline" TargetMode="External"/><Relationship Id="rId1383" Type="http://schemas.openxmlformats.org/officeDocument/2006/relationships/hyperlink" Target="https://gem.wiki/Dobr&#233;_Pole&#8211;Namest_nad_Oslavou_Gas_Pipeline" TargetMode="External"/><Relationship Id="rId2227" Type="http://schemas.openxmlformats.org/officeDocument/2006/relationships/hyperlink" Target="https://www.gem.wiki/Nooros%E2%80%93Abu_Madi%E2%80%93El_Gamil_Gas_Pipline" TargetMode="External"/><Relationship Id="rId2434" Type="http://schemas.openxmlformats.org/officeDocument/2006/relationships/hyperlink" Target="https://www.gem.wiki/Nadym-Punga_I,_II,_IV,_V_Gas_Pipeline" TargetMode="External"/><Relationship Id="rId406" Type="http://schemas.openxmlformats.org/officeDocument/2006/relationships/hyperlink" Target="https://www.gem.wiki/Interconnector_Turkey-Greece-Italy_(ITGI)" TargetMode="External"/><Relationship Id="rId960" Type="http://schemas.openxmlformats.org/officeDocument/2006/relationships/hyperlink" Target="https://www.gem.wiki/Ryomo_Gas_Pipeline" TargetMode="External"/><Relationship Id="rId1036" Type="http://schemas.openxmlformats.org/officeDocument/2006/relationships/hyperlink" Target="https://www.gem.wiki/Gasoducto_Rosarito" TargetMode="External"/><Relationship Id="rId1243" Type="http://schemas.openxmlformats.org/officeDocument/2006/relationships/hyperlink" Target="https://www.gem.wiki/Gasoducto_Sierrita" TargetMode="External"/><Relationship Id="rId1590" Type="http://schemas.openxmlformats.org/officeDocument/2006/relationships/hyperlink" Target="https://www.gem.wiki/Valchi_Dol%E2%80%93Preselka_Pipeline" TargetMode="External"/><Relationship Id="rId2641" Type="http://schemas.openxmlformats.org/officeDocument/2006/relationships/hyperlink" Target="https://www.gem.wiki/Sarikali-Karacabey_Gas_Pipeline" TargetMode="External"/><Relationship Id="rId613" Type="http://schemas.openxmlformats.org/officeDocument/2006/relationships/hyperlink" Target="https://www.gem.wiki/Chitose_Trunk_Line" TargetMode="External"/><Relationship Id="rId820" Type="http://schemas.openxmlformats.org/officeDocument/2006/relationships/hyperlink" Target="https://www.gem.wiki/Berri-Abu_Ali_2_gas_pipeline" TargetMode="External"/><Relationship Id="rId1450" Type="http://schemas.openxmlformats.org/officeDocument/2006/relationships/hyperlink" Target="https://gem.wiki/Lussagnet&#8211;Bayonne_Gas_Pipeline" TargetMode="External"/><Relationship Id="rId2501" Type="http://schemas.openxmlformats.org/officeDocument/2006/relationships/hyperlink" Target="https://www.gem.wiki/South_Caucasus_Gas_Pipeline" TargetMode="External"/><Relationship Id="rId1103" Type="http://schemas.openxmlformats.org/officeDocument/2006/relationships/hyperlink" Target="https://www.gem.wiki/Nizhnyaya_Tura-Perm-Gorky" TargetMode="External"/><Relationship Id="rId1310" Type="http://schemas.openxmlformats.org/officeDocument/2006/relationships/hyperlink" Target="https://www.gem.wiki/Langtala-Pachpadra_Gas_Pipeline" TargetMode="External"/><Relationship Id="rId3068" Type="http://schemas.openxmlformats.org/officeDocument/2006/relationships/hyperlink" Target="https://www.gem.wiki/Henan_Gas_Pipeline_Network" TargetMode="External"/><Relationship Id="rId3275" Type="http://schemas.openxmlformats.org/officeDocument/2006/relationships/hyperlink" Target="https://www.gem.wiki/Shaan-Jing_Gas_Pipeline_2" TargetMode="External"/><Relationship Id="rId196" Type="http://schemas.openxmlformats.org/officeDocument/2006/relationships/hyperlink" Target="https://www.gem.wiki/SK_Pipeline" TargetMode="External"/><Relationship Id="rId2084" Type="http://schemas.openxmlformats.org/officeDocument/2006/relationships/hyperlink" Target="https://www.gem.wiki/Twor%C3%B3g-Tworzen_Gas_Pipeline" TargetMode="External"/><Relationship Id="rId2291" Type="http://schemas.openxmlformats.org/officeDocument/2006/relationships/hyperlink" Target="https://www.gem.wiki/Gasoducto_Noroccidente" TargetMode="External"/><Relationship Id="rId3135" Type="http://schemas.openxmlformats.org/officeDocument/2006/relationships/hyperlink" Target="https://www.gem.wiki/Hunan_Gas_Pipeline_Network" TargetMode="External"/><Relationship Id="rId3342" Type="http://schemas.openxmlformats.org/officeDocument/2006/relationships/hyperlink" Target="https://www.gem.wiki/Harbin-Shenyang_Pipeline" TargetMode="External"/><Relationship Id="rId263" Type="http://schemas.openxmlformats.org/officeDocument/2006/relationships/hyperlink" Target="https://www.gem.wiki/IGAT_4_Gas_Pipeline" TargetMode="External"/><Relationship Id="rId470" Type="http://schemas.openxmlformats.org/officeDocument/2006/relationships/hyperlink" Target="https://www.gem.wiki/Bheramara-Khulna_Gas_Pipeline" TargetMode="External"/><Relationship Id="rId2151" Type="http://schemas.openxmlformats.org/officeDocument/2006/relationships/hyperlink" Target="https://www.gem.wiki/Carpentaria_Gas_Pipeline" TargetMode="External"/><Relationship Id="rId3202" Type="http://schemas.openxmlformats.org/officeDocument/2006/relationships/hyperlink" Target="https://www.gem.wiki/Guizhou_Gas_Pipeline_Network" TargetMode="External"/><Relationship Id="rId123" Type="http://schemas.openxmlformats.org/officeDocument/2006/relationships/hyperlink" Target="https://www.gem.wiki/Transcontinental_Gas_Pipeline" TargetMode="External"/><Relationship Id="rId330" Type="http://schemas.openxmlformats.org/officeDocument/2006/relationships/hyperlink" Target="https://www.gem.wiki/WHP-8-Ras_Laffan_gas_pipeline" TargetMode="External"/><Relationship Id="rId2011" Type="http://schemas.openxmlformats.org/officeDocument/2006/relationships/hyperlink" Target="https://www.gem.wiki/Ormen_Lange%E2%80%93Nyhamna_Gas_Pipeline" TargetMode="External"/><Relationship Id="rId2968" Type="http://schemas.openxmlformats.org/officeDocument/2006/relationships/hyperlink" Target="https://www.gem.wiki/Guangxi_LNG_Terminal_Transport_Pipeline" TargetMode="External"/><Relationship Id="rId1777" Type="http://schemas.openxmlformats.org/officeDocument/2006/relationships/hyperlink" Target="https://www.gem.wiki/Vijaipur-Dadri_Gas_Pipeline_(GREP-II)" TargetMode="External"/><Relationship Id="rId1984" Type="http://schemas.openxmlformats.org/officeDocument/2006/relationships/hyperlink" Target="https://www.gem.wiki/Northern_Lights_Gas_Pipeline" TargetMode="External"/><Relationship Id="rId2828" Type="http://schemas.openxmlformats.org/officeDocument/2006/relationships/hyperlink" Target="https://www.gem.wiki/Anhui_Gas_Pipeline_Network" TargetMode="External"/><Relationship Id="rId69" Type="http://schemas.openxmlformats.org/officeDocument/2006/relationships/hyperlink" Target="https://www.gem.wiki/Midwestern_Gas_Transmission" TargetMode="External"/><Relationship Id="rId1637" Type="http://schemas.openxmlformats.org/officeDocument/2006/relationships/hyperlink" Target="https://www.gem.wiki/East_to_Southeast_Gas_Pipeline" TargetMode="External"/><Relationship Id="rId1844" Type="http://schemas.openxmlformats.org/officeDocument/2006/relationships/hyperlink" Target="https://www.gem.wiki/Taichung-Datan_Gas_Pipeline" TargetMode="External"/><Relationship Id="rId1704" Type="http://schemas.openxmlformats.org/officeDocument/2006/relationships/hyperlink" Target="https://www.gem.wiki/Katherine_to_Gove_Gas_Pipeline" TargetMode="External"/><Relationship Id="rId1911" Type="http://schemas.openxmlformats.org/officeDocument/2006/relationships/hyperlink" Target="https://www.gem.wiki/Riseberg_Pipeline" TargetMode="External"/><Relationship Id="rId797" Type="http://schemas.openxmlformats.org/officeDocument/2006/relationships/hyperlink" Target="https://www.gem.wiki/UBTG-km56-AY-1_KP916_gas_pipeline" TargetMode="External"/><Relationship Id="rId2478" Type="http://schemas.openxmlformats.org/officeDocument/2006/relationships/hyperlink" Target="https://www.gem.wiki/Martigny_le_Comte-Palleau_Gas_Pipeline" TargetMode="External"/><Relationship Id="rId1287" Type="http://schemas.openxmlformats.org/officeDocument/2006/relationships/hyperlink" Target="https://www.gem.wiki/Gasoduto_Urucu-Manaus" TargetMode="External"/><Relationship Id="rId2685" Type="http://schemas.openxmlformats.org/officeDocument/2006/relationships/hyperlink" Target="https://www.gem.wiki/Tarvisio-Malborghetto_Gas_Pipeline" TargetMode="External"/><Relationship Id="rId2892" Type="http://schemas.openxmlformats.org/officeDocument/2006/relationships/hyperlink" Target="https://www.gem.wiki/Shanxi_Natural_Gas_Pipeline_Network" TargetMode="External"/><Relationship Id="rId657" Type="http://schemas.openxmlformats.org/officeDocument/2006/relationships/hyperlink" Target="https://www.gem.wiki/Algete-Haro_Gas_Pipeline" TargetMode="External"/><Relationship Id="rId864" Type="http://schemas.openxmlformats.org/officeDocument/2006/relationships/hyperlink" Target="https://www.gem.wiki/GR-7_Gas_Pipeline" TargetMode="External"/><Relationship Id="rId1494" Type="http://schemas.openxmlformats.org/officeDocument/2006/relationships/hyperlink" Target="https://gem.wiki/Ommen&#8211;Scheemda_Gas_Pipeline" TargetMode="External"/><Relationship Id="rId2338" Type="http://schemas.openxmlformats.org/officeDocument/2006/relationships/hyperlink" Target="https://www.gem.wiki/Dowletabat-Deryalyk_Gas_Pipeline" TargetMode="External"/><Relationship Id="rId2545" Type="http://schemas.openxmlformats.org/officeDocument/2006/relationships/hyperlink" Target="https://www.gem.wiki/Nakhon_Sawan_Gas_Pipeline" TargetMode="External"/><Relationship Id="rId2752" Type="http://schemas.openxmlformats.org/officeDocument/2006/relationships/hyperlink" Target="https://www.gem.wiki/Yunnan_Gas_Pipeline_Network" TargetMode="External"/><Relationship Id="rId517" Type="http://schemas.openxmlformats.org/officeDocument/2006/relationships/hyperlink" Target="https://www.gem.wiki/Gasoducto_Tobago" TargetMode="External"/><Relationship Id="rId724" Type="http://schemas.openxmlformats.org/officeDocument/2006/relationships/hyperlink" Target="https://www.gem.wiki/UK-Ireland_Interconnector_Gas_Pipeline" TargetMode="External"/><Relationship Id="rId931" Type="http://schemas.openxmlformats.org/officeDocument/2006/relationships/hyperlink" Target="https://www.gem.wiki/Ise_Bay_Gas_Pipeline" TargetMode="External"/><Relationship Id="rId1147" Type="http://schemas.openxmlformats.org/officeDocument/2006/relationships/hyperlink" Target="https://www.gem.wiki/Vecs%C3%A9s-V%C3%A1rosf%C3%B6ld_transit_line" TargetMode="External"/><Relationship Id="rId1354" Type="http://schemas.openxmlformats.org/officeDocument/2006/relationships/hyperlink" Target="https://gem.wiki/BRUA_Gas_Extra_Pipeline" TargetMode="External"/><Relationship Id="rId1561" Type="http://schemas.openxmlformats.org/officeDocument/2006/relationships/hyperlink" Target="https://www.gem.wiki/Velke_Zlievce%E2%80%93Ozdany_Gas_Pipeline" TargetMode="External"/><Relationship Id="rId2405" Type="http://schemas.openxmlformats.org/officeDocument/2006/relationships/hyperlink" Target="https://www.gem.wiki/Poppel-Brasschaat_Gas_Pipeline" TargetMode="External"/><Relationship Id="rId2612" Type="http://schemas.openxmlformats.org/officeDocument/2006/relationships/hyperlink" Target="https://www.gem.wiki/Donje_Mijoljac-Oroslavke_Gas_Pipeline" TargetMode="External"/><Relationship Id="rId60" Type="http://schemas.openxmlformats.org/officeDocument/2006/relationships/hyperlink" Target="https://www.gem.wiki/Independence_Trail_Natural_Gas_Pipeline" TargetMode="External"/><Relationship Id="rId1007" Type="http://schemas.openxmlformats.org/officeDocument/2006/relationships/hyperlink" Target="https://www.gem.wiki/Gorakhpur-Rupandehi_Gas_Pipeline" TargetMode="External"/><Relationship Id="rId1214" Type="http://schemas.openxmlformats.org/officeDocument/2006/relationships/hyperlink" Target="https://www.gem.wiki/Southern_Star_Central_Gas_Pipeline" TargetMode="External"/><Relationship Id="rId1421" Type="http://schemas.openxmlformats.org/officeDocument/2006/relationships/hyperlink" Target="https://gem.wiki/Helsinki&#8211;Siuntio_Gas_Pipeline" TargetMode="External"/><Relationship Id="rId3179" Type="http://schemas.openxmlformats.org/officeDocument/2006/relationships/hyperlink" Target="https://www.gem.wiki/West-East_Gas_Pipeline_3" TargetMode="External"/><Relationship Id="rId2195" Type="http://schemas.openxmlformats.org/officeDocument/2006/relationships/hyperlink" Target="https://www.gem.wiki/Medjedel-Bordj_M%C3%A9nail_Gas_Pipeline" TargetMode="External"/><Relationship Id="rId3039" Type="http://schemas.openxmlformats.org/officeDocument/2006/relationships/hyperlink" Target="https://www.gem.wiki/Jiangxi_Natural_Gas_Pipeline_Network" TargetMode="External"/><Relationship Id="rId3246" Type="http://schemas.openxmlformats.org/officeDocument/2006/relationships/hyperlink" Target="https://www.gem.wiki/Ordos-Anping-Cangzhou_Gas_Pipeline" TargetMode="External"/><Relationship Id="rId167" Type="http://schemas.openxmlformats.org/officeDocument/2006/relationships/hyperlink" Target="https://www.gem.wiki/South_Saskatchewan_Access_Pipeline" TargetMode="External"/><Relationship Id="rId374" Type="http://schemas.openxmlformats.org/officeDocument/2006/relationships/hyperlink" Target="https://www.gem.wiki/Norpipe_Gas_Pipeline" TargetMode="External"/><Relationship Id="rId581" Type="http://schemas.openxmlformats.org/officeDocument/2006/relationships/hyperlink" Target="https://www.gem.wiki/Polyansk-Orenburg_Pipeline" TargetMode="External"/><Relationship Id="rId2055" Type="http://schemas.openxmlformats.org/officeDocument/2006/relationships/hyperlink" Target="https://www.gem.wiki/Slovakia-Hungary_Interconnector_Gas_Pipeline" TargetMode="External"/><Relationship Id="rId2262" Type="http://schemas.openxmlformats.org/officeDocument/2006/relationships/hyperlink" Target="https://www.gem.wiki/Akshabulak-Kyzylorda_Gas_Pipeline" TargetMode="External"/><Relationship Id="rId3106" Type="http://schemas.openxmlformats.org/officeDocument/2006/relationships/hyperlink" Target="https://www.gem.wiki/Hubei_Gas_Pipeline_Network" TargetMode="External"/><Relationship Id="rId234" Type="http://schemas.openxmlformats.org/officeDocument/2006/relationships/hyperlink" Target="https://www.gem.wiki/Ramal_Empalme_Gas_Pipeline" TargetMode="External"/><Relationship Id="rId3313" Type="http://schemas.openxmlformats.org/officeDocument/2006/relationships/hyperlink" Target="https://www.hlj.gov.cn/n200/2020/1213/c35-11012253.html" TargetMode="External"/><Relationship Id="rId441" Type="http://schemas.openxmlformats.org/officeDocument/2006/relationships/hyperlink" Target="https://www.gem.wiki/Urengoy-Novopskov_Gas_Pipeline" TargetMode="External"/><Relationship Id="rId1071" Type="http://schemas.openxmlformats.org/officeDocument/2006/relationships/hyperlink" Target="https://www.gem.wiki/Central_Asia%E2%80%93China_Gas_Pipeline" TargetMode="External"/><Relationship Id="rId2122" Type="http://schemas.openxmlformats.org/officeDocument/2006/relationships/hyperlink" Target="https://www.gem.wiki/Beetaloo_Lateral_Pipeline" TargetMode="External"/><Relationship Id="rId301" Type="http://schemas.openxmlformats.org/officeDocument/2006/relationships/hyperlink" Target="https://www.gem.wiki/Iraq-Kuwait_Gas_Pipeline" TargetMode="External"/><Relationship Id="rId1888" Type="http://schemas.openxmlformats.org/officeDocument/2006/relationships/hyperlink" Target="https://www.gem.wiki/Arthit_PLEM_to_Erawan_Gas_Pipeline" TargetMode="External"/><Relationship Id="rId2939" Type="http://schemas.openxmlformats.org/officeDocument/2006/relationships/hyperlink" Target="https://www.gem.wiki/Guangdong_East_Gas_Pipeline_Network" TargetMode="External"/><Relationship Id="rId1748" Type="http://schemas.openxmlformats.org/officeDocument/2006/relationships/hyperlink" Target="https://www.gem.wiki/Nova_Gas_Transmission_(NGTL)_Pipeline" TargetMode="External"/><Relationship Id="rId1955" Type="http://schemas.openxmlformats.org/officeDocument/2006/relationships/hyperlink" Target="https://www.gem.wiki/Nam_Con_Son_2_Gas_Pipeline" TargetMode="External"/><Relationship Id="rId3170" Type="http://schemas.openxmlformats.org/officeDocument/2006/relationships/hyperlink" Target="https://www.gem.wiki/West-East_Gas_Pipeline_3" TargetMode="External"/><Relationship Id="rId1608" Type="http://schemas.openxmlformats.org/officeDocument/2006/relationships/hyperlink" Target="https://www.gem.wiki/GASFOR_Pipeline" TargetMode="External"/><Relationship Id="rId1815" Type="http://schemas.openxmlformats.org/officeDocument/2006/relationships/hyperlink" Target="https://www.gem.wiki/Urucu-Manaus_Gas_Pipeline" TargetMode="External"/><Relationship Id="rId3030" Type="http://schemas.openxmlformats.org/officeDocument/2006/relationships/hyperlink" Target="https://www.gem.wiki/Jiangxi_Natural_Gas_Pipeline_Network" TargetMode="External"/><Relationship Id="rId2589" Type="http://schemas.openxmlformats.org/officeDocument/2006/relationships/hyperlink" Target="https://www.gem.wiki/Enna-Montalbano_Gas_Pipeline" TargetMode="External"/><Relationship Id="rId2796" Type="http://schemas.openxmlformats.org/officeDocument/2006/relationships/hyperlink" Target="https://www.gem.wiki/Inner_Mongolia_Gas_Pipeline_Network" TargetMode="External"/><Relationship Id="rId768" Type="http://schemas.openxmlformats.org/officeDocument/2006/relationships/hyperlink" Target="https://www.gem.wiki/Raguba-Km-110_gas_pipeline" TargetMode="External"/><Relationship Id="rId975" Type="http://schemas.openxmlformats.org/officeDocument/2006/relationships/hyperlink" Target="https://www.gem.wiki/Titas_to_A-B_Pipeline" TargetMode="External"/><Relationship Id="rId1398" Type="http://schemas.openxmlformats.org/officeDocument/2006/relationships/hyperlink" Target="https://gem.wiki/Epe&#8211;Legden_Gas_Pipeline" TargetMode="External"/><Relationship Id="rId2449" Type="http://schemas.openxmlformats.org/officeDocument/2006/relationships/hyperlink" Target="https://www.gem.wiki/Dakhni-Meyal-Dhulian_Gas_Pipeline" TargetMode="External"/><Relationship Id="rId2656" Type="http://schemas.openxmlformats.org/officeDocument/2006/relationships/hyperlink" Target="https://www.gem.wiki/Pancevo-Horgos_Gas_Pipeline" TargetMode="External"/><Relationship Id="rId2863" Type="http://schemas.openxmlformats.org/officeDocument/2006/relationships/hyperlink" Target="https://www.gem.wiki/Shandong_Gas_Pipeline_Network_South_Trunk" TargetMode="External"/><Relationship Id="rId628" Type="http://schemas.openxmlformats.org/officeDocument/2006/relationships/hyperlink" Target="https://www.gem.wiki/Shin_Negishi_Trunk_Line" TargetMode="External"/><Relationship Id="rId835" Type="http://schemas.openxmlformats.org/officeDocument/2006/relationships/hyperlink" Target="https://www.gem.wiki/Eastern_Shore_Gas_Pipeline" TargetMode="External"/><Relationship Id="rId1258" Type="http://schemas.openxmlformats.org/officeDocument/2006/relationships/hyperlink" Target="https://www.gem.wiki/Gulf_South_Gas_Pipeline" TargetMode="External"/><Relationship Id="rId1465" Type="http://schemas.openxmlformats.org/officeDocument/2006/relationships/hyperlink" Target="https://gem.wiki/Mantsala&#8211;Kyroskoski_Gas_Pipeline" TargetMode="External"/><Relationship Id="rId1672" Type="http://schemas.openxmlformats.org/officeDocument/2006/relationships/hyperlink" Target="https://www.gem.wiki/Trans-Anatolian_Gas_Pipeline" TargetMode="External"/><Relationship Id="rId2309" Type="http://schemas.openxmlformats.org/officeDocument/2006/relationships/hyperlink" Target="https://www.gem.wiki/Badin_Gas_Pipeline" TargetMode="External"/><Relationship Id="rId2516" Type="http://schemas.openxmlformats.org/officeDocument/2006/relationships/hyperlink" Target="https://gem.wiki/Wijngaarden&#8211;Ewijk_Gas_Pipeline" TargetMode="External"/><Relationship Id="rId2723" Type="http://schemas.openxmlformats.org/officeDocument/2006/relationships/hyperlink" Target="https://www.gem.wiki/Spain-Italy_Offshore_Interconnector" TargetMode="External"/><Relationship Id="rId1118" Type="http://schemas.openxmlformats.org/officeDocument/2006/relationships/hyperlink" Target="https://www.gem.wiki/Proskokovo-Achinsk-Krasnoyarsk-Kansk-Balagansk_Gas_Pipeline" TargetMode="External"/><Relationship Id="rId1325" Type="http://schemas.openxmlformats.org/officeDocument/2006/relationships/hyperlink" Target="https://gem.wiki/Aughinish&#8211;Craughwell_Gas_Pipeline" TargetMode="External"/><Relationship Id="rId1532" Type="http://schemas.openxmlformats.org/officeDocument/2006/relationships/hyperlink" Target="https://www.gem.wiki/Ulm%E2%80%93Lindau_Gas_Pipeline" TargetMode="External"/><Relationship Id="rId2930" Type="http://schemas.openxmlformats.org/officeDocument/2006/relationships/hyperlink" Target="https://www.gem.wiki/Guangdong_Gas_Pipeline_Network_Phase_II" TargetMode="External"/><Relationship Id="rId902" Type="http://schemas.openxmlformats.org/officeDocument/2006/relationships/hyperlink" Target="https://www.gem.wiki/Balkan_Stream_gas_pipeline" TargetMode="External"/><Relationship Id="rId31" Type="http://schemas.openxmlformats.org/officeDocument/2006/relationships/hyperlink" Target="https://www.gem.wiki/Delfin_Offshore_Pipeline" TargetMode="External"/><Relationship Id="rId2099" Type="http://schemas.openxmlformats.org/officeDocument/2006/relationships/hyperlink" Target="https://www.gem.wiki/Heera-Uran_Trunk_Line_(HUT)" TargetMode="External"/><Relationship Id="rId278" Type="http://schemas.openxmlformats.org/officeDocument/2006/relationships/hyperlink" Target="https://www.gem.wiki/Trans-Sahara_Gas_Pipeline" TargetMode="External"/><Relationship Id="rId485" Type="http://schemas.openxmlformats.org/officeDocument/2006/relationships/hyperlink" Target="https://www.gem.wiki/Hatikumrul-Bheramara_Gas_Pipeline" TargetMode="External"/><Relationship Id="rId692" Type="http://schemas.openxmlformats.org/officeDocument/2006/relationships/hyperlink" Target="https://www.gem.wiki/Leiria-Braga_Pipeline" TargetMode="External"/><Relationship Id="rId2166" Type="http://schemas.openxmlformats.org/officeDocument/2006/relationships/hyperlink" Target="https://www.gem.wiki/Whistler_Pipeline" TargetMode="External"/><Relationship Id="rId2373" Type="http://schemas.openxmlformats.org/officeDocument/2006/relationships/hyperlink" Target="https://www.gem.wiki/Sokol-Kharovsk_Gas_Pipeline" TargetMode="External"/><Relationship Id="rId2580" Type="http://schemas.openxmlformats.org/officeDocument/2006/relationships/hyperlink" Target="https://www.gem.wiki/Sergnano-Mortara_Gas_Pipeline" TargetMode="External"/><Relationship Id="rId3217" Type="http://schemas.openxmlformats.org/officeDocument/2006/relationships/hyperlink" Target="https://www.gem.wiki/Guizhou_Gas_Pipeline_Network" TargetMode="External"/><Relationship Id="rId138" Type="http://schemas.openxmlformats.org/officeDocument/2006/relationships/hyperlink" Target="https://www.gem.wiki/Roadrunner_Pipeline" TargetMode="External"/><Relationship Id="rId345" Type="http://schemas.openxmlformats.org/officeDocument/2006/relationships/hyperlink" Target="https://www.gem.wiki/Baltic_Gas_Interconnector" TargetMode="External"/><Relationship Id="rId552" Type="http://schemas.openxmlformats.org/officeDocument/2006/relationships/hyperlink" Target="https://www.gem.wiki/Natuna_D_Alpha-Batam-Duri_Gas_Pipeline" TargetMode="External"/><Relationship Id="rId1182" Type="http://schemas.openxmlformats.org/officeDocument/2006/relationships/hyperlink" Target="https://www.gem.wiki/Carlsbad_Gateway_Pipeline" TargetMode="External"/><Relationship Id="rId2026" Type="http://schemas.openxmlformats.org/officeDocument/2006/relationships/hyperlink" Target="https://www.gem.wiki/ES-Mucuri_B_Gas_Pipeline" TargetMode="External"/><Relationship Id="rId2233" Type="http://schemas.openxmlformats.org/officeDocument/2006/relationships/hyperlink" Target="https://egyptoil-gas.com/wp-content/uploads/2020/03/The-Western-Desert-Egypt%E2%80%99s-Giant-Petroleum-Reservoir-.pdf" TargetMode="External"/><Relationship Id="rId2440" Type="http://schemas.openxmlformats.org/officeDocument/2006/relationships/hyperlink" Target="https://www.gem.wiki/Qatargas_LNG_Terminals_Gas_Pipelines" TargetMode="External"/><Relationship Id="rId205" Type="http://schemas.openxmlformats.org/officeDocument/2006/relationships/hyperlink" Target="https://www.gem.wiki/Gasoducto_Ehrenberg-Los_Algodones-San_Luis_Rio_Colorado" TargetMode="External"/><Relationship Id="rId412" Type="http://schemas.openxmlformats.org/officeDocument/2006/relationships/hyperlink" Target="https://www.gem.wiki/Nord_Stream_Gas_Pipeline" TargetMode="External"/><Relationship Id="rId1042" Type="http://schemas.openxmlformats.org/officeDocument/2006/relationships/hyperlink" Target="https://www.gem.wiki/Zawtika_Gas_Pipeline" TargetMode="External"/><Relationship Id="rId2300" Type="http://schemas.openxmlformats.org/officeDocument/2006/relationships/hyperlink" Target="https://www.gem.wiki/PS_Offshore_Gas_Pipelines" TargetMode="External"/><Relationship Id="rId1999" Type="http://schemas.openxmlformats.org/officeDocument/2006/relationships/hyperlink" Target="https://www.gem.wiki/Urengoy-Center_Gas_Pipeline" TargetMode="External"/><Relationship Id="rId1859" Type="http://schemas.openxmlformats.org/officeDocument/2006/relationships/hyperlink" Target="https://www.gem.wiki/Gas_to_the_West_High_Pressure_Pipeline" TargetMode="External"/><Relationship Id="rId3074" Type="http://schemas.openxmlformats.org/officeDocument/2006/relationships/hyperlink" Target="https://www.gem.wiki/Henan_Gas_Pipeline_Network" TargetMode="External"/><Relationship Id="rId1719" Type="http://schemas.openxmlformats.org/officeDocument/2006/relationships/hyperlink" Target="https://www.gem.wiki/Gasoducto_San_Mart%C3%ADn" TargetMode="External"/><Relationship Id="rId1926" Type="http://schemas.openxmlformats.org/officeDocument/2006/relationships/hyperlink" Target="https://www.gem.wiki/Erawan-Rayong_Gas_Pipeline_2" TargetMode="External"/><Relationship Id="rId3281" Type="http://schemas.openxmlformats.org/officeDocument/2006/relationships/hyperlink" Target="https://www.gem.wiki/Shaanxi_Gas_Pipeline_Network" TargetMode="External"/><Relationship Id="rId2090" Type="http://schemas.openxmlformats.org/officeDocument/2006/relationships/hyperlink" Target="https://www.gem.wiki/North_Bakken_Expansion_Pipeline" TargetMode="External"/><Relationship Id="rId2188" Type="http://schemas.openxmlformats.org/officeDocument/2006/relationships/hyperlink" Target="https://www.google.com/url?q=https://sonatrach.com/wp-content/uploads/2022/01/DESCRIPTION-DU-RESEAU-DE-TRANSPORT-PAR-CANALISATION-DES-HYDROCARBURES-TARIF-DE-TRANSPORT-ANNEE-2022.pdf&amp;sa=D&amp;source=editors&amp;ust=1657221422209511&amp;usg=AOvVaw1u4qi4TRdpkerfHLOzQmQb" TargetMode="External"/><Relationship Id="rId2395" Type="http://schemas.openxmlformats.org/officeDocument/2006/relationships/hyperlink" Target="https://www.gem.wiki/Sidhnai-Faisalabad_Gas_Pipeline" TargetMode="External"/><Relationship Id="rId3141" Type="http://schemas.openxmlformats.org/officeDocument/2006/relationships/hyperlink" Target="https://www.gem.wiki/Hunan_Gas_Pipeline_Network" TargetMode="External"/><Relationship Id="rId3239" Type="http://schemas.openxmlformats.org/officeDocument/2006/relationships/hyperlink" Target="https://www.gem.wiki/Liaoning_Gas_Pipeline_Network" TargetMode="External"/><Relationship Id="rId367" Type="http://schemas.openxmlformats.org/officeDocument/2006/relationships/hyperlink" Target="https://www.gem.wiki/Lithuania-Latvia_Interconnection_Gas_Pipeline" TargetMode="External"/><Relationship Id="rId574" Type="http://schemas.openxmlformats.org/officeDocument/2006/relationships/hyperlink" Target="https://www.gem.wiki/Serpukhov_Kalinin_Leningrad_Pipeline" TargetMode="External"/><Relationship Id="rId2048" Type="http://schemas.openxmlformats.org/officeDocument/2006/relationships/hyperlink" Target="https://www.gem.wiki/Bulgaria_Serbia_Interconnection" TargetMode="External"/><Relationship Id="rId2255" Type="http://schemas.openxmlformats.org/officeDocument/2006/relationships/hyperlink" Target="https://www.gem.wiki/IGAT_1_Gas_Pipeline" TargetMode="External"/><Relationship Id="rId3001" Type="http://schemas.openxmlformats.org/officeDocument/2006/relationships/hyperlink" Target="https://www.gem.wiki/Anping-Jinan_gas_pipeline" TargetMode="External"/><Relationship Id="rId227" Type="http://schemas.openxmlformats.org/officeDocument/2006/relationships/hyperlink" Target="https://www.gem.wiki/Gasoducto_Naco-Hermosillo" TargetMode="External"/><Relationship Id="rId781" Type="http://schemas.openxmlformats.org/officeDocument/2006/relationships/hyperlink" Target="https://www.gem.wiki/Imo_River-Aba_Industries_gas_pipeline" TargetMode="External"/><Relationship Id="rId879" Type="http://schemas.openxmlformats.org/officeDocument/2006/relationships/hyperlink" Target="https://www.gem.wiki/Santa_Cruz_Norte_Gas_Pipeline" TargetMode="External"/><Relationship Id="rId2462" Type="http://schemas.openxmlformats.org/officeDocument/2006/relationships/hyperlink" Target="https://www.gem.wiki/Kohat-Nowshera_Gas_Pipeline" TargetMode="External"/><Relationship Id="rId2767" Type="http://schemas.openxmlformats.org/officeDocument/2006/relationships/hyperlink" Target="https://www.gem.wiki/Yunnan_Gas_Pipeline_Network" TargetMode="External"/><Relationship Id="rId3306" Type="http://schemas.openxmlformats.org/officeDocument/2006/relationships/hyperlink" Target="https://www.gem.wiki/Heilongjiang_Natural_Gas_Pipeline_Network" TargetMode="External"/><Relationship Id="rId434" Type="http://schemas.openxmlformats.org/officeDocument/2006/relationships/hyperlink" Target="https://www.gem.wiki/Torzhok-Smolensk-Mazyr-Dolyna_Gas_Pipeline" TargetMode="External"/><Relationship Id="rId641" Type="http://schemas.openxmlformats.org/officeDocument/2006/relationships/hyperlink" Target="https://www.gem.wiki/Shin_Sasebo_line" TargetMode="External"/><Relationship Id="rId739" Type="http://schemas.openxmlformats.org/officeDocument/2006/relationships/hyperlink" Target="https://www.gem.wiki/Sougueur-Arzew_gas_pipeline" TargetMode="External"/><Relationship Id="rId1064" Type="http://schemas.openxmlformats.org/officeDocument/2006/relationships/hyperlink" Target="https://www.gem.wiki/Bukhara-Ural_Gas_Pipeline" TargetMode="External"/><Relationship Id="rId1271" Type="http://schemas.openxmlformats.org/officeDocument/2006/relationships/hyperlink" Target="https://www.gem.wiki/Ust-Kamovskaya_-_Lesosibirsk_-_Achinsk_Gas_Pipeline" TargetMode="External"/><Relationship Id="rId1369" Type="http://schemas.openxmlformats.org/officeDocument/2006/relationships/hyperlink" Target="https://gem.wiki/Chieti&#8211;Pineto_Gas_Pipeline" TargetMode="External"/><Relationship Id="rId1576" Type="http://schemas.openxmlformats.org/officeDocument/2006/relationships/hyperlink" Target="https://gem.wiki/Zamora&#8211;Valladolid_Gas_Pipeline" TargetMode="External"/><Relationship Id="rId2115" Type="http://schemas.openxmlformats.org/officeDocument/2006/relationships/hyperlink" Target="https://www.gem.wiki/Nova_Gas_Transmission_(NGTL)_Pipeline" TargetMode="External"/><Relationship Id="rId2322" Type="http://schemas.openxmlformats.org/officeDocument/2006/relationships/hyperlink" Target="https://www.gem.wiki/Florida_Gas_Transmission_Pipeline" TargetMode="External"/><Relationship Id="rId2974" Type="http://schemas.openxmlformats.org/officeDocument/2006/relationships/hyperlink" Target="https://www.gem.wiki/Guangxi_Gas_Pipeline_Network" TargetMode="External"/><Relationship Id="rId501" Type="http://schemas.openxmlformats.org/officeDocument/2006/relationships/hyperlink" Target="https://www.gem.wiki/Gasoducto_de_la_Puna" TargetMode="External"/><Relationship Id="rId946" Type="http://schemas.openxmlformats.org/officeDocument/2006/relationships/hyperlink" Target="https://www.gem.wiki/Koga-Moka_Gas_Pipeline" TargetMode="External"/><Relationship Id="rId1131" Type="http://schemas.openxmlformats.org/officeDocument/2006/relationships/hyperlink" Target="https://www.gem.wiki/Sverdlovsk-Nizhny_Tagil_Gas_Pipeline" TargetMode="External"/><Relationship Id="rId1229" Type="http://schemas.openxmlformats.org/officeDocument/2006/relationships/hyperlink" Target="https://www.gem.wiki/Portland_Natural_Gas_Transmission_System_(PNGTS)" TargetMode="External"/><Relationship Id="rId1783" Type="http://schemas.openxmlformats.org/officeDocument/2006/relationships/hyperlink" Target="https://www.gem.wiki/PNG_Highlands-Port_Moresby_Gas_Pipeline" TargetMode="External"/><Relationship Id="rId1990" Type="http://schemas.openxmlformats.org/officeDocument/2006/relationships/hyperlink" Target="https://www.gem.wiki/BRUA_Gas_Pipeline" TargetMode="External"/><Relationship Id="rId2627" Type="http://schemas.openxmlformats.org/officeDocument/2006/relationships/hyperlink" Target="https://www.gem.wiki/Romanian_National_Transmission_System" TargetMode="External"/><Relationship Id="rId2834" Type="http://schemas.openxmlformats.org/officeDocument/2006/relationships/hyperlink" Target="https://www.gem.wiki/Anhui_Gas_Pipeline_Network" TargetMode="External"/><Relationship Id="rId75" Type="http://schemas.openxmlformats.org/officeDocument/2006/relationships/hyperlink" Target="https://www.gem.wiki/Mountain_Valley_Gas_Pipeline_(MVP)" TargetMode="External"/><Relationship Id="rId806" Type="http://schemas.openxmlformats.org/officeDocument/2006/relationships/hyperlink" Target="https://www.gem.wiki/Juaymah-Jubail_gas_pipeline" TargetMode="External"/><Relationship Id="rId1436" Type="http://schemas.openxmlformats.org/officeDocument/2006/relationships/hyperlink" Target="https://gem.wiki/Kiefersfelden&#8211;Finsing_Gas_Pipeline" TargetMode="External"/><Relationship Id="rId1643" Type="http://schemas.openxmlformats.org/officeDocument/2006/relationships/hyperlink" Target="https://www.gem.wiki/Sistema_de_Gasodutos_NTS" TargetMode="External"/><Relationship Id="rId1850" Type="http://schemas.openxmlformats.org/officeDocument/2006/relationships/hyperlink" Target="https://www.gem.wiki/Gasoducto_del_Sur_Peruano" TargetMode="External"/><Relationship Id="rId2901" Type="http://schemas.openxmlformats.org/officeDocument/2006/relationships/hyperlink" Target="https://www.gem.wiki/Sichuan%E2%80%93Shanghai_Gas_Pipeline" TargetMode="External"/><Relationship Id="rId3096" Type="http://schemas.openxmlformats.org/officeDocument/2006/relationships/hyperlink" Target="https://www.gem.wiki/Zhejiang_Natural_Gas_Pipeline_Network" TargetMode="External"/><Relationship Id="rId1503" Type="http://schemas.openxmlformats.org/officeDocument/2006/relationships/hyperlink" Target="https://gem.wiki/Petrich&#8211;Dubnitza_Gas_Pipeline" TargetMode="External"/><Relationship Id="rId1710" Type="http://schemas.openxmlformats.org/officeDocument/2006/relationships/hyperlink" Target="https://www.gem.wiki/Racib%C3%B3rz-O%C5%9Bwi%C4%99cim_Gas_Pipeline" TargetMode="External"/><Relationship Id="rId1948" Type="http://schemas.openxmlformats.org/officeDocument/2006/relationships/hyperlink" Target="https://www.gem.wiki/Cauvery_Basin_Gas_Network" TargetMode="External"/><Relationship Id="rId3163" Type="http://schemas.openxmlformats.org/officeDocument/2006/relationships/hyperlink" Target="https://www.gem.wiki/CNOOC_Coal_Gasification_Transmission_Pipeline" TargetMode="External"/><Relationship Id="rId291" Type="http://schemas.openxmlformats.org/officeDocument/2006/relationships/hyperlink" Target="https://www.gem.wiki/Rhourd_Ennous-Hassi_R'mel_Gas_Pipeline" TargetMode="External"/><Relationship Id="rId1808" Type="http://schemas.openxmlformats.org/officeDocument/2006/relationships/hyperlink" Target="https://www.gem.wiki/Gasoducto_Guaymas-El_Oro" TargetMode="External"/><Relationship Id="rId3023" Type="http://schemas.openxmlformats.org/officeDocument/2006/relationships/hyperlink" Target="https://www.gem.wiki/Jiangxi_Natural_Gas_Pipeline_Network" TargetMode="External"/><Relationship Id="rId151" Type="http://schemas.openxmlformats.org/officeDocument/2006/relationships/hyperlink" Target="https://www.gem.wiki/Arctic_Fox_Pipeline" TargetMode="External"/><Relationship Id="rId389" Type="http://schemas.openxmlformats.org/officeDocument/2006/relationships/hyperlink" Target="https://www.gem.wiki/Tyra_West_Gas_Pipeline_-_F3_Gas_Pipeline" TargetMode="External"/><Relationship Id="rId596" Type="http://schemas.openxmlformats.org/officeDocument/2006/relationships/hyperlink" Target="https://www.gem.wiki/Strachocina_Pog%C3%B3rska_Wola_Pipeline" TargetMode="External"/><Relationship Id="rId2277" Type="http://schemas.openxmlformats.org/officeDocument/2006/relationships/hyperlink" Target="https://www.gem.wiki/Andreevskaya-Ingaly-Bolsherechenskaya_Gas_Pipeline" TargetMode="External"/><Relationship Id="rId2484" Type="http://schemas.openxmlformats.org/officeDocument/2006/relationships/hyperlink" Target="https://www.gem.wiki/Gasoducto_F%C3%A9nix" TargetMode="External"/><Relationship Id="rId2691" Type="http://schemas.openxmlformats.org/officeDocument/2006/relationships/hyperlink" Target="https://www.gem.wiki/Hill_Lake_Pipeline" TargetMode="External"/><Relationship Id="rId3230" Type="http://schemas.openxmlformats.org/officeDocument/2006/relationships/hyperlink" Target="https://www.gem.wiki/Guizhou_Gas_Pipeline_Network" TargetMode="External"/><Relationship Id="rId3328" Type="http://schemas.openxmlformats.org/officeDocument/2006/relationships/hyperlink" Target="https://www.gem.wiki/Heilongjiang_Natural_Gas_Pipeline_Network" TargetMode="External"/><Relationship Id="rId249" Type="http://schemas.openxmlformats.org/officeDocument/2006/relationships/hyperlink" Target="https://www.gem.wiki/Gasoducto_Tarahumara" TargetMode="External"/><Relationship Id="rId456" Type="http://schemas.openxmlformats.org/officeDocument/2006/relationships/hyperlink" Target="https://www.gem.wiki/Northern_Leg_Gas_Pipeline" TargetMode="External"/><Relationship Id="rId663" Type="http://schemas.openxmlformats.org/officeDocument/2006/relationships/hyperlink" Target="https://www.gem.wiki/Huelva-C%C3%B3rdoba_Gas_Pipeline" TargetMode="External"/><Relationship Id="rId870" Type="http://schemas.openxmlformats.org/officeDocument/2006/relationships/hyperlink" Target="https://www.gem.wiki/Tidikelt-Tamenrasset_Gas_Pipeline" TargetMode="External"/><Relationship Id="rId1086" Type="http://schemas.openxmlformats.org/officeDocument/2006/relationships/hyperlink" Target="https://www.gem.wiki/Kartaly-Magnitogorsk_Gas_Pipeline" TargetMode="External"/><Relationship Id="rId1293" Type="http://schemas.openxmlformats.org/officeDocument/2006/relationships/hyperlink" Target="https://www.gem.wiki/Delaware_Basin_Gas_Pipeline" TargetMode="External"/><Relationship Id="rId2137" Type="http://schemas.openxmlformats.org/officeDocument/2006/relationships/hyperlink" Target="https://www.gem.wiki/Nova_Gas_Transmission_(NGTL)_Pipeline" TargetMode="External"/><Relationship Id="rId2344" Type="http://schemas.openxmlformats.org/officeDocument/2006/relationships/hyperlink" Target="https://www.gem.wiki/Taji-Duara_Gas_Pipeline" TargetMode="External"/><Relationship Id="rId2551" Type="http://schemas.openxmlformats.org/officeDocument/2006/relationships/hyperlink" Target="https://www.gem.wiki/Fustenwalde-Deutschneudorf_Gas_Pipeline" TargetMode="External"/><Relationship Id="rId2789" Type="http://schemas.openxmlformats.org/officeDocument/2006/relationships/hyperlink" Target="https://www.gem.wiki/Inner_Mongolia_Gas_Pipeline_Network" TargetMode="External"/><Relationship Id="rId2996" Type="http://schemas.openxmlformats.org/officeDocument/2006/relationships/hyperlink" Target="https://www.gem.wiki/Xinjiang_Coal-to-Gas_Pipeline_Project" TargetMode="External"/><Relationship Id="rId109" Type="http://schemas.openxmlformats.org/officeDocument/2006/relationships/hyperlink" Target="https://www.gem.wiki/Gasoducto_Sur_de_Texas-Tuxpan" TargetMode="External"/><Relationship Id="rId316" Type="http://schemas.openxmlformats.org/officeDocument/2006/relationships/hyperlink" Target="https://www.gem.wiki/Qatar_Station_B-Station_S_Gas_Pipeline" TargetMode="External"/><Relationship Id="rId523" Type="http://schemas.openxmlformats.org/officeDocument/2006/relationships/hyperlink" Target="https://www.gem.wiki/Northern_Gas_Pipeline" TargetMode="External"/><Relationship Id="rId968" Type="http://schemas.openxmlformats.org/officeDocument/2006/relationships/hyperlink" Target="https://www.gem.wiki/South_Gippsland_Natural_Gas_Pipeline" TargetMode="External"/><Relationship Id="rId1153" Type="http://schemas.openxmlformats.org/officeDocument/2006/relationships/hyperlink" Target="https://gem.wiki/Phased_Gas_Pipeline_Network" TargetMode="External"/><Relationship Id="rId1598" Type="http://schemas.openxmlformats.org/officeDocument/2006/relationships/hyperlink" Target="https://www.gem.wiki/Carrasco-Yapacan%C3%AD_Gas_Pipeline" TargetMode="External"/><Relationship Id="rId2204" Type="http://schemas.openxmlformats.org/officeDocument/2006/relationships/hyperlink" Target="https://www.gem.wiki/Jamnagar_to_Dwarka_Gas_Pipeline" TargetMode="External"/><Relationship Id="rId2649" Type="http://schemas.openxmlformats.org/officeDocument/2006/relationships/hyperlink" Target="https://www.gem.wiki/High_Pressure_Pipeline_to_West_Macedonia" TargetMode="External"/><Relationship Id="rId2856" Type="http://schemas.openxmlformats.org/officeDocument/2006/relationships/hyperlink" Target="https://www.gem.wiki/Jiaozhou-Rizhao_gas_pipeline" TargetMode="External"/><Relationship Id="rId97" Type="http://schemas.openxmlformats.org/officeDocument/2006/relationships/hyperlink" Target="https://www.gem.wiki/Rio_Bravo_Gas_Pipeline" TargetMode="External"/><Relationship Id="rId730" Type="http://schemas.openxmlformats.org/officeDocument/2006/relationships/hyperlink" Target="https://www.gem.wiki/Khoms-Melita_Pipeline" TargetMode="External"/><Relationship Id="rId828" Type="http://schemas.openxmlformats.org/officeDocument/2006/relationships/hyperlink" Target="https://www.gem.wiki/Santa_B%C3%A1rbara-Aguasay_2_Gas_Pipeline" TargetMode="External"/><Relationship Id="rId1013" Type="http://schemas.openxmlformats.org/officeDocument/2006/relationships/hyperlink" Target="https://www.gem.wiki/Iran-Oman_Gas_Pipeline" TargetMode="External"/><Relationship Id="rId1360" Type="http://schemas.openxmlformats.org/officeDocument/2006/relationships/hyperlink" Target="https://www.gem.wiki/Captieux%E2%80%93Castillon_Gas_Pipeline" TargetMode="External"/><Relationship Id="rId1458" Type="http://schemas.openxmlformats.org/officeDocument/2006/relationships/hyperlink" Target="https://gem.wiki/Maldegem&#8211;Zeebrugge_Gas_Pipeline" TargetMode="External"/><Relationship Id="rId1665" Type="http://schemas.openxmlformats.org/officeDocument/2006/relationships/hyperlink" Target="https://www.gem.wiki/Port_Arthur_Gas_Pipeline" TargetMode="External"/><Relationship Id="rId1872" Type="http://schemas.openxmlformats.org/officeDocument/2006/relationships/hyperlink" Target="https://www.gem.wiki/Gasoducto_El_Oro-Mazatl%C3%A1n" TargetMode="External"/><Relationship Id="rId2411" Type="http://schemas.openxmlformats.org/officeDocument/2006/relationships/hyperlink" Target="https://www.gem.wiki/Taisnieres_sur_Hon-Mons" TargetMode="External"/><Relationship Id="rId2509" Type="http://schemas.openxmlformats.org/officeDocument/2006/relationships/hyperlink" Target="https://www.gem.wiki/Puth_Schinnen%E2%80%93Ravenstein_Gas_Pipeline" TargetMode="External"/><Relationship Id="rId2716" Type="http://schemas.openxmlformats.org/officeDocument/2006/relationships/hyperlink" Target="https://www.gem.wiki/Lowman_Pipeline" TargetMode="External"/><Relationship Id="rId1220" Type="http://schemas.openxmlformats.org/officeDocument/2006/relationships/hyperlink" Target="https://www.gem.wiki/North_Baja_Gas_Pipeline" TargetMode="External"/><Relationship Id="rId1318" Type="http://schemas.openxmlformats.org/officeDocument/2006/relationships/hyperlink" Target="https://gem.wiki/Altamura&#8211;Palagiano_Gas_Pipeline" TargetMode="External"/><Relationship Id="rId1525" Type="http://schemas.openxmlformats.org/officeDocument/2006/relationships/hyperlink" Target="https://gem.wiki/Rogatec&#8211;Gorizia_Gas_Pipeline" TargetMode="External"/><Relationship Id="rId2923" Type="http://schemas.openxmlformats.org/officeDocument/2006/relationships/hyperlink" Target="https://www.gem.wiki/Sichuan_%26_Chongqing_Grand_Loop_Line" TargetMode="External"/><Relationship Id="rId1732" Type="http://schemas.openxmlformats.org/officeDocument/2006/relationships/hyperlink" Target="https://www.gem.wiki/Gasoducto_Neuba_I" TargetMode="External"/><Relationship Id="rId3185" Type="http://schemas.openxmlformats.org/officeDocument/2006/relationships/hyperlink" Target="https://www.gem.wiki/West-East_Gas_Pipeline_2_Nanchang-Shanghai_Branch" TargetMode="External"/><Relationship Id="rId24" Type="http://schemas.openxmlformats.org/officeDocument/2006/relationships/hyperlink" Target="https://www.gem.wiki/Cheyenne_Plains_Gas_Pipeline" TargetMode="External"/><Relationship Id="rId2299" Type="http://schemas.openxmlformats.org/officeDocument/2006/relationships/hyperlink" Target="https://www.gem.wiki/Qatargas_Ras_Laffan_Gas_Pipelines" TargetMode="External"/><Relationship Id="rId3045" Type="http://schemas.openxmlformats.org/officeDocument/2006/relationships/hyperlink" Target="https://www.gem.wiki/Xintian_Tangshan_LNG_Terminal_Transport_Pipeline" TargetMode="External"/><Relationship Id="rId3252" Type="http://schemas.openxmlformats.org/officeDocument/2006/relationships/hyperlink" Target="https://www.gem.wiki/Ordos-Anping-Cangzhou_Gas_Pipeline" TargetMode="External"/><Relationship Id="rId173" Type="http://schemas.openxmlformats.org/officeDocument/2006/relationships/hyperlink" Target="https://www.gem.wiki/Renaissance_Gas_Transmission_Pipeline" TargetMode="External"/><Relationship Id="rId380" Type="http://schemas.openxmlformats.org/officeDocument/2006/relationships/hyperlink" Target="https://www.gem.wiki/South_German_Gas_Pipeline" TargetMode="External"/><Relationship Id="rId2061" Type="http://schemas.openxmlformats.org/officeDocument/2006/relationships/hyperlink" Target="https://www.gem.wiki/Gloucester_Gas_Pipeline" TargetMode="External"/><Relationship Id="rId3112" Type="http://schemas.openxmlformats.org/officeDocument/2006/relationships/hyperlink" Target="https://www.gem.wiki/Hubei_Gas_Pipeline_Network" TargetMode="External"/><Relationship Id="rId240" Type="http://schemas.openxmlformats.org/officeDocument/2006/relationships/hyperlink" Target="https://www.gem.wiki/Rosarito_Gas_Pipeline" TargetMode="External"/><Relationship Id="rId478" Type="http://schemas.openxmlformats.org/officeDocument/2006/relationships/hyperlink" Target="https://www.gem.wiki/Devpur_Kumargaon_Gas_Pipeline" TargetMode="External"/><Relationship Id="rId685" Type="http://schemas.openxmlformats.org/officeDocument/2006/relationships/hyperlink" Target="https://www.gem.wiki/Tekirdag-Buyukkaristiran_Pipeline" TargetMode="External"/><Relationship Id="rId892" Type="http://schemas.openxmlformats.org/officeDocument/2006/relationships/hyperlink" Target="https://www.gem.wiki/BSOPP_Gas_Pipeline" TargetMode="External"/><Relationship Id="rId2159" Type="http://schemas.openxmlformats.org/officeDocument/2006/relationships/hyperlink" Target="https://www.gem.wiki/Neerabup_Pipeline" TargetMode="External"/><Relationship Id="rId2366" Type="http://schemas.openxmlformats.org/officeDocument/2006/relationships/hyperlink" Target="https://www.gem.wiki/Vologda-20-Vytegra_Gas_Pipeline" TargetMode="External"/><Relationship Id="rId2573" Type="http://schemas.openxmlformats.org/officeDocument/2006/relationships/hyperlink" Target="https://www.gem.wiki/Parma-Cortemaggiore_Gas_Pipeline" TargetMode="External"/><Relationship Id="rId2780" Type="http://schemas.openxmlformats.org/officeDocument/2006/relationships/hyperlink" Target="https://www.gem.wiki/Inner_Mongolia_Gas_Pipeline_Network" TargetMode="External"/><Relationship Id="rId100" Type="http://schemas.openxmlformats.org/officeDocument/2006/relationships/hyperlink" Target="https://www.gem.wiki/Sabal_Trail_Gas_Transmission_Pipeline" TargetMode="External"/><Relationship Id="rId338" Type="http://schemas.openxmlformats.org/officeDocument/2006/relationships/hyperlink" Target="https://www.gem.wiki/Margham%E2%80%93Jebel_Ali_gas_pipeline" TargetMode="External"/><Relationship Id="rId545" Type="http://schemas.openxmlformats.org/officeDocument/2006/relationships/hyperlink" Target="https://www.gem.wiki/Gresik-Semarang_Gas_Pipeline" TargetMode="External"/><Relationship Id="rId752" Type="http://schemas.openxmlformats.org/officeDocument/2006/relationships/hyperlink" Target="https://www.gem.wiki/West_Qurna-Baghdad_Gas_Pipeline" TargetMode="External"/><Relationship Id="rId1175" Type="http://schemas.openxmlformats.org/officeDocument/2006/relationships/hyperlink" Target="https://www.gem.wiki/Agua_Blanca_Pipeline" TargetMode="External"/><Relationship Id="rId1382" Type="http://schemas.openxmlformats.org/officeDocument/2006/relationships/hyperlink" Target="https://gem.wiki/Cupello&#8211;Vastogirardi_Gas_Pipeline" TargetMode="External"/><Relationship Id="rId2019" Type="http://schemas.openxmlformats.org/officeDocument/2006/relationships/hyperlink" Target="https://www.gem.wiki/Gasoduto_da_Rota_5b" TargetMode="External"/><Relationship Id="rId2226" Type="http://schemas.openxmlformats.org/officeDocument/2006/relationships/hyperlink" Target="https://www.petroleum.gov.eg/ar-eg/gas-and-petrol/distribution-marketing-transporting/Documents/2020%D8%AE%D8%B7%D9%88%D8%B7_%D8%A7%D9%84%D8%B4%D8%A8%D9%83%D8%A9_%D8%A7%D9%84%D9%82%D9%88%D9%85%D9%8A%D8%A9_%D9%84%D9%84%D8%BA%D8%A7%D8%B2%D8%A7%D8%AA_%D8%A7%D9%84%D8%B7%D8%A8%D9%8A%D8%B9%D9%8A%D8%A9.pdf" TargetMode="External"/><Relationship Id="rId2433" Type="http://schemas.openxmlformats.org/officeDocument/2006/relationships/hyperlink" Target="https://www.gem.wiki/Nadym-Punga_I,_II,_IV,_V_Gas_Pipeline" TargetMode="External"/><Relationship Id="rId2640" Type="http://schemas.openxmlformats.org/officeDocument/2006/relationships/hyperlink" Target="https://www.gem.wiki/Sacarya-Baklan_Gas_Pipeline" TargetMode="External"/><Relationship Id="rId2878" Type="http://schemas.openxmlformats.org/officeDocument/2006/relationships/hyperlink" Target="https://www.gem.wiki/Shanxi_Natural_Gas_Pipeline_Network" TargetMode="External"/><Relationship Id="rId405" Type="http://schemas.openxmlformats.org/officeDocument/2006/relationships/hyperlink" Target="https://www.gem.wiki/Gryazovets-Vyborg_Gas_Pipeline" TargetMode="External"/><Relationship Id="rId612" Type="http://schemas.openxmlformats.org/officeDocument/2006/relationships/hyperlink" Target="https://www.gem.wiki/Hakodate_Trunk_Line" TargetMode="External"/><Relationship Id="rId1035" Type="http://schemas.openxmlformats.org/officeDocument/2006/relationships/hyperlink" Target="https://www.gem.wiki/Rosarito_Gas_Pipeline" TargetMode="External"/><Relationship Id="rId1242" Type="http://schemas.openxmlformats.org/officeDocument/2006/relationships/hyperlink" Target="https://www.gem.wiki/Sierrita_Gas_Pipeline" TargetMode="External"/><Relationship Id="rId1687" Type="http://schemas.openxmlformats.org/officeDocument/2006/relationships/hyperlink" Target="https://www.gem.wiki/Eastern_Gas_Transmission_and_Storage_System_(EGTS)" TargetMode="External"/><Relationship Id="rId1894" Type="http://schemas.openxmlformats.org/officeDocument/2006/relationships/hyperlink" Target="https://www.gem.wiki/Gasbol_Gas_Pipeline" TargetMode="External"/><Relationship Id="rId2500" Type="http://schemas.openxmlformats.org/officeDocument/2006/relationships/hyperlink" Target="https://www.gem.wiki/Hajigabul-Gazakh-Saguramo_Pipeline" TargetMode="External"/><Relationship Id="rId2738" Type="http://schemas.openxmlformats.org/officeDocument/2006/relationships/hyperlink" Target="https://www.gem.wiki/Sino-Myanmar_Gas_Pipeline" TargetMode="External"/><Relationship Id="rId2945" Type="http://schemas.openxmlformats.org/officeDocument/2006/relationships/hyperlink" Target="https://www.gem.wiki/Guangdong_West_Gas_Pipeline_Network" TargetMode="External"/><Relationship Id="rId917" Type="http://schemas.openxmlformats.org/officeDocument/2006/relationships/hyperlink" Target="https://www.gem.wiki/Parmelia_Pipeline" TargetMode="External"/><Relationship Id="rId1102" Type="http://schemas.openxmlformats.org/officeDocument/2006/relationships/hyperlink" Target="https://www.gem.wiki/Nizhnevartovsk-Parabel-Kuzbass_Gas_Pipeline" TargetMode="External"/><Relationship Id="rId1547" Type="http://schemas.openxmlformats.org/officeDocument/2006/relationships/hyperlink" Target="https://gem.wiki/Tarsia&#8211;Crotone_Gas_Pipeline" TargetMode="External"/><Relationship Id="rId1754" Type="http://schemas.openxmlformats.org/officeDocument/2006/relationships/hyperlink" Target="https://www.gem.wiki/Trans-Caspian_Gas_Pipeline" TargetMode="External"/><Relationship Id="rId1961" Type="http://schemas.openxmlformats.org/officeDocument/2006/relationships/hyperlink" Target="https://www.gem.wiki/APLNG_Pipeline" TargetMode="External"/><Relationship Id="rId2805" Type="http://schemas.openxmlformats.org/officeDocument/2006/relationships/hyperlink" Target="https://www.gem.wiki/Jilin_Gas_Pipeline_Network" TargetMode="External"/><Relationship Id="rId46" Type="http://schemas.openxmlformats.org/officeDocument/2006/relationships/hyperlink" Target="https://www.gem.wiki/Florida_Gas_Transmission_Pipeline" TargetMode="External"/><Relationship Id="rId1407" Type="http://schemas.openxmlformats.org/officeDocument/2006/relationships/hyperlink" Target="https://gem.wiki/Forchheim&#8211;Finsing_Gas_Pipeline" TargetMode="External"/><Relationship Id="rId1614" Type="http://schemas.openxmlformats.org/officeDocument/2006/relationships/hyperlink" Target="https://www.gem.wiki/Nordest%C3%A3o_Gas_Pipeline" TargetMode="External"/><Relationship Id="rId1821" Type="http://schemas.openxmlformats.org/officeDocument/2006/relationships/hyperlink" Target="https://www.gem.wiki/North_Macedonia%E2%80%93Albania_Gas_Pipeline" TargetMode="External"/><Relationship Id="rId3067" Type="http://schemas.openxmlformats.org/officeDocument/2006/relationships/hyperlink" Target="https://www.gem.wiki/West-East_Pipeline_2_Xuedian-Bo%27ai_Branch" TargetMode="External"/><Relationship Id="rId3274" Type="http://schemas.openxmlformats.org/officeDocument/2006/relationships/hyperlink" Target="https://www.gem.wiki/Shaan-Jing_Pipeline" TargetMode="External"/><Relationship Id="rId195" Type="http://schemas.openxmlformats.org/officeDocument/2006/relationships/hyperlink" Target="https://www.gem.wiki/Gulf_Coast_Express_Pipeline" TargetMode="External"/><Relationship Id="rId1919" Type="http://schemas.openxmlformats.org/officeDocument/2006/relationships/hyperlink" Target="https://www.gem.wiki/Gemini_Gulf_Coast_Pipeline" TargetMode="External"/><Relationship Id="rId2083" Type="http://schemas.openxmlformats.org/officeDocument/2006/relationships/hyperlink" Target="https://www.gem.wiki/Moomba_Adelaide_Pipeline_System" TargetMode="External"/><Relationship Id="rId2290" Type="http://schemas.openxmlformats.org/officeDocument/2006/relationships/hyperlink" Target="https://www.gem.wiki/Northwestern_Gas_Pipeline" TargetMode="External"/><Relationship Id="rId2388" Type="http://schemas.openxmlformats.org/officeDocument/2006/relationships/hyperlink" Target="https://www.gem.wiki/AV29-N2_RLNG_Pipeline" TargetMode="External"/><Relationship Id="rId2595" Type="http://schemas.openxmlformats.org/officeDocument/2006/relationships/hyperlink" Target="https://gem.wiki/Rimini&#8211;Sansepolcro_Gas_Pipeline" TargetMode="External"/><Relationship Id="rId3134" Type="http://schemas.openxmlformats.org/officeDocument/2006/relationships/hyperlink" Target="https://www.gem.wiki/Hunan_Gas_Pipeline_Network" TargetMode="External"/><Relationship Id="rId3341" Type="http://schemas.openxmlformats.org/officeDocument/2006/relationships/hyperlink" Target="https://www.gem.wiki/Prokopyevsky_%E2%80%93_Toutunhe_Pipeline" TargetMode="External"/><Relationship Id="rId262" Type="http://schemas.openxmlformats.org/officeDocument/2006/relationships/hyperlink" Target="https://www.gem.wiki/IGAT_3_Gas_Pipeline" TargetMode="External"/><Relationship Id="rId567" Type="http://schemas.openxmlformats.org/officeDocument/2006/relationships/hyperlink" Target="https://www.gem.wiki/Fifth_Gas_Transmission_Pipeline_Project" TargetMode="External"/><Relationship Id="rId1197" Type="http://schemas.openxmlformats.org/officeDocument/2006/relationships/hyperlink" Target="https://www.gem.wiki/FM_100_Gas_Pipeline" TargetMode="External"/><Relationship Id="rId2150" Type="http://schemas.openxmlformats.org/officeDocument/2006/relationships/hyperlink" Target="https://www.gem.wiki/Amadeus_Gas_Pipeline" TargetMode="External"/><Relationship Id="rId2248" Type="http://schemas.openxmlformats.org/officeDocument/2006/relationships/hyperlink" Target="https://www.gem.wiki/Karachaganak-Uralsk_Gas_Pipeline" TargetMode="External"/><Relationship Id="rId3201" Type="http://schemas.openxmlformats.org/officeDocument/2006/relationships/hyperlink" Target="https://www.gem.wiki/Guizhou_Gas_Pipeline_Network" TargetMode="External"/><Relationship Id="rId122" Type="http://schemas.openxmlformats.org/officeDocument/2006/relationships/hyperlink" Target="https://www.gem.wiki/TransColorado_Gas_Pipeline" TargetMode="External"/><Relationship Id="rId774" Type="http://schemas.openxmlformats.org/officeDocument/2006/relationships/hyperlink" Target="https://www.gem.wiki/Afisiere-Aladja_gas_pipeline" TargetMode="External"/><Relationship Id="rId981" Type="http://schemas.openxmlformats.org/officeDocument/2006/relationships/hyperlink" Target="https://www.gem.wiki/Gasoducto_Buenaventura-Yumbo" TargetMode="External"/><Relationship Id="rId1057" Type="http://schemas.openxmlformats.org/officeDocument/2006/relationships/hyperlink" Target="https://www.gem.wiki/Romania-Moldova_Gas_Pipeline" TargetMode="External"/><Relationship Id="rId2010" Type="http://schemas.openxmlformats.org/officeDocument/2006/relationships/hyperlink" Target="https://www.gem.wiki/Troll%E2%80%93Kollsnes_Gas_Pipeline" TargetMode="External"/><Relationship Id="rId2455" Type="http://schemas.openxmlformats.org/officeDocument/2006/relationships/hyperlink" Target="https://www.gem.wiki/Montauban-Aurillac-Saint_Affrique_Gas_Pipeline" TargetMode="External"/><Relationship Id="rId2662" Type="http://schemas.openxmlformats.org/officeDocument/2006/relationships/hyperlink" Target="https://www.gem.wiki/Qatargas_LNG_Terminals_Gas_Pipelines" TargetMode="External"/><Relationship Id="rId427" Type="http://schemas.openxmlformats.org/officeDocument/2006/relationships/hyperlink" Target="https://www.gem.wiki/Yamal-Europe_Gas_Pipeline" TargetMode="External"/><Relationship Id="rId634" Type="http://schemas.openxmlformats.org/officeDocument/2006/relationships/hyperlink" Target="https://www.gem.wiki/Iwaki_Offshore_Line" TargetMode="External"/><Relationship Id="rId841" Type="http://schemas.openxmlformats.org/officeDocument/2006/relationships/hyperlink" Target="https://www.gem.wiki/Mountaineer_Gas_Pipeline" TargetMode="External"/><Relationship Id="rId1264" Type="http://schemas.openxmlformats.org/officeDocument/2006/relationships/hyperlink" Target="https://www.gem.wiki/Uquo_to_Oron_Gas_Pipeline" TargetMode="External"/><Relationship Id="rId1471" Type="http://schemas.openxmlformats.org/officeDocument/2006/relationships/hyperlink" Target="https://gem.wiki/Mery_Sur_Cher&#8211;Cherre_Gas_Pipeline_1" TargetMode="External"/><Relationship Id="rId1569" Type="http://schemas.openxmlformats.org/officeDocument/2006/relationships/hyperlink" Target="https://gem.wiki/Westerschelde_Oost&#8211;Zelzate_Gas_Pipeline" TargetMode="External"/><Relationship Id="rId2108" Type="http://schemas.openxmlformats.org/officeDocument/2006/relationships/hyperlink" Target="https://www.gem.wiki/Nova_Gas_Transmission_(NGTL)_Pipeline" TargetMode="External"/><Relationship Id="rId2315" Type="http://schemas.openxmlformats.org/officeDocument/2006/relationships/hyperlink" Target="https://www.gem.wiki/Hassan-Sui_Gas_Pipeline" TargetMode="External"/><Relationship Id="rId2522" Type="http://schemas.openxmlformats.org/officeDocument/2006/relationships/hyperlink" Target="https://www.gem.wiki/Gomi-Khashuri-Bakuriani_Gas_Pipeline" TargetMode="External"/><Relationship Id="rId2967" Type="http://schemas.openxmlformats.org/officeDocument/2006/relationships/hyperlink" Target="https://www.gem.wiki/Guangxi_LNG_Terminal_Transport_Pipeline" TargetMode="External"/><Relationship Id="rId701" Type="http://schemas.openxmlformats.org/officeDocument/2006/relationships/hyperlink" Target="https://www.gem.wiki/Greece-Italy_Interconnector_Gas_Pipeline_(IGI)" TargetMode="External"/><Relationship Id="rId939" Type="http://schemas.openxmlformats.org/officeDocument/2006/relationships/hyperlink" Target="https://www.gem.wiki/Roma_to_Brisbane_Pipeline" TargetMode="External"/><Relationship Id="rId1124" Type="http://schemas.openxmlformats.org/officeDocument/2006/relationships/hyperlink" Target="https://www.gem.wiki/Saratov-Moscow_Gas_Pipeline" TargetMode="External"/><Relationship Id="rId1331" Type="http://schemas.openxmlformats.org/officeDocument/2006/relationships/hyperlink" Target="https://gem.wiki/Batajnica&#8211;Sarajevo_Gas_Pipeline" TargetMode="External"/><Relationship Id="rId1776" Type="http://schemas.openxmlformats.org/officeDocument/2006/relationships/hyperlink" Target="https://www.gem.wiki/Dahej-Vijaipur_Pipeline_(DVPL-II)" TargetMode="External"/><Relationship Id="rId1983" Type="http://schemas.openxmlformats.org/officeDocument/2006/relationships/hyperlink" Target="https://www.gem.wiki/Vlora-Fier_Gas_Pipeline" TargetMode="External"/><Relationship Id="rId2827" Type="http://schemas.openxmlformats.org/officeDocument/2006/relationships/hyperlink" Target="https://www.gem.wiki/Anhui_Gas_Pipeline_Network" TargetMode="External"/><Relationship Id="rId68" Type="http://schemas.openxmlformats.org/officeDocument/2006/relationships/hyperlink" Target="https://www.gem.wiki/Midcontinent_Express_Gas_Pipeline" TargetMode="External"/><Relationship Id="rId1429" Type="http://schemas.openxmlformats.org/officeDocument/2006/relationships/hyperlink" Target="https://gem.wiki/Inkoo&#8211;Mantsala_Gas_Pipeline" TargetMode="External"/><Relationship Id="rId1636" Type="http://schemas.openxmlformats.org/officeDocument/2006/relationships/hyperlink" Target="https://www.gem.wiki/FSRU_to_Thai_Binh_Gas_Pipeline" TargetMode="External"/><Relationship Id="rId1843" Type="http://schemas.openxmlformats.org/officeDocument/2006/relationships/hyperlink" Target="https://www.gem.wiki/Sucat-Quirino_Gas_Pipeline" TargetMode="External"/><Relationship Id="rId3089" Type="http://schemas.openxmlformats.org/officeDocument/2006/relationships/hyperlink" Target="https://www.gem.wiki/Zhejiang_Natural_Gas_Pipeline_Network" TargetMode="External"/><Relationship Id="rId3296" Type="http://schemas.openxmlformats.org/officeDocument/2006/relationships/hyperlink" Target="https://www.gem.wiki/Shaanxi_Gas_Pipeline_Network" TargetMode="External"/><Relationship Id="rId1703" Type="http://schemas.openxmlformats.org/officeDocument/2006/relationships/hyperlink" Target="https://www.gem.wiki/Casino_to_Iona_Pipeline" TargetMode="External"/><Relationship Id="rId1910" Type="http://schemas.openxmlformats.org/officeDocument/2006/relationships/hyperlink" Target="https://www.gem.wiki/Gemini_Carthage_Pipeline" TargetMode="External"/><Relationship Id="rId3156" Type="http://schemas.openxmlformats.org/officeDocument/2006/relationships/hyperlink" Target="https://www.gem.wiki/Strait_West_Natural_Gas_Pipeline_Network_Phase_II" TargetMode="External"/><Relationship Id="rId284" Type="http://schemas.openxmlformats.org/officeDocument/2006/relationships/hyperlink" Target="https://www.gem.wiki/Haoudh_El_Hamra-Arzew_Gas_Pipeline" TargetMode="External"/><Relationship Id="rId491" Type="http://schemas.openxmlformats.org/officeDocument/2006/relationships/hyperlink" Target="https://www.gem.wiki/Moheshkhali-Anwara_Gas_Transmission_Pipeline" TargetMode="External"/><Relationship Id="rId2172" Type="http://schemas.openxmlformats.org/officeDocument/2006/relationships/hyperlink" Target="https://www.gem.wiki/Mozambique_LNG_Gas_Pipeline" TargetMode="External"/><Relationship Id="rId3016" Type="http://schemas.openxmlformats.org/officeDocument/2006/relationships/hyperlink" Target="https://www.gem.wiki/Jiangsu_Coastal_Gas_Pipeline" TargetMode="External"/><Relationship Id="rId3223" Type="http://schemas.openxmlformats.org/officeDocument/2006/relationships/hyperlink" Target="https://www.gem.wiki/Guizhou_Gas_Pipeline_Network" TargetMode="External"/><Relationship Id="rId144" Type="http://schemas.openxmlformats.org/officeDocument/2006/relationships/hyperlink" Target="https://www.gem.wiki/Sunbury_Pipeline" TargetMode="External"/><Relationship Id="rId589" Type="http://schemas.openxmlformats.org/officeDocument/2006/relationships/hyperlink" Target="https://www.gem.wiki/Ananjiv-Bohorodchani_Gas_Pipeline" TargetMode="External"/><Relationship Id="rId796" Type="http://schemas.openxmlformats.org/officeDocument/2006/relationships/hyperlink" Target="https://www.gem.wiki/UBTG-1-Berri_2_gas_pipeline" TargetMode="External"/><Relationship Id="rId2477" Type="http://schemas.openxmlformats.org/officeDocument/2006/relationships/hyperlink" Target="https://www.gem.wiki/Langres-Lure_Gas_Pipeline" TargetMode="External"/><Relationship Id="rId2684" Type="http://schemas.openxmlformats.org/officeDocument/2006/relationships/hyperlink" Target="https://www.gem.wiki/Malborghetto-Camisano_Gas_Pipeline" TargetMode="External"/><Relationship Id="rId351" Type="http://schemas.openxmlformats.org/officeDocument/2006/relationships/hyperlink" Target="https://www.gem.wiki/Europipe_I_Gas_Pipeline" TargetMode="External"/><Relationship Id="rId449" Type="http://schemas.openxmlformats.org/officeDocument/2006/relationships/hyperlink" Target="https://www.gem.wiki/Scottish_Area_Gas_Evacuation_Pipeline" TargetMode="External"/><Relationship Id="rId656" Type="http://schemas.openxmlformats.org/officeDocument/2006/relationships/hyperlink" Target="https://www.gem.wiki/Al_Andalus_Pipeline" TargetMode="External"/><Relationship Id="rId863" Type="http://schemas.openxmlformats.org/officeDocument/2006/relationships/hyperlink" Target="https://sonatrach.com/wp-content/uploads/2022/01/DESCRIPTION-DU-RESEAU-DE-TRANSPORT-PAR-CANALISATION-DES-HYDROCARBURES-TARIF-DE-TRANSPORT-ANNEE-2022.pdf" TargetMode="External"/><Relationship Id="rId1079" Type="http://schemas.openxmlformats.org/officeDocument/2006/relationships/hyperlink" Target="https://www.gem.wiki/Tokyo-Niigata_Gas_Pipeline" TargetMode="External"/><Relationship Id="rId1286" Type="http://schemas.openxmlformats.org/officeDocument/2006/relationships/hyperlink" Target="https://www.gem.wiki/Urucu-Manaus_Gas_Pipeline" TargetMode="External"/><Relationship Id="rId1493" Type="http://schemas.openxmlformats.org/officeDocument/2006/relationships/hyperlink" Target="https://gem.wiki/North_West_Pipeline_(NWP)" TargetMode="External"/><Relationship Id="rId2032" Type="http://schemas.openxmlformats.org/officeDocument/2006/relationships/hyperlink" Target="https://www.gem.wiki/Uruguaiana-Porto_Alegre_Gas_Pipeline" TargetMode="External"/><Relationship Id="rId2337" Type="http://schemas.openxmlformats.org/officeDocument/2006/relationships/hyperlink" Target="https://www.gem.wiki/Khormor-Erbil_Gas_Pipeline" TargetMode="External"/><Relationship Id="rId2544" Type="http://schemas.openxmlformats.org/officeDocument/2006/relationships/hyperlink" Target="https://www.gem.wiki/Rayong-Kaeng_Khoi_Gas_Pipeline" TargetMode="External"/><Relationship Id="rId2891" Type="http://schemas.openxmlformats.org/officeDocument/2006/relationships/hyperlink" Target="https://www.gem.wiki/Salt_Lake%E2%80%93Pinglu%E2%80%93Sanmenxia_Natural_Gas_Pipeline" TargetMode="External"/><Relationship Id="rId2989" Type="http://schemas.openxmlformats.org/officeDocument/2006/relationships/hyperlink" Target="https://www.gem.wiki/Lunan-Kuche_Pipeline" TargetMode="External"/><Relationship Id="rId211" Type="http://schemas.openxmlformats.org/officeDocument/2006/relationships/hyperlink" Target="https://www.gem.wiki/Gasoducto_de_la_Costa" TargetMode="External"/><Relationship Id="rId309" Type="http://schemas.openxmlformats.org/officeDocument/2006/relationships/hyperlink" Target="https://www.gem.wiki/Ukanafun-Calabar_Gas_Pipeline" TargetMode="External"/><Relationship Id="rId516" Type="http://schemas.openxmlformats.org/officeDocument/2006/relationships/hyperlink" Target="https://www.gem.wiki/Tobago_Gas_Pipeline" TargetMode="External"/><Relationship Id="rId1146" Type="http://schemas.openxmlformats.org/officeDocument/2006/relationships/hyperlink" Target="https://www.gem.wiki/Aleksandrovac-Novi_Pazar-Tutin_Pipeline" TargetMode="External"/><Relationship Id="rId1798" Type="http://schemas.openxmlformats.org/officeDocument/2006/relationships/hyperlink" Target="https://www.gem.wiki/EDSA-Taft_Gas_Pipeline" TargetMode="External"/><Relationship Id="rId2751" Type="http://schemas.openxmlformats.org/officeDocument/2006/relationships/hyperlink" Target="https://www.gem.wiki/Yunnan_Gas_Pipeline_Network" TargetMode="External"/><Relationship Id="rId2849" Type="http://schemas.openxmlformats.org/officeDocument/2006/relationships/hyperlink" Target="https://www.gem.wiki/Anhui_Gas_Pipeline_Network" TargetMode="External"/><Relationship Id="rId723" Type="http://schemas.openxmlformats.org/officeDocument/2006/relationships/hyperlink" Target="https://www.gem.wiki/Murdoch_Field%E2%80%93Theddlethorpe_Gas_Pipeline" TargetMode="External"/><Relationship Id="rId930" Type="http://schemas.openxmlformats.org/officeDocument/2006/relationships/hyperlink" Target="https://www.gem.wiki/Ise_Bay_2_Gas_Pipeline" TargetMode="External"/><Relationship Id="rId1006" Type="http://schemas.openxmlformats.org/officeDocument/2006/relationships/hyperlink" Target="https://www.gem.wiki/Dahej-Uran-Panvel-Dhabhol_Gas_Pipeline" TargetMode="External"/><Relationship Id="rId1353" Type="http://schemas.openxmlformats.org/officeDocument/2006/relationships/hyperlink" Target="https://gem.wiki/Brodsk&#233;&#8211;Plavecky_Peter_Gas_Pipeline" TargetMode="External"/><Relationship Id="rId1560" Type="http://schemas.openxmlformats.org/officeDocument/2006/relationships/hyperlink" Target="https://gem.wiki/Vastogirardi&#8211;Sulmona_Gas_Pipeline" TargetMode="External"/><Relationship Id="rId1658" Type="http://schemas.openxmlformats.org/officeDocument/2006/relationships/hyperlink" Target="https://www.gem.wiki/Columbia_Gas_Transmission" TargetMode="External"/><Relationship Id="rId1865" Type="http://schemas.openxmlformats.org/officeDocument/2006/relationships/hyperlink" Target="https://www.gem.wiki/Novosibirsk-Barnaul_Gas_Pipeline" TargetMode="External"/><Relationship Id="rId2404" Type="http://schemas.openxmlformats.org/officeDocument/2006/relationships/hyperlink" Target="https://www.gem.wiki/Brecht-Wuustwezel_Gas_Pipeline" TargetMode="External"/><Relationship Id="rId2611" Type="http://schemas.openxmlformats.org/officeDocument/2006/relationships/hyperlink" Target="https://www.gem.wiki/Donje_Mijoljac-Oroslavke_Gas_Pipeline" TargetMode="External"/><Relationship Id="rId2709" Type="http://schemas.openxmlformats.org/officeDocument/2006/relationships/hyperlink" Target="https://www.gem.wiki/DTE_Michigan_Lateral_Gas_Pipeline" TargetMode="External"/><Relationship Id="rId1213" Type="http://schemas.openxmlformats.org/officeDocument/2006/relationships/hyperlink" Target="https://www.gem.wiki/Texas_Eastern_Transmission_(TETCO)_Gas_Pipeline" TargetMode="External"/><Relationship Id="rId1420" Type="http://schemas.openxmlformats.org/officeDocument/2006/relationships/hyperlink" Target="https://gem.wiki/Goleniow&#8211;Szczecin_Gas_Pipeline" TargetMode="External"/><Relationship Id="rId1518" Type="http://schemas.openxmlformats.org/officeDocument/2006/relationships/hyperlink" Target="https://gem.wiki/Recanati&#8211;Foligno_Gas_Pipeline" TargetMode="External"/><Relationship Id="rId2916" Type="http://schemas.openxmlformats.org/officeDocument/2006/relationships/hyperlink" Target="https://www.gem.wiki/Sichuan_%26_Chongqing_Grand_Loop_Line" TargetMode="External"/><Relationship Id="rId3080" Type="http://schemas.openxmlformats.org/officeDocument/2006/relationships/hyperlink" Target="https://www.gem.wiki/Zhejiang_Natural_Gas_Pipeline_Network" TargetMode="External"/><Relationship Id="rId1725" Type="http://schemas.openxmlformats.org/officeDocument/2006/relationships/hyperlink" Target="https://www.gem.wiki/Jaigarh-Dabhol_Gas_Pipeline" TargetMode="External"/><Relationship Id="rId1932" Type="http://schemas.openxmlformats.org/officeDocument/2006/relationships/hyperlink" Target="https://www.gem.wiki/Atlas_Gas_Pipeline" TargetMode="External"/><Relationship Id="rId3178" Type="http://schemas.openxmlformats.org/officeDocument/2006/relationships/hyperlink" Target="https://www.gem.wiki/West-East_Gas_Pipeline_3" TargetMode="External"/><Relationship Id="rId17" Type="http://schemas.openxmlformats.org/officeDocument/2006/relationships/hyperlink" Target="https://www.gem.wiki/Bridgeline_Gas_Pipeline" TargetMode="External"/><Relationship Id="rId2194" Type="http://schemas.openxmlformats.org/officeDocument/2006/relationships/hyperlink" Target="https://sonatrach.com/wp-content/uploads/2022/01/DESCRIPTION-DU-RESEAU-DE-TRANSPORT-PAR-CANALISATION-DES-HYDROCARBURES-TARIF-DE-TRANSPORT-ANNEE-2022.pdf,https:/www.offshore-technology.com/marketdata/hassi-rmel-arzew-gas-iv-gas-pipeline-algeria/" TargetMode="External"/><Relationship Id="rId3038" Type="http://schemas.openxmlformats.org/officeDocument/2006/relationships/hyperlink" Target="https://www.gem.wiki/Jiangxi_Natural_Gas_Pipeline_Network" TargetMode="External"/><Relationship Id="rId3245" Type="http://schemas.openxmlformats.org/officeDocument/2006/relationships/hyperlink" Target="https://www.gem.wiki/Liaoning_Gas_Pipeline_Network" TargetMode="External"/><Relationship Id="rId166" Type="http://schemas.openxmlformats.org/officeDocument/2006/relationships/hyperlink" Target="https://www.gem.wiki/Sooner_Trails_Pipeline" TargetMode="External"/><Relationship Id="rId373" Type="http://schemas.openxmlformats.org/officeDocument/2006/relationships/hyperlink" Target="https://www.gem.wiki/NOGAT_Gas_Pipeline_System" TargetMode="External"/><Relationship Id="rId580" Type="http://schemas.openxmlformats.org/officeDocument/2006/relationships/hyperlink" Target="https://www.gem.wiki/Petrovsk-Algasovo-Elets_Pipelines" TargetMode="External"/><Relationship Id="rId2054" Type="http://schemas.openxmlformats.org/officeDocument/2006/relationships/hyperlink" Target="https://www.gem.wiki/Hungary-Slovenia-Italy_Interconnector_Gas_Pipeline" TargetMode="External"/><Relationship Id="rId2261" Type="http://schemas.openxmlformats.org/officeDocument/2006/relationships/hyperlink" Target="https://www.gem.wiki/Almaty-Taldykorgan_Gas_Pipeline" TargetMode="External"/><Relationship Id="rId2499" Type="http://schemas.openxmlformats.org/officeDocument/2006/relationships/hyperlink" Target="https://www.gem.wiki/Vologda-20-Vytegra_Gas_Pipeline" TargetMode="External"/><Relationship Id="rId3105" Type="http://schemas.openxmlformats.org/officeDocument/2006/relationships/hyperlink" Target="https://www.gem.wiki/Sebei-Xining-Lanzhou_parallel_Gas_Pipeline" TargetMode="External"/><Relationship Id="rId3312" Type="http://schemas.openxmlformats.org/officeDocument/2006/relationships/hyperlink" Target="https://www.gem.wiki/Heilongjiang_Natural_Gas_Pipeline_Network" TargetMode="External"/><Relationship Id="rId1" Type="http://schemas.openxmlformats.org/officeDocument/2006/relationships/hyperlink" Target="https://www.gem.wiki/Double_E_Pipeline_Project" TargetMode="External"/><Relationship Id="rId233" Type="http://schemas.openxmlformats.org/officeDocument/2006/relationships/hyperlink" Target="https://www.gem.wiki/Gasoducto_Palmillas-Toluca" TargetMode="External"/><Relationship Id="rId440" Type="http://schemas.openxmlformats.org/officeDocument/2006/relationships/hyperlink" Target="https://www.gem.wiki/Ostrogozhsk_Shebelinka_Pipeline" TargetMode="External"/><Relationship Id="rId678" Type="http://schemas.openxmlformats.org/officeDocument/2006/relationships/hyperlink" Target="https://www.gem.wiki/North_Sea_Fields%E2%80%93Uithuizen_Gas_Pipeline" TargetMode="External"/><Relationship Id="rId885" Type="http://schemas.openxmlformats.org/officeDocument/2006/relationships/hyperlink" Target="https://www.gem.wiki/Northeast_Argentina_Gas_Pipeline" TargetMode="External"/><Relationship Id="rId1070" Type="http://schemas.openxmlformats.org/officeDocument/2006/relationships/hyperlink" Target="https://www.gem.wiki/Dombarovka-Orenburg_Gas_Pipeline" TargetMode="External"/><Relationship Id="rId2121" Type="http://schemas.openxmlformats.org/officeDocument/2006/relationships/hyperlink" Target="https://www.gem.wiki/Beetaloo_Lateral_Pipeline" TargetMode="External"/><Relationship Id="rId2359" Type="http://schemas.openxmlformats.org/officeDocument/2006/relationships/hyperlink" Target="https://www.gem.wiki/Williams_Gas_Pipeline" TargetMode="External"/><Relationship Id="rId2566" Type="http://schemas.openxmlformats.org/officeDocument/2006/relationships/hyperlink" Target="https://www.gem.wiki/Celleno-Cetona_Gas_Pipeline" TargetMode="External"/><Relationship Id="rId2773" Type="http://schemas.openxmlformats.org/officeDocument/2006/relationships/hyperlink" Target="https://www.gem.wiki/Hebei-Nanjing_Connecting_Pipeline" TargetMode="External"/><Relationship Id="rId2980" Type="http://schemas.openxmlformats.org/officeDocument/2006/relationships/hyperlink" Target="https://www.gem.wiki/Zhongxian-Wuhan_Pipeline" TargetMode="External"/><Relationship Id="rId300" Type="http://schemas.openxmlformats.org/officeDocument/2006/relationships/hyperlink" Target="https://www.gem.wiki/Israel_Jordan_Gas_Pipeline" TargetMode="External"/><Relationship Id="rId538" Type="http://schemas.openxmlformats.org/officeDocument/2006/relationships/hyperlink" Target="https://www.gem.wiki/Nalka-Hatikumrul_Gas_Pipeline" TargetMode="External"/><Relationship Id="rId745" Type="http://schemas.openxmlformats.org/officeDocument/2006/relationships/hyperlink" Target="https://www.gem.wiki/Taji-South_Baghdad_gas_pipeline" TargetMode="External"/><Relationship Id="rId952" Type="http://schemas.openxmlformats.org/officeDocument/2006/relationships/hyperlink" Target="https://www.gem.wiki/Minamifuji_Gas_Pipeline" TargetMode="External"/><Relationship Id="rId1168" Type="http://schemas.openxmlformats.org/officeDocument/2006/relationships/hyperlink" Target="https://www.gem.wiki/Okarem-Beyneu_gas_pipeline" TargetMode="External"/><Relationship Id="rId1375" Type="http://schemas.openxmlformats.org/officeDocument/2006/relationships/hyperlink" Target="https://www.gem.wiki/C%C3%B3rdoba-Alcazar_de_San_Juan_Gas_Pipeline" TargetMode="External"/><Relationship Id="rId1582" Type="http://schemas.openxmlformats.org/officeDocument/2006/relationships/hyperlink" Target="https://gem.wiki/Zweekhorst&#8211;Emmerich_Gas_Pipeline" TargetMode="External"/><Relationship Id="rId2219" Type="http://schemas.openxmlformats.org/officeDocument/2006/relationships/hyperlink" Target="https://www.gem.wiki/Ilizi-Hassi-Kifaf_Gas_Pipeline" TargetMode="External"/><Relationship Id="rId2426" Type="http://schemas.openxmlformats.org/officeDocument/2006/relationships/hyperlink" Target="https://www.gem.wiki/Sahiwal-Lahore_Gas_Pipeline-II" TargetMode="External"/><Relationship Id="rId2633" Type="http://schemas.openxmlformats.org/officeDocument/2006/relationships/hyperlink" Target="https://www.gem.wiki/Romanian_National_Transmission_System" TargetMode="External"/><Relationship Id="rId81" Type="http://schemas.openxmlformats.org/officeDocument/2006/relationships/hyperlink" Target="https://www.gem.wiki/North_Baja_Gas_Pipeline" TargetMode="External"/><Relationship Id="rId605" Type="http://schemas.openxmlformats.org/officeDocument/2006/relationships/hyperlink" Target="https://www.gem.wiki/Amagasaki%E2%80%93Kumiyama_Gas_Pipeline" TargetMode="External"/><Relationship Id="rId812" Type="http://schemas.openxmlformats.org/officeDocument/2006/relationships/hyperlink" Target="https://www.gem.wiki/Hawiyah-Uthmniyah_gas_pipeline" TargetMode="External"/><Relationship Id="rId1028" Type="http://schemas.openxmlformats.org/officeDocument/2006/relationships/hyperlink" Target="https://www.gem.wiki/Gasoducto_Los_Ramones-Cempoala" TargetMode="External"/><Relationship Id="rId1235" Type="http://schemas.openxmlformats.org/officeDocument/2006/relationships/hyperlink" Target="https://www.gem.wiki/Northern_Natural_Gas_Pipeline" TargetMode="External"/><Relationship Id="rId1442" Type="http://schemas.openxmlformats.org/officeDocument/2006/relationships/hyperlink" Target="https://gem.wiki/Latiano&#8211;Brindisi_Gas_Pipeline" TargetMode="External"/><Relationship Id="rId1887" Type="http://schemas.openxmlformats.org/officeDocument/2006/relationships/hyperlink" Target="https://www.gem.wiki/Arthit_Field_to_Arthit_PLEM_Gas_Pipeline" TargetMode="External"/><Relationship Id="rId2840" Type="http://schemas.openxmlformats.org/officeDocument/2006/relationships/hyperlink" Target="https://www.gem.wiki/Anhui_Gas_Pipeline_Network" TargetMode="External"/><Relationship Id="rId2938" Type="http://schemas.openxmlformats.org/officeDocument/2006/relationships/hyperlink" Target="https://www.gem.wiki/Guangdong_East_Gas_Pipeline_Network" TargetMode="External"/><Relationship Id="rId1302" Type="http://schemas.openxmlformats.org/officeDocument/2006/relationships/hyperlink" Target="https://www.gem.wiki/Northern_Natural_Gas_Pipeline" TargetMode="External"/><Relationship Id="rId1747" Type="http://schemas.openxmlformats.org/officeDocument/2006/relationships/hyperlink" Target="https://www.gem.wiki/Brunswick_Gas_Pipeline" TargetMode="External"/><Relationship Id="rId1954" Type="http://schemas.openxmlformats.org/officeDocument/2006/relationships/hyperlink" Target="https://www.gem.wiki/Malta-Italy_Gas_Pipeline" TargetMode="External"/><Relationship Id="rId2700" Type="http://schemas.openxmlformats.org/officeDocument/2006/relationships/hyperlink" Target="https://www.gem.wiki/Estonia-Latvia_Interconnection_Gas_Pipeline" TargetMode="External"/><Relationship Id="rId39" Type="http://schemas.openxmlformats.org/officeDocument/2006/relationships/hyperlink" Target="https://www.gem.wiki/Eastern_Shore_Gas_Pipeline" TargetMode="External"/><Relationship Id="rId1607" Type="http://schemas.openxmlformats.org/officeDocument/2006/relationships/hyperlink" Target="https://www.gem.wiki/Gasoduto_Carm%C3%B3polis-Pilar" TargetMode="External"/><Relationship Id="rId1814" Type="http://schemas.openxmlformats.org/officeDocument/2006/relationships/hyperlink" Target="https://www.gem.wiki/Gasoducto_Yabog" TargetMode="External"/><Relationship Id="rId3267" Type="http://schemas.openxmlformats.org/officeDocument/2006/relationships/hyperlink" Target="https://www.gem.wiki/Western_Chongqing_Natural_Gas_Pipeline_Network" TargetMode="External"/><Relationship Id="rId188" Type="http://schemas.openxmlformats.org/officeDocument/2006/relationships/hyperlink" Target="https://www.gem.wiki/Birdsboro_Pipeline" TargetMode="External"/><Relationship Id="rId395" Type="http://schemas.openxmlformats.org/officeDocument/2006/relationships/hyperlink" Target="https://www.gem.wiki/Power_of_Siberia_2_Gas_Pipeline" TargetMode="External"/><Relationship Id="rId2076" Type="http://schemas.openxmlformats.org/officeDocument/2006/relationships/hyperlink" Target="https://www.gem.wiki/Gujarat_Regional_Gas_Network" TargetMode="External"/><Relationship Id="rId2283" Type="http://schemas.openxmlformats.org/officeDocument/2006/relationships/hyperlink" Target="https://www.gem.wiki/Intisar%E2%80%93Sarir_Gas_Pipeline" TargetMode="External"/><Relationship Id="rId2490" Type="http://schemas.openxmlformats.org/officeDocument/2006/relationships/hyperlink" Target="https://www.gem.wiki/Brunsb%C3%BCttel_LNG_Pipelines" TargetMode="External"/><Relationship Id="rId2588" Type="http://schemas.openxmlformats.org/officeDocument/2006/relationships/hyperlink" Target="https://www.gem.wiki/Palmi-Martirano_Gas_Pipeline" TargetMode="External"/><Relationship Id="rId3127" Type="http://schemas.openxmlformats.org/officeDocument/2006/relationships/hyperlink" Target="https://www.gem.wiki/Hunan_Gas_Pipeline_Network" TargetMode="External"/><Relationship Id="rId3334" Type="http://schemas.openxmlformats.org/officeDocument/2006/relationships/hyperlink" Target="https://www.gem.wiki/Zhoukou-Wuhan_Connecting_Gas_Pipeline" TargetMode="External"/><Relationship Id="rId255" Type="http://schemas.openxmlformats.org/officeDocument/2006/relationships/hyperlink" Target="https://www.gem.wiki/Dolphin_Qatar%E2%80%93UAE_Natural_Gas_Pipeline" TargetMode="External"/><Relationship Id="rId462" Type="http://schemas.openxmlformats.org/officeDocument/2006/relationships/hyperlink" Target="https://www.gem.wiki/Ashuganj-Elenga_Gas_Pipeline" TargetMode="External"/><Relationship Id="rId1092" Type="http://schemas.openxmlformats.org/officeDocument/2006/relationships/hyperlink" Target="https://www.gem.wiki/Leningrad-Vyborg-State_Border_Gas_Pipeline" TargetMode="External"/><Relationship Id="rId1397" Type="http://schemas.openxmlformats.org/officeDocument/2006/relationships/hyperlink" Target="https://gem.wiki/Wronow&#8211;Jaroslaw_Gas_Pipeline" TargetMode="External"/><Relationship Id="rId2143" Type="http://schemas.openxmlformats.org/officeDocument/2006/relationships/hyperlink" Target="https://www.gem.wiki/Berri_to_Mildura_Pipeline" TargetMode="External"/><Relationship Id="rId2350" Type="http://schemas.openxmlformats.org/officeDocument/2006/relationships/hyperlink" Target="https://www.gem.wiki/Florida_Gas_Transmission_Pipeline" TargetMode="External"/><Relationship Id="rId2795" Type="http://schemas.openxmlformats.org/officeDocument/2006/relationships/hyperlink" Target="https://www.gem.wiki/Inner_Mongolia_Gas_Pipeline_Network" TargetMode="External"/><Relationship Id="rId115" Type="http://schemas.openxmlformats.org/officeDocument/2006/relationships/hyperlink" Target="https://www.gem.wiki/Texas_Gas_Transmission_Pipeline" TargetMode="External"/><Relationship Id="rId322" Type="http://schemas.openxmlformats.org/officeDocument/2006/relationships/hyperlink" Target="https://www.gem.wiki/WH-4-Ras_Laffan_gas_pipeline" TargetMode="External"/><Relationship Id="rId767" Type="http://schemas.openxmlformats.org/officeDocument/2006/relationships/hyperlink" Target="https://www.gem.wiki/Km-81.5-Brega_gas_pipeline" TargetMode="External"/><Relationship Id="rId974" Type="http://schemas.openxmlformats.org/officeDocument/2006/relationships/hyperlink" Target="https://www.gem.wiki/Spring_Gully_to_Wallumbilla_Pipeline" TargetMode="External"/><Relationship Id="rId2003" Type="http://schemas.openxmlformats.org/officeDocument/2006/relationships/hyperlink" Target="https://www.gem.wiki/Knarr_Gas_Pipeline" TargetMode="External"/><Relationship Id="rId2210" Type="http://schemas.openxmlformats.org/officeDocument/2006/relationships/hyperlink" Target="https://www.gem.wiki/Trans-Caspian_Gas_Pipeline" TargetMode="External"/><Relationship Id="rId2448" Type="http://schemas.openxmlformats.org/officeDocument/2006/relationships/hyperlink" Target="https://www.gem.wiki/Dandot-Gali_Jagir-Wah_Gas_Pipeline_II" TargetMode="External"/><Relationship Id="rId2655" Type="http://schemas.openxmlformats.org/officeDocument/2006/relationships/hyperlink" Target="https://www.gem.wiki/Pancevo-Horgos_Gas_Pipeline" TargetMode="External"/><Relationship Id="rId2862" Type="http://schemas.openxmlformats.org/officeDocument/2006/relationships/hyperlink" Target="https://www.gem.wiki/Shandong_Gas_Pipeline_Network_North_Trunk" TargetMode="External"/><Relationship Id="rId627" Type="http://schemas.openxmlformats.org/officeDocument/2006/relationships/hyperlink" Target="https://www.gem.wiki/Shin_Negishi_Trunk_Line" TargetMode="External"/><Relationship Id="rId834" Type="http://schemas.openxmlformats.org/officeDocument/2006/relationships/hyperlink" Target="https://www.gem.wiki/BC_Gas_Pipeline" TargetMode="External"/><Relationship Id="rId1257" Type="http://schemas.openxmlformats.org/officeDocument/2006/relationships/hyperlink" Target="https://www.gem.wiki/Wildcat_Gas_Pipeline" TargetMode="External"/><Relationship Id="rId1464" Type="http://schemas.openxmlformats.org/officeDocument/2006/relationships/hyperlink" Target="https://gem.wiki/Mantsala&#8211;Helsinki_Gas_Pipeline" TargetMode="External"/><Relationship Id="rId1671" Type="http://schemas.openxmlformats.org/officeDocument/2006/relationships/hyperlink" Target="https://www.gem.wiki/Trans-Adriatic_Gas_Pipeline" TargetMode="External"/><Relationship Id="rId2308" Type="http://schemas.openxmlformats.org/officeDocument/2006/relationships/hyperlink" Target="https://www.gem.wiki/HQ2-Tando_Adam_Gas_Pipeline" TargetMode="External"/><Relationship Id="rId2515" Type="http://schemas.openxmlformats.org/officeDocument/2006/relationships/hyperlink" Target="https://www.gem.wiki/Scheemda-Emden_Gas_Pipeline" TargetMode="External"/><Relationship Id="rId2722" Type="http://schemas.openxmlformats.org/officeDocument/2006/relationships/hyperlink" Target="https://www.gem.wiki/Zeelink_Gas_Pipeline" TargetMode="External"/><Relationship Id="rId901" Type="http://schemas.openxmlformats.org/officeDocument/2006/relationships/hyperlink" Target="https://www.gem.wiki/Beglej-Dermantsi-Batultsi-Kalugerovo_Pipeline" TargetMode="External"/><Relationship Id="rId1117" Type="http://schemas.openxmlformats.org/officeDocument/2006/relationships/hyperlink" Target="https://www.gem.wiki/Polyana-Underground_Gas_Storage_Compressor_Station_Pipeline" TargetMode="External"/><Relationship Id="rId1324" Type="http://schemas.openxmlformats.org/officeDocument/2006/relationships/hyperlink" Target="https://gem.wiki/Arieux_en_Gohelle&#8211;Gournay_Sur_Aronde_Gas_Pipeline" TargetMode="External"/><Relationship Id="rId1531" Type="http://schemas.openxmlformats.org/officeDocument/2006/relationships/hyperlink" Target="https://www.gem.wiki/Villapresente%E2%80%93Oviedo_Gas_Pipeline" TargetMode="External"/><Relationship Id="rId1769" Type="http://schemas.openxmlformats.org/officeDocument/2006/relationships/hyperlink" Target="https://www.gem.wiki/Wallumbilla%E2%80%93Gladstone_Pipeline" TargetMode="External"/><Relationship Id="rId1976" Type="http://schemas.openxmlformats.org/officeDocument/2006/relationships/hyperlink" Target="https://www.gem.wiki/Arab_Gas_Pipeline" TargetMode="External"/><Relationship Id="rId3191" Type="http://schemas.openxmlformats.org/officeDocument/2006/relationships/hyperlink" Target="https://www.gem.wiki/West-East_Gas_Pipeline_5" TargetMode="External"/><Relationship Id="rId30" Type="http://schemas.openxmlformats.org/officeDocument/2006/relationships/hyperlink" Target="https://www.gem.wiki/Crossroads_Gas_Pipeline" TargetMode="External"/><Relationship Id="rId1629" Type="http://schemas.openxmlformats.org/officeDocument/2006/relationships/hyperlink" Target="https://www.gem.wiki/Gasoducto_Anaco-Puerto_Ordaz" TargetMode="External"/><Relationship Id="rId1836" Type="http://schemas.openxmlformats.org/officeDocument/2006/relationships/hyperlink" Target="https://www.gem.wiki/Trans-Caribbean_Gas_Pipeline" TargetMode="External"/><Relationship Id="rId3289" Type="http://schemas.openxmlformats.org/officeDocument/2006/relationships/hyperlink" Target="https://www.gem.wiki/Shaanxi_Gas_Pipeline_Network" TargetMode="External"/><Relationship Id="rId1903" Type="http://schemas.openxmlformats.org/officeDocument/2006/relationships/hyperlink" Target="https://www.gem.wiki/Bongkot_Field-Erawan_Gas_Pipeline" TargetMode="External"/><Relationship Id="rId2098" Type="http://schemas.openxmlformats.org/officeDocument/2006/relationships/hyperlink" Target="https://www.gem.wiki/Hazira-Vijaipur-Jagdishpur_(HVJ)_Gas_Pipeline" TargetMode="External"/><Relationship Id="rId3051" Type="http://schemas.openxmlformats.org/officeDocument/2006/relationships/hyperlink" Target="https://www.gem.wiki/Ying_County-Zhangjiakou_Pipeline" TargetMode="External"/><Relationship Id="rId3149" Type="http://schemas.openxmlformats.org/officeDocument/2006/relationships/hyperlink" Target="https://www.gem.wiki/Huarong-Nanxian-Anxiang_Gas_Pipeline" TargetMode="External"/><Relationship Id="rId277" Type="http://schemas.openxmlformats.org/officeDocument/2006/relationships/hyperlink" Target="https://www.gem.wiki/Tabriz-Ankara_Pipeline" TargetMode="External"/><Relationship Id="rId484" Type="http://schemas.openxmlformats.org/officeDocument/2006/relationships/hyperlink" Target="https://www.gem.wiki/Haripur-NGFF_Gas_Pipeline" TargetMode="External"/><Relationship Id="rId2165" Type="http://schemas.openxmlformats.org/officeDocument/2006/relationships/hyperlink" Target="https://www.gem.wiki/Transcontinental_Gas_Pipeline" TargetMode="External"/><Relationship Id="rId3009" Type="http://schemas.openxmlformats.org/officeDocument/2006/relationships/hyperlink" Target="https://www.gem.wiki/Jiangsu_Coastal_Gas_Pipeline" TargetMode="External"/><Relationship Id="rId3216" Type="http://schemas.openxmlformats.org/officeDocument/2006/relationships/hyperlink" Target="https://www.gem.wiki/Guizhou_Gas_Pipeline_Network" TargetMode="External"/><Relationship Id="rId137" Type="http://schemas.openxmlformats.org/officeDocument/2006/relationships/hyperlink" Target="https://www.gem.wiki/Haynesville_Global_Access_Pipeline" TargetMode="External"/><Relationship Id="rId344" Type="http://schemas.openxmlformats.org/officeDocument/2006/relationships/hyperlink" Target="https://www.gem.wiki/Balgzand_Bacton_Line_(BBL)_Gas_Pipeline" TargetMode="External"/><Relationship Id="rId691" Type="http://schemas.openxmlformats.org/officeDocument/2006/relationships/hyperlink" Target="https://www.gem.wiki/Valen%C3%A7a_do_Minho-Braga_Pipeline" TargetMode="External"/><Relationship Id="rId789" Type="http://schemas.openxmlformats.org/officeDocument/2006/relationships/hyperlink" Target="https://www.gem.wiki/Riser-Bonny_gas_pipeline" TargetMode="External"/><Relationship Id="rId996" Type="http://schemas.openxmlformats.org/officeDocument/2006/relationships/hyperlink" Target="https://www.gem.wiki/Monaco_Gas_Pipeline" TargetMode="External"/><Relationship Id="rId2025" Type="http://schemas.openxmlformats.org/officeDocument/2006/relationships/hyperlink" Target="https://www.gem.wiki/Gasoduto_ES-Mucuri_A" TargetMode="External"/><Relationship Id="rId2372" Type="http://schemas.openxmlformats.org/officeDocument/2006/relationships/hyperlink" Target="https://www.gem.wiki/Paris-Taisnieres_Gas_Pipeline" TargetMode="External"/><Relationship Id="rId2677" Type="http://schemas.openxmlformats.org/officeDocument/2006/relationships/hyperlink" Target="https://www.gem.wiki/Vecses-Kecskemet_Gas_Pipeline" TargetMode="External"/><Relationship Id="rId2884" Type="http://schemas.openxmlformats.org/officeDocument/2006/relationships/hyperlink" Target="https://www.gem.wiki/Shanxi_Natural_Gas_Pipeline_Network" TargetMode="External"/><Relationship Id="rId551" Type="http://schemas.openxmlformats.org/officeDocument/2006/relationships/hyperlink" Target="https://www.gem.wiki/Muara_Karang-Muara_Tawar_Gas_Pipeline" TargetMode="External"/><Relationship Id="rId649" Type="http://schemas.openxmlformats.org/officeDocument/2006/relationships/hyperlink" Target="https://www.gem.wiki/Amagasaki_line" TargetMode="External"/><Relationship Id="rId856" Type="http://schemas.openxmlformats.org/officeDocument/2006/relationships/hyperlink" Target="https://www.gem.wiki/Iwafune-Oki_Gas_Pipeline" TargetMode="External"/><Relationship Id="rId1181" Type="http://schemas.openxmlformats.org/officeDocument/2006/relationships/hyperlink" Target="https://www.gem.wiki/Canton_Gas_Pipeline" TargetMode="External"/><Relationship Id="rId1279" Type="http://schemas.openxmlformats.org/officeDocument/2006/relationships/hyperlink" Target="https://www.gem.wiki/Gasoducto_Cordillerano-Patag%C3%B3nico" TargetMode="External"/><Relationship Id="rId1486" Type="http://schemas.openxmlformats.org/officeDocument/2006/relationships/hyperlink" Target="https://gem.wiki/Mortara&#8211;Alessandria_Gas_Pipeline" TargetMode="External"/><Relationship Id="rId2232" Type="http://schemas.openxmlformats.org/officeDocument/2006/relationships/hyperlink" Target="https://www.gem.wiki/BED/AS%E2%80%93Ameryia_Gas_Pipeline" TargetMode="External"/><Relationship Id="rId2537" Type="http://schemas.openxmlformats.org/officeDocument/2006/relationships/hyperlink" Target="https://www.gem.wiki/Heidenau-Quarnstedt_Gas_Pipeline" TargetMode="External"/><Relationship Id="rId204" Type="http://schemas.openxmlformats.org/officeDocument/2006/relationships/hyperlink" Target="https://www.gem.wiki/Ehrenberg-Los_Algodones-San_Luis_Rio_Colorado_Gas_Pipeline" TargetMode="External"/><Relationship Id="rId411" Type="http://schemas.openxmlformats.org/officeDocument/2006/relationships/hyperlink" Target="https://www.gem.wiki/Nord_Stream_2_Gas_Pipeline" TargetMode="External"/><Relationship Id="rId509" Type="http://schemas.openxmlformats.org/officeDocument/2006/relationships/hyperlink" Target="https://www.gem.wiki/Gasoduto_da_Rota_5a" TargetMode="External"/><Relationship Id="rId1041" Type="http://schemas.openxmlformats.org/officeDocument/2006/relationships/hyperlink" Target="https://www.gem.wiki/Zawtika_Gas_Pipeline" TargetMode="External"/><Relationship Id="rId1139" Type="http://schemas.openxmlformats.org/officeDocument/2006/relationships/hyperlink" Target="https://www.gem.wiki/Urengoy-Chelyabinsk_Gas_Pipeline" TargetMode="External"/><Relationship Id="rId1346" Type="http://schemas.openxmlformats.org/officeDocument/2006/relationships/hyperlink" Target="https://gem.wiki/Bocholtz&#8211;Puth_Schinnen_Gas_Pipeline" TargetMode="External"/><Relationship Id="rId1693" Type="http://schemas.openxmlformats.org/officeDocument/2006/relationships/hyperlink" Target="https://www.gem.wiki/Telfer_Pipeline" TargetMode="External"/><Relationship Id="rId1998" Type="http://schemas.openxmlformats.org/officeDocument/2006/relationships/hyperlink" Target="https://www.gem.wiki/Yamburg-Volga_Region_Gas_Pipeline" TargetMode="External"/><Relationship Id="rId2744" Type="http://schemas.openxmlformats.org/officeDocument/2006/relationships/hyperlink" Target="https://www.gem.wiki/Zhongwei-Guiyang_Connecting_Pipeline" TargetMode="External"/><Relationship Id="rId2951" Type="http://schemas.openxmlformats.org/officeDocument/2006/relationships/hyperlink" Target="https://www.gem.wiki/Guangdong_Gas_Pipeline_Network_Phase_I" TargetMode="External"/><Relationship Id="rId716" Type="http://schemas.openxmlformats.org/officeDocument/2006/relationships/hyperlink" Target="https://www.gem.wiki/Bosnia_and_Herzegovina%E2%80%93Croatia_North_Interconnector_Gas_Pipeline" TargetMode="External"/><Relationship Id="rId923" Type="http://schemas.openxmlformats.org/officeDocument/2006/relationships/hyperlink" Target="https://www.gem.wiki/Himeji-Okayama_Gas_Pipeline" TargetMode="External"/><Relationship Id="rId1553" Type="http://schemas.openxmlformats.org/officeDocument/2006/relationships/hyperlink" Target="https://gem.wiki/Transitgas&#8211;Frankreich_Gas_Pipeline" TargetMode="External"/><Relationship Id="rId1760" Type="http://schemas.openxmlformats.org/officeDocument/2006/relationships/hyperlink" Target="https://www.gem.wiki/Cross_Island_Pipeline" TargetMode="External"/><Relationship Id="rId1858" Type="http://schemas.openxmlformats.org/officeDocument/2006/relationships/hyperlink" Target="https://www.gem.wiki/CNGC%27s_Inter-Provincial_Gas_Pipeline_Network" TargetMode="External"/><Relationship Id="rId2604" Type="http://schemas.openxmlformats.org/officeDocument/2006/relationships/hyperlink" Target="https://www.gem.wiki/Camisano-Zimella_Gas_Pipeline" TargetMode="External"/><Relationship Id="rId2811" Type="http://schemas.openxmlformats.org/officeDocument/2006/relationships/hyperlink" Target="https://www.gem.wiki/Jilin_Gas_Pipeline_Network" TargetMode="External"/><Relationship Id="rId52" Type="http://schemas.openxmlformats.org/officeDocument/2006/relationships/hyperlink" Target="https://www.gem.wiki/Gulf_Crossing_Pipeline" TargetMode="External"/><Relationship Id="rId1206" Type="http://schemas.openxmlformats.org/officeDocument/2006/relationships/hyperlink" Target="https://www.gem.wiki/Line_1600_Gas_Pipeline" TargetMode="External"/><Relationship Id="rId1413" Type="http://schemas.openxmlformats.org/officeDocument/2006/relationships/hyperlink" Target="https://gem.wiki/Gravenvoeren&#8211;Bemelen_Gas_Pipeline" TargetMode="External"/><Relationship Id="rId1620" Type="http://schemas.openxmlformats.org/officeDocument/2006/relationships/hyperlink" Target="https://www.gem.wiki/Prosperidad_Gas_Pipeline" TargetMode="External"/><Relationship Id="rId2909" Type="http://schemas.openxmlformats.org/officeDocument/2006/relationships/hyperlink" Target="https://www.gem.wiki/Sichuan%E2%80%93Shanghai_Parallel_Gas_Pipeline" TargetMode="External"/><Relationship Id="rId3073" Type="http://schemas.openxmlformats.org/officeDocument/2006/relationships/hyperlink" Target="https://www.gem.wiki/Henan_Gas_Pipeline_Network" TargetMode="External"/><Relationship Id="rId3280" Type="http://schemas.openxmlformats.org/officeDocument/2006/relationships/hyperlink" Target="https://www.gem.wiki/Shaanxi_Gas_Pipeline_Network" TargetMode="External"/><Relationship Id="rId1718" Type="http://schemas.openxmlformats.org/officeDocument/2006/relationships/hyperlink" Target="https://www.gem.wiki/San_Martin_Pipeline" TargetMode="External"/><Relationship Id="rId1925" Type="http://schemas.openxmlformats.org/officeDocument/2006/relationships/hyperlink" Target="https://www.gem.wiki/Erawan-Rayong_Gas_Pipeline_1" TargetMode="External"/><Relationship Id="rId3140" Type="http://schemas.openxmlformats.org/officeDocument/2006/relationships/hyperlink" Target="https://www.gem.wiki/Hunan_Gas_Pipeline_Network" TargetMode="External"/><Relationship Id="rId299" Type="http://schemas.openxmlformats.org/officeDocument/2006/relationships/hyperlink" Target="https://www.gem.wiki/Israel_Cyprus_Gas_Pipeline" TargetMode="External"/><Relationship Id="rId2187" Type="http://schemas.openxmlformats.org/officeDocument/2006/relationships/hyperlink" Target="https://www.gem.wiki/Hassi_R'Mel-Arzew_Gas_Pipeline" TargetMode="External"/><Relationship Id="rId2394" Type="http://schemas.openxmlformats.org/officeDocument/2006/relationships/hyperlink" Target="https://www.gem.wiki/AV29-Sahiwal_Gas_Pipeline" TargetMode="External"/><Relationship Id="rId3238" Type="http://schemas.openxmlformats.org/officeDocument/2006/relationships/hyperlink" Target="https://www.gem.wiki/Liaoning_Gas_Pipeline_Network" TargetMode="External"/><Relationship Id="rId159" Type="http://schemas.openxmlformats.org/officeDocument/2006/relationships/hyperlink" Target="https://www.gem.wiki/Southern_Reliability_Link_Pipeline" TargetMode="External"/><Relationship Id="rId366" Type="http://schemas.openxmlformats.org/officeDocument/2006/relationships/hyperlink" Target="https://www.gem.wiki/Langeled_Gas_Pipeline" TargetMode="External"/><Relationship Id="rId573" Type="http://schemas.openxmlformats.org/officeDocument/2006/relationships/hyperlink" Target="https://www.gem.wiki/Tula-Shostka-Kiev_Gas_Pipeline" TargetMode="External"/><Relationship Id="rId780" Type="http://schemas.openxmlformats.org/officeDocument/2006/relationships/hyperlink" Target="https://www.gem.wiki/Alakiri-Notore_Onne_gas_pipeline" TargetMode="External"/><Relationship Id="rId2047" Type="http://schemas.openxmlformats.org/officeDocument/2006/relationships/hyperlink" Target="https://www.gem.wiki/Gasoducto_M%C3%A9xico-Pa%C3%ADses_del_Norte_de_Am%C3%A9rica_Central" TargetMode="External"/><Relationship Id="rId2254" Type="http://schemas.openxmlformats.org/officeDocument/2006/relationships/hyperlink" Target="https://www.gem.wiki/Gazli-Shymkent_Gas_Pipeline" TargetMode="External"/><Relationship Id="rId2461" Type="http://schemas.openxmlformats.org/officeDocument/2006/relationships/hyperlink" Target="https://www.gem.wiki/Haripur-Mansehra_Gas_Pipeline" TargetMode="External"/><Relationship Id="rId2699" Type="http://schemas.openxmlformats.org/officeDocument/2006/relationships/hyperlink" Target="https://www.gem.wiki/Green_Hysland_Pipeline" TargetMode="External"/><Relationship Id="rId3000" Type="http://schemas.openxmlformats.org/officeDocument/2006/relationships/hyperlink" Target="https://www.gem.wiki/Xinjiang_Coal-to-Gas_Pipeline_Project" TargetMode="External"/><Relationship Id="rId3305" Type="http://schemas.openxmlformats.org/officeDocument/2006/relationships/hyperlink" Target="https://www.gem.wiki/Heilongjiang_Natural_Gas_Pipeline_Network" TargetMode="External"/><Relationship Id="rId226" Type="http://schemas.openxmlformats.org/officeDocument/2006/relationships/hyperlink" Target="https://www.gem.wiki/Naco-Hermosillo_Gas_Pipeline" TargetMode="External"/><Relationship Id="rId433" Type="http://schemas.openxmlformats.org/officeDocument/2006/relationships/hyperlink" Target="https://www.gem.wiki/Komarno_Drozdovychi_Pipeline" TargetMode="External"/><Relationship Id="rId878" Type="http://schemas.openxmlformats.org/officeDocument/2006/relationships/hyperlink" Target="https://www.gem.wiki/Gasoducto_de_la_Costa" TargetMode="External"/><Relationship Id="rId1063" Type="http://schemas.openxmlformats.org/officeDocument/2006/relationships/hyperlink" Target="https://www.gem.wiki/Bryansk-Smolensk_Gas_Pipeline" TargetMode="External"/><Relationship Id="rId1270" Type="http://schemas.openxmlformats.org/officeDocument/2006/relationships/hyperlink" Target="https://www.gem.wiki/Achinsk-Abakan_Gas_Pipeline" TargetMode="External"/><Relationship Id="rId2114" Type="http://schemas.openxmlformats.org/officeDocument/2006/relationships/hyperlink" Target="https://www.gem.wiki/Nova_Gas_Transmission_(NGTL)_Pipeline" TargetMode="External"/><Relationship Id="rId2559" Type="http://schemas.openxmlformats.org/officeDocument/2006/relationships/hyperlink" Target="https://www.gem.wiki/Ilichevsk-Yerevan_Gas_Pipeline" TargetMode="External"/><Relationship Id="rId2766" Type="http://schemas.openxmlformats.org/officeDocument/2006/relationships/hyperlink" Target="https://www.gem.wiki/Yunnan_Gas_Pipeline_Network" TargetMode="External"/><Relationship Id="rId2973" Type="http://schemas.openxmlformats.org/officeDocument/2006/relationships/hyperlink" Target="https://www.gem.wiki/Guangxi_Gas_Pipeline_Network" TargetMode="External"/><Relationship Id="rId640" Type="http://schemas.openxmlformats.org/officeDocument/2006/relationships/hyperlink" Target="https://www.gem.wiki/Nishi_west_line" TargetMode="External"/><Relationship Id="rId738" Type="http://schemas.openxmlformats.org/officeDocument/2006/relationships/hyperlink" Target="https://www.gem.wiki/Mocta_Douz-Beni_Saf_gas_pipeline" TargetMode="External"/><Relationship Id="rId945" Type="http://schemas.openxmlformats.org/officeDocument/2006/relationships/hyperlink" Target="https://www.gem.wiki/SEA_Gas_Pipeline" TargetMode="External"/><Relationship Id="rId1368" Type="http://schemas.openxmlformats.org/officeDocument/2006/relationships/hyperlink" Target="https://gem.wiki/Chieti&#8211;Cupello_Gas_Pipeline" TargetMode="External"/><Relationship Id="rId1575" Type="http://schemas.openxmlformats.org/officeDocument/2006/relationships/hyperlink" Target="https://gem.wiki/Wloclawek&#8211;Odolanow_Gas_Pipeline" TargetMode="External"/><Relationship Id="rId1782" Type="http://schemas.openxmlformats.org/officeDocument/2006/relationships/hyperlink" Target="https://www.gem.wiki/Angore_Gas_Pipeline" TargetMode="External"/><Relationship Id="rId2321" Type="http://schemas.openxmlformats.org/officeDocument/2006/relationships/hyperlink" Target="https://www.gem.wiki/Florida_Gas_Transmission_Pipeline" TargetMode="External"/><Relationship Id="rId2419" Type="http://schemas.openxmlformats.org/officeDocument/2006/relationships/hyperlink" Target="https://www.gem.wiki/Kot_Momin-Jauharabad_Gas_Pipeline" TargetMode="External"/><Relationship Id="rId2626" Type="http://schemas.openxmlformats.org/officeDocument/2006/relationships/hyperlink" Target="https://www.gem.wiki/Gas_Interconnector_Bulgaria-Romania" TargetMode="External"/><Relationship Id="rId2833" Type="http://schemas.openxmlformats.org/officeDocument/2006/relationships/hyperlink" Target="https://www.gem.wiki/Anhui_Gas_Pipeline_Network" TargetMode="External"/><Relationship Id="rId74" Type="http://schemas.openxmlformats.org/officeDocument/2006/relationships/hyperlink" Target="https://www.gem.wiki/Mojave_Gas_Pipeline" TargetMode="External"/><Relationship Id="rId500" Type="http://schemas.openxmlformats.org/officeDocument/2006/relationships/hyperlink" Target="https://www.gem.wiki/Puna_Gas_Pipeline" TargetMode="External"/><Relationship Id="rId805" Type="http://schemas.openxmlformats.org/officeDocument/2006/relationships/hyperlink" Target="https://www.gem.wiki/UA-1-km199-Uthmaniya_gas_pipeline" TargetMode="External"/><Relationship Id="rId1130" Type="http://schemas.openxmlformats.org/officeDocument/2006/relationships/hyperlink" Target="https://www.gem.wiki/Pisarevka-Anapa_Gas_Pipeline" TargetMode="External"/><Relationship Id="rId1228" Type="http://schemas.openxmlformats.org/officeDocument/2006/relationships/hyperlink" Target="https://www.gem.wiki/Permian_Pass_Gas_Pipeline" TargetMode="External"/><Relationship Id="rId1435" Type="http://schemas.openxmlformats.org/officeDocument/2006/relationships/hyperlink" Target="https://gem.wiki/Karperi&#8211;Ampelia_Gas_Pipeline" TargetMode="External"/><Relationship Id="rId1642" Type="http://schemas.openxmlformats.org/officeDocument/2006/relationships/hyperlink" Target="https://www.gem.wiki/NTS_Gas_Pipeline_Network" TargetMode="External"/><Relationship Id="rId1947" Type="http://schemas.openxmlformats.org/officeDocument/2006/relationships/hyperlink" Target="https://www.gem.wiki/TTM_Gas_Separation_Plant-Chana_Gas_Pipeline" TargetMode="External"/><Relationship Id="rId2900" Type="http://schemas.openxmlformats.org/officeDocument/2006/relationships/hyperlink" Target="https://www.gem.wiki/Sichuan%E2%80%93Shanghai_Gas_Pipeline" TargetMode="External"/><Relationship Id="rId3095" Type="http://schemas.openxmlformats.org/officeDocument/2006/relationships/hyperlink" Target="https://www.gem.wiki/Zhejiang_Natural_Gas_Pipeline_Network" TargetMode="External"/><Relationship Id="rId1502" Type="http://schemas.openxmlformats.org/officeDocument/2006/relationships/hyperlink" Target="https://gem.wiki/Penta-West_Gas_Pipeline" TargetMode="External"/><Relationship Id="rId1807" Type="http://schemas.openxmlformats.org/officeDocument/2006/relationships/hyperlink" Target="https://www.gem.wiki/Guaymas-El_Oro_Pipeline" TargetMode="External"/><Relationship Id="rId3162" Type="http://schemas.openxmlformats.org/officeDocument/2006/relationships/hyperlink" Target="https://www.gem.wiki/Fujian_Fuqing_LNG_Export_Pipeline_Network" TargetMode="External"/><Relationship Id="rId290" Type="http://schemas.openxmlformats.org/officeDocument/2006/relationships/hyperlink" Target="https://www.gem.wiki/In_Salah_Gas_Pipeline" TargetMode="External"/><Relationship Id="rId388" Type="http://schemas.openxmlformats.org/officeDocument/2006/relationships/hyperlink" Target="https://www.gem.wiki/Transitgas_Gas_Pipeline" TargetMode="External"/><Relationship Id="rId2069" Type="http://schemas.openxmlformats.org/officeDocument/2006/relationships/hyperlink" Target="https://www.gem.wiki/Gasoduto_Uruguaiana-Porto_Alegre" TargetMode="External"/><Relationship Id="rId3022" Type="http://schemas.openxmlformats.org/officeDocument/2006/relationships/hyperlink" Target="https://www.gem.wiki/Binhai_LNG_Transport_pipeline_(Binhai-Xuyi,_Tianchang-Hefei)" TargetMode="External"/><Relationship Id="rId150" Type="http://schemas.openxmlformats.org/officeDocument/2006/relationships/hyperlink" Target="https://www.gem.wiki/Old_Ocean_Pipeline" TargetMode="External"/><Relationship Id="rId595" Type="http://schemas.openxmlformats.org/officeDocument/2006/relationships/hyperlink" Target="https://www.gem.wiki/Nam_Con_Son_2_Gas_Pipeline" TargetMode="External"/><Relationship Id="rId2276" Type="http://schemas.openxmlformats.org/officeDocument/2006/relationships/hyperlink" Target="https://www.gem.wiki/Lebyazhye-Makushino_Gas_Pipelinee" TargetMode="External"/><Relationship Id="rId2483" Type="http://schemas.openxmlformats.org/officeDocument/2006/relationships/hyperlink" Target="https://www.gem.wiki/F%C3%A9nix_Gas_Pipeline" TargetMode="External"/><Relationship Id="rId2690" Type="http://schemas.openxmlformats.org/officeDocument/2006/relationships/hyperlink" Target="https://www.gem.wiki/Benevento%E2%80%93Biccari_Gas_Pipeline" TargetMode="External"/><Relationship Id="rId3327" Type="http://schemas.openxmlformats.org/officeDocument/2006/relationships/hyperlink" Target="https://www.hlj.gov.cn/n200/2020/1213/c35-11012253.html" TargetMode="External"/><Relationship Id="rId248" Type="http://schemas.openxmlformats.org/officeDocument/2006/relationships/hyperlink" Target="https://www.gem.wiki/Tarahumara_Gas_Pipeline" TargetMode="External"/><Relationship Id="rId455" Type="http://schemas.openxmlformats.org/officeDocument/2006/relationships/hyperlink" Target="https://www.gem.wiki/Barents_Sea_Pipeline" TargetMode="External"/><Relationship Id="rId662" Type="http://schemas.openxmlformats.org/officeDocument/2006/relationships/hyperlink" Target="https://www.gem.wiki/Eje_Levante_Gas_Pipeline" TargetMode="External"/><Relationship Id="rId1085" Type="http://schemas.openxmlformats.org/officeDocument/2006/relationships/hyperlink" Target="https://www.gem.wiki/Igrim-Serov-Nizhny_Tagil_Gas_Pipeline" TargetMode="External"/><Relationship Id="rId1292" Type="http://schemas.openxmlformats.org/officeDocument/2006/relationships/hyperlink" Target="https://www.gem.wiki/I%C4%9Fd%C4%B1r-Nakhchivan_Gas_Pipeline" TargetMode="External"/><Relationship Id="rId2136" Type="http://schemas.openxmlformats.org/officeDocument/2006/relationships/hyperlink" Target="https://www.gem.wiki/Moomba_Sydney_Pipeline_System" TargetMode="External"/><Relationship Id="rId2343" Type="http://schemas.openxmlformats.org/officeDocument/2006/relationships/hyperlink" Target="https://www.gem.wiki/Eribl-Duhok_Gas_Pipeline" TargetMode="External"/><Relationship Id="rId2550" Type="http://schemas.openxmlformats.org/officeDocument/2006/relationships/hyperlink" Target="https://www.gem.wiki/Fustenwalde-Deutschneudorf_Gas_Pipeline" TargetMode="External"/><Relationship Id="rId2788" Type="http://schemas.openxmlformats.org/officeDocument/2006/relationships/hyperlink" Target="https://www.gem.wiki/Inner_Mongolia_Gas_Pipeline_Network" TargetMode="External"/><Relationship Id="rId2995" Type="http://schemas.openxmlformats.org/officeDocument/2006/relationships/hyperlink" Target="https://www.gem.wiki/Xinjiang_Coal-to-Gas_Pipeline_Project" TargetMode="External"/><Relationship Id="rId108" Type="http://schemas.openxmlformats.org/officeDocument/2006/relationships/hyperlink" Target="https://www.gem.wiki/Sur_de_Texas-Tuxpan_Gas_Pipeline" TargetMode="External"/><Relationship Id="rId315" Type="http://schemas.openxmlformats.org/officeDocument/2006/relationships/hyperlink" Target="https://www.gem.wiki/PS-4%E2%80%93Ras_Laffan_Gas_Pipelines" TargetMode="External"/><Relationship Id="rId522" Type="http://schemas.openxmlformats.org/officeDocument/2006/relationships/hyperlink" Target="https://www.gem.wiki/North_Queensland_Gas_Pipeline" TargetMode="External"/><Relationship Id="rId967" Type="http://schemas.openxmlformats.org/officeDocument/2006/relationships/hyperlink" Target="https://www.gem.wiki/Tarakandi-Jamalpur_Gas_Pipeline" TargetMode="External"/><Relationship Id="rId1152" Type="http://schemas.openxmlformats.org/officeDocument/2006/relationships/hyperlink" Target="https://gem.wiki/Phased_Gas_Pipeline_Network" TargetMode="External"/><Relationship Id="rId1597" Type="http://schemas.openxmlformats.org/officeDocument/2006/relationships/hyperlink" Target="https://www.gem.wiki/Gasoducto_Colpa-Rio_Grande" TargetMode="External"/><Relationship Id="rId2203" Type="http://schemas.openxmlformats.org/officeDocument/2006/relationships/hyperlink" Target="https://www.gem.wiki/Interconnector_Croatia-Serbia" TargetMode="External"/><Relationship Id="rId2410" Type="http://schemas.openxmlformats.org/officeDocument/2006/relationships/hyperlink" Target="https://www.gem.wiki/Winseler-Luedelange_Gas_Pipeline" TargetMode="External"/><Relationship Id="rId2648" Type="http://schemas.openxmlformats.org/officeDocument/2006/relationships/hyperlink" Target="https://www.gem.wiki/Megalopoli-Patras_Gas_Pipeline" TargetMode="External"/><Relationship Id="rId2855" Type="http://schemas.openxmlformats.org/officeDocument/2006/relationships/hyperlink" Target="https://www.gem.wiki/Jiaozhou-Laizhou_gas_pipeline" TargetMode="External"/><Relationship Id="rId96" Type="http://schemas.openxmlformats.org/officeDocument/2006/relationships/hyperlink" Target="https://www.gem.wiki/Regency_Intrastate_Gas_(RIGS)_Pipeline" TargetMode="External"/><Relationship Id="rId827" Type="http://schemas.openxmlformats.org/officeDocument/2006/relationships/hyperlink" Target="https://www.gem.wiki/Gasoducto_Santa_B%C3%A1rbara-Aguasay" TargetMode="External"/><Relationship Id="rId1012" Type="http://schemas.openxmlformats.org/officeDocument/2006/relationships/hyperlink" Target="https://www.gem.wiki/BOB_Siak_Gas_Pipeline" TargetMode="External"/><Relationship Id="rId1457" Type="http://schemas.openxmlformats.org/officeDocument/2006/relationships/hyperlink" Target="https://gem.wiki/MaidaSEufemia&#8211;Reggio_Calabria_Gas_Pipeline" TargetMode="External"/><Relationship Id="rId1664" Type="http://schemas.openxmlformats.org/officeDocument/2006/relationships/hyperlink" Target="https://www.gem.wiki/PennEast_Gas_Pipeline" TargetMode="External"/><Relationship Id="rId1871" Type="http://schemas.openxmlformats.org/officeDocument/2006/relationships/hyperlink" Target="https://www.gem.wiki/El_Oro-Mazatlan_Pipeline" TargetMode="External"/><Relationship Id="rId2508" Type="http://schemas.openxmlformats.org/officeDocument/2006/relationships/hyperlink" Target="https://www.gem.wiki/Zestaponi-Poti_Gas_Pipeline" TargetMode="External"/><Relationship Id="rId2715" Type="http://schemas.openxmlformats.org/officeDocument/2006/relationships/hyperlink" Target="https://www.gem.wiki/Mountain_Valley_Gas_Pipeline_(MVP)" TargetMode="External"/><Relationship Id="rId2922" Type="http://schemas.openxmlformats.org/officeDocument/2006/relationships/hyperlink" Target="https://www.gem.wiki/Sichuan_%26_Chongqing_Grand_Loop_Line" TargetMode="External"/><Relationship Id="rId1317" Type="http://schemas.openxmlformats.org/officeDocument/2006/relationships/hyperlink" Target="https://gem.wiki/Altamura&#8211;MonteAlpi_Gas_Pipeline" TargetMode="External"/><Relationship Id="rId1524" Type="http://schemas.openxmlformats.org/officeDocument/2006/relationships/hyperlink" Target="https://gem.wiki/Ripalta&#8211;Cortemaggiore_Gas_Pipeline" TargetMode="External"/><Relationship Id="rId1731" Type="http://schemas.openxmlformats.org/officeDocument/2006/relationships/hyperlink" Target="https://www.gem.wiki/Neuba_I_Pipeline" TargetMode="External"/><Relationship Id="rId1969" Type="http://schemas.openxmlformats.org/officeDocument/2006/relationships/hyperlink" Target="https://www.gem.wiki/Colongra_Gas_Transmission_and_Storage_Pipeline" TargetMode="External"/><Relationship Id="rId3184" Type="http://schemas.openxmlformats.org/officeDocument/2006/relationships/hyperlink" Target="https://www.gem.wiki/West-East_Gas_Pipeline_2" TargetMode="External"/><Relationship Id="rId23" Type="http://schemas.openxmlformats.org/officeDocument/2006/relationships/hyperlink" Target="https://www.gem.wiki/Chandeleur_Gas_Pipeline" TargetMode="External"/><Relationship Id="rId1829" Type="http://schemas.openxmlformats.org/officeDocument/2006/relationships/hyperlink" Target="https://www.gem.wiki/Songas_Pipeline" TargetMode="External"/><Relationship Id="rId2298" Type="http://schemas.openxmlformats.org/officeDocument/2006/relationships/hyperlink" Target="https://www.gem.wiki/Qatargas_Ras_Laffan_Gas_Pipelines" TargetMode="External"/><Relationship Id="rId3044" Type="http://schemas.openxmlformats.org/officeDocument/2006/relationships/hyperlink" Target="https://www.gem.wiki/Jiangxi_Natural_Gas_Pipeline_Network" TargetMode="External"/><Relationship Id="rId3251" Type="http://schemas.openxmlformats.org/officeDocument/2006/relationships/hyperlink" Target="https://www.gem.wiki/Ordos-Anping-Cangzhou_Gas_Pipeline" TargetMode="External"/><Relationship Id="rId3349" Type="http://schemas.openxmlformats.org/officeDocument/2006/relationships/hyperlink" Target="https://www.gem.wiki/Northwest_Gas_Pipeline" TargetMode="External"/><Relationship Id="rId172" Type="http://schemas.openxmlformats.org/officeDocument/2006/relationships/hyperlink" Target="https://www.gem.wiki/Downeast_Pipeline" TargetMode="External"/><Relationship Id="rId477" Type="http://schemas.openxmlformats.org/officeDocument/2006/relationships/hyperlink" Target="https://www.gem.wiki/Chittagong-Rauzan_Gas_Pipeline" TargetMode="External"/><Relationship Id="rId684" Type="http://schemas.openxmlformats.org/officeDocument/2006/relationships/hyperlink" Target="https://www.gem.wiki/Sivas-Ankara_Pipeline" TargetMode="External"/><Relationship Id="rId2060" Type="http://schemas.openxmlformats.org/officeDocument/2006/relationships/hyperlink" Target="https://www.gem.wiki/Croatia-Slovenia-Austria_Interconnector_Gas_Pipeline" TargetMode="External"/><Relationship Id="rId2158" Type="http://schemas.openxmlformats.org/officeDocument/2006/relationships/hyperlink" Target="https://www.gem.wiki/Telfer_Pipeline" TargetMode="External"/><Relationship Id="rId2365" Type="http://schemas.openxmlformats.org/officeDocument/2006/relationships/hyperlink" Target="https://www.gem.wiki/Pir_Koh-_Sui_Gas_Pipeline" TargetMode="External"/><Relationship Id="rId3111" Type="http://schemas.openxmlformats.org/officeDocument/2006/relationships/hyperlink" Target="https://www.gem.wiki/Hubei_Gas_Pipeline_Network" TargetMode="External"/><Relationship Id="rId3209" Type="http://schemas.openxmlformats.org/officeDocument/2006/relationships/hyperlink" Target="https://www.gem.wiki/Guizhou_Gas_Pipeline_Network" TargetMode="External"/><Relationship Id="rId337" Type="http://schemas.openxmlformats.org/officeDocument/2006/relationships/hyperlink" Target="https://www.gem.wiki/Fateh%E2%80%93Jebel_Ali_gas_pipeline" TargetMode="External"/><Relationship Id="rId891" Type="http://schemas.openxmlformats.org/officeDocument/2006/relationships/hyperlink" Target="https://www.gem.wiki/Blue_Energy_Bowen_Gas_Pipeline" TargetMode="External"/><Relationship Id="rId989" Type="http://schemas.openxmlformats.org/officeDocument/2006/relationships/hyperlink" Target="https://www.gem.wiki/Omi%C5%A1alj-Zlobin-Bosiljevo-Sisak-Kozarac-Slobodnica_LNG_main_evacuation_pipeline" TargetMode="External"/><Relationship Id="rId2018" Type="http://schemas.openxmlformats.org/officeDocument/2006/relationships/hyperlink" Target="https://www.gem.wiki/Route_5b_Gas_Pipeline" TargetMode="External"/><Relationship Id="rId2572" Type="http://schemas.openxmlformats.org/officeDocument/2006/relationships/hyperlink" Target="https://www.gem.wiki/Minerbio-Zimella_Gas_Pipeline" TargetMode="External"/><Relationship Id="rId2877" Type="http://schemas.openxmlformats.org/officeDocument/2006/relationships/hyperlink" Target="https://www.gem.wiki/Shanxi_Natural_Gas_Pipeline_Network" TargetMode="External"/><Relationship Id="rId544" Type="http://schemas.openxmlformats.org/officeDocument/2006/relationships/hyperlink" Target="https://www.gem.wiki/Gresik-PKG_Looping_Gas_Pipeline" TargetMode="External"/><Relationship Id="rId751" Type="http://schemas.openxmlformats.org/officeDocument/2006/relationships/hyperlink" Target="https://www.gem.wiki/Trans-Iraq-Nasriyaha_gas_pipeline" TargetMode="External"/><Relationship Id="rId849" Type="http://schemas.openxmlformats.org/officeDocument/2006/relationships/hyperlink" Target="https://www.gem.wiki/Northern_Gas_Pipeline" TargetMode="External"/><Relationship Id="rId1174" Type="http://schemas.openxmlformats.org/officeDocument/2006/relationships/hyperlink" Target="https://www.gem.wiki/Agua_Blanca_Pipeline" TargetMode="External"/><Relationship Id="rId1381" Type="http://schemas.openxmlformats.org/officeDocument/2006/relationships/hyperlink" Target="https://gem.wiki/Cupello&#8211;Biccari_Gas_Pipeline" TargetMode="External"/><Relationship Id="rId1479" Type="http://schemas.openxmlformats.org/officeDocument/2006/relationships/hyperlink" Target="https://gem.wiki/Mittelbrunn_MEGAL&#8211;Remich_Gas_Pipeline" TargetMode="External"/><Relationship Id="rId1686" Type="http://schemas.openxmlformats.org/officeDocument/2006/relationships/hyperlink" Target="https://www.gem.wiki/Central_Asia%E2%80%93China_Gas_Pipeline" TargetMode="External"/><Relationship Id="rId2225" Type="http://schemas.openxmlformats.org/officeDocument/2006/relationships/hyperlink" Target="https://www.gem.wiki/Amriya%E2%80%93El_Alamein_Gas_Pipeline" TargetMode="External"/><Relationship Id="rId2432" Type="http://schemas.openxmlformats.org/officeDocument/2006/relationships/hyperlink" Target="https://www.gem.wiki/Nadym-Punga_I,_II,_IV,_V_Gas_Pipeline" TargetMode="External"/><Relationship Id="rId404" Type="http://schemas.openxmlformats.org/officeDocument/2006/relationships/hyperlink" Target="https://www.gem.wiki/East-West_Gas_Pipeline" TargetMode="External"/><Relationship Id="rId611" Type="http://schemas.openxmlformats.org/officeDocument/2006/relationships/hyperlink" Target="https://www.gem.wiki/Ishikari_Trunk_Line" TargetMode="External"/><Relationship Id="rId1034" Type="http://schemas.openxmlformats.org/officeDocument/2006/relationships/hyperlink" Target="https://www.gem.wiki/Sistema_Nacional_de_Gasoductos" TargetMode="External"/><Relationship Id="rId1241" Type="http://schemas.openxmlformats.org/officeDocument/2006/relationships/hyperlink" Target="https://www.gem.wiki/Gasoducto_Sierrita" TargetMode="External"/><Relationship Id="rId1339" Type="http://schemas.openxmlformats.org/officeDocument/2006/relationships/hyperlink" Target="https://gem.wiki/Berneauc&#8211;Gravenvoeren_Gas_Pipeline" TargetMode="External"/><Relationship Id="rId1893" Type="http://schemas.openxmlformats.org/officeDocument/2006/relationships/hyperlink" Target="https://www.gem.wiki/Gasoduto_Gasene" TargetMode="External"/><Relationship Id="rId2737" Type="http://schemas.openxmlformats.org/officeDocument/2006/relationships/hyperlink" Target="https://www.gem.wiki/Sino-Myanmar_Gas_Pipeline" TargetMode="External"/><Relationship Id="rId2944" Type="http://schemas.openxmlformats.org/officeDocument/2006/relationships/hyperlink" Target="https://www.gem.wiki/Guangdong_West_Gas_Pipeline_Network" TargetMode="External"/><Relationship Id="rId709" Type="http://schemas.openxmlformats.org/officeDocument/2006/relationships/hyperlink" Target="https://www.gem.wiki/Celorico%E2%80%93Spanish_Border_Pipeline" TargetMode="External"/><Relationship Id="rId916" Type="http://schemas.openxmlformats.org/officeDocument/2006/relationships/hyperlink" Target="https://www.gem.wiki/Papua_New_Guinea_to_Queensland_Pipeline" TargetMode="External"/><Relationship Id="rId1101" Type="http://schemas.openxmlformats.org/officeDocument/2006/relationships/hyperlink" Target="https://www.gem.wiki/Nadym-Punga_I,_II,_IV,_V_Gas_Pipeline" TargetMode="External"/><Relationship Id="rId1546" Type="http://schemas.openxmlformats.org/officeDocument/2006/relationships/hyperlink" Target="https://gem.wiki/Tallinn&#8211;Narva_Gas_Pipeline" TargetMode="External"/><Relationship Id="rId1753" Type="http://schemas.openxmlformats.org/officeDocument/2006/relationships/hyperlink" Target="https://www.gem.wiki/Trans-Anatolian_Gas_Pipeline" TargetMode="External"/><Relationship Id="rId1960" Type="http://schemas.openxmlformats.org/officeDocument/2006/relationships/hyperlink" Target="https://www.gem.wiki/Anglo-Mitsui_Gas_Pipeline" TargetMode="External"/><Relationship Id="rId2804" Type="http://schemas.openxmlformats.org/officeDocument/2006/relationships/hyperlink" Target="https://www.gem.wiki/Jilin_Gas_Pipeline_Network" TargetMode="External"/><Relationship Id="rId45" Type="http://schemas.openxmlformats.org/officeDocument/2006/relationships/hyperlink" Target="https://www.gem.wiki/Fayetteville_Express_Gas_Pipeline" TargetMode="External"/><Relationship Id="rId1406" Type="http://schemas.openxmlformats.org/officeDocument/2006/relationships/hyperlink" Target="https://gem.wiki/Foligno&#8211;Gallese_Civita_Cast_Gas_Pipeline" TargetMode="External"/><Relationship Id="rId1613" Type="http://schemas.openxmlformats.org/officeDocument/2006/relationships/hyperlink" Target="https://www.gem.wiki/Gasoduto_Itaporanga-Carm%C3%B3polis" TargetMode="External"/><Relationship Id="rId1820" Type="http://schemas.openxmlformats.org/officeDocument/2006/relationships/hyperlink" Target="https://www.gem.wiki/Silver_Springs_Pipeline" TargetMode="External"/><Relationship Id="rId3066" Type="http://schemas.openxmlformats.org/officeDocument/2006/relationships/hyperlink" Target="https://www.gem.wiki/Henan_Gas_Pipeline_Network" TargetMode="External"/><Relationship Id="rId3273" Type="http://schemas.openxmlformats.org/officeDocument/2006/relationships/hyperlink" Target="https://www.gem.wiki/Shaan-Jing_Gas_Pipeline_4_Zhangjiakou_Branches" TargetMode="External"/><Relationship Id="rId194" Type="http://schemas.openxmlformats.org/officeDocument/2006/relationships/hyperlink" Target="https://www.gem.wiki/Revolution_Pipeline" TargetMode="External"/><Relationship Id="rId1918" Type="http://schemas.openxmlformats.org/officeDocument/2006/relationships/hyperlink" Target="https://www.gem.wiki/Midi-Catalonia_Pipeline" TargetMode="External"/><Relationship Id="rId2082" Type="http://schemas.openxmlformats.org/officeDocument/2006/relationships/hyperlink" Target="https://www.gem.wiki/Mid_West_Pipeline" TargetMode="External"/><Relationship Id="rId3133" Type="http://schemas.openxmlformats.org/officeDocument/2006/relationships/hyperlink" Target="https://www.gem.wiki/Hunan_Gas_Pipeline_Network" TargetMode="External"/><Relationship Id="rId261" Type="http://schemas.openxmlformats.org/officeDocument/2006/relationships/hyperlink" Target="https://www.gem.wiki/IGAT_2_Gas_Pipeline" TargetMode="External"/><Relationship Id="rId499" Type="http://schemas.openxmlformats.org/officeDocument/2006/relationships/hyperlink" Target="https://www.gem.wiki/TurkStream_2_Gas_Pipeline" TargetMode="External"/><Relationship Id="rId2387" Type="http://schemas.openxmlformats.org/officeDocument/2006/relationships/hyperlink" Target="https://www.gem.wiki/Sui-Multan_Gas_Loopline_III" TargetMode="External"/><Relationship Id="rId2594" Type="http://schemas.openxmlformats.org/officeDocument/2006/relationships/hyperlink" Target="https://gem.wiki/Altamura&#8211;Latiano_Gas_Pipeline" TargetMode="External"/><Relationship Id="rId3340" Type="http://schemas.openxmlformats.org/officeDocument/2006/relationships/hyperlink" Target="https://www.gem.wiki/Puyang%E2%80%93Cangzhou_Gas_Pipeline" TargetMode="External"/><Relationship Id="rId359" Type="http://schemas.openxmlformats.org/officeDocument/2006/relationships/hyperlink" Target="https://www.gem.wiki/GALSI_Pipeline" TargetMode="External"/><Relationship Id="rId566" Type="http://schemas.openxmlformats.org/officeDocument/2006/relationships/hyperlink" Target="https://www.gem.wiki/Trans-Korea_Gas_Pipeline" TargetMode="External"/><Relationship Id="rId773" Type="http://schemas.openxmlformats.org/officeDocument/2006/relationships/hyperlink" Target="https://www.gem.wiki/Sapele_LTX-Oben_gas_pipeline" TargetMode="External"/><Relationship Id="rId1196" Type="http://schemas.openxmlformats.org/officeDocument/2006/relationships/hyperlink" Target="https://www.gem.wiki/Evangeline_Pass_Gas_Pipeline" TargetMode="External"/><Relationship Id="rId2247" Type="http://schemas.openxmlformats.org/officeDocument/2006/relationships/hyperlink" Target="https://www.gem.wiki/Kozhasai-KS12_Gas_Pipeline" TargetMode="External"/><Relationship Id="rId2454" Type="http://schemas.openxmlformats.org/officeDocument/2006/relationships/hyperlink" Target="https://www.gem.wiki/Bayonne-Toulouse_Gas_Pipeline" TargetMode="External"/><Relationship Id="rId2899" Type="http://schemas.openxmlformats.org/officeDocument/2006/relationships/hyperlink" Target="https://www.gem.wiki/Sichuan%E2%80%93Shanghai_Gas_Pipeline" TargetMode="External"/><Relationship Id="rId3200" Type="http://schemas.openxmlformats.org/officeDocument/2006/relationships/hyperlink" Target="https://www.gem.wiki/Guizhou_Gas_Pipeline_Network" TargetMode="External"/><Relationship Id="rId121" Type="http://schemas.openxmlformats.org/officeDocument/2006/relationships/hyperlink" Target="https://www.gem.wiki/TransCameron_Pipeline" TargetMode="External"/><Relationship Id="rId219" Type="http://schemas.openxmlformats.org/officeDocument/2006/relationships/hyperlink" Target="https://www.gem.wiki/Gasoducto_La_Laguna-Aguascalientes" TargetMode="External"/><Relationship Id="rId426" Type="http://schemas.openxmlformats.org/officeDocument/2006/relationships/hyperlink" Target="https://www.gem.wiki/Urengoy-Pomary-Uzhgorod_Gas_Pipeline" TargetMode="External"/><Relationship Id="rId633" Type="http://schemas.openxmlformats.org/officeDocument/2006/relationships/hyperlink" Target="https://www.gem.wiki/Naruto_Pipeline" TargetMode="External"/><Relationship Id="rId980" Type="http://schemas.openxmlformats.org/officeDocument/2006/relationships/hyperlink" Target="https://www.gem.wiki/Buenaventura-Yumbo_Gas_Pipeline" TargetMode="External"/><Relationship Id="rId1056" Type="http://schemas.openxmlformats.org/officeDocument/2006/relationships/hyperlink" Target="https://www.gem.wiki/BRUA_Gas_Pipeline" TargetMode="External"/><Relationship Id="rId1263" Type="http://schemas.openxmlformats.org/officeDocument/2006/relationships/hyperlink" Target="https://www.gem.wiki/Iroquois_Gas_Pipeline" TargetMode="External"/><Relationship Id="rId2107" Type="http://schemas.openxmlformats.org/officeDocument/2006/relationships/hyperlink" Target="https://www.gem.wiki/Nova_Gas_Transmission_(NGTL)_Pipeline" TargetMode="External"/><Relationship Id="rId2314" Type="http://schemas.openxmlformats.org/officeDocument/2006/relationships/hyperlink" Target="https://www.gem.wiki/Dadu-Sui_Gas_Pipeline" TargetMode="External"/><Relationship Id="rId2661" Type="http://schemas.openxmlformats.org/officeDocument/2006/relationships/hyperlink" Target="https://www.gem.wiki/Qatargas_LNG_Terminals_Gas_Pipelines" TargetMode="External"/><Relationship Id="rId2759" Type="http://schemas.openxmlformats.org/officeDocument/2006/relationships/hyperlink" Target="https://www.gem.wiki/Yunnan_Gas_Pipeline_Network" TargetMode="External"/><Relationship Id="rId2966" Type="http://schemas.openxmlformats.org/officeDocument/2006/relationships/hyperlink" Target="https://www.gem.wiki/Guangxi_LNG_Terminal_Transport_Pipeline" TargetMode="External"/><Relationship Id="rId840" Type="http://schemas.openxmlformats.org/officeDocument/2006/relationships/hyperlink" Target="https://www.gem.wiki/Texas_Eastern_Transmission_(TETCO)_Gas_Pipeline" TargetMode="External"/><Relationship Id="rId938" Type="http://schemas.openxmlformats.org/officeDocument/2006/relationships/hyperlink" Target="https://www.gem.wiki/Kinki_Trunk_Line_No._2_East_Line" TargetMode="External"/><Relationship Id="rId1470" Type="http://schemas.openxmlformats.org/officeDocument/2006/relationships/hyperlink" Target="https://gem.wiki/Menfi&#8211;Mazara_Del_Vallo_Gas_Pipeline" TargetMode="External"/><Relationship Id="rId1568" Type="http://schemas.openxmlformats.org/officeDocument/2006/relationships/hyperlink" Target="https://gem.wiki/Westerschelde_Oost&#8211;Wijngaarden_Gas_Pipeline" TargetMode="External"/><Relationship Id="rId1775" Type="http://schemas.openxmlformats.org/officeDocument/2006/relationships/hyperlink" Target="https://www.gem.wiki/Vijaipur-Dadri_Gas_Pipeline_(GREP-I)" TargetMode="External"/><Relationship Id="rId2521" Type="http://schemas.openxmlformats.org/officeDocument/2006/relationships/hyperlink" Target="https://www.gem.wiki/Saguramo-Kutaisi_Gas_Pipeline" TargetMode="External"/><Relationship Id="rId2619" Type="http://schemas.openxmlformats.org/officeDocument/2006/relationships/hyperlink" Target="https://www.gem.wiki/Vodice-Tarvisio_Gas_Pipeline" TargetMode="External"/><Relationship Id="rId2826" Type="http://schemas.openxmlformats.org/officeDocument/2006/relationships/hyperlink" Target="https://www.gem.wiki/Tianjin_LNG_Terminal_Transport_Pipeline_Parallel_Line" TargetMode="External"/><Relationship Id="rId67" Type="http://schemas.openxmlformats.org/officeDocument/2006/relationships/hyperlink" Target="https://www.gem.wiki/Maritimes_and_Northeast_Gas_Pipeline" TargetMode="External"/><Relationship Id="rId700" Type="http://schemas.openxmlformats.org/officeDocument/2006/relationships/hyperlink" Target="https://www.gem.wiki/Matagiola-Massafra_Gas_Pipeline" TargetMode="External"/><Relationship Id="rId1123" Type="http://schemas.openxmlformats.org/officeDocument/2006/relationships/hyperlink" Target="https://www.gem.wiki/Saratov-Gorky_Gas_Pipeline" TargetMode="External"/><Relationship Id="rId1330" Type="http://schemas.openxmlformats.org/officeDocument/2006/relationships/hyperlink" Target="https://www.gem.wiki/Martorell%E2%80%93Figueres_Gas_Pipeline" TargetMode="External"/><Relationship Id="rId1428" Type="http://schemas.openxmlformats.org/officeDocument/2006/relationships/hyperlink" Target="https://gem.wiki/Imatra&#8211;Mantsala_Gas_Pipeline" TargetMode="External"/><Relationship Id="rId1635" Type="http://schemas.openxmlformats.org/officeDocument/2006/relationships/hyperlink" Target="https://www.gem.wiki/Son_My%E2%80%93Su_Tu_Trang_Gas_Pipeline" TargetMode="External"/><Relationship Id="rId1982" Type="http://schemas.openxmlformats.org/officeDocument/2006/relationships/hyperlink" Target="https://www.gem.wiki/Kosovo-North_Macedonia_Gas_Pipeline" TargetMode="External"/><Relationship Id="rId3088" Type="http://schemas.openxmlformats.org/officeDocument/2006/relationships/hyperlink" Target="https://www.gem.wiki/Zhejiang_Natural_Gas_Pipeline_Network" TargetMode="External"/><Relationship Id="rId1842" Type="http://schemas.openxmlformats.org/officeDocument/2006/relationships/hyperlink" Target="https://www.gem.wiki/Sucat-Malaya_Gas_Pipeline" TargetMode="External"/><Relationship Id="rId3295" Type="http://schemas.openxmlformats.org/officeDocument/2006/relationships/hyperlink" Target="https://www.gem.wiki/Shaanxi_Gas_Pipeline_Network" TargetMode="External"/><Relationship Id="rId1702" Type="http://schemas.openxmlformats.org/officeDocument/2006/relationships/hyperlink" Target="https://www.gem.wiki/Wide_Bay_Pipeline" TargetMode="External"/><Relationship Id="rId3155" Type="http://schemas.openxmlformats.org/officeDocument/2006/relationships/hyperlink" Target="https://www.gem.wiki/Fujian_LNG_Terminal_Transport_pipeline" TargetMode="External"/><Relationship Id="rId283" Type="http://schemas.openxmlformats.org/officeDocument/2006/relationships/hyperlink" Target="https://www.gem.wiki/Gassi_Touil-Hassi_Messaoud_Gas_Pipeline" TargetMode="External"/><Relationship Id="rId490" Type="http://schemas.openxmlformats.org/officeDocument/2006/relationships/hyperlink" Target="https://www.gem.wiki/Langalbandh-Mawa-Gopalganj-Khulna_Transmission_Pipeline" TargetMode="External"/><Relationship Id="rId2171" Type="http://schemas.openxmlformats.org/officeDocument/2006/relationships/hyperlink" Target="https://www.gem.wiki/Batangas_LNG_Terminal_Pipeline" TargetMode="External"/><Relationship Id="rId3015" Type="http://schemas.openxmlformats.org/officeDocument/2006/relationships/hyperlink" Target="https://www.gem.wiki/Jiangsu_Coastal_Gas_Pipeline" TargetMode="External"/><Relationship Id="rId3222" Type="http://schemas.openxmlformats.org/officeDocument/2006/relationships/hyperlink" Target="https://www.gem.wiki/Guizhou_Gas_Pipeline_Network" TargetMode="External"/><Relationship Id="rId143" Type="http://schemas.openxmlformats.org/officeDocument/2006/relationships/hyperlink" Target="https://www.gem.wiki/Gasoducto_Nueva_Era" TargetMode="External"/><Relationship Id="rId350" Type="http://schemas.openxmlformats.org/officeDocument/2006/relationships/hyperlink" Target="https://www.gem.wiki/European_Gas_Pipeline_Link_(EUGAL)" TargetMode="External"/><Relationship Id="rId588" Type="http://schemas.openxmlformats.org/officeDocument/2006/relationships/hyperlink" Target="https://www.gem.wiki/Kyiv-Western_Border_of_Ukraine_Gas_Pipeline" TargetMode="External"/><Relationship Id="rId795" Type="http://schemas.openxmlformats.org/officeDocument/2006/relationships/hyperlink" Target="https://www.gem.wiki/UBTG-1-Berri_gas_pipeline" TargetMode="External"/><Relationship Id="rId2031" Type="http://schemas.openxmlformats.org/officeDocument/2006/relationships/hyperlink" Target="https://www.gem.wiki/Gasoduto_Sider%C3%B3polis-Porto_Alegre" TargetMode="External"/><Relationship Id="rId2269" Type="http://schemas.openxmlformats.org/officeDocument/2006/relationships/hyperlink" Target="https://www.gem.wiki/Kharabali-Akhtubinsk_2-Akhtubinsk_1_Gas_Pipeline" TargetMode="External"/><Relationship Id="rId2476" Type="http://schemas.openxmlformats.org/officeDocument/2006/relationships/hyperlink" Target="https://www.gem.wiki/Morelmaison-Rodersdorf_Gas_Pipeline" TargetMode="External"/><Relationship Id="rId2683" Type="http://schemas.openxmlformats.org/officeDocument/2006/relationships/hyperlink" Target="https://www.gem.wiki/Bralos%E2%80%93Aliartos_Gas_Pipeline" TargetMode="External"/><Relationship Id="rId2890" Type="http://schemas.openxmlformats.org/officeDocument/2006/relationships/hyperlink" Target="https://www.gem.wiki/Shanxi_Natural_Gas_Pipeline_Network" TargetMode="External"/><Relationship Id="rId9" Type="http://schemas.openxmlformats.org/officeDocument/2006/relationships/hyperlink" Target="https://www.gem.wiki/Alliance_Gas_Pipeline" TargetMode="External"/><Relationship Id="rId210" Type="http://schemas.openxmlformats.org/officeDocument/2006/relationships/hyperlink" Target="https://www.gem.wiki/Gasoducto_de_la_Costa_Gas_Pipeline" TargetMode="External"/><Relationship Id="rId448" Type="http://schemas.openxmlformats.org/officeDocument/2006/relationships/hyperlink" Target="https://www.gem.wiki/Eastring_Pipeline" TargetMode="External"/><Relationship Id="rId655" Type="http://schemas.openxmlformats.org/officeDocument/2006/relationships/hyperlink" Target="https://www.gem.wiki/2nd_Bangabandhu_Railway_Bridge_Gas_Transmission_Pipeline" TargetMode="External"/><Relationship Id="rId862" Type="http://schemas.openxmlformats.org/officeDocument/2006/relationships/hyperlink" Target="https://www.gem.wiki/GR-5_Gas_Pipeline" TargetMode="External"/><Relationship Id="rId1078" Type="http://schemas.openxmlformats.org/officeDocument/2006/relationships/hyperlink" Target="https://www.gem.wiki/Tochigi_Gas_Pipeline" TargetMode="External"/><Relationship Id="rId1285" Type="http://schemas.openxmlformats.org/officeDocument/2006/relationships/hyperlink" Target="https://www.gem.wiki/Gasoducto_Bolivia-Per%C3%BA" TargetMode="External"/><Relationship Id="rId1492" Type="http://schemas.openxmlformats.org/officeDocument/2006/relationships/hyperlink" Target="https://www.gem.wiki/Nozay%E2%80%93Breal%E2%80%93Lannion_Gas_Pipeline" TargetMode="External"/><Relationship Id="rId2129" Type="http://schemas.openxmlformats.org/officeDocument/2006/relationships/hyperlink" Target="https://www.gem.wiki/Gatton_to_Gympie_Pipeline" TargetMode="External"/><Relationship Id="rId2336" Type="http://schemas.openxmlformats.org/officeDocument/2006/relationships/hyperlink" Target="https://www.gem.wiki/Skopje-Kyustendil_Gas_Pipeline" TargetMode="External"/><Relationship Id="rId2543" Type="http://schemas.openxmlformats.org/officeDocument/2006/relationships/hyperlink" Target="https://www.gem.wiki/RA6-South_Bangkok_Gas_Pipeline" TargetMode="External"/><Relationship Id="rId2750" Type="http://schemas.openxmlformats.org/officeDocument/2006/relationships/hyperlink" Target="https://www.gem.wiki/Yunnan_Gas_Pipeline_Network" TargetMode="External"/><Relationship Id="rId2988" Type="http://schemas.openxmlformats.org/officeDocument/2006/relationships/hyperlink" Target="https://www.gem.wiki/Lunan-Kuche_Gas_Pipeline_(Zhong%27an_Xinzi)" TargetMode="External"/><Relationship Id="rId308" Type="http://schemas.openxmlformats.org/officeDocument/2006/relationships/hyperlink" Target="https://www.gem.wiki/Qua_Iboe_Terminal_to_Obiafu-Obrikom_Gas_Pipeline" TargetMode="External"/><Relationship Id="rId515" Type="http://schemas.openxmlformats.org/officeDocument/2006/relationships/hyperlink" Target="https://www.gem.wiki/Red_de_Gasoductos_Promigas" TargetMode="External"/><Relationship Id="rId722" Type="http://schemas.openxmlformats.org/officeDocument/2006/relationships/hyperlink" Target="https://www.gem.wiki/Theddlethorpe-Killingholme_Pipeline" TargetMode="External"/><Relationship Id="rId1145" Type="http://schemas.openxmlformats.org/officeDocument/2006/relationships/hyperlink" Target="https://www.gem.wiki/Banatski_Dvor-Pancevo-Belgrade_Gas_Pipeline" TargetMode="External"/><Relationship Id="rId1352" Type="http://schemas.openxmlformats.org/officeDocument/2006/relationships/hyperlink" Target="https://gem.wiki/Brest&#8211;Donges_Gas_Pipeline" TargetMode="External"/><Relationship Id="rId1797" Type="http://schemas.openxmlformats.org/officeDocument/2006/relationships/hyperlink" Target="https://www.gem.wiki/Clark_Gas_Pipeline" TargetMode="External"/><Relationship Id="rId2403" Type="http://schemas.openxmlformats.org/officeDocument/2006/relationships/hyperlink" Target="https://www.gem.wiki/Zandvliet-Wuustwezel_Gas_Pipeline" TargetMode="External"/><Relationship Id="rId2848" Type="http://schemas.openxmlformats.org/officeDocument/2006/relationships/hyperlink" Target="https://www.gem.wiki/Anhui_Gas_Pipeline_Network" TargetMode="External"/><Relationship Id="rId89" Type="http://schemas.openxmlformats.org/officeDocument/2006/relationships/hyperlink" Target="https://www.gem.wiki/Pacific_Connector_Gas_Pipeline" TargetMode="External"/><Relationship Id="rId1005" Type="http://schemas.openxmlformats.org/officeDocument/2006/relationships/hyperlink" Target="https://www.gem.wiki/Dahej-OPAL_Gas_Pipeline" TargetMode="External"/><Relationship Id="rId1212" Type="http://schemas.openxmlformats.org/officeDocument/2006/relationships/hyperlink" Target="https://www.gem.wiki/Gulf_South_Gas_Pipeline" TargetMode="External"/><Relationship Id="rId1657" Type="http://schemas.openxmlformats.org/officeDocument/2006/relationships/hyperlink" Target="https://www.gem.wiki/Columbia_Gas_Transmission" TargetMode="External"/><Relationship Id="rId1864" Type="http://schemas.openxmlformats.org/officeDocument/2006/relationships/hyperlink" Target="https://www.gem.wiki/Novosibirsk-Barnaul_Gas_Pipeline" TargetMode="External"/><Relationship Id="rId2610" Type="http://schemas.openxmlformats.org/officeDocument/2006/relationships/hyperlink" Target="https://www.gem.wiki/Donje_Mijoljac-Oroslavke_Gas_Pipeline" TargetMode="External"/><Relationship Id="rId2708" Type="http://schemas.openxmlformats.org/officeDocument/2006/relationships/hyperlink" Target="https://www.gem.wiki/DTE_Michigan_Lateral_Gas_Pipeline" TargetMode="External"/><Relationship Id="rId2915" Type="http://schemas.openxmlformats.org/officeDocument/2006/relationships/hyperlink" Target="https://www.gem.wiki/Sichuan%E2%80%93Shanghai_Parallel_Gas_Pipeline" TargetMode="External"/><Relationship Id="rId1517" Type="http://schemas.openxmlformats.org/officeDocument/2006/relationships/hyperlink" Target="https://gem.wiki/Recanati&#8211;Chieti_Gas_Pipeline" TargetMode="External"/><Relationship Id="rId1724" Type="http://schemas.openxmlformats.org/officeDocument/2006/relationships/hyperlink" Target="https://www.gem.wiki/Yokohama_Trunk_Line_2" TargetMode="External"/><Relationship Id="rId3177" Type="http://schemas.openxmlformats.org/officeDocument/2006/relationships/hyperlink" Target="https://www.gem.wiki/West-East_Gas_Pipeline_3" TargetMode="External"/><Relationship Id="rId16" Type="http://schemas.openxmlformats.org/officeDocument/2006/relationships/hyperlink" Target="https://www.gem.wiki/Bison_Gas_Pipeline" TargetMode="External"/><Relationship Id="rId1931" Type="http://schemas.openxmlformats.org/officeDocument/2006/relationships/hyperlink" Target="https://www.gem.wiki/Gustorzyn_Wron%C3%B3w_Pipeline" TargetMode="External"/><Relationship Id="rId3037" Type="http://schemas.openxmlformats.org/officeDocument/2006/relationships/hyperlink" Target="https://www.gem.wiki/Jiangxi_Natural_Gas_Pipeline_Network" TargetMode="External"/><Relationship Id="rId2193" Type="http://schemas.openxmlformats.org/officeDocument/2006/relationships/hyperlink" Target="https://www.gem.wiki/Hassi_R'Mel-Arzew_Gas_Pipeline" TargetMode="External"/><Relationship Id="rId2498" Type="http://schemas.openxmlformats.org/officeDocument/2006/relationships/hyperlink" Target="https://www.gem.wiki/Elk-Antelope-Caution_Bay_Gas_Pipeline" TargetMode="External"/><Relationship Id="rId3244" Type="http://schemas.openxmlformats.org/officeDocument/2006/relationships/hyperlink" Target="https://www.gem.wiki/Liaoning_Gas_Pipeline_Network" TargetMode="External"/><Relationship Id="rId165" Type="http://schemas.openxmlformats.org/officeDocument/2006/relationships/hyperlink" Target="https://www.gem.wiki/Permian_Katy_Pipeline" TargetMode="External"/><Relationship Id="rId372" Type="http://schemas.openxmlformats.org/officeDocument/2006/relationships/hyperlink" Target="https://www.gem.wiki/NETRA_Gas_Pipeline" TargetMode="External"/><Relationship Id="rId677" Type="http://schemas.openxmlformats.org/officeDocument/2006/relationships/hyperlink" Target="https://www.gem.wiki/Groningen-Rotterdam_Pipeline" TargetMode="External"/><Relationship Id="rId2053" Type="http://schemas.openxmlformats.org/officeDocument/2006/relationships/hyperlink" Target="https://www.gem.wiki/Galilee_Gas_Pipeline" TargetMode="External"/><Relationship Id="rId2260" Type="http://schemas.openxmlformats.org/officeDocument/2006/relationships/hyperlink" Target="https://www.gem.wiki/Amangeldy-KS5_Gas_Pipeline" TargetMode="External"/><Relationship Id="rId2358" Type="http://schemas.openxmlformats.org/officeDocument/2006/relationships/hyperlink" Target="https://www.gem.wiki/Mishraq_Cross_Road-Mousil_PWR_ST_Gas_Pipeline" TargetMode="External"/><Relationship Id="rId3104" Type="http://schemas.openxmlformats.org/officeDocument/2006/relationships/hyperlink" Target="https://www.gem.wiki/Sebei-Xining-Lanzhou_Gas_Pipeline" TargetMode="External"/><Relationship Id="rId3311" Type="http://schemas.openxmlformats.org/officeDocument/2006/relationships/hyperlink" Target="https://www.hlj.gov.cn/n200/2020/1213/c35-11012253.html" TargetMode="External"/><Relationship Id="rId232" Type="http://schemas.openxmlformats.org/officeDocument/2006/relationships/hyperlink" Target="https://www.gem.wiki/Palmillas-Toluca_Gas_Pipeline" TargetMode="External"/><Relationship Id="rId884" Type="http://schemas.openxmlformats.org/officeDocument/2006/relationships/hyperlink" Target="https://www.gem.wiki/Gasoducto_Santa_Cruz_Sur" TargetMode="External"/><Relationship Id="rId2120" Type="http://schemas.openxmlformats.org/officeDocument/2006/relationships/hyperlink" Target="https://www.gem.wiki/Beetaloo_Lateral_Pipeline" TargetMode="External"/><Relationship Id="rId2565" Type="http://schemas.openxmlformats.org/officeDocument/2006/relationships/hyperlink" Target="https://www.gem.wiki/Maenza-Gallese_Gas_Pipeline" TargetMode="External"/><Relationship Id="rId2772" Type="http://schemas.openxmlformats.org/officeDocument/2006/relationships/hyperlink" Target="https://www.gem.wiki/Hebei-Nanjing_Connecting_Pipeline" TargetMode="External"/><Relationship Id="rId537" Type="http://schemas.openxmlformats.org/officeDocument/2006/relationships/hyperlink" Target="https://www.gem.wiki/Central_Kalimantan-South_Kalimantan_Gas_Pipeline" TargetMode="External"/><Relationship Id="rId744" Type="http://schemas.openxmlformats.org/officeDocument/2006/relationships/hyperlink" Target="https://www.gem.wiki/Baiji-Al_Mushraq_gas_pipeline" TargetMode="External"/><Relationship Id="rId951" Type="http://schemas.openxmlformats.org/officeDocument/2006/relationships/hyperlink" Target="https://www.gem.wiki/Mie-Shiga_Gas_Pipeline" TargetMode="External"/><Relationship Id="rId1167" Type="http://schemas.openxmlformats.org/officeDocument/2006/relationships/hyperlink" Target="https://www.gem.wiki/Alia%C4%9Fa_Pig-%C3%9C%C3%A7p%C4%B1nar_Pig_Gas_Pipeline" TargetMode="External"/><Relationship Id="rId1374" Type="http://schemas.openxmlformats.org/officeDocument/2006/relationships/hyperlink" Target="https://gem.wiki/Clonmel&#8211;Waterford_Gas_Pipeline" TargetMode="External"/><Relationship Id="rId1581" Type="http://schemas.openxmlformats.org/officeDocument/2006/relationships/hyperlink" Target="https://gem.wiki/Zuideropgaande&#8211;Vlieghuis_Gas_Pipeline" TargetMode="External"/><Relationship Id="rId1679" Type="http://schemas.openxmlformats.org/officeDocument/2006/relationships/hyperlink" Target="https://www.gem.wiki/Carrasco-Yapacan%C3%AD_Gas_Pipeline" TargetMode="External"/><Relationship Id="rId2218" Type="http://schemas.openxmlformats.org/officeDocument/2006/relationships/hyperlink" Target="https://www.gem.wiki/Sheberghan-Mazar-i-Sharif_Gas_Pipeline" TargetMode="External"/><Relationship Id="rId2425" Type="http://schemas.openxmlformats.org/officeDocument/2006/relationships/hyperlink" Target="https://www.gem.wiki/Shahdara-Gujranwala-Rahwali_Gas_Pipeline" TargetMode="External"/><Relationship Id="rId2632" Type="http://schemas.openxmlformats.org/officeDocument/2006/relationships/hyperlink" Target="https://www.gem.wiki/Romanian_National_Transmission_System" TargetMode="External"/><Relationship Id="rId80" Type="http://schemas.openxmlformats.org/officeDocument/2006/relationships/hyperlink" Target="https://www.gem.wiki/NEXUS_Gas_Transmission_(NGT)_Pipeline" TargetMode="External"/><Relationship Id="rId604" Type="http://schemas.openxmlformats.org/officeDocument/2006/relationships/hyperlink" Target="https://www.gem.wiki/West_Natuna_Transportation_System_Gas_Pipeline" TargetMode="External"/><Relationship Id="rId811" Type="http://schemas.openxmlformats.org/officeDocument/2006/relationships/hyperlink" Target="https://www.gem.wiki/Waqr_Khuff-Haradh_gas_pipeline" TargetMode="External"/><Relationship Id="rId1027" Type="http://schemas.openxmlformats.org/officeDocument/2006/relationships/hyperlink" Target="https://www.gem.wiki/Los_Ramones-Cempoala_Gas_Pipeline" TargetMode="External"/><Relationship Id="rId1234" Type="http://schemas.openxmlformats.org/officeDocument/2006/relationships/hyperlink" Target="https://www.gem.wiki/Roadrunner_Pipeline" TargetMode="External"/><Relationship Id="rId1441" Type="http://schemas.openxmlformats.org/officeDocument/2006/relationships/hyperlink" Target="https://gem.wiki/Laneuvelotte&#8211;Morelmaison_Gas_Pipeline" TargetMode="External"/><Relationship Id="rId1886" Type="http://schemas.openxmlformats.org/officeDocument/2006/relationships/hyperlink" Target="https://www.gem.wiki/Yongan-Tongxiao_Gas_Pipeline" TargetMode="External"/><Relationship Id="rId2937" Type="http://schemas.openxmlformats.org/officeDocument/2006/relationships/hyperlink" Target="https://www.gem.wiki/Guangdong_East_Gas_Pipeline_Network" TargetMode="External"/><Relationship Id="rId909" Type="http://schemas.openxmlformats.org/officeDocument/2006/relationships/hyperlink" Target="https://www.gem.wiki/North_Montney_Mainline_Pipeline" TargetMode="External"/><Relationship Id="rId1301" Type="http://schemas.openxmlformats.org/officeDocument/2006/relationships/hyperlink" Target="https://www.gem.wiki/Transcontinental_Gas_Pipeline" TargetMode="External"/><Relationship Id="rId1539" Type="http://schemas.openxmlformats.org/officeDocument/2006/relationships/hyperlink" Target="https://gem.wiki/Spijk&#8211;Emden_Gas_Pipeline" TargetMode="External"/><Relationship Id="rId1746" Type="http://schemas.openxmlformats.org/officeDocument/2006/relationships/hyperlink" Target="https://www.gem.wiki/BC_Gas_Pipeline" TargetMode="External"/><Relationship Id="rId1953" Type="http://schemas.openxmlformats.org/officeDocument/2006/relationships/hyperlink" Target="https://www.gem.wiki/Tauern_Gas_Pipeline" TargetMode="External"/><Relationship Id="rId3199" Type="http://schemas.openxmlformats.org/officeDocument/2006/relationships/hyperlink" Target="https://www.gem.wiki/Guizhou_Gas_Pipeline_Network" TargetMode="External"/><Relationship Id="rId38" Type="http://schemas.openxmlformats.org/officeDocument/2006/relationships/hyperlink" Target="https://www.gem.wiki/East_Texas_Gas_Pipeline" TargetMode="External"/><Relationship Id="rId1606" Type="http://schemas.openxmlformats.org/officeDocument/2006/relationships/hyperlink" Target="https://www.gem.wiki/Carm%C3%B3polis-Pilar_Gas_Pipeline" TargetMode="External"/><Relationship Id="rId1813" Type="http://schemas.openxmlformats.org/officeDocument/2006/relationships/hyperlink" Target="https://www.gem.wiki/Yabog_Gas_Pipeline" TargetMode="External"/><Relationship Id="rId3059" Type="http://schemas.openxmlformats.org/officeDocument/2006/relationships/hyperlink" Target="https://www.gem.wiki/Henan_Gas_Pipeline_Network" TargetMode="External"/><Relationship Id="rId3266" Type="http://schemas.openxmlformats.org/officeDocument/2006/relationships/hyperlink" Target="https://www.gem.wiki/Western_Chongqing_Natural_Gas_Pipeline_Network" TargetMode="External"/><Relationship Id="rId187" Type="http://schemas.openxmlformats.org/officeDocument/2006/relationships/hyperlink" Target="https://www.gem.wiki/Atmos_Pipeline_Texas" TargetMode="External"/><Relationship Id="rId394" Type="http://schemas.openxmlformats.org/officeDocument/2006/relationships/hyperlink" Target="https://www.gem.wiki/White_Stream_Gas_Pipeline" TargetMode="External"/><Relationship Id="rId2075" Type="http://schemas.openxmlformats.org/officeDocument/2006/relationships/hyperlink" Target="https://www.gem.wiki/Ironbark_Project_Pipeline" TargetMode="External"/><Relationship Id="rId2282" Type="http://schemas.openxmlformats.org/officeDocument/2006/relationships/hyperlink" Target="https://www.gem.wiki/Mellitah-BU-Attifel_Gas_Pipeline" TargetMode="External"/><Relationship Id="rId3126" Type="http://schemas.openxmlformats.org/officeDocument/2006/relationships/hyperlink" Target="https://www.gem.wiki/Hunan_Gas_Pipeline_Network" TargetMode="External"/><Relationship Id="rId254" Type="http://schemas.openxmlformats.org/officeDocument/2006/relationships/hyperlink" Target="https://www.gem.wiki/Arab_Gas_Pipeline" TargetMode="External"/><Relationship Id="rId699" Type="http://schemas.openxmlformats.org/officeDocument/2006/relationships/hyperlink" Target="https://www.gem.wiki/San_Marco%E2%80%93Recanati_Pipeline" TargetMode="External"/><Relationship Id="rId1091" Type="http://schemas.openxmlformats.org/officeDocument/2006/relationships/hyperlink" Target="https://www.gem.wiki/Srednevilyuyskoye_Gas_Condensate_Field-Yakutsk_Gas_Pipeline" TargetMode="External"/><Relationship Id="rId2587" Type="http://schemas.openxmlformats.org/officeDocument/2006/relationships/hyperlink" Target="https://www.gem.wiki/Villesse-Gorizia_Gas_Pipeline" TargetMode="External"/><Relationship Id="rId2794" Type="http://schemas.openxmlformats.org/officeDocument/2006/relationships/hyperlink" Target="https://www.gem.wiki/Inner_Mongolia_Gas_Pipeline_Network" TargetMode="External"/><Relationship Id="rId3333" Type="http://schemas.openxmlformats.org/officeDocument/2006/relationships/hyperlink" Target="https://www.gem.wiki/Pinghu-Shanghai_Offshore_Gas_Pipeline" TargetMode="External"/><Relationship Id="rId114" Type="http://schemas.openxmlformats.org/officeDocument/2006/relationships/hyperlink" Target="https://www.gem.wiki/Texas_Eastern_Transmission_(TETCO)_Gas_Pipeline" TargetMode="External"/><Relationship Id="rId461" Type="http://schemas.openxmlformats.org/officeDocument/2006/relationships/hyperlink" Target="https://www.gem.wiki/Ashuganj-Bakhrabad_2_Gas_Pipeline" TargetMode="External"/><Relationship Id="rId559" Type="http://schemas.openxmlformats.org/officeDocument/2006/relationships/hyperlink" Target="https://www.gem.wiki/South_Sumatra_West_Java_Gas_Pipeline" TargetMode="External"/><Relationship Id="rId766" Type="http://schemas.openxmlformats.org/officeDocument/2006/relationships/hyperlink" Target="https://www.gem.wiki/Attahaddy-km-91.5_gas_pipeline" TargetMode="External"/><Relationship Id="rId1189" Type="http://schemas.openxmlformats.org/officeDocument/2006/relationships/hyperlink" Target="https://www.gem.wiki/Creole_Trail_Pipeline" TargetMode="External"/><Relationship Id="rId1396" Type="http://schemas.openxmlformats.org/officeDocument/2006/relationships/hyperlink" Target="https://gem.wiki/Wronow&#8211;Husow_Gas_Pipeline" TargetMode="External"/><Relationship Id="rId2142" Type="http://schemas.openxmlformats.org/officeDocument/2006/relationships/hyperlink" Target="https://www.gem.wiki/Braemer_2_Gas_Pipeline" TargetMode="External"/><Relationship Id="rId2447" Type="http://schemas.openxmlformats.org/officeDocument/2006/relationships/hyperlink" Target="https://www.gem.wiki/Dandot-Gali_Jagir-Wah_Gas_Pipeline_I" TargetMode="External"/><Relationship Id="rId321" Type="http://schemas.openxmlformats.org/officeDocument/2006/relationships/hyperlink" Target="https://www.gem.wiki/WH-3-Ras_Laffan_gas_pipeline" TargetMode="External"/><Relationship Id="rId419" Type="http://schemas.openxmlformats.org/officeDocument/2006/relationships/hyperlink" Target="https://www.gem.wiki/Soyuz_Gas_Pipeline" TargetMode="External"/><Relationship Id="rId626" Type="http://schemas.openxmlformats.org/officeDocument/2006/relationships/hyperlink" Target="https://www.gem.wiki/Susono_Trunk_Line" TargetMode="External"/><Relationship Id="rId973" Type="http://schemas.openxmlformats.org/officeDocument/2006/relationships/hyperlink" Target="https://www.gem.wiki/Shin_Oumi_Gas_Pipeline" TargetMode="External"/><Relationship Id="rId1049" Type="http://schemas.openxmlformats.org/officeDocument/2006/relationships/hyperlink" Target="https://www.gem.wiki/Lw%C3%B3wek-Odalon%C3%B3w_Gas_Pipeline" TargetMode="External"/><Relationship Id="rId1256" Type="http://schemas.openxmlformats.org/officeDocument/2006/relationships/hyperlink" Target="https://www.gem.wiki/Rover_Pipeline" TargetMode="External"/><Relationship Id="rId2002" Type="http://schemas.openxmlformats.org/officeDocument/2006/relationships/hyperlink" Target="https://www.gem.wiki/Grane_Gas_Pipeline" TargetMode="External"/><Relationship Id="rId2307" Type="http://schemas.openxmlformats.org/officeDocument/2006/relationships/hyperlink" Target="https://www.gem.wiki/Sindh_University_to_FJFC_Offtake_Loopline" TargetMode="External"/><Relationship Id="rId2654" Type="http://schemas.openxmlformats.org/officeDocument/2006/relationships/hyperlink" Target="https://www.gem.wiki/Horgos-Gospodinci_Gas_Pipeline" TargetMode="External"/><Relationship Id="rId2861" Type="http://schemas.openxmlformats.org/officeDocument/2006/relationships/hyperlink" Target="https://www.gem.wiki/Shandong_Gas_Pipeline_Network_East_trunk" TargetMode="External"/><Relationship Id="rId2959" Type="http://schemas.openxmlformats.org/officeDocument/2006/relationships/hyperlink" Target="https://www.gem.wiki/Shenzhen_LNG_Peak-shaving_Gas_Pipeline" TargetMode="External"/><Relationship Id="rId833" Type="http://schemas.openxmlformats.org/officeDocument/2006/relationships/hyperlink" Target="https://www.gem.wiki/BC_Gas_Pipeline" TargetMode="External"/><Relationship Id="rId1116" Type="http://schemas.openxmlformats.org/officeDocument/2006/relationships/hyperlink" Target="https://www.gem.wiki/Pokhvistnevo-Samara_Gas_Pipeline" TargetMode="External"/><Relationship Id="rId1463" Type="http://schemas.openxmlformats.org/officeDocument/2006/relationships/hyperlink" Target="https://gem.wiki/Mantsala&#8211;Hameenlinna_Gas_Pipeline" TargetMode="External"/><Relationship Id="rId1670" Type="http://schemas.openxmlformats.org/officeDocument/2006/relationships/hyperlink" Target="https://www.gem.wiki/Vector_Gas_Pipeline" TargetMode="External"/><Relationship Id="rId1768" Type="http://schemas.openxmlformats.org/officeDocument/2006/relationships/hyperlink" Target="https://www.gem.wiki/Kukrahati-Itinda_Gas_Pipeline" TargetMode="External"/><Relationship Id="rId2514" Type="http://schemas.openxmlformats.org/officeDocument/2006/relationships/hyperlink" Target="https://www.gem.wiki/Rjindik-Ommen_Gas_Pipeline" TargetMode="External"/><Relationship Id="rId2721" Type="http://schemas.openxmlformats.org/officeDocument/2006/relationships/hyperlink" Target="https://www.gem.wiki/Rozwad%C3%B3w-Strachocina_Gas_Pipeline" TargetMode="External"/><Relationship Id="rId2819" Type="http://schemas.openxmlformats.org/officeDocument/2006/relationships/hyperlink" Target="https://www.gem.wiki/Tianjin_Nangang_LNG_Transport_pipeline_(Nangang-Beijing)" TargetMode="External"/><Relationship Id="rId900" Type="http://schemas.openxmlformats.org/officeDocument/2006/relationships/hyperlink" Target="https://www.gem.wiki/Licka_Jesenica-Trzac-Bosanska_Krupa_gas_pipeline" TargetMode="External"/><Relationship Id="rId1323" Type="http://schemas.openxmlformats.org/officeDocument/2006/relationships/hyperlink" Target="https://gem.wiki/Aranda&#8211;Soria_Gas_Pipeline" TargetMode="External"/><Relationship Id="rId1530" Type="http://schemas.openxmlformats.org/officeDocument/2006/relationships/hyperlink" Target="https://gem.wiki/Oricola&#8211;Ciciliano_Gas_Pipeline" TargetMode="External"/><Relationship Id="rId1628" Type="http://schemas.openxmlformats.org/officeDocument/2006/relationships/hyperlink" Target="https://www.gem.wiki/Anaco-Puerto_Ordaz_Gas_Pipeline" TargetMode="External"/><Relationship Id="rId1975" Type="http://schemas.openxmlformats.org/officeDocument/2006/relationships/hyperlink" Target="https://www.gem.wiki/Darling_Downs_Pipeline" TargetMode="External"/><Relationship Id="rId3190" Type="http://schemas.openxmlformats.org/officeDocument/2006/relationships/hyperlink" Target="https://www.gem.wiki/West-East_Gas_Pipeline_2" TargetMode="External"/><Relationship Id="rId1835" Type="http://schemas.openxmlformats.org/officeDocument/2006/relationships/hyperlink" Target="https://egy-map.com/project/%D8%A7%D9%84%D9%85%D8%B1%D8%AD%D9%84%D8%A9-%D8%A7%D9%84%D8%A3%D9%88%D9%84%D9%8A-%D9%88%D8%A7%D9%84%D8%AB%D8%A7%D9%86%D9%8A%D8%A9-%D9%85%D9%86-%D8%AE%D8%B7-%D8%BA%D8%A7%D8%B2-%D8%A7%D9%84%D9%86%D9%88%D8%A8%D8%A7%D8%B1%D9%8A%D8%A9---%D9%85%D9%8A%D8%AA-%D9%86%D9%85%D8%A7" TargetMode="External"/><Relationship Id="rId3050" Type="http://schemas.openxmlformats.org/officeDocument/2006/relationships/hyperlink" Target="https://www.gem.wiki/Qinhuangdao-Fengnan_Gas_Pipeline" TargetMode="External"/><Relationship Id="rId3288" Type="http://schemas.openxmlformats.org/officeDocument/2006/relationships/hyperlink" Target="https://www.gem.wiki/Shaanxi_Gas_Pipeline_Network" TargetMode="External"/><Relationship Id="rId1902" Type="http://schemas.openxmlformats.org/officeDocument/2006/relationships/hyperlink" Target="https://www.gem.wiki/Benchamas_Field_Gas_Pipeline" TargetMode="External"/><Relationship Id="rId2097" Type="http://schemas.openxmlformats.org/officeDocument/2006/relationships/hyperlink" Target="https://www.gem.wiki/Narrabri_to_Wellington_Pipeline" TargetMode="External"/><Relationship Id="rId3148" Type="http://schemas.openxmlformats.org/officeDocument/2006/relationships/hyperlink" Target="https://www.gem.wiki/Hunan_Gas_Pipeline_Network" TargetMode="External"/><Relationship Id="rId276" Type="http://schemas.openxmlformats.org/officeDocument/2006/relationships/hyperlink" Target="https://www.gem.wiki/Qatar-Turkey_Gas_Pipeline" TargetMode="External"/><Relationship Id="rId483" Type="http://schemas.openxmlformats.org/officeDocument/2006/relationships/hyperlink" Target="https://www.gem.wiki/Habigonj-Ashuganj_Gas_Pipeline" TargetMode="External"/><Relationship Id="rId690" Type="http://schemas.openxmlformats.org/officeDocument/2006/relationships/hyperlink" Target="https://www.gem.wiki/Campo_Maior%E2%80%93Leiria_Pipeline" TargetMode="External"/><Relationship Id="rId2164" Type="http://schemas.openxmlformats.org/officeDocument/2006/relationships/hyperlink" Target="https://www.gem.wiki/Valley_Crossing_Pipeline" TargetMode="External"/><Relationship Id="rId2371" Type="http://schemas.openxmlformats.org/officeDocument/2006/relationships/hyperlink" Target="https://www.gem.wiki/Vologda-Cherepovets_Gas_Pipeline" TargetMode="External"/><Relationship Id="rId3008" Type="http://schemas.openxmlformats.org/officeDocument/2006/relationships/hyperlink" Target="https://www.gem.wiki/Jiangsu_Coastal_Gas_Pipeline" TargetMode="External"/><Relationship Id="rId3215" Type="http://schemas.openxmlformats.org/officeDocument/2006/relationships/hyperlink" Target="https://www.gem.wiki/Guizhou_Gas_Pipeline_Network" TargetMode="External"/><Relationship Id="rId136" Type="http://schemas.openxmlformats.org/officeDocument/2006/relationships/hyperlink" Target="https://www.gem.wiki/Midship_Pipeline" TargetMode="External"/><Relationship Id="rId343" Type="http://schemas.openxmlformats.org/officeDocument/2006/relationships/hyperlink" Target="https://www.gem.wiki/Arad%E2%80%93Szeged_Gas_Pipeline" TargetMode="External"/><Relationship Id="rId550" Type="http://schemas.openxmlformats.org/officeDocument/2006/relationships/hyperlink" Target="https://www.gem.wiki/Kalija_II_Gas_Pipeline" TargetMode="External"/><Relationship Id="rId788" Type="http://schemas.openxmlformats.org/officeDocument/2006/relationships/hyperlink" Target="https://www.gem.wiki/Bonga-Riser_gas_pipeline" TargetMode="External"/><Relationship Id="rId995" Type="http://schemas.openxmlformats.org/officeDocument/2006/relationships/hyperlink" Target="https://www.gem.wiki/Alen%E2%80%93Punta_Europa_Gas_Pipeline" TargetMode="External"/><Relationship Id="rId1180" Type="http://schemas.openxmlformats.org/officeDocument/2006/relationships/hyperlink" Target="https://www.gem.wiki/Texas_Eastern_Transmission_(TETCO)_Gas_Pipeline" TargetMode="External"/><Relationship Id="rId2024" Type="http://schemas.openxmlformats.org/officeDocument/2006/relationships/hyperlink" Target="https://www.gem.wiki/ES-Mucuri_A_Gas_Pipeline" TargetMode="External"/><Relationship Id="rId2231" Type="http://schemas.openxmlformats.org/officeDocument/2006/relationships/hyperlink" Target="https://egyptoil-gas.com/wp-content/uploads/2020/03/The-Western-Desert-Egypt%E2%80%99s-Giant-Petroleum-Reservoir-.pdf" TargetMode="External"/><Relationship Id="rId2469" Type="http://schemas.openxmlformats.org/officeDocument/2006/relationships/hyperlink" Target="https://www.gem.wiki/Los_Ramones_Gas_Pipeline" TargetMode="External"/><Relationship Id="rId2676" Type="http://schemas.openxmlformats.org/officeDocument/2006/relationships/hyperlink" Target="https://www.gem.wiki/Serbian-Hungarian_Gas_Pipeline" TargetMode="External"/><Relationship Id="rId2883" Type="http://schemas.openxmlformats.org/officeDocument/2006/relationships/hyperlink" Target="https://www.gem.wiki/Shanxi_Natural_Gas_Pipeline_Network" TargetMode="External"/><Relationship Id="rId203" Type="http://schemas.openxmlformats.org/officeDocument/2006/relationships/hyperlink" Target="https://www.gem.wiki/Waha-San_Elizario_Gas_Pipeline" TargetMode="External"/><Relationship Id="rId648" Type="http://schemas.openxmlformats.org/officeDocument/2006/relationships/hyperlink" Target="https://www.gem.wiki/Harima_West_Coastal_Line" TargetMode="External"/><Relationship Id="rId855" Type="http://schemas.openxmlformats.org/officeDocument/2006/relationships/hyperlink" Target="https://www.gem.wiki/Trans_Europa_Naturgas_Pipeline" TargetMode="External"/><Relationship Id="rId1040" Type="http://schemas.openxmlformats.org/officeDocument/2006/relationships/hyperlink" Target="https://www.gem.wiki/Matola_Gas_Company_Pipeline" TargetMode="External"/><Relationship Id="rId1278" Type="http://schemas.openxmlformats.org/officeDocument/2006/relationships/hyperlink" Target="https://www.gem.wiki/Cordillerano-Patag%C3%B3nico_Gas_Pipeline" TargetMode="External"/><Relationship Id="rId1485" Type="http://schemas.openxmlformats.org/officeDocument/2006/relationships/hyperlink" Target="https://www.gem.wiki/Morelmaison%E2%80%93Voisines_Gas_Pipeline" TargetMode="External"/><Relationship Id="rId1692" Type="http://schemas.openxmlformats.org/officeDocument/2006/relationships/hyperlink" Target="https://www.gem.wiki/Tasmanian_Gas_Pipeline" TargetMode="External"/><Relationship Id="rId2329" Type="http://schemas.openxmlformats.org/officeDocument/2006/relationships/hyperlink" Target="https://www.gem.wiki/Florida_Gas_Transmission_Pipeline" TargetMode="External"/><Relationship Id="rId2536" Type="http://schemas.openxmlformats.org/officeDocument/2006/relationships/hyperlink" Target="https://www.gem.wiki/Kalle-Werne_Gas_Pipeline" TargetMode="External"/><Relationship Id="rId2743" Type="http://schemas.openxmlformats.org/officeDocument/2006/relationships/hyperlink" Target="https://www.gem.wiki/Sino-Myanmar_Gas_Pipeline" TargetMode="External"/><Relationship Id="rId410" Type="http://schemas.openxmlformats.org/officeDocument/2006/relationships/hyperlink" Target="https://www.gem.wiki/Mozdok-Makhachkala-Kazi_Magomed_Gas_Pipeline" TargetMode="External"/><Relationship Id="rId508" Type="http://schemas.openxmlformats.org/officeDocument/2006/relationships/hyperlink" Target="https://www.gem.wiki/Route_5a_Gas_Pipeline" TargetMode="External"/><Relationship Id="rId715" Type="http://schemas.openxmlformats.org/officeDocument/2006/relationships/hyperlink" Target="https://www.gem.wiki/Spain-Portugal_Interconnector_Gas_Pipeline" TargetMode="External"/><Relationship Id="rId922" Type="http://schemas.openxmlformats.org/officeDocument/2006/relationships/hyperlink" Target="https://www.gem.wiki/Himeji_Gas_Pipeline" TargetMode="External"/><Relationship Id="rId1138" Type="http://schemas.openxmlformats.org/officeDocument/2006/relationships/hyperlink" Target="https://www.gem.wiki/Rover_Pipeline" TargetMode="External"/><Relationship Id="rId1345" Type="http://schemas.openxmlformats.org/officeDocument/2006/relationships/hyperlink" Target="https://gem.wiki/Biriatou&#8211;Bayonne_Gas_Pipeline" TargetMode="External"/><Relationship Id="rId1552" Type="http://schemas.openxmlformats.org/officeDocument/2006/relationships/hyperlink" Target="https://gem.wiki/Toulouse&#8211;Barbaira_Gas_Pipeline" TargetMode="External"/><Relationship Id="rId1997" Type="http://schemas.openxmlformats.org/officeDocument/2006/relationships/hyperlink" Target="https://www.gem.wiki/Eastern_Goldfields_Pipeline_System" TargetMode="External"/><Relationship Id="rId2603" Type="http://schemas.openxmlformats.org/officeDocument/2006/relationships/hyperlink" Target="https://www.gem.wiki/Mazara_del_Vallo-Menfi_Gas_Pipeline" TargetMode="External"/><Relationship Id="rId2950" Type="http://schemas.openxmlformats.org/officeDocument/2006/relationships/hyperlink" Target="https://www.gem.wiki/Guangdong_Gas_Pipeline_Network_Phase_I" TargetMode="External"/><Relationship Id="rId1205" Type="http://schemas.openxmlformats.org/officeDocument/2006/relationships/hyperlink" Target="https://www.gem.wiki/Leidy_South_Pipeline" TargetMode="External"/><Relationship Id="rId1857" Type="http://schemas.openxmlformats.org/officeDocument/2006/relationships/hyperlink" Target="https://www.gem.wiki/Srednevilyuyskoye_Gas_Condensate_Field-Yakutsk_Gas_Pipeline" TargetMode="External"/><Relationship Id="rId2810" Type="http://schemas.openxmlformats.org/officeDocument/2006/relationships/hyperlink" Target="https://www.gem.wiki/Jilin_Gas_Pipeline_Network" TargetMode="External"/><Relationship Id="rId2908" Type="http://schemas.openxmlformats.org/officeDocument/2006/relationships/hyperlink" Target="https://www.gem.wiki/Sichuan%E2%80%93Shanghai_Parallel_Gas_Pipeline" TargetMode="External"/><Relationship Id="rId51" Type="http://schemas.openxmlformats.org/officeDocument/2006/relationships/hyperlink" Target="https://www.gem.wiki/Guardian_Gas_Pipeline" TargetMode="External"/><Relationship Id="rId1412" Type="http://schemas.openxmlformats.org/officeDocument/2006/relationships/hyperlink" Target="https://www.gem.wiki/Gormansten%E2%80%93Virginia_Gas_Pipeline" TargetMode="External"/><Relationship Id="rId1717" Type="http://schemas.openxmlformats.org/officeDocument/2006/relationships/hyperlink" Target="https://www.gem.wiki/Gasoducto_N%C3%A9stor_Kirchner" TargetMode="External"/><Relationship Id="rId1924" Type="http://schemas.openxmlformats.org/officeDocument/2006/relationships/hyperlink" Target="https://www.gem.wiki/Zadvarje%E2%80%93Brela_Gas_Pipeline" TargetMode="External"/><Relationship Id="rId3072" Type="http://schemas.openxmlformats.org/officeDocument/2006/relationships/hyperlink" Target="https://www.gem.wiki/Henan_Gas_Pipeline_Network" TargetMode="External"/><Relationship Id="rId298" Type="http://schemas.openxmlformats.org/officeDocument/2006/relationships/hyperlink" Target="https://www.gem.wiki/South_Valley_Gas_Pipeline" TargetMode="External"/><Relationship Id="rId158" Type="http://schemas.openxmlformats.org/officeDocument/2006/relationships/hyperlink" Target="https://www.gem.wiki/Mountaineer_Gas_Pipeline" TargetMode="External"/><Relationship Id="rId2186" Type="http://schemas.openxmlformats.org/officeDocument/2006/relationships/hyperlink" Target="https://www.offshore-technology.com/marketdata/rhourd-ennous-hassi-r-mel-i-gas-pipeline-algeria/https:/sonatrach.com/transport-par-canalisations" TargetMode="External"/><Relationship Id="rId2393" Type="http://schemas.openxmlformats.org/officeDocument/2006/relationships/hyperlink" Target="https://www.gem.wiki/Dhodak-Kot_Addu_Gas_Pipeline" TargetMode="External"/><Relationship Id="rId2698" Type="http://schemas.openxmlformats.org/officeDocument/2006/relationships/hyperlink" Target="https://www.gem.wiki/Imatra%E2%80%93Mantsala_Gas_Pipeline" TargetMode="External"/><Relationship Id="rId3237" Type="http://schemas.openxmlformats.org/officeDocument/2006/relationships/hyperlink" Target="https://www.gem.wiki/Liaoning_Gas_Pipeline_Network" TargetMode="External"/><Relationship Id="rId365" Type="http://schemas.openxmlformats.org/officeDocument/2006/relationships/hyperlink" Target="https://www.gem.wiki/JAGAL_Gas_Pipeline" TargetMode="External"/><Relationship Id="rId572" Type="http://schemas.openxmlformats.org/officeDocument/2006/relationships/hyperlink" Target="https://www.gem.wiki/Shebelinka-Dikanka-Kiev_Gas_Pipeline" TargetMode="External"/><Relationship Id="rId2046" Type="http://schemas.openxmlformats.org/officeDocument/2006/relationships/hyperlink" Target="https://www.gem.wiki/Mexico-Northern_Central_America_Gas_Pipeline" TargetMode="External"/><Relationship Id="rId2253" Type="http://schemas.openxmlformats.org/officeDocument/2006/relationships/hyperlink" Target="https://www.gem.wiki/Kartaly-Rudny-Kostanai_Gas_Pipeline" TargetMode="External"/><Relationship Id="rId2460" Type="http://schemas.openxmlformats.org/officeDocument/2006/relationships/hyperlink" Target="https://www.gem.wiki/Mian_Channu-Hasilpur_Gas_Pipeline" TargetMode="External"/><Relationship Id="rId3304" Type="http://schemas.openxmlformats.org/officeDocument/2006/relationships/hyperlink" Target="https://www.gem.wiki/Heilongjiang_Natural_Gas_Pipeline_Network" TargetMode="External"/><Relationship Id="rId225" Type="http://schemas.openxmlformats.org/officeDocument/2006/relationships/hyperlink" Target="https://www.gem.wiki/Gasoducto_Liza" TargetMode="External"/><Relationship Id="rId432" Type="http://schemas.openxmlformats.org/officeDocument/2006/relationships/hyperlink" Target="https://www.gem.wiki/Kyiv_Western_Border_Pipeline" TargetMode="External"/><Relationship Id="rId877" Type="http://schemas.openxmlformats.org/officeDocument/2006/relationships/hyperlink" Target="https://www.gem.wiki/Gasoducto_de_la_Costa_Gas_Pipeline" TargetMode="External"/><Relationship Id="rId1062" Type="http://schemas.openxmlformats.org/officeDocument/2006/relationships/hyperlink" Target="https://www.gem.wiki/Bovanenkovo-Ukhta_3_Gas_Pipeline" TargetMode="External"/><Relationship Id="rId2113" Type="http://schemas.openxmlformats.org/officeDocument/2006/relationships/hyperlink" Target="https://www.gem.wiki/Nova_Gas_Transmission_(NGTL)_Pipeline" TargetMode="External"/><Relationship Id="rId2320" Type="http://schemas.openxmlformats.org/officeDocument/2006/relationships/hyperlink" Target="https://www.gem.wiki/Florida_Gas_Transmission_Pipeline" TargetMode="External"/><Relationship Id="rId2558" Type="http://schemas.openxmlformats.org/officeDocument/2006/relationships/hyperlink" Target="https://www.gem.wiki/Krasny_Most-Alaverdi_Gas_Pipeline" TargetMode="External"/><Relationship Id="rId2765" Type="http://schemas.openxmlformats.org/officeDocument/2006/relationships/hyperlink" Target="https://www.gem.wiki/Yunnan_Gas_Pipeline_Network" TargetMode="External"/><Relationship Id="rId2972" Type="http://schemas.openxmlformats.org/officeDocument/2006/relationships/hyperlink" Target="https://www.gem.wiki/Guangxi_Gas_Pipeline_Network" TargetMode="External"/><Relationship Id="rId737" Type="http://schemas.openxmlformats.org/officeDocument/2006/relationships/hyperlink" Target="https://sonatrach.com/wp-content/uploads/2022/01/DESCRIPTION-DU-RESEAU-DE-TRANSPORT-PAR-CANALISATION-DES-HYDROCARBURES-TARIF-DE-TRANSPORT-ANNEE-2022.pdf" TargetMode="External"/><Relationship Id="rId944" Type="http://schemas.openxmlformats.org/officeDocument/2006/relationships/hyperlink" Target="https://www.gem.wiki/Kofu_Gas_Pipeline" TargetMode="External"/><Relationship Id="rId1367" Type="http://schemas.openxmlformats.org/officeDocument/2006/relationships/hyperlink" Target="https://gem.wiki/Chemery&#8211;Nozay_Gas_Pipeline" TargetMode="External"/><Relationship Id="rId1574" Type="http://schemas.openxmlformats.org/officeDocument/2006/relationships/hyperlink" Target="https://gem.wiki/Wloclawek&#8211;Gdynia_Gas_Pipeline" TargetMode="External"/><Relationship Id="rId1781" Type="http://schemas.openxmlformats.org/officeDocument/2006/relationships/hyperlink" Target="https://www.gem.wiki/Yetagun_Gas_Pipeline" TargetMode="External"/><Relationship Id="rId2418" Type="http://schemas.openxmlformats.org/officeDocument/2006/relationships/hyperlink" Target="https://www.gem.wiki/Smolenskaya_GRES-Zharkovskii_Gas_Pipeline" TargetMode="External"/><Relationship Id="rId2625" Type="http://schemas.openxmlformats.org/officeDocument/2006/relationships/hyperlink" Target="https://www.gem.wiki/Zurich-Chur_Gas_Pipeline" TargetMode="External"/><Relationship Id="rId2832" Type="http://schemas.openxmlformats.org/officeDocument/2006/relationships/hyperlink" Target="https://www.gem.wiki/Anhui_Gas_Pipeline_Network" TargetMode="External"/><Relationship Id="rId73" Type="http://schemas.openxmlformats.org/officeDocument/2006/relationships/hyperlink" Target="https://www.gem.wiki/Mississippi_Canyon_Gas_Pipeline" TargetMode="External"/><Relationship Id="rId804" Type="http://schemas.openxmlformats.org/officeDocument/2006/relationships/hyperlink" Target="https://www.gem.wiki/Haradh-3-Uthmaniya_gas_pipeline" TargetMode="External"/><Relationship Id="rId1227" Type="http://schemas.openxmlformats.org/officeDocument/2006/relationships/hyperlink" Target="https://www.gem.wiki/Northern_Natural_Gas_Pipeline" TargetMode="External"/><Relationship Id="rId1434" Type="http://schemas.openxmlformats.org/officeDocument/2006/relationships/hyperlink" Target="https://gem.wiki/Kardam&#8211;Negru_Voda_Gas_Pipeline" TargetMode="External"/><Relationship Id="rId1641" Type="http://schemas.openxmlformats.org/officeDocument/2006/relationships/hyperlink" Target="https://www.gem.wiki/Gasoducto_Nuevo_Burgos" TargetMode="External"/><Relationship Id="rId1879" Type="http://schemas.openxmlformats.org/officeDocument/2006/relationships/hyperlink" Target="https://www.gem.wiki/Los_Ramones_Gas_Pipeline" TargetMode="External"/><Relationship Id="rId3094" Type="http://schemas.openxmlformats.org/officeDocument/2006/relationships/hyperlink" Target="https://www.gem.wiki/Zhejiang_Natural_Gas_Pipeline_Network" TargetMode="External"/><Relationship Id="rId1501" Type="http://schemas.openxmlformats.org/officeDocument/2006/relationships/hyperlink" Target="https://gem.wiki/Parma&#8211;Pontremoli_Gas_Pipeline" TargetMode="External"/><Relationship Id="rId1739" Type="http://schemas.openxmlformats.org/officeDocument/2006/relationships/hyperlink" Target="https://www.gem.wiki/Puerto_Rico-Virgin_Islands_Pipeline" TargetMode="External"/><Relationship Id="rId1946" Type="http://schemas.openxmlformats.org/officeDocument/2006/relationships/hyperlink" Target="https://www.gem.wiki/Tantawan_Field_Gas_Pipeline" TargetMode="External"/><Relationship Id="rId1806" Type="http://schemas.openxmlformats.org/officeDocument/2006/relationships/hyperlink" Target="https://www.gem.wiki/Gasoducto_del_Pac%C3%ADfico" TargetMode="External"/><Relationship Id="rId3161" Type="http://schemas.openxmlformats.org/officeDocument/2006/relationships/hyperlink" Target="https://www.gem.wiki/Strait_West_Natural_Gas_Pipeline_Network_Phase_II" TargetMode="External"/><Relationship Id="rId3259" Type="http://schemas.openxmlformats.org/officeDocument/2006/relationships/hyperlink" Target="https://www.gem.wiki/Chongqing_Gas_Pipeline_Network" TargetMode="External"/><Relationship Id="rId387" Type="http://schemas.openxmlformats.org/officeDocument/2006/relationships/hyperlink" Target="https://www.gem.wiki/Trans-Mediterranean_Gas_Pipeline" TargetMode="External"/><Relationship Id="rId594" Type="http://schemas.openxmlformats.org/officeDocument/2006/relationships/hyperlink" Target="https://www.gem.wiki/Vojany-Uzhgorod_Gas_Pipeline" TargetMode="External"/><Relationship Id="rId2068" Type="http://schemas.openxmlformats.org/officeDocument/2006/relationships/hyperlink" Target="https://www.gem.wiki/Uruguaiana-Porto_Alegre_Gas_Pipeline" TargetMode="External"/><Relationship Id="rId2275" Type="http://schemas.openxmlformats.org/officeDocument/2006/relationships/hyperlink" Target="https://www.gem.wiki/Vargashi-Lebyazhye_Gas_Pipeline" TargetMode="External"/><Relationship Id="rId3021" Type="http://schemas.openxmlformats.org/officeDocument/2006/relationships/hyperlink" Target="https://www.gem.wiki/Jiangsu_Coastal_Gas_Pipeline" TargetMode="External"/><Relationship Id="rId3119" Type="http://schemas.openxmlformats.org/officeDocument/2006/relationships/hyperlink" Target="https://www.gem.wiki/Hunan_Gas_Pipeline_Network" TargetMode="External"/><Relationship Id="rId3326" Type="http://schemas.openxmlformats.org/officeDocument/2006/relationships/hyperlink" Target="https://www.gem.wiki/Heilongjiang_Natural_Gas_Pipeline_Network" TargetMode="External"/><Relationship Id="rId247" Type="http://schemas.openxmlformats.org/officeDocument/2006/relationships/hyperlink" Target="https://www.gem.wiki/Gasoducto_San_Isidro-Samalayuca" TargetMode="External"/><Relationship Id="rId899" Type="http://schemas.openxmlformats.org/officeDocument/2006/relationships/hyperlink" Target="https://www.gem.wiki/Gasoducto_Vega_Pl%C3%A9yade" TargetMode="External"/><Relationship Id="rId1084" Type="http://schemas.openxmlformats.org/officeDocument/2006/relationships/hyperlink" Target="https://www.gem.wiki/Gryazovets-Volkhov_Gas_Pipeline" TargetMode="External"/><Relationship Id="rId2482" Type="http://schemas.openxmlformats.org/officeDocument/2006/relationships/hyperlink" Target="https://www.gem.wiki/Etrez-Vernier_Gas_Pipeline" TargetMode="External"/><Relationship Id="rId2787" Type="http://schemas.openxmlformats.org/officeDocument/2006/relationships/hyperlink" Target="https://www.gem.wiki/Inner_Mongolia_Gas_Pipeline_Network" TargetMode="External"/><Relationship Id="rId107" Type="http://schemas.openxmlformats.org/officeDocument/2006/relationships/hyperlink" Target="https://www.gem.wiki/Stingray_Gas_Pipeline" TargetMode="External"/><Relationship Id="rId454" Type="http://schemas.openxmlformats.org/officeDocument/2006/relationships/hyperlink" Target="https://www.gem.wiki/Asgard_Transport_System" TargetMode="External"/><Relationship Id="rId661" Type="http://schemas.openxmlformats.org/officeDocument/2006/relationships/hyperlink" Target="https://www.gem.wiki/Alcazar_de_San_Juan-Yela_Gas_Pipeline" TargetMode="External"/><Relationship Id="rId759" Type="http://schemas.openxmlformats.org/officeDocument/2006/relationships/hyperlink" Target="https://www.gem.wiki/Faregh-Intesar_gas_pipeline" TargetMode="External"/><Relationship Id="rId966" Type="http://schemas.openxmlformats.org/officeDocument/2006/relationships/hyperlink" Target="https://www.gem.wiki/Srikail_to_A_B_Pipeline" TargetMode="External"/><Relationship Id="rId1291" Type="http://schemas.openxmlformats.org/officeDocument/2006/relationships/hyperlink" Target="https://www.gem.wiki/Gasoduto_Urucu-Manaus" TargetMode="External"/><Relationship Id="rId1389" Type="http://schemas.openxmlformats.org/officeDocument/2006/relationships/hyperlink" Target="https://gem.wiki/Entre_Deux_Guiers&#8211;Tersanne_Gas_Pipeline" TargetMode="External"/><Relationship Id="rId1596" Type="http://schemas.openxmlformats.org/officeDocument/2006/relationships/hyperlink" Target="https://www.gem.wiki/Colpa-Rio_Grande_Gas_Pipeline" TargetMode="External"/><Relationship Id="rId2135" Type="http://schemas.openxmlformats.org/officeDocument/2006/relationships/hyperlink" Target="https://www.gem.wiki/Moomba_Sydney_Pipeline_System" TargetMode="External"/><Relationship Id="rId2342" Type="http://schemas.openxmlformats.org/officeDocument/2006/relationships/hyperlink" Target="https://www.gem.wiki/Klechovce-Negotino_Gas_Pipeline" TargetMode="External"/><Relationship Id="rId2647" Type="http://schemas.openxmlformats.org/officeDocument/2006/relationships/hyperlink" Target="https://www.gem.wiki/High_Pressure_Pipeline_to_West_Macedonia" TargetMode="External"/><Relationship Id="rId2994" Type="http://schemas.openxmlformats.org/officeDocument/2006/relationships/hyperlink" Target="https://www.gem.wiki/Xinjiang_Coal-to-Gas_Pipeline_Project" TargetMode="External"/><Relationship Id="rId314" Type="http://schemas.openxmlformats.org/officeDocument/2006/relationships/hyperlink" Target="https://www.gem.wiki/Pearl_North_Field_Gas_Pipelines" TargetMode="External"/><Relationship Id="rId521" Type="http://schemas.openxmlformats.org/officeDocument/2006/relationships/hyperlink" Target="https://www.gem.wiki/Red_de_Gasoductos_Grenada-Trinidad_y_Tobago" TargetMode="External"/><Relationship Id="rId619" Type="http://schemas.openxmlformats.org/officeDocument/2006/relationships/hyperlink" Target="https://www.gem.wiki/Kitakyushu_Gas_Pipeline" TargetMode="External"/><Relationship Id="rId1151" Type="http://schemas.openxmlformats.org/officeDocument/2006/relationships/hyperlink" Target="https://gem.wiki/Phased_Gas_Pipeline_Network" TargetMode="External"/><Relationship Id="rId1249" Type="http://schemas.openxmlformats.org/officeDocument/2006/relationships/hyperlink" Target="https://www.gem.wiki/Tioga_to_Emerson_Gas_Pipeline" TargetMode="External"/><Relationship Id="rId2202" Type="http://schemas.openxmlformats.org/officeDocument/2006/relationships/hyperlink" Target="https://www.gem.wiki/Haridwar-Rishikesh-Dehradun_Gas_Pipeline" TargetMode="External"/><Relationship Id="rId2854" Type="http://schemas.openxmlformats.org/officeDocument/2006/relationships/hyperlink" Target="https://www.gem.wiki/Tai%27an-Qingdao-Weihai_Gas_Pipeline" TargetMode="External"/><Relationship Id="rId95" Type="http://schemas.openxmlformats.org/officeDocument/2006/relationships/hyperlink" Target="https://www.gem.wiki/Prince_Rupert_Gas_Transmission_Pipeline" TargetMode="External"/><Relationship Id="rId826" Type="http://schemas.openxmlformats.org/officeDocument/2006/relationships/hyperlink" Target="https://www.gem.wiki/Santa_B%C3%A1rbara-Aguasay_Gas_Pipeline" TargetMode="External"/><Relationship Id="rId1011" Type="http://schemas.openxmlformats.org/officeDocument/2006/relationships/hyperlink" Target="https://www.gem.wiki/Abadi_Gas_Pipeline" TargetMode="External"/><Relationship Id="rId1109" Type="http://schemas.openxmlformats.org/officeDocument/2006/relationships/hyperlink" Target="https://www.gem.wiki/Omsk-Novosibirsk-Kuzbass_Gas_Pipeline" TargetMode="External"/><Relationship Id="rId1456" Type="http://schemas.openxmlformats.org/officeDocument/2006/relationships/hyperlink" Target="https://www.gem.wiki/MEGAL%E2%80%93France_Gas_Pipeline" TargetMode="External"/><Relationship Id="rId1663" Type="http://schemas.openxmlformats.org/officeDocument/2006/relationships/hyperlink" Target="https://www.gem.wiki/Nova_Gas_Transmission_(NGTL)_Pipeline" TargetMode="External"/><Relationship Id="rId1870" Type="http://schemas.openxmlformats.org/officeDocument/2006/relationships/hyperlink" Target="https://www.gem.wiki/Kanbauk-Daw_Nyein-Kyaiklat_Gas_Pipeline" TargetMode="External"/><Relationship Id="rId1968" Type="http://schemas.openxmlformats.org/officeDocument/2006/relationships/hyperlink" Target="https://www.gem.wiki/Cheepie_to_Barcaldine_Gas_Pipeline" TargetMode="External"/><Relationship Id="rId2507" Type="http://schemas.openxmlformats.org/officeDocument/2006/relationships/hyperlink" Target="https://www.gem.wiki/Lengo_Field_Gas_Pipeline" TargetMode="External"/><Relationship Id="rId2714" Type="http://schemas.openxmlformats.org/officeDocument/2006/relationships/hyperlink" Target="https://www.gem.wiki/Crow_Creek_Pipeline" TargetMode="External"/><Relationship Id="rId2921" Type="http://schemas.openxmlformats.org/officeDocument/2006/relationships/hyperlink" Target="https://www.gem.wiki/Sichuan_%26_Chongqing_Grand_Loop_Line" TargetMode="External"/><Relationship Id="rId1316" Type="http://schemas.openxmlformats.org/officeDocument/2006/relationships/hyperlink" Target="https://gem.wiki/Altamura&#8211;Latiano_Gas_Pipeline" TargetMode="External"/><Relationship Id="rId1523" Type="http://schemas.openxmlformats.org/officeDocument/2006/relationships/hyperlink" Target="https://gem.wiki/Rimini&#8211;Sansepolcro_Gas_Pipeline" TargetMode="External"/><Relationship Id="rId1730" Type="http://schemas.openxmlformats.org/officeDocument/2006/relationships/hyperlink" Target="https://www.gem.wiki/Yokohama_Shonan_Gas_Pipeline" TargetMode="External"/><Relationship Id="rId3183" Type="http://schemas.openxmlformats.org/officeDocument/2006/relationships/hyperlink" Target="https://www.gem.wiki/West-East_Gas_Pipeline_2_Guangzhou-Nanning_Branch" TargetMode="External"/><Relationship Id="rId22" Type="http://schemas.openxmlformats.org/officeDocument/2006/relationships/hyperlink" Target="https://www.gem.wiki/Southeast_Supply_Header" TargetMode="External"/><Relationship Id="rId1828" Type="http://schemas.openxmlformats.org/officeDocument/2006/relationships/hyperlink" Target="https://www.gem.wiki/Ibadan%E2%80%93Jebba_Gas_Pipeline" TargetMode="External"/><Relationship Id="rId3043" Type="http://schemas.openxmlformats.org/officeDocument/2006/relationships/hyperlink" Target="https://www.gem.wiki/Jiangxi_Natural_Gas_Pipeline_Network" TargetMode="External"/><Relationship Id="rId3250" Type="http://schemas.openxmlformats.org/officeDocument/2006/relationships/hyperlink" Target="https://www.gem.wiki/Ordos-Anping-Cangzhou_Gas_Pipeline" TargetMode="External"/><Relationship Id="rId171" Type="http://schemas.openxmlformats.org/officeDocument/2006/relationships/hyperlink" Target="https://www.gem.wiki/Permian_Global_Access_Pipeline" TargetMode="External"/><Relationship Id="rId2297" Type="http://schemas.openxmlformats.org/officeDocument/2006/relationships/hyperlink" Target="https://www.gem.wiki/Augusta_Gas_Pipeline" TargetMode="External"/><Relationship Id="rId3348" Type="http://schemas.openxmlformats.org/officeDocument/2006/relationships/hyperlink" Target="https://www.gem.wiki/Tibet_Natural_Gas_Pipeline" TargetMode="External"/><Relationship Id="rId269" Type="http://schemas.openxmlformats.org/officeDocument/2006/relationships/hyperlink" Target="https://www.gem.wiki/Iran%E2%80%93Iraq%E2%80%93Syria_pipeline" TargetMode="External"/><Relationship Id="rId476" Type="http://schemas.openxmlformats.org/officeDocument/2006/relationships/hyperlink" Target="https://www.gem.wiki/Chittagong-Feni-Bakhrabad_Gas_Transmission_Parallel_Pipeline_Project" TargetMode="External"/><Relationship Id="rId683" Type="http://schemas.openxmlformats.org/officeDocument/2006/relationships/hyperlink" Target="https://www.gem.wiki/Murati-Silivri_Pipeline" TargetMode="External"/><Relationship Id="rId890" Type="http://schemas.openxmlformats.org/officeDocument/2006/relationships/hyperlink" Target="https://www.gem.wiki/Barossa_Export_Pipeline" TargetMode="External"/><Relationship Id="rId2157" Type="http://schemas.openxmlformats.org/officeDocument/2006/relationships/hyperlink" Target="https://www.gem.wiki/Roma_to_Brisbane_Pipeline" TargetMode="External"/><Relationship Id="rId2364" Type="http://schemas.openxmlformats.org/officeDocument/2006/relationships/hyperlink" Target="https://www.gem.wiki/Kandhkot_Gas_Pipeline" TargetMode="External"/><Relationship Id="rId2571" Type="http://schemas.openxmlformats.org/officeDocument/2006/relationships/hyperlink" Target="https://www.gem.wiki/Poggio_Renatico-Cortemaggiore_Gas_Pipeline" TargetMode="External"/><Relationship Id="rId3110" Type="http://schemas.openxmlformats.org/officeDocument/2006/relationships/hyperlink" Target="https://www.gem.wiki/Hubei_Gas_Pipeline_Network" TargetMode="External"/><Relationship Id="rId3208" Type="http://schemas.openxmlformats.org/officeDocument/2006/relationships/hyperlink" Target="https://www.gem.wiki/Guizhou_Gas_Pipeline_Network" TargetMode="External"/><Relationship Id="rId129" Type="http://schemas.openxmlformats.org/officeDocument/2006/relationships/hyperlink" Target="https://www.gem.wiki/Vector_Gas_Pipeline" TargetMode="External"/><Relationship Id="rId336" Type="http://schemas.openxmlformats.org/officeDocument/2006/relationships/hyperlink" Target="https://www.gem.wiki/Bu_Hasa%E2%80%93Bab-Habshan_gas_pipeline" TargetMode="External"/><Relationship Id="rId543" Type="http://schemas.openxmlformats.org/officeDocument/2006/relationships/hyperlink" Target="https://www.gem.wiki/Narshingdi-Ghorasal_Gas_Pipeline" TargetMode="External"/><Relationship Id="rId988" Type="http://schemas.openxmlformats.org/officeDocument/2006/relationships/hyperlink" Target="https://www.gem.wiki/Interconnector_Croatia-Serbia" TargetMode="External"/><Relationship Id="rId1173" Type="http://schemas.openxmlformats.org/officeDocument/2006/relationships/hyperlink" Target="https://www.gem.wiki/Tennessee_Gas_Pipeline" TargetMode="External"/><Relationship Id="rId1380" Type="http://schemas.openxmlformats.org/officeDocument/2006/relationships/hyperlink" Target="https://gem.wiki/Crotone&#8211;Maida_Santa_Eufemia_Gas_Pipeline" TargetMode="External"/><Relationship Id="rId2017" Type="http://schemas.openxmlformats.org/officeDocument/2006/relationships/hyperlink" Target="https://www.gem.wiki/Gasoduto_da_Rota_4b" TargetMode="External"/><Relationship Id="rId2224" Type="http://schemas.openxmlformats.org/officeDocument/2006/relationships/hyperlink" Target="https://egy-map.com/project/%D8%A5%D9%86%D8%B4%D8%A7%D8%A1-%D8%AE%D8%B7-%D8%BA%D8%A7%D8%B2-%D8%A7%D9%84%D8%B9%D8%A7%D8%B5%D9%85%D8%A9-%D8%A7%D9%84%D8%AC%D8%AF%D9%8A%D8%AF%D8%A9---%D8%AF%D9%87%D8%B4%D9%88%D8%B1-%28-%D8%B3%D9%8A%D9%85%D9%8A%D9%86%D8%B2-%29" TargetMode="External"/><Relationship Id="rId2669" Type="http://schemas.openxmlformats.org/officeDocument/2006/relationships/hyperlink" Target="https://www.gem.wiki/Hauts_de_France_II_Gas_Pipeline" TargetMode="External"/><Relationship Id="rId2876" Type="http://schemas.openxmlformats.org/officeDocument/2006/relationships/hyperlink" Target="https://www.gem.wiki/Shanxi_Natural_Gas_Pipeline_Network" TargetMode="External"/><Relationship Id="rId403" Type="http://schemas.openxmlformats.org/officeDocument/2006/relationships/hyperlink" Target="https://www.gem.wiki/Dzuarikau-Tskhinvali_Gas_Pipeline" TargetMode="External"/><Relationship Id="rId750" Type="http://schemas.openxmlformats.org/officeDocument/2006/relationships/hyperlink" Target="https://www.gem.wiki/Rumela-Nasriyaha_gas_pipeline" TargetMode="External"/><Relationship Id="rId848" Type="http://schemas.openxmlformats.org/officeDocument/2006/relationships/hyperlink" Target="https://www.gem.wiki/Central_Asia%E2%80%93China_Gas_Pipeline" TargetMode="External"/><Relationship Id="rId1033" Type="http://schemas.openxmlformats.org/officeDocument/2006/relationships/hyperlink" Target="https://www.gem.wiki/Sistema_Nacional_de_Gasoductos_(SNG)" TargetMode="External"/><Relationship Id="rId1478" Type="http://schemas.openxmlformats.org/officeDocument/2006/relationships/hyperlink" Target="https://gem.wiki/Mitchelstown&#8211;Whitegate_Gas_Pipeline" TargetMode="External"/><Relationship Id="rId1685" Type="http://schemas.openxmlformats.org/officeDocument/2006/relationships/hyperlink" Target="https://www.gem.wiki/Wodgina_Lateral_Gas_Pipeline" TargetMode="External"/><Relationship Id="rId1892" Type="http://schemas.openxmlformats.org/officeDocument/2006/relationships/hyperlink" Target="https://www.gem.wiki/Gasene_Gas_Pipeline" TargetMode="External"/><Relationship Id="rId2431" Type="http://schemas.openxmlformats.org/officeDocument/2006/relationships/hyperlink" Target="https://www.gem.wiki/Nadym-Punga_I,_II,_IV,_V_Gas_Pipeline" TargetMode="External"/><Relationship Id="rId2529" Type="http://schemas.openxmlformats.org/officeDocument/2006/relationships/hyperlink" Target="https://www.gem.wiki/Tabatskuri-Bakuriani_Connector" TargetMode="External"/><Relationship Id="rId2736" Type="http://schemas.openxmlformats.org/officeDocument/2006/relationships/hyperlink" Target="https://www.gem.wiki/Sino-Myanmar_Gas_Pipeline" TargetMode="External"/><Relationship Id="rId610" Type="http://schemas.openxmlformats.org/officeDocument/2006/relationships/hyperlink" Target="https://www.gem.wiki/Abstubetsu_Gas_Pipeline" TargetMode="External"/><Relationship Id="rId708" Type="http://schemas.openxmlformats.org/officeDocument/2006/relationships/hyperlink" Target="https://www.gem.wiki/Czech-Polish_Interconnector_Gas_Pipeline_(CPI)" TargetMode="External"/><Relationship Id="rId915" Type="http://schemas.openxmlformats.org/officeDocument/2006/relationships/hyperlink" Target="https://www.gem.wiki/Echigo_Gas_Pipeline" TargetMode="External"/><Relationship Id="rId1240" Type="http://schemas.openxmlformats.org/officeDocument/2006/relationships/hyperlink" Target="https://www.gem.wiki/Sierrita_Gas_Pipeline" TargetMode="External"/><Relationship Id="rId1338" Type="http://schemas.openxmlformats.org/officeDocument/2006/relationships/hyperlink" Target="https://gem.wiki/Berneau&#8211;Eynatten_Gas_Pipeline" TargetMode="External"/><Relationship Id="rId1545" Type="http://schemas.openxmlformats.org/officeDocument/2006/relationships/hyperlink" Target="https://www.gem.wiki/Taisnieres_sur_Hon%E2%80%93Arieux_en_Gohelle_Gas_Pipeline" TargetMode="External"/><Relationship Id="rId2943" Type="http://schemas.openxmlformats.org/officeDocument/2006/relationships/hyperlink" Target="https://www.gem.wiki/Guangdong_West_Gas_Pipeline_Network" TargetMode="External"/><Relationship Id="rId1100" Type="http://schemas.openxmlformats.org/officeDocument/2006/relationships/hyperlink" Target="https://www.gem.wiki/Murmansk-Volkhov_Gas_Pipeline" TargetMode="External"/><Relationship Id="rId1405" Type="http://schemas.openxmlformats.org/officeDocument/2006/relationships/hyperlink" Target="https://www.gem.wiki/Zeebrugge%E2%80%93Berneau_Gas_Pipeline" TargetMode="External"/><Relationship Id="rId1752" Type="http://schemas.openxmlformats.org/officeDocument/2006/relationships/hyperlink" Target="https://www.gem.wiki/Portland_Natural_Gas_Transmission_System_(PNGTS)" TargetMode="External"/><Relationship Id="rId2803" Type="http://schemas.openxmlformats.org/officeDocument/2006/relationships/hyperlink" Target="https://www.gem.wiki/Changqing-Huhhot_Pipeline" TargetMode="External"/><Relationship Id="rId44" Type="http://schemas.openxmlformats.org/officeDocument/2006/relationships/hyperlink" Target="https://www.gem.wiki/UTOS_Gas_Pipeline" TargetMode="External"/><Relationship Id="rId1612" Type="http://schemas.openxmlformats.org/officeDocument/2006/relationships/hyperlink" Target="https://www.gem.wiki/Itaporanga-Carm%C3%B3polis_Pipeline" TargetMode="External"/><Relationship Id="rId1917" Type="http://schemas.openxmlformats.org/officeDocument/2006/relationships/hyperlink" Target="https://www.gem.wiki/Trans_Nigeria_Gas_Pipeline" TargetMode="External"/><Relationship Id="rId3065" Type="http://schemas.openxmlformats.org/officeDocument/2006/relationships/hyperlink" Target="https://www.gem.wiki/West-_East_Pipeline_II_Yudong_Branch" TargetMode="External"/><Relationship Id="rId3272" Type="http://schemas.openxmlformats.org/officeDocument/2006/relationships/hyperlink" Target="https://www.gem.wiki/Miyun-Mafang-Xianghe_gas_pipeline" TargetMode="External"/><Relationship Id="rId193" Type="http://schemas.openxmlformats.org/officeDocument/2006/relationships/hyperlink" Target="https://www.gem.wiki/Muskogee_Pipeline" TargetMode="External"/><Relationship Id="rId498" Type="http://schemas.openxmlformats.org/officeDocument/2006/relationships/hyperlink" Target="https://www.gem.wiki/Mehsana-Bhatinda_Gas_Pipeline" TargetMode="External"/><Relationship Id="rId2081" Type="http://schemas.openxmlformats.org/officeDocument/2006/relationships/hyperlink" Target="https://www.gem.wiki/Kincora_to_Wallumbilla_Pipeline" TargetMode="External"/><Relationship Id="rId2179" Type="http://schemas.openxmlformats.org/officeDocument/2006/relationships/hyperlink" Target="https://www.gem.wiki/Minor_Duct_Line_12_Inches" TargetMode="External"/><Relationship Id="rId3132" Type="http://schemas.openxmlformats.org/officeDocument/2006/relationships/hyperlink" Target="https://www.gem.wiki/Hunan_Gas_Pipeline_Network" TargetMode="External"/><Relationship Id="rId260" Type="http://schemas.openxmlformats.org/officeDocument/2006/relationships/hyperlink" Target="https://www.gem.wiki/IGAT_11_Gas_Pipeline" TargetMode="External"/><Relationship Id="rId2386" Type="http://schemas.openxmlformats.org/officeDocument/2006/relationships/hyperlink" Target="https://www.gem.wiki/Sui-Multan_Gas_Loopline_II" TargetMode="External"/><Relationship Id="rId2593" Type="http://schemas.openxmlformats.org/officeDocument/2006/relationships/hyperlink" Target="https://www.gem.wiki/Cavarzere-Minerbio_Gas_Pipeline" TargetMode="External"/><Relationship Id="rId120" Type="http://schemas.openxmlformats.org/officeDocument/2006/relationships/hyperlink" Target="https://www.gem.wiki/Trans-Pecos_Gas_Pipeline" TargetMode="External"/><Relationship Id="rId358" Type="http://schemas.openxmlformats.org/officeDocument/2006/relationships/hyperlink" Target="https://www.gem.wiki/Gas_Interconnector_Greece_-_Bulgaria_(IGB)" TargetMode="External"/><Relationship Id="rId565" Type="http://schemas.openxmlformats.org/officeDocument/2006/relationships/hyperlink" Target="https://www.gem.wiki/Ukhta-Torzhok_2_Gas_Pipeline" TargetMode="External"/><Relationship Id="rId772" Type="http://schemas.openxmlformats.org/officeDocument/2006/relationships/hyperlink" Target="https://www.gem.wiki/Jakhira-Intesar_gas_pipeline" TargetMode="External"/><Relationship Id="rId1195" Type="http://schemas.openxmlformats.org/officeDocument/2006/relationships/hyperlink" Target="https://www.gem.wiki/Empire_Pipeline" TargetMode="External"/><Relationship Id="rId2039" Type="http://schemas.openxmlformats.org/officeDocument/2006/relationships/hyperlink" Target="https://www.gem.wiki/Gasoduto_Presidente_Kennedy-S%C3%A3o_Br%C3%A1s_do_Sua%C3%A7u%C3%AD" TargetMode="External"/><Relationship Id="rId2246" Type="http://schemas.openxmlformats.org/officeDocument/2006/relationships/hyperlink" Target="https://www.gem.wiki/Zhanazhol-KS13_Gas_Pipeline" TargetMode="External"/><Relationship Id="rId2453" Type="http://schemas.openxmlformats.org/officeDocument/2006/relationships/hyperlink" Target="https://www.gem.wiki/Pustoshka-Idritsa_Gas_Pipeline" TargetMode="External"/><Relationship Id="rId2660" Type="http://schemas.openxmlformats.org/officeDocument/2006/relationships/hyperlink" Target="https://www.gem.wiki/Serbia-Kosovo-Montenegro_Gas_Interconnector" TargetMode="External"/><Relationship Id="rId2898" Type="http://schemas.openxmlformats.org/officeDocument/2006/relationships/hyperlink" Target="https://www.gem.wiki/Sichuan%E2%80%93Shanghai_Gas_Pipeline" TargetMode="External"/><Relationship Id="rId218" Type="http://schemas.openxmlformats.org/officeDocument/2006/relationships/hyperlink" Target="https://www.gem.wiki/La_Laguna-Aguascalientes_Gas_Pipeline" TargetMode="External"/><Relationship Id="rId425" Type="http://schemas.openxmlformats.org/officeDocument/2006/relationships/hyperlink" Target="https://www.gem.wiki/Ukhta-Torzhok_Gas_Pipeline" TargetMode="External"/><Relationship Id="rId632" Type="http://schemas.openxmlformats.org/officeDocument/2006/relationships/hyperlink" Target="https://www.gem.wiki/Niigata_Pipeline" TargetMode="External"/><Relationship Id="rId1055" Type="http://schemas.openxmlformats.org/officeDocument/2006/relationships/hyperlink" Target="https://www.gem.wiki/Czesz%C3%B3w-Kie%C5%82cz%C3%B3w_Gas_Pipeline" TargetMode="External"/><Relationship Id="rId1262" Type="http://schemas.openxmlformats.org/officeDocument/2006/relationships/hyperlink" Target="https://www.gem.wiki/Energie_Saguenay_Gas_Pipeline" TargetMode="External"/><Relationship Id="rId2106" Type="http://schemas.openxmlformats.org/officeDocument/2006/relationships/hyperlink" Target="https://www.gem.wiki/Kharasaveyskoye%E2%80%93Bovanenkovskoye_Gas_Pipeline" TargetMode="External"/><Relationship Id="rId2313" Type="http://schemas.openxmlformats.org/officeDocument/2006/relationships/hyperlink" Target="https://www.gem.wiki/Zarghun-Quetta_Gas_Pipeline" TargetMode="External"/><Relationship Id="rId2520" Type="http://schemas.openxmlformats.org/officeDocument/2006/relationships/hyperlink" Target="https://www.gem.wiki/Rustavi-Poti_Gas_Pipeline" TargetMode="External"/><Relationship Id="rId2758" Type="http://schemas.openxmlformats.org/officeDocument/2006/relationships/hyperlink" Target="https://www.gem.wiki/Yunnan_Gas_Pipeline_Network" TargetMode="External"/><Relationship Id="rId2965" Type="http://schemas.openxmlformats.org/officeDocument/2006/relationships/hyperlink" Target="https://www.gem.wiki/Guangxi_LNG_Terminal_Transport_Pipeline" TargetMode="External"/><Relationship Id="rId937" Type="http://schemas.openxmlformats.org/officeDocument/2006/relationships/hyperlink" Target="https://www.gem.wiki/Kinki_Trunk_Line_No._1_West_Line" TargetMode="External"/><Relationship Id="rId1122" Type="http://schemas.openxmlformats.org/officeDocument/2006/relationships/hyperlink" Target="https://www.gem.wiki/Rostov-Maykop_Gas_Pipeline" TargetMode="External"/><Relationship Id="rId1567" Type="http://schemas.openxmlformats.org/officeDocument/2006/relationships/hyperlink" Target="https://gem.wiki/Voisines&#8211;Lyon_Gas_Pipeline" TargetMode="External"/><Relationship Id="rId1774" Type="http://schemas.openxmlformats.org/officeDocument/2006/relationships/hyperlink" Target="https://www.gem.wiki/Transcontinental_Gas_Pipeline" TargetMode="External"/><Relationship Id="rId1981" Type="http://schemas.openxmlformats.org/officeDocument/2006/relationships/hyperlink" Target="https://www.gem.wiki/Poland-Slovakia_Gas_Pipeline" TargetMode="External"/><Relationship Id="rId2618" Type="http://schemas.openxmlformats.org/officeDocument/2006/relationships/hyperlink" Target="https://www.gem.wiki/Kalce-Kastav_Gas_Pipeline" TargetMode="External"/><Relationship Id="rId2825" Type="http://schemas.openxmlformats.org/officeDocument/2006/relationships/hyperlink" Target="https://www.gem.wiki/Tianjin_LNG_Terminal_Transport_Pipeline" TargetMode="External"/><Relationship Id="rId66" Type="http://schemas.openxmlformats.org/officeDocument/2006/relationships/hyperlink" Target="https://www.gem.wiki/Mackenzie_Gas_Pipeline_Project" TargetMode="External"/><Relationship Id="rId1427" Type="http://schemas.openxmlformats.org/officeDocument/2006/relationships/hyperlink" Target="https://gem.wiki/Ihtiman&#8211;Dubnitza_Gas_Pipeline" TargetMode="External"/><Relationship Id="rId1634" Type="http://schemas.openxmlformats.org/officeDocument/2006/relationships/hyperlink" Target="https://www.gem.wiki/Son_My%E2%80%93Phu_My_Gas_Pipeline" TargetMode="External"/><Relationship Id="rId1841" Type="http://schemas.openxmlformats.org/officeDocument/2006/relationships/hyperlink" Target="https://www.gem.wiki/Sucat-Fort_Bonifacio_Gas_Pipeline" TargetMode="External"/><Relationship Id="rId3087" Type="http://schemas.openxmlformats.org/officeDocument/2006/relationships/hyperlink" Target="https://www.gem.wiki/Zhejiang_Natural_Gas_Pipeline_Network" TargetMode="External"/><Relationship Id="rId3294" Type="http://schemas.openxmlformats.org/officeDocument/2006/relationships/hyperlink" Target="https://www.gem.wiki/Shaanxi_Gas_Pipeline_Network" TargetMode="External"/><Relationship Id="rId1939" Type="http://schemas.openxmlformats.org/officeDocument/2006/relationships/hyperlink" Target="https://www.gem.wiki/BPA-Hazira_Gas_Pipeline" TargetMode="External"/><Relationship Id="rId1701" Type="http://schemas.openxmlformats.org/officeDocument/2006/relationships/hyperlink" Target="https://www.gem.wiki/South_West_Ampa-Lumut_Gas_Pipeline" TargetMode="External"/><Relationship Id="rId3154" Type="http://schemas.openxmlformats.org/officeDocument/2006/relationships/hyperlink" Target="https://www.gem.wiki/Gannan_Gas_Supply_Pipeline" TargetMode="External"/><Relationship Id="rId282" Type="http://schemas.openxmlformats.org/officeDocument/2006/relationships/hyperlink" Target="https://www.gem.wiki/Nigeria-Morocco_Gas_Pipeline" TargetMode="External"/><Relationship Id="rId587" Type="http://schemas.openxmlformats.org/officeDocument/2006/relationships/hyperlink" Target="https://www.gem.wiki/Kumli-Kizlyar-Babayurt-Aksai_Pipeline" TargetMode="External"/><Relationship Id="rId2170" Type="http://schemas.openxmlformats.org/officeDocument/2006/relationships/hyperlink" Target="https://www.gem.wiki/Bulgaria_Serbia_Interconnection" TargetMode="External"/><Relationship Id="rId2268" Type="http://schemas.openxmlformats.org/officeDocument/2006/relationships/hyperlink" Target="https://www.gem.wiki/Zam%27yany-Bugrinskoye_Gas_Pipeline" TargetMode="External"/><Relationship Id="rId3014" Type="http://schemas.openxmlformats.org/officeDocument/2006/relationships/hyperlink" Target="https://www.gem.wiki/Jiangsu_Coastal_Gas_Pipeline" TargetMode="External"/><Relationship Id="rId3221" Type="http://schemas.openxmlformats.org/officeDocument/2006/relationships/hyperlink" Target="https://www.gem.wiki/Guizhou_Gas_Pipeline_Network" TargetMode="External"/><Relationship Id="rId3319" Type="http://schemas.openxmlformats.org/officeDocument/2006/relationships/hyperlink" Target="https://www.hlj.gov.cn/n200/2020/1213/c35-11012253.html" TargetMode="External"/><Relationship Id="rId8" Type="http://schemas.openxmlformats.org/officeDocument/2006/relationships/hyperlink" Target="https://www.gem.wiki/Algonquin_Incremental_Market_(AIM)_Gas_Pipeline" TargetMode="External"/><Relationship Id="rId142" Type="http://schemas.openxmlformats.org/officeDocument/2006/relationships/hyperlink" Target="https://www.gem.wiki/Nueva_Era_Pipeline" TargetMode="External"/><Relationship Id="rId447" Type="http://schemas.openxmlformats.org/officeDocument/2006/relationships/hyperlink" Target="https://www.gem.wiki/West_Austria_Gas_Pipeline" TargetMode="External"/><Relationship Id="rId794" Type="http://schemas.openxmlformats.org/officeDocument/2006/relationships/hyperlink" Target="https://www.gem.wiki/A47-Yanbu_gas_pipeline" TargetMode="External"/><Relationship Id="rId1077" Type="http://schemas.openxmlformats.org/officeDocument/2006/relationships/hyperlink" Target="https://www.gem.wiki/Takasago_Gas_Pipeline" TargetMode="External"/><Relationship Id="rId2030" Type="http://schemas.openxmlformats.org/officeDocument/2006/relationships/hyperlink" Target="https://www.gem.wiki/Sider%C3%B3polis-Porto_Alegre_Gas_Pipeline" TargetMode="External"/><Relationship Id="rId2128" Type="http://schemas.openxmlformats.org/officeDocument/2006/relationships/hyperlink" Target="https://www.gem.wiki/Denison_Gas_Pipeline" TargetMode="External"/><Relationship Id="rId2475" Type="http://schemas.openxmlformats.org/officeDocument/2006/relationships/hyperlink" Target="https://www.gem.wiki/Barbaira-Amelie_les_Bains_Gas_Pipeline" TargetMode="External"/><Relationship Id="rId2682" Type="http://schemas.openxmlformats.org/officeDocument/2006/relationships/hyperlink" Target="https://www.gem.wiki/Ampelia%E2%80%93Bralos_Gas_Pipeline" TargetMode="External"/><Relationship Id="rId2987" Type="http://schemas.openxmlformats.org/officeDocument/2006/relationships/hyperlink" Target="https://www.gem.wiki/Zungharia_Basin_Rim_Gas_Pipeline_Network" TargetMode="External"/><Relationship Id="rId654" Type="http://schemas.openxmlformats.org/officeDocument/2006/relationships/hyperlink" Target="https://www.gem.wiki/Dunkirk-Zeebrugge_Gas_Pipeline" TargetMode="External"/><Relationship Id="rId861" Type="http://schemas.openxmlformats.org/officeDocument/2006/relationships/hyperlink" Target="https://www.spglobal.com/marketintelligence/en/news-insights/latest-news-headlines/eni-sonatrach-complete-gas-pipeline-in-algeria-57398317" TargetMode="External"/><Relationship Id="rId959" Type="http://schemas.openxmlformats.org/officeDocument/2006/relationships/hyperlink" Target="https://www.gem.wiki/Oumi_Gas_Pipeline" TargetMode="External"/><Relationship Id="rId1284" Type="http://schemas.openxmlformats.org/officeDocument/2006/relationships/hyperlink" Target="https://www.gem.wiki/Bolivia%E2%80%93Peru_Gas_Pipeline" TargetMode="External"/><Relationship Id="rId1491" Type="http://schemas.openxmlformats.org/officeDocument/2006/relationships/hyperlink" Target="https://gem.wiki/Nordschwarzwaldleitung_(NOS)_Gas_Pipeline" TargetMode="External"/><Relationship Id="rId1589" Type="http://schemas.openxmlformats.org/officeDocument/2006/relationships/hyperlink" Target="https://www.gem.wiki/Adriatica_Pipeline" TargetMode="External"/><Relationship Id="rId2335" Type="http://schemas.openxmlformats.org/officeDocument/2006/relationships/hyperlink" Target="https://www.gem.wiki/Kulata-Nea_Mesimvria_Gas_Pipeline" TargetMode="External"/><Relationship Id="rId2542" Type="http://schemas.openxmlformats.org/officeDocument/2006/relationships/hyperlink" Target="https://www.gem.wiki/Bangpakong-South_Bangkok_Gas_Pipeline" TargetMode="External"/><Relationship Id="rId307" Type="http://schemas.openxmlformats.org/officeDocument/2006/relationships/hyperlink" Target="https://www.gem.wiki/Obiafu-Obrikom-Oben_Gas_Pipeline" TargetMode="External"/><Relationship Id="rId514" Type="http://schemas.openxmlformats.org/officeDocument/2006/relationships/hyperlink" Target="https://www.gem.wiki/Promigas_Pipeline_Network" TargetMode="External"/><Relationship Id="rId721" Type="http://schemas.openxmlformats.org/officeDocument/2006/relationships/hyperlink" Target="https://www.albayan.ae/economy/2002-08-08-1.1341621" TargetMode="External"/><Relationship Id="rId1144" Type="http://schemas.openxmlformats.org/officeDocument/2006/relationships/hyperlink" Target="https://www.gem.wiki/Serbia-North_Macedonia_Interconnector_Pipeline" TargetMode="External"/><Relationship Id="rId1351" Type="http://schemas.openxmlformats.org/officeDocument/2006/relationships/hyperlink" Target="https://gem.wiki/Breheville&#8211;Laneuvelotte_Gas_Pipeline" TargetMode="External"/><Relationship Id="rId1449" Type="http://schemas.openxmlformats.org/officeDocument/2006/relationships/hyperlink" Target="https://gem.wiki/Lucko&#8211;Bosiljevo_Gas_Pipeline" TargetMode="External"/><Relationship Id="rId1796" Type="http://schemas.openxmlformats.org/officeDocument/2006/relationships/hyperlink" Target="https://www.gem.wiki/Batangas-Manila_Gas_Pipeline" TargetMode="External"/><Relationship Id="rId2402" Type="http://schemas.openxmlformats.org/officeDocument/2006/relationships/hyperlink" Target="https://www.gem.wiki/Warnant_Dreye-Petange_Gas_Pipeline" TargetMode="External"/><Relationship Id="rId2847" Type="http://schemas.openxmlformats.org/officeDocument/2006/relationships/hyperlink" Target="https://www.gem.wiki/Anhui_Gas_Pipeline_Network" TargetMode="External"/><Relationship Id="rId88" Type="http://schemas.openxmlformats.org/officeDocument/2006/relationships/hyperlink" Target="https://www.gem.wiki/Ozark_Gas_Transmission_Pipeline" TargetMode="External"/><Relationship Id="rId819" Type="http://schemas.openxmlformats.org/officeDocument/2006/relationships/hyperlink" Target="https://www.gem.wiki/Berri-Abu_Ali_gas_pipeline" TargetMode="External"/><Relationship Id="rId1004" Type="http://schemas.openxmlformats.org/officeDocument/2006/relationships/hyperlink" Target="https://www.gem.wiki/Dahej-Koyali_Refinery_Gas_Pipeline" TargetMode="External"/><Relationship Id="rId1211" Type="http://schemas.openxmlformats.org/officeDocument/2006/relationships/hyperlink" Target="https://www.gem.wiki/Enable_Gas_Transmission" TargetMode="External"/><Relationship Id="rId1656" Type="http://schemas.openxmlformats.org/officeDocument/2006/relationships/hyperlink" Target="https://www.gem.wiki/ANR_Gas_Pipeline" TargetMode="External"/><Relationship Id="rId1863" Type="http://schemas.openxmlformats.org/officeDocument/2006/relationships/hyperlink" Target="https://www.gem.wiki/Novosibirsk-Barnaul_Gas_Pipeline" TargetMode="External"/><Relationship Id="rId2707" Type="http://schemas.openxmlformats.org/officeDocument/2006/relationships/hyperlink" Target="https://www.gem.wiki/Columbia_Gas_Transmission" TargetMode="External"/><Relationship Id="rId2914" Type="http://schemas.openxmlformats.org/officeDocument/2006/relationships/hyperlink" Target="https://www.gem.wiki/Sichuan%E2%80%93Shanghai_Parallel_Gas_Pipeline" TargetMode="External"/><Relationship Id="rId1309" Type="http://schemas.openxmlformats.org/officeDocument/2006/relationships/hyperlink" Target="https://www.gem.wiki/Romania-Moldova_Gas_Pipeline" TargetMode="External"/><Relationship Id="rId1516" Type="http://schemas.openxmlformats.org/officeDocument/2006/relationships/hyperlink" Target="https://gem.wiki/Ravenstein&#8211;Westerschelde_Oost_Gas_Pipeline" TargetMode="External"/><Relationship Id="rId1723" Type="http://schemas.openxmlformats.org/officeDocument/2006/relationships/hyperlink" Target="https://www.gem.wiki/Jagdishpur-Haldia-Bokaro-Dhamra_Natural_Gas_Pipeline_(JHBDPL)" TargetMode="External"/><Relationship Id="rId1930" Type="http://schemas.openxmlformats.org/officeDocument/2006/relationships/hyperlink" Target="https://www.gem.wiki/Bunde-Etzel_Gas_Pipeline" TargetMode="External"/><Relationship Id="rId3176" Type="http://schemas.openxmlformats.org/officeDocument/2006/relationships/hyperlink" Target="https://www.gem.wiki/West-East_Gas_Pipeline_3" TargetMode="External"/><Relationship Id="rId15" Type="http://schemas.openxmlformats.org/officeDocument/2006/relationships/hyperlink" Target="https://www.gem.wiki/BC_Gas_Pipeline" TargetMode="External"/><Relationship Id="rId2192" Type="http://schemas.openxmlformats.org/officeDocument/2006/relationships/hyperlink" Target="https://sonatrach.com/wp-content/uploads/2022/01/DESCRIPTION-DU-RESEAU-DE-TRANSPORT-PAR-CANALISATION-DES-HYDROCARBURES-TARIF-DE-TRANSPORT-ANNEE-2022.pdf" TargetMode="External"/><Relationship Id="rId3036" Type="http://schemas.openxmlformats.org/officeDocument/2006/relationships/hyperlink" Target="https://www.gem.wiki/Jinggangshan_Branch_Line,_Jiangxi_Gas_Pipeline_Network" TargetMode="External"/><Relationship Id="rId3243" Type="http://schemas.openxmlformats.org/officeDocument/2006/relationships/hyperlink" Target="https://www.gem.wiki/Liaoning_Gas_Pipeline_Network" TargetMode="External"/><Relationship Id="rId164" Type="http://schemas.openxmlformats.org/officeDocument/2006/relationships/hyperlink" Target="https://www.gem.wiki/Marquette_Connector_Pipeline" TargetMode="External"/><Relationship Id="rId371" Type="http://schemas.openxmlformats.org/officeDocument/2006/relationships/hyperlink" Target="https://www.gem.wiki/NEL_Gas_Pipeline" TargetMode="External"/><Relationship Id="rId2052" Type="http://schemas.openxmlformats.org/officeDocument/2006/relationships/hyperlink" Target="https://www.gem.wiki/Bulgaria_National_Gas_Transmission_Network" TargetMode="External"/><Relationship Id="rId2497" Type="http://schemas.openxmlformats.org/officeDocument/2006/relationships/hyperlink" Target="https://www.gem.wiki/Villapresente-Burgos_Gas_Pipeline" TargetMode="External"/><Relationship Id="rId469" Type="http://schemas.openxmlformats.org/officeDocument/2006/relationships/hyperlink" Target="https://www.gem.wiki/Beanibazar-Kailashtila_Gas_Pipeline" TargetMode="External"/><Relationship Id="rId676" Type="http://schemas.openxmlformats.org/officeDocument/2006/relationships/hyperlink" Target="https://www.gem.wiki/Snohvit%E2%80%93Melkoya_Island_Pipeline" TargetMode="External"/><Relationship Id="rId883" Type="http://schemas.openxmlformats.org/officeDocument/2006/relationships/hyperlink" Target="https://www.gem.wiki/Santa_Cruz_Sur_Gas_Pipeline" TargetMode="External"/><Relationship Id="rId1099" Type="http://schemas.openxmlformats.org/officeDocument/2006/relationships/hyperlink" Target="https://www.gem.wiki/Mozdok-Nevinnomyssk_Gas_Pipeline" TargetMode="External"/><Relationship Id="rId2357" Type="http://schemas.openxmlformats.org/officeDocument/2006/relationships/hyperlink" Target="https://www.gem.wiki/Al-Ahdab-Al-Zubaydia_PWR_St_Gas_Pipeline" TargetMode="External"/><Relationship Id="rId2564" Type="http://schemas.openxmlformats.org/officeDocument/2006/relationships/hyperlink" Target="https://www.gem.wiki/Buccino-Contrada-Melizzano_Gas_Pipeline" TargetMode="External"/><Relationship Id="rId3103" Type="http://schemas.openxmlformats.org/officeDocument/2006/relationships/hyperlink" Target="https://www.gem.wiki/Hainan_Gas_Pipeline_Network" TargetMode="External"/><Relationship Id="rId3310" Type="http://schemas.openxmlformats.org/officeDocument/2006/relationships/hyperlink" Target="https://www.gem.wiki/Heilongjiang_Natural_Gas_Pipeline_Network" TargetMode="External"/><Relationship Id="rId231" Type="http://schemas.openxmlformats.org/officeDocument/2006/relationships/hyperlink" Target="https://www.gem.wiki/Gasoducto_Ojinaga-El_Encino" TargetMode="External"/><Relationship Id="rId329" Type="http://schemas.openxmlformats.org/officeDocument/2006/relationships/hyperlink" Target="https://www.gem.wiki/WHP-7-Ras_Laffan_gas_pipeline" TargetMode="External"/><Relationship Id="rId536" Type="http://schemas.openxmlformats.org/officeDocument/2006/relationships/hyperlink" Target="https://www.gem.wiki/Belawan-Sei_Mangkai_Gas_Pipeline" TargetMode="External"/><Relationship Id="rId1166" Type="http://schemas.openxmlformats.org/officeDocument/2006/relationships/hyperlink" Target="https://www.gem.wiki/G%C3%B6rdes-G%C3%B6lhisar_Gas_Pipeline" TargetMode="External"/><Relationship Id="rId1373" Type="http://schemas.openxmlformats.org/officeDocument/2006/relationships/hyperlink" Target="https://gem.wiki/Clonmel&#8211;Carlow_Gas_Pipeline" TargetMode="External"/><Relationship Id="rId2217" Type="http://schemas.openxmlformats.org/officeDocument/2006/relationships/hyperlink" Target="https://www.gem.wiki/Gasoducto_Southeast_Gateway" TargetMode="External"/><Relationship Id="rId2771" Type="http://schemas.openxmlformats.org/officeDocument/2006/relationships/hyperlink" Target="https://www.gem.wiki/Hebei-Nanjing_Connecting_Pipeline" TargetMode="External"/><Relationship Id="rId2869" Type="http://schemas.openxmlformats.org/officeDocument/2006/relationships/hyperlink" Target="https://www.gem.wiki/Shanxi_Natural_Gas_Pipeline_Network" TargetMode="External"/><Relationship Id="rId743" Type="http://schemas.openxmlformats.org/officeDocument/2006/relationships/hyperlink" Target="https://www.gem.wiki/Baiji-K3-Al_Kaem_gas_pipeline" TargetMode="External"/><Relationship Id="rId950" Type="http://schemas.openxmlformats.org/officeDocument/2006/relationships/hyperlink" Target="https://www.gem.wiki/Matsumoto_Gas_Pipeline" TargetMode="External"/><Relationship Id="rId1026" Type="http://schemas.openxmlformats.org/officeDocument/2006/relationships/hyperlink" Target="https://www.gem.wiki/Gasoducto_de_Mayakan" TargetMode="External"/><Relationship Id="rId1580" Type="http://schemas.openxmlformats.org/officeDocument/2006/relationships/hyperlink" Target="https://gem.wiki/Zimella&#8211;Poggio_Renatico_Gas_Pipeline" TargetMode="External"/><Relationship Id="rId1678" Type="http://schemas.openxmlformats.org/officeDocument/2006/relationships/hyperlink" Target="https://www.gem.wiki/Northern_Natural_Gas_Pipeline" TargetMode="External"/><Relationship Id="rId1885" Type="http://schemas.openxmlformats.org/officeDocument/2006/relationships/hyperlink" Target="https://www.gem.wiki/Gasoducto_Guadalajara-CT_Manzanillo" TargetMode="External"/><Relationship Id="rId2424" Type="http://schemas.openxmlformats.org/officeDocument/2006/relationships/hyperlink" Target="https://www.gem.wiki/MP_59.91-Nandipur_Power_Plant_Gas_Pipeline" TargetMode="External"/><Relationship Id="rId2631" Type="http://schemas.openxmlformats.org/officeDocument/2006/relationships/hyperlink" Target="https://www.gem.wiki/Romanian_National_Transmission_System" TargetMode="External"/><Relationship Id="rId2729" Type="http://schemas.openxmlformats.org/officeDocument/2006/relationships/hyperlink" Target="https://www.gem.wiki/Ningxia_Gas_Pipeline_Network" TargetMode="External"/><Relationship Id="rId2936" Type="http://schemas.openxmlformats.org/officeDocument/2006/relationships/hyperlink" Target="https://www.gem.wiki/Guangdong_East_Gas_Pipeline_Network" TargetMode="External"/><Relationship Id="rId603" Type="http://schemas.openxmlformats.org/officeDocument/2006/relationships/hyperlink" Target="https://www.gem.wiki/Palm_Valley_to_Alice_Springs_Pipeline" TargetMode="External"/><Relationship Id="rId810" Type="http://schemas.openxmlformats.org/officeDocument/2006/relationships/hyperlink" Target="https://www.gem.wiki/Abqaiq-B-Shedgum_gas_pipeline" TargetMode="External"/><Relationship Id="rId908" Type="http://schemas.openxmlformats.org/officeDocument/2006/relationships/hyperlink" Target="https://www.gem.wiki/Varna-Oryahovo_Gas_Pipeline" TargetMode="External"/><Relationship Id="rId1233" Type="http://schemas.openxmlformats.org/officeDocument/2006/relationships/hyperlink" Target="https://www.gem.wiki/Roadrunner_Pipeline" TargetMode="External"/><Relationship Id="rId1440" Type="http://schemas.openxmlformats.org/officeDocument/2006/relationships/hyperlink" Target="https://gem.wiki/Lacq&#8211;Navarra_Gas_Pipeline" TargetMode="External"/><Relationship Id="rId1538" Type="http://schemas.openxmlformats.org/officeDocument/2006/relationships/hyperlink" Target="https://www.gem.wiki/Apatin-Paracin_Gas_Pipeline" TargetMode="External"/><Relationship Id="rId1300" Type="http://schemas.openxmlformats.org/officeDocument/2006/relationships/hyperlink" Target="https://www.gem.wiki/Cantahede-Monforte_pipeline" TargetMode="External"/><Relationship Id="rId1745" Type="http://schemas.openxmlformats.org/officeDocument/2006/relationships/hyperlink" Target="https://www.gem.wiki/Beineu-Bozoy-Shymkent_Gas_Pipeline" TargetMode="External"/><Relationship Id="rId1952" Type="http://schemas.openxmlformats.org/officeDocument/2006/relationships/hyperlink" Target="https://www.gem.wiki/Dabhol-Bangalore_Gas_Pipeline" TargetMode="External"/><Relationship Id="rId3198" Type="http://schemas.openxmlformats.org/officeDocument/2006/relationships/hyperlink" Target="https://www.gem.wiki/Guizhou_Gas_Pipeline_Network" TargetMode="External"/><Relationship Id="rId37" Type="http://schemas.openxmlformats.org/officeDocument/2006/relationships/hyperlink" Target="https://www.gem.wiki/East_Tennessee_Gas_Pipeline" TargetMode="External"/><Relationship Id="rId1605" Type="http://schemas.openxmlformats.org/officeDocument/2006/relationships/hyperlink" Target="https://www.gem.wiki/Gasoduto_Catu-Itaporanga" TargetMode="External"/><Relationship Id="rId1812" Type="http://schemas.openxmlformats.org/officeDocument/2006/relationships/hyperlink" Target="https://www.gem.wiki/Gasoducto_Yacu%C3%ADba-R%C3%ADo_Grande" TargetMode="External"/><Relationship Id="rId3058" Type="http://schemas.openxmlformats.org/officeDocument/2006/relationships/hyperlink" Target="https://www.gem.wiki/Nanyang-Zhumadian_gas_pipeline" TargetMode="External"/><Relationship Id="rId3265" Type="http://schemas.openxmlformats.org/officeDocument/2006/relationships/hyperlink" Target="https://www.gem.wiki/Chongqing_Gas_Pipeline_Network" TargetMode="External"/><Relationship Id="rId186" Type="http://schemas.openxmlformats.org/officeDocument/2006/relationships/hyperlink" Target="https://www.gem.wiki/Valley_Expansion_Pipeline" TargetMode="External"/><Relationship Id="rId393" Type="http://schemas.openxmlformats.org/officeDocument/2006/relationships/hyperlink" Target="https://www.gem.wiki/West_of_Shetland_Pipeline" TargetMode="External"/><Relationship Id="rId2074" Type="http://schemas.openxmlformats.org/officeDocument/2006/relationships/hyperlink" Target="https://www.gem.wiki/Hermanowice-Jaroslaw_Gas_Pipeline" TargetMode="External"/><Relationship Id="rId2281" Type="http://schemas.openxmlformats.org/officeDocument/2006/relationships/hyperlink" Target="https://www.gem.wiki/Gazli-Kagan_Gas_Pipeline" TargetMode="External"/><Relationship Id="rId3125" Type="http://schemas.openxmlformats.org/officeDocument/2006/relationships/hyperlink" Target="https://www.gem.wiki/Hunan_Gas_Pipeline_Network" TargetMode="External"/><Relationship Id="rId3332" Type="http://schemas.openxmlformats.org/officeDocument/2006/relationships/hyperlink" Target="https://www.gem.wiki/Heilongjiang_Natural_Gas_Pipeline_Network" TargetMode="External"/><Relationship Id="rId253" Type="http://schemas.openxmlformats.org/officeDocument/2006/relationships/hyperlink" Target="https://www.gem.wiki/Gasoducto_Villa_de_Reyes-Aguascalientes-Guadalajara" TargetMode="External"/><Relationship Id="rId460" Type="http://schemas.openxmlformats.org/officeDocument/2006/relationships/hyperlink" Target="https://www.gem.wiki/Ashuganj-Bakhrabad_1_Gas_Pipeline" TargetMode="External"/><Relationship Id="rId698" Type="http://schemas.openxmlformats.org/officeDocument/2006/relationships/hyperlink" Target="https://www.gem.wiki/Larino-Chieti_Pipeline" TargetMode="External"/><Relationship Id="rId1090" Type="http://schemas.openxmlformats.org/officeDocument/2006/relationships/hyperlink" Target="https://www.gem.wiki/Kovykta-Sayansk-Irkutsk_Gas_Pipeline" TargetMode="External"/><Relationship Id="rId2141" Type="http://schemas.openxmlformats.org/officeDocument/2006/relationships/hyperlink" Target="https://www.gem.wiki/Carpentaria_Gas_Pipeline" TargetMode="External"/><Relationship Id="rId2379" Type="http://schemas.openxmlformats.org/officeDocument/2006/relationships/hyperlink" Target="https://www.gem.wiki/Sui-Multan_Gas_Pipeline" TargetMode="External"/><Relationship Id="rId2586" Type="http://schemas.openxmlformats.org/officeDocument/2006/relationships/hyperlink" Target="https://www.gem.wiki/Malborghetto-Flaibano_Gas_Pipeline" TargetMode="External"/><Relationship Id="rId2793" Type="http://schemas.openxmlformats.org/officeDocument/2006/relationships/hyperlink" Target="https://www.gem.wiki/Inner_Mongolia_Gas_Pipeline_Network" TargetMode="External"/><Relationship Id="rId113" Type="http://schemas.openxmlformats.org/officeDocument/2006/relationships/hyperlink" Target="https://www.gem.wiki/Texas_Eastern_Appalachian_Lease_(TEAL)_Gas_Pipeline" TargetMode="External"/><Relationship Id="rId320" Type="http://schemas.openxmlformats.org/officeDocument/2006/relationships/hyperlink" Target="https://www.gem.wiki/Ras_Laffan-Mesaieed_gas_pipeline" TargetMode="External"/><Relationship Id="rId558" Type="http://schemas.openxmlformats.org/officeDocument/2006/relationships/hyperlink" Target="https://www.gem.wiki/Ruby_Field_Gas_Pipeline" TargetMode="External"/><Relationship Id="rId765" Type="http://schemas.openxmlformats.org/officeDocument/2006/relationships/hyperlink" Target="https://www.gem.wiki/Nasser-Brega_gas_pipeline" TargetMode="External"/><Relationship Id="rId972" Type="http://schemas.openxmlformats.org/officeDocument/2006/relationships/hyperlink" Target="https://www.gem.wiki/Shin_Nagaoka_Gas_Pipeline" TargetMode="External"/><Relationship Id="rId1188" Type="http://schemas.openxmlformats.org/officeDocument/2006/relationships/hyperlink" Target="https://www.gem.wiki/Corpus_Christi_Pipeline" TargetMode="External"/><Relationship Id="rId1395" Type="http://schemas.openxmlformats.org/officeDocument/2006/relationships/hyperlink" Target="https://gem.wiki/Wloclawek&#8211;Rembelszczyzna_Gas_Pipeline" TargetMode="External"/><Relationship Id="rId2001" Type="http://schemas.openxmlformats.org/officeDocument/2006/relationships/hyperlink" Target="https://www.gem.wiki/Gj%C3%B8a_Gas_Pipeline" TargetMode="External"/><Relationship Id="rId2239" Type="http://schemas.openxmlformats.org/officeDocument/2006/relationships/hyperlink" Target="https://egyptoil-gas.com/wp-content/uploads/2020/03/The-Western-Desert-Egypt%E2%80%99s-Giant-Petroleum-Reservoir-.pdf" TargetMode="External"/><Relationship Id="rId2446" Type="http://schemas.openxmlformats.org/officeDocument/2006/relationships/hyperlink" Target="https://www.gem.wiki/Castillon-Chazelles_Gas_Pipeline" TargetMode="External"/><Relationship Id="rId2653" Type="http://schemas.openxmlformats.org/officeDocument/2006/relationships/hyperlink" Target="https://www.gem.wiki/Batajnica-Velika_Gas_Pipeline" TargetMode="External"/><Relationship Id="rId2860" Type="http://schemas.openxmlformats.org/officeDocument/2006/relationships/hyperlink" Target="https://www.gem.wiki/Qihe-Pingdu_Gas_Pipeline_2" TargetMode="External"/><Relationship Id="rId418" Type="http://schemas.openxmlformats.org/officeDocument/2006/relationships/hyperlink" Target="https://www.gem.wiki/South_Stream_Gas_Pipeline" TargetMode="External"/><Relationship Id="rId625" Type="http://schemas.openxmlformats.org/officeDocument/2006/relationships/hyperlink" Target="https://www.gem.wiki/Shimizu_Central_Line" TargetMode="External"/><Relationship Id="rId832" Type="http://schemas.openxmlformats.org/officeDocument/2006/relationships/hyperlink" Target="https://www.gem.wiki/BC_Gas_Pipeline" TargetMode="External"/><Relationship Id="rId1048" Type="http://schemas.openxmlformats.org/officeDocument/2006/relationships/hyperlink" Target="https://www.gem.wiki/Goleni%C3%B3w-Lw%C3%B3wek_Gas_Pipeline" TargetMode="External"/><Relationship Id="rId1255" Type="http://schemas.openxmlformats.org/officeDocument/2006/relationships/hyperlink" Target="https://www.gem.wiki/Portland_Natural_Gas_Transmission_System_(PNGTS)" TargetMode="External"/><Relationship Id="rId1462" Type="http://schemas.openxmlformats.org/officeDocument/2006/relationships/hyperlink" Target="https://gem.wiki/Malmoe&#8211;Trelleborg_Gas_Pipeline" TargetMode="External"/><Relationship Id="rId2306" Type="http://schemas.openxmlformats.org/officeDocument/2006/relationships/hyperlink" Target="https://www.gem.wiki/Kadanwari-Malir-Karachi_Gas_Pipeline" TargetMode="External"/><Relationship Id="rId2513" Type="http://schemas.openxmlformats.org/officeDocument/2006/relationships/hyperlink" Target="https://www.gem.wiki/Ommen-Legden_Gas_Pipeline" TargetMode="External"/><Relationship Id="rId2958" Type="http://schemas.openxmlformats.org/officeDocument/2006/relationships/hyperlink" Target="https://www.gem.wiki/Shante_Gas_Power_Station_Gas_Supply_Pipeline" TargetMode="External"/><Relationship Id="rId1115" Type="http://schemas.openxmlformats.org/officeDocument/2006/relationships/hyperlink" Target="https://www.gem.wiki/Pochinki-Yaroslavl_Gas_Pipeline" TargetMode="External"/><Relationship Id="rId1322" Type="http://schemas.openxmlformats.org/officeDocument/2006/relationships/hyperlink" Target="https://gem.wiki/Annecy&#8211;Entre_Deux_Guiers_Gas_Pipeline" TargetMode="External"/><Relationship Id="rId1767" Type="http://schemas.openxmlformats.org/officeDocument/2006/relationships/hyperlink" Target="https://www.gem.wiki/Gasoduto_Bolivia-Mato_Grosso" TargetMode="External"/><Relationship Id="rId1974" Type="http://schemas.openxmlformats.org/officeDocument/2006/relationships/hyperlink" Target="https://www.gem.wiki/Dampier_to_Bunbury_Natural_Gas_Pipeline" TargetMode="External"/><Relationship Id="rId2720" Type="http://schemas.openxmlformats.org/officeDocument/2006/relationships/hyperlink" Target="https://www.gem.wiki/Northern_Natural_Gas_Pipeline" TargetMode="External"/><Relationship Id="rId2818" Type="http://schemas.openxmlformats.org/officeDocument/2006/relationships/hyperlink" Target="https://www.gem.wiki/Weiyuan-Leshan_Gas_Pipeline" TargetMode="External"/><Relationship Id="rId59" Type="http://schemas.openxmlformats.org/officeDocument/2006/relationships/hyperlink" Target="https://www.gem.wiki/Houston_Gas_Pipeline_(HPL)_System" TargetMode="External"/><Relationship Id="rId1627" Type="http://schemas.openxmlformats.org/officeDocument/2006/relationships/hyperlink" Target="https://www.gem.wiki/Gasoducto_Anaco-Puerto_La_Cruz" TargetMode="External"/><Relationship Id="rId1834" Type="http://schemas.openxmlformats.org/officeDocument/2006/relationships/hyperlink" Target="https://www.gem.wiki/El_Noubareya_Gas_Pipeline" TargetMode="External"/><Relationship Id="rId3287" Type="http://schemas.openxmlformats.org/officeDocument/2006/relationships/hyperlink" Target="https://www.gem.wiki/Shaanxi_Gas_Pipeline_Network" TargetMode="External"/><Relationship Id="rId2096" Type="http://schemas.openxmlformats.org/officeDocument/2006/relationships/hyperlink" Target="https://www.gem.wiki/Central_West_Pipeline" TargetMode="External"/><Relationship Id="rId1901" Type="http://schemas.openxmlformats.org/officeDocument/2006/relationships/hyperlink" Target="https://www.gem.wiki/Bang_Phli-Saraburi_Gas_Pipeline" TargetMode="External"/><Relationship Id="rId3147" Type="http://schemas.openxmlformats.org/officeDocument/2006/relationships/hyperlink" Target="https://www.gem.wiki/Hunan_Gas_Pipeline_Network" TargetMode="External"/><Relationship Id="rId275" Type="http://schemas.openxmlformats.org/officeDocument/2006/relationships/hyperlink" Target="https://www.gem.wiki/Persian_Gas_Pipeline" TargetMode="External"/><Relationship Id="rId482" Type="http://schemas.openxmlformats.org/officeDocument/2006/relationships/hyperlink" Target="https://www.gem.wiki/Elenga-Tarakandi_Gas_Pipeline" TargetMode="External"/><Relationship Id="rId2163" Type="http://schemas.openxmlformats.org/officeDocument/2006/relationships/hyperlink" Target="https://www.gem.wiki/Freeport_LNG_Terminal_Pipeline" TargetMode="External"/><Relationship Id="rId2370" Type="http://schemas.openxmlformats.org/officeDocument/2006/relationships/hyperlink" Target="https://www.gem.wiki/Ustyuzhna_Gas_Pipeline" TargetMode="External"/><Relationship Id="rId3007" Type="http://schemas.openxmlformats.org/officeDocument/2006/relationships/hyperlink" Target="https://www.gem.wiki/Jiangsu_Coastal_Gas_Pipeline" TargetMode="External"/><Relationship Id="rId3214" Type="http://schemas.openxmlformats.org/officeDocument/2006/relationships/hyperlink" Target="https://www.gem.wiki/Guizhou_Gas_Pipeline_Network" TargetMode="External"/><Relationship Id="rId135" Type="http://schemas.openxmlformats.org/officeDocument/2006/relationships/hyperlink" Target="https://www.gem.wiki/Creole_Trail_Pipeline" TargetMode="External"/><Relationship Id="rId342" Type="http://schemas.openxmlformats.org/officeDocument/2006/relationships/hyperlink" Target="https://www.gem.wiki/Zakum-Umm_Shaif_gas_pipeline" TargetMode="External"/><Relationship Id="rId787" Type="http://schemas.openxmlformats.org/officeDocument/2006/relationships/hyperlink" Target="https://www.gem.wiki/Soku-Bonny_gas_pipeline" TargetMode="External"/><Relationship Id="rId994" Type="http://schemas.openxmlformats.org/officeDocument/2006/relationships/hyperlink" Target="https://www.gem.wiki/Ramle-Elyakim_Gas_Pipeline" TargetMode="External"/><Relationship Id="rId2023" Type="http://schemas.openxmlformats.org/officeDocument/2006/relationships/hyperlink" Target="https://www.gem.wiki/Gasoduto_da_Rota_6b" TargetMode="External"/><Relationship Id="rId2230" Type="http://schemas.openxmlformats.org/officeDocument/2006/relationships/hyperlink" Target="https://www.gem.wiki/Salam%E2%80%93Matruh_Terminal_Gas_Pipeline" TargetMode="External"/><Relationship Id="rId2468" Type="http://schemas.openxmlformats.org/officeDocument/2006/relationships/hyperlink" Target="https://www.gem.wiki/Gurguri-Kohat_Gas_Pipeline" TargetMode="External"/><Relationship Id="rId2675" Type="http://schemas.openxmlformats.org/officeDocument/2006/relationships/hyperlink" Target="https://www.gem.wiki/Westerschelde_Oost%E2%80%93Wijngaarden_Gas_Pipeline" TargetMode="External"/><Relationship Id="rId2882" Type="http://schemas.openxmlformats.org/officeDocument/2006/relationships/hyperlink" Target="https://www.gem.wiki/Shanxi_Natural_Gas_Pipeline_Network" TargetMode="External"/><Relationship Id="rId202" Type="http://schemas.openxmlformats.org/officeDocument/2006/relationships/hyperlink" Target="https://www.gem.wiki/Rover_Pipeline" TargetMode="External"/><Relationship Id="rId647" Type="http://schemas.openxmlformats.org/officeDocument/2006/relationships/hyperlink" Target="https://www.gem.wiki/Torishima_Connection_Line" TargetMode="External"/><Relationship Id="rId854" Type="http://schemas.openxmlformats.org/officeDocument/2006/relationships/hyperlink" Target="https://www.gem.wiki/Taproot_Baja_Pipeline_System" TargetMode="External"/><Relationship Id="rId1277" Type="http://schemas.openxmlformats.org/officeDocument/2006/relationships/hyperlink" Target="https://www.gem.wiki/Gasoducto_Cordillerano-Patag%C3%B3nico" TargetMode="External"/><Relationship Id="rId1484" Type="http://schemas.openxmlformats.org/officeDocument/2006/relationships/hyperlink" Target="https://gem.wiki/Morano&#8211;Tarsia_Gas_Pipeline" TargetMode="External"/><Relationship Id="rId1691" Type="http://schemas.openxmlformats.org/officeDocument/2006/relationships/hyperlink" Target="https://www.gem.wiki/Titas-Narshingdi_Gas_Pipeline" TargetMode="External"/><Relationship Id="rId2328" Type="http://schemas.openxmlformats.org/officeDocument/2006/relationships/hyperlink" Target="https://www.gem.wiki/Florida_Gas_Transmission_Pipeline" TargetMode="External"/><Relationship Id="rId2535" Type="http://schemas.openxmlformats.org/officeDocument/2006/relationships/hyperlink" Target="https://www.gem.wiki/Steinitz-Lauchhammer_Gas_Pipeline" TargetMode="External"/><Relationship Id="rId2742" Type="http://schemas.openxmlformats.org/officeDocument/2006/relationships/hyperlink" Target="https://www.gem.wiki/Sino-Myanmar_Gas_Pipeline" TargetMode="External"/><Relationship Id="rId507" Type="http://schemas.openxmlformats.org/officeDocument/2006/relationships/hyperlink" Target="https://www.gem.wiki/Gasoduto_da_Rota_4a" TargetMode="External"/><Relationship Id="rId714" Type="http://schemas.openxmlformats.org/officeDocument/2006/relationships/hyperlink" Target="https://www.gem.wiki/Hungary-Slovenia-Italy_Interconnector_Gas_Pipeline" TargetMode="External"/><Relationship Id="rId921" Type="http://schemas.openxmlformats.org/officeDocument/2006/relationships/hyperlink" Target="https://www.gem.wiki/Gunma_Trunk_Line_Gas_Pipeline" TargetMode="External"/><Relationship Id="rId1137" Type="http://schemas.openxmlformats.org/officeDocument/2006/relationships/hyperlink" Target="https://www.gem.wiki/Ukhta-Cheboksary_Gas_Pipeline" TargetMode="External"/><Relationship Id="rId1344" Type="http://schemas.openxmlformats.org/officeDocument/2006/relationships/hyperlink" Target="https://gem.wiki/Bilbao&#8211;Villapresente_Gas_Pipeline" TargetMode="External"/><Relationship Id="rId1551" Type="http://schemas.openxmlformats.org/officeDocument/2006/relationships/hyperlink" Target="https://www.gem.wiki/Tivissa%E2%80%93Castelnou_Gas_Pipeline" TargetMode="External"/><Relationship Id="rId1789" Type="http://schemas.openxmlformats.org/officeDocument/2006/relationships/hyperlink" Target="https://www.gem.wiki/Serbia%E2%80%93Bosnia_Interconnector_Gas_Pipeline" TargetMode="External"/><Relationship Id="rId1996" Type="http://schemas.openxmlformats.org/officeDocument/2006/relationships/hyperlink" Target="https://www.gem.wiki/Eastern_Gas_Pipeline" TargetMode="External"/><Relationship Id="rId2602" Type="http://schemas.openxmlformats.org/officeDocument/2006/relationships/hyperlink" Target="https://www.gem.wiki/Gagliano-Messina_Gas_Pipeline" TargetMode="External"/><Relationship Id="rId50" Type="http://schemas.openxmlformats.org/officeDocument/2006/relationships/hyperlink" Target="https://www.gem.wiki/Great_Lakes_Gas_Transmission_Pipeline" TargetMode="External"/><Relationship Id="rId1204" Type="http://schemas.openxmlformats.org/officeDocument/2006/relationships/hyperlink" Target="https://www.gem.wiki/Gulf_South_Gas_Pipeline" TargetMode="External"/><Relationship Id="rId1411" Type="http://schemas.openxmlformats.org/officeDocument/2006/relationships/hyperlink" Target="https://gem.wiki/Goleniow&#8211;Gdynia_Gas_Pipeline" TargetMode="External"/><Relationship Id="rId1649" Type="http://schemas.openxmlformats.org/officeDocument/2006/relationships/hyperlink" Target="https://www.gem.wiki/Tas-Yuryakh-Mirny-Udachny_Gas_Pipeline" TargetMode="External"/><Relationship Id="rId1856" Type="http://schemas.openxmlformats.org/officeDocument/2006/relationships/hyperlink" Target="https://www.gem.wiki/Gasoducto_Paran%C3%A1-Uruguayana" TargetMode="External"/><Relationship Id="rId2907" Type="http://schemas.openxmlformats.org/officeDocument/2006/relationships/hyperlink" Target="https://www.gem.wiki/Sichuan%E2%80%93Shanghai_Parallel_Gas_Pipeline" TargetMode="External"/><Relationship Id="rId3071" Type="http://schemas.openxmlformats.org/officeDocument/2006/relationships/hyperlink" Target="https://www.gem.wiki/Henan_Gas_Pipeline_Network" TargetMode="External"/><Relationship Id="rId1509" Type="http://schemas.openxmlformats.org/officeDocument/2006/relationships/hyperlink" Target="https://gem.wiki/Pontremoli&#8211;La_Spezia_Gas_Pipeline" TargetMode="External"/><Relationship Id="rId1716" Type="http://schemas.openxmlformats.org/officeDocument/2006/relationships/hyperlink" Target="https://www.gem.wiki/N%C3%A9stor_Kirchner_Gas_Pipeline" TargetMode="External"/><Relationship Id="rId1923" Type="http://schemas.openxmlformats.org/officeDocument/2006/relationships/hyperlink" Target="https://www.gem.wiki/Vukovar%E2%80%93Negoslavci_Gas_Pipeline" TargetMode="External"/><Relationship Id="rId3169" Type="http://schemas.openxmlformats.org/officeDocument/2006/relationships/hyperlink" Target="https://www.gem.wiki/West-East_Gas_Pipeline_1" TargetMode="External"/><Relationship Id="rId297" Type="http://schemas.openxmlformats.org/officeDocument/2006/relationships/hyperlink" Target="https://www.gem.wiki/Salam-Abu_Gharadig_Southern_Gas_Pipeline" TargetMode="External"/><Relationship Id="rId2185" Type="http://schemas.openxmlformats.org/officeDocument/2006/relationships/hyperlink" Target="https://www.gem.wiki/Hassi_R%27Mel-Skikda_Gas_Pipeline" TargetMode="External"/><Relationship Id="rId2392" Type="http://schemas.openxmlformats.org/officeDocument/2006/relationships/hyperlink" Target="https://www.gem.wiki/D.G._Khan_Gas_Pipeline" TargetMode="External"/><Relationship Id="rId3029" Type="http://schemas.openxmlformats.org/officeDocument/2006/relationships/hyperlink" Target="https://www.gem.wiki/Jiangxi_Natural_Gas_Pipeline_Network" TargetMode="External"/><Relationship Id="rId3236" Type="http://schemas.openxmlformats.org/officeDocument/2006/relationships/hyperlink" Target="https://www.gem.wiki/Liaoning_Gas_Pipeline_Network" TargetMode="External"/><Relationship Id="rId157" Type="http://schemas.openxmlformats.org/officeDocument/2006/relationships/hyperlink" Target="https://www.gem.wiki/Doosan_Bobcat_Pipeline" TargetMode="External"/><Relationship Id="rId364" Type="http://schemas.openxmlformats.org/officeDocument/2006/relationships/hyperlink" Target="https://www.gem.wiki/Ionian_Adriatic_Gas_Pipeline" TargetMode="External"/><Relationship Id="rId2045" Type="http://schemas.openxmlformats.org/officeDocument/2006/relationships/hyperlink" Target="https://www.gem.wiki/Gasoduto_Santo_Ant%C3%B4nio_dos_Lopes-Barcarena" TargetMode="External"/><Relationship Id="rId2697" Type="http://schemas.openxmlformats.org/officeDocument/2006/relationships/hyperlink" Target="https://www.gem.wiki/Mantsala%E2%80%93Kyroskoski_Gas_Pipeline" TargetMode="External"/><Relationship Id="rId571" Type="http://schemas.openxmlformats.org/officeDocument/2006/relationships/hyperlink" Target="https://www.gem.wiki/Efremovka-Dikanka-Kiev_Gas_Pipeline" TargetMode="External"/><Relationship Id="rId669" Type="http://schemas.openxmlformats.org/officeDocument/2006/relationships/hyperlink" Target="https://www.gem.wiki/Zarza_de_Tajo%E2%80%93Yela_Gas_Pipeline" TargetMode="External"/><Relationship Id="rId876" Type="http://schemas.openxmlformats.org/officeDocument/2006/relationships/hyperlink" Target="https://www.gem.wiki/El_Oued-Taleb_El_Arbi_Gas_Pipeline" TargetMode="External"/><Relationship Id="rId1299" Type="http://schemas.openxmlformats.org/officeDocument/2006/relationships/hyperlink" Target="https://www.gem.wiki/UK-Ireland_Interconnector_2" TargetMode="External"/><Relationship Id="rId2252" Type="http://schemas.openxmlformats.org/officeDocument/2006/relationships/hyperlink" Target="https://www.gem.wiki/Siri%E2%80%93Mobarak_Gas_Pipeline" TargetMode="External"/><Relationship Id="rId2557" Type="http://schemas.openxmlformats.org/officeDocument/2006/relationships/hyperlink" Target="https://www.gem.wiki/Vanadzor-Gyumri_Gas_Pipeline" TargetMode="External"/><Relationship Id="rId3303" Type="http://schemas.openxmlformats.org/officeDocument/2006/relationships/hyperlink" Target="https://www.gem.wiki/Heilongjiang_Natural_Gas_Pipeline_Network" TargetMode="External"/><Relationship Id="rId224" Type="http://schemas.openxmlformats.org/officeDocument/2006/relationships/hyperlink" Target="https://www.gem.wiki/Liza_Gas_Pipeline" TargetMode="External"/><Relationship Id="rId431" Type="http://schemas.openxmlformats.org/officeDocument/2006/relationships/hyperlink" Target="https://www.gem.wiki/Yelets-Kursk-Kyiv_Gas_Pipeline" TargetMode="External"/><Relationship Id="rId529" Type="http://schemas.openxmlformats.org/officeDocument/2006/relationships/hyperlink" Target="https://www.gem.wiki/Shahdol-Phulpur_Gas_Pipeline" TargetMode="External"/><Relationship Id="rId736" Type="http://schemas.openxmlformats.org/officeDocument/2006/relationships/hyperlink" Target="https://www.gem.wiki/Hassi_R%27Mel-Skikda-El_Kala_gas_pipeline" TargetMode="External"/><Relationship Id="rId1061" Type="http://schemas.openxmlformats.org/officeDocument/2006/relationships/hyperlink" Target="https://www.gem.wiki/Binaradka-Ulyanovsk_Gas_Pipeline" TargetMode="External"/><Relationship Id="rId1159" Type="http://schemas.openxmlformats.org/officeDocument/2006/relationships/hyperlink" Target="https://www.gem.wiki/Isan_Gas_Pipeline" TargetMode="External"/><Relationship Id="rId1366" Type="http://schemas.openxmlformats.org/officeDocument/2006/relationships/hyperlink" Target="https://gem.wiki/Chazelles&#8211;Roussines_Gas_Pipeline" TargetMode="External"/><Relationship Id="rId2112" Type="http://schemas.openxmlformats.org/officeDocument/2006/relationships/hyperlink" Target="https://www.gem.wiki/Nova_Gas_Transmission_(NGTL)_Pipeline" TargetMode="External"/><Relationship Id="rId2417" Type="http://schemas.openxmlformats.org/officeDocument/2006/relationships/hyperlink" Target="https://www.gem.wiki/Selivanovo_Gas_Pipeline" TargetMode="External"/><Relationship Id="rId2764" Type="http://schemas.openxmlformats.org/officeDocument/2006/relationships/hyperlink" Target="https://www.gem.wiki/Yunnan_Gas_Pipeline_Network" TargetMode="External"/><Relationship Id="rId2971" Type="http://schemas.openxmlformats.org/officeDocument/2006/relationships/hyperlink" Target="https://www.gem.wiki/Guangxi_Gas_Pipeline_Network" TargetMode="External"/><Relationship Id="rId943" Type="http://schemas.openxmlformats.org/officeDocument/2006/relationships/hyperlink" Target="https://www.gem.wiki/Kisarazu_Rinkai_Gas_Pipeline" TargetMode="External"/><Relationship Id="rId1019" Type="http://schemas.openxmlformats.org/officeDocument/2006/relationships/hyperlink" Target="https://www.gem.wiki/Methanization_of_Sardinia_Project" TargetMode="External"/><Relationship Id="rId1573" Type="http://schemas.openxmlformats.org/officeDocument/2006/relationships/hyperlink" Target="https://gem.wiki/Wijngaarden&#8211;Gate_Rotterdam_Gas_Pipeline" TargetMode="External"/><Relationship Id="rId1780" Type="http://schemas.openxmlformats.org/officeDocument/2006/relationships/hyperlink" Target="https://www.gem.wiki/Yadana_Gas_Pipeline_2" TargetMode="External"/><Relationship Id="rId1878" Type="http://schemas.openxmlformats.org/officeDocument/2006/relationships/hyperlink" Target="https://www.gem.wiki/Los_Ramones_Gas_Pipeline" TargetMode="External"/><Relationship Id="rId2624" Type="http://schemas.openxmlformats.org/officeDocument/2006/relationships/hyperlink" Target="https://www.gem.wiki/Solothurn-Zurich_Gas_Pipeline" TargetMode="External"/><Relationship Id="rId2831" Type="http://schemas.openxmlformats.org/officeDocument/2006/relationships/hyperlink" Target="https://www.gem.wiki/Anhui_Gas_Pipeline_Network" TargetMode="External"/><Relationship Id="rId2929" Type="http://schemas.openxmlformats.org/officeDocument/2006/relationships/hyperlink" Target="https://www.gem.wiki/Guangdong_Gas_Pipeline_Network_Phase_I" TargetMode="External"/><Relationship Id="rId72" Type="http://schemas.openxmlformats.org/officeDocument/2006/relationships/hyperlink" Target="https://www.gem.wiki/Millennium_Gas_Pipeline" TargetMode="External"/><Relationship Id="rId803" Type="http://schemas.openxmlformats.org/officeDocument/2006/relationships/hyperlink" Target="https://www.gem.wiki/Abqaiq-Berri_gas_pipeline" TargetMode="External"/><Relationship Id="rId1226" Type="http://schemas.openxmlformats.org/officeDocument/2006/relationships/hyperlink" Target="https://www.gem.wiki/Northern_Natural_Gas_Pipeline" TargetMode="External"/><Relationship Id="rId1433" Type="http://schemas.openxmlformats.org/officeDocument/2006/relationships/hyperlink" Target="https://gem.wiki/Jirkov&#8211;Hospozin_Gas_Pipeline" TargetMode="External"/><Relationship Id="rId1640" Type="http://schemas.openxmlformats.org/officeDocument/2006/relationships/hyperlink" Target="https://www.gem.wiki/Concho-Progreso_Gas_Pipeline" TargetMode="External"/><Relationship Id="rId1738" Type="http://schemas.openxmlformats.org/officeDocument/2006/relationships/hyperlink" Target="https://www.gem.wiki/Sabah%E2%80%93Sarawak_Gas_Pipeline" TargetMode="External"/><Relationship Id="rId3093" Type="http://schemas.openxmlformats.org/officeDocument/2006/relationships/hyperlink" Target="https://www.gem.wiki/Zhejiang_Natural_Gas_Pipeline_Network" TargetMode="External"/><Relationship Id="rId1500" Type="http://schemas.openxmlformats.org/officeDocument/2006/relationships/hyperlink" Target="https://gem.wiki/Palmi&#8211;Messina_Gas_Pipeline" TargetMode="External"/><Relationship Id="rId1945" Type="http://schemas.openxmlformats.org/officeDocument/2006/relationships/hyperlink" Target="https://www.gem.wiki/Sinphuhorm-Nam_Phong_Gas_Pipeline" TargetMode="External"/><Relationship Id="rId3160" Type="http://schemas.openxmlformats.org/officeDocument/2006/relationships/hyperlink" Target="https://www.gem.wiki/Strait_West_Natural_Gas_Pipeline_Network_Phase_II" TargetMode="External"/><Relationship Id="rId1805" Type="http://schemas.openxmlformats.org/officeDocument/2006/relationships/hyperlink" Target="https://www.gem.wiki/Gasoducto_del_Pacifico" TargetMode="External"/><Relationship Id="rId3020" Type="http://schemas.openxmlformats.org/officeDocument/2006/relationships/hyperlink" Target="https://www.gem.wiki/Jiangsu_Coastal_Gas_Pipeline" TargetMode="External"/><Relationship Id="rId3258" Type="http://schemas.openxmlformats.org/officeDocument/2006/relationships/hyperlink" Target="https://www.gem.wiki/Chongqing_Gas_Pipeline_Network" TargetMode="External"/><Relationship Id="rId179" Type="http://schemas.openxmlformats.org/officeDocument/2006/relationships/hyperlink" Target="https://www.gem.wiki/Tidewater_Pipeline" TargetMode="External"/><Relationship Id="rId386" Type="http://schemas.openxmlformats.org/officeDocument/2006/relationships/hyperlink" Target="https://www.gem.wiki/Trans-Adriatic_Gas_Pipeline" TargetMode="External"/><Relationship Id="rId593" Type="http://schemas.openxmlformats.org/officeDocument/2006/relationships/hyperlink" Target="https://www.gem.wiki/Kramatorsk-Donetsk-Mariupol_Gas_Pipeline" TargetMode="External"/><Relationship Id="rId2067" Type="http://schemas.openxmlformats.org/officeDocument/2006/relationships/hyperlink" Target="https://www.gem.wiki/Rozwad%C3%B3w_Koskowola_Wron%C3%B3w_Pipeline" TargetMode="External"/><Relationship Id="rId2274" Type="http://schemas.openxmlformats.org/officeDocument/2006/relationships/hyperlink" Target="https://www.gem.wiki/Shumikha-Almenevo_Gas_Pipelinee" TargetMode="External"/><Relationship Id="rId2481" Type="http://schemas.openxmlformats.org/officeDocument/2006/relationships/hyperlink" Target="https://www.gem.wiki/Annecy-La_Gabiule_Gas_Pipeline" TargetMode="External"/><Relationship Id="rId3118" Type="http://schemas.openxmlformats.org/officeDocument/2006/relationships/hyperlink" Target="https://www.gem.wiki/Hubei_Gas_Pipeline_Network" TargetMode="External"/><Relationship Id="rId3325" Type="http://schemas.openxmlformats.org/officeDocument/2006/relationships/hyperlink" Target="https://www.hlj.gov.cn/n200/2020/1213/c35-11012253.html" TargetMode="External"/><Relationship Id="rId246" Type="http://schemas.openxmlformats.org/officeDocument/2006/relationships/hyperlink" Target="https://www.gem.wiki/San_Isidro-Samalayuca_Gas_pipeline" TargetMode="External"/><Relationship Id="rId453" Type="http://schemas.openxmlformats.org/officeDocument/2006/relationships/hyperlink" Target="https://www.gem.wiki/METG_Pipeline" TargetMode="External"/><Relationship Id="rId660" Type="http://schemas.openxmlformats.org/officeDocument/2006/relationships/hyperlink" Target="https://www.gem.wiki/Baleares_Gas_Pipeline" TargetMode="External"/><Relationship Id="rId898" Type="http://schemas.openxmlformats.org/officeDocument/2006/relationships/hyperlink" Target="https://www.gem.wiki/Vega_Pl%C3%A9yade_Gas_Pipeline" TargetMode="External"/><Relationship Id="rId1083" Type="http://schemas.openxmlformats.org/officeDocument/2006/relationships/hyperlink" Target="https://www.gem.wiki/Gryazovets-Ring_of_the_Moscow_Region_Gas_Pipeline" TargetMode="External"/><Relationship Id="rId1290" Type="http://schemas.openxmlformats.org/officeDocument/2006/relationships/hyperlink" Target="https://www.gem.wiki/Urucu-Manaus_Gas_Pipeline" TargetMode="External"/><Relationship Id="rId2134" Type="http://schemas.openxmlformats.org/officeDocument/2006/relationships/hyperlink" Target="https://www.gem.wiki/Moomba_Sydney_Pipeline_System" TargetMode="External"/><Relationship Id="rId2341" Type="http://schemas.openxmlformats.org/officeDocument/2006/relationships/hyperlink" Target="https://www.gem.wiki/Florida_Gas_Transmission_Pipeline" TargetMode="External"/><Relationship Id="rId2579" Type="http://schemas.openxmlformats.org/officeDocument/2006/relationships/hyperlink" Target="https://www.gem.wiki/Saint_Stefano_Di_Magra-Cortemaggiore_Gas_Pipline" TargetMode="External"/><Relationship Id="rId2786" Type="http://schemas.openxmlformats.org/officeDocument/2006/relationships/hyperlink" Target="https://www.gem.wiki/Inner_Mongolia_Gas_Pipeline_Network" TargetMode="External"/><Relationship Id="rId2993" Type="http://schemas.openxmlformats.org/officeDocument/2006/relationships/hyperlink" Target="https://www.gem.wiki/Xinjiang_Coal-to-Gas_Pipeline_Project" TargetMode="External"/><Relationship Id="rId106" Type="http://schemas.openxmlformats.org/officeDocument/2006/relationships/hyperlink" Target="https://www.gem.wiki/Spire_STL_Pipeline" TargetMode="External"/><Relationship Id="rId313" Type="http://schemas.openxmlformats.org/officeDocument/2006/relationships/hyperlink" Target="https://www.gem.wiki/Idd-Al-Shargi_North_Dome-Wakrah_Station_Gas_Pipeline" TargetMode="External"/><Relationship Id="rId758" Type="http://schemas.openxmlformats.org/officeDocument/2006/relationships/hyperlink" Target="https://www.gem.wiki/Waha-Nasser_gas_pipeline" TargetMode="External"/><Relationship Id="rId965" Type="http://schemas.openxmlformats.org/officeDocument/2006/relationships/hyperlink" Target="https://www.gem.wiki/South_East_South_Australia_Pipeline" TargetMode="External"/><Relationship Id="rId1150" Type="http://schemas.openxmlformats.org/officeDocument/2006/relationships/hyperlink" Target="https://gem.wiki/Phased_Gas_Pipeline_Network" TargetMode="External"/><Relationship Id="rId1388" Type="http://schemas.openxmlformats.org/officeDocument/2006/relationships/hyperlink" Target="https://gem.wiki/Echt&#8211;Puth_Schinnen_Gas_Pipeline" TargetMode="External"/><Relationship Id="rId1595" Type="http://schemas.openxmlformats.org/officeDocument/2006/relationships/hyperlink" Target="https://www.gem.wiki/Gasoducto_Carrasco-Cochabamba" TargetMode="External"/><Relationship Id="rId2439" Type="http://schemas.openxmlformats.org/officeDocument/2006/relationships/hyperlink" Target="https://www.gem.wiki/Qatargas_Ras_Laffan_Gas_Pipelines" TargetMode="External"/><Relationship Id="rId2646" Type="http://schemas.openxmlformats.org/officeDocument/2006/relationships/hyperlink" Target="https://www.gem.wiki/Stalowa_Wola-Pogorska_Wola_Gas_Pipeline" TargetMode="External"/><Relationship Id="rId2853" Type="http://schemas.openxmlformats.org/officeDocument/2006/relationships/hyperlink" Target="https://www.gem.wiki/Sishui%E2%80%93Jining_Gas_Pipeline" TargetMode="External"/><Relationship Id="rId94" Type="http://schemas.openxmlformats.org/officeDocument/2006/relationships/hyperlink" Target="https://www.gem.wiki/Portland_Natural_Gas_Transmission_System_(PNGTS)" TargetMode="External"/><Relationship Id="rId520" Type="http://schemas.openxmlformats.org/officeDocument/2006/relationships/hyperlink" Target="https://www.gem.wiki/Grenada_to_Trinidad_and_Tobago_Gas_Network" TargetMode="External"/><Relationship Id="rId618" Type="http://schemas.openxmlformats.org/officeDocument/2006/relationships/hyperlink" Target="https://www.gem.wiki/Wakakura_Pipeline" TargetMode="External"/><Relationship Id="rId825" Type="http://schemas.openxmlformats.org/officeDocument/2006/relationships/hyperlink" Target="https://www.gem.wiki/Gasoducto_Muscar-Soto" TargetMode="External"/><Relationship Id="rId1248" Type="http://schemas.openxmlformats.org/officeDocument/2006/relationships/hyperlink" Target="https://www.gem.wiki/Atlantic_Coast_Gas_Pipeline" TargetMode="External"/><Relationship Id="rId1455" Type="http://schemas.openxmlformats.org/officeDocument/2006/relationships/hyperlink" Target="https://gem.wiki/Madrid&#8211;Algete_Gas_Pipeline" TargetMode="External"/><Relationship Id="rId1662" Type="http://schemas.openxmlformats.org/officeDocument/2006/relationships/hyperlink" Target="https://www.gem.wiki/Gulf_South_Gas_Pipeline" TargetMode="External"/><Relationship Id="rId2201" Type="http://schemas.openxmlformats.org/officeDocument/2006/relationships/hyperlink" Target="https://www.gem.wiki/Dandewala-Gamnewala-RSEB_Ramgarh_Gas_Pipeline" TargetMode="External"/><Relationship Id="rId2506" Type="http://schemas.openxmlformats.org/officeDocument/2006/relationships/hyperlink" Target="https://www.gem.wiki/Bahar-Hovsan-Surakhani_Gas_Pipeline" TargetMode="External"/><Relationship Id="rId1010" Type="http://schemas.openxmlformats.org/officeDocument/2006/relationships/hyperlink" Target="https://www.gem.wiki/Mumbai-Nagpur-Jharsuguda_Gas_Pipeline" TargetMode="External"/><Relationship Id="rId1108" Type="http://schemas.openxmlformats.org/officeDocument/2006/relationships/hyperlink" Target="https://www.gem.wiki/Novoportovskoye_Oil_and_Gas_Condensate_Field-Yamburg_Gas_Pipeline" TargetMode="External"/><Relationship Id="rId1315" Type="http://schemas.openxmlformats.org/officeDocument/2006/relationships/hyperlink" Target="https://gem.wiki/Altamura&#8211;Candela_Gas_Pipeline" TargetMode="External"/><Relationship Id="rId1967" Type="http://schemas.openxmlformats.org/officeDocument/2006/relationships/hyperlink" Target="https://www.gem.wiki/Carpentaria_Gas_Pipeline" TargetMode="External"/><Relationship Id="rId2713" Type="http://schemas.openxmlformats.org/officeDocument/2006/relationships/hyperlink" Target="https://www.gem.wiki/Ohio_Valley_Connector_Expansion_Project_(OVCX)" TargetMode="External"/><Relationship Id="rId2920" Type="http://schemas.openxmlformats.org/officeDocument/2006/relationships/hyperlink" Target="https://www.gem.wiki/Sichuan_%26_Chongqing_Grand_Loop_Line" TargetMode="External"/><Relationship Id="rId1522" Type="http://schemas.openxmlformats.org/officeDocument/2006/relationships/hyperlink" Target="https://gem.wiki/Rijeka&#8211;Pula_Gas_Pipeline" TargetMode="External"/><Relationship Id="rId21" Type="http://schemas.openxmlformats.org/officeDocument/2006/relationships/hyperlink" Target="https://www.gem.wiki/Enable_Oklahoma_Instrastate_Transmission" TargetMode="External"/><Relationship Id="rId2089" Type="http://schemas.openxmlformats.org/officeDocument/2006/relationships/hyperlink" Target="https://www.gem.wiki/North_Bakken_Expansion_Pipeline" TargetMode="External"/><Relationship Id="rId2296" Type="http://schemas.openxmlformats.org/officeDocument/2006/relationships/hyperlink" Target="https://www.gem.wiki/Makat%E2%80%93North_Caucasus_Pipeline" TargetMode="External"/><Relationship Id="rId3347" Type="http://schemas.openxmlformats.org/officeDocument/2006/relationships/hyperlink" Target="https://www.gem.wiki/Jiangsu%E2%80%93Henan%E2%80%93Anhui_Provinces_Connection_Line_(Binhai%E2%80%93Shangqiu)" TargetMode="External"/><Relationship Id="rId268" Type="http://schemas.openxmlformats.org/officeDocument/2006/relationships/hyperlink" Target="https://www.gem.wiki/Iran%E2%80%93Armenia_gas_pipeline" TargetMode="External"/><Relationship Id="rId475" Type="http://schemas.openxmlformats.org/officeDocument/2006/relationships/hyperlink" Target="https://www.gem.wiki/Chittagong_Ring_Main_Gas_Pipeline" TargetMode="External"/><Relationship Id="rId682" Type="http://schemas.openxmlformats.org/officeDocument/2006/relationships/hyperlink" Target="https://www.gem.wiki/Izmit-Eregli_Pipeline" TargetMode="External"/><Relationship Id="rId2156" Type="http://schemas.openxmlformats.org/officeDocument/2006/relationships/hyperlink" Target="https://www.youm7.com/story/2011/2/5/%D8%A8%D8%A7%D9%84%D8%B5%D9%88%D8%B1-%D8%A7%D9%84%D8%AA%D9%81%D8%A7%D8%B5%D9%8A%D9%84-%D8%A7%D9%84%D9%83%D8%A7%D9%85%D9%84%D8%A9-%D9%84%D9%85%D8%B3%D8%A7%D8%B1-%D8%AE%D8%B7%D9%89-%D8%A7%D9%84%D8%BA%D8%A7%D8%B2-%D8%A7%D9%84%D8%B9%D8%B1%D8%A8%D9%89-%D9%88%D8%A7%D9%84%D8%A5%D8%B3%D8%B1%D8%A7%D8%A6%D9%8A%D9%84%D9%89-%D8%A8%D8%B3%D9%8A%D9%86%D8%A7%D8%A1-%D9%8A%D8%A8%D8%AF%D8%A3/346711" TargetMode="External"/><Relationship Id="rId2363" Type="http://schemas.openxmlformats.org/officeDocument/2006/relationships/hyperlink" Target="https://www.gem.wiki/Gazli-Nukus_Gas_Pipeline" TargetMode="External"/><Relationship Id="rId2570" Type="http://schemas.openxmlformats.org/officeDocument/2006/relationships/hyperlink" Target="https://www.gem.wiki/Minerbio%E2%80%93Parma_Gas_Pipeline" TargetMode="External"/><Relationship Id="rId3207" Type="http://schemas.openxmlformats.org/officeDocument/2006/relationships/hyperlink" Target="https://www.gem.wiki/Guizhou_Gas_Pipeline_Network" TargetMode="External"/><Relationship Id="rId128" Type="http://schemas.openxmlformats.org/officeDocument/2006/relationships/hyperlink" Target="https://www.gem.wiki/Valley_Crossing_Pipeline" TargetMode="External"/><Relationship Id="rId335" Type="http://schemas.openxmlformats.org/officeDocument/2006/relationships/hyperlink" Target="https://www.gem.wiki/Bab-Habshan%E2%80%93Umm_al-Nar_gas_pipeline" TargetMode="External"/><Relationship Id="rId542" Type="http://schemas.openxmlformats.org/officeDocument/2006/relationships/hyperlink" Target="https://www.gem.wiki/East_Java_Gas_Pipeline" TargetMode="External"/><Relationship Id="rId1172" Type="http://schemas.openxmlformats.org/officeDocument/2006/relationships/hyperlink" Target="https://www.gem.wiki/Tennessee_Gas_Pipeline" TargetMode="External"/><Relationship Id="rId2016" Type="http://schemas.openxmlformats.org/officeDocument/2006/relationships/hyperlink" Target="https://www.gem.wiki/Route_4b_Gas_Pipeline" TargetMode="External"/><Relationship Id="rId2223" Type="http://schemas.openxmlformats.org/officeDocument/2006/relationships/hyperlink" Target="https://www.gem.wiki/New_Administrative_Capital%E2%80%93Dahshur_Gas_Pipeline" TargetMode="External"/><Relationship Id="rId2430" Type="http://schemas.openxmlformats.org/officeDocument/2006/relationships/hyperlink" Target="https://www.gem.wiki/Alkhazurovo-Shatoi_Gas_Pipeline" TargetMode="External"/><Relationship Id="rId402" Type="http://schemas.openxmlformats.org/officeDocument/2006/relationships/hyperlink" Target="https://www.gem.wiki/Dzhubga-Lazarevskoye-Sochi_Gas_Pipeline" TargetMode="External"/><Relationship Id="rId1032" Type="http://schemas.openxmlformats.org/officeDocument/2006/relationships/hyperlink" Target="https://www.gem.wiki/Gasoducto_S%C3%A1sabe-Guaymas" TargetMode="External"/><Relationship Id="rId1989" Type="http://schemas.openxmlformats.org/officeDocument/2006/relationships/hyperlink" Target="https://www.gem.wiki/Dawson_Valley_Pipeline" TargetMode="External"/><Relationship Id="rId1849" Type="http://schemas.openxmlformats.org/officeDocument/2006/relationships/hyperlink" Target="https://www.gem.wiki/Southern_Peru_Gas_Pipeline" TargetMode="External"/><Relationship Id="rId3064" Type="http://schemas.openxmlformats.org/officeDocument/2006/relationships/hyperlink" Target="https://www.gem.wiki/Henan_Gas_Pipeline_Network" TargetMode="External"/><Relationship Id="rId192" Type="http://schemas.openxmlformats.org/officeDocument/2006/relationships/hyperlink" Target="https://www.gem.wiki/Saginaw_Trail_Pipeline" TargetMode="External"/><Relationship Id="rId1709" Type="http://schemas.openxmlformats.org/officeDocument/2006/relationships/hyperlink" Target="https://www.gem.wiki/Goleni%C3%B3w%E2%80%93P%C5%82oty_Gas_Pipeline" TargetMode="External"/><Relationship Id="rId1916" Type="http://schemas.openxmlformats.org/officeDocument/2006/relationships/hyperlink" Target="https://www.gem.wiki/Tanzania_Uganda_Pipeline" TargetMode="External"/><Relationship Id="rId3271" Type="http://schemas.openxmlformats.org/officeDocument/2006/relationships/hyperlink" Target="https://www.gem.wiki/Baodi-Xianghe-Xiji_gas_pipeline" TargetMode="External"/><Relationship Id="rId2080" Type="http://schemas.openxmlformats.org/officeDocument/2006/relationships/hyperlink" Target="https://www.gem.wiki/Karratha_to_Cape_Lambert_Pipeline" TargetMode="External"/><Relationship Id="rId3131" Type="http://schemas.openxmlformats.org/officeDocument/2006/relationships/hyperlink" Target="https://www.gem.wiki/Hunan_Gas_Pipeline_Network" TargetMode="External"/><Relationship Id="rId2897" Type="http://schemas.openxmlformats.org/officeDocument/2006/relationships/hyperlink" Target="https://www.gem.wiki/Sichuan%E2%80%93Shanghai_Gas_Pipeline" TargetMode="External"/><Relationship Id="rId869" Type="http://schemas.openxmlformats.org/officeDocument/2006/relationships/hyperlink" Target="https://www.gem.wiki/Rocade_East-West_Gas_Pipeline" TargetMode="External"/><Relationship Id="rId1499" Type="http://schemas.openxmlformats.org/officeDocument/2006/relationships/hyperlink" Target="https://gem.wiki/Palagiano&#8211;Latiano_Gas_Pipeline" TargetMode="External"/><Relationship Id="rId729" Type="http://schemas.openxmlformats.org/officeDocument/2006/relationships/hyperlink" Target="https://www.gem.wiki/TransSakhalin_Gas_Pipeline_System" TargetMode="External"/><Relationship Id="rId1359" Type="http://schemas.openxmlformats.org/officeDocument/2006/relationships/hyperlink" Target="https://gem.wiki/Campochiaro&#8211;Melizzano_Gas_Pipeline" TargetMode="External"/><Relationship Id="rId2757" Type="http://schemas.openxmlformats.org/officeDocument/2006/relationships/hyperlink" Target="https://www.gem.wiki/Yunnan_Gas_Pipeline_Network" TargetMode="External"/><Relationship Id="rId2964" Type="http://schemas.openxmlformats.org/officeDocument/2006/relationships/hyperlink" Target="https://www.gem.wiki/Guangxi_LNG_Terminal_Transport_Pipeline" TargetMode="External"/><Relationship Id="rId936" Type="http://schemas.openxmlformats.org/officeDocument/2006/relationships/hyperlink" Target="https://www.gem.wiki/Kinki_Trunk_Line_No._1_East_Line" TargetMode="External"/><Relationship Id="rId1219" Type="http://schemas.openxmlformats.org/officeDocument/2006/relationships/hyperlink" Target="https://www.gem.wiki/Gasoducto_Norte_Crossing" TargetMode="External"/><Relationship Id="rId1566" Type="http://schemas.openxmlformats.org/officeDocument/2006/relationships/hyperlink" Target="https://gem.wiki/Vindecy&#8211;Lyon_Gas_Pipeline" TargetMode="External"/><Relationship Id="rId1773" Type="http://schemas.openxmlformats.org/officeDocument/2006/relationships/hyperlink" Target="https://www.gem.wiki/Elba_Express_Pipeline" TargetMode="External"/><Relationship Id="rId1980" Type="http://schemas.openxmlformats.org/officeDocument/2006/relationships/hyperlink" Target="https://www.gem.wiki/Kobryn-Brest-Warsaw_Gas_Pipeline" TargetMode="External"/><Relationship Id="rId2617" Type="http://schemas.openxmlformats.org/officeDocument/2006/relationships/hyperlink" Target="https://www.gem.wiki/Vodice-Jesenice_Gas_Pipeline" TargetMode="External"/><Relationship Id="rId2824" Type="http://schemas.openxmlformats.org/officeDocument/2006/relationships/hyperlink" Target="https://www.gem.wiki/Tianjin_Gas_Pipeline_Network" TargetMode="External"/><Relationship Id="rId65" Type="http://schemas.openxmlformats.org/officeDocument/2006/relationships/hyperlink" Target="https://www.gem.wiki/Louisiana_Intrastate_Gas_(LIG)_Pipeline" TargetMode="External"/><Relationship Id="rId1426" Type="http://schemas.openxmlformats.org/officeDocument/2006/relationships/hyperlink" Target="https://www.gem.wiki/Tamarite%E2%80%93Serrablo_Gas_Pipeline" TargetMode="External"/><Relationship Id="rId1633" Type="http://schemas.openxmlformats.org/officeDocument/2006/relationships/hyperlink" Target="https://www.gem.wiki/South_West_LNG_Terminal_to_Ca_Mau_Gas_Pipeline" TargetMode="External"/><Relationship Id="rId1840" Type="http://schemas.openxmlformats.org/officeDocument/2006/relationships/hyperlink" Target="https://www.gem.wiki/Subic_Gas_Pipeline" TargetMode="External"/><Relationship Id="rId1700" Type="http://schemas.openxmlformats.org/officeDocument/2006/relationships/hyperlink" Target="https://www.gem.wiki/Wheatstone_Ashburton_West_Pipeline" TargetMode="External"/><Relationship Id="rId379" Type="http://schemas.openxmlformats.org/officeDocument/2006/relationships/hyperlink" Target="https://www.gem.wiki/Skanled_Gas_Pipeline" TargetMode="External"/><Relationship Id="rId586" Type="http://schemas.openxmlformats.org/officeDocument/2006/relationships/hyperlink" Target="https://www.gem.wiki/Makat%E2%80%93North_Caucasus_Pipeline" TargetMode="External"/><Relationship Id="rId793" Type="http://schemas.openxmlformats.org/officeDocument/2006/relationships/hyperlink" Target="https://www.gem.wiki/Tampen_Link_Gas_Pipeline" TargetMode="External"/><Relationship Id="rId2267" Type="http://schemas.openxmlformats.org/officeDocument/2006/relationships/hyperlink" Target="https://www.gem.wiki/Austria%E2%80%93Slovenia_Interconnector_Gas_Pipeline" TargetMode="External"/><Relationship Id="rId2474" Type="http://schemas.openxmlformats.org/officeDocument/2006/relationships/hyperlink" Target="https://www.gem.wiki/Irun-Biriatou_Gas_Pipeline" TargetMode="External"/><Relationship Id="rId2681" Type="http://schemas.openxmlformats.org/officeDocument/2006/relationships/hyperlink" Target="https://www.gem.wiki/Kulata-Nea_Mesimvria_Gas_Pipeline" TargetMode="External"/><Relationship Id="rId3318" Type="http://schemas.openxmlformats.org/officeDocument/2006/relationships/hyperlink" Target="https://www.gem.wiki/Heilongjiang_Natural_Gas_Pipeline_Network" TargetMode="External"/><Relationship Id="rId239" Type="http://schemas.openxmlformats.org/officeDocument/2006/relationships/hyperlink" Target="https://www.gem.wiki/Gasoducto_Ramal_Tula" TargetMode="External"/><Relationship Id="rId446" Type="http://schemas.openxmlformats.org/officeDocument/2006/relationships/hyperlink" Target="https://www.gem.wiki/National_Transmission_System" TargetMode="External"/><Relationship Id="rId653" Type="http://schemas.openxmlformats.org/officeDocument/2006/relationships/hyperlink" Target="https://www.gem.wiki/Eagle_FLNG_Pipeline" TargetMode="External"/><Relationship Id="rId1076" Type="http://schemas.openxmlformats.org/officeDocument/2006/relationships/hyperlink" Target="https://www.gem.wiki/Soma-Iwamuna_Gas_Pipeline" TargetMode="External"/><Relationship Id="rId1283" Type="http://schemas.openxmlformats.org/officeDocument/2006/relationships/hyperlink" Target="https://www.gem.wiki/Gasoducto_Bolivia%E2%80%93Paraguay" TargetMode="External"/><Relationship Id="rId1490" Type="http://schemas.openxmlformats.org/officeDocument/2006/relationships/hyperlink" Target="https://gem.wiki/Rixfeld&#8211;Scheidt_Gas_Pipeline" TargetMode="External"/><Relationship Id="rId2127" Type="http://schemas.openxmlformats.org/officeDocument/2006/relationships/hyperlink" Target="https://www.gem.wiki/Queensland_Hunter_Gas_Pipeline" TargetMode="External"/><Relationship Id="rId2334" Type="http://schemas.openxmlformats.org/officeDocument/2006/relationships/hyperlink" Target="https://www.gem.wiki/North%E2%80%93South_Gas_Pipeline" TargetMode="External"/><Relationship Id="rId306" Type="http://schemas.openxmlformats.org/officeDocument/2006/relationships/hyperlink" Target="https://www.gem.wiki/Oben-Geregu_Gas_Pipeline" TargetMode="External"/><Relationship Id="rId860" Type="http://schemas.openxmlformats.org/officeDocument/2006/relationships/hyperlink" Target="https://www.gem.wiki/Bir_Rebaa_Nord%E2%80%93Menzel_Ledjmet_Est_Gas_Pipeline" TargetMode="External"/><Relationship Id="rId1143" Type="http://schemas.openxmlformats.org/officeDocument/2006/relationships/hyperlink" Target="https://www.gem.wiki/Zapolyarnoye-Novy_Urengoy_Gas_Pipeline" TargetMode="External"/><Relationship Id="rId2541" Type="http://schemas.openxmlformats.org/officeDocument/2006/relationships/hyperlink" Target="https://www.gem.wiki/JDA-Arthit_Gas_Pipeline" TargetMode="External"/><Relationship Id="rId513" Type="http://schemas.openxmlformats.org/officeDocument/2006/relationships/hyperlink" Target="https://www.gem.wiki/Gasoducto_Bah%C3%ADa_Chasco-Vallenar" TargetMode="External"/><Relationship Id="rId720" Type="http://schemas.openxmlformats.org/officeDocument/2006/relationships/hyperlink" Target="https://www.gem.wiki/Mellitah-G%C3%A1bes_Pipeline" TargetMode="External"/><Relationship Id="rId1350" Type="http://schemas.openxmlformats.org/officeDocument/2006/relationships/hyperlink" Target="https://gem.wiki/Breheville&#8211;Aouste_Gas_Pipeline" TargetMode="External"/><Relationship Id="rId2401" Type="http://schemas.openxmlformats.org/officeDocument/2006/relationships/hyperlink" Target="https://www.gem.wiki/Kokshamary_Gas_Pipeline" TargetMode="External"/><Relationship Id="rId1003" Type="http://schemas.openxmlformats.org/officeDocument/2006/relationships/hyperlink" Target="https://www.gem.wiki/Slovakia-Hungary_Interconnector_Gas_Pipeline" TargetMode="External"/><Relationship Id="rId1210" Type="http://schemas.openxmlformats.org/officeDocument/2006/relationships/hyperlink" Target="https://www.gem.wiki/Magnolia_Gas_Pipeline" TargetMode="External"/><Relationship Id="rId3175" Type="http://schemas.openxmlformats.org/officeDocument/2006/relationships/hyperlink" Target="https://www.gem.wiki/West-East_Gas_Pipeline_3" TargetMode="External"/><Relationship Id="rId2191" Type="http://schemas.openxmlformats.org/officeDocument/2006/relationships/hyperlink" Target="https://www.gem.wiki/Hassi_R'Mel-Arzew_Gas_Pipeline" TargetMode="External"/><Relationship Id="rId3035" Type="http://schemas.openxmlformats.org/officeDocument/2006/relationships/hyperlink" Target="https://www.gem.wiki/Jiangxi_Natural_Gas_Pipeline_Network" TargetMode="External"/><Relationship Id="rId3242" Type="http://schemas.openxmlformats.org/officeDocument/2006/relationships/hyperlink" Target="https://www.gem.wiki/Liaoning_Gas_Pipeline_Network" TargetMode="External"/><Relationship Id="rId163" Type="http://schemas.openxmlformats.org/officeDocument/2006/relationships/hyperlink" Target="https://www.gem.wiki/Risberg_Line_Pipeline" TargetMode="External"/><Relationship Id="rId370" Type="http://schemas.openxmlformats.org/officeDocument/2006/relationships/hyperlink" Target="https://www.gem.wiki/Nabucco_Gas_Pipeline" TargetMode="External"/><Relationship Id="rId2051" Type="http://schemas.openxmlformats.org/officeDocument/2006/relationships/hyperlink" Target="https://www.gem.wiki/Dahej-Vijaipur_Gas_Pipeline_(DVPL-I)" TargetMode="External"/><Relationship Id="rId3102" Type="http://schemas.openxmlformats.org/officeDocument/2006/relationships/hyperlink" Target="https://www.gem.wiki/Hainan_Gas_Pipeline_Network" TargetMode="External"/><Relationship Id="rId230" Type="http://schemas.openxmlformats.org/officeDocument/2006/relationships/hyperlink" Target="https://www.gem.wiki/Ojinaga-El_Encino_Gas_Pipeline" TargetMode="External"/><Relationship Id="rId2868" Type="http://schemas.openxmlformats.org/officeDocument/2006/relationships/hyperlink" Target="https://www.gem.wiki/Duanshi%E2%80%93Jinchen%E2%80%93Bo%27ai_Gas_Pipeline" TargetMode="External"/><Relationship Id="rId1677" Type="http://schemas.openxmlformats.org/officeDocument/2006/relationships/hyperlink" Target="https://www.gem.wiki/Power_of_Siberia_Gas_Pipeline" TargetMode="External"/><Relationship Id="rId1884" Type="http://schemas.openxmlformats.org/officeDocument/2006/relationships/hyperlink" Target="https://www.gem.wiki/Guadalajara_Gas_Pipeline" TargetMode="External"/><Relationship Id="rId2728" Type="http://schemas.openxmlformats.org/officeDocument/2006/relationships/hyperlink" Target="https://www.gem.wiki/Ningxia_Gas_Pipeline_Network" TargetMode="External"/><Relationship Id="rId2935" Type="http://schemas.openxmlformats.org/officeDocument/2006/relationships/hyperlink" Target="https://www.gem.wiki/Guangdong_East_Gas_Pipeline_Network" TargetMode="External"/><Relationship Id="rId907" Type="http://schemas.openxmlformats.org/officeDocument/2006/relationships/hyperlink" Target="https://www.gem.wiki/AGRS_Graf_Ignatievo_to_Hisarya%E2%80%93Banya%E2%80%93Karlovo-Sopot_Gas_Pipeline" TargetMode="External"/><Relationship Id="rId1537" Type="http://schemas.openxmlformats.org/officeDocument/2006/relationships/hyperlink" Target="https://gem.wiki/Slobodnica&#8211;Lucko_Gas_Pipeline" TargetMode="External"/><Relationship Id="rId1744" Type="http://schemas.openxmlformats.org/officeDocument/2006/relationships/hyperlink" Target="https://www.gem.wiki/Eje_Transversal_Gas_Pipeline" TargetMode="External"/><Relationship Id="rId1951" Type="http://schemas.openxmlformats.org/officeDocument/2006/relationships/hyperlink" Target="https://www.gem.wiki/Wang_Noi-Kaeng_Khoi_Gas_Pipeline" TargetMode="External"/><Relationship Id="rId36" Type="http://schemas.openxmlformats.org/officeDocument/2006/relationships/hyperlink" Target="https://www.gem.wiki/Eagle_Mountain-Woodfibre_Gas_Pipeline" TargetMode="External"/><Relationship Id="rId1604" Type="http://schemas.openxmlformats.org/officeDocument/2006/relationships/hyperlink" Target="https://www.gem.wiki/Catu-Itaporanga_Gas_Pipeline" TargetMode="External"/><Relationship Id="rId1811" Type="http://schemas.openxmlformats.org/officeDocument/2006/relationships/hyperlink" Target="https://www.gem.wiki/Yacuiba-Rio_Grande_Gas_Pipeline" TargetMode="External"/><Relationship Id="rId697" Type="http://schemas.openxmlformats.org/officeDocument/2006/relationships/hyperlink" Target="https://www.gem.wiki/Zeelink_Gas_Pipeline" TargetMode="External"/><Relationship Id="rId2378" Type="http://schemas.openxmlformats.org/officeDocument/2006/relationships/hyperlink" Target="https://www.gem.wiki/Qadirpur_Gas_Pipeline_(LNG_Phase_II)" TargetMode="External"/><Relationship Id="rId1187" Type="http://schemas.openxmlformats.org/officeDocument/2006/relationships/hyperlink" Target="https://www.gem.wiki/Gasoducto_Comanche_Trail" TargetMode="External"/><Relationship Id="rId2585" Type="http://schemas.openxmlformats.org/officeDocument/2006/relationships/hyperlink" Target="https://www.gem.wiki/Masera%E2%80%93Mortara_Gas_Pipeline" TargetMode="External"/><Relationship Id="rId2792" Type="http://schemas.openxmlformats.org/officeDocument/2006/relationships/hyperlink" Target="https://www.gem.wiki/Inner_Mongolia_Gas_Pipeline_Network" TargetMode="External"/><Relationship Id="rId557" Type="http://schemas.openxmlformats.org/officeDocument/2006/relationships/hyperlink" Target="https://www.gem.wiki/Pusri-Muntok_Gas_Pipeline" TargetMode="External"/><Relationship Id="rId764" Type="http://schemas.openxmlformats.org/officeDocument/2006/relationships/hyperlink" Target="https://www.gem.wiki/Tripoli-Mellitah_gas_pipeline" TargetMode="External"/><Relationship Id="rId971" Type="http://schemas.openxmlformats.org/officeDocument/2006/relationships/hyperlink" Target="https://www.gem.wiki/Shiga_Gas_Pipeline" TargetMode="External"/><Relationship Id="rId1394" Type="http://schemas.openxmlformats.org/officeDocument/2006/relationships/hyperlink" Target="https://gem.wiki/Bonikowo&#8211;Lwowek_Gas_Pipeline" TargetMode="External"/><Relationship Id="rId2238" Type="http://schemas.openxmlformats.org/officeDocument/2006/relationships/hyperlink" Target="https://www.gem.wiki/Abu_Gharadig%E2%80%93Dahshour_(1)_Gas_Pipeline" TargetMode="External"/><Relationship Id="rId2445" Type="http://schemas.openxmlformats.org/officeDocument/2006/relationships/hyperlink" Target="https://www.gem.wiki/Gujrat-Jhelum_Gas_Pipeline" TargetMode="External"/><Relationship Id="rId2652" Type="http://schemas.openxmlformats.org/officeDocument/2006/relationships/hyperlink" Target="https://www.gem.wiki/Apatin-Paracin_Gas_Pipeline" TargetMode="External"/><Relationship Id="rId417" Type="http://schemas.openxmlformats.org/officeDocument/2006/relationships/hyperlink" Target="https://www.gem.wiki/South_Caucasus_Gas_Pipeline" TargetMode="External"/><Relationship Id="rId624" Type="http://schemas.openxmlformats.org/officeDocument/2006/relationships/hyperlink" Target="https://www.gem.wiki/Futo_line" TargetMode="External"/><Relationship Id="rId831" Type="http://schemas.openxmlformats.org/officeDocument/2006/relationships/hyperlink" Target="https://www.gem.wiki/BC_Gas_Pipeline" TargetMode="External"/><Relationship Id="rId1047" Type="http://schemas.openxmlformats.org/officeDocument/2006/relationships/hyperlink" Target="https://www.gem.wiki/Goleni%C3%B3w-Lw%C3%B3wek_Gas_Pipeline" TargetMode="External"/><Relationship Id="rId1254" Type="http://schemas.openxmlformats.org/officeDocument/2006/relationships/hyperlink" Target="https://www.gem.wiki/Dominion_Gas_Pipeline" TargetMode="External"/><Relationship Id="rId1461" Type="http://schemas.openxmlformats.org/officeDocument/2006/relationships/hyperlink" Target="https://gem.wiki/Malesovice&#8211;Oslavou_Gas_Pipeline" TargetMode="External"/><Relationship Id="rId2305" Type="http://schemas.openxmlformats.org/officeDocument/2006/relationships/hyperlink" Target="https://www.gem.wiki/Nawabshah-Karachi_Gas_Pipeline" TargetMode="External"/><Relationship Id="rId2512" Type="http://schemas.openxmlformats.org/officeDocument/2006/relationships/hyperlink" Target="https://www.gem.wiki/Ommen-Groningen_Gas_Pipeline" TargetMode="External"/><Relationship Id="rId1114" Type="http://schemas.openxmlformats.org/officeDocument/2006/relationships/hyperlink" Target="https://www.gem.wiki/Pochinki-Penza_Gas_Pipeline" TargetMode="External"/><Relationship Id="rId1321" Type="http://schemas.openxmlformats.org/officeDocument/2006/relationships/hyperlink" Target="https://gem.wiki/Anna_Paulowna&#8211;Beverwijk_Gas_Pipeline" TargetMode="External"/><Relationship Id="rId3079" Type="http://schemas.openxmlformats.org/officeDocument/2006/relationships/hyperlink" Target="https://www.gem.wiki/Zhejiang_Natural_Gas_Pipeline_Network" TargetMode="External"/><Relationship Id="rId3286" Type="http://schemas.openxmlformats.org/officeDocument/2006/relationships/hyperlink" Target="https://www.gem.wiki/Shaanxi_Gas_Pipeline_Network" TargetMode="External"/><Relationship Id="rId2095" Type="http://schemas.openxmlformats.org/officeDocument/2006/relationships/hyperlink" Target="https://www.gem.wiki/Port_Arthur_Gas_Pipeline" TargetMode="External"/><Relationship Id="rId3146" Type="http://schemas.openxmlformats.org/officeDocument/2006/relationships/hyperlink" Target="https://www.gem.wiki/Hunan_Gas_Pipeline_Network" TargetMode="External"/><Relationship Id="rId274" Type="http://schemas.openxmlformats.org/officeDocument/2006/relationships/hyperlink" Target="https://www.gem.wiki/Mtwara%E2%80%93Dar_es_Salaam_Gas_Pipeline" TargetMode="External"/><Relationship Id="rId481" Type="http://schemas.openxmlformats.org/officeDocument/2006/relationships/hyperlink" Target="https://www.gem.wiki/Elenga-Nalka_Gas_Pipeline" TargetMode="External"/><Relationship Id="rId2162" Type="http://schemas.openxmlformats.org/officeDocument/2006/relationships/hyperlink" Target="https://www.gem.wiki/West_Delta_LNG_Pipeline" TargetMode="External"/><Relationship Id="rId3006" Type="http://schemas.openxmlformats.org/officeDocument/2006/relationships/hyperlink" Target="https://www.gem.wiki/Jiangsu_Coastal_Gas_Pipeline" TargetMode="External"/><Relationship Id="rId134" Type="http://schemas.openxmlformats.org/officeDocument/2006/relationships/hyperlink" Target="https://www.gem.wiki/Wyoming_Interstate_Gas_Pipeline" TargetMode="External"/><Relationship Id="rId3213" Type="http://schemas.openxmlformats.org/officeDocument/2006/relationships/hyperlink" Target="https://www.gem.wiki/Guizhou_Gas_Pipeline_Network" TargetMode="External"/><Relationship Id="rId341" Type="http://schemas.openxmlformats.org/officeDocument/2006/relationships/hyperlink" Target="https://www.gem.wiki/Saleh%E2%80%93Ras_al-Khaimah_gas_pipeline" TargetMode="External"/><Relationship Id="rId2022" Type="http://schemas.openxmlformats.org/officeDocument/2006/relationships/hyperlink" Target="https://www.gem.wiki/Route_6b_Gas_Pipeline" TargetMode="External"/><Relationship Id="rId2979" Type="http://schemas.openxmlformats.org/officeDocument/2006/relationships/hyperlink" Target="https://www.gem.wiki/Guangxi_Gas_Pipeline_Network" TargetMode="External"/><Relationship Id="rId201" Type="http://schemas.openxmlformats.org/officeDocument/2006/relationships/hyperlink" Target="https://www.gem.wiki/Gulf_Xpress_Pipeline" TargetMode="External"/><Relationship Id="rId1788" Type="http://schemas.openxmlformats.org/officeDocument/2006/relationships/hyperlink" Target="https://www.gem.wiki/Duliajan-Numaligarh_Gas_Pipeline" TargetMode="External"/><Relationship Id="rId1995" Type="http://schemas.openxmlformats.org/officeDocument/2006/relationships/hyperlink" Target="https://www.gem.wiki/Pioneer_Gas_Pipeline" TargetMode="External"/><Relationship Id="rId2839" Type="http://schemas.openxmlformats.org/officeDocument/2006/relationships/hyperlink" Target="https://www.gem.wiki/Anhui_Gas_Pipeline_Network" TargetMode="External"/><Relationship Id="rId1648" Type="http://schemas.openxmlformats.org/officeDocument/2006/relationships/hyperlink" Target="https://www.gem.wiki/Off-Shore_Gas_Pipeline" TargetMode="External"/><Relationship Id="rId1508" Type="http://schemas.openxmlformats.org/officeDocument/2006/relationships/hyperlink" Target="https://gem.wiki/Poirino&#8211;Alessandria_Gas_Pipeline" TargetMode="External"/><Relationship Id="rId1855" Type="http://schemas.openxmlformats.org/officeDocument/2006/relationships/hyperlink" Target="https://www.gem.wiki/Paran%C3%A1-Uruguayana_Gas_Pipeline" TargetMode="External"/><Relationship Id="rId2906" Type="http://schemas.openxmlformats.org/officeDocument/2006/relationships/hyperlink" Target="https://www.gem.wiki/Sichuan%E2%80%93Shanghai_Parallel_Gas_Pipeline" TargetMode="External"/><Relationship Id="rId3070" Type="http://schemas.openxmlformats.org/officeDocument/2006/relationships/hyperlink" Target="https://www.gem.wiki/Henan_Gas_Pipeline_Network" TargetMode="External"/><Relationship Id="rId1715" Type="http://schemas.openxmlformats.org/officeDocument/2006/relationships/hyperlink" Target="https://www.gem.wiki/Gasoducto_Cordillerano-Patag%C3%B3nico" TargetMode="External"/><Relationship Id="rId1922" Type="http://schemas.openxmlformats.org/officeDocument/2006/relationships/hyperlink" Target="https://www.gem.wiki/Kneginec%E2%80%93Vara%C5%BEdin_II_Gas_Pipeline" TargetMode="External"/><Relationship Id="rId2489" Type="http://schemas.openxmlformats.org/officeDocument/2006/relationships/hyperlink" Target="https://www.gem.wiki/Ruta_de_la_Plata_Gas_Pipeline" TargetMode="External"/><Relationship Id="rId2696" Type="http://schemas.openxmlformats.org/officeDocument/2006/relationships/hyperlink" Target="https://www.gem.wiki/Mantsala%E2%80%93Helsinki_Gas_Pipeline" TargetMode="External"/><Relationship Id="rId668" Type="http://schemas.openxmlformats.org/officeDocument/2006/relationships/hyperlink" Target="https://www.gem.wiki/Larrau%E2%80%93Villar_de_Arnedo_Gas_Pipeline" TargetMode="External"/><Relationship Id="rId875" Type="http://schemas.openxmlformats.org/officeDocument/2006/relationships/hyperlink" Target="https://www.meed.com/algeria-plans-1446km-gas-pipeline-expansion/" TargetMode="External"/><Relationship Id="rId1298" Type="http://schemas.openxmlformats.org/officeDocument/2006/relationships/hyperlink" Target="https://www.gem.wiki/BRUA_Gas_Pipeline" TargetMode="External"/><Relationship Id="rId2349" Type="http://schemas.openxmlformats.org/officeDocument/2006/relationships/hyperlink" Target="https://www.gem.wiki/Florida_Gas_Transmission_Pipeline" TargetMode="External"/><Relationship Id="rId2556" Type="http://schemas.openxmlformats.org/officeDocument/2006/relationships/hyperlink" Target="https://www.gem.wiki/Krasny_Most-Sevkar-Berd_Gas_Pipeline" TargetMode="External"/><Relationship Id="rId2763" Type="http://schemas.openxmlformats.org/officeDocument/2006/relationships/hyperlink" Target="https://www.gem.wiki/Yunnan_Gas_Pipeline_Network" TargetMode="External"/><Relationship Id="rId2970" Type="http://schemas.openxmlformats.org/officeDocument/2006/relationships/hyperlink" Target="https://www.gem.wiki/Guangxi_LNG_Terminal_Transport_Pipeline" TargetMode="External"/><Relationship Id="rId528" Type="http://schemas.openxmlformats.org/officeDocument/2006/relationships/hyperlink" Target="https://www.gem.wiki/Mumbai-Uran_Trunk_Line_(MUT)" TargetMode="External"/><Relationship Id="rId735" Type="http://schemas.openxmlformats.org/officeDocument/2006/relationships/hyperlink" Target="https://www.gem.wiki/Sougueur%E2%80%93Hadjret_En_Nouss_gas_pipeline" TargetMode="External"/><Relationship Id="rId942" Type="http://schemas.openxmlformats.org/officeDocument/2006/relationships/hyperlink" Target="https://www.gem.wiki/Kisarazu_Rinkai_2_Gas_Pipeline" TargetMode="External"/><Relationship Id="rId1158" Type="http://schemas.openxmlformats.org/officeDocument/2006/relationships/hyperlink" Target="https://www.gem.wiki/Yong%27an-Pingdong_Gas_Pipeline" TargetMode="External"/><Relationship Id="rId1365" Type="http://schemas.openxmlformats.org/officeDocument/2006/relationships/hyperlink" Target="https://gem.wiki/Chazelles&#8211;Brizambourg_Gas_Pipeline" TargetMode="External"/><Relationship Id="rId1572" Type="http://schemas.openxmlformats.org/officeDocument/2006/relationships/hyperlink" Target="https://gem.wiki/Wijngaarden&#8211;Ewijk_Gas_Pipeline" TargetMode="External"/><Relationship Id="rId2209" Type="http://schemas.openxmlformats.org/officeDocument/2006/relationships/hyperlink" Target="https://www.gem.wiki/Wilhelmshaven_LNG_Terminal_Pipeline" TargetMode="External"/><Relationship Id="rId2416" Type="http://schemas.openxmlformats.org/officeDocument/2006/relationships/hyperlink" Target="https://www.gem.wiki/Stomino-Nikitenki_Gas_Pipeline" TargetMode="External"/><Relationship Id="rId2623" Type="http://schemas.openxmlformats.org/officeDocument/2006/relationships/hyperlink" Target="https://www.gem.wiki/Rankweil-Lienz_Gas_Pipeline" TargetMode="External"/><Relationship Id="rId1018" Type="http://schemas.openxmlformats.org/officeDocument/2006/relationships/hyperlink" Target="https://www.gem.wiki/North_Rumela-Khor_Al-Zubair_gas_pipeline" TargetMode="External"/><Relationship Id="rId1225" Type="http://schemas.openxmlformats.org/officeDocument/2006/relationships/hyperlink" Target="https://www.gem.wiki/El_Paso_Gas_Pipeline" TargetMode="External"/><Relationship Id="rId1432" Type="http://schemas.openxmlformats.org/officeDocument/2006/relationships/hyperlink" Target="https://gem.wiki/Jablonov&#8211;Nemesbikk_Gas_Pipeline" TargetMode="External"/><Relationship Id="rId2830" Type="http://schemas.openxmlformats.org/officeDocument/2006/relationships/hyperlink" Target="https://www.gem.wiki/Anhui_Gas_Pipeline_Network" TargetMode="External"/><Relationship Id="rId71" Type="http://schemas.openxmlformats.org/officeDocument/2006/relationships/hyperlink" Target="https://www.gem.wiki/Gasoducto_Mier%E2%80%93Monterrey" TargetMode="External"/><Relationship Id="rId802" Type="http://schemas.openxmlformats.org/officeDocument/2006/relationships/hyperlink" Target="https://www.gem.wiki/Haradh-Uthmaniya_gas_pipeline" TargetMode="External"/><Relationship Id="rId178" Type="http://schemas.openxmlformats.org/officeDocument/2006/relationships/hyperlink" Target="https://www.gem.wiki/Tungsten_to_Bobtail_Pipeline" TargetMode="External"/><Relationship Id="rId3257" Type="http://schemas.openxmlformats.org/officeDocument/2006/relationships/hyperlink" Target="https://www.gem.wiki/Chongqing_Gas_Pipeline_Network" TargetMode="External"/><Relationship Id="rId385" Type="http://schemas.openxmlformats.org/officeDocument/2006/relationships/hyperlink" Target="https://www.gem.wiki/Trans_Europa_Naturgas_Pipeline" TargetMode="External"/><Relationship Id="rId592" Type="http://schemas.openxmlformats.org/officeDocument/2006/relationships/hyperlink" Target="https://www.gem.wiki/Poland-Ukraine_Interconnector_Gas_Pipeline" TargetMode="External"/><Relationship Id="rId2066" Type="http://schemas.openxmlformats.org/officeDocument/2006/relationships/hyperlink" Target="https://www.gem.wiki/Rembelszczyzna_Wronow_Pipeline" TargetMode="External"/><Relationship Id="rId2273" Type="http://schemas.openxmlformats.org/officeDocument/2006/relationships/hyperlink" Target="https://www.gem.wiki/Mishkino-Yurgamysh-Kurgan_Gas_Pipeline" TargetMode="External"/><Relationship Id="rId2480" Type="http://schemas.openxmlformats.org/officeDocument/2006/relationships/hyperlink" Target="https://www.gem.wiki/Dierrey_Saint_Julien-Paris_Gas_Pipeline" TargetMode="External"/><Relationship Id="rId3117" Type="http://schemas.openxmlformats.org/officeDocument/2006/relationships/hyperlink" Target="https://www.gem.wiki/Hubei_Gas_Pipeline_Network" TargetMode="External"/><Relationship Id="rId3324" Type="http://schemas.openxmlformats.org/officeDocument/2006/relationships/hyperlink" Target="https://www.gem.wiki/Heilongjiang_Natural_Gas_Pipeline_Network" TargetMode="External"/><Relationship Id="rId245" Type="http://schemas.openxmlformats.org/officeDocument/2006/relationships/hyperlink" Target="https://www.gem.wiki/Gasoducto_Samalayuca-S%C3%A1sabe" TargetMode="External"/><Relationship Id="rId452" Type="http://schemas.openxmlformats.org/officeDocument/2006/relationships/hyperlink" Target="https://www.gem.wiki/NETG_Pipeline" TargetMode="External"/><Relationship Id="rId1082" Type="http://schemas.openxmlformats.org/officeDocument/2006/relationships/hyperlink" Target="https://www.gem.wiki/Gorky-Cherepovets_gas_pipeline_Gas_Pipeline" TargetMode="External"/><Relationship Id="rId2133" Type="http://schemas.openxmlformats.org/officeDocument/2006/relationships/hyperlink" Target="https://www.gem.wiki/Moomba_Sydney_Pipeline_System" TargetMode="External"/><Relationship Id="rId2340" Type="http://schemas.openxmlformats.org/officeDocument/2006/relationships/hyperlink" Target="https://www.gem.wiki/Florida_Gas_Transmission_Pipeline" TargetMode="External"/><Relationship Id="rId105" Type="http://schemas.openxmlformats.org/officeDocument/2006/relationships/hyperlink" Target="https://www.gem.wiki/Southern_Trails_Gas_Pipeline" TargetMode="External"/><Relationship Id="rId312" Type="http://schemas.openxmlformats.org/officeDocument/2006/relationships/hyperlink" Target="https://www.gem.wiki/Eastern_Goldfields_Pipeline_System" TargetMode="External"/><Relationship Id="rId2200" Type="http://schemas.openxmlformats.org/officeDocument/2006/relationships/hyperlink" Target="https://jazairhope.org/en/illizi-tiguentourine-hassi-kifaf-gas-pipeline-commissioned/" TargetMode="External"/><Relationship Id="rId1899" Type="http://schemas.openxmlformats.org/officeDocument/2006/relationships/hyperlink" Target="https://www.gem.wiki/Rosebank_Gas_Pipeline" TargetMode="External"/><Relationship Id="rId1759" Type="http://schemas.openxmlformats.org/officeDocument/2006/relationships/hyperlink" Target="https://www.gem.wiki/Red_de_Gasoductos_TGI" TargetMode="External"/><Relationship Id="rId1966" Type="http://schemas.openxmlformats.org/officeDocument/2006/relationships/hyperlink" Target="https://www.gem.wiki/Carisbrook_to_Horsham_Pipeline" TargetMode="External"/><Relationship Id="rId3181" Type="http://schemas.openxmlformats.org/officeDocument/2006/relationships/hyperlink" Target="https://www.gem.wiki/West-East_Gas_Pipeline_2_Guangzhou-Nanning_Branch" TargetMode="External"/><Relationship Id="rId1619" Type="http://schemas.openxmlformats.org/officeDocument/2006/relationships/hyperlink" Target="https://www.gem.wiki/Skulte_LNG_Terminal_Pipeline" TargetMode="External"/><Relationship Id="rId1826" Type="http://schemas.openxmlformats.org/officeDocument/2006/relationships/hyperlink" Target="https://gem.wiki/Phased_Gas_Pipeline_Network" TargetMode="External"/><Relationship Id="rId3041" Type="http://schemas.openxmlformats.org/officeDocument/2006/relationships/hyperlink" Target="https://www.gem.wiki/Jiangxi_Natural_Gas_Pipeline_Network" TargetMode="External"/><Relationship Id="rId779" Type="http://schemas.openxmlformats.org/officeDocument/2006/relationships/hyperlink" Target="https://www.gem.wiki/Ajaokuta-Obajana_gas_pipeline" TargetMode="External"/><Relationship Id="rId986" Type="http://schemas.openxmlformats.org/officeDocument/2006/relationships/hyperlink" Target="https://www.gem.wiki/Promigas_Pipeline_Network" TargetMode="External"/><Relationship Id="rId2667" Type="http://schemas.openxmlformats.org/officeDocument/2006/relationships/hyperlink" Target="https://www.gem.wiki/Carolina_Gas_Transmission" TargetMode="External"/><Relationship Id="rId639" Type="http://schemas.openxmlformats.org/officeDocument/2006/relationships/hyperlink" Target="https://www.gem.wiki/Saikyo_line" TargetMode="External"/><Relationship Id="rId1269" Type="http://schemas.openxmlformats.org/officeDocument/2006/relationships/hyperlink" Target="https://www.gem.wiki/Su_Tu_Vang-Rang_Dong%E2%80%93Bach_Ho-Long_Hai%E2%80%93Dinh_Co_Gas_Pipeline" TargetMode="External"/><Relationship Id="rId1476" Type="http://schemas.openxmlformats.org/officeDocument/2006/relationships/hyperlink" Target="https://gem.wiki/Mira&#8211;Campagna_Lupia_Gas_Pipeline" TargetMode="External"/><Relationship Id="rId2874" Type="http://schemas.openxmlformats.org/officeDocument/2006/relationships/hyperlink" Target="https://www.gem.wiki/Shanxi_Natural_Gas_Pipeline_Network" TargetMode="External"/><Relationship Id="rId846" Type="http://schemas.openxmlformats.org/officeDocument/2006/relationships/hyperlink" Target="https://www.gem.wiki/Lithuania-Latvia_Interconnection_Gas_Pipeline" TargetMode="External"/><Relationship Id="rId1129" Type="http://schemas.openxmlformats.org/officeDocument/2006/relationships/hyperlink" Target="https://www.gem.wiki/Pochinki-Anapa_Gas_Pipeline" TargetMode="External"/><Relationship Id="rId1683" Type="http://schemas.openxmlformats.org/officeDocument/2006/relationships/hyperlink" Target="https://www.gem.wiki/Crux_Gas_Pipeline" TargetMode="External"/><Relationship Id="rId1890" Type="http://schemas.openxmlformats.org/officeDocument/2006/relationships/hyperlink" Target="https://www.gem.wiki/Northeast_Argentina_Gas_Pipeline" TargetMode="External"/><Relationship Id="rId2527" Type="http://schemas.openxmlformats.org/officeDocument/2006/relationships/hyperlink" Target="https://www.gem.wiki/Karadaghi-Tbilisi_Gas_Pipeline" TargetMode="External"/><Relationship Id="rId2734" Type="http://schemas.openxmlformats.org/officeDocument/2006/relationships/hyperlink" Target="https://www.gem.wiki/China%E2%80%93Russia_East_Pipeline" TargetMode="External"/><Relationship Id="rId2941" Type="http://schemas.openxmlformats.org/officeDocument/2006/relationships/hyperlink" Target="https://www.gem.wiki/Guangdong_West_Gas_Pipeline_Network" TargetMode="External"/><Relationship Id="rId706" Type="http://schemas.openxmlformats.org/officeDocument/2006/relationships/hyperlink" Target="https://www.gem.wiki/Gorni_Bogrov%E2%80%93Novi_Iskar_Pipeline" TargetMode="External"/><Relationship Id="rId913" Type="http://schemas.openxmlformats.org/officeDocument/2006/relationships/hyperlink" Target="https://www.gem.wiki/Semutang-Chittagong_Gas_Pipeline" TargetMode="External"/><Relationship Id="rId1336" Type="http://schemas.openxmlformats.org/officeDocument/2006/relationships/hyperlink" Target="https://gem.wiki/Beregdaroc&#8211;Nemesbikk_Gas_Pipeline" TargetMode="External"/><Relationship Id="rId1543" Type="http://schemas.openxmlformats.org/officeDocument/2006/relationships/hyperlink" Target="https://gem.wiki/Strandja&#8211;Malkoclar_Gas_Pipeline" TargetMode="External"/><Relationship Id="rId1750" Type="http://schemas.openxmlformats.org/officeDocument/2006/relationships/hyperlink" Target="https://www.gem.wiki/Pacific_Trails_Pipeline" TargetMode="External"/><Relationship Id="rId2801" Type="http://schemas.openxmlformats.org/officeDocument/2006/relationships/hyperlink" Target="https://www.gem.wiki/Tongliao-Holingol_Gas_Pipeline" TargetMode="External"/><Relationship Id="rId42" Type="http://schemas.openxmlformats.org/officeDocument/2006/relationships/hyperlink" Target="https://www.gem.wiki/KPC_Gas_Pipeline" TargetMode="External"/><Relationship Id="rId1403" Type="http://schemas.openxmlformats.org/officeDocument/2006/relationships/hyperlink" Target="https://gem.wiki/Finsing&#8211;Pfronten_Gas_Pipeline" TargetMode="External"/><Relationship Id="rId1610" Type="http://schemas.openxmlformats.org/officeDocument/2006/relationships/hyperlink" Target="https://www.gem.wiki/GASALP_Pipeline" TargetMode="External"/><Relationship Id="rId289" Type="http://schemas.openxmlformats.org/officeDocument/2006/relationships/hyperlink" Target="https://sonatrach.com/wp-content/uploads/2022/01/DESCRIPTION-DU-RESEAU-DE-TRANSPORT-PAR-CANALISATION-DES-HYDROCARBURES-TARIF-DE-TRANSPORT-ANNEE-2022.pdf" TargetMode="External"/><Relationship Id="rId496" Type="http://schemas.openxmlformats.org/officeDocument/2006/relationships/hyperlink" Target="https://www.gem.wiki/Thylacine_Geographe_Gas_Pipeline" TargetMode="External"/><Relationship Id="rId2177" Type="http://schemas.openxmlformats.org/officeDocument/2006/relationships/hyperlink" Target="https://www.gem.wiki/Gulf_Coast_Express_Pipeline" TargetMode="External"/><Relationship Id="rId2384" Type="http://schemas.openxmlformats.org/officeDocument/2006/relationships/hyperlink" Target="https://www.gem.wiki/Volkhov-Segezha-Kostomuksha_Gas_Pipeline" TargetMode="External"/><Relationship Id="rId2591" Type="http://schemas.openxmlformats.org/officeDocument/2006/relationships/hyperlink" Target="https://www.gem.wiki/Lauria-Tarsia_Gas_Pipeline" TargetMode="External"/><Relationship Id="rId3228" Type="http://schemas.openxmlformats.org/officeDocument/2006/relationships/hyperlink" Target="https://www.gem.wiki/Guizhou_Gas_Pipeline_Network" TargetMode="External"/><Relationship Id="rId149" Type="http://schemas.openxmlformats.org/officeDocument/2006/relationships/hyperlink" Target="https://www.gem.wiki/Central_Corridor_Pipeline" TargetMode="External"/><Relationship Id="rId356" Type="http://schemas.openxmlformats.org/officeDocument/2006/relationships/hyperlink" Target="https://www.gem.wiki/Fulmar_Gas_Line" TargetMode="External"/><Relationship Id="rId563" Type="http://schemas.openxmlformats.org/officeDocument/2006/relationships/hyperlink" Target="https://www.gem.wiki/Rajasthan_Gas_Pipeline_(Focus)" TargetMode="External"/><Relationship Id="rId770" Type="http://schemas.openxmlformats.org/officeDocument/2006/relationships/hyperlink" Target="https://www.gem.wiki/Sahel-km-81.5_gas_pipeline" TargetMode="External"/><Relationship Id="rId1193" Type="http://schemas.openxmlformats.org/officeDocument/2006/relationships/hyperlink" Target="https://www.gem.wiki/Florida_Gas_Transmission_Pipeline" TargetMode="External"/><Relationship Id="rId2037" Type="http://schemas.openxmlformats.org/officeDocument/2006/relationships/hyperlink" Target="https://www.gem.wiki/Gasoduto_Bilac-Santa_Maria" TargetMode="External"/><Relationship Id="rId2244" Type="http://schemas.openxmlformats.org/officeDocument/2006/relationships/hyperlink" Target="https://www.gem.wiki/Northern_Natural_Gas_Pipeline" TargetMode="External"/><Relationship Id="rId2451" Type="http://schemas.openxmlformats.org/officeDocument/2006/relationships/hyperlink" Target="https://www.gem.wiki/Rawat-Murree_Gas_Pipeline" TargetMode="External"/><Relationship Id="rId216" Type="http://schemas.openxmlformats.org/officeDocument/2006/relationships/hyperlink" Target="https://www.gem.wiki/Juana_Azurduy_Gas_Pipeline" TargetMode="External"/><Relationship Id="rId423" Type="http://schemas.openxmlformats.org/officeDocument/2006/relationships/hyperlink" Target="https://www.gem.wiki/TurkStream_Gas_Pipeline" TargetMode="External"/><Relationship Id="rId1053" Type="http://schemas.openxmlformats.org/officeDocument/2006/relationships/hyperlink" Target="https://www.gem.wiki/Twor%C3%B3rog-K%C4%99dzierzyn_Gas_Pipeline" TargetMode="External"/><Relationship Id="rId1260" Type="http://schemas.openxmlformats.org/officeDocument/2006/relationships/hyperlink" Target="https://www.gem.wiki/Delaware_Link_Gas_Pipeline" TargetMode="External"/><Relationship Id="rId2104" Type="http://schemas.openxmlformats.org/officeDocument/2006/relationships/hyperlink" Target="https://www.gem.wiki/Angarskaya_Gas_Pipeline" TargetMode="External"/><Relationship Id="rId630" Type="http://schemas.openxmlformats.org/officeDocument/2006/relationships/hyperlink" Target="https://www.gem.wiki/Sapporo_pipeline" TargetMode="External"/><Relationship Id="rId2311" Type="http://schemas.openxmlformats.org/officeDocument/2006/relationships/hyperlink" Target="https://www.gem.wiki/Bajara-Karachi_Loopline" TargetMode="External"/><Relationship Id="rId1120" Type="http://schemas.openxmlformats.org/officeDocument/2006/relationships/hyperlink" Target="https://www.gem.wiki/Ring_of_the_Moscow_Region-Belousovo_Gas_Pipeline" TargetMode="External"/><Relationship Id="rId1937" Type="http://schemas.openxmlformats.org/officeDocument/2006/relationships/hyperlink" Target="https://www.gem.wiki/Fifth_Gas_Transmission_Pipeline_Project" TargetMode="External"/><Relationship Id="rId3085" Type="http://schemas.openxmlformats.org/officeDocument/2006/relationships/hyperlink" Target="https://www.gem.wiki/Zhejiang_Natural_Gas_Pipeline_Network" TargetMode="External"/><Relationship Id="rId3292" Type="http://schemas.openxmlformats.org/officeDocument/2006/relationships/hyperlink" Target="https://www.gem.wiki/Shaanxi_Gas_Pipeline_Network" TargetMode="External"/><Relationship Id="rId3152" Type="http://schemas.openxmlformats.org/officeDocument/2006/relationships/hyperlink" Target="https://www.gem.wiki/Changqing-Yinchuan_Pipeline" TargetMode="External"/><Relationship Id="rId280" Type="http://schemas.openxmlformats.org/officeDocument/2006/relationships/hyperlink" Target="https://www.gem.wiki/West_African_Gas_Pipeline" TargetMode="External"/><Relationship Id="rId3012" Type="http://schemas.openxmlformats.org/officeDocument/2006/relationships/hyperlink" Target="https://www.gem.wiki/Jiangsu_Coastal_Gas_Pipeline" TargetMode="External"/><Relationship Id="rId140" Type="http://schemas.openxmlformats.org/officeDocument/2006/relationships/hyperlink" Target="https://www.gem.wiki/Empire_Pipeline" TargetMode="External"/><Relationship Id="rId6" Type="http://schemas.openxmlformats.org/officeDocument/2006/relationships/hyperlink" Target="https://www.gem.wiki/Alaska_LNG_Pipeline_(AKLNG)" TargetMode="External"/><Relationship Id="rId2778" Type="http://schemas.openxmlformats.org/officeDocument/2006/relationships/hyperlink" Target="https://www.gem.wiki/Inner_Mongolia_Gas_Pipeline_Network" TargetMode="External"/><Relationship Id="rId2985" Type="http://schemas.openxmlformats.org/officeDocument/2006/relationships/hyperlink" Target="https://www.gem.wiki/Zungharia_Basin_Rim_Gas_Pipeline_Network" TargetMode="External"/><Relationship Id="rId957" Type="http://schemas.openxmlformats.org/officeDocument/2006/relationships/hyperlink" Target="https://www.gem.wiki/Northern_Saitama_Gas_Pipeline" TargetMode="External"/><Relationship Id="rId1587" Type="http://schemas.openxmlformats.org/officeDocument/2006/relationships/hyperlink" Target="https://www.gem.wiki/Adriatica_Pipeline" TargetMode="External"/><Relationship Id="rId1794" Type="http://schemas.openxmlformats.org/officeDocument/2006/relationships/hyperlink" Target="https://www.gem.wiki/Gasoducto_Cruz_del_Sur" TargetMode="External"/><Relationship Id="rId2638" Type="http://schemas.openxmlformats.org/officeDocument/2006/relationships/hyperlink" Target="https://www.gem.wiki/Godas-Siirt_Gas_Pipeline" TargetMode="External"/><Relationship Id="rId2845" Type="http://schemas.openxmlformats.org/officeDocument/2006/relationships/hyperlink" Target="https://www.gem.wiki/Anhui_Gas_Pipeline_Network" TargetMode="External"/><Relationship Id="rId86" Type="http://schemas.openxmlformats.org/officeDocument/2006/relationships/hyperlink" Target="https://www.gem.wiki/Oasis_Gas_Pipeline" TargetMode="External"/><Relationship Id="rId817" Type="http://schemas.openxmlformats.org/officeDocument/2006/relationships/hyperlink" Target="https://www.gem.wiki/Tinat_Kuff-Haradh_gas_pipeline" TargetMode="External"/><Relationship Id="rId1447" Type="http://schemas.openxmlformats.org/officeDocument/2006/relationships/hyperlink" Target="https://gem.wiki/LSF_Gas_Pipeline" TargetMode="External"/><Relationship Id="rId1654" Type="http://schemas.openxmlformats.org/officeDocument/2006/relationships/hyperlink" Target="https://www.gem.wiki/Alliance_Gas_Pipeline" TargetMode="External"/><Relationship Id="rId1861" Type="http://schemas.openxmlformats.org/officeDocument/2006/relationships/hyperlink" Target="https://www.gem.wiki/Srednevilyuyskoye_Gas_Condensate_Field-Yakutsk_Gas_Pipeline" TargetMode="External"/><Relationship Id="rId2705" Type="http://schemas.openxmlformats.org/officeDocument/2006/relationships/hyperlink" Target="https://www.gem.wiki/Columbia_Gas_Transmission" TargetMode="External"/><Relationship Id="rId2912" Type="http://schemas.openxmlformats.org/officeDocument/2006/relationships/hyperlink" Target="https://www.gem.wiki/Sichuan%E2%80%93Shanghai_Parallel_Gas_Pipeline" TargetMode="External"/><Relationship Id="rId1307" Type="http://schemas.openxmlformats.org/officeDocument/2006/relationships/hyperlink" Target="https://www.gem.wiki/Halmstad-Gilaved_Gas_Pipeline" TargetMode="External"/><Relationship Id="rId1514" Type="http://schemas.openxmlformats.org/officeDocument/2006/relationships/hyperlink" Target="https://gem.wiki/Ravenna_Terra&#8211;Ravenna_Mare_Gas_Pipeline" TargetMode="External"/><Relationship Id="rId1721" Type="http://schemas.openxmlformats.org/officeDocument/2006/relationships/hyperlink" Target="https://www.gem.wiki/Yamagata_Gas_Pipeline" TargetMode="External"/><Relationship Id="rId13" Type="http://schemas.openxmlformats.org/officeDocument/2006/relationships/hyperlink" Target="https://www.gem.wiki/Atlantic_Coast_Gas_Pipeline" TargetMode="External"/><Relationship Id="rId2288" Type="http://schemas.openxmlformats.org/officeDocument/2006/relationships/hyperlink" Target="https://www.gem.wiki/Northwestern_Gas_Pipeline" TargetMode="External"/><Relationship Id="rId2495" Type="http://schemas.openxmlformats.org/officeDocument/2006/relationships/hyperlink" Target="https://www.gem.wiki/Vergara-Irun_Gas_Pipeline" TargetMode="External"/><Relationship Id="rId3339" Type="http://schemas.openxmlformats.org/officeDocument/2006/relationships/hyperlink" Target="https://www.gem.wiki/Central_Asia%E2%80%93China_Gas_Pipeline" TargetMode="External"/><Relationship Id="rId467" Type="http://schemas.openxmlformats.org/officeDocument/2006/relationships/hyperlink" Target="https://www.gem.wiki/Bakhrabad-Siddirgonj_Gas_Pipeline" TargetMode="External"/><Relationship Id="rId1097" Type="http://schemas.openxmlformats.org/officeDocument/2006/relationships/hyperlink" Target="https://www.gem.wiki/Minnibayevo-Izhevsk_Gas_Pipeline" TargetMode="External"/><Relationship Id="rId2148" Type="http://schemas.openxmlformats.org/officeDocument/2006/relationships/hyperlink" Target="https://www.gem.wiki/Eastern_Goldfields_Pipeline_System" TargetMode="External"/><Relationship Id="rId674" Type="http://schemas.openxmlformats.org/officeDocument/2006/relationships/hyperlink" Target="https://www.gem.wiki/Llandarcy-Bacton_Pipeline" TargetMode="External"/><Relationship Id="rId881" Type="http://schemas.openxmlformats.org/officeDocument/2006/relationships/hyperlink" Target="https://www.gem.wiki/Santa_Cruz_Sur_Gas_Pipeline" TargetMode="External"/><Relationship Id="rId2355" Type="http://schemas.openxmlformats.org/officeDocument/2006/relationships/hyperlink" Target="https://www.gem.wiki/Trans-Iraqi-Dewania_Gas_Pipeline" TargetMode="External"/><Relationship Id="rId2562" Type="http://schemas.openxmlformats.org/officeDocument/2006/relationships/hyperlink" Target="https://www.gem.wiki/Palmi-Maida_Gas_Pipeline" TargetMode="External"/><Relationship Id="rId327" Type="http://schemas.openxmlformats.org/officeDocument/2006/relationships/hyperlink" Target="https://www.gem.wiki/WHP-4-Ras_Laffan_gas_pipeline" TargetMode="External"/><Relationship Id="rId534" Type="http://schemas.openxmlformats.org/officeDocument/2006/relationships/hyperlink" Target="https://www.gem.wiki/Badak-Bontang_2_Gas_Pipeline" TargetMode="External"/><Relationship Id="rId741" Type="http://schemas.openxmlformats.org/officeDocument/2006/relationships/hyperlink" Target="https://www.gem.wiki/Amistad-Valvula_de_Playa_gas_pipeline" TargetMode="External"/><Relationship Id="rId1164" Type="http://schemas.openxmlformats.org/officeDocument/2006/relationships/hyperlink" Target="https://www.gem.wiki/Hakkari_Gas_Pipeline" TargetMode="External"/><Relationship Id="rId1371" Type="http://schemas.openxmlformats.org/officeDocument/2006/relationships/hyperlink" Target="https://gem.wiki/Chivasso&#8211;Poirino_Gas_Pipeline" TargetMode="External"/><Relationship Id="rId2008" Type="http://schemas.openxmlformats.org/officeDocument/2006/relationships/hyperlink" Target="https://www.gem.wiki/Troll%E2%80%93Kollsnes_Gas_Pipeline" TargetMode="External"/><Relationship Id="rId2215" Type="http://schemas.openxmlformats.org/officeDocument/2006/relationships/hyperlink" Target="https://www.gem.wiki/Bakhrabad-Meghnaghat-Haripur_Gas_Transmission_Pipeline" TargetMode="External"/><Relationship Id="rId2422" Type="http://schemas.openxmlformats.org/officeDocument/2006/relationships/hyperlink" Target="https://www.gem.wiki/Faisalabad-Shahdara_Gas_Pipeline-II" TargetMode="External"/><Relationship Id="rId601" Type="http://schemas.openxmlformats.org/officeDocument/2006/relationships/hyperlink" Target="https://www.gem.wiki/Wampu-Belawan-Paya_Pasir_Gas_Pipeline" TargetMode="External"/><Relationship Id="rId1024" Type="http://schemas.openxmlformats.org/officeDocument/2006/relationships/hyperlink" Target="https://www.gem.wiki/Gasoducto_Cuxtal" TargetMode="External"/><Relationship Id="rId1231" Type="http://schemas.openxmlformats.org/officeDocument/2006/relationships/hyperlink" Target="https://www.gem.wiki/Red_Bluff_Express_Pipeline" TargetMode="External"/><Relationship Id="rId3196" Type="http://schemas.openxmlformats.org/officeDocument/2006/relationships/hyperlink" Target="https://www.gem.wiki/Guizhou_Gas_Pipeline_Network" TargetMode="External"/><Relationship Id="rId3056" Type="http://schemas.openxmlformats.org/officeDocument/2006/relationships/hyperlink" Target="https://www.gem.wiki/Henan_South_gas_pipeline_(Xuedian-Zhumadian)" TargetMode="External"/><Relationship Id="rId3263" Type="http://schemas.openxmlformats.org/officeDocument/2006/relationships/hyperlink" Target="https://www.gem.wiki/Chongqing_Gas_Pipeline_Network" TargetMode="External"/><Relationship Id="rId184" Type="http://schemas.openxmlformats.org/officeDocument/2006/relationships/hyperlink" Target="https://www.gem.wiki/T-030_Pipeline" TargetMode="External"/><Relationship Id="rId391" Type="http://schemas.openxmlformats.org/officeDocument/2006/relationships/hyperlink" Target="https://www.gem.wiki/Vesterled_Gas_Pipeline" TargetMode="External"/><Relationship Id="rId1908" Type="http://schemas.openxmlformats.org/officeDocument/2006/relationships/hyperlink" Target="https://www.gem.wiki/Gasoducto_Camisea" TargetMode="External"/><Relationship Id="rId2072" Type="http://schemas.openxmlformats.org/officeDocument/2006/relationships/hyperlink" Target="https://www.gem.wiki/Gorgon_and_Jansz_Feed_Gas_Pipeline" TargetMode="External"/><Relationship Id="rId3123" Type="http://schemas.openxmlformats.org/officeDocument/2006/relationships/hyperlink" Target="https://www.gem.wiki/Hunan_Gas_Pipeline_Network" TargetMode="External"/><Relationship Id="rId251" Type="http://schemas.openxmlformats.org/officeDocument/2006/relationships/hyperlink" Target="https://www.gem.wiki/Gasoducto_Tuxpan-Tula" TargetMode="External"/><Relationship Id="rId3330" Type="http://schemas.openxmlformats.org/officeDocument/2006/relationships/hyperlink" Target="https://www.gem.wiki/Heilongjiang_Natural_Gas_Pipeline_Network" TargetMode="External"/><Relationship Id="rId2889" Type="http://schemas.openxmlformats.org/officeDocument/2006/relationships/hyperlink" Target="https://www.gem.wiki/Shanxi_Natural_Gas_Pipeline_Network" TargetMode="External"/><Relationship Id="rId111" Type="http://schemas.openxmlformats.org/officeDocument/2006/relationships/hyperlink" Target="https://www.gem.wiki/Tennessee_Gas_Pipeline" TargetMode="External"/><Relationship Id="rId1698" Type="http://schemas.openxmlformats.org/officeDocument/2006/relationships/hyperlink" Target="https://www.gem.wiki/West-East_Gas_Pipeline" TargetMode="External"/><Relationship Id="rId2749" Type="http://schemas.openxmlformats.org/officeDocument/2006/relationships/hyperlink" Target="https://www.gem.wiki/Yunnan_Gas_Pipeline_Network" TargetMode="External"/><Relationship Id="rId2956" Type="http://schemas.openxmlformats.org/officeDocument/2006/relationships/hyperlink" Target="https://www.gem.wiki/Guangdong_Gas_Pipeline_Network_Phase_I" TargetMode="External"/><Relationship Id="rId928" Type="http://schemas.openxmlformats.org/officeDocument/2006/relationships/hyperlink" Target="https://www.gem.wiki/Iruma_Gas_Pipeline" TargetMode="External"/><Relationship Id="rId1558" Type="http://schemas.openxmlformats.org/officeDocument/2006/relationships/hyperlink" Target="https://gem.wiki/Varska&#8211;Rakvere_Gas_Pipeline" TargetMode="External"/><Relationship Id="rId1765" Type="http://schemas.openxmlformats.org/officeDocument/2006/relationships/hyperlink" Target="https://www.gem.wiki/Gasoducto_de_Desarrollo_del_%C3%81rea_Mar%C3%ADtima_de_la_Costa_Norte" TargetMode="External"/><Relationship Id="rId2609" Type="http://schemas.openxmlformats.org/officeDocument/2006/relationships/hyperlink" Target="https://gem.wiki/Bosiljevo&#8211;Split_Gas_Pipeline" TargetMode="External"/><Relationship Id="rId57" Type="http://schemas.openxmlformats.org/officeDocument/2006/relationships/hyperlink" Target="https://www.gem.wiki/Horizon_Gas_Pipeline" TargetMode="External"/><Relationship Id="rId1418" Type="http://schemas.openxmlformats.org/officeDocument/2006/relationships/hyperlink" Target="https://gem.wiki/Halmstad&#8211;Gilaved_Gas_Pipeline" TargetMode="External"/><Relationship Id="rId1972" Type="http://schemas.openxmlformats.org/officeDocument/2006/relationships/hyperlink" Target="https://www.gem.wiki/Coolah_to_Newcastle_Pipeline" TargetMode="External"/><Relationship Id="rId2816" Type="http://schemas.openxmlformats.org/officeDocument/2006/relationships/hyperlink" Target="https://www.gem.wiki/CNPC_Sichuan_%26_Chongqing_Gas_Pipeline_Network" TargetMode="External"/><Relationship Id="rId1625" Type="http://schemas.openxmlformats.org/officeDocument/2006/relationships/hyperlink" Target="https://www.gem.wiki/Gasoducto_Anaco-Barquisimeto" TargetMode="External"/><Relationship Id="rId1832" Type="http://schemas.openxmlformats.org/officeDocument/2006/relationships/hyperlink" Target="https://www.gem.wiki/Tanzania%E2%80%93Kenya_Gas_Pipeline" TargetMode="External"/><Relationship Id="rId2399" Type="http://schemas.openxmlformats.org/officeDocument/2006/relationships/hyperlink" Target="https://www.gem.wiki/Karasuk-Bagan-Kupino-Chistoozernoe-Chany_Gas_Pipeline" TargetMode="External"/><Relationship Id="rId578" Type="http://schemas.openxmlformats.org/officeDocument/2006/relationships/hyperlink" Target="https://www.gem.wiki/Bohorodchany-Dolyna_Gas_Pipeline" TargetMode="External"/><Relationship Id="rId785" Type="http://schemas.openxmlformats.org/officeDocument/2006/relationships/hyperlink" Target="https://www.gem.wiki/Soku-Rumuji_gas_pipeline" TargetMode="External"/><Relationship Id="rId992" Type="http://schemas.openxmlformats.org/officeDocument/2006/relationships/hyperlink" Target="https://www.gem.wiki/Ellund-Aalborg_Gas_Pipeline" TargetMode="External"/><Relationship Id="rId2259" Type="http://schemas.openxmlformats.org/officeDocument/2006/relationships/hyperlink" Target="https://www.gem.wiki/East%E2%80%93West_Gas_Pipeline_(Saudi_Arabia)" TargetMode="External"/><Relationship Id="rId2466" Type="http://schemas.openxmlformats.org/officeDocument/2006/relationships/hyperlink" Target="https://www.gem.wiki/Mardan-Palai_Gas_Pipeline" TargetMode="External"/><Relationship Id="rId2673" Type="http://schemas.openxmlformats.org/officeDocument/2006/relationships/hyperlink" Target="https://www.gem.wiki/Puth_Schinnen%E2%80%93Bemelen_Gas_Pipeline" TargetMode="External"/><Relationship Id="rId2880" Type="http://schemas.openxmlformats.org/officeDocument/2006/relationships/hyperlink" Target="https://www.gem.wiki/Shanxi_Natural_Gas_Pipeline_Network" TargetMode="External"/><Relationship Id="rId438" Type="http://schemas.openxmlformats.org/officeDocument/2006/relationships/hyperlink" Target="https://www.gem.wiki/Ananyiv_Tiraspol_Izmail_Pipeline" TargetMode="External"/><Relationship Id="rId645" Type="http://schemas.openxmlformats.org/officeDocument/2006/relationships/hyperlink" Target="https://www.gem.wiki/Senboku_No.1_Connection_Pipeline" TargetMode="External"/><Relationship Id="rId852" Type="http://schemas.openxmlformats.org/officeDocument/2006/relationships/hyperlink" Target="https://www.gem.wiki/Gulf_Coast_Southbound_Pipeline" TargetMode="External"/><Relationship Id="rId1068" Type="http://schemas.openxmlformats.org/officeDocument/2006/relationships/hyperlink" Target="https://www.gem.wiki/Sohranovka-Oktyabrskaya_Gas_Pipeline" TargetMode="External"/><Relationship Id="rId1275" Type="http://schemas.openxmlformats.org/officeDocument/2006/relationships/hyperlink" Target="https://www.gem.wiki/Hauts_de_France_II_Gas_Pipeline" TargetMode="External"/><Relationship Id="rId1482" Type="http://schemas.openxmlformats.org/officeDocument/2006/relationships/hyperlink" Target="https://gem.wiki/Montalbano&#8211;Gagliano_Gas_Pipeline" TargetMode="External"/><Relationship Id="rId2119" Type="http://schemas.openxmlformats.org/officeDocument/2006/relationships/hyperlink" Target="https://www.gem.wiki/Israel%E2%80%93Egypt_Onshore_Gas_Pipeline" TargetMode="External"/><Relationship Id="rId2326" Type="http://schemas.openxmlformats.org/officeDocument/2006/relationships/hyperlink" Target="https://www.gem.wiki/Florida_Gas_Transmission_Pipeline" TargetMode="External"/><Relationship Id="rId2533" Type="http://schemas.openxmlformats.org/officeDocument/2006/relationships/hyperlink" Target="https://www.gem.wiki/Bunde-Wardenburg_Gas_Pipeline" TargetMode="External"/><Relationship Id="rId2740" Type="http://schemas.openxmlformats.org/officeDocument/2006/relationships/hyperlink" Target="https://www.gem.wiki/Yunnan_Gas_Pipeline_Network" TargetMode="External"/><Relationship Id="rId505" Type="http://schemas.openxmlformats.org/officeDocument/2006/relationships/hyperlink" Target="https://www.gem.wiki/Gasoduto_Rota_3" TargetMode="External"/><Relationship Id="rId712" Type="http://schemas.openxmlformats.org/officeDocument/2006/relationships/hyperlink" Target="https://www.gem.wiki/Romania-Serbia_Interconnection_Gas_Pipeline" TargetMode="External"/><Relationship Id="rId1135" Type="http://schemas.openxmlformats.org/officeDocument/2006/relationships/hyperlink" Target="https://www.gem.wiki/Tula-Torzhok_Gas_Pipeline" TargetMode="External"/><Relationship Id="rId1342" Type="http://schemas.openxmlformats.org/officeDocument/2006/relationships/hyperlink" Target="https://gem.wiki/Belfast_Gas_Transmission_Pipeline" TargetMode="External"/><Relationship Id="rId1202" Type="http://schemas.openxmlformats.org/officeDocument/2006/relationships/hyperlink" Target="https://www.gem.wiki/Transcontinental_Gas_Pipeline" TargetMode="External"/><Relationship Id="rId2600" Type="http://schemas.openxmlformats.org/officeDocument/2006/relationships/hyperlink" Target="https://gem.wiki/Mortara&#8211;Alessandria_Gas_Pipeline" TargetMode="External"/><Relationship Id="rId3167" Type="http://schemas.openxmlformats.org/officeDocument/2006/relationships/hyperlink" Target="https://www.gem.wiki/Lanzhou-Yinchuan_connecting_Pipeline" TargetMode="External"/><Relationship Id="rId295" Type="http://schemas.openxmlformats.org/officeDocument/2006/relationships/hyperlink" Target="https://www.gem.wiki/Cyprus-Egypt_gas_pipeline" TargetMode="External"/><Relationship Id="rId2183" Type="http://schemas.openxmlformats.org/officeDocument/2006/relationships/hyperlink" Target="https://www.gem.wiki/Sakhalin-Khabarovsk-Vladivostok_Gas_Pipeline" TargetMode="External"/><Relationship Id="rId2390" Type="http://schemas.openxmlformats.org/officeDocument/2006/relationships/hyperlink" Target="https://www.gem.wiki/SV1-QV1_Gas_Pipeline" TargetMode="External"/><Relationship Id="rId3027" Type="http://schemas.openxmlformats.org/officeDocument/2006/relationships/hyperlink" Target="https://www.gem.wiki/Jiangxi_Natural_Gas_Pipeline_Network" TargetMode="External"/><Relationship Id="rId3234" Type="http://schemas.openxmlformats.org/officeDocument/2006/relationships/hyperlink" Target="https://www.gem.wiki/Guizhou_Gas_Pipeline_Network" TargetMode="External"/><Relationship Id="rId155" Type="http://schemas.openxmlformats.org/officeDocument/2006/relationships/hyperlink" Target="https://www.gem.wiki/Western_Energy_Storage_and_Transportation_Header_Project" TargetMode="External"/><Relationship Id="rId362" Type="http://schemas.openxmlformats.org/officeDocument/2006/relationships/hyperlink" Target="https://www.gem.wiki/Haltenpipe_Gas_Pipeline" TargetMode="External"/><Relationship Id="rId2043" Type="http://schemas.openxmlformats.org/officeDocument/2006/relationships/hyperlink" Target="https://www.gem.wiki/Gasoduto_Santo_Ant%C3%B4nio_dos_Lopes-S%C3%A3o_Luis" TargetMode="External"/><Relationship Id="rId2250" Type="http://schemas.openxmlformats.org/officeDocument/2006/relationships/hyperlink" Target="https://www.gem.wiki/Siri%E2%80%93Asaluyeh_Gas_Pipeline" TargetMode="External"/><Relationship Id="rId3301" Type="http://schemas.openxmlformats.org/officeDocument/2006/relationships/hyperlink" Target="https://www.gem.wiki/Heilongjiang_Natural_Gas_Pipeline_Network" TargetMode="External"/><Relationship Id="rId222" Type="http://schemas.openxmlformats.org/officeDocument/2006/relationships/hyperlink" Target="https://www.gem.wiki/L%C3%A1zaro_C%C3%A1rdenas-Acapulco_Gas_Pipeline" TargetMode="External"/><Relationship Id="rId2110" Type="http://schemas.openxmlformats.org/officeDocument/2006/relationships/hyperlink" Target="https://www.gem.wiki/Nova_Gas_Transmission_(NGTL)_Pipeline" TargetMode="External"/><Relationship Id="rId1669" Type="http://schemas.openxmlformats.org/officeDocument/2006/relationships/hyperlink" Target="https://www.gem.wiki/Transcontinental_Gas_Pipeline" TargetMode="External"/><Relationship Id="rId1876" Type="http://schemas.openxmlformats.org/officeDocument/2006/relationships/hyperlink" Target="https://www.gem.wiki/Midi-Catalonia_Pipeline" TargetMode="External"/><Relationship Id="rId2927" Type="http://schemas.openxmlformats.org/officeDocument/2006/relationships/hyperlink" Target="https://www.gem.wiki/Guangdong_Gas_Pipeline_Network_Phase_I" TargetMode="External"/><Relationship Id="rId3091" Type="http://schemas.openxmlformats.org/officeDocument/2006/relationships/hyperlink" Target="https://www.gem.wiki/Zhejiang_Natural_Gas_Pipeline_Network" TargetMode="External"/><Relationship Id="rId1529" Type="http://schemas.openxmlformats.org/officeDocument/2006/relationships/hyperlink" Target="https://gem.wiki/Rozvadov&#8211;Veseli_Nad_Luznici_Gas_Pipeline" TargetMode="External"/><Relationship Id="rId1736" Type="http://schemas.openxmlformats.org/officeDocument/2006/relationships/hyperlink" Target="https://www.gem.wiki/Peninsular_Gas_Utilization_Project" TargetMode="External"/><Relationship Id="rId1943" Type="http://schemas.openxmlformats.org/officeDocument/2006/relationships/hyperlink" Target="https://www.gem.wiki/Rayong-Bang_Pakong_3_Gas_Pipeline" TargetMode="External"/><Relationship Id="rId28" Type="http://schemas.openxmlformats.org/officeDocument/2006/relationships/hyperlink" Target="https://www.gem.wiki/Commonwealth_Gas_Pipeline" TargetMode="External"/><Relationship Id="rId1803" Type="http://schemas.openxmlformats.org/officeDocument/2006/relationships/hyperlink" Target="https://www.gem.wiki/Gasoducto_Atacama" TargetMode="External"/><Relationship Id="rId689" Type="http://schemas.openxmlformats.org/officeDocument/2006/relationships/hyperlink" Target="https://www.gem.wiki/Cordoba%E2%80%93Campo_Major_Pipeline" TargetMode="External"/><Relationship Id="rId896" Type="http://schemas.openxmlformats.org/officeDocument/2006/relationships/hyperlink" Target="https://www.gem.wiki/Moheshkhali_Zero_Point-CTMS_Gas_Pipeline" TargetMode="External"/><Relationship Id="rId2577" Type="http://schemas.openxmlformats.org/officeDocument/2006/relationships/hyperlink" Target="https://www.gem.wiki/Pordenone-Istrana_Gas_Pipeline" TargetMode="External"/><Relationship Id="rId2784" Type="http://schemas.openxmlformats.org/officeDocument/2006/relationships/hyperlink" Target="https://www.gem.wiki/Inner_Mongolia_Gas_Pipeline_Network" TargetMode="External"/><Relationship Id="rId549" Type="http://schemas.openxmlformats.org/officeDocument/2006/relationships/hyperlink" Target="https://www.gem.wiki/Kalija_Gas_Pipeline" TargetMode="External"/><Relationship Id="rId756" Type="http://schemas.openxmlformats.org/officeDocument/2006/relationships/hyperlink" Target="https://www.gem.wiki/Bu-Attifel-Intesar_gas_pipeline" TargetMode="External"/><Relationship Id="rId1179" Type="http://schemas.openxmlformats.org/officeDocument/2006/relationships/hyperlink" Target="https://www.gem.wiki/Vector_Gas_Pipeline" TargetMode="External"/><Relationship Id="rId1386" Type="http://schemas.openxmlformats.org/officeDocument/2006/relationships/hyperlink" Target="https://gem.wiki/Dubnitza&#8211;Kyustendil_Gas_Pipeline" TargetMode="External"/><Relationship Id="rId1593" Type="http://schemas.openxmlformats.org/officeDocument/2006/relationships/hyperlink" Target="https://www.gem.wiki/Moheshkhali-Anwara_Parallel_Gas_Pipeline" TargetMode="External"/><Relationship Id="rId2437" Type="http://schemas.openxmlformats.org/officeDocument/2006/relationships/hyperlink" Target="https://www.gem.wiki/Qatargas_Ras_Laffan_Gas_Pipelines" TargetMode="External"/><Relationship Id="rId2991" Type="http://schemas.openxmlformats.org/officeDocument/2006/relationships/hyperlink" Target="https://www.gem.wiki/Lunan-Turpan_Gas_Pipeline" TargetMode="External"/><Relationship Id="rId409" Type="http://schemas.openxmlformats.org/officeDocument/2006/relationships/hyperlink" Target="https://www.gem.wiki/Minsk-Kaliningrad_Interconnection" TargetMode="External"/><Relationship Id="rId963" Type="http://schemas.openxmlformats.org/officeDocument/2006/relationships/hyperlink" Target="https://www.gem.wiki/South_East_Pipeline_System" TargetMode="External"/><Relationship Id="rId1039" Type="http://schemas.openxmlformats.org/officeDocument/2006/relationships/hyperlink" Target="https://www.gem.wiki/GasNosu_North%E2%80%93South_Gas_Pipeline" TargetMode="External"/><Relationship Id="rId1246" Type="http://schemas.openxmlformats.org/officeDocument/2006/relationships/hyperlink" Target="https://www.gem.wiki/South_Jersey_Gas_Pipeline" TargetMode="External"/><Relationship Id="rId2644" Type="http://schemas.openxmlformats.org/officeDocument/2006/relationships/hyperlink" Target="https://www.gem.wiki/Pelczyce-Poznan_Gas_Pipeline" TargetMode="External"/><Relationship Id="rId2851" Type="http://schemas.openxmlformats.org/officeDocument/2006/relationships/hyperlink" Target="https://www.gem.wiki/Shandong_LNG_Terminal_Transport_Pipeline" TargetMode="External"/><Relationship Id="rId92" Type="http://schemas.openxmlformats.org/officeDocument/2006/relationships/hyperlink" Target="https://www.gem.wiki/PennEast_Gas_Pipeline" TargetMode="External"/><Relationship Id="rId616" Type="http://schemas.openxmlformats.org/officeDocument/2006/relationships/hyperlink" Target="https://www.gem.wiki/Shin_Kitami_Gas_Pipeline" TargetMode="External"/><Relationship Id="rId823" Type="http://schemas.openxmlformats.org/officeDocument/2006/relationships/hyperlink" Target="https://www.gem.wiki/DeRuyter_Pipeline" TargetMode="External"/><Relationship Id="rId1453" Type="http://schemas.openxmlformats.org/officeDocument/2006/relationships/hyperlink" Target="https://gem.wiki/Lussagnet&#8211;Toulouse_Gas_Pipeline" TargetMode="External"/><Relationship Id="rId1660" Type="http://schemas.openxmlformats.org/officeDocument/2006/relationships/hyperlink" Target="https://www.gem.wiki/Florida_Gas_Transmission_Pipeline" TargetMode="External"/><Relationship Id="rId2504" Type="http://schemas.openxmlformats.org/officeDocument/2006/relationships/hyperlink" Target="https://www.gem.wiki/Genser_Natural_Gas_Pipeline_Network" TargetMode="External"/><Relationship Id="rId2711" Type="http://schemas.openxmlformats.org/officeDocument/2006/relationships/hyperlink" Target="https://www.gem.wiki/Eastern_Gas_Transmission_and_Storage_System_(EGTS)" TargetMode="External"/><Relationship Id="rId1106" Type="http://schemas.openxmlformats.org/officeDocument/2006/relationships/hyperlink" Target="https://www.gem.wiki/SRTO-Surgut-Omsk_Gas_Pipeline" TargetMode="External"/><Relationship Id="rId1313" Type="http://schemas.openxmlformats.org/officeDocument/2006/relationships/hyperlink" Target="https://www.gem.wiki/Kondalapalli-Tirupati_Gas_Pipeline" TargetMode="External"/><Relationship Id="rId1520" Type="http://schemas.openxmlformats.org/officeDocument/2006/relationships/hyperlink" Target="https://gem.wiki/Rende&#8211;Maida_Gas_Pipeline" TargetMode="External"/><Relationship Id="rId3278" Type="http://schemas.openxmlformats.org/officeDocument/2006/relationships/hyperlink" Target="https://www.gem.wiki/Shaanxi_Gas_Pipeline_Network" TargetMode="External"/><Relationship Id="rId199" Type="http://schemas.openxmlformats.org/officeDocument/2006/relationships/hyperlink" Target="https://www.gem.wiki/Pomelo_Connector_Pipeline" TargetMode="External"/><Relationship Id="rId2087" Type="http://schemas.openxmlformats.org/officeDocument/2006/relationships/hyperlink" Target="https://www.gem.wiki/Moomba_Sydney_Pipeline_System" TargetMode="External"/><Relationship Id="rId2294" Type="http://schemas.openxmlformats.org/officeDocument/2006/relationships/hyperlink" Target="https://www.gem.wiki/Zaterechny_Gas_Distribution_Station_Gas_Pipeline" TargetMode="External"/><Relationship Id="rId3138" Type="http://schemas.openxmlformats.org/officeDocument/2006/relationships/hyperlink" Target="https://www.gem.wiki/Hunan_Gas_Pipeline_Network" TargetMode="External"/><Relationship Id="rId3345" Type="http://schemas.openxmlformats.org/officeDocument/2006/relationships/hyperlink" Target="https://www.gem.wiki/Shenmu-Anping_Coalbed_Gas_Pipeline" TargetMode="External"/><Relationship Id="rId266" Type="http://schemas.openxmlformats.org/officeDocument/2006/relationships/hyperlink" Target="https://www.gem.wiki/IGAT_8_Gas_Pipeline" TargetMode="External"/><Relationship Id="rId473" Type="http://schemas.openxmlformats.org/officeDocument/2006/relationships/hyperlink" Target="https://www.gem.wiki/Bogra-Rangpur-Nilphamari_Transmission_Pipeline" TargetMode="External"/><Relationship Id="rId680" Type="http://schemas.openxmlformats.org/officeDocument/2006/relationships/hyperlink" Target="https://www.gem.wiki/Kipi-Komotini_Pipeline" TargetMode="External"/><Relationship Id="rId2154" Type="http://schemas.openxmlformats.org/officeDocument/2006/relationships/hyperlink" Target="https://www.gem.wiki/Israel_Natural_Gas_Transmission_System" TargetMode="External"/><Relationship Id="rId2361" Type="http://schemas.openxmlformats.org/officeDocument/2006/relationships/hyperlink" Target="https://www.gem.wiki/Ahangaran-Pungan_Gas_Pipeline" TargetMode="External"/><Relationship Id="rId3205" Type="http://schemas.openxmlformats.org/officeDocument/2006/relationships/hyperlink" Target="https://www.gem.wiki/Guizhou_Gas_Pipeline_Network" TargetMode="External"/><Relationship Id="rId126" Type="http://schemas.openxmlformats.org/officeDocument/2006/relationships/hyperlink" Target="https://www.gem.wiki/Trunkline_Gas_Pipeline" TargetMode="External"/><Relationship Id="rId333" Type="http://schemas.openxmlformats.org/officeDocument/2006/relationships/hyperlink" Target="https://www.gem.wiki/Asab%E2%80%93Bab-Habshan_gas_pipeline" TargetMode="External"/><Relationship Id="rId540" Type="http://schemas.openxmlformats.org/officeDocument/2006/relationships/hyperlink" Target="https://www.gem.wiki/Cirebon-Semarang_Gas_Pipeline" TargetMode="External"/><Relationship Id="rId1170" Type="http://schemas.openxmlformats.org/officeDocument/2006/relationships/hyperlink" Target="https://www.gem.wiki/Taweelah-Fujairah_Pipeline" TargetMode="External"/><Relationship Id="rId2014" Type="http://schemas.openxmlformats.org/officeDocument/2006/relationships/hyperlink" Target="https://www.gem.wiki/UK-Ireland_Interconnector_Gas_Pipeline" TargetMode="External"/><Relationship Id="rId2221" Type="http://schemas.openxmlformats.org/officeDocument/2006/relationships/hyperlink" Target="https://www.gem.wiki/Nubaria%E2%80%93Sadat_Gas_Pipeline" TargetMode="External"/><Relationship Id="rId1030" Type="http://schemas.openxmlformats.org/officeDocument/2006/relationships/hyperlink" Target="https://www.gem.wiki/Gasoducto_Morelos" TargetMode="External"/><Relationship Id="rId400" Type="http://schemas.openxmlformats.org/officeDocument/2006/relationships/hyperlink" Target="https://www.gem.wiki/Bukhara-Tashkent-Bishkek-Almaty_Gas_Pipeline" TargetMode="External"/><Relationship Id="rId1987" Type="http://schemas.openxmlformats.org/officeDocument/2006/relationships/hyperlink" Target="https://www.gem.wiki/Urengoy-Petrovsk_Gas_Pipeline" TargetMode="External"/><Relationship Id="rId1847" Type="http://schemas.openxmlformats.org/officeDocument/2006/relationships/hyperlink" Target="https://www.gem.wiki/Tamazunchale_Gas_Pipeline" TargetMode="External"/><Relationship Id="rId1707" Type="http://schemas.openxmlformats.org/officeDocument/2006/relationships/hyperlink" Target="https://www.gem.wiki/Bhola%E2%80%93Khulna_Gas_Pipeline" TargetMode="External"/><Relationship Id="rId3062" Type="http://schemas.openxmlformats.org/officeDocument/2006/relationships/hyperlink" Target="https://www.gem.wiki/Henan_Gas_Pipeline_Network" TargetMode="External"/><Relationship Id="rId190" Type="http://schemas.openxmlformats.org/officeDocument/2006/relationships/hyperlink" Target="https://www.gem.wiki/Corpus_Christi_Pipeline" TargetMode="External"/><Relationship Id="rId1914" Type="http://schemas.openxmlformats.org/officeDocument/2006/relationships/hyperlink" Target="https://www.gem.wiki/Crib_Point_Pakenham_Pipeline" TargetMode="External"/><Relationship Id="rId2688" Type="http://schemas.openxmlformats.org/officeDocument/2006/relationships/hyperlink" Target="https://www.gem.wiki/Minerbio%E2%80%93Ravenna_Terra_Gas_Pipeline" TargetMode="External"/><Relationship Id="rId2895" Type="http://schemas.openxmlformats.org/officeDocument/2006/relationships/hyperlink" Target="https://www.gem.wiki/Sichuan%E2%80%93Shanghai_Gas_Pipeline" TargetMode="External"/><Relationship Id="rId867" Type="http://schemas.openxmlformats.org/officeDocument/2006/relationships/hyperlink" Target="https://www.hydrocarbons-technology.com/projects/medgaz-pipeline/,%20https:/www.nsenergybusiness.com/projects/medgaz-gas-pipeline/" TargetMode="External"/><Relationship Id="rId1497" Type="http://schemas.openxmlformats.org/officeDocument/2006/relationships/hyperlink" Target="https://gem.wiki/Oviedo&#8211;Tuy_Gas_Pipeline" TargetMode="External"/><Relationship Id="rId2548" Type="http://schemas.openxmlformats.org/officeDocument/2006/relationships/hyperlink" Target="https://www.gem.wiki/Rostock-Steinitz_Gas_Pipeline" TargetMode="External"/><Relationship Id="rId2755" Type="http://schemas.openxmlformats.org/officeDocument/2006/relationships/hyperlink" Target="https://www.gem.wiki/Yunnan_Gas_Pipeline_Network" TargetMode="External"/><Relationship Id="rId2962" Type="http://schemas.openxmlformats.org/officeDocument/2006/relationships/hyperlink" Target="https://www.gem.wiki/Guangxi_LNG_Terminal_Transport_Pipeline" TargetMode="External"/><Relationship Id="rId727" Type="http://schemas.openxmlformats.org/officeDocument/2006/relationships/hyperlink" Target="https://www.gem.wiki/Zeepipe_Gas_Pipeline" TargetMode="External"/><Relationship Id="rId934" Type="http://schemas.openxmlformats.org/officeDocument/2006/relationships/hyperlink" Target="https://www.gem.wiki/Keiji_Gas_Pipeline" TargetMode="External"/><Relationship Id="rId1357" Type="http://schemas.openxmlformats.org/officeDocument/2006/relationships/hyperlink" Target="https://gem.wiki/Calderari_Enna&#8211;Menfi_Gas_Pipeline" TargetMode="External"/><Relationship Id="rId1564" Type="http://schemas.openxmlformats.org/officeDocument/2006/relationships/hyperlink" Target="https://gem.wiki/Vigasio&#8211;Trento_Gas_Pipeline" TargetMode="External"/><Relationship Id="rId1771" Type="http://schemas.openxmlformats.org/officeDocument/2006/relationships/hyperlink" Target="https://www.gem.wiki/Texas_Independence_Pipeline" TargetMode="External"/><Relationship Id="rId2408" Type="http://schemas.openxmlformats.org/officeDocument/2006/relationships/hyperlink" Target="https://www.gem.wiki/Esch_sur_Alzette-Remich_Gas_Pipeline" TargetMode="External"/><Relationship Id="rId2615" Type="http://schemas.openxmlformats.org/officeDocument/2006/relationships/hyperlink" Target="https://www.gem.wiki/Rogatec-Cersak_Gas_Pipeline" TargetMode="External"/><Relationship Id="rId2822" Type="http://schemas.openxmlformats.org/officeDocument/2006/relationships/hyperlink" Target="https://www.gem.wiki/Dagang%E2%80%93Yongqing_Gas_Pipelines_(1%E2%80%933)" TargetMode="External"/><Relationship Id="rId63" Type="http://schemas.openxmlformats.org/officeDocument/2006/relationships/hyperlink" Target="https://www.gem.wiki/Tallgrass_Interstate_Gas_Transmission" TargetMode="External"/><Relationship Id="rId1217" Type="http://schemas.openxmlformats.org/officeDocument/2006/relationships/hyperlink" Target="https://www.gem.wiki/Mountain_Valley_Gas_Pipeline_(MVP)" TargetMode="External"/><Relationship Id="rId1424" Type="http://schemas.openxmlformats.org/officeDocument/2006/relationships/hyperlink" Target="https://gem.wiki/Hospozin&#8211;Rozvadov_Gas_Pipeline" TargetMode="External"/><Relationship Id="rId1631" Type="http://schemas.openxmlformats.org/officeDocument/2006/relationships/hyperlink" Target="https://www.gem.wiki/Gasoducto_Ul%C3%A9-Amuay" TargetMode="External"/><Relationship Id="rId2198" Type="http://schemas.openxmlformats.org/officeDocument/2006/relationships/hyperlink" Target="https://sonatrach.com/wp-content/uploads/2022/01/DESCRIPTION-DU-RESEAU-DE-TRANSPORT-PAR-CANALISATION-DES-HYDROCARBURES-TARIF-DE-TRANSPORT-ANNEE-2022.pdf" TargetMode="External"/><Relationship Id="rId3249" Type="http://schemas.openxmlformats.org/officeDocument/2006/relationships/hyperlink" Target="https://www.gem.wiki/Ordos-Anping-Cangzhou_Gas_Pipeline" TargetMode="External"/><Relationship Id="rId377" Type="http://schemas.openxmlformats.org/officeDocument/2006/relationships/hyperlink" Target="https://www.gem.wiki/Rehden-Hamburg_Gas_Pipeline" TargetMode="External"/><Relationship Id="rId584" Type="http://schemas.openxmlformats.org/officeDocument/2006/relationships/hyperlink" Target="https://www.gem.wiki/North_Caucasus_Transcaucasia_Pipeline" TargetMode="External"/><Relationship Id="rId2058" Type="http://schemas.openxmlformats.org/officeDocument/2006/relationships/hyperlink" Target="https://www.gem.wiki/Ennore-Nellore_Gas_Pipeline" TargetMode="External"/><Relationship Id="rId2265" Type="http://schemas.openxmlformats.org/officeDocument/2006/relationships/hyperlink" Target="https://www.gem.wiki/Hungary-Austria_Interconnector_Gas_Pipeline" TargetMode="External"/><Relationship Id="rId3109" Type="http://schemas.openxmlformats.org/officeDocument/2006/relationships/hyperlink" Target="https://www.gem.wiki/Hubei_Gas_Pipeline_Network" TargetMode="External"/><Relationship Id="rId237" Type="http://schemas.openxmlformats.org/officeDocument/2006/relationships/hyperlink" Target="https://www.gem.wiki/Gasoducto_Ramal_Hermosillo" TargetMode="External"/><Relationship Id="rId791" Type="http://schemas.openxmlformats.org/officeDocument/2006/relationships/hyperlink" Target="https://www.gem.wiki/Rumuji-Bonny_gas_pipeline" TargetMode="External"/><Relationship Id="rId1074" Type="http://schemas.openxmlformats.org/officeDocument/2006/relationships/hyperlink" Target="https://www.gem.wiki/Sodegaura-Rinkai_Gas_Pipeline" TargetMode="External"/><Relationship Id="rId2472" Type="http://schemas.openxmlformats.org/officeDocument/2006/relationships/hyperlink" Target="https://www.gem.wiki/Los_Ramones_Gas_Pipeline" TargetMode="External"/><Relationship Id="rId3316" Type="http://schemas.openxmlformats.org/officeDocument/2006/relationships/hyperlink" Target="https://www.gem.wiki/Heilongjiang_Natural_Gas_Pipeline_Network" TargetMode="External"/><Relationship Id="rId444" Type="http://schemas.openxmlformats.org/officeDocument/2006/relationships/hyperlink" Target="https://www.gem.wiki/Stavropol_Moscow_Pipeline" TargetMode="External"/><Relationship Id="rId651" Type="http://schemas.openxmlformats.org/officeDocument/2006/relationships/hyperlink" Target="https://www.gem.wiki/Shin_Chitose_Airport_Trunk_Line" TargetMode="External"/><Relationship Id="rId1281" Type="http://schemas.openxmlformats.org/officeDocument/2006/relationships/hyperlink" Target="https://www.gem.wiki/Gasoducto_N%C3%A9stor_Kirchner" TargetMode="External"/><Relationship Id="rId2125" Type="http://schemas.openxmlformats.org/officeDocument/2006/relationships/hyperlink" Target="https://www.gem.wiki/Carpentaria_Gas_Pipeline" TargetMode="External"/><Relationship Id="rId2332" Type="http://schemas.openxmlformats.org/officeDocument/2006/relationships/hyperlink" Target="https://www.gem.wiki/BRZ-WHPs-Ras_Laffan_Gas_Pipeline" TargetMode="External"/><Relationship Id="rId304" Type="http://schemas.openxmlformats.org/officeDocument/2006/relationships/hyperlink" Target="https://www.gem.wiki/Wafa-Mellitah_gas_pipeline" TargetMode="External"/><Relationship Id="rId511" Type="http://schemas.openxmlformats.org/officeDocument/2006/relationships/hyperlink" Target="https://www.gem.wiki/Gasoduto_da_Rota_6a" TargetMode="External"/><Relationship Id="rId1141" Type="http://schemas.openxmlformats.org/officeDocument/2006/relationships/hyperlink" Target="https://www.gem.wiki/Yamburg-Tula_Gas_Pipeline" TargetMode="External"/><Relationship Id="rId1001" Type="http://schemas.openxmlformats.org/officeDocument/2006/relationships/hyperlink" Target="https://www.gem.wiki/Ghana%E2%80%93C%C3%B4te_d%27Ivoire_Gas_Pipeline" TargetMode="External"/><Relationship Id="rId1958" Type="http://schemas.openxmlformats.org/officeDocument/2006/relationships/hyperlink" Target="https://www.gem.wiki/Nam_Con_Son_Gas_Pipeline" TargetMode="External"/><Relationship Id="rId3173" Type="http://schemas.openxmlformats.org/officeDocument/2006/relationships/hyperlink" Target="https://www.gem.wiki/West-East_Gas_Pipeline_3" TargetMode="External"/><Relationship Id="rId1818" Type="http://schemas.openxmlformats.org/officeDocument/2006/relationships/hyperlink" Target="https://www.gem.wiki/Tula-Villa_de_Reyes_Gas_Pipeline" TargetMode="External"/><Relationship Id="rId3033" Type="http://schemas.openxmlformats.org/officeDocument/2006/relationships/hyperlink" Target="https://www.gem.wiki/Jiangxi_Natural_Gas_Pipeline_Network" TargetMode="External"/><Relationship Id="rId3240" Type="http://schemas.openxmlformats.org/officeDocument/2006/relationships/hyperlink" Target="https://www.gem.wiki/Liaoning_Gas_Pipeline_Network" TargetMode="External"/><Relationship Id="rId161" Type="http://schemas.openxmlformats.org/officeDocument/2006/relationships/hyperlink" Target="https://www.gem.wiki/DeRuyter_Pipeline" TargetMode="External"/><Relationship Id="rId2799" Type="http://schemas.openxmlformats.org/officeDocument/2006/relationships/hyperlink" Target="https://www.gem.wiki/Fu%27antun%E2%80%93Kailu%E2%80%93Naiman_Gas_Pipeline" TargetMode="External"/><Relationship Id="rId3100" Type="http://schemas.openxmlformats.org/officeDocument/2006/relationships/hyperlink" Target="https://www.gem.wiki/Hainan_Gas_Pipeline_Network" TargetMode="External"/><Relationship Id="rId978" Type="http://schemas.openxmlformats.org/officeDocument/2006/relationships/hyperlink" Target="https://www.gem.wiki/Shiroishi-Koriyama_Gas_Pipeline" TargetMode="External"/><Relationship Id="rId2659" Type="http://schemas.openxmlformats.org/officeDocument/2006/relationships/hyperlink" Target="https://www.gem.wiki/Serbia-Kosovo-Montenegro_Gas_Interconnector" TargetMode="External"/><Relationship Id="rId2866" Type="http://schemas.openxmlformats.org/officeDocument/2006/relationships/hyperlink" Target="https://www.gem.wiki/Xuanzhangtun-Jining_gas_pipeline" TargetMode="External"/><Relationship Id="rId838" Type="http://schemas.openxmlformats.org/officeDocument/2006/relationships/hyperlink" Target="https://www.gem.wiki/Nova_Gas_Transmission_(NGTL)_Pipeline" TargetMode="External"/><Relationship Id="rId1468" Type="http://schemas.openxmlformats.org/officeDocument/2006/relationships/hyperlink" Target="https://gem.wiki/Echt&#8211;Ravenstein_Gas_Pipeline" TargetMode="External"/><Relationship Id="rId1675" Type="http://schemas.openxmlformats.org/officeDocument/2006/relationships/hyperlink" Target="https://www.gem.wiki/Tamazunchale_Gas_Pipeline" TargetMode="External"/><Relationship Id="rId1882" Type="http://schemas.openxmlformats.org/officeDocument/2006/relationships/hyperlink" Target="https://www.gem.wiki/Dumai%E2%80%93Medan_Gas_Pipeline" TargetMode="External"/><Relationship Id="rId2519" Type="http://schemas.openxmlformats.org/officeDocument/2006/relationships/hyperlink" Target="https://www.gem.wiki/Vale-Vani_Gas_Pipeline" TargetMode="External"/><Relationship Id="rId2726" Type="http://schemas.openxmlformats.org/officeDocument/2006/relationships/hyperlink" Target="https://www.gem.wiki/Ningxia_Gas_Pipeline_Network" TargetMode="External"/><Relationship Id="rId1328" Type="http://schemas.openxmlformats.org/officeDocument/2006/relationships/hyperlink" Target="https://gem.wiki/Banatski_Dvor&#8211;Novi_Sad_Gas_Pipeline" TargetMode="External"/><Relationship Id="rId1535" Type="http://schemas.openxmlformats.org/officeDocument/2006/relationships/hyperlink" Target="https://gem.wiki/Scheemda&#8211;Spijk_Gas_Pipeline" TargetMode="External"/><Relationship Id="rId2933" Type="http://schemas.openxmlformats.org/officeDocument/2006/relationships/hyperlink" Target="https://www.gem.wiki/Guangdong_Gas_Pipeline_Network_Phase_II" TargetMode="External"/><Relationship Id="rId905" Type="http://schemas.openxmlformats.org/officeDocument/2006/relationships/hyperlink" Target="https://www.gem.wiki/Razlog-Bansko_Gas_Pipeline" TargetMode="External"/><Relationship Id="rId1742" Type="http://schemas.openxmlformats.org/officeDocument/2006/relationships/hyperlink" Target="https://www.gem.wiki/Trans-Sabah_Gas_Pipeline" TargetMode="External"/><Relationship Id="rId34" Type="http://schemas.openxmlformats.org/officeDocument/2006/relationships/hyperlink" Target="https://www.gem.wiki/Dominion_Gas_Pipeline" TargetMode="External"/><Relationship Id="rId1602" Type="http://schemas.openxmlformats.org/officeDocument/2006/relationships/hyperlink" Target="https://www.gem.wiki/Yapacani-Colpa_Gas_Pipeline" TargetMode="External"/><Relationship Id="rId488" Type="http://schemas.openxmlformats.org/officeDocument/2006/relationships/hyperlink" Target="https://www.gem.wiki/Kuchai-Chhatak_Gas_Pipeline" TargetMode="External"/><Relationship Id="rId695" Type="http://schemas.openxmlformats.org/officeDocument/2006/relationships/hyperlink" Target="https://www.gem.wiki/DEUDAN_Gas_Pipeline" TargetMode="External"/><Relationship Id="rId2169" Type="http://schemas.openxmlformats.org/officeDocument/2006/relationships/hyperlink" Target="https://www.gem.wiki/Klaipeda-Kursenai_Gas_Pipeline" TargetMode="External"/><Relationship Id="rId2376" Type="http://schemas.openxmlformats.org/officeDocument/2006/relationships/hyperlink" Target="https://www.gem.wiki/Qadirpur_Gas_Pipeline" TargetMode="External"/><Relationship Id="rId2583" Type="http://schemas.openxmlformats.org/officeDocument/2006/relationships/hyperlink" Target="https://www.gem.wiki/Passo_Gries-Masera_Gas_Pipeline" TargetMode="External"/><Relationship Id="rId2790" Type="http://schemas.openxmlformats.org/officeDocument/2006/relationships/hyperlink" Target="https://www.gem.wiki/Inner_Mongolia_Gas_Pipeline_Network" TargetMode="External"/><Relationship Id="rId348" Type="http://schemas.openxmlformats.org/officeDocument/2006/relationships/hyperlink" Target="https://www.gem.wiki/Central_Area_Transmission_System" TargetMode="External"/><Relationship Id="rId555" Type="http://schemas.openxmlformats.org/officeDocument/2006/relationships/hyperlink" Target="https://www.gem.wiki/Point_B-Pupuk_Iskandar_Muda_Gas_Pipeline" TargetMode="External"/><Relationship Id="rId762" Type="http://schemas.openxmlformats.org/officeDocument/2006/relationships/hyperlink" Target="https://www.gem.wiki/Khoms-Tripoli_gas_pipeline" TargetMode="External"/><Relationship Id="rId1185" Type="http://schemas.openxmlformats.org/officeDocument/2006/relationships/hyperlink" Target="https://www.gem.wiki/Texas_Gas_Transmission_Pipeline" TargetMode="External"/><Relationship Id="rId1392" Type="http://schemas.openxmlformats.org/officeDocument/2006/relationships/hyperlink" Target="https://gem.wiki/Tworzen&#8211;Cieszyn_Gas_Pipeline" TargetMode="External"/><Relationship Id="rId2029" Type="http://schemas.openxmlformats.org/officeDocument/2006/relationships/hyperlink" Target="https://www.gem.wiki/Gasoduto_SEAL" TargetMode="External"/><Relationship Id="rId2236" Type="http://schemas.openxmlformats.org/officeDocument/2006/relationships/hyperlink" Target="https://www.gem.wiki/Badr_El_Din_Spur_Gas_Pipelines" TargetMode="External"/><Relationship Id="rId2443" Type="http://schemas.openxmlformats.org/officeDocument/2006/relationships/hyperlink" Target="https://www.gem.wiki/Phool_Nagar-Dawood_Hercules_Gas_Pipeline" TargetMode="External"/><Relationship Id="rId2650" Type="http://schemas.openxmlformats.org/officeDocument/2006/relationships/hyperlink" Target="https://www.gem.wiki/Thiva-Megalopoli_Gas_Pipeline" TargetMode="External"/><Relationship Id="rId208" Type="http://schemas.openxmlformats.org/officeDocument/2006/relationships/hyperlink" Target="https://www.gem.wiki/El_Encino-La_Laguna_Gas_Pipeline" TargetMode="External"/><Relationship Id="rId415" Type="http://schemas.openxmlformats.org/officeDocument/2006/relationships/hyperlink" Target="https://www.gem.wiki/Pochinki-Gryazovets_Gas_Pipeline" TargetMode="External"/><Relationship Id="rId622" Type="http://schemas.openxmlformats.org/officeDocument/2006/relationships/hyperlink" Target="https://www.gem.wiki/Suruga_Line" TargetMode="External"/><Relationship Id="rId1045" Type="http://schemas.openxmlformats.org/officeDocument/2006/relationships/hyperlink" Target="https://www.gem.wiki/Johan_Sverdrup_Gas_Pipeline" TargetMode="External"/><Relationship Id="rId1252" Type="http://schemas.openxmlformats.org/officeDocument/2006/relationships/hyperlink" Target="https://www.gem.wiki/TriState_Corridor_Gas_Pipeline" TargetMode="External"/><Relationship Id="rId2303" Type="http://schemas.openxmlformats.org/officeDocument/2006/relationships/hyperlink" Target="https://www.gem.wiki/Gorky-Cherepovets_gas_pipeline_Gas_Pipeline" TargetMode="External"/><Relationship Id="rId2510" Type="http://schemas.openxmlformats.org/officeDocument/2006/relationships/hyperlink" Target="https://www.gem.wiki/Eemshaven-Emden_Gas_Pipeline" TargetMode="External"/><Relationship Id="rId1112" Type="http://schemas.openxmlformats.org/officeDocument/2006/relationships/hyperlink" Target="https://www.gem.wiki/Ostrogozhsk-Belousovo_Gas_Pipeline" TargetMode="External"/><Relationship Id="rId3077" Type="http://schemas.openxmlformats.org/officeDocument/2006/relationships/hyperlink" Target="https://www.gem.wiki/Puyang%E2%80%93Fan_County%E2%80%93Taiqian_Gas_Pipeline" TargetMode="External"/><Relationship Id="rId3284" Type="http://schemas.openxmlformats.org/officeDocument/2006/relationships/hyperlink" Target="https://www.gem.wiki/Shaanxi_Gas_Pipeline_Network" TargetMode="External"/><Relationship Id="rId1929" Type="http://schemas.openxmlformats.org/officeDocument/2006/relationships/hyperlink" Target="https://www.gem.wiki/Nam_Phong_Field-Nam_Phong_Power_Plant_Gas_Pipeline" TargetMode="External"/><Relationship Id="rId2093" Type="http://schemas.openxmlformats.org/officeDocument/2006/relationships/hyperlink" Target="https://www.gem.wiki/North_Bakken_Expansion_Pipeline" TargetMode="External"/><Relationship Id="rId3144" Type="http://schemas.openxmlformats.org/officeDocument/2006/relationships/hyperlink" Target="https://www.gem.wiki/Hunan_Gas_Pipeline_Network" TargetMode="External"/><Relationship Id="rId272" Type="http://schemas.openxmlformats.org/officeDocument/2006/relationships/hyperlink" Target="https://www.gem.wiki/Maghreb-Europe_Gas_Pipeline" TargetMode="External"/><Relationship Id="rId2160" Type="http://schemas.openxmlformats.org/officeDocument/2006/relationships/hyperlink" Target="https://www.gem.wiki/Commonwealth_LNG_Pipeline" TargetMode="External"/><Relationship Id="rId3004" Type="http://schemas.openxmlformats.org/officeDocument/2006/relationships/hyperlink" Target="https://www.gem.wiki/Jiangsu_Coastal_Gas_Pipeline" TargetMode="External"/><Relationship Id="rId3211" Type="http://schemas.openxmlformats.org/officeDocument/2006/relationships/hyperlink" Target="https://www.gem.wiki/Guizhou_Gas_Pipeline_Network" TargetMode="External"/><Relationship Id="rId132" Type="http://schemas.openxmlformats.org/officeDocument/2006/relationships/hyperlink" Target="https://www.gem.wiki/Westcoast_Connector_Gas_Transmission_Project" TargetMode="External"/><Relationship Id="rId2020" Type="http://schemas.openxmlformats.org/officeDocument/2006/relationships/hyperlink" Target="https://www.gem.wiki/Route_5c_Gas_Pipeline" TargetMode="External"/><Relationship Id="rId1579" Type="http://schemas.openxmlformats.org/officeDocument/2006/relationships/hyperlink" Target="https://gem.wiki/Zimella&#8211;Istrana_Gas_Pipeline" TargetMode="External"/><Relationship Id="rId2977" Type="http://schemas.openxmlformats.org/officeDocument/2006/relationships/hyperlink" Target="https://www.gem.wiki/Guangxi_Gas_Pipeline_Network" TargetMode="External"/><Relationship Id="rId949" Type="http://schemas.openxmlformats.org/officeDocument/2006/relationships/hyperlink" Target="https://www.gem.wiki/Kurume_Gas_Pipeline" TargetMode="External"/><Relationship Id="rId1786" Type="http://schemas.openxmlformats.org/officeDocument/2006/relationships/hyperlink" Target="https://www.gem.wiki/Saryarka_Gas_Pipeline" TargetMode="External"/><Relationship Id="rId1993" Type="http://schemas.openxmlformats.org/officeDocument/2006/relationships/hyperlink" Target="https://www.gem.wiki/Yamburg-Yelets_Gas_Pipeline" TargetMode="External"/><Relationship Id="rId2837" Type="http://schemas.openxmlformats.org/officeDocument/2006/relationships/hyperlink" Target="https://www.gem.wiki/Anhui_Gas_Pipeline_Network" TargetMode="External"/><Relationship Id="rId78" Type="http://schemas.openxmlformats.org/officeDocument/2006/relationships/hyperlink" Target="https://www.gem.wiki/Nautilus_Gas_Pipeline" TargetMode="External"/><Relationship Id="rId809" Type="http://schemas.openxmlformats.org/officeDocument/2006/relationships/hyperlink" Target="https://www.gem.wiki/Hawiyah-UBTG-1-km0_gas_pipeline" TargetMode="External"/><Relationship Id="rId1439" Type="http://schemas.openxmlformats.org/officeDocument/2006/relationships/hyperlink" Target="https://gem.wiki/Kyustendil&#8211;Zhidilovo_Gas_Pipeline" TargetMode="External"/><Relationship Id="rId1646" Type="http://schemas.openxmlformats.org/officeDocument/2006/relationships/hyperlink" Target="https://www.gem.wiki/Gas_Transmission_Northwest" TargetMode="External"/><Relationship Id="rId1853" Type="http://schemas.openxmlformats.org/officeDocument/2006/relationships/hyperlink" Target="https://www.gem.wiki/Route_2_Gas_Pipeline" TargetMode="External"/><Relationship Id="rId2904" Type="http://schemas.openxmlformats.org/officeDocument/2006/relationships/hyperlink" Target="https://www.gem.wiki/Sichuan%E2%80%93Shanghai_Gas_Pipeline" TargetMode="External"/><Relationship Id="rId1506" Type="http://schemas.openxmlformats.org/officeDocument/2006/relationships/hyperlink" Target="https://gem.wiki/Podisor&#8211;Giurgiu_Gas_Pipeline" TargetMode="External"/><Relationship Id="rId1713" Type="http://schemas.openxmlformats.org/officeDocument/2006/relationships/hyperlink" Target="https://www.gem.wiki/Icthys_Gas_Pipeline" TargetMode="External"/><Relationship Id="rId1920" Type="http://schemas.openxmlformats.org/officeDocument/2006/relationships/hyperlink" Target="https://www.gem.wiki/Bosnia_and_Herzegovina%E2%80%93Croatia_South_Interconnection_Gas_Pipeline" TargetMode="External"/><Relationship Id="rId599" Type="http://schemas.openxmlformats.org/officeDocument/2006/relationships/hyperlink" Target="https://www.gem.wiki/Tegalgede-Muara_Tawar_Gas_Pipeline" TargetMode="External"/><Relationship Id="rId2487" Type="http://schemas.openxmlformats.org/officeDocument/2006/relationships/hyperlink" Target="https://www.gem.wiki/Eje_Levante_Gas_Pipeline" TargetMode="External"/><Relationship Id="rId2694" Type="http://schemas.openxmlformats.org/officeDocument/2006/relationships/hyperlink" Target="https://www.gem.wiki/Carolina_Gas_Transmission" TargetMode="External"/><Relationship Id="rId459" Type="http://schemas.openxmlformats.org/officeDocument/2006/relationships/hyperlink" Target="https://www.gem.wiki/Anowara-Fouzdarhat_Gas_Pipeline" TargetMode="External"/><Relationship Id="rId666" Type="http://schemas.openxmlformats.org/officeDocument/2006/relationships/hyperlink" Target="https://www.gem.wiki/Tivissa-Barcelona_Gas_Pipeline" TargetMode="External"/><Relationship Id="rId873" Type="http://schemas.openxmlformats.org/officeDocument/2006/relationships/hyperlink" Target="https://www.aps.dz/ar/economie/56650-2018-05-12-14-45-34" TargetMode="External"/><Relationship Id="rId1089" Type="http://schemas.openxmlformats.org/officeDocument/2006/relationships/hyperlink" Target="https://www.gem.wiki/Kohtla-J%C3%A4rve-Leningrad_Gas_Pipeline" TargetMode="External"/><Relationship Id="rId1296" Type="http://schemas.openxmlformats.org/officeDocument/2006/relationships/hyperlink" Target="https://www.gem.wiki/Gheraesti-Siret_Gas_Pipeline" TargetMode="External"/><Relationship Id="rId2347" Type="http://schemas.openxmlformats.org/officeDocument/2006/relationships/hyperlink" Target="https://www.gem.wiki/Skopje-Tetolo-Gostivar_Gas_Pipeline" TargetMode="External"/><Relationship Id="rId2554" Type="http://schemas.openxmlformats.org/officeDocument/2006/relationships/hyperlink" Target="https://www.gem.wiki/Fustenwalde-Deutschneudorf_Gas_Pipeline" TargetMode="External"/><Relationship Id="rId319" Type="http://schemas.openxmlformats.org/officeDocument/2006/relationships/hyperlink" Target="https://www.gem.wiki/Qatar_Station_S-Station_W2_Gas_Pipeline" TargetMode="External"/><Relationship Id="rId526" Type="http://schemas.openxmlformats.org/officeDocument/2006/relationships/hyperlink" Target="https://www.gem.wiki/Yacheng-Hong_Kong_Pipeline" TargetMode="External"/><Relationship Id="rId1156" Type="http://schemas.openxmlformats.org/officeDocument/2006/relationships/hyperlink" Target="https://www.gem.wiki/Cantanhede-Mangualde_Gas_Pipeline" TargetMode="External"/><Relationship Id="rId1363" Type="http://schemas.openxmlformats.org/officeDocument/2006/relationships/hyperlink" Target="https://gem.wiki/Cervignano&#8211;Ripalta_Gas_Pipeline" TargetMode="External"/><Relationship Id="rId2207" Type="http://schemas.openxmlformats.org/officeDocument/2006/relationships/hyperlink" Target="https://www.gem.wiki/Swan_LNG_Terminal_to_Dahej_LNG_Terminal_Gas_Pipeline" TargetMode="External"/><Relationship Id="rId2761" Type="http://schemas.openxmlformats.org/officeDocument/2006/relationships/hyperlink" Target="https://www.gem.wiki/Yunnan_Gas_Pipeline_Network" TargetMode="External"/><Relationship Id="rId733" Type="http://schemas.openxmlformats.org/officeDocument/2006/relationships/hyperlink" Target="https://www.gem.wiki/Okha-Komsomolsk_Gas_Pipeline" TargetMode="External"/><Relationship Id="rId940" Type="http://schemas.openxmlformats.org/officeDocument/2006/relationships/hyperlink" Target="https://www.gem.wiki/Kinki_Trunk_Line_No._2_West_Line" TargetMode="External"/><Relationship Id="rId1016" Type="http://schemas.openxmlformats.org/officeDocument/2006/relationships/hyperlink" Target="https://www.gem.wiki/North_Gas-K1_gas_pipeline" TargetMode="External"/><Relationship Id="rId1570" Type="http://schemas.openxmlformats.org/officeDocument/2006/relationships/hyperlink" Target="https://gem.wiki/Whitegate&#8211;Ballineen_Gas_Pipeline" TargetMode="External"/><Relationship Id="rId2414" Type="http://schemas.openxmlformats.org/officeDocument/2006/relationships/hyperlink" Target="https://www.gem.wiki/Faisalabad-Malakwal_Gas_Pipeline" TargetMode="External"/><Relationship Id="rId2621" Type="http://schemas.openxmlformats.org/officeDocument/2006/relationships/hyperlink" Target="https://www.gem.wiki/Vecses-Kecskemet_Gas_Pipeline" TargetMode="External"/><Relationship Id="rId800" Type="http://schemas.openxmlformats.org/officeDocument/2006/relationships/hyperlink" Target="https://www.gem.wiki/AY%E2%80%931_KP_943-Riyadh_gas_pipeline" TargetMode="External"/><Relationship Id="rId1223" Type="http://schemas.openxmlformats.org/officeDocument/2006/relationships/hyperlink" Target="https://www.gem.wiki/Empire_Pipeline" TargetMode="External"/><Relationship Id="rId1430" Type="http://schemas.openxmlformats.org/officeDocument/2006/relationships/hyperlink" Target="https://gem.wiki/Istrana&#8211;Mira_Gas_Pipeline" TargetMode="External"/><Relationship Id="rId3188" Type="http://schemas.openxmlformats.org/officeDocument/2006/relationships/hyperlink" Target="https://www.gem.wiki/West-East_Gas_Pipeline_2" TargetMode="External"/><Relationship Id="rId3048" Type="http://schemas.openxmlformats.org/officeDocument/2006/relationships/hyperlink" Target="https://www.gem.wiki/Cangzhou-Zibo_gas_pipeline" TargetMode="External"/><Relationship Id="rId3255" Type="http://schemas.openxmlformats.org/officeDocument/2006/relationships/hyperlink" Target="https://www.gem.wiki/Chongqing_Gas_Pipeline_Network" TargetMode="External"/><Relationship Id="rId176" Type="http://schemas.openxmlformats.org/officeDocument/2006/relationships/hyperlink" Target="https://www.gem.wiki/Bluebonnet_Market_Express_Pipeline" TargetMode="External"/><Relationship Id="rId383" Type="http://schemas.openxmlformats.org/officeDocument/2006/relationships/hyperlink" Target="https://www.gem.wiki/STEGAL_Gas_Pipeline" TargetMode="External"/><Relationship Id="rId590" Type="http://schemas.openxmlformats.org/officeDocument/2006/relationships/hyperlink" Target="https://www.gem.wiki/Novopskov-Shebelinka_Gas_Pipeline" TargetMode="External"/><Relationship Id="rId2064" Type="http://schemas.openxmlformats.org/officeDocument/2006/relationships/hyperlink" Target="https://www.gem.wiki/Adriatica_Pipeline" TargetMode="External"/><Relationship Id="rId2271" Type="http://schemas.openxmlformats.org/officeDocument/2006/relationships/hyperlink" Target="https://www.gem.wiki/Palekh-Lukh_Gas_Pipeline" TargetMode="External"/><Relationship Id="rId3115" Type="http://schemas.openxmlformats.org/officeDocument/2006/relationships/hyperlink" Target="https://www.gem.wiki/Hubei_Gas_Pipeline_Network" TargetMode="External"/><Relationship Id="rId3322" Type="http://schemas.openxmlformats.org/officeDocument/2006/relationships/hyperlink" Target="https://www.gem.wiki/Heilongjiang_Natural_Gas_Pipeline_Network" TargetMode="External"/><Relationship Id="rId243" Type="http://schemas.openxmlformats.org/officeDocument/2006/relationships/hyperlink" Target="https://www.gem.wiki/Gasoducto_Salina_Cruz-Tapachula" TargetMode="External"/><Relationship Id="rId450" Type="http://schemas.openxmlformats.org/officeDocument/2006/relationships/hyperlink" Target="https://www.gem.wiki/Shearwater_and_Elgin_Area_Line_Pipeline" TargetMode="External"/><Relationship Id="rId1080" Type="http://schemas.openxmlformats.org/officeDocument/2006/relationships/hyperlink" Target="https://www.gem.wiki/Toyama_Gas_Pipeline" TargetMode="External"/><Relationship Id="rId2131" Type="http://schemas.openxmlformats.org/officeDocument/2006/relationships/hyperlink" Target="https://www.gem.wiki/NSW_Gas_Network" TargetMode="External"/><Relationship Id="rId103" Type="http://schemas.openxmlformats.org/officeDocument/2006/relationships/hyperlink" Target="https://www.gem.wiki/Southern_Natural_Gas_(SNG)_Pipeline" TargetMode="External"/><Relationship Id="rId310" Type="http://schemas.openxmlformats.org/officeDocument/2006/relationships/hyperlink" Target="https://www.gem.wiki/Saih_Rawl%E2%80%93Sur_gas_pipeline" TargetMode="External"/><Relationship Id="rId1897" Type="http://schemas.openxmlformats.org/officeDocument/2006/relationships/hyperlink" Target="https://www.gem.wiki/Gasoducto_GasAndes" TargetMode="External"/><Relationship Id="rId2948" Type="http://schemas.openxmlformats.org/officeDocument/2006/relationships/hyperlink" Target="https://www.gem.wiki/Guangdong_Gas_Pipeline_Network_Phase_I" TargetMode="External"/><Relationship Id="rId1757" Type="http://schemas.openxmlformats.org/officeDocument/2006/relationships/hyperlink" Target="https://www.gem.wiki/Kochi-Koottanad-Bangalore-Mangalore_Gas_Pipeline" TargetMode="External"/><Relationship Id="rId1964" Type="http://schemas.openxmlformats.org/officeDocument/2006/relationships/hyperlink" Target="https://www.gem.wiki/Bonaparte_Gas_Pipeline" TargetMode="External"/><Relationship Id="rId2808" Type="http://schemas.openxmlformats.org/officeDocument/2006/relationships/hyperlink" Target="https://www.gem.wiki/Jilin_Gas_Pipeline_Network" TargetMode="External"/><Relationship Id="rId49" Type="http://schemas.openxmlformats.org/officeDocument/2006/relationships/hyperlink" Target="https://www.gem.wiki/Gator_Express_Gas_Pipeline" TargetMode="External"/><Relationship Id="rId1617" Type="http://schemas.openxmlformats.org/officeDocument/2006/relationships/hyperlink" Target="https://www.gem.wiki/Gasoduto_GASEB" TargetMode="External"/><Relationship Id="rId1824" Type="http://schemas.openxmlformats.org/officeDocument/2006/relationships/hyperlink" Target="https://www.gem.wiki/Albania%E2%80%93Kosovo_Gas_Pipeline" TargetMode="External"/><Relationship Id="rId2598" Type="http://schemas.openxmlformats.org/officeDocument/2006/relationships/hyperlink" Target="https://www.gem.wiki/Yamburg-Tula_Gas_Pipeline" TargetMode="External"/><Relationship Id="rId777" Type="http://schemas.openxmlformats.org/officeDocument/2006/relationships/hyperlink" Target="https://www.gem.wiki/Egbin_Node-Alagbado_gas_pipeline" TargetMode="External"/><Relationship Id="rId984" Type="http://schemas.openxmlformats.org/officeDocument/2006/relationships/hyperlink" Target="https://www.gem.wiki/Promigas_Pipeline_Network" TargetMode="External"/><Relationship Id="rId2458" Type="http://schemas.openxmlformats.org/officeDocument/2006/relationships/hyperlink" Target="https://www.gem.wiki/Gdov-Slantsy_Gas_Pipeline" TargetMode="External"/><Relationship Id="rId2665" Type="http://schemas.openxmlformats.org/officeDocument/2006/relationships/hyperlink" Target="https://www.gem.wiki/ANR_Gas_Pipeline" TargetMode="External"/><Relationship Id="rId2872" Type="http://schemas.openxmlformats.org/officeDocument/2006/relationships/hyperlink" Target="https://www.gem.wiki/Shanxi_Natural_Gas_Pipeline_Network" TargetMode="External"/><Relationship Id="rId637" Type="http://schemas.openxmlformats.org/officeDocument/2006/relationships/hyperlink" Target="https://www.gem.wiki/Kogoshima_Hayato_Gas_Pipeline" TargetMode="External"/><Relationship Id="rId844" Type="http://schemas.openxmlformats.org/officeDocument/2006/relationships/hyperlink" Target="https://www.gem.wiki/T-030_Pipeline" TargetMode="External"/><Relationship Id="rId1267" Type="http://schemas.openxmlformats.org/officeDocument/2006/relationships/hyperlink" Target="https://www.gem.wiki/Block_B%E2%80%93O_Mon_Gas_Pipeline_System" TargetMode="External"/><Relationship Id="rId1474" Type="http://schemas.openxmlformats.org/officeDocument/2006/relationships/hyperlink" Target="https://gem.wiki/Minerbio&#8211;Parma_Gas_Pipeline" TargetMode="External"/><Relationship Id="rId1681" Type="http://schemas.openxmlformats.org/officeDocument/2006/relationships/hyperlink" Target="https://www.gem.wiki/Moranbah_to_Denison_Trough_North_Gas_Pipeline" TargetMode="External"/><Relationship Id="rId2318" Type="http://schemas.openxmlformats.org/officeDocument/2006/relationships/hyperlink" Target="https://www.gem.wiki/Florida_Gas_Transmission_Pipeline" TargetMode="External"/><Relationship Id="rId2525" Type="http://schemas.openxmlformats.org/officeDocument/2006/relationships/hyperlink" Target="https://www.gem.wiki/Rustavi-Telavi-Zhinvali_Gas_Pipeline" TargetMode="External"/><Relationship Id="rId2732" Type="http://schemas.openxmlformats.org/officeDocument/2006/relationships/hyperlink" Target="https://www.gem.wiki/China%E2%80%93Russia_East_Pipeline" TargetMode="External"/><Relationship Id="rId704" Type="http://schemas.openxmlformats.org/officeDocument/2006/relationships/hyperlink" Target="https://www.gem.wiki/Valchi_Dol%E2%80%93Preselka_Pipeline" TargetMode="External"/><Relationship Id="rId911" Type="http://schemas.openxmlformats.org/officeDocument/2006/relationships/hyperlink" Target="https://www.gem.wiki/Northern_Border_Gas_Pipeline" TargetMode="External"/><Relationship Id="rId1127" Type="http://schemas.openxmlformats.org/officeDocument/2006/relationships/hyperlink" Target="https://www.gem.wiki/Shkapovo-Tubankul_Gas_Pipeline" TargetMode="External"/><Relationship Id="rId1334" Type="http://schemas.openxmlformats.org/officeDocument/2006/relationships/hyperlink" Target="https://gem.wiki/Benevento&#8211;Biccari_Gas_Pipeline" TargetMode="External"/><Relationship Id="rId1541" Type="http://schemas.openxmlformats.org/officeDocument/2006/relationships/hyperlink" Target="https://gem.wiki/Stolberg&#8211;Eynatten_Gas_Pipeline" TargetMode="External"/><Relationship Id="rId40" Type="http://schemas.openxmlformats.org/officeDocument/2006/relationships/hyperlink" Target="https://www.gem.wiki/El_Paso_Gas_Pipeline" TargetMode="External"/><Relationship Id="rId1401" Type="http://schemas.openxmlformats.org/officeDocument/2006/relationships/hyperlink" Target="https://gem.wiki/Etrez&#8211;Annecy_Gas_Pipeline" TargetMode="External"/><Relationship Id="rId3299" Type="http://schemas.openxmlformats.org/officeDocument/2006/relationships/hyperlink" Target="https://www.gem.wiki/Qingdao-Nanjing_Pipeline" TargetMode="External"/><Relationship Id="rId3159" Type="http://schemas.openxmlformats.org/officeDocument/2006/relationships/hyperlink" Target="https://www.gem.wiki/Strait_West_Natural_Gas_Pipeline_Network_Phase_II" TargetMode="External"/><Relationship Id="rId287" Type="http://schemas.openxmlformats.org/officeDocument/2006/relationships/hyperlink" Target="https://sonatrach.com/wp-content/uploads/2022/01/DESCRIPTION-DU-RESEAU-DE-TRANSPORT-PAR-CANALISATION-DES-HYDROCARBURES-TARIF-DE-TRANSPORT-ANNEE-2022.pdf" TargetMode="External"/><Relationship Id="rId494" Type="http://schemas.openxmlformats.org/officeDocument/2006/relationships/hyperlink" Target="https://www.gem.wiki/Galilee_to_Moranbah_Gas_Pipeline" TargetMode="External"/><Relationship Id="rId2175" Type="http://schemas.openxmlformats.org/officeDocument/2006/relationships/hyperlink" Target="https://www.gem.wiki/Permian_Highway_Pipeline" TargetMode="External"/><Relationship Id="rId2382" Type="http://schemas.openxmlformats.org/officeDocument/2006/relationships/hyperlink" Target="https://www.gem.wiki/Ikhala-Sortavala_Gas_Pipeline" TargetMode="External"/><Relationship Id="rId3019" Type="http://schemas.openxmlformats.org/officeDocument/2006/relationships/hyperlink" Target="https://www.gem.wiki/Jiangsu_Coastal_Gas_Pipeline" TargetMode="External"/><Relationship Id="rId3226" Type="http://schemas.openxmlformats.org/officeDocument/2006/relationships/hyperlink" Target="https://www.gem.wiki/Guizhou_Gas_Pipeline_Network" TargetMode="External"/><Relationship Id="rId147" Type="http://schemas.openxmlformats.org/officeDocument/2006/relationships/hyperlink" Target="https://www.gem.wiki/Magnolia_Intrastate_Pipeline" TargetMode="External"/><Relationship Id="rId354" Type="http://schemas.openxmlformats.org/officeDocument/2006/relationships/hyperlink" Target="https://www.gem.wiki/Franpipe_Gas_Pipeline" TargetMode="External"/><Relationship Id="rId1191" Type="http://schemas.openxmlformats.org/officeDocument/2006/relationships/hyperlink" Target="https://www.gem.wiki/Transcontinental_Gas_Pipeline" TargetMode="External"/><Relationship Id="rId2035" Type="http://schemas.openxmlformats.org/officeDocument/2006/relationships/hyperlink" Target="https://www.gem.wiki/Gasoduto_Pen%C3%A1polis-Canoas" TargetMode="External"/><Relationship Id="rId561" Type="http://schemas.openxmlformats.org/officeDocument/2006/relationships/hyperlink" Target="https://www.gem.wiki/Kakinada-Vijayawada-Nellore_Gas_Pipeline" TargetMode="External"/><Relationship Id="rId2242" Type="http://schemas.openxmlformats.org/officeDocument/2006/relationships/hyperlink" Target="https://www.gem.wiki/Lewin_Brzeski-Nysa_Pipeline" TargetMode="External"/><Relationship Id="rId214" Type="http://schemas.openxmlformats.org/officeDocument/2006/relationships/hyperlink" Target="https://www.gem.wiki/J%C3%A1ltipan-Salina_Cruz_Gas_Pipeline" TargetMode="External"/><Relationship Id="rId421" Type="http://schemas.openxmlformats.org/officeDocument/2006/relationships/hyperlink" Target="https://www.gem.wiki/Trans-Anatolian_Gas_Pipeline" TargetMode="External"/><Relationship Id="rId1051" Type="http://schemas.openxmlformats.org/officeDocument/2006/relationships/hyperlink" Target="https://www.gem.wiki/Skocz%C3%B3w-Komorowice-O%C5%9Bwi%C4%99cim_Gas_Pipeline" TargetMode="External"/><Relationship Id="rId2102" Type="http://schemas.openxmlformats.org/officeDocument/2006/relationships/hyperlink" Target="https://www.gem.wiki/Mallavaram-Bhopal-Bhilwara-Vijaipur_Gas_Pipeline" TargetMode="External"/><Relationship Id="rId1868" Type="http://schemas.openxmlformats.org/officeDocument/2006/relationships/hyperlink" Target="https://www.gem.wiki/Central_Ranges_Pipeline" TargetMode="External"/><Relationship Id="rId2919" Type="http://schemas.openxmlformats.org/officeDocument/2006/relationships/hyperlink" Target="https://www.gem.wiki/Sichuan_%26_Chongqing_Grand_Loop_Line" TargetMode="External"/><Relationship Id="rId3083" Type="http://schemas.openxmlformats.org/officeDocument/2006/relationships/hyperlink" Target="https://www.gem.wiki/Zhejiang_Natural_Gas_Pipeline_Network" TargetMode="External"/><Relationship Id="rId3290" Type="http://schemas.openxmlformats.org/officeDocument/2006/relationships/hyperlink" Target="https://www.gem.wiki/Shaanxi_Gas_Pipeline_Network" TargetMode="External"/><Relationship Id="rId1728" Type="http://schemas.openxmlformats.org/officeDocument/2006/relationships/hyperlink" Target="https://www.gem.wiki/Jaigarh-Mangalore_Gas_Pipeline" TargetMode="External"/><Relationship Id="rId1935" Type="http://schemas.openxmlformats.org/officeDocument/2006/relationships/hyperlink" Target="https://www.gem.wiki/Plathong_Field_Gas_Pipeline" TargetMode="External"/><Relationship Id="rId3150" Type="http://schemas.openxmlformats.org/officeDocument/2006/relationships/hyperlink" Target="https://www.gem.wiki/Changqing-Lanzhou_Gas_Pipeline" TargetMode="External"/><Relationship Id="rId3010" Type="http://schemas.openxmlformats.org/officeDocument/2006/relationships/hyperlink" Target="https://www.gem.wiki/Jiangsu_Coastal_Gas_Pipeline" TargetMode="External"/><Relationship Id="rId4" Type="http://schemas.openxmlformats.org/officeDocument/2006/relationships/hyperlink" Target="https://www.gem.wiki/Access_South_Gas_Pipeline" TargetMode="External"/><Relationship Id="rId888" Type="http://schemas.openxmlformats.org/officeDocument/2006/relationships/hyperlink" Target="https://www.gem.wiki/Gasoducto_San_Sebasti%C3%A1n-Ushuaia" TargetMode="External"/><Relationship Id="rId2569" Type="http://schemas.openxmlformats.org/officeDocument/2006/relationships/hyperlink" Target="https://www.gem.wiki/Minerbio-Castelbolognese_Gas_Pipeline" TargetMode="External"/><Relationship Id="rId2776" Type="http://schemas.openxmlformats.org/officeDocument/2006/relationships/hyperlink" Target="https://www.gem.wiki/Chahar_Right_Front_Banner%E2%80%93Huade_Gas_Pipeline" TargetMode="External"/><Relationship Id="rId2983" Type="http://schemas.openxmlformats.org/officeDocument/2006/relationships/hyperlink" Target="https://www.gem.wiki/Zhongxian-Wuhan_Pipeline" TargetMode="External"/><Relationship Id="rId748" Type="http://schemas.openxmlformats.org/officeDocument/2006/relationships/hyperlink" Target="https://www.gem.wiki/Strategy-Najaf_gas_pipeline" TargetMode="External"/><Relationship Id="rId955" Type="http://schemas.openxmlformats.org/officeDocument/2006/relationships/hyperlink" Target="https://www.gem.wiki/Naoetsu_Gas_Pipeline" TargetMode="External"/><Relationship Id="rId1378" Type="http://schemas.openxmlformats.org/officeDocument/2006/relationships/hyperlink" Target="https://gem.wiki/Craughwell&#8211;Loughshinny_Gas_Pipeline" TargetMode="External"/><Relationship Id="rId1585" Type="http://schemas.openxmlformats.org/officeDocument/2006/relationships/hyperlink" Target="https://www.gem.wiki/Adriatica_Pipeline" TargetMode="External"/><Relationship Id="rId1792" Type="http://schemas.openxmlformats.org/officeDocument/2006/relationships/hyperlink" Target="https://www.gem.wiki/Gasoducto_para_Gas_Natural_Intercaribe%C3%B1o" TargetMode="External"/><Relationship Id="rId2429" Type="http://schemas.openxmlformats.org/officeDocument/2006/relationships/hyperlink" Target="https://www.gem.wiki/Rzhev-Olenino-Zapadnaya_Dvina_Gas_Pipeline" TargetMode="External"/><Relationship Id="rId2636" Type="http://schemas.openxmlformats.org/officeDocument/2006/relationships/hyperlink" Target="https://www.gem.wiki/Karacabey-Izmit_Gas_Pipeline" TargetMode="External"/><Relationship Id="rId2843" Type="http://schemas.openxmlformats.org/officeDocument/2006/relationships/hyperlink" Target="https://www.gem.wiki/Anhui_Gas_Pipeline_Network" TargetMode="External"/><Relationship Id="rId84" Type="http://schemas.openxmlformats.org/officeDocument/2006/relationships/hyperlink" Target="https://www.gem.wiki/Nova_Gas_Transmission_(NGTL)_Pipeline" TargetMode="External"/><Relationship Id="rId608" Type="http://schemas.openxmlformats.org/officeDocument/2006/relationships/hyperlink" Target="https://www.gem.wiki/Sangu_Gas_Transmission_Pipeline" TargetMode="External"/><Relationship Id="rId815" Type="http://schemas.openxmlformats.org/officeDocument/2006/relationships/hyperlink" Target="https://www.gem.wiki/Haradh_Khuff-Hawiyah_2_gas_pipeline" TargetMode="External"/><Relationship Id="rId1238" Type="http://schemas.openxmlformats.org/officeDocument/2006/relationships/hyperlink" Target="https://www.gem.wiki/Sabal_Trail_Gas_Transmission_Pipeline" TargetMode="External"/><Relationship Id="rId1445" Type="http://schemas.openxmlformats.org/officeDocument/2006/relationships/hyperlink" Target="https://gem.wiki/Liepaja&#8211;Iecava_Gas_Pipeline" TargetMode="External"/><Relationship Id="rId1652" Type="http://schemas.openxmlformats.org/officeDocument/2006/relationships/hyperlink" Target="https://www.gem.wiki/Sawan%E2%80%93Lahore_Gas_Pipeline" TargetMode="External"/><Relationship Id="rId1305" Type="http://schemas.openxmlformats.org/officeDocument/2006/relationships/hyperlink" Target="https://www.gem.wiki/Trail_West_Pipeline" TargetMode="External"/><Relationship Id="rId2703" Type="http://schemas.openxmlformats.org/officeDocument/2006/relationships/hyperlink" Target="https://www.gem.wiki/Dubnitza-Nikolaevo_Gas_Pipeline" TargetMode="External"/><Relationship Id="rId2910" Type="http://schemas.openxmlformats.org/officeDocument/2006/relationships/hyperlink" Target="https://www.gem.wiki/Sichuan%E2%80%93Shanghai_Parallel_Gas_Pipeline" TargetMode="External"/><Relationship Id="rId1512" Type="http://schemas.openxmlformats.org/officeDocument/2006/relationships/hyperlink" Target="https://gem.wiki/Rauna&#8211;Karksi_Gas_Pipeline" TargetMode="External"/><Relationship Id="rId11" Type="http://schemas.openxmlformats.org/officeDocument/2006/relationships/hyperlink" Target="https://www.gem.wiki/Appalachian_Connector_Pipeline" TargetMode="External"/><Relationship Id="rId398" Type="http://schemas.openxmlformats.org/officeDocument/2006/relationships/hyperlink" Target="https://www.gem.wiki/Bovanenkovo-Ukhta_Gas_Pipeline" TargetMode="External"/><Relationship Id="rId2079" Type="http://schemas.openxmlformats.org/officeDocument/2006/relationships/hyperlink" Target="https://www.gem.wiki/Kambalda_to_Esperance_Pipeline" TargetMode="External"/><Relationship Id="rId2286" Type="http://schemas.openxmlformats.org/officeDocument/2006/relationships/hyperlink" Target="https://www.gem.wiki/Vylgort-Pazhga_Gas_Pipeline" TargetMode="External"/><Relationship Id="rId2493" Type="http://schemas.openxmlformats.org/officeDocument/2006/relationships/hyperlink" Target="https://www.gem.wiki/Tivissa%E2%80%93Castelnou_Gas_Pipeline" TargetMode="External"/><Relationship Id="rId3337" Type="http://schemas.openxmlformats.org/officeDocument/2006/relationships/hyperlink" Target="https://www.gem.wiki/Central_Asia%E2%80%93China_Gas_Pipeline" TargetMode="External"/><Relationship Id="rId258" Type="http://schemas.openxmlformats.org/officeDocument/2006/relationships/hyperlink" Target="https://arabic.rt.com/middle_east/1123021-%D8%A7%D9%84%D8%B3%D9%8A%D9%84-%D8%A7%D9%84%D8%A3%D8%AE%D8%B6%D8%B1-%D9%85%D9%86-%D9%85%D9%84%D9%8A%D8%AA%D8%A9-%D8%A7%D9%84%D9%84%D9%8A%D8%A8%D9%8A%D8%A9-%D8%A5%D9%84%D9%89-%D8%AC%D9%8A%D9%84%D8%A7-%D8%A7%D9%84%D8%A5%D9%8A%D8%B7%D8%A7%D9%84%D9%8A%D8%A9/" TargetMode="External"/><Relationship Id="rId465" Type="http://schemas.openxmlformats.org/officeDocument/2006/relationships/hyperlink" Target="https://www.gem.wiki/Bakhrabad_to_Chittagong_Gas_Pipeline" TargetMode="External"/><Relationship Id="rId672" Type="http://schemas.openxmlformats.org/officeDocument/2006/relationships/hyperlink" Target="https://www.gem.wiki/Getafe-Cuenca-Fuentes_Gas_Pipeline" TargetMode="External"/><Relationship Id="rId1095" Type="http://schemas.openxmlformats.org/officeDocument/2006/relationships/hyperlink" Target="https://www.gem.wiki/Maykop-Nevinnomyssk_Gas_Pipeline" TargetMode="External"/><Relationship Id="rId2146" Type="http://schemas.openxmlformats.org/officeDocument/2006/relationships/hyperlink" Target="https://www.gem.wiki/Kalgoorlie_to_Kambalda_Pipeline" TargetMode="External"/><Relationship Id="rId2353" Type="http://schemas.openxmlformats.org/officeDocument/2006/relationships/hyperlink" Target="https://www.gem.wiki/Zorkino-Balakovo_Gas_Pipeline" TargetMode="External"/><Relationship Id="rId2560" Type="http://schemas.openxmlformats.org/officeDocument/2006/relationships/hyperlink" Target="https://www.gem.wiki/Yufutsu-Sapporo_Gas_Pipeline" TargetMode="External"/><Relationship Id="rId118" Type="http://schemas.openxmlformats.org/officeDocument/2006/relationships/hyperlink" Target="https://www.gem.wiki/Trailblazer_Gas_Pipeline" TargetMode="External"/><Relationship Id="rId325" Type="http://schemas.openxmlformats.org/officeDocument/2006/relationships/hyperlink" Target="https://www.gem.wiki/WH-8-Ras_Laffan_gas_pipeline" TargetMode="External"/><Relationship Id="rId532" Type="http://schemas.openxmlformats.org/officeDocument/2006/relationships/hyperlink" Target="https://www.gem.wiki/Vijaipur-Auraiya-Phulpur_Pipeline" TargetMode="External"/><Relationship Id="rId1162" Type="http://schemas.openxmlformats.org/officeDocument/2006/relationships/hyperlink" Target="https://www.gem.wiki/Konya-Izmir_Gas_Pipeline" TargetMode="External"/><Relationship Id="rId2006" Type="http://schemas.openxmlformats.org/officeDocument/2006/relationships/hyperlink" Target="https://www.gem.wiki/Oseberg_Gas_Transport_Pipeline" TargetMode="External"/><Relationship Id="rId2213" Type="http://schemas.openxmlformats.org/officeDocument/2006/relationships/hyperlink" Target="https://www.gem.wiki/Payra-Barishal_Gas_Transmission_Pipeline" TargetMode="External"/><Relationship Id="rId2420" Type="http://schemas.openxmlformats.org/officeDocument/2006/relationships/hyperlink" Target="https://www.gem.wiki/Jauharabad-Chashma_Gas_Pipeline" TargetMode="External"/><Relationship Id="rId1022" Type="http://schemas.openxmlformats.org/officeDocument/2006/relationships/hyperlink" Target="https://www.gem.wiki/Klaipeda-Kursenai_Gas_Pipeline" TargetMode="External"/><Relationship Id="rId1979" Type="http://schemas.openxmlformats.org/officeDocument/2006/relationships/hyperlink" Target="https://www.gem.wiki/Ivatsevichy-Kobryn-Dolyna_Gas_Pipeline" TargetMode="External"/><Relationship Id="rId3194" Type="http://schemas.openxmlformats.org/officeDocument/2006/relationships/hyperlink" Target="https://www.gem.wiki/Guizhou_Gas_Pipeline_Network" TargetMode="External"/><Relationship Id="rId1839" Type="http://schemas.openxmlformats.org/officeDocument/2006/relationships/hyperlink" Target="https://www.gem.wiki/Gasoducto_Norte" TargetMode="External"/><Relationship Id="rId3054" Type="http://schemas.openxmlformats.org/officeDocument/2006/relationships/hyperlink" Target="https://www.gem.wiki/Henan_North_gas_pipeline_(Bo%27ai-Anyang)" TargetMode="External"/><Relationship Id="rId182" Type="http://schemas.openxmlformats.org/officeDocument/2006/relationships/hyperlink" Target="https://www.gem.wiki/Energia_Mayakan_Pipeline" TargetMode="External"/><Relationship Id="rId1906" Type="http://schemas.openxmlformats.org/officeDocument/2006/relationships/hyperlink" Target="https://www.gem.wiki/Gasoducto_El_Encino%E2%80%93Topolobampo" TargetMode="External"/><Relationship Id="rId3261" Type="http://schemas.openxmlformats.org/officeDocument/2006/relationships/hyperlink" Target="https://www.gem.wiki/Chongqing_Gas_Pipeline_Network" TargetMode="External"/><Relationship Id="rId2070" Type="http://schemas.openxmlformats.org/officeDocument/2006/relationships/hyperlink" Target="https://www.gem.wiki/Uruguaiana-Porto_Alegre_Gas_Pipeline" TargetMode="External"/><Relationship Id="rId3121" Type="http://schemas.openxmlformats.org/officeDocument/2006/relationships/hyperlink" Target="https://www.gem.wiki/Hunan_Gas_Pipeline_Network" TargetMode="External"/><Relationship Id="rId999" Type="http://schemas.openxmlformats.org/officeDocument/2006/relationships/hyperlink" Target="https://www.gem.wiki/Werne-Schl%C3%BCchtern-Rimpar_Gas_Pipeline" TargetMode="External"/><Relationship Id="rId2887" Type="http://schemas.openxmlformats.org/officeDocument/2006/relationships/hyperlink" Target="https://www.gem.wiki/Shanxi_Natural_Gas_Pipeline_Network" TargetMode="External"/><Relationship Id="rId859" Type="http://schemas.openxmlformats.org/officeDocument/2006/relationships/hyperlink" Target="https://www.gem.wiki/Chuo_Trunk_Line_Gas_Pipeline" TargetMode="External"/><Relationship Id="rId1489" Type="http://schemas.openxmlformats.org/officeDocument/2006/relationships/hyperlink" Target="https://www.gem.wiki/Nitra-Velke_Zlievke_Gas_Pipeline" TargetMode="External"/><Relationship Id="rId1696" Type="http://schemas.openxmlformats.org/officeDocument/2006/relationships/hyperlink" Target="https://www.gem.wiki/Victorian_Transmission_System" TargetMode="External"/><Relationship Id="rId1349" Type="http://schemas.openxmlformats.org/officeDocument/2006/relationships/hyperlink" Target="https://gem.wiki/Bralos&#8211;Aliartos_Gas_Pipeline" TargetMode="External"/><Relationship Id="rId2747" Type="http://schemas.openxmlformats.org/officeDocument/2006/relationships/hyperlink" Target="https://www.gem.wiki/Zhongwei-Guiyang_Connecting_Pipeline" TargetMode="External"/><Relationship Id="rId2954" Type="http://schemas.openxmlformats.org/officeDocument/2006/relationships/hyperlink" Target="https://www.gem.wiki/Guangdong_Gas_Pipeline_Network_Phase_I" TargetMode="External"/><Relationship Id="rId719" Type="http://schemas.openxmlformats.org/officeDocument/2006/relationships/hyperlink" Target="https://www.gem.wiki/North%E2%80%93Vest_Romania_Pipeline" TargetMode="External"/><Relationship Id="rId926" Type="http://schemas.openxmlformats.org/officeDocument/2006/relationships/hyperlink" Target="https://www.gem.wiki/Shahaji_Bazar_Shamsher_Nagar_Gas_Pipeline" TargetMode="External"/><Relationship Id="rId1556" Type="http://schemas.openxmlformats.org/officeDocument/2006/relationships/hyperlink" Target="https://gem.wiki/Valladolid&#8211;Aranda_Gas_Pipeline" TargetMode="External"/><Relationship Id="rId1763" Type="http://schemas.openxmlformats.org/officeDocument/2006/relationships/hyperlink" Target="https://www.gem.wiki/Gasoducto_del_%C3%81rea_Mar%C3%ADtima_de_la_Costa_Este" TargetMode="External"/><Relationship Id="rId1970" Type="http://schemas.openxmlformats.org/officeDocument/2006/relationships/hyperlink" Target="https://www.gem.wiki/Comet_Ridge_to_Wallumbilla_Gas_Pipeline" TargetMode="External"/><Relationship Id="rId2607" Type="http://schemas.openxmlformats.org/officeDocument/2006/relationships/hyperlink" Target="https://www.gem.wiki/Bernalda-Brindisi_Gas_Pipeline" TargetMode="External"/><Relationship Id="rId2814" Type="http://schemas.openxmlformats.org/officeDocument/2006/relationships/hyperlink" Target="https://www.gem.wiki/Hohhot-Zhangjiakou-Yanqing_Gas_Pipeline" TargetMode="External"/><Relationship Id="rId55" Type="http://schemas.openxmlformats.org/officeDocument/2006/relationships/hyperlink" Target="https://www.gem.wiki/Gulfstream_Natural_Gas_Pipeline" TargetMode="External"/><Relationship Id="rId1209" Type="http://schemas.openxmlformats.org/officeDocument/2006/relationships/hyperlink" Target="https://www.gem.wiki/Columbia_Gas_Transmission" TargetMode="External"/><Relationship Id="rId1416" Type="http://schemas.openxmlformats.org/officeDocument/2006/relationships/hyperlink" Target="https://gem.wiki/Hajduszoboszlo&#8211;Nemesbikk_Gas_Pipeline" TargetMode="External"/><Relationship Id="rId1623" Type="http://schemas.openxmlformats.org/officeDocument/2006/relationships/hyperlink" Target="https://www.gem.wiki/Yongan-Tongxiao_Gas_Pipeline_2" TargetMode="External"/><Relationship Id="rId1830" Type="http://schemas.openxmlformats.org/officeDocument/2006/relationships/hyperlink" Target="https://www.gem.wiki/Kakinada-Haldia_Gas_Pipeline" TargetMode="External"/><Relationship Id="rId2397" Type="http://schemas.openxmlformats.org/officeDocument/2006/relationships/hyperlink" Target="https://www.gem.wiki/Sahiwal-Lahore_Gas_Pipeline_I" TargetMode="External"/><Relationship Id="rId369" Type="http://schemas.openxmlformats.org/officeDocument/2006/relationships/hyperlink" Target="https://www.gem.wiki/MIDAL_Gas_Pipeline" TargetMode="External"/><Relationship Id="rId576" Type="http://schemas.openxmlformats.org/officeDocument/2006/relationships/hyperlink" Target="https://www.gem.wiki/Dikanka-Kremenchuk%E2%80%93Krivyi_Rih_Gas_Pipeline" TargetMode="External"/><Relationship Id="rId783" Type="http://schemas.openxmlformats.org/officeDocument/2006/relationships/hyperlink" Target="https://www.gem.wiki/Obiafu-Ubeta_gas_pipeline" TargetMode="External"/><Relationship Id="rId990" Type="http://schemas.openxmlformats.org/officeDocument/2006/relationships/hyperlink" Target="https://www.gem.wiki/Omi%C5%A1alj-Zlobin-Bosiljevo-Sisak-Kozarac-Slobodnica_LNG_main_evacuation_pipeline" TargetMode="External"/><Relationship Id="rId2257" Type="http://schemas.openxmlformats.org/officeDocument/2006/relationships/hyperlink" Target="https://www.gem.wiki/Cyprus-Turkey_Gas_Pipeline" TargetMode="External"/><Relationship Id="rId2464" Type="http://schemas.openxmlformats.org/officeDocument/2006/relationships/hyperlink" Target="https://www.gem.wiki/Manjiwala-Pezu_Gas_Pipeline" TargetMode="External"/><Relationship Id="rId2671" Type="http://schemas.openxmlformats.org/officeDocument/2006/relationships/hyperlink" Target="https://www.gem.wiki/Zeebrugge%E2%80%93Berneau_Gas_Pipeline" TargetMode="External"/><Relationship Id="rId3308" Type="http://schemas.openxmlformats.org/officeDocument/2006/relationships/hyperlink" Target="https://www.gem.wiki/Heilongjiang_Natural_Gas_Pipeline_Network" TargetMode="External"/><Relationship Id="rId229" Type="http://schemas.openxmlformats.org/officeDocument/2006/relationships/hyperlink" Target="https://www.gem.wiki/Gasoducto_NorAndino" TargetMode="External"/><Relationship Id="rId436" Type="http://schemas.openxmlformats.org/officeDocument/2006/relationships/hyperlink" Target="https://www.gem.wiki/Yelets_Kremenchuk_Kryvyi_Rih_Pipeline" TargetMode="External"/><Relationship Id="rId643" Type="http://schemas.openxmlformats.org/officeDocument/2006/relationships/hyperlink" Target="https://www.gem.wiki/Shin_Negishi_Trunk_Line" TargetMode="External"/><Relationship Id="rId1066" Type="http://schemas.openxmlformats.org/officeDocument/2006/relationships/hyperlink" Target="https://www.gem.wiki/Central_Asia-Center_Gas_Pipeline" TargetMode="External"/><Relationship Id="rId1273" Type="http://schemas.openxmlformats.org/officeDocument/2006/relationships/hyperlink" Target="https://www.gem.wiki/Ukhta-Torzhok_3_Gas_Pipeline" TargetMode="External"/><Relationship Id="rId1480" Type="http://schemas.openxmlformats.org/officeDocument/2006/relationships/hyperlink" Target="https://gem.wiki/Moliterno&#8211;Montesano_Sulla_Marcellana_Gas_Pipeline" TargetMode="External"/><Relationship Id="rId2117" Type="http://schemas.openxmlformats.org/officeDocument/2006/relationships/hyperlink" Target="https://www.gem.wiki/Nova_Gas_Transmission_(NGTL)_Pipeline" TargetMode="External"/><Relationship Id="rId2324" Type="http://schemas.openxmlformats.org/officeDocument/2006/relationships/hyperlink" Target="https://www.gem.wiki/Florida_Gas_Transmission_Pipeline" TargetMode="External"/><Relationship Id="rId850" Type="http://schemas.openxmlformats.org/officeDocument/2006/relationships/hyperlink" Target="https://www.gem.wiki/Pioneer_Gas_Pipeline" TargetMode="External"/><Relationship Id="rId1133" Type="http://schemas.openxmlformats.org/officeDocument/2006/relationships/hyperlink" Target="https://www.gem.wiki/Tas-Yuryakh-Mirny-Udachny_Gas_Pipeline" TargetMode="External"/><Relationship Id="rId2531" Type="http://schemas.openxmlformats.org/officeDocument/2006/relationships/hyperlink" Target="https://www.gem.wiki/Neu_Brandenberg-Rostock_Gas_Pipeline" TargetMode="External"/><Relationship Id="rId503" Type="http://schemas.openxmlformats.org/officeDocument/2006/relationships/hyperlink" Target="https://www.gem.wiki/Segundo_Gasoducto_Transmagall%C3%A1nico" TargetMode="External"/><Relationship Id="rId710" Type="http://schemas.openxmlformats.org/officeDocument/2006/relationships/hyperlink" Target="https://www.gem.wiki/Black_Sea_Shore%E2%80%93Podi%C8%99or_Gas_Pipeline" TargetMode="External"/><Relationship Id="rId1340" Type="http://schemas.openxmlformats.org/officeDocument/2006/relationships/hyperlink" Target="https://gem.wiki/Beziers&#8211;Barbaira_Gas_Pipeline" TargetMode="External"/><Relationship Id="rId3098" Type="http://schemas.openxmlformats.org/officeDocument/2006/relationships/hyperlink" Target="https://www.gem.wiki/Zhejiang_Natural_Gas_Pipeline_Network" TargetMode="External"/><Relationship Id="rId1200" Type="http://schemas.openxmlformats.org/officeDocument/2006/relationships/hyperlink" Target="https://www.gem.wiki/Gulf_Coast_Southbound_Pipeline" TargetMode="External"/><Relationship Id="rId3165" Type="http://schemas.openxmlformats.org/officeDocument/2006/relationships/hyperlink" Target="https://www.gem.wiki/CNOOC_Coal_Gasification_Transmission_Pipeline" TargetMode="External"/><Relationship Id="rId293" Type="http://schemas.openxmlformats.org/officeDocument/2006/relationships/hyperlink" Target="https://www.gem.wiki/Angola_LNG_Gas_Pipeline_System" TargetMode="External"/><Relationship Id="rId2181" Type="http://schemas.openxmlformats.org/officeDocument/2006/relationships/hyperlink" Target="https://www.gem.wiki/Paldiski_FSRU_Pipeline" TargetMode="External"/><Relationship Id="rId3025" Type="http://schemas.openxmlformats.org/officeDocument/2006/relationships/hyperlink" Target="https://www.gem.wiki/Jiangxi_Natural_Gas_Pipeline_Network" TargetMode="External"/><Relationship Id="rId3232" Type="http://schemas.openxmlformats.org/officeDocument/2006/relationships/hyperlink" Target="https://www.gem.wiki/Guizhou_Gas_Pipeline_Network" TargetMode="External"/><Relationship Id="rId153" Type="http://schemas.openxmlformats.org/officeDocument/2006/relationships/hyperlink" Target="https://www.gem.wiki/Permian_Highway_Pipeline" TargetMode="External"/><Relationship Id="rId360" Type="http://schemas.openxmlformats.org/officeDocument/2006/relationships/hyperlink" Target="https://www.gem.wiki/Gazela_Pipeline" TargetMode="External"/><Relationship Id="rId2041" Type="http://schemas.openxmlformats.org/officeDocument/2006/relationships/hyperlink" Target="https://www.gem.wiki/Gasoduto_Santo_Ant%C3%B4nio_dos_Lopes-Caucaia" TargetMode="External"/><Relationship Id="rId220" Type="http://schemas.openxmlformats.org/officeDocument/2006/relationships/hyperlink" Target="https://www.gem.wiki/Lakach_Gas_Pipeline" TargetMode="External"/><Relationship Id="rId2998" Type="http://schemas.openxmlformats.org/officeDocument/2006/relationships/hyperlink" Target="https://www.gem.wiki/Xinjiang_Coal-to-Gas_Pipeline_Project" TargetMode="External"/><Relationship Id="rId2858" Type="http://schemas.openxmlformats.org/officeDocument/2006/relationships/hyperlink" Target="https://www.gem.wiki/Jinan-Linzi_Gas_Pipeline_2" TargetMode="External"/><Relationship Id="rId99" Type="http://schemas.openxmlformats.org/officeDocument/2006/relationships/hyperlink" Target="https://www.gem.wiki/Ruby_Gas_Pipeline" TargetMode="External"/><Relationship Id="rId1667" Type="http://schemas.openxmlformats.org/officeDocument/2006/relationships/hyperlink" Target="https://www.gem.wiki/Transcontinental_Gas_Pipeline" TargetMode="External"/><Relationship Id="rId1874" Type="http://schemas.openxmlformats.org/officeDocument/2006/relationships/hyperlink" Target="https://www.gem.wiki/Gasoduto_da_Rota_1" TargetMode="External"/><Relationship Id="rId2718" Type="http://schemas.openxmlformats.org/officeDocument/2006/relationships/hyperlink" Target="https://www.gem.wiki/Northern_Natural_Gas_Pipeline" TargetMode="External"/><Relationship Id="rId2925" Type="http://schemas.openxmlformats.org/officeDocument/2006/relationships/hyperlink" Target="https://www.gem.wiki/Sichuan_%26_Chongqing_Grand_Loop_Line" TargetMode="External"/><Relationship Id="rId1527" Type="http://schemas.openxmlformats.org/officeDocument/2006/relationships/hyperlink" Target="https://gem.wiki/Roussines&#8211;Etrez_Gas_Pipeline" TargetMode="External"/><Relationship Id="rId1734" Type="http://schemas.openxmlformats.org/officeDocument/2006/relationships/hyperlink" Target="https://www.gem.wiki/Gasoducto_Centro_Oeste" TargetMode="External"/><Relationship Id="rId1941" Type="http://schemas.openxmlformats.org/officeDocument/2006/relationships/hyperlink" Target="https://www.gem.wiki/Rayong-Bang_Pakong_1_Gas_Pipeline" TargetMode="External"/><Relationship Id="rId26" Type="http://schemas.openxmlformats.org/officeDocument/2006/relationships/hyperlink" Target="https://www.gem.wiki/Colorado_Interstate_Gas_Pipeline" TargetMode="External"/><Relationship Id="rId1801" Type="http://schemas.openxmlformats.org/officeDocument/2006/relationships/hyperlink" Target="https://www.gem.wiki/Sta._Rita_Gas_Pipeline" TargetMode="External"/><Relationship Id="rId687" Type="http://schemas.openxmlformats.org/officeDocument/2006/relationships/hyperlink" Target="https://www.gem.wiki/Messoyaka-Norilsk_Pipeline" TargetMode="External"/><Relationship Id="rId2368" Type="http://schemas.openxmlformats.org/officeDocument/2006/relationships/hyperlink" Target="https://www.gem.wiki/Vologda-20-Vytegra_Gas_Pipeline" TargetMode="External"/><Relationship Id="rId894" Type="http://schemas.openxmlformats.org/officeDocument/2006/relationships/hyperlink" Target="https://www.gem.wiki/Equus_Gas_Pipeline" TargetMode="External"/><Relationship Id="rId1177" Type="http://schemas.openxmlformats.org/officeDocument/2006/relationships/hyperlink" Target="https://www.gem.wiki/ANR_Gas_Pipeline" TargetMode="External"/><Relationship Id="rId2575" Type="http://schemas.openxmlformats.org/officeDocument/2006/relationships/hyperlink" Target="https://www.gem.wiki/Melizzano-Castrovillari_Gas_Pipeline" TargetMode="External"/><Relationship Id="rId2782" Type="http://schemas.openxmlformats.org/officeDocument/2006/relationships/hyperlink" Target="https://www.gem.wiki/Dalu-Horinger_gas_pipeline" TargetMode="External"/><Relationship Id="rId547" Type="http://schemas.openxmlformats.org/officeDocument/2006/relationships/hyperlink" Target="https://www.gem.wiki/Narshingdi-Joydevpur_Gas_Pipeline" TargetMode="External"/><Relationship Id="rId754" Type="http://schemas.openxmlformats.org/officeDocument/2006/relationships/hyperlink" Target="https://www.gem.wiki/Intesar-Brega_gas_pipeline" TargetMode="External"/><Relationship Id="rId961" Type="http://schemas.openxmlformats.org/officeDocument/2006/relationships/hyperlink" Target="https://www.gem.wiki/Saito_Gas_Pipeline" TargetMode="External"/><Relationship Id="rId1384" Type="http://schemas.openxmlformats.org/officeDocument/2006/relationships/hyperlink" Target="https://gem.wiki/Donges&#8211;Chazelles_Gas_Pipeline" TargetMode="External"/><Relationship Id="rId1591" Type="http://schemas.openxmlformats.org/officeDocument/2006/relationships/hyperlink" Target="https://www.gem.wiki/Gorni_Bogrov%E2%80%93Novi_Iskar_Pipeline" TargetMode="External"/><Relationship Id="rId2228" Type="http://schemas.openxmlformats.org/officeDocument/2006/relationships/hyperlink" Target="https://www.gem.wiki/Trans-Balkan_Pipeline" TargetMode="External"/><Relationship Id="rId2435" Type="http://schemas.openxmlformats.org/officeDocument/2006/relationships/hyperlink" Target="https://www.gem.wiki/Bezhanitsy-Novorzhev_Gas_Pipeline" TargetMode="External"/><Relationship Id="rId2642" Type="http://schemas.openxmlformats.org/officeDocument/2006/relationships/hyperlink" Target="https://www.gem.wiki/Goleni%C3%B3w-Lw%C3%B3wek_Gas_Pipeline" TargetMode="External"/><Relationship Id="rId90" Type="http://schemas.openxmlformats.org/officeDocument/2006/relationships/hyperlink" Target="https://www.gem.wiki/Pacific_Trail_Gas_Pipelines" TargetMode="External"/><Relationship Id="rId407" Type="http://schemas.openxmlformats.org/officeDocument/2006/relationships/hyperlink" Target="https://www.gem.wiki/Kazi_Magomed%E2%80%93Astara%E2%80%93Abadan_Gas_Pipeline" TargetMode="External"/><Relationship Id="rId614" Type="http://schemas.openxmlformats.org/officeDocument/2006/relationships/hyperlink" Target="https://www.gem.wiki/Tomatoh_Line" TargetMode="External"/><Relationship Id="rId821" Type="http://schemas.openxmlformats.org/officeDocument/2006/relationships/hyperlink" Target="https://www.gem.wiki/Aindar-Shedgum_gas_pipeline" TargetMode="External"/><Relationship Id="rId1037" Type="http://schemas.openxmlformats.org/officeDocument/2006/relationships/hyperlink" Target="https://www.gem.wiki/Tendrara_Export_Pipeline" TargetMode="External"/><Relationship Id="rId1244" Type="http://schemas.openxmlformats.org/officeDocument/2006/relationships/hyperlink" Target="https://www.gem.wiki/Sierrita_Gas_Pipeline" TargetMode="External"/><Relationship Id="rId1451" Type="http://schemas.openxmlformats.org/officeDocument/2006/relationships/hyperlink" Target="https://gem.wiki/Lussagnet&#8211;Captiex_Gas_Pipeline" TargetMode="External"/><Relationship Id="rId2502" Type="http://schemas.openxmlformats.org/officeDocument/2006/relationships/hyperlink" Target="https://www.gem.wiki/Neft_Dashlary-Bahar_Gas_Pipeline" TargetMode="External"/><Relationship Id="rId1104" Type="http://schemas.openxmlformats.org/officeDocument/2006/relationships/hyperlink" Target="https://www.gem.wiki/Power_of_Siberia_Gas_Pipeline" TargetMode="External"/><Relationship Id="rId1311" Type="http://schemas.openxmlformats.org/officeDocument/2006/relationships/hyperlink" Target="https://www.gem.wiki/Midia_Gas_Pipeline" TargetMode="External"/><Relationship Id="rId3069" Type="http://schemas.openxmlformats.org/officeDocument/2006/relationships/hyperlink" Target="https://www.gem.wiki/Henan_Gas_Pipeline_Network" TargetMode="External"/><Relationship Id="rId3276" Type="http://schemas.openxmlformats.org/officeDocument/2006/relationships/hyperlink" Target="https://www.gem.wiki/Shaan-Jing_Gas_Pipeline_3" TargetMode="External"/><Relationship Id="rId197" Type="http://schemas.openxmlformats.org/officeDocument/2006/relationships/hyperlink" Target="https://www.gem.wiki/Paso_Norte_Pipeline" TargetMode="External"/><Relationship Id="rId2085" Type="http://schemas.openxmlformats.org/officeDocument/2006/relationships/hyperlink" Target="https://www.gem.wiki/Pog%C3%B3rska-Wola-Tworzen_Gas_Pipeline" TargetMode="External"/><Relationship Id="rId2292" Type="http://schemas.openxmlformats.org/officeDocument/2006/relationships/hyperlink" Target="https://www.gem.wiki/Addison_Natural_Gas_Pipeline" TargetMode="External"/><Relationship Id="rId3136" Type="http://schemas.openxmlformats.org/officeDocument/2006/relationships/hyperlink" Target="https://www.gem.wiki/Hunan_Gas_Pipeline_Network" TargetMode="External"/><Relationship Id="rId3343" Type="http://schemas.openxmlformats.org/officeDocument/2006/relationships/hyperlink" Target="https://www.gem.wiki/Datang_Hexigten_Coal_Gasification_Transmission_Pipeline" TargetMode="External"/><Relationship Id="rId264" Type="http://schemas.openxmlformats.org/officeDocument/2006/relationships/hyperlink" Target="https://www.gem.wiki/IGAT_6_Gas_Pipeline" TargetMode="External"/><Relationship Id="rId471" Type="http://schemas.openxmlformats.org/officeDocument/2006/relationships/hyperlink" Target="https://www.gem.wiki/Bhomra-Khulna_Transmission_Pipeline" TargetMode="External"/><Relationship Id="rId2152" Type="http://schemas.openxmlformats.org/officeDocument/2006/relationships/hyperlink" Target="https://www.gem.wiki/Northern_Gas_Pipeline" TargetMode="External"/><Relationship Id="rId124" Type="http://schemas.openxmlformats.org/officeDocument/2006/relationships/hyperlink" Target="https://www.gem.wiki/TransGas_Pipeline" TargetMode="External"/><Relationship Id="rId3203" Type="http://schemas.openxmlformats.org/officeDocument/2006/relationships/hyperlink" Target="https://www.gem.wiki/Guizhou_Gas_Pipeline_Network" TargetMode="External"/><Relationship Id="rId331" Type="http://schemas.openxmlformats.org/officeDocument/2006/relationships/hyperlink" Target="https://www.gem.wiki/El_Borma-Gabes_Gas_Pipeline" TargetMode="External"/><Relationship Id="rId2012" Type="http://schemas.openxmlformats.org/officeDocument/2006/relationships/hyperlink" Target="https://www.gem.wiki/Ormen_Lange%E2%80%93Nyhamna_Gas_Pipeline" TargetMode="External"/><Relationship Id="rId2969" Type="http://schemas.openxmlformats.org/officeDocument/2006/relationships/hyperlink" Target="https://www.gem.wiki/Guangxi_LNG_Terminal_Transport_Pipeline" TargetMode="External"/><Relationship Id="rId1778" Type="http://schemas.openxmlformats.org/officeDocument/2006/relationships/hyperlink" Target="https://www.gem.wiki/Saryarka_Gas_Pipeline" TargetMode="External"/><Relationship Id="rId1985" Type="http://schemas.openxmlformats.org/officeDocument/2006/relationships/hyperlink" Target="https://www.gem.wiki/Northern_Lights_Gas_Pipeline" TargetMode="External"/><Relationship Id="rId2829" Type="http://schemas.openxmlformats.org/officeDocument/2006/relationships/hyperlink" Target="https://www.gem.wiki/Anhui_Gas_Pipeline_Network" TargetMode="External"/><Relationship Id="rId1638" Type="http://schemas.openxmlformats.org/officeDocument/2006/relationships/hyperlink" Target="https://www.gem.wiki/Trans-ASEAN_Gas_Pipeline" TargetMode="External"/><Relationship Id="rId1845" Type="http://schemas.openxmlformats.org/officeDocument/2006/relationships/hyperlink" Target="https://www.gem.wiki/Taichung-Wuxi_Gas_Pipeline" TargetMode="External"/><Relationship Id="rId3060" Type="http://schemas.openxmlformats.org/officeDocument/2006/relationships/hyperlink" Target="https://www.gem.wiki/Henan_Gas_Pipeline_Network" TargetMode="External"/><Relationship Id="rId1705" Type="http://schemas.openxmlformats.org/officeDocument/2006/relationships/hyperlink" Target="https://www.gem.wiki/North_Rankin_A_to_Withnell_Bay_Pipeline" TargetMode="External"/><Relationship Id="rId1912" Type="http://schemas.openxmlformats.org/officeDocument/2006/relationships/hyperlink" Target="https://www.gem.wiki/Stratton_Ridge_Pipeline" TargetMode="External"/><Relationship Id="rId798" Type="http://schemas.openxmlformats.org/officeDocument/2006/relationships/hyperlink" Target="https://www.gem.wiki/UBTG-1km-Juanymah_gas_pipeline" TargetMode="External"/><Relationship Id="rId2479" Type="http://schemas.openxmlformats.org/officeDocument/2006/relationships/hyperlink" Target="https://www.gem.wiki/Aouste-Troyes_Gas_Pipeline" TargetMode="External"/><Relationship Id="rId2686" Type="http://schemas.openxmlformats.org/officeDocument/2006/relationships/hyperlink" Target="https://www.gem.wiki/Camisano-Zimella_Gas_Pipeline" TargetMode="External"/><Relationship Id="rId2893" Type="http://schemas.openxmlformats.org/officeDocument/2006/relationships/hyperlink" Target="https://www.gem.wiki/Shanxi_Natural_Gas_Pipeline_Network" TargetMode="External"/><Relationship Id="rId658" Type="http://schemas.openxmlformats.org/officeDocument/2006/relationships/hyperlink" Target="https://www.gem.wiki/Algete-Yela_Gas_Pipeline" TargetMode="External"/><Relationship Id="rId865" Type="http://schemas.openxmlformats.org/officeDocument/2006/relationships/hyperlink" Target="https://sonatrach.com/wp-content/uploads/2022/01/DESCRIPTION-DU-RESEAU-DE-TRANSPORT-PAR-CANALISATION-DES-HYDROCARBURES-TARIF-DE-TRANSPORT-ANNEE-2022.pdf" TargetMode="External"/><Relationship Id="rId1288" Type="http://schemas.openxmlformats.org/officeDocument/2006/relationships/hyperlink" Target="https://www.gem.wiki/Central_Brazil_Gas_Pipeline" TargetMode="External"/><Relationship Id="rId1495" Type="http://schemas.openxmlformats.org/officeDocument/2006/relationships/hyperlink" Target="https://gem.wiki/Oricola&#8211;Ciciliano_Gas_Pipeline" TargetMode="External"/><Relationship Id="rId2339" Type="http://schemas.openxmlformats.org/officeDocument/2006/relationships/hyperlink" Target="https://www.gem.wiki/Naiyp-Deryalyk_Gas_Pipeline" TargetMode="External"/><Relationship Id="rId2546" Type="http://schemas.openxmlformats.org/officeDocument/2006/relationships/hyperlink" Target="https://www.gem.wiki/Nakhon_Ratchasima_Gas_Pipeline" TargetMode="External"/><Relationship Id="rId2753" Type="http://schemas.openxmlformats.org/officeDocument/2006/relationships/hyperlink" Target="https://www.gem.wiki/Yunnan_Gas_Pipeline_Network" TargetMode="External"/><Relationship Id="rId2960" Type="http://schemas.openxmlformats.org/officeDocument/2006/relationships/hyperlink" Target="https://www.gem.wiki/Guangdong_Gas_Pipeline_Network_Phase_I" TargetMode="External"/><Relationship Id="rId518" Type="http://schemas.openxmlformats.org/officeDocument/2006/relationships/hyperlink" Target="https://www.gem.wiki/Dragon_Gas_Pipeline" TargetMode="External"/><Relationship Id="rId725" Type="http://schemas.openxmlformats.org/officeDocument/2006/relationships/hyperlink" Target="https://www.gem.wiki/Steinitz-Bernau_Gas_Pipeline" TargetMode="External"/><Relationship Id="rId932" Type="http://schemas.openxmlformats.org/officeDocument/2006/relationships/hyperlink" Target="https://www.gem.wiki/Joso_Gas_Pipeline" TargetMode="External"/><Relationship Id="rId1148" Type="http://schemas.openxmlformats.org/officeDocument/2006/relationships/hyperlink" Target="https://www.gem.wiki/Vodice-Jar%C5%A1e-Novo_mesto_pipeline" TargetMode="External"/><Relationship Id="rId1355" Type="http://schemas.openxmlformats.org/officeDocument/2006/relationships/hyperlink" Target="https://gem.wiki/Burgos&#8211;Valladolid_Gas_Pipeline" TargetMode="External"/><Relationship Id="rId1562" Type="http://schemas.openxmlformats.org/officeDocument/2006/relationships/hyperlink" Target="https://www.gem.wiki/Masera%E2%80%93Mortara_Gas_Pipeline" TargetMode="External"/><Relationship Id="rId2406" Type="http://schemas.openxmlformats.org/officeDocument/2006/relationships/hyperlink" Target="https://www.gem.wiki/Berneau-Winseler_Gas_Pipeline" TargetMode="External"/><Relationship Id="rId2613" Type="http://schemas.openxmlformats.org/officeDocument/2006/relationships/hyperlink" Target="https://gem.wiki/Rogatec&#8211;Gorizia_Gas_Pipeline" TargetMode="External"/><Relationship Id="rId1008" Type="http://schemas.openxmlformats.org/officeDocument/2006/relationships/hyperlink" Target="https://www.gem.wiki/Kanai_Chhata-Shrirampur_Gas_Pipeline" TargetMode="External"/><Relationship Id="rId1215" Type="http://schemas.openxmlformats.org/officeDocument/2006/relationships/hyperlink" Target="https://www.gem.wiki/MoGas_Pipeline" TargetMode="External"/><Relationship Id="rId1422" Type="http://schemas.openxmlformats.org/officeDocument/2006/relationships/hyperlink" Target="https://gem.wiki/Holowczyce&#8211;Pulawy_Gas_Pipeline" TargetMode="External"/><Relationship Id="rId2820" Type="http://schemas.openxmlformats.org/officeDocument/2006/relationships/hyperlink" Target="https://www.gem.wiki/Dagang%E2%80%93Yongqing_Gas_Pipelines_(1%E2%80%933)" TargetMode="External"/><Relationship Id="rId61" Type="http://schemas.openxmlformats.org/officeDocument/2006/relationships/hyperlink" Target="https://www.gem.wiki/Iroquois_Gas_Pipeline" TargetMode="External"/><Relationship Id="rId2196" Type="http://schemas.openxmlformats.org/officeDocument/2006/relationships/hyperlink" Target="https://sonatrach.com/wp-content/uploads/2022/01/DESCRIPTION-DU-RESEAU-DE-TRANSPORT-PAR-CANALISATION-DES-HYDROCARBURES-TARIF-DE-TRANSPORT-ANNEE-2022.pdf" TargetMode="External"/><Relationship Id="rId168" Type="http://schemas.openxmlformats.org/officeDocument/2006/relationships/hyperlink" Target="https://www.gem.wiki/Montour_Lateral_Pipeline" TargetMode="External"/><Relationship Id="rId3247" Type="http://schemas.openxmlformats.org/officeDocument/2006/relationships/hyperlink" Target="https://www.gem.wiki/Ordos-Anping-Cangzhou_Gas_Pipeline" TargetMode="External"/><Relationship Id="rId375" Type="http://schemas.openxmlformats.org/officeDocument/2006/relationships/hyperlink" Target="https://www.gem.wiki/OPAL_Gas_Pipeline" TargetMode="External"/><Relationship Id="rId582" Type="http://schemas.openxmlformats.org/officeDocument/2006/relationships/hyperlink" Target="https://www.gem.wiki/Krasnodar-Serpukhov_Pipeline" TargetMode="External"/><Relationship Id="rId2056" Type="http://schemas.openxmlformats.org/officeDocument/2006/relationships/hyperlink" Target="https://www.gem.wiki/East_West_Gas_Pipeline" TargetMode="External"/><Relationship Id="rId2263" Type="http://schemas.openxmlformats.org/officeDocument/2006/relationships/hyperlink" Target="https://www.gem.wiki/East%E2%80%93West_Gas_Pipeline_(Saudi_Arabia)" TargetMode="External"/><Relationship Id="rId2470" Type="http://schemas.openxmlformats.org/officeDocument/2006/relationships/hyperlink" Target="https://www.gem.wiki/Los_Ramones_Gas_Pipeline" TargetMode="External"/><Relationship Id="rId3107" Type="http://schemas.openxmlformats.org/officeDocument/2006/relationships/hyperlink" Target="https://www.gem.wiki/Hubei_Gas_Pipeline_Network" TargetMode="External"/><Relationship Id="rId3314" Type="http://schemas.openxmlformats.org/officeDocument/2006/relationships/hyperlink" Target="https://www.gem.wiki/Heilongjiang_Natural_Gas_Pipeline_Network" TargetMode="External"/><Relationship Id="rId235" Type="http://schemas.openxmlformats.org/officeDocument/2006/relationships/hyperlink" Target="https://www.gem.wiki/Gasoducto_Ramal_Empalme" TargetMode="External"/><Relationship Id="rId442" Type="http://schemas.openxmlformats.org/officeDocument/2006/relationships/hyperlink" Target="https://www.gem.wiki/Petrovsk_Novopskov_Pipeline" TargetMode="External"/><Relationship Id="rId1072" Type="http://schemas.openxmlformats.org/officeDocument/2006/relationships/hyperlink" Target="https://www.gem.wiki/Central_Asia%E2%80%93China_Gas_Pipeline" TargetMode="External"/><Relationship Id="rId2123" Type="http://schemas.openxmlformats.org/officeDocument/2006/relationships/hyperlink" Target="https://www.gem.wiki/Beetaloo_Lateral_Pipeline" TargetMode="External"/><Relationship Id="rId2330" Type="http://schemas.openxmlformats.org/officeDocument/2006/relationships/hyperlink" Target="https://www.gem.wiki/Florida_Gas_Transmission_Pipeline" TargetMode="External"/><Relationship Id="rId302" Type="http://schemas.openxmlformats.org/officeDocument/2006/relationships/hyperlink" Target="https://www.gem.wiki/Defa-Brega_gas_pipeline" TargetMode="External"/><Relationship Id="rId1889" Type="http://schemas.openxmlformats.org/officeDocument/2006/relationships/hyperlink" Target="https://www.gem.wiki/Assam_Regional_Gas_Network" TargetMode="External"/><Relationship Id="rId1749" Type="http://schemas.openxmlformats.org/officeDocument/2006/relationships/hyperlink" Target="https://www.gem.wiki/Nova_Gas_Transmission_(NGTL)_Pipeline" TargetMode="External"/><Relationship Id="rId1956" Type="http://schemas.openxmlformats.org/officeDocument/2006/relationships/hyperlink" Target="https://www.gem.wiki/Dadri-Bawana-Nangal_Gas_Pipeline" TargetMode="External"/><Relationship Id="rId3171" Type="http://schemas.openxmlformats.org/officeDocument/2006/relationships/hyperlink" Target="https://www.gem.wiki/West-East_Gas_Pipeline_3" TargetMode="External"/><Relationship Id="rId1609" Type="http://schemas.openxmlformats.org/officeDocument/2006/relationships/hyperlink" Target="https://www.gem.wiki/Gasoduto_GASFOR" TargetMode="External"/><Relationship Id="rId1816" Type="http://schemas.openxmlformats.org/officeDocument/2006/relationships/hyperlink" Target="https://www.gem.wiki/Gasoduto_Urucu-Manaus" TargetMode="External"/><Relationship Id="rId3031" Type="http://schemas.openxmlformats.org/officeDocument/2006/relationships/hyperlink" Target="https://www.gem.wiki/Jiangxi_Natural_Gas_Pipeline_Network" TargetMode="External"/><Relationship Id="rId2797" Type="http://schemas.openxmlformats.org/officeDocument/2006/relationships/hyperlink" Target="https://www.gem.wiki/Inner_Mongolia_Gas_Pipeline_Network" TargetMode="External"/><Relationship Id="rId769" Type="http://schemas.openxmlformats.org/officeDocument/2006/relationships/hyperlink" Target="https://www.gem.wiki/Intesar-Sahel_gas_pipeline" TargetMode="External"/><Relationship Id="rId976" Type="http://schemas.openxmlformats.org/officeDocument/2006/relationships/hyperlink" Target="https://www.gem.wiki/Shin_Tokyo_Gas_Pipeline" TargetMode="External"/><Relationship Id="rId1399" Type="http://schemas.openxmlformats.org/officeDocument/2006/relationships/hyperlink" Target="https://gem.wiki/ERM_Extra_Gas_Pipeline" TargetMode="External"/><Relationship Id="rId2657" Type="http://schemas.openxmlformats.org/officeDocument/2006/relationships/hyperlink" Target="https://www.gem.wiki/Pojate-Leskovac_Gas_Pipeline" TargetMode="External"/><Relationship Id="rId629" Type="http://schemas.openxmlformats.org/officeDocument/2006/relationships/hyperlink" Target="https://www.gem.wiki/Utsunomiya_Pipeline" TargetMode="External"/><Relationship Id="rId1259" Type="http://schemas.openxmlformats.org/officeDocument/2006/relationships/hyperlink" Target="https://www.gem.wiki/Bear_Paw_Gas_Pipeline" TargetMode="External"/><Relationship Id="rId1466" Type="http://schemas.openxmlformats.org/officeDocument/2006/relationships/hyperlink" Target="https://gem.wiki/Martigny-le-Comte&#8211;Mery_Sur_Cher_Gas_Pipeline" TargetMode="External"/><Relationship Id="rId2864" Type="http://schemas.openxmlformats.org/officeDocument/2006/relationships/hyperlink" Target="https://www.gem.wiki/Shandong_Gas_Pipeline_Network_West_Trunk" TargetMode="External"/><Relationship Id="rId836" Type="http://schemas.openxmlformats.org/officeDocument/2006/relationships/hyperlink" Target="https://www.gem.wiki/Mountaineer_XPress_Gas_Pipeline" TargetMode="External"/><Relationship Id="rId1119" Type="http://schemas.openxmlformats.org/officeDocument/2006/relationships/hyperlink" Target="https://www.gem.wiki/Punga-Vuktyl-Ukhta_I,_II_Gas_Pipeline" TargetMode="External"/><Relationship Id="rId1673" Type="http://schemas.openxmlformats.org/officeDocument/2006/relationships/hyperlink" Target="https://www.gem.wiki/Trans-Anatolian_Gas_Pipeline" TargetMode="External"/><Relationship Id="rId1880" Type="http://schemas.openxmlformats.org/officeDocument/2006/relationships/hyperlink" Target="https://www.gem.wiki/Shebelinka%E2%80%93Slovyansk_Gas_Pipeline" TargetMode="External"/><Relationship Id="rId2517" Type="http://schemas.openxmlformats.org/officeDocument/2006/relationships/hyperlink" Target="https://gem.wiki/Wijngaarden&#8211;Gate_Rotterdam_Gas_Pipeline" TargetMode="External"/><Relationship Id="rId2724" Type="http://schemas.openxmlformats.org/officeDocument/2006/relationships/hyperlink" Target="https://www.gem.wiki/Rupcha-Vetrino_Gas_Pipeline" TargetMode="External"/><Relationship Id="rId2931" Type="http://schemas.openxmlformats.org/officeDocument/2006/relationships/hyperlink" Target="https://www.gem.wiki/Guangdong_Gas_Pipeline_Network_Phase_II" TargetMode="External"/><Relationship Id="rId903" Type="http://schemas.openxmlformats.org/officeDocument/2006/relationships/hyperlink" Target="https://www.gem.wiki/Chiren-Kozloduy-Oryahovo_Gas_Pipeline" TargetMode="External"/><Relationship Id="rId1326" Type="http://schemas.openxmlformats.org/officeDocument/2006/relationships/hyperlink" Target="https://gem.wiki/Aughinish&#8211;Mitchestown_Gas_Pipeline" TargetMode="External"/><Relationship Id="rId1533" Type="http://schemas.openxmlformats.org/officeDocument/2006/relationships/hyperlink" Target="https://www.gem.wiki/Scheemda%E2%80%93Bunde_Gas_Pipeline" TargetMode="External"/><Relationship Id="rId1740" Type="http://schemas.openxmlformats.org/officeDocument/2006/relationships/hyperlink" Target="https://www.gem.wiki/Bayu-Undan_to_Darwin_Pipeline" TargetMode="External"/><Relationship Id="rId32" Type="http://schemas.openxmlformats.org/officeDocument/2006/relationships/hyperlink" Target="https://www.gem.wiki/Denali_Alaskan_Natural_Gas_Pipeline" TargetMode="External"/><Relationship Id="rId1600" Type="http://schemas.openxmlformats.org/officeDocument/2006/relationships/hyperlink" Target="https://www.gem.wiki/Colpa-Warnes_Gas_Pipeline" TargetMode="External"/><Relationship Id="rId279" Type="http://schemas.openxmlformats.org/officeDocument/2006/relationships/hyperlink" Target="https://www.aljazeera.com/news/2022/6/23/algeria-niger-nigeria-resume-talks-on-trans-sahara-gas-pipeline,%20https:/24.ae/article/709299/%D8%A7%D9%84%D8%AC%D8%B2%D8%A7%D8%A6%D8%B1-%D9%88%D8%A7%D9%84%D9%86%D9%8A%D8%AC%D8%B1-%D9%88%D9%86%D9%8A%D8%AC%D9%8A%D8%B1%D9%8A%D8%A7-%D8%AA%D8%AD%D9%8A%D9%8A-%D9%85%D8%B4%D8%B1%D9%88%D8%B9-%D8%AE%D8%B7-%D8%A3%D9%86%D8%A7%D8%A8%D9%8A%D8%A8-%D8%A7%D9%84%D8%BA%D8%A7%D8%B2-%D8%B9%D8%A8%D8%B1-%D8%A7%D9%84%D8%B5%D8%AD%D8%B1%D8%A7%D8%A1" TargetMode="External"/><Relationship Id="rId486" Type="http://schemas.openxmlformats.org/officeDocument/2006/relationships/hyperlink" Target="https://www.gem.wiki/Hatikumrul-Bogra_Gas_Pipeline" TargetMode="External"/><Relationship Id="rId693" Type="http://schemas.openxmlformats.org/officeDocument/2006/relationships/hyperlink" Target="https://www.gem.wiki/Setubal-Leiria_Pipeline" TargetMode="External"/><Relationship Id="rId2167" Type="http://schemas.openxmlformats.org/officeDocument/2006/relationships/hyperlink" Target="https://www.gem.wiki/Whistler_Pipeline" TargetMode="External"/><Relationship Id="rId2374" Type="http://schemas.openxmlformats.org/officeDocument/2006/relationships/hyperlink" Target="https://www.gem.wiki/Pitgam%E2%80%93Maldegem_Gas_Pipeline" TargetMode="External"/><Relationship Id="rId2581" Type="http://schemas.openxmlformats.org/officeDocument/2006/relationships/hyperlink" Target="https://www.gem.wiki/Cervignano-Rognano_Gas_Pipeline" TargetMode="External"/><Relationship Id="rId3218" Type="http://schemas.openxmlformats.org/officeDocument/2006/relationships/hyperlink" Target="https://www.gem.wiki/Guizhou_Gas_Pipeline_Network" TargetMode="External"/><Relationship Id="rId139" Type="http://schemas.openxmlformats.org/officeDocument/2006/relationships/hyperlink" Target="https://www.gem.wiki/Gulf_Coast_Southbound_Pipeline" TargetMode="External"/><Relationship Id="rId346" Type="http://schemas.openxmlformats.org/officeDocument/2006/relationships/hyperlink" Target="https://www.gem.wiki/Baltic_Pipe_Project" TargetMode="External"/><Relationship Id="rId553" Type="http://schemas.openxmlformats.org/officeDocument/2006/relationships/hyperlink" Target="https://www.gem.wiki/Natuna-West_Kalimantan_Gas_Pipeline" TargetMode="External"/><Relationship Id="rId760" Type="http://schemas.openxmlformats.org/officeDocument/2006/relationships/hyperlink" Target="https://www.gem.wiki/Brega-Benghazi_gas_pipeline" TargetMode="External"/><Relationship Id="rId1183" Type="http://schemas.openxmlformats.org/officeDocument/2006/relationships/hyperlink" Target="https://www.gem.wiki/Columbia_Gas_Transmission" TargetMode="External"/><Relationship Id="rId1390" Type="http://schemas.openxmlformats.org/officeDocument/2006/relationships/hyperlink" Target="https://gem.wiki/Lasow&#8211;Odolanow_Gas_Pipeline" TargetMode="External"/><Relationship Id="rId2027" Type="http://schemas.openxmlformats.org/officeDocument/2006/relationships/hyperlink" Target="https://www.gem.wiki/Gasoduto_ES-Mucuri_B" TargetMode="External"/><Relationship Id="rId2234" Type="http://schemas.openxmlformats.org/officeDocument/2006/relationships/hyperlink" Target="https://www.gem.wiki/Badr_El_Din_Spur_Gas_Pipelines" TargetMode="External"/><Relationship Id="rId2441" Type="http://schemas.openxmlformats.org/officeDocument/2006/relationships/hyperlink" Target="https://www.gem.wiki/Qatargas_LNG_Terminals_Gas_Pipelines" TargetMode="External"/><Relationship Id="rId206" Type="http://schemas.openxmlformats.org/officeDocument/2006/relationships/hyperlink" Target="https://www.gem.wiki/Angelin_Gas_Pipeline" TargetMode="External"/><Relationship Id="rId413" Type="http://schemas.openxmlformats.org/officeDocument/2006/relationships/hyperlink" Target="https://www.gem.wiki/Northern_Lights_Gas_Pipeline" TargetMode="External"/><Relationship Id="rId1043" Type="http://schemas.openxmlformats.org/officeDocument/2006/relationships/hyperlink" Target="https://gem.wiki/Phased_Gas_Pipeline_Network" TargetMode="External"/><Relationship Id="rId620" Type="http://schemas.openxmlformats.org/officeDocument/2006/relationships/hyperlink" Target="https://www.gem.wiki/Honjo_line" TargetMode="External"/><Relationship Id="rId1250" Type="http://schemas.openxmlformats.org/officeDocument/2006/relationships/hyperlink" Target="https://www.gem.wiki/Northwest_Gas_Pipeline" TargetMode="External"/><Relationship Id="rId2301" Type="http://schemas.openxmlformats.org/officeDocument/2006/relationships/hyperlink" Target="https://www.gem.wiki/PS_Offshore_Gas_Pipelines" TargetMode="External"/><Relationship Id="rId1110" Type="http://schemas.openxmlformats.org/officeDocument/2006/relationships/hyperlink" Target="https://www.gem.wiki/Orenburg-Samara_Gas_Pipeline" TargetMode="External"/><Relationship Id="rId1927" Type="http://schemas.openxmlformats.org/officeDocument/2006/relationships/hyperlink" Target="https://www.gem.wiki/Barauni-Guwahati_Gas_Pipeline" TargetMode="External"/><Relationship Id="rId3075" Type="http://schemas.openxmlformats.org/officeDocument/2006/relationships/hyperlink" Target="https://www.gem.wiki/Anyang-Luoyang_gas_pipeline" TargetMode="External"/><Relationship Id="rId3282" Type="http://schemas.openxmlformats.org/officeDocument/2006/relationships/hyperlink" Target="https://www.gem.wiki/Shaanxi_Gas_Pipeline_Network" TargetMode="External"/><Relationship Id="rId2091" Type="http://schemas.openxmlformats.org/officeDocument/2006/relationships/hyperlink" Target="https://www.gem.wiki/North_Bakken_Expansion_Pipeline" TargetMode="External"/><Relationship Id="rId3142" Type="http://schemas.openxmlformats.org/officeDocument/2006/relationships/hyperlink" Target="https://www.gem.wiki/Hunan_Gas_Pipeline_Network" TargetMode="External"/><Relationship Id="rId270" Type="http://schemas.openxmlformats.org/officeDocument/2006/relationships/hyperlink" Target="https://www.gem.wiki/Iran-Pakistan-India_Pipeline" TargetMode="External"/><Relationship Id="rId3002" Type="http://schemas.openxmlformats.org/officeDocument/2006/relationships/hyperlink" Target="https://www.gem.wiki/Puyang-Jinan_gas_pipline" TargetMode="External"/><Relationship Id="rId130" Type="http://schemas.openxmlformats.org/officeDocument/2006/relationships/hyperlink" Target="https://www.gem.wiki/Viking_Gas_Transmission" TargetMode="External"/><Relationship Id="rId2768" Type="http://schemas.openxmlformats.org/officeDocument/2006/relationships/hyperlink" Target="https://www.gem.wiki/Yunnan_Gas_Pipeline_Network" TargetMode="External"/><Relationship Id="rId2975" Type="http://schemas.openxmlformats.org/officeDocument/2006/relationships/hyperlink" Target="https://www.gem.wiki/Guangxi_Gas_Pipeline_Network" TargetMode="External"/><Relationship Id="rId947" Type="http://schemas.openxmlformats.org/officeDocument/2006/relationships/hyperlink" Target="https://www.gem.wiki/Koriyama_North_Gas_Pipeline" TargetMode="External"/><Relationship Id="rId1577" Type="http://schemas.openxmlformats.org/officeDocument/2006/relationships/hyperlink" Target="https://gem.wiki/Zaragoza&#8211;Huesca_Gas_Pipeline" TargetMode="External"/><Relationship Id="rId1784" Type="http://schemas.openxmlformats.org/officeDocument/2006/relationships/hyperlink" Target="https://www.gem.wiki/Bataan-Cavite_Gas_Pipeline" TargetMode="External"/><Relationship Id="rId1991" Type="http://schemas.openxmlformats.org/officeDocument/2006/relationships/hyperlink" Target="https://www.gem.wiki/Serbian-Hungarian_Gas_Pipeline" TargetMode="External"/><Relationship Id="rId2628" Type="http://schemas.openxmlformats.org/officeDocument/2006/relationships/hyperlink" Target="https://www.gem.wiki/Romanian_National_Transmission_System" TargetMode="External"/><Relationship Id="rId2835" Type="http://schemas.openxmlformats.org/officeDocument/2006/relationships/hyperlink" Target="https://www.gem.wiki/Anhui_Gas_Pipeline_Network" TargetMode="External"/><Relationship Id="rId76" Type="http://schemas.openxmlformats.org/officeDocument/2006/relationships/hyperlink" Target="https://www.gem.wiki/Mountaineer_XPress_Gas_Pipeline" TargetMode="External"/><Relationship Id="rId807" Type="http://schemas.openxmlformats.org/officeDocument/2006/relationships/hyperlink" Target="https://www.gem.wiki/UBTG-1-km0-UBTG-1-km56_gas_pipeline" TargetMode="External"/><Relationship Id="rId1437" Type="http://schemas.openxmlformats.org/officeDocument/2006/relationships/hyperlink" Target="https://gem.wiki/Kiili&#8211;Tallinn_Gas_Pipeline" TargetMode="External"/><Relationship Id="rId1644" Type="http://schemas.openxmlformats.org/officeDocument/2006/relationships/hyperlink" Target="https://www.gem.wiki/Eastern_Gas_Transmission_and_Storage_System_(EGTS)" TargetMode="External"/><Relationship Id="rId1851" Type="http://schemas.openxmlformats.org/officeDocument/2006/relationships/hyperlink" Target="https://www.gem.wiki/San_Fernando_Gas_Pipeline" TargetMode="External"/><Relationship Id="rId2902" Type="http://schemas.openxmlformats.org/officeDocument/2006/relationships/hyperlink" Target="https://www.gem.wiki/Sichuan%E2%80%93Shanghai_Gas_Pipeline" TargetMode="External"/><Relationship Id="rId1504" Type="http://schemas.openxmlformats.org/officeDocument/2006/relationships/hyperlink" Target="https://gem.wiki/Pitgam&#8211;Maldegem_Gas_Pipeline" TargetMode="External"/><Relationship Id="rId1711" Type="http://schemas.openxmlformats.org/officeDocument/2006/relationships/hyperlink" Target="https://www.gem.wiki/First_Gas_Transmission_Pipeline" TargetMode="External"/><Relationship Id="rId597" Type="http://schemas.openxmlformats.org/officeDocument/2006/relationships/hyperlink" Target="https://www.gem.wiki/South_Sumatra_West_Java_Phase_II_Gas_Pipeline" TargetMode="External"/><Relationship Id="rId2278" Type="http://schemas.openxmlformats.org/officeDocument/2006/relationships/hyperlink" Target="https://www.gem.wiki/Bolsherechenskaya-Tarskaya_Gas_Pipeline" TargetMode="External"/><Relationship Id="rId2485" Type="http://schemas.openxmlformats.org/officeDocument/2006/relationships/hyperlink" Target="https://www.gem.wiki/Eje_Levante_Gas_Pipeline" TargetMode="External"/><Relationship Id="rId3329" Type="http://schemas.openxmlformats.org/officeDocument/2006/relationships/hyperlink" Target="https://www.hlj.gov.cn/n200/2020/1213/c35-11012253.html" TargetMode="External"/><Relationship Id="rId457" Type="http://schemas.openxmlformats.org/officeDocument/2006/relationships/hyperlink" Target="https://www.gem.wiki/East_Med_Gas_Pipeline" TargetMode="External"/><Relationship Id="rId1087" Type="http://schemas.openxmlformats.org/officeDocument/2006/relationships/hyperlink" Target="https://www.gem.wiki/Kasimovskoye-Voskresensk_Gas_Pipeline" TargetMode="External"/><Relationship Id="rId1294" Type="http://schemas.openxmlformats.org/officeDocument/2006/relationships/hyperlink" Target="https://www.gem.wiki/O%C5%9Bwi%C4%99cim-Tworzen_Gas_Pipeline" TargetMode="External"/><Relationship Id="rId2138" Type="http://schemas.openxmlformats.org/officeDocument/2006/relationships/hyperlink" Target="https://www.gem.wiki/Nova_Gas_Transmission_(NGTL)_Pipeline" TargetMode="External"/><Relationship Id="rId2692" Type="http://schemas.openxmlformats.org/officeDocument/2006/relationships/hyperlink" Target="https://www.gem.wiki/Worsham%E2%80%93Steed_Pipeline" TargetMode="External"/><Relationship Id="rId664" Type="http://schemas.openxmlformats.org/officeDocument/2006/relationships/hyperlink" Target="https://www.gem.wiki/Pa%C3%ADs_Vasco_Gas_Pipeline" TargetMode="External"/><Relationship Id="rId871" Type="http://schemas.openxmlformats.org/officeDocument/2006/relationships/hyperlink" Target="https://www.aps.dz/ar/economie/56650-2018-05-12-14-45-34" TargetMode="External"/><Relationship Id="rId2345" Type="http://schemas.openxmlformats.org/officeDocument/2006/relationships/hyperlink" Target="https://www.gem.wiki/Negotino-Bitola_Gas_Pipeline" TargetMode="External"/><Relationship Id="rId2552" Type="http://schemas.openxmlformats.org/officeDocument/2006/relationships/hyperlink" Target="https://www.gem.wiki/Obermichelbach-Wolfsburg_Gas_Pipeline" TargetMode="External"/><Relationship Id="rId317" Type="http://schemas.openxmlformats.org/officeDocument/2006/relationships/hyperlink" Target="https://www.gem.wiki/Qatar_Station_B-Station_W1_Gas_Pipeline" TargetMode="External"/><Relationship Id="rId524" Type="http://schemas.openxmlformats.org/officeDocument/2006/relationships/hyperlink" Target="https://www.gem.wiki/Mymensingh-Netrokona_Gas_Pipeline" TargetMode="External"/><Relationship Id="rId731" Type="http://schemas.openxmlformats.org/officeDocument/2006/relationships/hyperlink" Target="https://www.gem.wiki/Amber_Grid_Gas_Transmission_System" TargetMode="External"/><Relationship Id="rId1154" Type="http://schemas.openxmlformats.org/officeDocument/2006/relationships/hyperlink" Target="https://gem.wiki/Phased_Gas_Pipeline_Network" TargetMode="External"/><Relationship Id="rId1361" Type="http://schemas.openxmlformats.org/officeDocument/2006/relationships/hyperlink" Target="https://gem.wiki/Carlow&#8211;Loughshinny_Gas_Pipeline" TargetMode="External"/><Relationship Id="rId2205" Type="http://schemas.openxmlformats.org/officeDocument/2006/relationships/hyperlink" Target="https://www.gem.wiki/Chhara_to_Lonhtpur_Gas_Pipeline" TargetMode="External"/><Relationship Id="rId2412" Type="http://schemas.openxmlformats.org/officeDocument/2006/relationships/hyperlink" Target="https://www.gem.wiki/Sahiwal-Akhtar_Abad_Gas_Pipeline" TargetMode="External"/><Relationship Id="rId1014" Type="http://schemas.openxmlformats.org/officeDocument/2006/relationships/hyperlink" Target="https://www.gem.wiki/Russian_Federation-Turkey_Natural_Gas_Main_Transmission_Line" TargetMode="External"/><Relationship Id="rId1221" Type="http://schemas.openxmlformats.org/officeDocument/2006/relationships/hyperlink" Target="https://www.gem.wiki/North_Mist_Expansion_Pipeline" TargetMode="External"/><Relationship Id="rId3186" Type="http://schemas.openxmlformats.org/officeDocument/2006/relationships/hyperlink" Target="https://www.gem.wiki/West-East_Gas_Pipeline_2_Pingdingshan-Tai%27an_Branch" TargetMode="External"/><Relationship Id="rId3046" Type="http://schemas.openxmlformats.org/officeDocument/2006/relationships/hyperlink" Target="https://www.gem.wiki/Tangshan_LNG_Terminal_Transport_Pipeline" TargetMode="External"/><Relationship Id="rId3253" Type="http://schemas.openxmlformats.org/officeDocument/2006/relationships/hyperlink" Target="https://www.gem.wiki/Chongqing_Gas_Pipeline_Network" TargetMode="External"/><Relationship Id="rId174" Type="http://schemas.openxmlformats.org/officeDocument/2006/relationships/hyperlink" Target="https://www.gem.wiki/Greater_Philadelphia_Expansion_Project" TargetMode="External"/><Relationship Id="rId381" Type="http://schemas.openxmlformats.org/officeDocument/2006/relationships/hyperlink" Target="https://www.gem.wiki/South_Wales_Gas_Pipeline" TargetMode="External"/><Relationship Id="rId2062" Type="http://schemas.openxmlformats.org/officeDocument/2006/relationships/hyperlink" Target="https://www.gem.wiki/Shannon_Gas_Pipeline" TargetMode="External"/><Relationship Id="rId3113" Type="http://schemas.openxmlformats.org/officeDocument/2006/relationships/hyperlink" Target="https://www.gem.wiki/Hubei_Gas_Pipeline_Network" TargetMode="External"/><Relationship Id="rId241" Type="http://schemas.openxmlformats.org/officeDocument/2006/relationships/hyperlink" Target="https://www.gem.wiki/Gasoducto_Rosarito" TargetMode="External"/><Relationship Id="rId3320" Type="http://schemas.openxmlformats.org/officeDocument/2006/relationships/hyperlink" Target="https://www.gem.wiki/Heilongjiang_Natural_Gas_Pipeline_Network" TargetMode="External"/><Relationship Id="rId2879" Type="http://schemas.openxmlformats.org/officeDocument/2006/relationships/hyperlink" Target="https://www.gem.wiki/Shanxi_Natural_Gas_Pipeline_Network" TargetMode="External"/><Relationship Id="rId101" Type="http://schemas.openxmlformats.org/officeDocument/2006/relationships/hyperlink" Target="https://www.gem.wiki/Sabine_Natural_Gas_Pipeline_System" TargetMode="External"/><Relationship Id="rId1688" Type="http://schemas.openxmlformats.org/officeDocument/2006/relationships/hyperlink" Target="https://www.gem.wiki/Carolina_Gas_Transmission" TargetMode="External"/><Relationship Id="rId1895" Type="http://schemas.openxmlformats.org/officeDocument/2006/relationships/hyperlink" Target="https://www.gem.wiki/Gasoducto_GASBOL" TargetMode="External"/><Relationship Id="rId2739" Type="http://schemas.openxmlformats.org/officeDocument/2006/relationships/hyperlink" Target="https://www.gem.wiki/Yunnan_Gas_Pipeline_Network" TargetMode="External"/><Relationship Id="rId2946" Type="http://schemas.openxmlformats.org/officeDocument/2006/relationships/hyperlink" Target="https://www.gem.wiki/Guangdong_West_Gas_Pipeline_Network" TargetMode="External"/><Relationship Id="rId918" Type="http://schemas.openxmlformats.org/officeDocument/2006/relationships/hyperlink" Target="https://www.gem.wiki/Fukuhoku_Gas_Pipeline" TargetMode="External"/><Relationship Id="rId1548" Type="http://schemas.openxmlformats.org/officeDocument/2006/relationships/hyperlink" Target="https://gem.wiki/Tarsia&#8211;Rende_Gas_Pipeline" TargetMode="External"/><Relationship Id="rId1755" Type="http://schemas.openxmlformats.org/officeDocument/2006/relationships/hyperlink" Target="https://www.gem.wiki/Driftwood_Gas_Pipeline" TargetMode="External"/><Relationship Id="rId1408" Type="http://schemas.openxmlformats.org/officeDocument/2006/relationships/hyperlink" Target="https://gem.wiki/Fos_Sur_Mer&#8211;Tersanne_Gas_Pipeline" TargetMode="External"/><Relationship Id="rId1962" Type="http://schemas.openxmlformats.org/officeDocument/2006/relationships/hyperlink" Target="https://www.gem.wiki/Arrow_Bowen_Pipeline" TargetMode="External"/><Relationship Id="rId2806" Type="http://schemas.openxmlformats.org/officeDocument/2006/relationships/hyperlink" Target="https://www.gem.wiki/Jilin_Gas_Pipeline_Network" TargetMode="External"/><Relationship Id="rId47" Type="http://schemas.openxmlformats.org/officeDocument/2006/relationships/hyperlink" Target="https://www.gem.wiki/Foothills_System_Gas_Pipeline" TargetMode="External"/><Relationship Id="rId1615" Type="http://schemas.openxmlformats.org/officeDocument/2006/relationships/hyperlink" Target="https://www.gem.wiki/Gasoduto_Nordest%C3%A3o" TargetMode="External"/><Relationship Id="rId1822" Type="http://schemas.openxmlformats.org/officeDocument/2006/relationships/hyperlink" Target="https://www.gem.wiki/Digha%E2%80%93Contai_Gas_Pipeline" TargetMode="External"/><Relationship Id="rId2389" Type="http://schemas.openxmlformats.org/officeDocument/2006/relationships/hyperlink" Target="https://www.gem.wiki/N2-Sahiwal_RLNG_Pipeline" TargetMode="External"/><Relationship Id="rId2596" Type="http://schemas.openxmlformats.org/officeDocument/2006/relationships/hyperlink" Target="https://www.gem.wiki/Sansepolcro-Terranuova_Gas_Pipeline" TargetMode="External"/><Relationship Id="rId568" Type="http://schemas.openxmlformats.org/officeDocument/2006/relationships/hyperlink" Target="https://www.gem.wiki/Chelyabinsk-Petrovsk_Gas_Pipeline" TargetMode="External"/><Relationship Id="rId775" Type="http://schemas.openxmlformats.org/officeDocument/2006/relationships/hyperlink" Target="https://www.gem.wiki/Oben-Ajaokuta_Steel_gas_pipeline" TargetMode="External"/><Relationship Id="rId982" Type="http://schemas.openxmlformats.org/officeDocument/2006/relationships/hyperlink" Target="https://www.gem.wiki/Northwestern_Gas_Pipeline" TargetMode="External"/><Relationship Id="rId1198" Type="http://schemas.openxmlformats.org/officeDocument/2006/relationships/hyperlink" Target="https://www.gem.wiki/Transcontinental_Gas_Pipeline" TargetMode="External"/><Relationship Id="rId2249" Type="http://schemas.openxmlformats.org/officeDocument/2006/relationships/hyperlink" Target="https://www.gem.wiki/Zhanaozen-Zhetybay-Aktau_Gas_Pipeline" TargetMode="External"/><Relationship Id="rId2456" Type="http://schemas.openxmlformats.org/officeDocument/2006/relationships/hyperlink" Target="https://www.gem.wiki/Wah-Nowshera_Gas_Pipeline_I" TargetMode="External"/><Relationship Id="rId2663" Type="http://schemas.openxmlformats.org/officeDocument/2006/relationships/hyperlink" Target="https://www.gem.wiki/Qatargas_LNG_Terminals_Gas_Pipelines" TargetMode="External"/><Relationship Id="rId2870" Type="http://schemas.openxmlformats.org/officeDocument/2006/relationships/hyperlink" Target="https://www.gem.wiki/Shanxi_Natural_Gas_Pipeline_Network" TargetMode="External"/><Relationship Id="rId428" Type="http://schemas.openxmlformats.org/officeDocument/2006/relationships/hyperlink" Target="https://www.gem.wiki/Bacau_Gas_Pipeline" TargetMode="External"/><Relationship Id="rId635" Type="http://schemas.openxmlformats.org/officeDocument/2006/relationships/hyperlink" Target="https://www.gem.wiki/Toyano_Pipeline" TargetMode="External"/><Relationship Id="rId842" Type="http://schemas.openxmlformats.org/officeDocument/2006/relationships/hyperlink" Target="https://www.gem.wiki/Energia_Mayakan_Pipeline" TargetMode="External"/><Relationship Id="rId1058" Type="http://schemas.openxmlformats.org/officeDocument/2006/relationships/hyperlink" Target="https://www.gem.wiki/Barnaul-Biysk-Gorno-Altaysk_Gas_Pipeline" TargetMode="External"/><Relationship Id="rId1265" Type="http://schemas.openxmlformats.org/officeDocument/2006/relationships/hyperlink" Target="https://www.gem.wiki/Waha-to-Presidio_Gas_Pipeline" TargetMode="External"/><Relationship Id="rId1472" Type="http://schemas.openxmlformats.org/officeDocument/2006/relationships/hyperlink" Target="https://gem.wiki/Messina&#8211;Montalbano_Gas_Pipeline" TargetMode="External"/><Relationship Id="rId2109" Type="http://schemas.openxmlformats.org/officeDocument/2006/relationships/hyperlink" Target="https://www.gem.wiki/Nova_Gas_Transmission_(NGTL)_Pipeline" TargetMode="External"/><Relationship Id="rId2316" Type="http://schemas.openxmlformats.org/officeDocument/2006/relationships/hyperlink" Target="https://www.gem.wiki/DOL%E2%80%93Ras_Laffan_Landfall_Gas_Pipelines" TargetMode="External"/><Relationship Id="rId2523" Type="http://schemas.openxmlformats.org/officeDocument/2006/relationships/hyperlink" Target="https://www.gem.wiki/Kutaisi-Sukhumi_Gas_Pipeline" TargetMode="External"/><Relationship Id="rId2730" Type="http://schemas.openxmlformats.org/officeDocument/2006/relationships/hyperlink" Target="https://www.gem.wiki/China%E2%80%93Russia_East_Pipeline" TargetMode="External"/><Relationship Id="rId702" Type="http://schemas.openxmlformats.org/officeDocument/2006/relationships/hyperlink" Target="https://www.gem.wiki/Bidirectional_Austrian-Czech_Interconnector_Gas_Pipeline_(BACI)" TargetMode="External"/><Relationship Id="rId1125" Type="http://schemas.openxmlformats.org/officeDocument/2006/relationships/hyperlink" Target="https://www.gem.wiki/Shebelinka-Belgorod-Kursk-Bryansk_Gas_Pipeline" TargetMode="External"/><Relationship Id="rId1332" Type="http://schemas.openxmlformats.org/officeDocument/2006/relationships/hyperlink" Target="https://gem.wiki/Baumgarten&#8211;Plavecky_Peter_Gas_Pipeline" TargetMode="External"/><Relationship Id="rId3297" Type="http://schemas.openxmlformats.org/officeDocument/2006/relationships/hyperlink" Target="https://www.gem.wiki/Shaanxi_Gas_Pipeline_Network" TargetMode="External"/><Relationship Id="rId3157" Type="http://schemas.openxmlformats.org/officeDocument/2006/relationships/hyperlink" Target="https://www.gem.wiki/Strait_West_Natural_Gas_Pipeline_Network_Phase_II" TargetMode="External"/><Relationship Id="rId285" Type="http://schemas.openxmlformats.org/officeDocument/2006/relationships/hyperlink" Target="https://www.gem.wiki/Hassi_R'Mel-Arzew_Gas_Pipeline" TargetMode="External"/><Relationship Id="rId492" Type="http://schemas.openxmlformats.org/officeDocument/2006/relationships/hyperlink" Target="https://www.gem.wiki/Monohardi-Dhanua_Elenga_Pipeline" TargetMode="External"/><Relationship Id="rId2173" Type="http://schemas.openxmlformats.org/officeDocument/2006/relationships/hyperlink" Target="https://www.gem.wiki/Kern_River_Gas_Pipeline" TargetMode="External"/><Relationship Id="rId2380" Type="http://schemas.openxmlformats.org/officeDocument/2006/relationships/hyperlink" Target="https://www.gem.wiki/Sui-Multan_Gas_Loopline_I" TargetMode="External"/><Relationship Id="rId3017" Type="http://schemas.openxmlformats.org/officeDocument/2006/relationships/hyperlink" Target="https://www.gem.wiki/Jiangsu_Coastal_Gas_Pipeline" TargetMode="External"/><Relationship Id="rId3224" Type="http://schemas.openxmlformats.org/officeDocument/2006/relationships/hyperlink" Target="https://www.gem.wiki/Guizhou_Gas_Pipeline_Network" TargetMode="External"/><Relationship Id="rId145" Type="http://schemas.openxmlformats.org/officeDocument/2006/relationships/hyperlink" Target="https://www.gem.wiki/Prairie_State_Pipeline" TargetMode="External"/><Relationship Id="rId352" Type="http://schemas.openxmlformats.org/officeDocument/2006/relationships/hyperlink" Target="https://www.gem.wiki/Europipe_II_Gas_Pipeline" TargetMode="External"/><Relationship Id="rId2033" Type="http://schemas.openxmlformats.org/officeDocument/2006/relationships/hyperlink" Target="https://www.gem.wiki/Gasoduto_Uruguaiana-Porto_Alegre" TargetMode="External"/><Relationship Id="rId2240" Type="http://schemas.openxmlformats.org/officeDocument/2006/relationships/hyperlink" Target="https://www.gem.wiki/N%C3%A9stor_Kirchner_Gas_Pipeline" TargetMode="External"/><Relationship Id="rId212" Type="http://schemas.openxmlformats.org/officeDocument/2006/relationships/hyperlink" Target="https://www.gem.wiki/Interoceanic_Corridor_Gas_Pipeline_(Mexico)" TargetMode="External"/><Relationship Id="rId1799" Type="http://schemas.openxmlformats.org/officeDocument/2006/relationships/hyperlink" Target="https://www.gem.wiki/Ilijan_Gas_Pipeline" TargetMode="External"/><Relationship Id="rId2100" Type="http://schemas.openxmlformats.org/officeDocument/2006/relationships/hyperlink" Target="https://www.gem.wiki/High_Pressure_Gujarat_Gas_Grid_Network" TargetMode="External"/><Relationship Id="rId1659" Type="http://schemas.openxmlformats.org/officeDocument/2006/relationships/hyperlink" Target="https://www.gem.wiki/El_Paso_Gas_Pipeline" TargetMode="External"/><Relationship Id="rId1866" Type="http://schemas.openxmlformats.org/officeDocument/2006/relationships/hyperlink" Target="https://www.gem.wiki/Novosibirsk-Barnaul_Gas_Pipeline" TargetMode="External"/><Relationship Id="rId2917" Type="http://schemas.openxmlformats.org/officeDocument/2006/relationships/hyperlink" Target="https://www.gem.wiki/Yuanba-Deyang_Gas_Pipeline" TargetMode="External"/><Relationship Id="rId3081" Type="http://schemas.openxmlformats.org/officeDocument/2006/relationships/hyperlink" Target="https://www.gem.wiki/Zhejiang_Natural_Gas_Pipeline_Network" TargetMode="External"/><Relationship Id="rId1519" Type="http://schemas.openxmlformats.org/officeDocument/2006/relationships/hyperlink" Target="https://gem.wiki/Reggio_Calabria&#8211;Messina_Gas_Pipeline" TargetMode="External"/><Relationship Id="rId1726" Type="http://schemas.openxmlformats.org/officeDocument/2006/relationships/hyperlink" Target="https://www.gem.wiki/Neuba_II_Pipeline" TargetMode="External"/><Relationship Id="rId1933" Type="http://schemas.openxmlformats.org/officeDocument/2006/relationships/hyperlink" Target="https://www.gem.wiki/North_Pailin-Pailin_Gas_Pipeline" TargetMode="External"/><Relationship Id="rId18" Type="http://schemas.openxmlformats.org/officeDocument/2006/relationships/hyperlink" Target="https://www.gem.wiki/Canadian_Mainline_Gas_Pipeline" TargetMode="External"/><Relationship Id="rId679" Type="http://schemas.openxmlformats.org/officeDocument/2006/relationships/hyperlink" Target="https://www.gem.wiki/Maastricht-Paris_Pipeline" TargetMode="External"/><Relationship Id="rId886" Type="http://schemas.openxmlformats.org/officeDocument/2006/relationships/hyperlink" Target="https://www.gem.wiki/Gasoducto_del_Noreste_Argentino" TargetMode="External"/><Relationship Id="rId2567" Type="http://schemas.openxmlformats.org/officeDocument/2006/relationships/hyperlink" Target="https://www.gem.wiki/Cetona-Terranuova_Gas_Pipeline" TargetMode="External"/><Relationship Id="rId2774" Type="http://schemas.openxmlformats.org/officeDocument/2006/relationships/hyperlink" Target="https://www.gem.wiki/Inner_Mongolia_Gas_Pipeline_Network" TargetMode="External"/><Relationship Id="rId2" Type="http://schemas.openxmlformats.org/officeDocument/2006/relationships/hyperlink" Target="https://www.gem.wiki/Acadian_Gas_Pipeline_System" TargetMode="External"/><Relationship Id="rId539" Type="http://schemas.openxmlformats.org/officeDocument/2006/relationships/hyperlink" Target="https://www.gem.wiki/Cirebon-KHT_Gas_Pipeline" TargetMode="External"/><Relationship Id="rId746" Type="http://schemas.openxmlformats.org/officeDocument/2006/relationships/hyperlink" Target="https://www.gem.wiki/Strategy-Kabesa_Cement_gas_pipeline" TargetMode="External"/><Relationship Id="rId1169" Type="http://schemas.openxmlformats.org/officeDocument/2006/relationships/hyperlink" Target="https://www.gem.wiki/Al_Ain-Fujairah_Pipeline" TargetMode="External"/><Relationship Id="rId1376" Type="http://schemas.openxmlformats.org/officeDocument/2006/relationships/hyperlink" Target="https://gem.wiki/Cordoba&#8211;Puertollano_Gas_Pipeline" TargetMode="External"/><Relationship Id="rId1583" Type="http://schemas.openxmlformats.org/officeDocument/2006/relationships/hyperlink" Target="https://gem.wiki/Stunensee&#8211;Dornstadt_Gas_Pipeline" TargetMode="External"/><Relationship Id="rId2427" Type="http://schemas.openxmlformats.org/officeDocument/2006/relationships/hyperlink" Target="https://www.gem.wiki/Head_Balloki-MP_59.91_Gas_Pipeline" TargetMode="External"/><Relationship Id="rId2981" Type="http://schemas.openxmlformats.org/officeDocument/2006/relationships/hyperlink" Target="https://www.gem.wiki/Zhongxian-Wuhan_Pipeline" TargetMode="External"/><Relationship Id="rId953" Type="http://schemas.openxmlformats.org/officeDocument/2006/relationships/hyperlink" Target="https://www.gem.wiki/Nagasaki_Gas_Pipeline" TargetMode="External"/><Relationship Id="rId1029" Type="http://schemas.openxmlformats.org/officeDocument/2006/relationships/hyperlink" Target="https://www.gem.wiki/Morelos_Gas_Pipeline" TargetMode="External"/><Relationship Id="rId1236" Type="http://schemas.openxmlformats.org/officeDocument/2006/relationships/hyperlink" Target="https://www.gem.wiki/Rover_Pipeline" TargetMode="External"/><Relationship Id="rId1790" Type="http://schemas.openxmlformats.org/officeDocument/2006/relationships/hyperlink" Target="https://www.gem.wiki/Langtala-Bihilwara_Gas_Pipeline" TargetMode="External"/><Relationship Id="rId2634" Type="http://schemas.openxmlformats.org/officeDocument/2006/relationships/hyperlink" Target="https://www.gem.wiki/Gormansten-Arklow_Gas_Pipeline" TargetMode="External"/><Relationship Id="rId2841" Type="http://schemas.openxmlformats.org/officeDocument/2006/relationships/hyperlink" Target="https://www.gem.wiki/Anhui_Gas_Pipeline_Network" TargetMode="External"/><Relationship Id="rId82" Type="http://schemas.openxmlformats.org/officeDocument/2006/relationships/hyperlink" Target="https://www.gem.wiki/Northwest_Gas_Pipeline" TargetMode="External"/><Relationship Id="rId606" Type="http://schemas.openxmlformats.org/officeDocument/2006/relationships/hyperlink" Target="https://www.gem.wiki/Rashidpur-Habigonj_Gas_Pipeline" TargetMode="External"/><Relationship Id="rId813" Type="http://schemas.openxmlformats.org/officeDocument/2006/relationships/hyperlink" Target="https://www.gem.wiki/Qatif_North-Berri_gas_pipeline" TargetMode="External"/><Relationship Id="rId1443" Type="http://schemas.openxmlformats.org/officeDocument/2006/relationships/hyperlink" Target="https://gem.wiki/Lauria&#8211;Morano_Gas_Pipeline" TargetMode="External"/><Relationship Id="rId1650" Type="http://schemas.openxmlformats.org/officeDocument/2006/relationships/hyperlink" Target="https://www.gem.wiki/Gryazovets-Volkhov-Slavyanskaya_Gas_Pipeline" TargetMode="External"/><Relationship Id="rId2701" Type="http://schemas.openxmlformats.org/officeDocument/2006/relationships/hyperlink" Target="https://www.gem.wiki/Bielefeld-Magdeburg_Gas_Pipeline" TargetMode="External"/><Relationship Id="rId1303" Type="http://schemas.openxmlformats.org/officeDocument/2006/relationships/hyperlink" Target="https://www.gem.wiki/Delta_Express_Gas_Pipeline" TargetMode="External"/><Relationship Id="rId1510" Type="http://schemas.openxmlformats.org/officeDocument/2006/relationships/hyperlink" Target="https://gem.wiki/Puertollano&#8211;Madrid_Gas_Pipeline" TargetMode="External"/><Relationship Id="rId3268" Type="http://schemas.openxmlformats.org/officeDocument/2006/relationships/hyperlink" Target="https://www.gem.wiki/Western_Chongqing_Natural_Gas_Pipeline_Network" TargetMode="External"/><Relationship Id="rId189" Type="http://schemas.openxmlformats.org/officeDocument/2006/relationships/hyperlink" Target="https://www.gem.wiki/Blue_Mountain_Delivery_Pipeline" TargetMode="External"/><Relationship Id="rId396" Type="http://schemas.openxmlformats.org/officeDocument/2006/relationships/hyperlink" Target="https://www.gem.wiki/Azerbaijan-Georgia-Romania_Interconnector_(AGRI)" TargetMode="External"/><Relationship Id="rId2077" Type="http://schemas.openxmlformats.org/officeDocument/2006/relationships/hyperlink" Target="https://www.gem.wiki/Hermanowice_Strachocina_Pipeline" TargetMode="External"/><Relationship Id="rId2284" Type="http://schemas.openxmlformats.org/officeDocument/2006/relationships/hyperlink" Target="https://www.gem.wiki/Fargh%E2%80%93Sarir_Gas_Pipeline" TargetMode="External"/><Relationship Id="rId2491" Type="http://schemas.openxmlformats.org/officeDocument/2006/relationships/hyperlink" Target="https://www.gem.wiki/Brunsb%C3%BCttel_LNG_Pipelines" TargetMode="External"/><Relationship Id="rId3128" Type="http://schemas.openxmlformats.org/officeDocument/2006/relationships/hyperlink" Target="https://www.gem.wiki/Hunan_Gas_Pipeline_Network" TargetMode="External"/><Relationship Id="rId3335" Type="http://schemas.openxmlformats.org/officeDocument/2006/relationships/hyperlink" Target="https://www.gem.wiki/Chongqing-Guizhou-Guangxi_Gas_Pipeline" TargetMode="External"/><Relationship Id="rId256" Type="http://schemas.openxmlformats.org/officeDocument/2006/relationships/hyperlink" Target="https://www.gem.wiki/Escravos%E2%80%93Lagos_Pipeline_System" TargetMode="External"/><Relationship Id="rId463" Type="http://schemas.openxmlformats.org/officeDocument/2006/relationships/hyperlink" Target="https://www.gem.wiki/Ashuganj-Habiganj_Loopline" TargetMode="External"/><Relationship Id="rId670" Type="http://schemas.openxmlformats.org/officeDocument/2006/relationships/hyperlink" Target="https://www.gem.wiki/Guitiriz-Lugo_Gas_Pipeline" TargetMode="External"/><Relationship Id="rId1093" Type="http://schemas.openxmlformats.org/officeDocument/2006/relationships/hyperlink" Target="https://www.gem.wiki/Magnitogorsk-Ishimbay_Gas_Pipeline" TargetMode="External"/><Relationship Id="rId2144" Type="http://schemas.openxmlformats.org/officeDocument/2006/relationships/hyperlink" Target="https://www.gem.wiki/BassGas_Pipeline" TargetMode="External"/><Relationship Id="rId2351" Type="http://schemas.openxmlformats.org/officeDocument/2006/relationships/hyperlink" Target="https://www.gem.wiki/National_Gas_Pipeline" TargetMode="External"/><Relationship Id="rId116" Type="http://schemas.openxmlformats.org/officeDocument/2006/relationships/hyperlink" Target="https://www.gem.wiki/Texas_Intrastate_System_Gas_Pipeline" TargetMode="External"/><Relationship Id="rId323" Type="http://schemas.openxmlformats.org/officeDocument/2006/relationships/hyperlink" Target="https://www.gem.wiki/WH-6-Ras_Laffan_gas_pipeline" TargetMode="External"/><Relationship Id="rId530" Type="http://schemas.openxmlformats.org/officeDocument/2006/relationships/hyperlink" Target="https://www.gem.wiki/Srikakulam-Angul_Gas_Pipeline" TargetMode="External"/><Relationship Id="rId1160" Type="http://schemas.openxmlformats.org/officeDocument/2006/relationships/hyperlink" Target="https://www.gem.wiki/RA6-Ratchaburi_Gas_Pipeline" TargetMode="External"/><Relationship Id="rId2004" Type="http://schemas.openxmlformats.org/officeDocument/2006/relationships/hyperlink" Target="https://www.gem.wiki/Kvitebj%C3%B8rn_Gas_Pipeline" TargetMode="External"/><Relationship Id="rId2211" Type="http://schemas.openxmlformats.org/officeDocument/2006/relationships/hyperlink" Target="https://www.gem.wiki/North_Macedonia%E2%80%93Greece_Interconnector_Gas_Pipeline" TargetMode="External"/><Relationship Id="rId1020" Type="http://schemas.openxmlformats.org/officeDocument/2006/relationships/hyperlink" Target="https://www.gem.wiki/TAP_Interconnection_Gas_Pipeline" TargetMode="External"/><Relationship Id="rId1977" Type="http://schemas.openxmlformats.org/officeDocument/2006/relationships/hyperlink" Target="https://www.gem.wiki/Arab_Gas_Pipeline" TargetMode="External"/><Relationship Id="rId1837" Type="http://schemas.openxmlformats.org/officeDocument/2006/relationships/hyperlink" Target="https://www.gem.wiki/Gasoducto_Transcaribe%C3%B1o" TargetMode="External"/><Relationship Id="rId3192" Type="http://schemas.openxmlformats.org/officeDocument/2006/relationships/hyperlink" Target="https://www.gem.wiki/West-East_Gas_Pipeline_4" TargetMode="External"/><Relationship Id="rId3052" Type="http://schemas.openxmlformats.org/officeDocument/2006/relationships/hyperlink" Target="https://www.gem.wiki/Beijing%E2%80%93Shijiazhuang%E2%80%93Handan_Gas_Pipeline" TargetMode="External"/><Relationship Id="rId180" Type="http://schemas.openxmlformats.org/officeDocument/2006/relationships/hyperlink" Target="https://www.gem.wiki/Saddle_West_Pipeline" TargetMode="External"/><Relationship Id="rId1904" Type="http://schemas.openxmlformats.org/officeDocument/2006/relationships/hyperlink" Target="https://www.gem.wiki/Erawan-Khanom_Gas_Pipeline" TargetMode="External"/><Relationship Id="rId997" Type="http://schemas.openxmlformats.org/officeDocument/2006/relationships/hyperlink" Target="https://www.gem.wiki/Wardenburg-Werne_Gas_Pipeline" TargetMode="External"/><Relationship Id="rId2678" Type="http://schemas.openxmlformats.org/officeDocument/2006/relationships/hyperlink" Target="https://www.gem.wiki/Petrich%E2%80%93Dubnitza_Gas_Pipeline" TargetMode="External"/><Relationship Id="rId2885" Type="http://schemas.openxmlformats.org/officeDocument/2006/relationships/hyperlink" Target="https://www.gem.wiki/Shanxi_Natural_Gas_Pipeline_Network" TargetMode="External"/><Relationship Id="rId857" Type="http://schemas.openxmlformats.org/officeDocument/2006/relationships/hyperlink" Target="https://www.gem.wiki/Gasoducto_del_Pacifico" TargetMode="External"/><Relationship Id="rId1487" Type="http://schemas.openxmlformats.org/officeDocument/2006/relationships/hyperlink" Target="https://gem.wiki/Nemesbikk&#8211;Budapest_Gas_Pipeline" TargetMode="External"/><Relationship Id="rId1694" Type="http://schemas.openxmlformats.org/officeDocument/2006/relationships/hyperlink" Target="https://www.gem.wiki/Trans-Territory_Pipeline" TargetMode="External"/><Relationship Id="rId2538" Type="http://schemas.openxmlformats.org/officeDocument/2006/relationships/hyperlink" Target="https://www.gem.wiki/Vreden-Dusseldorf_Gas_Pipeline" TargetMode="External"/><Relationship Id="rId2745" Type="http://schemas.openxmlformats.org/officeDocument/2006/relationships/hyperlink" Target="https://www.gem.wiki/Zhongwei-Guiyang_Connecting_Pipeline" TargetMode="External"/><Relationship Id="rId2952" Type="http://schemas.openxmlformats.org/officeDocument/2006/relationships/hyperlink" Target="https://www.gem.wiki/Guangdong_Gas_Pipeline_Network_Phase_I" TargetMode="External"/><Relationship Id="rId717" Type="http://schemas.openxmlformats.org/officeDocument/2006/relationships/hyperlink" Target="https://www.gem.wiki/Hungary-Slovenia-Italy_Interconnector_Gas_Pipeline" TargetMode="External"/><Relationship Id="rId924" Type="http://schemas.openxmlformats.org/officeDocument/2006/relationships/hyperlink" Target="https://www.gem.wiki/Ibaraki_Main_Gas_Pipeline" TargetMode="External"/><Relationship Id="rId1347" Type="http://schemas.openxmlformats.org/officeDocument/2006/relationships/hyperlink" Target="https://gem.wiki/Bosiljevo&#8211;Rjeka_Gas_Pipeline" TargetMode="External"/><Relationship Id="rId1554" Type="http://schemas.openxmlformats.org/officeDocument/2006/relationships/hyperlink" Target="https://gem.wiki/Uzhgorod&#8211;Velke_Kapusany_Gas_Pipeline" TargetMode="External"/><Relationship Id="rId1761" Type="http://schemas.openxmlformats.org/officeDocument/2006/relationships/hyperlink" Target="https://www.gem.wiki/Gasoducto_Cross_Island" TargetMode="External"/><Relationship Id="rId2605" Type="http://schemas.openxmlformats.org/officeDocument/2006/relationships/hyperlink" Target="https://www.gem.wiki/Zimella-Cervignano_Gas_Pipeline" TargetMode="External"/><Relationship Id="rId2812" Type="http://schemas.openxmlformats.org/officeDocument/2006/relationships/hyperlink" Target="https://www.gem.wiki/Jilin_Gas_Pipeline_Network" TargetMode="External"/><Relationship Id="rId53" Type="http://schemas.openxmlformats.org/officeDocument/2006/relationships/hyperlink" Target="https://www.gem.wiki/Gulf_South_Gas_Pipeline" TargetMode="External"/><Relationship Id="rId1207" Type="http://schemas.openxmlformats.org/officeDocument/2006/relationships/hyperlink" Target="https://www.gem.wiki/Line_1600_Gas_Pipeline" TargetMode="External"/><Relationship Id="rId1414" Type="http://schemas.openxmlformats.org/officeDocument/2006/relationships/hyperlink" Target="https://www.gem.wiki/Wijngaarden%E2%80%93Schmeeda_Gas_Pipeline" TargetMode="External"/><Relationship Id="rId1621" Type="http://schemas.openxmlformats.org/officeDocument/2006/relationships/hyperlink" Target="https://www.gem.wiki/Gasoducto_Prosperidad"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SG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7DECB-A360-42CC-9405-EDA5A5F0A65B}">
  <dimension ref="A1:B14"/>
  <sheetViews>
    <sheetView workbookViewId="0">
      <selection activeCell="A8" sqref="A8"/>
    </sheetView>
  </sheetViews>
  <sheetFormatPr defaultRowHeight="14.5" x14ac:dyDescent="0.35"/>
  <cols>
    <col min="1" max="1" width="25.54296875" customWidth="1"/>
    <col min="2" max="2" width="129.7265625" customWidth="1"/>
  </cols>
  <sheetData>
    <row r="1" spans="1:2" x14ac:dyDescent="0.35">
      <c r="A1" s="55" t="s">
        <v>0</v>
      </c>
      <c r="B1" s="55" t="s">
        <v>1</v>
      </c>
    </row>
    <row r="2" spans="1:2" ht="43.5" x14ac:dyDescent="0.35">
      <c r="A2" t="s">
        <v>2</v>
      </c>
      <c r="B2" s="3" t="s">
        <v>3</v>
      </c>
    </row>
    <row r="3" spans="1:2" x14ac:dyDescent="0.35">
      <c r="A3" t="s">
        <v>4</v>
      </c>
      <c r="B3" s="3" t="s">
        <v>5</v>
      </c>
    </row>
    <row r="4" spans="1:2" ht="29" x14ac:dyDescent="0.35">
      <c r="A4" t="s">
        <v>6</v>
      </c>
      <c r="B4" s="3" t="s">
        <v>7</v>
      </c>
    </row>
    <row r="5" spans="1:2" ht="44.25" customHeight="1" x14ac:dyDescent="0.35">
      <c r="A5" t="s">
        <v>8</v>
      </c>
      <c r="B5" t="s">
        <v>9</v>
      </c>
    </row>
    <row r="6" spans="1:2" ht="26.25" customHeight="1" x14ac:dyDescent="0.35">
      <c r="A6" t="s">
        <v>10</v>
      </c>
      <c r="B6" t="s">
        <v>11</v>
      </c>
    </row>
    <row r="7" spans="1:2" x14ac:dyDescent="0.35">
      <c r="A7" t="s">
        <v>12</v>
      </c>
      <c r="B7" t="s">
        <v>13</v>
      </c>
    </row>
    <row r="8" spans="1:2" ht="29" x14ac:dyDescent="0.35">
      <c r="A8" t="s">
        <v>14</v>
      </c>
      <c r="B8" s="3" t="s">
        <v>15</v>
      </c>
    </row>
    <row r="9" spans="1:2" ht="43.5" x14ac:dyDescent="0.35">
      <c r="A9" t="s">
        <v>16</v>
      </c>
      <c r="B9" s="3" t="s">
        <v>17</v>
      </c>
    </row>
    <row r="10" spans="1:2" x14ac:dyDescent="0.35">
      <c r="A10" t="s">
        <v>18</v>
      </c>
      <c r="B10" t="s">
        <v>19</v>
      </c>
    </row>
    <row r="11" spans="1:2" ht="29" x14ac:dyDescent="0.35">
      <c r="A11" t="s">
        <v>20</v>
      </c>
      <c r="B11" s="3" t="s">
        <v>21</v>
      </c>
    </row>
    <row r="12" spans="1:2" x14ac:dyDescent="0.35">
      <c r="A12" t="s">
        <v>22</v>
      </c>
      <c r="B12" s="3" t="s">
        <v>23</v>
      </c>
    </row>
    <row r="13" spans="1:2" ht="29" x14ac:dyDescent="0.35">
      <c r="A13" t="s">
        <v>24</v>
      </c>
      <c r="B13" s="3" t="s">
        <v>25</v>
      </c>
    </row>
    <row r="14" spans="1:2" x14ac:dyDescent="0.35">
      <c r="A14" t="s">
        <v>26</v>
      </c>
      <c r="B14" s="3" t="s">
        <v>27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32E8B-D7A7-4CB1-B3BA-EAA2DBCF069F}">
  <dimension ref="A2:B17"/>
  <sheetViews>
    <sheetView workbookViewId="0">
      <selection activeCell="J7" sqref="J7"/>
    </sheetView>
  </sheetViews>
  <sheetFormatPr defaultRowHeight="14.5" x14ac:dyDescent="0.35"/>
  <cols>
    <col min="1" max="1" width="46.453125" bestFit="1" customWidth="1"/>
    <col min="2" max="2" width="21.1796875" customWidth="1"/>
    <col min="3" max="3" width="4.1796875" bestFit="1" customWidth="1"/>
    <col min="4" max="4" width="3" bestFit="1" customWidth="1"/>
    <col min="5" max="5" width="3.81640625" bestFit="1" customWidth="1"/>
    <col min="6" max="6" width="4.1796875" bestFit="1" customWidth="1"/>
    <col min="7" max="7" width="3.54296875" bestFit="1" customWidth="1"/>
    <col min="8" max="8" width="3.7265625" bestFit="1" customWidth="1"/>
    <col min="9" max="9" width="4.453125" bestFit="1" customWidth="1"/>
    <col min="10" max="10" width="4" bestFit="1" customWidth="1"/>
    <col min="11" max="11" width="4.1796875" bestFit="1" customWidth="1"/>
    <col min="12" max="12" width="4.54296875" bestFit="1" customWidth="1"/>
    <col min="13" max="13" width="4.1796875" bestFit="1" customWidth="1"/>
    <col min="14" max="14" width="4" bestFit="1" customWidth="1"/>
    <col min="15" max="15" width="4.54296875" bestFit="1" customWidth="1"/>
    <col min="16" max="17" width="4.1796875" bestFit="1" customWidth="1"/>
    <col min="18" max="18" width="6.7265625" bestFit="1" customWidth="1"/>
    <col min="19" max="20" width="10.7265625" bestFit="1" customWidth="1"/>
    <col min="21" max="21" width="255.453125" bestFit="1" customWidth="1"/>
    <col min="22" max="22" width="53.453125" bestFit="1" customWidth="1"/>
    <col min="23" max="23" width="191.26953125" bestFit="1" customWidth="1"/>
    <col min="24" max="24" width="114.1796875" bestFit="1" customWidth="1"/>
    <col min="25" max="26" width="255.54296875" bestFit="1" customWidth="1"/>
    <col min="27" max="27" width="151.26953125" bestFit="1" customWidth="1"/>
    <col min="28" max="28" width="210.81640625" bestFit="1" customWidth="1"/>
    <col min="29" max="32" width="255.54296875" bestFit="1" customWidth="1"/>
    <col min="33" max="33" width="223.54296875" bestFit="1" customWidth="1"/>
    <col min="34" max="34" width="245.81640625" bestFit="1" customWidth="1"/>
    <col min="35" max="37" width="255.54296875" bestFit="1" customWidth="1"/>
    <col min="38" max="38" width="104.1796875" bestFit="1" customWidth="1"/>
    <col min="39" max="40" width="255.54296875" bestFit="1" customWidth="1"/>
    <col min="41" max="41" width="204.81640625" bestFit="1" customWidth="1"/>
    <col min="42" max="45" width="255.54296875" bestFit="1" customWidth="1"/>
    <col min="46" max="46" width="200.81640625" bestFit="1" customWidth="1"/>
    <col min="47" max="50" width="255.54296875" bestFit="1" customWidth="1"/>
    <col min="51" max="51" width="187" bestFit="1" customWidth="1"/>
    <col min="52" max="53" width="255.54296875" bestFit="1" customWidth="1"/>
    <col min="54" max="54" width="180.453125" bestFit="1" customWidth="1"/>
    <col min="55" max="57" width="255.54296875" bestFit="1" customWidth="1"/>
    <col min="58" max="58" width="240.1796875" bestFit="1" customWidth="1"/>
    <col min="59" max="59" width="255.54296875" bestFit="1" customWidth="1"/>
    <col min="60" max="60" width="229" bestFit="1" customWidth="1"/>
    <col min="61" max="61" width="241.54296875" bestFit="1" customWidth="1"/>
    <col min="62" max="62" width="255.54296875" bestFit="1" customWidth="1"/>
    <col min="63" max="63" width="10.7265625" bestFit="1" customWidth="1"/>
  </cols>
  <sheetData>
    <row r="2" spans="1:2" ht="56.5" customHeight="1" x14ac:dyDescent="0.5">
      <c r="A2" s="17" t="s">
        <v>25032</v>
      </c>
      <c r="B2" s="19" t="s">
        <v>25200</v>
      </c>
    </row>
    <row r="3" spans="1:2" x14ac:dyDescent="0.35">
      <c r="A3" s="3"/>
    </row>
    <row r="4" spans="1:2" x14ac:dyDescent="0.35">
      <c r="A4" s="17" t="s">
        <v>25291</v>
      </c>
    </row>
    <row r="5" spans="1:2" x14ac:dyDescent="0.35">
      <c r="A5" s="14" t="s">
        <v>449</v>
      </c>
    </row>
    <row r="6" spans="1:2" x14ac:dyDescent="0.35">
      <c r="A6" s="14" t="s">
        <v>25209</v>
      </c>
    </row>
    <row r="7" spans="1:2" ht="145" x14ac:dyDescent="0.35">
      <c r="A7" s="14" t="s">
        <v>25211</v>
      </c>
    </row>
    <row r="8" spans="1:2" ht="72.5" x14ac:dyDescent="0.35">
      <c r="A8" s="14" t="s">
        <v>25210</v>
      </c>
    </row>
    <row r="9" spans="1:2" x14ac:dyDescent="0.35">
      <c r="A9" s="14" t="s">
        <v>142</v>
      </c>
    </row>
    <row r="10" spans="1:2" x14ac:dyDescent="0.35">
      <c r="A10" s="14" t="s">
        <v>25201</v>
      </c>
    </row>
    <row r="11" spans="1:2" ht="116" x14ac:dyDescent="0.35">
      <c r="A11" s="14" t="s">
        <v>25203</v>
      </c>
    </row>
    <row r="12" spans="1:2" ht="43.5" x14ac:dyDescent="0.35">
      <c r="A12" s="14" t="s">
        <v>25202</v>
      </c>
    </row>
    <row r="13" spans="1:2" x14ac:dyDescent="0.35">
      <c r="A13" s="14" t="s">
        <v>25292</v>
      </c>
    </row>
    <row r="14" spans="1:2" x14ac:dyDescent="0.35">
      <c r="A14" s="14" t="s">
        <v>25205</v>
      </c>
    </row>
    <row r="15" spans="1:2" ht="116" x14ac:dyDescent="0.35">
      <c r="A15" s="14" t="s">
        <v>25207</v>
      </c>
    </row>
    <row r="16" spans="1:2" ht="58" x14ac:dyDescent="0.35">
      <c r="A16" s="14" t="s">
        <v>25206</v>
      </c>
    </row>
    <row r="17" spans="1:1" x14ac:dyDescent="0.35">
      <c r="A17" s="14" t="s">
        <v>25293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69737-49F8-4E30-9E88-1C4E8B1DF717}">
  <dimension ref="A1:AY33"/>
  <sheetViews>
    <sheetView zoomScaleNormal="100" workbookViewId="0">
      <pane ySplit="1" topLeftCell="A2" activePane="bottomLeft" state="frozen"/>
      <selection pane="bottomLeft" activeCell="A34" sqref="A34"/>
    </sheetView>
  </sheetViews>
  <sheetFormatPr defaultRowHeight="14.5" x14ac:dyDescent="0.35"/>
  <cols>
    <col min="2" max="2" width="14.453125" customWidth="1"/>
    <col min="3" max="3" width="15.81640625" customWidth="1"/>
    <col min="4" max="4" width="14.81640625" customWidth="1"/>
    <col min="5" max="5" width="33.54296875" customWidth="1"/>
    <col min="6" max="6" width="35.1796875" customWidth="1"/>
    <col min="7" max="7" width="30.54296875" customWidth="1"/>
    <col min="8" max="8" width="39.54296875" customWidth="1"/>
    <col min="9" max="9" width="21.81640625" customWidth="1"/>
    <col min="10" max="10" width="19.54296875" customWidth="1"/>
    <col min="11" max="11" width="17.1796875" customWidth="1"/>
    <col min="12" max="12" width="26.54296875" customWidth="1"/>
    <col min="13" max="13" width="22.453125" customWidth="1"/>
    <col min="14" max="14" width="15.1796875" customWidth="1"/>
    <col min="15" max="15" width="21.453125" customWidth="1"/>
    <col min="16" max="16" width="16.1796875" customWidth="1"/>
    <col min="17" max="17" width="13.1796875" customWidth="1"/>
    <col min="19" max="19" width="16.1796875" customWidth="1"/>
    <col min="20" max="20" width="18.453125" customWidth="1"/>
    <col min="21" max="21" width="13" customWidth="1"/>
    <col min="22" max="22" width="24.453125" customWidth="1"/>
    <col min="23" max="23" width="12.453125" customWidth="1"/>
    <col min="24" max="24" width="10.81640625" customWidth="1"/>
    <col min="26" max="27" width="13.453125" customWidth="1"/>
    <col min="28" max="28" width="14.1796875" customWidth="1"/>
    <col min="30" max="30" width="14.54296875" customWidth="1"/>
    <col min="31" max="31" width="14.1796875" customWidth="1"/>
    <col min="32" max="32" width="17.453125" customWidth="1"/>
    <col min="35" max="35" width="17.81640625" customWidth="1"/>
    <col min="36" max="36" width="15.1796875" customWidth="1"/>
  </cols>
  <sheetData>
    <row r="1" spans="1:51" ht="43.5" x14ac:dyDescent="0.35">
      <c r="A1" t="s">
        <v>29</v>
      </c>
      <c r="B1" t="s">
        <v>30</v>
      </c>
      <c r="C1" t="s">
        <v>28</v>
      </c>
      <c r="D1" t="s">
        <v>25294</v>
      </c>
      <c r="E1" t="s">
        <v>25295</v>
      </c>
      <c r="F1" t="s">
        <v>25296</v>
      </c>
      <c r="G1" t="s">
        <v>25297</v>
      </c>
      <c r="H1" t="s">
        <v>25298</v>
      </c>
      <c r="I1" s="3" t="s">
        <v>25299</v>
      </c>
      <c r="J1" s="3" t="s">
        <v>25300</v>
      </c>
      <c r="K1" s="3" t="s">
        <v>25301</v>
      </c>
      <c r="L1" s="3" t="s">
        <v>25302</v>
      </c>
      <c r="M1" s="3" t="s">
        <v>25303</v>
      </c>
      <c r="N1" s="3" t="s">
        <v>25304</v>
      </c>
      <c r="O1" s="3" t="s">
        <v>25305</v>
      </c>
      <c r="P1" s="3" t="s">
        <v>25306</v>
      </c>
      <c r="Q1" s="3" t="s">
        <v>25307</v>
      </c>
      <c r="R1" s="3" t="s">
        <v>25308</v>
      </c>
      <c r="S1" s="3" t="s">
        <v>25309</v>
      </c>
      <c r="T1" s="3" t="s">
        <v>25310</v>
      </c>
      <c r="U1" s="3" t="s">
        <v>25311</v>
      </c>
      <c r="V1" s="3" t="s">
        <v>25312</v>
      </c>
      <c r="W1" s="3" t="s">
        <v>25313</v>
      </c>
      <c r="X1" s="3" t="s">
        <v>25314</v>
      </c>
      <c r="Y1" s="3" t="s">
        <v>25315</v>
      </c>
      <c r="Z1" s="3" t="s">
        <v>25316</v>
      </c>
      <c r="AA1" s="3" t="s">
        <v>25317</v>
      </c>
      <c r="AB1" s="3" t="s">
        <v>25318</v>
      </c>
      <c r="AC1" s="3" t="s">
        <v>25319</v>
      </c>
      <c r="AD1" s="3" t="s">
        <v>1074</v>
      </c>
      <c r="AE1" s="3" t="s">
        <v>25251</v>
      </c>
      <c r="AF1" s="3" t="s">
        <v>25164</v>
      </c>
      <c r="AG1" s="3" t="s">
        <v>971</v>
      </c>
      <c r="AH1" s="3" t="s">
        <v>25113</v>
      </c>
      <c r="AI1" s="3" t="s">
        <v>25320</v>
      </c>
      <c r="AJ1" s="3" t="s">
        <v>25321</v>
      </c>
      <c r="AK1" s="3" t="s">
        <v>2967</v>
      </c>
    </row>
    <row r="2" spans="1:51" x14ac:dyDescent="0.35">
      <c r="A2" t="s">
        <v>354</v>
      </c>
      <c r="B2" t="str">
        <f>VLOOKUP(A2,Countries!$B$1:$D$205,3,FALSE)</f>
        <v>Australia</v>
      </c>
      <c r="C2" t="str">
        <f>VLOOKUP(A2,Countries!$B$1:$D$205,2,FALSE)</f>
        <v>Australia</v>
      </c>
      <c r="D2" s="20">
        <v>43770</v>
      </c>
      <c r="E2">
        <v>8.5800000000000001E-2</v>
      </c>
      <c r="F2">
        <v>1</v>
      </c>
      <c r="G2">
        <f>AVERAGE(E2:F2)</f>
        <v>0.54290000000000005</v>
      </c>
      <c r="H2" t="s">
        <v>25322</v>
      </c>
      <c r="I2" t="s">
        <v>25323</v>
      </c>
      <c r="J2" s="21">
        <v>971201000</v>
      </c>
      <c r="K2" s="21">
        <v>971201000</v>
      </c>
      <c r="L2" s="21">
        <f>AVERAGE(J2:K2)</f>
        <v>971201000</v>
      </c>
      <c r="M2" t="s">
        <v>25324</v>
      </c>
      <c r="N2">
        <v>1</v>
      </c>
      <c r="O2">
        <v>1</v>
      </c>
      <c r="P2">
        <v>1</v>
      </c>
      <c r="Q2">
        <v>1</v>
      </c>
      <c r="R2">
        <v>0</v>
      </c>
      <c r="S2">
        <v>0</v>
      </c>
      <c r="T2">
        <v>0</v>
      </c>
      <c r="U2">
        <v>0</v>
      </c>
      <c r="V2">
        <v>1</v>
      </c>
      <c r="W2">
        <v>1</v>
      </c>
      <c r="X2">
        <v>1</v>
      </c>
      <c r="Y2">
        <v>1</v>
      </c>
      <c r="Z2">
        <v>1</v>
      </c>
      <c r="AA2">
        <v>1</v>
      </c>
      <c r="AB2">
        <v>1</v>
      </c>
      <c r="AC2">
        <v>1</v>
      </c>
      <c r="AD2">
        <v>0</v>
      </c>
      <c r="AE2">
        <v>0</v>
      </c>
      <c r="AF2">
        <v>0</v>
      </c>
      <c r="AG2">
        <v>0</v>
      </c>
      <c r="AH2">
        <v>0</v>
      </c>
      <c r="AI2">
        <v>1</v>
      </c>
      <c r="AJ2">
        <v>1</v>
      </c>
      <c r="AK2" t="s">
        <v>25325</v>
      </c>
    </row>
    <row r="3" spans="1:51" x14ac:dyDescent="0.35">
      <c r="A3" t="s">
        <v>355</v>
      </c>
      <c r="B3" t="str">
        <f>VLOOKUP(A3,Countries!$B$1:$D$205,3,FALSE)</f>
        <v>EU 28</v>
      </c>
      <c r="C3" t="str">
        <f>VLOOKUP(A3,Countries!$B$1:$D$205,2,FALSE)</f>
        <v>Austria</v>
      </c>
      <c r="D3" s="20">
        <v>44713</v>
      </c>
      <c r="E3">
        <v>0.17169999999999999</v>
      </c>
      <c r="F3">
        <v>0.17169999999999999</v>
      </c>
      <c r="G3">
        <f>AVERAGE(E3:F3)</f>
        <v>0.17169999999999999</v>
      </c>
      <c r="H3" t="s">
        <v>25326</v>
      </c>
      <c r="I3" s="22" t="s">
        <v>25327</v>
      </c>
      <c r="J3" s="21">
        <v>2545212500</v>
      </c>
      <c r="K3" s="21">
        <v>8144680000</v>
      </c>
      <c r="L3" s="21">
        <f>AVERAGE(J3:K3)</f>
        <v>5344946250</v>
      </c>
      <c r="M3" t="s">
        <v>25324</v>
      </c>
      <c r="N3">
        <v>1</v>
      </c>
      <c r="O3">
        <v>0</v>
      </c>
      <c r="P3">
        <v>0</v>
      </c>
      <c r="Q3">
        <v>0</v>
      </c>
      <c r="R3">
        <v>0</v>
      </c>
      <c r="S3">
        <v>0</v>
      </c>
      <c r="T3">
        <v>0</v>
      </c>
      <c r="U3">
        <v>0</v>
      </c>
      <c r="V3">
        <v>0</v>
      </c>
      <c r="W3">
        <v>0</v>
      </c>
      <c r="X3">
        <v>0</v>
      </c>
      <c r="Y3">
        <v>0</v>
      </c>
      <c r="Z3">
        <v>0</v>
      </c>
      <c r="AA3">
        <v>0</v>
      </c>
      <c r="AB3">
        <v>0</v>
      </c>
      <c r="AC3">
        <v>1</v>
      </c>
      <c r="AD3">
        <v>0</v>
      </c>
      <c r="AE3">
        <v>0</v>
      </c>
      <c r="AF3">
        <v>0</v>
      </c>
      <c r="AG3">
        <v>0</v>
      </c>
      <c r="AH3">
        <v>0</v>
      </c>
      <c r="AI3">
        <v>0</v>
      </c>
      <c r="AJ3">
        <v>0</v>
      </c>
      <c r="AK3" t="s">
        <v>25328</v>
      </c>
    </row>
    <row r="4" spans="1:51" x14ac:dyDescent="0.35">
      <c r="A4" t="s">
        <v>45</v>
      </c>
      <c r="B4" t="str">
        <f>VLOOKUP(A4,Countries!$B$1:$D$205,3,FALSE)</f>
        <v>EU 28</v>
      </c>
      <c r="C4" t="str">
        <f>VLOOKUP(A4,Countries!$B$1:$D$205,2,FALSE)</f>
        <v xml:space="preserve"> Belgium</v>
      </c>
      <c r="D4" s="20">
        <v>44470</v>
      </c>
      <c r="E4">
        <v>2.5700000000000001E-2</v>
      </c>
      <c r="F4">
        <v>2.5700000000000001E-2</v>
      </c>
      <c r="G4">
        <f>AVERAGE(E4:F4)</f>
        <v>2.5700000000000001E-2</v>
      </c>
      <c r="H4" t="s">
        <v>25322</v>
      </c>
      <c r="I4" s="22" t="s">
        <v>25329</v>
      </c>
      <c r="J4" s="21">
        <v>2137978500</v>
      </c>
      <c r="K4" s="21">
        <v>9773616000</v>
      </c>
      <c r="L4" s="21">
        <f>AVERAGE(J4:K4)</f>
        <v>5955797250</v>
      </c>
      <c r="M4" t="s">
        <v>25330</v>
      </c>
      <c r="N4">
        <v>1</v>
      </c>
      <c r="O4">
        <v>1</v>
      </c>
      <c r="P4">
        <v>1</v>
      </c>
      <c r="Q4">
        <v>0</v>
      </c>
      <c r="R4">
        <v>0</v>
      </c>
      <c r="S4">
        <v>0</v>
      </c>
      <c r="T4">
        <v>0</v>
      </c>
      <c r="U4">
        <v>0</v>
      </c>
      <c r="V4">
        <v>1</v>
      </c>
      <c r="W4">
        <v>1</v>
      </c>
      <c r="X4">
        <v>1</v>
      </c>
      <c r="Y4">
        <v>0</v>
      </c>
      <c r="Z4">
        <v>1</v>
      </c>
      <c r="AA4">
        <v>1</v>
      </c>
      <c r="AB4">
        <v>0</v>
      </c>
      <c r="AC4">
        <v>1</v>
      </c>
      <c r="AD4">
        <v>1</v>
      </c>
      <c r="AE4">
        <v>1</v>
      </c>
      <c r="AF4">
        <v>1</v>
      </c>
      <c r="AG4">
        <v>0</v>
      </c>
      <c r="AH4">
        <v>1</v>
      </c>
      <c r="AI4">
        <v>0</v>
      </c>
      <c r="AJ4">
        <v>0</v>
      </c>
      <c r="AK4" t="s">
        <v>25331</v>
      </c>
    </row>
    <row r="5" spans="1:51" x14ac:dyDescent="0.35">
      <c r="A5" t="s">
        <v>367</v>
      </c>
      <c r="B5" t="str">
        <f>VLOOKUP(A5,Countries!$B$1:$D$205,3,FALSE)</f>
        <v>Canada</v>
      </c>
      <c r="C5" t="str">
        <f>VLOOKUP(A5,Countries!$B$1:$D$205,2,FALSE)</f>
        <v>Canada</v>
      </c>
      <c r="D5" s="20">
        <v>44166</v>
      </c>
      <c r="E5">
        <v>4</v>
      </c>
      <c r="F5">
        <v>4</v>
      </c>
      <c r="G5">
        <f>AVERAGE(E5:F5)</f>
        <v>4</v>
      </c>
      <c r="H5" t="s">
        <v>25326</v>
      </c>
      <c r="I5" t="s">
        <v>25332</v>
      </c>
      <c r="J5" s="21">
        <v>1162455000</v>
      </c>
      <c r="K5" s="21">
        <v>1162455000</v>
      </c>
      <c r="L5" s="21">
        <f t="shared" ref="L5:L32" si="0">AVERAGE(J5:K5)</f>
        <v>1162455000</v>
      </c>
      <c r="M5" t="s">
        <v>25324</v>
      </c>
      <c r="N5">
        <v>1</v>
      </c>
      <c r="O5">
        <v>1</v>
      </c>
      <c r="P5">
        <v>1</v>
      </c>
      <c r="Q5">
        <v>0</v>
      </c>
      <c r="R5">
        <v>1</v>
      </c>
      <c r="S5">
        <v>1</v>
      </c>
      <c r="T5">
        <v>1</v>
      </c>
      <c r="U5">
        <v>1</v>
      </c>
      <c r="V5">
        <v>1</v>
      </c>
      <c r="W5">
        <v>1</v>
      </c>
      <c r="X5">
        <v>1</v>
      </c>
      <c r="Y5">
        <v>1</v>
      </c>
      <c r="Z5">
        <v>1</v>
      </c>
      <c r="AA5">
        <v>1</v>
      </c>
      <c r="AB5">
        <v>0</v>
      </c>
      <c r="AC5">
        <v>1</v>
      </c>
      <c r="AD5">
        <v>1</v>
      </c>
      <c r="AE5">
        <v>1</v>
      </c>
      <c r="AF5">
        <v>1</v>
      </c>
      <c r="AG5">
        <v>1</v>
      </c>
      <c r="AH5">
        <v>0</v>
      </c>
      <c r="AI5">
        <v>1</v>
      </c>
      <c r="AJ5">
        <v>1</v>
      </c>
      <c r="AK5" t="s">
        <v>25333</v>
      </c>
    </row>
    <row r="6" spans="1:51" x14ac:dyDescent="0.35">
      <c r="A6" t="s">
        <v>80</v>
      </c>
      <c r="B6" t="str">
        <f>VLOOKUP(A6,Countries!$B$1:$D$205,3,FALSE)</f>
        <v>Latin America</v>
      </c>
      <c r="C6" t="str">
        <f>VLOOKUP(A6,Countries!$B$1:$D$205,2,FALSE)</f>
        <v xml:space="preserve"> Chile</v>
      </c>
      <c r="D6" s="20">
        <v>44136</v>
      </c>
      <c r="E6">
        <v>4.2919999999999998</v>
      </c>
      <c r="F6">
        <v>4.2919999999999998</v>
      </c>
      <c r="G6">
        <f t="shared" ref="G6:G32" si="1">AVERAGE(E6:F6)</f>
        <v>4.2919999999999998</v>
      </c>
      <c r="H6" t="s">
        <v>25322</v>
      </c>
      <c r="I6" t="s">
        <v>25334</v>
      </c>
      <c r="J6" s="21">
        <v>50000000</v>
      </c>
      <c r="K6" s="21">
        <v>50000000</v>
      </c>
      <c r="L6" s="21">
        <f t="shared" si="0"/>
        <v>50000000</v>
      </c>
      <c r="M6" t="s">
        <v>25330</v>
      </c>
      <c r="N6">
        <v>1</v>
      </c>
      <c r="O6">
        <v>1</v>
      </c>
      <c r="P6">
        <v>0</v>
      </c>
      <c r="Q6">
        <v>0</v>
      </c>
      <c r="R6">
        <v>0</v>
      </c>
      <c r="S6">
        <v>0</v>
      </c>
      <c r="T6">
        <v>0</v>
      </c>
      <c r="U6">
        <v>0</v>
      </c>
      <c r="V6">
        <v>1</v>
      </c>
      <c r="W6">
        <v>1</v>
      </c>
      <c r="X6">
        <v>1</v>
      </c>
      <c r="Y6">
        <v>0</v>
      </c>
      <c r="Z6">
        <v>1</v>
      </c>
      <c r="AA6">
        <v>1</v>
      </c>
      <c r="AB6">
        <v>0</v>
      </c>
      <c r="AC6">
        <v>0</v>
      </c>
      <c r="AD6">
        <v>1</v>
      </c>
      <c r="AE6">
        <v>1</v>
      </c>
      <c r="AF6">
        <v>0</v>
      </c>
      <c r="AG6">
        <v>0</v>
      </c>
      <c r="AH6">
        <v>0</v>
      </c>
      <c r="AI6">
        <v>0</v>
      </c>
      <c r="AJ6">
        <v>1</v>
      </c>
    </row>
    <row r="7" spans="1:51" x14ac:dyDescent="0.35">
      <c r="A7" t="s">
        <v>85</v>
      </c>
      <c r="B7" t="str">
        <f>VLOOKUP(A7,Countries!$B$1:$D$205,3,FALSE)</f>
        <v>Latin America</v>
      </c>
      <c r="C7" t="str">
        <f>VLOOKUP(A7,Countries!$B$1:$D$205,2,FALSE)</f>
        <v xml:space="preserve"> Colombia</v>
      </c>
      <c r="D7" s="20">
        <v>44440</v>
      </c>
      <c r="E7">
        <v>0.17169999999999999</v>
      </c>
      <c r="F7">
        <v>0.56510000000000005</v>
      </c>
      <c r="G7">
        <f t="shared" si="1"/>
        <v>0.36840000000000001</v>
      </c>
      <c r="H7" t="s">
        <v>25322</v>
      </c>
      <c r="I7" t="s">
        <v>25335</v>
      </c>
      <c r="J7" s="21">
        <v>2380000000</v>
      </c>
      <c r="K7" s="21">
        <v>2380000000</v>
      </c>
      <c r="L7" s="21">
        <f t="shared" si="0"/>
        <v>2380000000</v>
      </c>
      <c r="M7" t="s">
        <v>25324</v>
      </c>
      <c r="N7">
        <v>0</v>
      </c>
      <c r="O7">
        <v>1</v>
      </c>
      <c r="P7">
        <v>1</v>
      </c>
      <c r="Q7">
        <v>0</v>
      </c>
      <c r="R7">
        <v>0</v>
      </c>
      <c r="S7">
        <v>0</v>
      </c>
      <c r="T7">
        <v>0</v>
      </c>
      <c r="U7">
        <v>0</v>
      </c>
      <c r="V7">
        <v>1</v>
      </c>
      <c r="W7">
        <v>0</v>
      </c>
      <c r="X7">
        <v>1</v>
      </c>
      <c r="Y7">
        <v>0</v>
      </c>
      <c r="Z7">
        <v>0</v>
      </c>
      <c r="AA7">
        <v>0</v>
      </c>
      <c r="AB7">
        <v>1</v>
      </c>
      <c r="AC7">
        <v>0</v>
      </c>
      <c r="AD7">
        <v>0</v>
      </c>
      <c r="AE7">
        <v>0</v>
      </c>
      <c r="AF7">
        <v>0</v>
      </c>
      <c r="AG7">
        <v>0</v>
      </c>
      <c r="AH7">
        <v>0</v>
      </c>
      <c r="AI7">
        <v>0</v>
      </c>
      <c r="AJ7">
        <v>0</v>
      </c>
      <c r="AK7" t="s">
        <v>25336</v>
      </c>
    </row>
    <row r="8" spans="1:51" x14ac:dyDescent="0.35">
      <c r="A8" t="s">
        <v>101</v>
      </c>
      <c r="B8" t="str">
        <f>VLOOKUP(A8,Countries!$B$1:$D$205,3,FALSE)</f>
        <v>EU 28</v>
      </c>
      <c r="C8" t="str">
        <f>VLOOKUP(A8,Countries!$B$1:$D$205,2,FALSE)</f>
        <v xml:space="preserve"> Czech Republic</v>
      </c>
      <c r="D8" s="20">
        <v>44378</v>
      </c>
      <c r="E8">
        <v>9.7000000000000003E-2</v>
      </c>
      <c r="F8">
        <v>9.7000000000000003E-2</v>
      </c>
      <c r="G8">
        <f t="shared" si="1"/>
        <v>9.7000000000000003E-2</v>
      </c>
      <c r="H8" t="s">
        <v>25322</v>
      </c>
      <c r="I8" s="22" t="s">
        <v>25337</v>
      </c>
      <c r="J8" s="21">
        <v>814468000</v>
      </c>
      <c r="K8" s="21">
        <v>2647021000</v>
      </c>
      <c r="L8" s="21">
        <f t="shared" si="0"/>
        <v>1730744500</v>
      </c>
      <c r="M8" t="s">
        <v>25324</v>
      </c>
      <c r="N8">
        <v>1</v>
      </c>
      <c r="O8">
        <v>1</v>
      </c>
      <c r="P8">
        <v>0</v>
      </c>
      <c r="Q8">
        <v>0</v>
      </c>
      <c r="R8">
        <v>0</v>
      </c>
      <c r="S8">
        <v>0</v>
      </c>
      <c r="T8">
        <v>1</v>
      </c>
      <c r="U8">
        <v>0</v>
      </c>
      <c r="V8">
        <v>1</v>
      </c>
      <c r="W8">
        <v>1</v>
      </c>
      <c r="X8">
        <v>1</v>
      </c>
      <c r="Y8">
        <v>0</v>
      </c>
      <c r="Z8">
        <v>0</v>
      </c>
      <c r="AA8">
        <v>0</v>
      </c>
      <c r="AB8">
        <v>0</v>
      </c>
      <c r="AC8">
        <v>0</v>
      </c>
      <c r="AD8">
        <v>0</v>
      </c>
      <c r="AE8">
        <v>0</v>
      </c>
      <c r="AF8">
        <v>0</v>
      </c>
      <c r="AG8">
        <v>0</v>
      </c>
      <c r="AH8">
        <v>0</v>
      </c>
      <c r="AI8">
        <v>0</v>
      </c>
      <c r="AJ8">
        <v>0</v>
      </c>
      <c r="AK8" t="s">
        <v>25338</v>
      </c>
      <c r="AY8">
        <v>0</v>
      </c>
    </row>
    <row r="9" spans="1:51" x14ac:dyDescent="0.35">
      <c r="A9" t="s">
        <v>107</v>
      </c>
      <c r="B9" t="str">
        <f>VLOOKUP(A9,Countries!$B$1:$D$205,3,FALSE)</f>
        <v>EU 28</v>
      </c>
      <c r="C9" t="str">
        <f>VLOOKUP(A9,Countries!$B$1:$D$205,2,FALSE)</f>
        <v xml:space="preserve"> Denmark</v>
      </c>
      <c r="D9" s="20">
        <v>44531</v>
      </c>
      <c r="E9">
        <v>1.72E-2</v>
      </c>
      <c r="F9">
        <v>0.17169999999999999</v>
      </c>
      <c r="G9">
        <f t="shared" si="1"/>
        <v>9.4449999999999992E-2</v>
      </c>
      <c r="H9" t="s">
        <v>25326</v>
      </c>
      <c r="I9" s="22" t="s">
        <v>25339</v>
      </c>
      <c r="J9" s="21">
        <v>712659500</v>
      </c>
      <c r="K9" s="21">
        <v>2647021000</v>
      </c>
      <c r="L9" s="21">
        <f t="shared" si="0"/>
        <v>1679840250</v>
      </c>
      <c r="M9" t="s">
        <v>25324</v>
      </c>
      <c r="N9">
        <v>1</v>
      </c>
      <c r="O9">
        <v>1</v>
      </c>
      <c r="P9">
        <v>0</v>
      </c>
      <c r="Q9">
        <v>0</v>
      </c>
      <c r="R9">
        <v>0</v>
      </c>
      <c r="S9">
        <v>0</v>
      </c>
      <c r="T9">
        <v>0</v>
      </c>
      <c r="U9">
        <v>0</v>
      </c>
      <c r="V9">
        <v>0</v>
      </c>
      <c r="W9">
        <v>0</v>
      </c>
      <c r="X9">
        <v>1</v>
      </c>
      <c r="Y9">
        <v>0</v>
      </c>
      <c r="Z9">
        <v>1</v>
      </c>
      <c r="AA9">
        <v>1</v>
      </c>
      <c r="AB9">
        <v>0</v>
      </c>
      <c r="AC9">
        <v>0</v>
      </c>
      <c r="AD9">
        <v>1</v>
      </c>
      <c r="AE9">
        <v>0</v>
      </c>
      <c r="AF9">
        <v>1</v>
      </c>
      <c r="AG9">
        <v>0</v>
      </c>
      <c r="AH9">
        <v>0</v>
      </c>
      <c r="AI9">
        <v>0</v>
      </c>
      <c r="AJ9">
        <v>1</v>
      </c>
      <c r="AK9" s="22" t="s">
        <v>25340</v>
      </c>
    </row>
    <row r="10" spans="1:51" x14ac:dyDescent="0.35">
      <c r="A10" t="s">
        <v>131</v>
      </c>
      <c r="B10" t="str">
        <f>VLOOKUP(A10,Countries!$B$1:$D$205,3,FALSE)</f>
        <v>EU 28</v>
      </c>
      <c r="C10" t="str">
        <f>VLOOKUP(A10,Countries!$B$1:$D$205,2,FALSE)</f>
        <v xml:space="preserve"> France</v>
      </c>
      <c r="D10" s="20">
        <v>44075</v>
      </c>
      <c r="E10">
        <v>1.1160000000000001</v>
      </c>
      <c r="F10">
        <v>1.1160000000000001</v>
      </c>
      <c r="G10">
        <f t="shared" si="1"/>
        <v>1.1160000000000001</v>
      </c>
      <c r="H10" t="s">
        <v>25326</v>
      </c>
      <c r="I10" s="22" t="s">
        <v>25341</v>
      </c>
      <c r="J10" s="21">
        <v>7432020500</v>
      </c>
      <c r="K10" s="21">
        <v>25553933500</v>
      </c>
      <c r="L10" s="21">
        <f t="shared" si="0"/>
        <v>16492977000</v>
      </c>
      <c r="M10" t="s">
        <v>25342</v>
      </c>
      <c r="N10">
        <v>1</v>
      </c>
      <c r="O10">
        <v>1</v>
      </c>
      <c r="P10">
        <v>0</v>
      </c>
      <c r="Q10">
        <v>0</v>
      </c>
      <c r="R10">
        <v>0</v>
      </c>
      <c r="S10">
        <v>0</v>
      </c>
      <c r="T10">
        <v>1</v>
      </c>
      <c r="U10">
        <v>0</v>
      </c>
      <c r="V10">
        <v>1</v>
      </c>
      <c r="W10">
        <v>1</v>
      </c>
      <c r="X10">
        <v>1</v>
      </c>
      <c r="Y10">
        <v>1</v>
      </c>
      <c r="Z10">
        <v>1</v>
      </c>
      <c r="AA10">
        <v>1</v>
      </c>
      <c r="AB10">
        <v>1</v>
      </c>
      <c r="AC10">
        <v>1</v>
      </c>
      <c r="AD10">
        <v>1</v>
      </c>
      <c r="AE10">
        <v>1</v>
      </c>
      <c r="AF10">
        <v>1</v>
      </c>
      <c r="AG10">
        <v>1</v>
      </c>
      <c r="AH10">
        <v>0</v>
      </c>
      <c r="AI10">
        <v>0</v>
      </c>
      <c r="AJ10">
        <v>1</v>
      </c>
      <c r="AK10" s="13" t="s">
        <v>25343</v>
      </c>
    </row>
    <row r="11" spans="1:51" x14ac:dyDescent="0.35">
      <c r="A11" t="s">
        <v>141</v>
      </c>
      <c r="B11" t="str">
        <f>VLOOKUP(A11,Countries!$B$1:$D$205,3,FALSE)</f>
        <v>EU 28</v>
      </c>
      <c r="C11" t="str">
        <f>VLOOKUP(A11,Countries!$B$1:$D$205,2,FALSE)</f>
        <v xml:space="preserve"> Germany</v>
      </c>
      <c r="D11" s="20">
        <v>43983</v>
      </c>
      <c r="E11">
        <v>0.85850000000000004</v>
      </c>
      <c r="F11">
        <v>0.85850000000000004</v>
      </c>
      <c r="G11">
        <f t="shared" si="1"/>
        <v>0.85850000000000004</v>
      </c>
      <c r="H11" t="s">
        <v>25326</v>
      </c>
      <c r="I11" s="22" t="s">
        <v>25344</v>
      </c>
      <c r="J11" s="21">
        <v>16492977000</v>
      </c>
      <c r="K11" s="21">
        <v>61797759500</v>
      </c>
      <c r="L11" s="21">
        <f t="shared" si="0"/>
        <v>39145368250</v>
      </c>
      <c r="M11" t="s">
        <v>25345</v>
      </c>
      <c r="N11">
        <v>1</v>
      </c>
      <c r="O11">
        <v>1</v>
      </c>
      <c r="P11">
        <v>0</v>
      </c>
      <c r="Q11">
        <v>0</v>
      </c>
      <c r="R11">
        <v>0</v>
      </c>
      <c r="S11">
        <v>0</v>
      </c>
      <c r="T11">
        <v>0</v>
      </c>
      <c r="U11">
        <v>0</v>
      </c>
      <c r="V11">
        <v>1</v>
      </c>
      <c r="W11">
        <v>1</v>
      </c>
      <c r="X11">
        <v>1</v>
      </c>
      <c r="Y11">
        <v>1</v>
      </c>
      <c r="Z11">
        <v>1</v>
      </c>
      <c r="AA11">
        <v>1</v>
      </c>
      <c r="AB11">
        <v>1</v>
      </c>
      <c r="AC11">
        <v>1</v>
      </c>
      <c r="AD11">
        <v>1</v>
      </c>
      <c r="AE11">
        <v>1</v>
      </c>
      <c r="AF11">
        <v>1</v>
      </c>
      <c r="AG11">
        <v>1</v>
      </c>
      <c r="AH11">
        <v>0</v>
      </c>
      <c r="AI11">
        <v>0</v>
      </c>
      <c r="AJ11">
        <v>1</v>
      </c>
      <c r="AK11" t="s">
        <v>25346</v>
      </c>
    </row>
    <row r="12" spans="1:51" x14ac:dyDescent="0.35">
      <c r="A12" t="s">
        <v>159</v>
      </c>
      <c r="B12" t="str">
        <f>VLOOKUP(A12,Countries!$B$1:$D$205,3,FALSE)</f>
        <v>EU 28</v>
      </c>
      <c r="C12" t="str">
        <f>VLOOKUP(A12,Countries!$B$1:$D$205,2,FALSE)</f>
        <v xml:space="preserve"> Hungary</v>
      </c>
      <c r="D12" s="20">
        <v>44317</v>
      </c>
      <c r="E12">
        <v>2.5000000000000001E-2</v>
      </c>
      <c r="F12">
        <v>2.5000000000000001E-2</v>
      </c>
      <c r="G12">
        <f t="shared" si="1"/>
        <v>2.5000000000000001E-2</v>
      </c>
      <c r="H12" t="s">
        <v>25322</v>
      </c>
      <c r="I12" s="22" t="s">
        <v>25347</v>
      </c>
      <c r="J12" s="21">
        <v>1323510500</v>
      </c>
      <c r="K12" s="21">
        <v>3461489000</v>
      </c>
      <c r="L12" s="21">
        <f t="shared" si="0"/>
        <v>2392499750</v>
      </c>
      <c r="M12" t="s">
        <v>25348</v>
      </c>
      <c r="N12">
        <v>0</v>
      </c>
      <c r="O12">
        <v>1</v>
      </c>
      <c r="P12">
        <v>1</v>
      </c>
      <c r="Q12">
        <v>0</v>
      </c>
      <c r="R12">
        <v>0</v>
      </c>
      <c r="S12">
        <v>0</v>
      </c>
      <c r="T12">
        <v>1</v>
      </c>
      <c r="U12">
        <v>0</v>
      </c>
      <c r="V12">
        <v>1</v>
      </c>
      <c r="W12">
        <v>1</v>
      </c>
      <c r="X12">
        <v>1</v>
      </c>
      <c r="Y12">
        <v>1</v>
      </c>
      <c r="Z12">
        <v>1</v>
      </c>
      <c r="AA12">
        <v>0</v>
      </c>
      <c r="AB12">
        <v>0</v>
      </c>
      <c r="AC12">
        <v>1</v>
      </c>
      <c r="AD12">
        <v>1</v>
      </c>
      <c r="AE12">
        <v>1</v>
      </c>
      <c r="AF12">
        <v>1</v>
      </c>
      <c r="AG12">
        <v>1</v>
      </c>
      <c r="AH12">
        <v>1</v>
      </c>
      <c r="AI12">
        <v>1</v>
      </c>
      <c r="AJ12">
        <v>1</v>
      </c>
      <c r="AK12" t="s">
        <v>25349</v>
      </c>
    </row>
    <row r="13" spans="1:51" x14ac:dyDescent="0.35">
      <c r="A13" t="s">
        <v>382</v>
      </c>
      <c r="B13" t="str">
        <f>VLOOKUP(A13,Countries!$B$1:$D$205,3,FALSE)</f>
        <v>India</v>
      </c>
      <c r="C13" t="str">
        <f>VLOOKUP(A13,Countries!$B$1:$D$205,2,FALSE)</f>
        <v>India</v>
      </c>
      <c r="D13" s="20">
        <v>44228</v>
      </c>
      <c r="E13">
        <v>5</v>
      </c>
      <c r="F13">
        <v>5</v>
      </c>
      <c r="G13">
        <f t="shared" si="1"/>
        <v>5</v>
      </c>
      <c r="H13" t="s">
        <v>4022</v>
      </c>
      <c r="I13" s="22" t="s">
        <v>4022</v>
      </c>
      <c r="J13" s="21">
        <v>0</v>
      </c>
      <c r="K13" s="21">
        <v>0</v>
      </c>
      <c r="L13" s="21">
        <f t="shared" si="0"/>
        <v>0</v>
      </c>
      <c r="M13" t="s">
        <v>25324</v>
      </c>
      <c r="N13">
        <v>0</v>
      </c>
      <c r="O13">
        <v>1</v>
      </c>
      <c r="P13">
        <v>0</v>
      </c>
      <c r="Q13">
        <v>0</v>
      </c>
      <c r="R13">
        <v>0</v>
      </c>
      <c r="S13">
        <v>0</v>
      </c>
      <c r="T13">
        <v>0</v>
      </c>
      <c r="U13">
        <v>0</v>
      </c>
      <c r="V13">
        <v>1</v>
      </c>
      <c r="W13">
        <v>0</v>
      </c>
      <c r="X13">
        <v>0</v>
      </c>
      <c r="Y13">
        <v>0</v>
      </c>
      <c r="Z13">
        <v>0</v>
      </c>
      <c r="AA13">
        <v>0</v>
      </c>
      <c r="AB13">
        <v>0</v>
      </c>
      <c r="AC13">
        <v>0</v>
      </c>
      <c r="AD13">
        <v>0</v>
      </c>
      <c r="AE13">
        <v>0</v>
      </c>
      <c r="AF13">
        <v>0</v>
      </c>
      <c r="AG13">
        <v>0</v>
      </c>
      <c r="AH13">
        <v>0</v>
      </c>
      <c r="AI13">
        <v>0</v>
      </c>
      <c r="AJ13">
        <v>0</v>
      </c>
      <c r="AK13" t="s">
        <v>25350</v>
      </c>
    </row>
    <row r="14" spans="1:51" x14ac:dyDescent="0.35">
      <c r="A14" t="s">
        <v>163</v>
      </c>
      <c r="B14" t="str">
        <f>VLOOKUP(A14,Countries!$B$1:$D$205,3,FALSE)</f>
        <v>EU 28</v>
      </c>
      <c r="C14" t="str">
        <f>VLOOKUP(A14,Countries!$B$1:$D$205,2,FALSE)</f>
        <v xml:space="preserve"> Italy</v>
      </c>
      <c r="D14" s="20">
        <v>44136</v>
      </c>
      <c r="E14">
        <v>0.85850000000000004</v>
      </c>
      <c r="F14">
        <v>0.85850000000000004</v>
      </c>
      <c r="G14">
        <f t="shared" si="1"/>
        <v>0.85850000000000004</v>
      </c>
      <c r="H14" t="s">
        <v>25326</v>
      </c>
      <c r="I14" s="22" t="s">
        <v>25351</v>
      </c>
      <c r="J14" s="21">
        <v>8144680000</v>
      </c>
      <c r="K14" s="21">
        <v>11198935000</v>
      </c>
      <c r="L14" s="21">
        <f t="shared" si="0"/>
        <v>9671807500</v>
      </c>
      <c r="M14" t="s">
        <v>25330</v>
      </c>
      <c r="N14">
        <v>1</v>
      </c>
      <c r="O14">
        <v>1</v>
      </c>
      <c r="P14">
        <v>1</v>
      </c>
      <c r="Q14">
        <v>0</v>
      </c>
      <c r="R14">
        <v>0</v>
      </c>
      <c r="S14">
        <v>0</v>
      </c>
      <c r="T14">
        <v>0</v>
      </c>
      <c r="U14">
        <v>0</v>
      </c>
      <c r="V14">
        <v>1</v>
      </c>
      <c r="W14">
        <v>0</v>
      </c>
      <c r="X14">
        <v>1</v>
      </c>
      <c r="Y14">
        <v>0</v>
      </c>
      <c r="Z14">
        <v>0</v>
      </c>
      <c r="AA14">
        <v>0</v>
      </c>
      <c r="AB14">
        <v>0</v>
      </c>
      <c r="AC14">
        <v>0</v>
      </c>
      <c r="AD14">
        <v>1</v>
      </c>
      <c r="AE14">
        <v>0</v>
      </c>
      <c r="AF14">
        <v>1</v>
      </c>
      <c r="AG14">
        <v>1</v>
      </c>
      <c r="AH14">
        <v>1</v>
      </c>
      <c r="AI14">
        <v>0</v>
      </c>
      <c r="AJ14">
        <v>0</v>
      </c>
      <c r="AK14" t="s">
        <v>25352</v>
      </c>
    </row>
    <row r="15" spans="1:51" x14ac:dyDescent="0.35">
      <c r="A15" t="s">
        <v>395</v>
      </c>
      <c r="B15" t="str">
        <f>VLOOKUP(A15,Countries!$B$1:$D$205,3,FALSE)</f>
        <v>Japan</v>
      </c>
      <c r="C15" t="str">
        <f>VLOOKUP(A15,Countries!$B$1:$D$205,2,FALSE)</f>
        <v>Japan</v>
      </c>
      <c r="D15" s="20">
        <v>43709</v>
      </c>
      <c r="E15">
        <v>3</v>
      </c>
      <c r="F15">
        <v>3</v>
      </c>
      <c r="G15">
        <f t="shared" si="1"/>
        <v>3</v>
      </c>
      <c r="H15" t="s">
        <v>25326</v>
      </c>
      <c r="I15" s="22" t="s">
        <v>25353</v>
      </c>
      <c r="J15" s="21">
        <v>18000000000</v>
      </c>
      <c r="K15" s="21">
        <v>18000000000</v>
      </c>
      <c r="L15" s="21">
        <f>AVERAGE(J15:K15)</f>
        <v>18000000000</v>
      </c>
      <c r="M15" t="s">
        <v>25354</v>
      </c>
      <c r="N15">
        <v>0</v>
      </c>
      <c r="O15">
        <v>1</v>
      </c>
      <c r="P15">
        <v>1</v>
      </c>
      <c r="Q15">
        <v>0</v>
      </c>
      <c r="R15">
        <v>0</v>
      </c>
      <c r="S15">
        <v>0</v>
      </c>
      <c r="T15">
        <v>1</v>
      </c>
      <c r="U15">
        <v>0</v>
      </c>
      <c r="V15">
        <v>1</v>
      </c>
      <c r="W15">
        <v>1</v>
      </c>
      <c r="X15">
        <v>1</v>
      </c>
      <c r="Y15">
        <v>1</v>
      </c>
      <c r="Z15">
        <v>1</v>
      </c>
      <c r="AA15">
        <v>1</v>
      </c>
      <c r="AB15">
        <v>1</v>
      </c>
      <c r="AC15">
        <v>1</v>
      </c>
      <c r="AD15">
        <v>1</v>
      </c>
      <c r="AE15">
        <v>1</v>
      </c>
      <c r="AF15">
        <v>0</v>
      </c>
      <c r="AG15">
        <v>0</v>
      </c>
      <c r="AH15">
        <v>0</v>
      </c>
      <c r="AI15">
        <v>1</v>
      </c>
      <c r="AJ15">
        <v>1</v>
      </c>
      <c r="AK15" s="13" t="s">
        <v>25355</v>
      </c>
    </row>
    <row r="16" spans="1:51" x14ac:dyDescent="0.35">
      <c r="A16" t="s">
        <v>407</v>
      </c>
      <c r="B16" t="str">
        <f>VLOOKUP(A16,Countries!$B$1:$D$205,3,FALSE)</f>
        <v>Africa North</v>
      </c>
      <c r="C16" t="str">
        <f>VLOOKUP(A16,Countries!$B$1:$D$205,2,FALSE)</f>
        <v>Morocco</v>
      </c>
      <c r="D16" s="20">
        <v>44409</v>
      </c>
      <c r="E16">
        <v>0.48070000000000002</v>
      </c>
      <c r="F16">
        <v>0.48070000000000002</v>
      </c>
      <c r="G16">
        <f t="shared" si="1"/>
        <v>0.48070000000000002</v>
      </c>
      <c r="H16" t="s">
        <v>4022</v>
      </c>
      <c r="I16" s="22" t="s">
        <v>4022</v>
      </c>
      <c r="J16" s="21">
        <v>0</v>
      </c>
      <c r="K16" s="21">
        <v>0</v>
      </c>
      <c r="L16" s="21">
        <f t="shared" si="0"/>
        <v>0</v>
      </c>
      <c r="M16" t="s">
        <v>25330</v>
      </c>
      <c r="N16">
        <v>1</v>
      </c>
      <c r="O16">
        <v>1</v>
      </c>
      <c r="P16">
        <v>0</v>
      </c>
      <c r="Q16">
        <v>0</v>
      </c>
      <c r="R16">
        <v>0</v>
      </c>
      <c r="S16">
        <v>0</v>
      </c>
      <c r="T16">
        <v>0</v>
      </c>
      <c r="U16">
        <v>0</v>
      </c>
      <c r="V16">
        <v>0</v>
      </c>
      <c r="W16">
        <v>0</v>
      </c>
      <c r="X16">
        <v>0</v>
      </c>
      <c r="Y16">
        <v>0</v>
      </c>
      <c r="Z16">
        <v>0</v>
      </c>
      <c r="AA16">
        <v>0</v>
      </c>
      <c r="AB16">
        <v>0</v>
      </c>
      <c r="AC16">
        <v>0</v>
      </c>
      <c r="AD16">
        <v>1</v>
      </c>
      <c r="AE16">
        <v>0</v>
      </c>
      <c r="AF16">
        <v>0</v>
      </c>
      <c r="AG16">
        <v>0</v>
      </c>
      <c r="AH16">
        <v>0</v>
      </c>
      <c r="AI16">
        <v>0</v>
      </c>
      <c r="AJ16">
        <v>0</v>
      </c>
      <c r="AK16" t="s">
        <v>25356</v>
      </c>
    </row>
    <row r="17" spans="1:37" x14ac:dyDescent="0.35">
      <c r="A17" t="s">
        <v>225</v>
      </c>
      <c r="B17" t="str">
        <f>VLOOKUP(A17,Countries!$B$1:$D$205,3,FALSE)</f>
        <v>EU 28</v>
      </c>
      <c r="C17" t="str">
        <f>VLOOKUP(A17,Countries!$B$1:$D$205,2,FALSE)</f>
        <v xml:space="preserve"> Netherlands</v>
      </c>
      <c r="D17" s="20">
        <v>43922</v>
      </c>
      <c r="E17">
        <v>0.5151</v>
      </c>
      <c r="F17">
        <v>0.68679999999999997</v>
      </c>
      <c r="G17">
        <f t="shared" si="1"/>
        <v>0.60094999999999998</v>
      </c>
      <c r="H17" t="s">
        <v>25326</v>
      </c>
      <c r="I17" s="22" t="s">
        <v>25357</v>
      </c>
      <c r="J17" s="21">
        <v>3970531500</v>
      </c>
      <c r="K17" s="21">
        <v>15474892000</v>
      </c>
      <c r="L17" s="21">
        <f t="shared" si="0"/>
        <v>9722711750</v>
      </c>
      <c r="M17" t="s">
        <v>25330</v>
      </c>
      <c r="N17">
        <v>1</v>
      </c>
      <c r="O17">
        <v>1</v>
      </c>
      <c r="P17">
        <v>1</v>
      </c>
      <c r="Q17">
        <v>0</v>
      </c>
      <c r="R17">
        <v>0</v>
      </c>
      <c r="S17">
        <v>0</v>
      </c>
      <c r="T17">
        <v>0</v>
      </c>
      <c r="U17">
        <v>0</v>
      </c>
      <c r="V17">
        <v>1</v>
      </c>
      <c r="W17">
        <v>1</v>
      </c>
      <c r="X17">
        <v>1</v>
      </c>
      <c r="Y17">
        <v>1</v>
      </c>
      <c r="Z17">
        <v>1</v>
      </c>
      <c r="AA17">
        <v>1</v>
      </c>
      <c r="AB17">
        <v>1</v>
      </c>
      <c r="AC17">
        <v>1</v>
      </c>
      <c r="AD17">
        <v>1</v>
      </c>
      <c r="AE17">
        <v>1</v>
      </c>
      <c r="AF17">
        <v>1</v>
      </c>
      <c r="AG17">
        <v>1</v>
      </c>
      <c r="AH17">
        <v>0</v>
      </c>
      <c r="AI17">
        <v>1</v>
      </c>
      <c r="AJ17">
        <v>1</v>
      </c>
      <c r="AK17" t="s">
        <v>25358</v>
      </c>
    </row>
    <row r="18" spans="1:37" x14ac:dyDescent="0.35">
      <c r="A18" t="s">
        <v>409</v>
      </c>
      <c r="B18" t="str">
        <f>VLOOKUP(A18,Countries!$B$1:$D$205,3,FALSE)</f>
        <v>Asia Developed</v>
      </c>
      <c r="C18" t="str">
        <f>VLOOKUP(A18,Countries!$B$1:$D$205,2,FALSE)</f>
        <v>New Zealand</v>
      </c>
      <c r="D18" s="20">
        <v>43709</v>
      </c>
      <c r="E18">
        <v>0.7</v>
      </c>
      <c r="F18">
        <v>0.7</v>
      </c>
      <c r="G18">
        <f t="shared" si="1"/>
        <v>0.7</v>
      </c>
      <c r="H18" t="s">
        <v>4022</v>
      </c>
      <c r="I18" s="22" t="s">
        <v>4022</v>
      </c>
      <c r="J18" s="21">
        <v>0</v>
      </c>
      <c r="K18" s="21">
        <v>0</v>
      </c>
      <c r="L18" s="21">
        <f t="shared" si="0"/>
        <v>0</v>
      </c>
      <c r="M18" t="s">
        <v>25324</v>
      </c>
      <c r="N18">
        <v>1</v>
      </c>
      <c r="O18" s="21">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t="s">
        <v>25359</v>
      </c>
    </row>
    <row r="19" spans="1:37" x14ac:dyDescent="0.35">
      <c r="A19" t="s">
        <v>415</v>
      </c>
      <c r="B19" t="str">
        <f>VLOOKUP(A19,Countries!$B$1:$D$205,3,FALSE)</f>
        <v>Europe Developed</v>
      </c>
      <c r="C19" t="str">
        <f>VLOOKUP(A19,Countries!$B$1:$D$205,2,FALSE)</f>
        <v>Norway</v>
      </c>
      <c r="D19" s="20">
        <v>43983</v>
      </c>
      <c r="E19">
        <v>0</v>
      </c>
      <c r="F19">
        <v>0</v>
      </c>
      <c r="G19">
        <f t="shared" si="1"/>
        <v>0</v>
      </c>
      <c r="H19" t="s">
        <v>25322</v>
      </c>
      <c r="I19" s="22" t="s">
        <v>25360</v>
      </c>
      <c r="J19" s="21">
        <v>18732764</v>
      </c>
      <c r="K19" s="21">
        <v>18732764</v>
      </c>
      <c r="L19" s="21">
        <f t="shared" si="0"/>
        <v>18732764</v>
      </c>
      <c r="M19" t="s">
        <v>25348</v>
      </c>
      <c r="N19">
        <v>1</v>
      </c>
      <c r="O19">
        <v>1</v>
      </c>
      <c r="P19">
        <v>1</v>
      </c>
      <c r="Q19">
        <v>0</v>
      </c>
      <c r="R19">
        <v>0</v>
      </c>
      <c r="S19">
        <v>0</v>
      </c>
      <c r="T19">
        <v>0</v>
      </c>
      <c r="U19">
        <v>0</v>
      </c>
      <c r="V19">
        <v>1</v>
      </c>
      <c r="W19">
        <v>1</v>
      </c>
      <c r="X19">
        <v>1</v>
      </c>
      <c r="Y19">
        <v>0</v>
      </c>
      <c r="Z19">
        <v>1</v>
      </c>
      <c r="AA19">
        <v>1</v>
      </c>
      <c r="AB19">
        <v>0</v>
      </c>
      <c r="AC19">
        <v>1</v>
      </c>
      <c r="AD19">
        <v>1</v>
      </c>
      <c r="AE19">
        <v>1</v>
      </c>
      <c r="AF19">
        <v>0</v>
      </c>
      <c r="AG19">
        <v>0</v>
      </c>
      <c r="AH19">
        <v>0</v>
      </c>
      <c r="AI19">
        <v>0</v>
      </c>
      <c r="AJ19">
        <v>1</v>
      </c>
      <c r="AK19" s="22" t="s">
        <v>25361</v>
      </c>
    </row>
    <row r="20" spans="1:37" x14ac:dyDescent="0.35">
      <c r="A20" t="s">
        <v>417</v>
      </c>
      <c r="B20" t="str">
        <f>VLOOKUP(A20,Countries!$B$1:$D$205,3,FALSE)</f>
        <v>Gulf Coast Other</v>
      </c>
      <c r="C20" t="str">
        <f>VLOOKUP(A20,Countries!$B$1:$D$205,2,FALSE)</f>
        <v>Oman</v>
      </c>
      <c r="D20" s="20">
        <v>44562</v>
      </c>
      <c r="E20">
        <v>0.17169999999999999</v>
      </c>
      <c r="F20">
        <v>1.25</v>
      </c>
      <c r="G20">
        <f t="shared" si="1"/>
        <v>0.71084999999999998</v>
      </c>
      <c r="H20" t="s">
        <v>25326</v>
      </c>
      <c r="I20" s="22" t="s">
        <v>25362</v>
      </c>
      <c r="J20" s="21">
        <v>34000000000</v>
      </c>
      <c r="K20" s="21">
        <v>34000000000</v>
      </c>
      <c r="L20" s="21">
        <f>AVERAGE(K20:K20)</f>
        <v>34000000000</v>
      </c>
      <c r="M20" t="s">
        <v>25324</v>
      </c>
      <c r="N20">
        <v>1</v>
      </c>
      <c r="O20">
        <v>1</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t="s">
        <v>25363</v>
      </c>
    </row>
    <row r="21" spans="1:37" x14ac:dyDescent="0.35">
      <c r="A21" t="s">
        <v>237</v>
      </c>
      <c r="B21" t="str">
        <f>VLOOKUP(A21,Countries!$B$1:$D$205,3,FALSE)</f>
        <v>Latin America</v>
      </c>
      <c r="C21" t="str">
        <f>VLOOKUP(A21,Countries!$B$1:$D$205,2,FALSE)</f>
        <v xml:space="preserve"> Panama</v>
      </c>
      <c r="D21" s="20">
        <v>44562</v>
      </c>
      <c r="E21">
        <v>0</v>
      </c>
      <c r="F21">
        <v>0</v>
      </c>
      <c r="G21">
        <f t="shared" si="1"/>
        <v>0</v>
      </c>
      <c r="H21" t="s">
        <v>4022</v>
      </c>
      <c r="I21" s="21">
        <v>0</v>
      </c>
      <c r="J21" s="21">
        <v>0</v>
      </c>
      <c r="K21" s="21">
        <v>0</v>
      </c>
      <c r="L21" s="21">
        <f t="shared" si="0"/>
        <v>0</v>
      </c>
      <c r="M21" t="s">
        <v>25324</v>
      </c>
      <c r="N21">
        <v>0</v>
      </c>
      <c r="O21">
        <v>1</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t="s">
        <v>25364</v>
      </c>
    </row>
    <row r="22" spans="1:37" x14ac:dyDescent="0.35">
      <c r="A22" t="s">
        <v>241</v>
      </c>
      <c r="B22" t="str">
        <f>VLOOKUP(A22,Countries!$B$1:$D$205,3,FALSE)</f>
        <v>Latin America</v>
      </c>
      <c r="C22" t="str">
        <f>VLOOKUP(A22,Countries!$B$1:$D$205,2,FALSE)</f>
        <v xml:space="preserve"> Paraguay</v>
      </c>
      <c r="D22" s="20">
        <v>44348</v>
      </c>
      <c r="E22">
        <v>1.1999999999999999E-3</v>
      </c>
      <c r="F22">
        <v>1.1999999999999999E-3</v>
      </c>
      <c r="G22">
        <f t="shared" si="1"/>
        <v>1.1999999999999999E-3</v>
      </c>
      <c r="H22" t="s">
        <v>25322</v>
      </c>
      <c r="I22" s="22" t="s">
        <v>25365</v>
      </c>
      <c r="J22" s="21">
        <v>10000000</v>
      </c>
      <c r="K22" s="21">
        <v>10000000</v>
      </c>
      <c r="L22" s="21">
        <f t="shared" si="0"/>
        <v>10000000</v>
      </c>
      <c r="M22" t="s">
        <v>25324</v>
      </c>
      <c r="N22">
        <v>0</v>
      </c>
      <c r="O22">
        <v>1</v>
      </c>
      <c r="P22">
        <v>0</v>
      </c>
      <c r="Q22">
        <v>0</v>
      </c>
      <c r="R22">
        <v>0</v>
      </c>
      <c r="S22">
        <v>0</v>
      </c>
      <c r="T22">
        <v>0</v>
      </c>
      <c r="U22">
        <v>0</v>
      </c>
      <c r="V22">
        <v>1</v>
      </c>
      <c r="W22">
        <v>1</v>
      </c>
      <c r="X22">
        <v>1</v>
      </c>
      <c r="Y22">
        <v>0</v>
      </c>
      <c r="Z22">
        <v>0</v>
      </c>
      <c r="AA22">
        <v>0</v>
      </c>
      <c r="AB22">
        <v>0</v>
      </c>
      <c r="AC22">
        <v>0</v>
      </c>
      <c r="AD22">
        <v>0</v>
      </c>
      <c r="AE22">
        <v>0</v>
      </c>
      <c r="AF22">
        <v>0</v>
      </c>
      <c r="AG22">
        <v>0</v>
      </c>
      <c r="AH22">
        <v>0</v>
      </c>
      <c r="AI22">
        <v>0</v>
      </c>
      <c r="AJ22">
        <v>0</v>
      </c>
      <c r="AK22" s="22" t="s">
        <v>25366</v>
      </c>
    </row>
    <row r="23" spans="1:37" x14ac:dyDescent="0.35">
      <c r="A23" t="s">
        <v>247</v>
      </c>
      <c r="B23" t="str">
        <f>VLOOKUP(A23,Countries!$B$1:$D$205,3,FALSE)</f>
        <v>EU 28</v>
      </c>
      <c r="C23" t="str">
        <f>VLOOKUP(A23,Countries!$B$1:$D$205,2,FALSE)</f>
        <v xml:space="preserve"> Poland</v>
      </c>
      <c r="D23" s="20">
        <v>44501</v>
      </c>
      <c r="E23">
        <v>0.34339999999999998</v>
      </c>
      <c r="F23">
        <v>0.34339999999999998</v>
      </c>
      <c r="G23">
        <f t="shared" si="1"/>
        <v>0.34339999999999998</v>
      </c>
      <c r="H23" s="22" t="s">
        <v>25322</v>
      </c>
      <c r="I23" s="22" t="s">
        <v>25367</v>
      </c>
      <c r="J23" s="21">
        <v>3054255000</v>
      </c>
      <c r="K23" s="21">
        <v>7635637500</v>
      </c>
      <c r="L23" s="21">
        <f t="shared" si="0"/>
        <v>5344946250</v>
      </c>
      <c r="M23" t="s">
        <v>25324</v>
      </c>
      <c r="N23">
        <v>1</v>
      </c>
      <c r="O23">
        <v>1</v>
      </c>
      <c r="P23">
        <v>1</v>
      </c>
      <c r="Q23">
        <v>0</v>
      </c>
      <c r="R23">
        <v>0</v>
      </c>
      <c r="S23">
        <v>0</v>
      </c>
      <c r="T23">
        <v>0</v>
      </c>
      <c r="U23">
        <v>0</v>
      </c>
      <c r="V23">
        <v>0</v>
      </c>
      <c r="W23">
        <v>1</v>
      </c>
      <c r="X23">
        <v>0</v>
      </c>
      <c r="Y23">
        <v>0</v>
      </c>
      <c r="Z23">
        <v>0</v>
      </c>
      <c r="AA23">
        <v>0</v>
      </c>
      <c r="AB23">
        <v>1</v>
      </c>
      <c r="AC23">
        <v>0</v>
      </c>
      <c r="AD23">
        <v>0</v>
      </c>
      <c r="AE23">
        <v>0</v>
      </c>
      <c r="AF23">
        <v>0</v>
      </c>
      <c r="AG23">
        <v>0</v>
      </c>
      <c r="AH23">
        <v>0</v>
      </c>
      <c r="AI23">
        <v>0</v>
      </c>
      <c r="AJ23">
        <v>0</v>
      </c>
      <c r="AK23" t="s">
        <v>25368</v>
      </c>
    </row>
    <row r="24" spans="1:37" ht="14.15" customHeight="1" x14ac:dyDescent="0.35">
      <c r="A24" t="s">
        <v>249</v>
      </c>
      <c r="B24" t="str">
        <f>VLOOKUP(A24,Countries!$B$1:$D$205,3,FALSE)</f>
        <v>EU 28</v>
      </c>
      <c r="C24" t="str">
        <f>VLOOKUP(A24,Countries!$B$1:$D$205,2,FALSE)</f>
        <v xml:space="preserve"> Portugal</v>
      </c>
      <c r="D24" s="20">
        <v>44013</v>
      </c>
      <c r="E24">
        <v>0.17169999999999999</v>
      </c>
      <c r="F24">
        <v>0.42920000000000003</v>
      </c>
      <c r="G24">
        <f t="shared" si="1"/>
        <v>0.30044999999999999</v>
      </c>
      <c r="H24" t="s">
        <v>25326</v>
      </c>
      <c r="I24" s="22" t="s">
        <v>25369</v>
      </c>
      <c r="J24" s="21">
        <v>1119893500</v>
      </c>
      <c r="K24" s="21">
        <v>7432020500</v>
      </c>
      <c r="L24" s="21">
        <f t="shared" si="0"/>
        <v>4275957000</v>
      </c>
      <c r="M24" t="s">
        <v>25354</v>
      </c>
      <c r="N24">
        <v>1</v>
      </c>
      <c r="O24">
        <v>1</v>
      </c>
      <c r="P24">
        <v>0</v>
      </c>
      <c r="Q24">
        <v>0</v>
      </c>
      <c r="R24">
        <v>0</v>
      </c>
      <c r="S24">
        <v>0</v>
      </c>
      <c r="T24">
        <v>0</v>
      </c>
      <c r="U24">
        <v>0</v>
      </c>
      <c r="V24">
        <v>1</v>
      </c>
      <c r="W24">
        <v>1</v>
      </c>
      <c r="X24">
        <v>1</v>
      </c>
      <c r="Y24">
        <v>1</v>
      </c>
      <c r="Z24">
        <v>1</v>
      </c>
      <c r="AA24">
        <v>1</v>
      </c>
      <c r="AB24">
        <v>0</v>
      </c>
      <c r="AC24">
        <v>1</v>
      </c>
      <c r="AD24">
        <v>1</v>
      </c>
      <c r="AE24">
        <v>1</v>
      </c>
      <c r="AF24">
        <v>1</v>
      </c>
      <c r="AG24">
        <v>1</v>
      </c>
      <c r="AH24">
        <v>1</v>
      </c>
      <c r="AI24">
        <v>1</v>
      </c>
      <c r="AJ24">
        <v>1</v>
      </c>
    </row>
    <row r="25" spans="1:37" x14ac:dyDescent="0.35">
      <c r="A25" t="s">
        <v>421</v>
      </c>
      <c r="B25" t="str">
        <f>VLOOKUP(A25,Countries!$B$1:$D$205,3,FALSE)</f>
        <v>Russia</v>
      </c>
      <c r="C25" t="str">
        <f>VLOOKUP(A25,Countries!$B$1:$D$205,2,FALSE)</f>
        <v>Rusia</v>
      </c>
      <c r="D25" s="20">
        <v>44105</v>
      </c>
      <c r="E25">
        <v>0.2</v>
      </c>
      <c r="F25">
        <v>2</v>
      </c>
      <c r="G25">
        <f t="shared" si="1"/>
        <v>1.1000000000000001</v>
      </c>
      <c r="H25" t="s">
        <v>4022</v>
      </c>
      <c r="I25" s="21">
        <v>0</v>
      </c>
      <c r="J25" s="21">
        <v>0</v>
      </c>
      <c r="K25" s="21">
        <v>0</v>
      </c>
      <c r="L25" s="21">
        <f t="shared" si="0"/>
        <v>0</v>
      </c>
      <c r="M25" t="s">
        <v>25324</v>
      </c>
      <c r="N25">
        <v>1</v>
      </c>
      <c r="O25">
        <v>1</v>
      </c>
      <c r="P25">
        <v>1</v>
      </c>
      <c r="Q25">
        <v>0</v>
      </c>
      <c r="R25">
        <v>0</v>
      </c>
      <c r="S25">
        <v>0</v>
      </c>
      <c r="T25">
        <v>1</v>
      </c>
      <c r="U25">
        <v>0</v>
      </c>
      <c r="V25">
        <v>0</v>
      </c>
      <c r="W25">
        <v>0</v>
      </c>
      <c r="X25">
        <v>0</v>
      </c>
      <c r="Y25">
        <v>0</v>
      </c>
      <c r="Z25">
        <v>0</v>
      </c>
      <c r="AA25">
        <v>0</v>
      </c>
      <c r="AB25">
        <v>0</v>
      </c>
      <c r="AC25">
        <v>0</v>
      </c>
      <c r="AD25">
        <v>0</v>
      </c>
      <c r="AE25">
        <v>0</v>
      </c>
      <c r="AF25">
        <v>0</v>
      </c>
      <c r="AG25">
        <v>0</v>
      </c>
      <c r="AH25">
        <v>0</v>
      </c>
      <c r="AI25">
        <v>0</v>
      </c>
      <c r="AJ25">
        <v>0</v>
      </c>
    </row>
    <row r="26" spans="1:37" x14ac:dyDescent="0.35">
      <c r="A26" t="s">
        <v>273</v>
      </c>
      <c r="B26" t="str">
        <f>VLOOKUP(A26,Countries!$B$1:$D$205,3,FALSE)</f>
        <v>EU 28</v>
      </c>
      <c r="C26" t="str">
        <f>VLOOKUP(A26,Countries!$B$1:$D$205,2,FALSE)</f>
        <v xml:space="preserve"> Slovak Republic</v>
      </c>
      <c r="D26" s="20">
        <v>44348</v>
      </c>
      <c r="E26">
        <v>2.4E-2</v>
      </c>
      <c r="F26">
        <v>6.6000000000000003E-2</v>
      </c>
      <c r="G26">
        <f t="shared" si="1"/>
        <v>4.4999999999999998E-2</v>
      </c>
      <c r="H26" t="s">
        <v>25322</v>
      </c>
      <c r="I26" s="21" t="s">
        <v>25370</v>
      </c>
      <c r="J26" s="21">
        <v>503377500</v>
      </c>
      <c r="K26" s="21">
        <v>1208106000</v>
      </c>
      <c r="L26" s="21">
        <f t="shared" si="0"/>
        <v>855741750</v>
      </c>
      <c r="M26" t="s">
        <v>25324</v>
      </c>
      <c r="N26">
        <v>1</v>
      </c>
      <c r="O26">
        <v>1</v>
      </c>
      <c r="P26">
        <v>1</v>
      </c>
      <c r="Q26">
        <v>0</v>
      </c>
      <c r="R26">
        <v>0</v>
      </c>
      <c r="S26">
        <v>0</v>
      </c>
      <c r="T26">
        <v>1</v>
      </c>
      <c r="U26">
        <v>0</v>
      </c>
      <c r="V26">
        <v>1</v>
      </c>
      <c r="W26">
        <v>1</v>
      </c>
      <c r="X26">
        <v>1</v>
      </c>
      <c r="Y26">
        <v>0</v>
      </c>
      <c r="Z26">
        <v>0</v>
      </c>
      <c r="AA26">
        <v>0</v>
      </c>
      <c r="AB26">
        <v>1</v>
      </c>
      <c r="AC26">
        <v>0</v>
      </c>
      <c r="AD26">
        <v>0</v>
      </c>
      <c r="AE26">
        <v>0</v>
      </c>
      <c r="AF26">
        <v>0</v>
      </c>
      <c r="AG26">
        <v>0</v>
      </c>
      <c r="AH26">
        <v>0</v>
      </c>
      <c r="AI26">
        <v>0</v>
      </c>
      <c r="AJ26">
        <v>0</v>
      </c>
    </row>
    <row r="27" spans="1:37" x14ac:dyDescent="0.35">
      <c r="A27" t="s">
        <v>430</v>
      </c>
      <c r="B27" t="str">
        <f>VLOOKUP(A27,Countries!$B$1:$D$205,3,FALSE)</f>
        <v>South Africa</v>
      </c>
      <c r="C27" t="str">
        <f>VLOOKUP(A27,Countries!$B$1:$D$205,2,FALSE)</f>
        <v>South Africa</v>
      </c>
      <c r="D27" s="20">
        <v>44593</v>
      </c>
      <c r="E27">
        <v>0.5</v>
      </c>
      <c r="F27">
        <v>0.5</v>
      </c>
      <c r="G27">
        <f t="shared" si="1"/>
        <v>0.5</v>
      </c>
      <c r="H27" t="s">
        <v>25326</v>
      </c>
      <c r="I27" s="21">
        <v>0</v>
      </c>
      <c r="J27" s="21">
        <v>0</v>
      </c>
      <c r="K27" s="21">
        <v>0</v>
      </c>
      <c r="L27" s="21">
        <f t="shared" si="0"/>
        <v>0</v>
      </c>
      <c r="M27" t="s">
        <v>25324</v>
      </c>
      <c r="N27">
        <v>1</v>
      </c>
      <c r="O27">
        <v>1</v>
      </c>
      <c r="P27">
        <v>0</v>
      </c>
      <c r="Q27">
        <v>0</v>
      </c>
      <c r="R27">
        <v>0</v>
      </c>
      <c r="S27">
        <v>1</v>
      </c>
      <c r="T27">
        <v>0</v>
      </c>
      <c r="U27">
        <v>0</v>
      </c>
      <c r="V27">
        <v>0</v>
      </c>
      <c r="W27">
        <v>0</v>
      </c>
      <c r="X27">
        <v>1</v>
      </c>
      <c r="Y27">
        <v>0</v>
      </c>
      <c r="Z27">
        <v>0</v>
      </c>
      <c r="AA27">
        <v>1</v>
      </c>
      <c r="AB27">
        <v>0</v>
      </c>
      <c r="AC27">
        <v>0</v>
      </c>
      <c r="AD27">
        <v>0</v>
      </c>
      <c r="AE27">
        <v>0</v>
      </c>
      <c r="AF27">
        <v>0</v>
      </c>
      <c r="AG27">
        <v>0</v>
      </c>
      <c r="AH27">
        <v>0</v>
      </c>
      <c r="AI27">
        <v>0</v>
      </c>
      <c r="AJ27">
        <v>0</v>
      </c>
      <c r="AK27" s="22" t="s">
        <v>25371</v>
      </c>
    </row>
    <row r="28" spans="1:37" x14ac:dyDescent="0.35">
      <c r="A28" t="s">
        <v>432</v>
      </c>
      <c r="B28" t="str">
        <f>VLOOKUP(A28,Countries!$B$1:$D$205,3,FALSE)</f>
        <v>Asia Developed</v>
      </c>
      <c r="C28" t="str">
        <f>VLOOKUP(A28,Countries!$B$1:$D$205,2,FALSE)</f>
        <v>South Korea</v>
      </c>
      <c r="D28" s="20">
        <v>43466</v>
      </c>
      <c r="E28">
        <v>1.9</v>
      </c>
      <c r="F28">
        <v>1.9</v>
      </c>
      <c r="G28">
        <f t="shared" si="1"/>
        <v>1.9</v>
      </c>
      <c r="H28" t="s">
        <v>25326</v>
      </c>
      <c r="I28" t="s">
        <v>25372</v>
      </c>
      <c r="J28" s="21">
        <v>40340000000</v>
      </c>
      <c r="K28" s="21">
        <v>40340000000</v>
      </c>
      <c r="L28" s="21">
        <f t="shared" si="0"/>
        <v>40340000000</v>
      </c>
      <c r="M28" t="s">
        <v>25354</v>
      </c>
      <c r="N28">
        <v>1</v>
      </c>
      <c r="O28">
        <v>1</v>
      </c>
      <c r="P28">
        <v>1</v>
      </c>
      <c r="Q28">
        <v>0</v>
      </c>
      <c r="R28">
        <v>0</v>
      </c>
      <c r="S28">
        <v>1</v>
      </c>
      <c r="T28">
        <v>1</v>
      </c>
      <c r="U28">
        <v>0</v>
      </c>
      <c r="V28">
        <v>1</v>
      </c>
      <c r="W28">
        <v>1</v>
      </c>
      <c r="X28">
        <v>1</v>
      </c>
      <c r="Y28">
        <v>1</v>
      </c>
      <c r="Z28">
        <v>1</v>
      </c>
      <c r="AA28">
        <v>0</v>
      </c>
      <c r="AB28">
        <v>1</v>
      </c>
      <c r="AC28">
        <v>1</v>
      </c>
      <c r="AD28">
        <v>0</v>
      </c>
      <c r="AE28">
        <v>0</v>
      </c>
      <c r="AF28">
        <v>0</v>
      </c>
      <c r="AG28">
        <v>0</v>
      </c>
      <c r="AH28">
        <v>0</v>
      </c>
      <c r="AI28">
        <v>0</v>
      </c>
      <c r="AJ28">
        <v>1</v>
      </c>
    </row>
    <row r="29" spans="1:37" x14ac:dyDescent="0.35">
      <c r="A29" t="s">
        <v>283</v>
      </c>
      <c r="B29" t="str">
        <f>VLOOKUP(A29,Countries!$B$1:$D$205,3,FALSE)</f>
        <v>EU 28</v>
      </c>
      <c r="C29" t="str">
        <f>VLOOKUP(A29,Countries!$B$1:$D$205,2,FALSE)</f>
        <v xml:space="preserve"> Spain</v>
      </c>
      <c r="D29" s="20">
        <v>44105</v>
      </c>
      <c r="E29">
        <v>0.68679999999999997</v>
      </c>
      <c r="F29">
        <v>10</v>
      </c>
      <c r="G29">
        <f t="shared" si="1"/>
        <v>5.3433999999999999</v>
      </c>
      <c r="H29" t="s">
        <v>25326</v>
      </c>
      <c r="I29" s="22" t="s">
        <v>25373</v>
      </c>
      <c r="J29" s="21">
        <v>6312127000</v>
      </c>
      <c r="K29" s="21">
        <v>21379785000</v>
      </c>
      <c r="L29" s="21">
        <f t="shared" si="0"/>
        <v>13845956000</v>
      </c>
      <c r="M29" t="s">
        <v>25348</v>
      </c>
      <c r="N29">
        <v>1</v>
      </c>
      <c r="O29">
        <v>1</v>
      </c>
      <c r="P29">
        <v>0</v>
      </c>
      <c r="Q29">
        <v>0</v>
      </c>
      <c r="R29">
        <v>0</v>
      </c>
      <c r="S29">
        <v>0</v>
      </c>
      <c r="T29">
        <v>0</v>
      </c>
      <c r="U29">
        <v>0</v>
      </c>
      <c r="V29">
        <v>1</v>
      </c>
      <c r="W29">
        <v>1</v>
      </c>
      <c r="X29">
        <v>1</v>
      </c>
      <c r="Y29">
        <v>1</v>
      </c>
      <c r="Z29">
        <v>1</v>
      </c>
      <c r="AA29">
        <v>1</v>
      </c>
      <c r="AB29">
        <v>1</v>
      </c>
      <c r="AC29">
        <v>1</v>
      </c>
      <c r="AD29">
        <v>1</v>
      </c>
      <c r="AE29">
        <v>1</v>
      </c>
      <c r="AF29">
        <v>1</v>
      </c>
      <c r="AG29">
        <v>1</v>
      </c>
      <c r="AH29">
        <v>0</v>
      </c>
      <c r="AI29">
        <v>1</v>
      </c>
      <c r="AJ29">
        <v>1</v>
      </c>
      <c r="AK29" s="22" t="s">
        <v>25374</v>
      </c>
    </row>
    <row r="30" spans="1:37" x14ac:dyDescent="0.35">
      <c r="A30" t="s">
        <v>297</v>
      </c>
      <c r="B30" t="str">
        <f>VLOOKUP(A30,Countries!$B$1:$D$205,3,FALSE)</f>
        <v>EU 28</v>
      </c>
      <c r="C30" t="str">
        <f>VLOOKUP(A30,Countries!$B$1:$D$205,2,FALSE)</f>
        <v xml:space="preserve"> Sweden</v>
      </c>
      <c r="D30" s="20">
        <v>44501</v>
      </c>
      <c r="E30">
        <v>0.85850000000000004</v>
      </c>
      <c r="F30">
        <v>0.85850000000000004</v>
      </c>
      <c r="G30">
        <f t="shared" si="1"/>
        <v>0.85850000000000004</v>
      </c>
      <c r="H30" t="s">
        <v>25326</v>
      </c>
      <c r="I30" s="22" t="s">
        <v>25375</v>
      </c>
      <c r="J30" s="21">
        <v>2545212500</v>
      </c>
      <c r="K30" s="21">
        <v>6922978000</v>
      </c>
      <c r="L30" s="21">
        <f t="shared" si="0"/>
        <v>4734095250</v>
      </c>
      <c r="M30" t="s">
        <v>25324</v>
      </c>
      <c r="N30">
        <v>1</v>
      </c>
      <c r="O30">
        <v>1</v>
      </c>
      <c r="P30">
        <v>0</v>
      </c>
      <c r="Q30">
        <v>0</v>
      </c>
      <c r="R30">
        <v>0</v>
      </c>
      <c r="S30">
        <v>0</v>
      </c>
      <c r="T30">
        <v>0</v>
      </c>
      <c r="U30">
        <v>0</v>
      </c>
      <c r="V30">
        <v>0</v>
      </c>
      <c r="W30">
        <v>0</v>
      </c>
      <c r="X30">
        <v>1</v>
      </c>
      <c r="Y30">
        <v>1</v>
      </c>
      <c r="Z30">
        <v>1</v>
      </c>
      <c r="AA30">
        <v>1</v>
      </c>
      <c r="AB30">
        <v>0</v>
      </c>
      <c r="AC30">
        <v>1</v>
      </c>
      <c r="AD30">
        <v>1</v>
      </c>
      <c r="AE30">
        <v>1</v>
      </c>
      <c r="AF30">
        <v>0</v>
      </c>
      <c r="AG30">
        <v>0</v>
      </c>
      <c r="AH30">
        <v>0</v>
      </c>
      <c r="AI30">
        <v>0</v>
      </c>
      <c r="AJ30">
        <v>0</v>
      </c>
    </row>
    <row r="31" spans="1:37" x14ac:dyDescent="0.35">
      <c r="A31" t="s">
        <v>448</v>
      </c>
      <c r="B31" t="str">
        <f>VLOOKUP(A31,Countries!$B$1:$D$205,3,FALSE)</f>
        <v>Europe Developed</v>
      </c>
      <c r="C31" t="str">
        <f>VLOOKUP(A31,Countries!$B$1:$D$205,2,FALSE)</f>
        <v>United Kingdom</v>
      </c>
      <c r="D31" s="20">
        <v>44409</v>
      </c>
      <c r="E31">
        <v>0.85850000000000004</v>
      </c>
      <c r="F31">
        <v>0.85850000000000004</v>
      </c>
      <c r="G31">
        <f t="shared" si="1"/>
        <v>0.85850000000000004</v>
      </c>
      <c r="H31" t="s">
        <v>25322</v>
      </c>
      <c r="I31" s="22" t="s">
        <v>25376</v>
      </c>
      <c r="J31" s="21">
        <v>7126595000</v>
      </c>
      <c r="K31" s="21">
        <v>26470210000</v>
      </c>
      <c r="L31" s="21">
        <f t="shared" si="0"/>
        <v>16798402500</v>
      </c>
      <c r="M31" t="s">
        <v>25330</v>
      </c>
      <c r="N31">
        <v>1</v>
      </c>
      <c r="O31">
        <v>1</v>
      </c>
      <c r="P31">
        <v>1</v>
      </c>
      <c r="Q31">
        <v>0</v>
      </c>
      <c r="R31">
        <v>0</v>
      </c>
      <c r="S31">
        <v>0</v>
      </c>
      <c r="T31">
        <v>1</v>
      </c>
      <c r="U31">
        <v>0</v>
      </c>
      <c r="V31">
        <v>0</v>
      </c>
      <c r="W31">
        <v>0</v>
      </c>
      <c r="X31">
        <v>0</v>
      </c>
      <c r="Y31">
        <v>0</v>
      </c>
      <c r="Z31">
        <v>0</v>
      </c>
      <c r="AA31">
        <v>0</v>
      </c>
      <c r="AB31">
        <v>0</v>
      </c>
      <c r="AC31">
        <v>0</v>
      </c>
      <c r="AD31">
        <v>0</v>
      </c>
      <c r="AE31">
        <v>0</v>
      </c>
      <c r="AF31">
        <v>0</v>
      </c>
      <c r="AG31">
        <v>0</v>
      </c>
      <c r="AH31">
        <v>0</v>
      </c>
      <c r="AI31">
        <v>0</v>
      </c>
      <c r="AJ31">
        <v>1</v>
      </c>
    </row>
    <row r="32" spans="1:37" x14ac:dyDescent="0.35">
      <c r="A32" t="s">
        <v>323</v>
      </c>
      <c r="B32" t="str">
        <f>VLOOKUP(A32,Countries!$B$1:$D$205,3,FALSE)</f>
        <v>Latin America</v>
      </c>
      <c r="C32" t="str">
        <f>VLOOKUP(A32,Countries!$B$1:$D$205,2,FALSE)</f>
        <v xml:space="preserve"> Uruguay</v>
      </c>
      <c r="D32" s="20">
        <v>44348</v>
      </c>
      <c r="E32">
        <v>0.25750000000000001</v>
      </c>
      <c r="F32">
        <v>0.85850000000000004</v>
      </c>
      <c r="G32">
        <f t="shared" si="1"/>
        <v>0.55800000000000005</v>
      </c>
      <c r="H32" t="s">
        <v>25322</v>
      </c>
      <c r="I32" s="21">
        <v>0</v>
      </c>
      <c r="J32" s="21">
        <v>0</v>
      </c>
      <c r="K32" s="21">
        <v>0</v>
      </c>
      <c r="L32" s="21">
        <f t="shared" si="0"/>
        <v>0</v>
      </c>
      <c r="M32" t="s">
        <v>25348</v>
      </c>
      <c r="N32">
        <v>1</v>
      </c>
      <c r="O32">
        <v>1</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s="23" t="s">
        <v>25377</v>
      </c>
    </row>
    <row r="33" spans="1:1" x14ac:dyDescent="0.35">
      <c r="A33" t="s">
        <v>450</v>
      </c>
    </row>
  </sheetData>
  <hyperlinks>
    <hyperlink ref="AK10" r:id="rId1" xr:uid="{8E917B07-3118-4482-9D38-3686CD00C426}"/>
    <hyperlink ref="AK15" r:id="rId2" xr:uid="{D8A91E7E-AB7D-4056-BFD4-45CE844413FB}"/>
    <hyperlink ref="AK32" r:id="rId3" display="https://www.gub.uy/ministerio-industria-energia-mineria/politicas-y-gestion/national-green-hydrogen-strategy" xr:uid="{64EFC1E0-CA18-451D-9203-313E36566F8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C1036-2615-4392-BA7A-4F3E2C620C55}">
  <dimension ref="A5:D37"/>
  <sheetViews>
    <sheetView topLeftCell="A4" workbookViewId="0">
      <selection activeCell="B8" sqref="B8"/>
    </sheetView>
  </sheetViews>
  <sheetFormatPr defaultRowHeight="14.5" x14ac:dyDescent="0.35"/>
  <cols>
    <col min="1" max="1" width="15.453125" bestFit="1" customWidth="1"/>
    <col min="2" max="2" width="39.453125" bestFit="1" customWidth="1"/>
    <col min="3" max="3" width="39.54296875" bestFit="1" customWidth="1"/>
    <col min="4" max="4" width="17.7265625" bestFit="1" customWidth="1"/>
    <col min="5" max="5" width="118.81640625" bestFit="1" customWidth="1"/>
    <col min="6" max="6" width="255.7265625" bestFit="1" customWidth="1"/>
    <col min="7" max="7" width="189.81640625" bestFit="1" customWidth="1"/>
    <col min="8" max="8" width="82" bestFit="1" customWidth="1"/>
    <col min="9" max="9" width="117.453125" bestFit="1" customWidth="1"/>
    <col min="10" max="10" width="81.26953125" bestFit="1" customWidth="1"/>
    <col min="11" max="11" width="70" bestFit="1" customWidth="1"/>
    <col min="12" max="12" width="189" bestFit="1" customWidth="1"/>
    <col min="13" max="13" width="77.26953125" bestFit="1" customWidth="1"/>
    <col min="14" max="14" width="167.26953125" bestFit="1" customWidth="1"/>
    <col min="15" max="15" width="93.81640625" bestFit="1" customWidth="1"/>
    <col min="16" max="16" width="104.7265625" bestFit="1" customWidth="1"/>
    <col min="17" max="17" width="85.453125" bestFit="1" customWidth="1"/>
    <col min="18" max="18" width="166.7265625" bestFit="1" customWidth="1"/>
    <col min="19" max="19" width="237.1796875" bestFit="1" customWidth="1"/>
    <col min="20" max="20" width="99.26953125" bestFit="1" customWidth="1"/>
    <col min="21" max="21" width="154.453125" bestFit="1" customWidth="1"/>
    <col min="22" max="22" width="106.1796875" bestFit="1" customWidth="1"/>
    <col min="23" max="23" width="86.7265625" bestFit="1" customWidth="1"/>
    <col min="24" max="24" width="123.1796875" bestFit="1" customWidth="1"/>
    <col min="25" max="25" width="59.81640625" bestFit="1" customWidth="1"/>
    <col min="26" max="26" width="7.26953125" bestFit="1" customWidth="1"/>
    <col min="27" max="27" width="51.1796875" bestFit="1" customWidth="1"/>
    <col min="28" max="28" width="65.81640625" bestFit="1" customWidth="1"/>
    <col min="29" max="29" width="32.7265625" bestFit="1" customWidth="1"/>
    <col min="30" max="30" width="118.81640625" bestFit="1" customWidth="1"/>
    <col min="31" max="31" width="255.7265625" bestFit="1" customWidth="1"/>
    <col min="32" max="32" width="189.81640625" bestFit="1" customWidth="1"/>
    <col min="33" max="33" width="82" bestFit="1" customWidth="1"/>
    <col min="34" max="34" width="117.453125" bestFit="1" customWidth="1"/>
    <col min="35" max="35" width="81.26953125" bestFit="1" customWidth="1"/>
    <col min="36" max="36" width="70" bestFit="1" customWidth="1"/>
    <col min="37" max="37" width="189" bestFit="1" customWidth="1"/>
    <col min="38" max="38" width="77.26953125" bestFit="1" customWidth="1"/>
    <col min="39" max="39" width="167.26953125" bestFit="1" customWidth="1"/>
    <col min="40" max="40" width="93.81640625" bestFit="1" customWidth="1"/>
    <col min="41" max="41" width="104.7265625" bestFit="1" customWidth="1"/>
    <col min="42" max="42" width="85.453125" bestFit="1" customWidth="1"/>
    <col min="43" max="43" width="166.7265625" bestFit="1" customWidth="1"/>
    <col min="44" max="44" width="237.1796875" bestFit="1" customWidth="1"/>
    <col min="45" max="45" width="99.26953125" bestFit="1" customWidth="1"/>
    <col min="46" max="46" width="154.453125" bestFit="1" customWidth="1"/>
    <col min="47" max="47" width="106.1796875" bestFit="1" customWidth="1"/>
    <col min="48" max="48" width="86.7265625" bestFit="1" customWidth="1"/>
    <col min="49" max="49" width="123.1796875" bestFit="1" customWidth="1"/>
    <col min="50" max="50" width="59.81640625" bestFit="1" customWidth="1"/>
    <col min="51" max="51" width="8" bestFit="1" customWidth="1"/>
    <col min="52" max="52" width="51.1796875" bestFit="1" customWidth="1"/>
    <col min="53" max="53" width="65.81640625" bestFit="1" customWidth="1"/>
    <col min="54" max="54" width="32.7265625" bestFit="1" customWidth="1"/>
    <col min="55" max="55" width="118.81640625" bestFit="1" customWidth="1"/>
    <col min="56" max="56" width="255.7265625" bestFit="1" customWidth="1"/>
    <col min="57" max="57" width="189.81640625" bestFit="1" customWidth="1"/>
    <col min="58" max="58" width="82" bestFit="1" customWidth="1"/>
    <col min="59" max="59" width="117.453125" bestFit="1" customWidth="1"/>
    <col min="60" max="60" width="81.26953125" bestFit="1" customWidth="1"/>
    <col min="61" max="61" width="70" bestFit="1" customWidth="1"/>
    <col min="62" max="62" width="189" bestFit="1" customWidth="1"/>
    <col min="63" max="63" width="77.26953125" bestFit="1" customWidth="1"/>
    <col min="64" max="64" width="167.26953125" bestFit="1" customWidth="1"/>
    <col min="65" max="65" width="93.81640625" bestFit="1" customWidth="1"/>
    <col min="66" max="66" width="104.7265625" bestFit="1" customWidth="1"/>
    <col min="67" max="67" width="85.453125" bestFit="1" customWidth="1"/>
    <col min="68" max="68" width="166.7265625" bestFit="1" customWidth="1"/>
    <col min="69" max="69" width="237.1796875" bestFit="1" customWidth="1"/>
    <col min="70" max="70" width="99.26953125" bestFit="1" customWidth="1"/>
    <col min="71" max="71" width="154.453125" bestFit="1" customWidth="1"/>
    <col min="72" max="72" width="106.1796875" bestFit="1" customWidth="1"/>
    <col min="73" max="73" width="86.7265625" bestFit="1" customWidth="1"/>
    <col min="74" max="74" width="123.1796875" bestFit="1" customWidth="1"/>
    <col min="75" max="75" width="59.81640625" bestFit="1" customWidth="1"/>
    <col min="76" max="76" width="7.26953125" bestFit="1" customWidth="1"/>
    <col min="77" max="77" width="44.453125" bestFit="1" customWidth="1"/>
    <col min="78" max="78" width="44.54296875" bestFit="1" customWidth="1"/>
    <col min="79" max="79" width="22.7265625" bestFit="1" customWidth="1"/>
  </cols>
  <sheetData>
    <row r="5" spans="1:4" x14ac:dyDescent="0.35">
      <c r="A5" s="15" t="s">
        <v>25291</v>
      </c>
      <c r="B5" t="s">
        <v>25378</v>
      </c>
      <c r="C5" t="s">
        <v>25379</v>
      </c>
      <c r="D5" t="s">
        <v>25380</v>
      </c>
    </row>
    <row r="6" spans="1:4" x14ac:dyDescent="0.35">
      <c r="A6" s="16" t="s">
        <v>46</v>
      </c>
      <c r="B6">
        <v>2.5700000000000001E-2</v>
      </c>
      <c r="C6">
        <v>2.5700000000000001E-2</v>
      </c>
      <c r="D6">
        <v>1</v>
      </c>
    </row>
    <row r="7" spans="1:4" x14ac:dyDescent="0.35">
      <c r="A7" s="16" t="s">
        <v>81</v>
      </c>
      <c r="B7">
        <v>4.2919999999999998</v>
      </c>
      <c r="C7">
        <v>4.2919999999999998</v>
      </c>
      <c r="D7">
        <v>0</v>
      </c>
    </row>
    <row r="8" spans="1:4" x14ac:dyDescent="0.35">
      <c r="A8" s="16" t="s">
        <v>86</v>
      </c>
      <c r="B8">
        <v>0.17169999999999999</v>
      </c>
      <c r="C8">
        <v>0.56510000000000005</v>
      </c>
      <c r="D8">
        <v>1</v>
      </c>
    </row>
    <row r="9" spans="1:4" x14ac:dyDescent="0.35">
      <c r="A9" s="16" t="s">
        <v>102</v>
      </c>
      <c r="B9">
        <v>9.7000000000000003E-2</v>
      </c>
      <c r="C9">
        <v>9.7000000000000003E-2</v>
      </c>
      <c r="D9">
        <v>0</v>
      </c>
    </row>
    <row r="10" spans="1:4" x14ac:dyDescent="0.35">
      <c r="A10" s="16" t="s">
        <v>108</v>
      </c>
      <c r="B10">
        <v>1.72E-2</v>
      </c>
      <c r="C10">
        <v>0.17169999999999999</v>
      </c>
      <c r="D10">
        <v>0</v>
      </c>
    </row>
    <row r="11" spans="1:4" x14ac:dyDescent="0.35">
      <c r="A11" s="16" t="s">
        <v>132</v>
      </c>
      <c r="B11">
        <v>1.1160000000000001</v>
      </c>
      <c r="C11">
        <v>1.1160000000000001</v>
      </c>
      <c r="D11">
        <v>0</v>
      </c>
    </row>
    <row r="12" spans="1:4" x14ac:dyDescent="0.35">
      <c r="A12" s="16" t="s">
        <v>142</v>
      </c>
      <c r="B12">
        <v>0.85850000000000004</v>
      </c>
      <c r="C12">
        <v>0.85850000000000004</v>
      </c>
      <c r="D12">
        <v>0</v>
      </c>
    </row>
    <row r="13" spans="1:4" x14ac:dyDescent="0.35">
      <c r="A13" s="16" t="s">
        <v>160</v>
      </c>
      <c r="B13">
        <v>2.5000000000000001E-2</v>
      </c>
      <c r="C13">
        <v>2.5000000000000001E-2</v>
      </c>
      <c r="D13">
        <v>1</v>
      </c>
    </row>
    <row r="14" spans="1:4" x14ac:dyDescent="0.35">
      <c r="A14" s="16" t="s">
        <v>164</v>
      </c>
      <c r="B14">
        <v>0.85850000000000004</v>
      </c>
      <c r="C14">
        <v>0.85850000000000004</v>
      </c>
      <c r="D14">
        <v>1</v>
      </c>
    </row>
    <row r="15" spans="1:4" x14ac:dyDescent="0.35">
      <c r="A15" s="16" t="s">
        <v>226</v>
      </c>
      <c r="B15">
        <v>0.5151</v>
      </c>
      <c r="C15">
        <v>0.68679999999999997</v>
      </c>
      <c r="D15">
        <v>1</v>
      </c>
    </row>
    <row r="16" spans="1:4" x14ac:dyDescent="0.35">
      <c r="A16" s="16" t="s">
        <v>238</v>
      </c>
      <c r="B16">
        <v>0</v>
      </c>
      <c r="C16">
        <v>0</v>
      </c>
      <c r="D16">
        <v>0</v>
      </c>
    </row>
    <row r="17" spans="1:4" x14ac:dyDescent="0.35">
      <c r="A17" s="16" t="s">
        <v>242</v>
      </c>
      <c r="B17">
        <v>1.1999999999999999E-3</v>
      </c>
      <c r="C17">
        <v>1.1999999999999999E-3</v>
      </c>
      <c r="D17">
        <v>0</v>
      </c>
    </row>
    <row r="18" spans="1:4" x14ac:dyDescent="0.35">
      <c r="A18" s="16" t="s">
        <v>248</v>
      </c>
      <c r="B18">
        <v>0.34339999999999998</v>
      </c>
      <c r="C18">
        <v>0.34339999999999998</v>
      </c>
      <c r="D18">
        <v>1</v>
      </c>
    </row>
    <row r="19" spans="1:4" x14ac:dyDescent="0.35">
      <c r="A19" s="16" t="s">
        <v>250</v>
      </c>
      <c r="B19">
        <v>0.17169999999999999</v>
      </c>
      <c r="C19">
        <v>0.42920000000000003</v>
      </c>
      <c r="D19">
        <v>0</v>
      </c>
    </row>
    <row r="20" spans="1:4" x14ac:dyDescent="0.35">
      <c r="A20" s="16" t="s">
        <v>274</v>
      </c>
      <c r="B20">
        <v>2.4E-2</v>
      </c>
      <c r="C20">
        <v>6.6000000000000003E-2</v>
      </c>
      <c r="D20">
        <v>1</v>
      </c>
    </row>
    <row r="21" spans="1:4" x14ac:dyDescent="0.35">
      <c r="A21" s="16" t="s">
        <v>284</v>
      </c>
      <c r="B21">
        <v>0.68679999999999997</v>
      </c>
      <c r="C21">
        <v>10</v>
      </c>
      <c r="D21">
        <v>0</v>
      </c>
    </row>
    <row r="22" spans="1:4" x14ac:dyDescent="0.35">
      <c r="A22" s="16" t="s">
        <v>298</v>
      </c>
      <c r="B22">
        <v>0.85850000000000004</v>
      </c>
      <c r="C22">
        <v>0.85850000000000004</v>
      </c>
      <c r="D22">
        <v>0</v>
      </c>
    </row>
    <row r="23" spans="1:4" x14ac:dyDescent="0.35">
      <c r="A23" s="16" t="s">
        <v>324</v>
      </c>
      <c r="B23">
        <v>0.25750000000000001</v>
      </c>
      <c r="C23">
        <v>0.85850000000000004</v>
      </c>
      <c r="D23">
        <v>0</v>
      </c>
    </row>
    <row r="24" spans="1:4" x14ac:dyDescent="0.35">
      <c r="A24" s="16" t="s">
        <v>24</v>
      </c>
      <c r="B24">
        <v>8.5800000000000001E-2</v>
      </c>
      <c r="C24">
        <v>1</v>
      </c>
      <c r="D24">
        <v>1</v>
      </c>
    </row>
    <row r="25" spans="1:4" x14ac:dyDescent="0.35">
      <c r="A25" s="16" t="s">
        <v>356</v>
      </c>
      <c r="B25">
        <v>0.17169999999999999</v>
      </c>
      <c r="C25">
        <v>0.17169999999999999</v>
      </c>
      <c r="D25">
        <v>0</v>
      </c>
    </row>
    <row r="26" spans="1:4" x14ac:dyDescent="0.35">
      <c r="A26" s="16" t="s">
        <v>368</v>
      </c>
      <c r="B26">
        <v>4</v>
      </c>
      <c r="C26">
        <v>4</v>
      </c>
      <c r="D26">
        <v>1</v>
      </c>
    </row>
    <row r="27" spans="1:4" x14ac:dyDescent="0.35">
      <c r="A27" s="16" t="s">
        <v>383</v>
      </c>
      <c r="B27">
        <v>5</v>
      </c>
      <c r="C27">
        <v>5</v>
      </c>
      <c r="D27">
        <v>0</v>
      </c>
    </row>
    <row r="28" spans="1:4" x14ac:dyDescent="0.35">
      <c r="A28" s="16" t="s">
        <v>396</v>
      </c>
      <c r="B28">
        <v>3</v>
      </c>
      <c r="C28">
        <v>3</v>
      </c>
      <c r="D28">
        <v>1</v>
      </c>
    </row>
    <row r="29" spans="1:4" x14ac:dyDescent="0.35">
      <c r="A29" s="16" t="s">
        <v>408</v>
      </c>
      <c r="B29">
        <v>0.48070000000000002</v>
      </c>
      <c r="C29">
        <v>0.48070000000000002</v>
      </c>
      <c r="D29">
        <v>0</v>
      </c>
    </row>
    <row r="30" spans="1:4" x14ac:dyDescent="0.35">
      <c r="A30" s="16" t="s">
        <v>410</v>
      </c>
      <c r="B30">
        <v>0.7</v>
      </c>
      <c r="C30">
        <v>0.7</v>
      </c>
      <c r="D30">
        <v>0</v>
      </c>
    </row>
    <row r="31" spans="1:4" x14ac:dyDescent="0.35">
      <c r="A31" s="16" t="s">
        <v>416</v>
      </c>
      <c r="B31">
        <v>0</v>
      </c>
      <c r="C31">
        <v>0</v>
      </c>
      <c r="D31">
        <v>1</v>
      </c>
    </row>
    <row r="32" spans="1:4" x14ac:dyDescent="0.35">
      <c r="A32" s="16" t="s">
        <v>418</v>
      </c>
      <c r="B32">
        <v>0.17169999999999999</v>
      </c>
      <c r="C32">
        <v>1.25</v>
      </c>
      <c r="D32">
        <v>0</v>
      </c>
    </row>
    <row r="33" spans="1:4" x14ac:dyDescent="0.35">
      <c r="A33" s="16" t="s">
        <v>422</v>
      </c>
      <c r="B33">
        <v>0.2</v>
      </c>
      <c r="C33">
        <v>2</v>
      </c>
      <c r="D33">
        <v>1</v>
      </c>
    </row>
    <row r="34" spans="1:4" x14ac:dyDescent="0.35">
      <c r="A34" s="16" t="s">
        <v>431</v>
      </c>
      <c r="B34">
        <v>0.5</v>
      </c>
      <c r="C34">
        <v>0.5</v>
      </c>
      <c r="D34">
        <v>0</v>
      </c>
    </row>
    <row r="35" spans="1:4" x14ac:dyDescent="0.35">
      <c r="A35" s="16" t="s">
        <v>433</v>
      </c>
      <c r="B35">
        <v>1.9</v>
      </c>
      <c r="C35">
        <v>1.9</v>
      </c>
      <c r="D35">
        <v>1</v>
      </c>
    </row>
    <row r="36" spans="1:4" x14ac:dyDescent="0.35">
      <c r="A36" s="16" t="s">
        <v>449</v>
      </c>
      <c r="B36">
        <v>0.85850000000000004</v>
      </c>
      <c r="C36">
        <v>0.85850000000000004</v>
      </c>
      <c r="D36">
        <v>1</v>
      </c>
    </row>
    <row r="37" spans="1:4" x14ac:dyDescent="0.35">
      <c r="A37" s="16" t="s">
        <v>25293</v>
      </c>
      <c r="B37">
        <v>27.388199999999998</v>
      </c>
      <c r="C37">
        <v>42.114000000000004</v>
      </c>
      <c r="D37">
        <v>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8C8AC-B0C1-4A1B-A0F9-785FC1D87510}">
  <dimension ref="A1:X1195"/>
  <sheetViews>
    <sheetView tabSelected="1" topLeftCell="J1" zoomScale="80" zoomScaleNormal="85" workbookViewId="0">
      <pane ySplit="1" topLeftCell="A113" activePane="bottomLeft" state="frozen"/>
      <selection pane="bottomLeft" activeCell="H178" sqref="H178"/>
    </sheetView>
  </sheetViews>
  <sheetFormatPr defaultRowHeight="14.5" x14ac:dyDescent="0.35"/>
  <cols>
    <col min="1" max="1" width="45.453125" customWidth="1"/>
    <col min="2" max="2" width="16.26953125" customWidth="1"/>
    <col min="3" max="4" width="13.54296875" customWidth="1"/>
    <col min="5" max="5" width="9.54296875" customWidth="1"/>
    <col min="6" max="6" width="22.7265625" customWidth="1"/>
    <col min="7" max="7" width="19.54296875" customWidth="1"/>
    <col min="8" max="8" width="16.453125" customWidth="1"/>
    <col min="9" max="10" width="19.1796875" customWidth="1"/>
    <col min="11" max="11" width="24.81640625" customWidth="1"/>
    <col min="12" max="12" width="25" customWidth="1"/>
    <col min="13" max="13" width="22.1796875" customWidth="1"/>
    <col min="14" max="14" width="22" customWidth="1"/>
    <col min="15" max="16" width="19.1796875" customWidth="1"/>
    <col min="17" max="17" width="29.453125" customWidth="1"/>
    <col min="18" max="18" width="36.54296875" customWidth="1"/>
    <col min="19" max="21" width="38.81640625" customWidth="1"/>
    <col min="22" max="22" width="27.81640625" customWidth="1"/>
    <col min="23" max="23" width="23.7265625" customWidth="1"/>
  </cols>
  <sheetData>
    <row r="1" spans="1:24" x14ac:dyDescent="0.35">
      <c r="A1" t="s">
        <v>25381</v>
      </c>
      <c r="B1" t="s">
        <v>454</v>
      </c>
      <c r="C1" t="s">
        <v>28</v>
      </c>
      <c r="D1" t="s">
        <v>29</v>
      </c>
      <c r="E1" t="s">
        <v>464</v>
      </c>
      <c r="F1" t="s">
        <v>465</v>
      </c>
      <c r="G1" t="s">
        <v>6392</v>
      </c>
      <c r="H1" t="s">
        <v>459</v>
      </c>
      <c r="I1" t="s">
        <v>25382</v>
      </c>
      <c r="J1" t="s">
        <v>25383</v>
      </c>
      <c r="K1" t="s">
        <v>457</v>
      </c>
      <c r="L1" t="s">
        <v>25384</v>
      </c>
      <c r="M1" t="s">
        <v>25385</v>
      </c>
      <c r="N1" t="s">
        <v>25386</v>
      </c>
      <c r="O1" t="s">
        <v>25387</v>
      </c>
      <c r="P1" t="s">
        <v>25388</v>
      </c>
      <c r="Q1" t="s">
        <v>25389</v>
      </c>
      <c r="R1" t="s">
        <v>25390</v>
      </c>
      <c r="S1" t="s">
        <v>25391</v>
      </c>
      <c r="T1" t="s">
        <v>25392</v>
      </c>
      <c r="U1" t="s">
        <v>25393</v>
      </c>
      <c r="V1" t="s">
        <v>4014</v>
      </c>
      <c r="W1" t="s">
        <v>6382</v>
      </c>
      <c r="X1" t="s">
        <v>2967</v>
      </c>
    </row>
    <row r="2" spans="1:24" x14ac:dyDescent="0.35">
      <c r="A2" t="s">
        <v>1591</v>
      </c>
      <c r="B2" t="s">
        <v>1591</v>
      </c>
      <c r="C2" t="s">
        <v>5861</v>
      </c>
      <c r="D2" t="s">
        <v>25066</v>
      </c>
      <c r="E2">
        <v>38.670667566079103</v>
      </c>
      <c r="F2">
        <v>-4.0602689636418301</v>
      </c>
      <c r="G2">
        <v>2023</v>
      </c>
      <c r="H2">
        <v>20</v>
      </c>
      <c r="K2" t="s">
        <v>502</v>
      </c>
      <c r="L2" t="s">
        <v>25394</v>
      </c>
      <c r="M2">
        <v>100</v>
      </c>
      <c r="N2" s="8">
        <v>48000</v>
      </c>
      <c r="O2" s="36">
        <v>50000000</v>
      </c>
      <c r="P2" s="37">
        <f>50000000*1.07</f>
        <v>53500000</v>
      </c>
      <c r="Q2" t="s">
        <v>1074</v>
      </c>
      <c r="S2" t="s">
        <v>22295</v>
      </c>
      <c r="V2" t="str">
        <f t="shared" ref="V2:V33" si="0">IF(G2&lt;2023,"Operational","Under Constuction or FID")</f>
        <v>Under Constuction or FID</v>
      </c>
      <c r="W2" t="s">
        <v>25395</v>
      </c>
      <c r="X2" t="s">
        <v>25396</v>
      </c>
    </row>
    <row r="3" spans="1:24" ht="29" x14ac:dyDescent="0.35">
      <c r="A3" t="s">
        <v>25397</v>
      </c>
      <c r="B3" t="s">
        <v>25398</v>
      </c>
      <c r="C3" t="s">
        <v>5787</v>
      </c>
      <c r="D3" t="s">
        <v>225</v>
      </c>
      <c r="E3">
        <v>51.962349689397001</v>
      </c>
      <c r="F3">
        <v>4.0258173986465096</v>
      </c>
      <c r="G3">
        <v>2025</v>
      </c>
      <c r="H3">
        <v>200</v>
      </c>
      <c r="I3" s="8">
        <v>60000</v>
      </c>
      <c r="J3">
        <f t="shared" ref="J3:J66" si="1">I3*365/1000</f>
        <v>21900</v>
      </c>
      <c r="K3" t="s">
        <v>25399</v>
      </c>
      <c r="L3" t="s">
        <v>25400</v>
      </c>
      <c r="M3">
        <v>759</v>
      </c>
      <c r="P3" s="37"/>
      <c r="Q3" t="s">
        <v>25251</v>
      </c>
      <c r="R3" s="3" t="s">
        <v>25401</v>
      </c>
      <c r="S3" t="s">
        <v>22295</v>
      </c>
      <c r="V3" t="str">
        <f t="shared" si="0"/>
        <v>Under Constuction or FID</v>
      </c>
      <c r="W3" t="s">
        <v>880</v>
      </c>
      <c r="X3" t="s">
        <v>25402</v>
      </c>
    </row>
    <row r="4" spans="1:24" x14ac:dyDescent="0.35">
      <c r="A4" t="s">
        <v>4430</v>
      </c>
      <c r="B4" t="s">
        <v>4430</v>
      </c>
      <c r="C4" t="s">
        <v>84</v>
      </c>
      <c r="D4" t="s">
        <v>25229</v>
      </c>
      <c r="E4">
        <v>40.754961167300401</v>
      </c>
      <c r="F4">
        <v>114.84923784046499</v>
      </c>
      <c r="G4">
        <v>2022</v>
      </c>
      <c r="H4">
        <v>60</v>
      </c>
      <c r="K4" t="s">
        <v>502</v>
      </c>
      <c r="L4" t="s">
        <v>25403</v>
      </c>
      <c r="P4" s="37"/>
      <c r="Q4" t="s">
        <v>583</v>
      </c>
      <c r="R4" t="s">
        <v>25404</v>
      </c>
      <c r="S4" t="s">
        <v>22295</v>
      </c>
      <c r="V4" t="str">
        <f t="shared" si="0"/>
        <v>Operational</v>
      </c>
      <c r="W4" t="s">
        <v>880</v>
      </c>
      <c r="X4" t="s">
        <v>25405</v>
      </c>
    </row>
    <row r="5" spans="1:24" x14ac:dyDescent="0.35">
      <c r="A5" t="s">
        <v>25406</v>
      </c>
      <c r="B5" t="s">
        <v>25407</v>
      </c>
      <c r="C5" t="s">
        <v>84</v>
      </c>
      <c r="D5" t="s">
        <v>25229</v>
      </c>
      <c r="E5">
        <v>38.239439557156899</v>
      </c>
      <c r="F5">
        <v>106.558903948547</v>
      </c>
      <c r="G5">
        <v>2021</v>
      </c>
      <c r="H5">
        <v>150</v>
      </c>
      <c r="I5" s="8">
        <v>73973</v>
      </c>
      <c r="J5">
        <f t="shared" si="1"/>
        <v>27000.145</v>
      </c>
      <c r="K5" t="s">
        <v>25408</v>
      </c>
      <c r="L5" t="s">
        <v>25394</v>
      </c>
      <c r="M5">
        <v>200</v>
      </c>
      <c r="P5" s="37"/>
      <c r="S5" t="s">
        <v>22295</v>
      </c>
      <c r="V5" t="str">
        <f t="shared" si="0"/>
        <v>Operational</v>
      </c>
      <c r="W5" t="s">
        <v>25409</v>
      </c>
      <c r="X5" t="s">
        <v>25410</v>
      </c>
    </row>
    <row r="6" spans="1:24" x14ac:dyDescent="0.35">
      <c r="A6" t="s">
        <v>25411</v>
      </c>
      <c r="B6" t="s">
        <v>25412</v>
      </c>
      <c r="C6" t="s">
        <v>84</v>
      </c>
      <c r="D6" t="s">
        <v>25229</v>
      </c>
      <c r="E6">
        <v>41.7724399051774</v>
      </c>
      <c r="F6">
        <v>84.253577282188203</v>
      </c>
      <c r="G6">
        <v>2023</v>
      </c>
      <c r="H6">
        <v>200</v>
      </c>
      <c r="I6" s="8">
        <v>54795</v>
      </c>
      <c r="J6">
        <f t="shared" si="1"/>
        <v>20000.174999999999</v>
      </c>
      <c r="K6" t="s">
        <v>502</v>
      </c>
      <c r="L6" t="s">
        <v>25394</v>
      </c>
      <c r="M6">
        <v>300</v>
      </c>
      <c r="N6" s="8">
        <v>485000</v>
      </c>
      <c r="O6" s="21">
        <v>470000000</v>
      </c>
      <c r="P6" s="21">
        <v>470000000</v>
      </c>
      <c r="Q6" t="s">
        <v>25251</v>
      </c>
      <c r="R6" s="3" t="s">
        <v>25413</v>
      </c>
      <c r="S6" t="s">
        <v>22295</v>
      </c>
      <c r="V6" t="str">
        <f t="shared" si="0"/>
        <v>Under Constuction or FID</v>
      </c>
      <c r="W6" t="s">
        <v>25414</v>
      </c>
      <c r="X6" t="s">
        <v>25415</v>
      </c>
    </row>
    <row r="7" spans="1:24" ht="29" x14ac:dyDescent="0.35">
      <c r="A7" s="3" t="s">
        <v>25416</v>
      </c>
      <c r="B7" t="s">
        <v>25417</v>
      </c>
      <c r="C7" t="s">
        <v>84</v>
      </c>
      <c r="D7" t="s">
        <v>25229</v>
      </c>
      <c r="E7">
        <v>39.655816694311198</v>
      </c>
      <c r="F7">
        <v>109.74627433509499</v>
      </c>
      <c r="G7">
        <v>2023</v>
      </c>
      <c r="I7" s="8">
        <v>82192</v>
      </c>
      <c r="J7">
        <f t="shared" si="1"/>
        <v>30000.080000000002</v>
      </c>
      <c r="K7" t="s">
        <v>502</v>
      </c>
      <c r="L7" s="3" t="s">
        <v>25418</v>
      </c>
      <c r="M7">
        <v>720</v>
      </c>
      <c r="N7" s="38">
        <v>1430000</v>
      </c>
      <c r="O7" s="21">
        <v>828000000</v>
      </c>
      <c r="P7" s="21">
        <v>828000000</v>
      </c>
      <c r="Q7" t="s">
        <v>494</v>
      </c>
      <c r="R7" s="3" t="s">
        <v>25419</v>
      </c>
      <c r="S7" t="s">
        <v>22295</v>
      </c>
      <c r="V7" t="str">
        <f t="shared" si="0"/>
        <v>Under Constuction or FID</v>
      </c>
      <c r="W7" t="s">
        <v>25414</v>
      </c>
      <c r="X7" t="s">
        <v>25420</v>
      </c>
    </row>
    <row r="8" spans="1:24" x14ac:dyDescent="0.35">
      <c r="A8" t="s">
        <v>25421</v>
      </c>
      <c r="B8" t="s">
        <v>985</v>
      </c>
      <c r="C8" t="s">
        <v>368</v>
      </c>
      <c r="D8" t="s">
        <v>367</v>
      </c>
      <c r="E8">
        <v>46.3866616663679</v>
      </c>
      <c r="F8">
        <v>-72.375646796487302</v>
      </c>
      <c r="G8">
        <v>2021</v>
      </c>
      <c r="H8">
        <v>20</v>
      </c>
      <c r="I8" s="8">
        <v>8200</v>
      </c>
      <c r="J8">
        <f t="shared" si="1"/>
        <v>2993</v>
      </c>
      <c r="K8" t="s">
        <v>25399</v>
      </c>
      <c r="L8" t="s">
        <v>25422</v>
      </c>
      <c r="N8" s="8">
        <v>27000</v>
      </c>
      <c r="P8" s="37"/>
      <c r="Q8" t="s">
        <v>583</v>
      </c>
      <c r="R8" s="3" t="s">
        <v>25423</v>
      </c>
      <c r="S8" t="s">
        <v>22295</v>
      </c>
      <c r="V8" t="str">
        <f t="shared" si="0"/>
        <v>Operational</v>
      </c>
      <c r="W8" t="s">
        <v>469</v>
      </c>
      <c r="X8" t="s">
        <v>25424</v>
      </c>
    </row>
    <row r="9" spans="1:24" ht="29" x14ac:dyDescent="0.35">
      <c r="A9" s="3" t="s">
        <v>25425</v>
      </c>
      <c r="B9" s="3" t="s">
        <v>25426</v>
      </c>
      <c r="C9" t="s">
        <v>451</v>
      </c>
      <c r="D9" t="s">
        <v>450</v>
      </c>
      <c r="E9">
        <v>30.083600458089801</v>
      </c>
      <c r="F9">
        <v>-90.957138839609698</v>
      </c>
      <c r="G9">
        <v>2024</v>
      </c>
      <c r="H9">
        <v>20</v>
      </c>
      <c r="I9" s="8">
        <v>54795</v>
      </c>
      <c r="J9">
        <f t="shared" si="1"/>
        <v>20000.174999999999</v>
      </c>
      <c r="K9" t="s">
        <v>25408</v>
      </c>
      <c r="L9" t="s">
        <v>25422</v>
      </c>
      <c r="P9" s="37"/>
      <c r="Q9" t="s">
        <v>1074</v>
      </c>
      <c r="R9" s="3" t="s">
        <v>25427</v>
      </c>
      <c r="S9" t="s">
        <v>22295</v>
      </c>
      <c r="V9" t="str">
        <f t="shared" si="0"/>
        <v>Under Constuction or FID</v>
      </c>
      <c r="W9" t="s">
        <v>25428</v>
      </c>
      <c r="X9" t="s">
        <v>25429</v>
      </c>
    </row>
    <row r="10" spans="1:24" x14ac:dyDescent="0.35">
      <c r="A10" t="s">
        <v>25430</v>
      </c>
      <c r="B10" t="s">
        <v>25431</v>
      </c>
      <c r="C10" t="s">
        <v>451</v>
      </c>
      <c r="D10" t="s">
        <v>450</v>
      </c>
      <c r="E10">
        <v>30.240213552457899</v>
      </c>
      <c r="F10">
        <v>-91.106404762939306</v>
      </c>
      <c r="G10">
        <v>2023</v>
      </c>
      <c r="I10" s="8">
        <v>15000</v>
      </c>
      <c r="J10">
        <f t="shared" si="1"/>
        <v>5475</v>
      </c>
      <c r="K10" t="s">
        <v>25399</v>
      </c>
      <c r="L10" t="s">
        <v>25422</v>
      </c>
      <c r="P10" s="37"/>
      <c r="Q10" t="s">
        <v>583</v>
      </c>
      <c r="R10" s="3" t="s">
        <v>25432</v>
      </c>
      <c r="S10" t="s">
        <v>22295</v>
      </c>
      <c r="V10" t="str">
        <f t="shared" si="0"/>
        <v>Under Constuction or FID</v>
      </c>
      <c r="W10" t="s">
        <v>724</v>
      </c>
      <c r="X10" t="s">
        <v>25433</v>
      </c>
    </row>
    <row r="11" spans="1:24" x14ac:dyDescent="0.35">
      <c r="A11" s="3" t="s">
        <v>25434</v>
      </c>
      <c r="B11" t="s">
        <v>25435</v>
      </c>
      <c r="C11" t="s">
        <v>451</v>
      </c>
      <c r="D11" t="s">
        <v>450</v>
      </c>
      <c r="E11">
        <v>41.775504114143899</v>
      </c>
      <c r="F11">
        <v>-89.604922241922694</v>
      </c>
      <c r="G11">
        <v>2022</v>
      </c>
      <c r="I11" s="8">
        <v>142</v>
      </c>
      <c r="J11">
        <f t="shared" si="1"/>
        <v>51.83</v>
      </c>
      <c r="K11" t="s">
        <v>25399</v>
      </c>
      <c r="L11" t="s">
        <v>25394</v>
      </c>
      <c r="P11" s="37"/>
      <c r="Q11" t="s">
        <v>25436</v>
      </c>
      <c r="R11" s="3" t="s">
        <v>25437</v>
      </c>
      <c r="S11" t="s">
        <v>22295</v>
      </c>
      <c r="V11" t="str">
        <f t="shared" si="0"/>
        <v>Operational</v>
      </c>
      <c r="W11" t="s">
        <v>25438</v>
      </c>
      <c r="X11" t="s">
        <v>25439</v>
      </c>
    </row>
    <row r="12" spans="1:24" x14ac:dyDescent="0.35">
      <c r="A12" t="s">
        <v>25440</v>
      </c>
      <c r="B12" t="s">
        <v>25441</v>
      </c>
      <c r="C12" t="s">
        <v>451</v>
      </c>
      <c r="D12" t="s">
        <v>450</v>
      </c>
      <c r="E12">
        <v>30.799890105083101</v>
      </c>
      <c r="F12">
        <v>-81.690275657911002</v>
      </c>
      <c r="G12">
        <v>2023</v>
      </c>
      <c r="I12" s="8">
        <v>15000</v>
      </c>
      <c r="J12">
        <f t="shared" si="1"/>
        <v>5475</v>
      </c>
      <c r="K12" t="s">
        <v>25399</v>
      </c>
      <c r="L12" t="s">
        <v>25422</v>
      </c>
      <c r="P12" s="37"/>
      <c r="Q12" t="s">
        <v>583</v>
      </c>
      <c r="R12" s="3" t="s">
        <v>25432</v>
      </c>
      <c r="S12" t="s">
        <v>22295</v>
      </c>
      <c r="V12" t="str">
        <f t="shared" si="0"/>
        <v>Under Constuction or FID</v>
      </c>
      <c r="W12" t="s">
        <v>724</v>
      </c>
      <c r="X12" s="32" t="s">
        <v>25442</v>
      </c>
    </row>
    <row r="13" spans="1:24" x14ac:dyDescent="0.35">
      <c r="A13" s="3" t="s">
        <v>25443</v>
      </c>
      <c r="B13" t="s">
        <v>25441</v>
      </c>
      <c r="C13" t="s">
        <v>451</v>
      </c>
      <c r="D13" t="s">
        <v>450</v>
      </c>
      <c r="E13">
        <v>30.8066414605983</v>
      </c>
      <c r="F13">
        <v>-81.690919801611798</v>
      </c>
      <c r="G13">
        <v>2022</v>
      </c>
      <c r="I13" s="8">
        <v>15000</v>
      </c>
      <c r="J13">
        <f t="shared" si="1"/>
        <v>5475</v>
      </c>
      <c r="K13" t="s">
        <v>25399</v>
      </c>
      <c r="L13" t="s">
        <v>25394</v>
      </c>
      <c r="M13">
        <v>48</v>
      </c>
      <c r="O13" s="21">
        <v>84000000</v>
      </c>
      <c r="P13" s="21">
        <v>84000000</v>
      </c>
      <c r="Q13" t="s">
        <v>583</v>
      </c>
      <c r="R13" t="s">
        <v>25432</v>
      </c>
      <c r="S13" t="s">
        <v>22295</v>
      </c>
      <c r="V13" t="str">
        <f t="shared" si="0"/>
        <v>Operational</v>
      </c>
      <c r="W13" t="s">
        <v>724</v>
      </c>
      <c r="X13" t="s">
        <v>25444</v>
      </c>
    </row>
    <row r="14" spans="1:24" x14ac:dyDescent="0.35">
      <c r="A14" s="3" t="s">
        <v>25445</v>
      </c>
      <c r="B14" t="s">
        <v>25446</v>
      </c>
      <c r="C14" t="s">
        <v>451</v>
      </c>
      <c r="D14" t="s">
        <v>450</v>
      </c>
      <c r="E14">
        <v>32.9107882145112</v>
      </c>
      <c r="F14">
        <v>-111.77374889785</v>
      </c>
      <c r="G14">
        <v>2023</v>
      </c>
      <c r="I14" s="8">
        <v>10000</v>
      </c>
      <c r="J14">
        <f t="shared" si="1"/>
        <v>3650</v>
      </c>
      <c r="K14" t="s">
        <v>25408</v>
      </c>
      <c r="L14" t="s">
        <v>25447</v>
      </c>
      <c r="Q14" t="s">
        <v>583</v>
      </c>
      <c r="R14" s="3" t="s">
        <v>25448</v>
      </c>
      <c r="S14" t="s">
        <v>22295</v>
      </c>
      <c r="V14" t="str">
        <f t="shared" si="0"/>
        <v>Under Constuction or FID</v>
      </c>
      <c r="W14" t="s">
        <v>525</v>
      </c>
      <c r="X14" t="s">
        <v>25449</v>
      </c>
    </row>
    <row r="15" spans="1:24" x14ac:dyDescent="0.35">
      <c r="A15" s="3" t="s">
        <v>25450</v>
      </c>
      <c r="B15" t="s">
        <v>25451</v>
      </c>
      <c r="C15" t="s">
        <v>425</v>
      </c>
      <c r="D15" t="s">
        <v>424</v>
      </c>
      <c r="E15">
        <v>28.1417868835922</v>
      </c>
      <c r="F15">
        <v>34.840654880473501</v>
      </c>
      <c r="G15">
        <v>2025</v>
      </c>
      <c r="I15" s="8">
        <v>600000</v>
      </c>
      <c r="J15">
        <f t="shared" si="1"/>
        <v>219000</v>
      </c>
      <c r="K15" t="s">
        <v>502</v>
      </c>
      <c r="L15" t="s">
        <v>25452</v>
      </c>
      <c r="M15" s="8">
        <v>4000</v>
      </c>
      <c r="O15" s="21">
        <v>5000000000</v>
      </c>
      <c r="P15" s="21">
        <v>5000000000</v>
      </c>
      <c r="Q15" t="s">
        <v>1074</v>
      </c>
      <c r="R15" s="3" t="s">
        <v>25453</v>
      </c>
      <c r="S15" t="s">
        <v>22295</v>
      </c>
      <c r="V15" t="str">
        <f t="shared" si="0"/>
        <v>Under Constuction or FID</v>
      </c>
      <c r="W15" t="s">
        <v>25454</v>
      </c>
      <c r="X15" t="s">
        <v>25455</v>
      </c>
    </row>
    <row r="16" spans="1:24" x14ac:dyDescent="0.35">
      <c r="A16" s="3" t="s">
        <v>25456</v>
      </c>
      <c r="B16" t="s">
        <v>19162</v>
      </c>
      <c r="C16" t="s">
        <v>24</v>
      </c>
      <c r="D16" t="s">
        <v>354</v>
      </c>
      <c r="E16">
        <v>-20.619513093092301</v>
      </c>
      <c r="F16">
        <v>116.783675737632</v>
      </c>
      <c r="G16">
        <v>2024</v>
      </c>
      <c r="H16">
        <v>10</v>
      </c>
      <c r="I16" s="8">
        <v>1753</v>
      </c>
      <c r="J16">
        <f t="shared" si="1"/>
        <v>639.84500000000003</v>
      </c>
      <c r="K16" t="s">
        <v>502</v>
      </c>
      <c r="L16" t="s">
        <v>25394</v>
      </c>
      <c r="M16">
        <v>18</v>
      </c>
      <c r="Q16" t="s">
        <v>1074</v>
      </c>
      <c r="R16" s="3" t="s">
        <v>25457</v>
      </c>
      <c r="S16" t="s">
        <v>22295</v>
      </c>
      <c r="V16" t="str">
        <f t="shared" si="0"/>
        <v>Under Constuction or FID</v>
      </c>
      <c r="W16" t="s">
        <v>25458</v>
      </c>
      <c r="X16" t="s">
        <v>25459</v>
      </c>
    </row>
    <row r="17" spans="1:24" x14ac:dyDescent="0.35">
      <c r="A17" s="3" t="s">
        <v>25460</v>
      </c>
      <c r="B17" t="s">
        <v>2973</v>
      </c>
      <c r="C17" t="s">
        <v>24</v>
      </c>
      <c r="D17" t="s">
        <v>354</v>
      </c>
      <c r="E17">
        <v>-18.760774325228901</v>
      </c>
      <c r="F17">
        <v>146.887143036781</v>
      </c>
      <c r="G17">
        <v>2023</v>
      </c>
      <c r="I17" s="8">
        <v>383</v>
      </c>
      <c r="J17">
        <f t="shared" si="1"/>
        <v>139.79499999999999</v>
      </c>
      <c r="K17" t="s">
        <v>502</v>
      </c>
      <c r="L17" t="s">
        <v>25394</v>
      </c>
      <c r="O17" s="21">
        <v>13000000</v>
      </c>
      <c r="P17" s="21">
        <v>13000000</v>
      </c>
      <c r="Q17" t="s">
        <v>583</v>
      </c>
      <c r="R17" s="3" t="s">
        <v>25461</v>
      </c>
      <c r="S17" t="s">
        <v>22295</v>
      </c>
      <c r="V17" t="str">
        <f t="shared" si="0"/>
        <v>Under Constuction or FID</v>
      </c>
      <c r="W17" t="s">
        <v>25462</v>
      </c>
      <c r="X17" t="s">
        <v>25463</v>
      </c>
    </row>
    <row r="18" spans="1:24" ht="29" x14ac:dyDescent="0.35">
      <c r="A18" s="3" t="s">
        <v>25464</v>
      </c>
      <c r="B18" t="s">
        <v>2969</v>
      </c>
      <c r="C18" t="s">
        <v>24</v>
      </c>
      <c r="D18" t="s">
        <v>354</v>
      </c>
      <c r="E18">
        <v>-36.132814911412801</v>
      </c>
      <c r="F18">
        <v>146.88900619230901</v>
      </c>
      <c r="G18">
        <v>2023</v>
      </c>
      <c r="H18">
        <v>10</v>
      </c>
      <c r="K18" t="s">
        <v>502</v>
      </c>
      <c r="O18" t="s">
        <v>25465</v>
      </c>
      <c r="P18" s="37">
        <f>0.65*44000000</f>
        <v>28600000</v>
      </c>
      <c r="Q18" s="3" t="s">
        <v>25113</v>
      </c>
      <c r="R18" s="3" t="s">
        <v>25466</v>
      </c>
      <c r="S18" t="s">
        <v>22295</v>
      </c>
      <c r="V18" t="str">
        <f t="shared" si="0"/>
        <v>Under Constuction or FID</v>
      </c>
      <c r="W18" s="3" t="s">
        <v>25467</v>
      </c>
      <c r="X18" t="s">
        <v>25468</v>
      </c>
    </row>
    <row r="19" spans="1:24" ht="29" x14ac:dyDescent="0.35">
      <c r="A19" s="3" t="s">
        <v>25469</v>
      </c>
      <c r="B19" t="s">
        <v>2969</v>
      </c>
      <c r="C19" t="s">
        <v>24</v>
      </c>
      <c r="D19" t="s">
        <v>354</v>
      </c>
      <c r="E19">
        <v>-37.819641786787798</v>
      </c>
      <c r="F19">
        <v>145.03919687687099</v>
      </c>
      <c r="G19">
        <v>2023</v>
      </c>
      <c r="I19" s="8">
        <v>20</v>
      </c>
      <c r="J19">
        <f t="shared" si="1"/>
        <v>7.3</v>
      </c>
      <c r="K19" t="s">
        <v>25399</v>
      </c>
      <c r="L19" t="s">
        <v>25394</v>
      </c>
      <c r="O19" t="s">
        <v>25470</v>
      </c>
      <c r="P19" s="37">
        <f>2300000*0.65</f>
        <v>1495000</v>
      </c>
      <c r="Q19" t="s">
        <v>583</v>
      </c>
      <c r="R19" s="3" t="s">
        <v>25471</v>
      </c>
      <c r="S19" t="s">
        <v>22295</v>
      </c>
      <c r="V19" t="str">
        <f t="shared" si="0"/>
        <v>Under Constuction or FID</v>
      </c>
      <c r="W19" s="3" t="s">
        <v>25472</v>
      </c>
      <c r="X19" t="s">
        <v>25473</v>
      </c>
    </row>
    <row r="20" spans="1:24" ht="29" x14ac:dyDescent="0.35">
      <c r="A20" s="3" t="s">
        <v>25474</v>
      </c>
      <c r="B20" t="s">
        <v>2969</v>
      </c>
      <c r="C20" t="s">
        <v>24</v>
      </c>
      <c r="D20" t="s">
        <v>354</v>
      </c>
      <c r="E20">
        <v>-37.835574755167301</v>
      </c>
      <c r="F20">
        <v>144.82895169562201</v>
      </c>
      <c r="G20">
        <v>2021</v>
      </c>
      <c r="I20" s="8">
        <v>80</v>
      </c>
      <c r="J20">
        <f t="shared" si="1"/>
        <v>29.2</v>
      </c>
      <c r="K20" t="s">
        <v>25475</v>
      </c>
      <c r="L20" t="s">
        <v>25394</v>
      </c>
      <c r="M20">
        <v>0.58699999999999997</v>
      </c>
      <c r="O20" t="s">
        <v>25476</v>
      </c>
      <c r="P20" s="37">
        <f>7370000*0.65</f>
        <v>4790500</v>
      </c>
      <c r="Q20" t="s">
        <v>25477</v>
      </c>
      <c r="R20" s="3" t="s">
        <v>25478</v>
      </c>
      <c r="S20" t="s">
        <v>22295</v>
      </c>
      <c r="V20" t="str">
        <f t="shared" si="0"/>
        <v>Operational</v>
      </c>
      <c r="W20" t="s">
        <v>25479</v>
      </c>
      <c r="X20" t="s">
        <v>25480</v>
      </c>
    </row>
    <row r="21" spans="1:24" ht="29" x14ac:dyDescent="0.35">
      <c r="A21" s="3" t="s">
        <v>25481</v>
      </c>
      <c r="B21" t="s">
        <v>2969</v>
      </c>
      <c r="C21" t="s">
        <v>24</v>
      </c>
      <c r="D21" t="s">
        <v>354</v>
      </c>
      <c r="E21">
        <v>-37.829435584692497</v>
      </c>
      <c r="F21">
        <v>144.74984936099901</v>
      </c>
      <c r="G21">
        <v>2023</v>
      </c>
      <c r="I21">
        <f>(90+40)/2</f>
        <v>65</v>
      </c>
      <c r="J21">
        <f t="shared" si="1"/>
        <v>23.725000000000001</v>
      </c>
      <c r="K21" t="s">
        <v>25408</v>
      </c>
      <c r="L21" t="s">
        <v>25394</v>
      </c>
      <c r="M21">
        <v>0.64</v>
      </c>
      <c r="P21" s="37"/>
      <c r="Q21" t="s">
        <v>583</v>
      </c>
      <c r="R21" s="3" t="s">
        <v>25482</v>
      </c>
      <c r="S21" t="s">
        <v>22295</v>
      </c>
      <c r="V21" t="str">
        <f t="shared" si="0"/>
        <v>Under Constuction or FID</v>
      </c>
      <c r="W21" s="3" t="s">
        <v>25483</v>
      </c>
      <c r="X21" t="s">
        <v>25484</v>
      </c>
    </row>
    <row r="22" spans="1:24" x14ac:dyDescent="0.35">
      <c r="A22" s="3" t="s">
        <v>25485</v>
      </c>
      <c r="B22" t="s">
        <v>2969</v>
      </c>
      <c r="C22" t="s">
        <v>24</v>
      </c>
      <c r="D22" t="s">
        <v>354</v>
      </c>
      <c r="E22">
        <v>-38.0663681680238</v>
      </c>
      <c r="F22">
        <v>144.392178583001</v>
      </c>
      <c r="G22">
        <v>2023</v>
      </c>
      <c r="H22">
        <v>2.5</v>
      </c>
      <c r="I22" s="8">
        <v>1000</v>
      </c>
      <c r="J22">
        <f t="shared" si="1"/>
        <v>365</v>
      </c>
      <c r="K22" t="s">
        <v>25399</v>
      </c>
      <c r="L22" t="s">
        <v>25422</v>
      </c>
      <c r="O22" t="s">
        <v>25486</v>
      </c>
      <c r="P22" s="37">
        <f>43300000*0.65</f>
        <v>28145000</v>
      </c>
      <c r="Q22" t="s">
        <v>583</v>
      </c>
      <c r="R22" s="3" t="s">
        <v>25487</v>
      </c>
      <c r="S22" t="s">
        <v>22295</v>
      </c>
      <c r="V22" t="str">
        <f t="shared" si="0"/>
        <v>Under Constuction or FID</v>
      </c>
      <c r="W22" s="3" t="s">
        <v>25488</v>
      </c>
      <c r="X22" t="s">
        <v>25489</v>
      </c>
    </row>
    <row r="23" spans="1:24" ht="43.5" x14ac:dyDescent="0.35">
      <c r="A23" s="3" t="s">
        <v>25490</v>
      </c>
      <c r="B23" t="s">
        <v>25491</v>
      </c>
      <c r="C23" t="s">
        <v>24</v>
      </c>
      <c r="D23" t="s">
        <v>354</v>
      </c>
      <c r="E23">
        <v>-35.009113834068998</v>
      </c>
      <c r="F23">
        <v>138.57012418340301</v>
      </c>
      <c r="G23">
        <v>2021</v>
      </c>
      <c r="H23">
        <v>1.25</v>
      </c>
      <c r="I23">
        <v>480</v>
      </c>
      <c r="J23">
        <f t="shared" si="1"/>
        <v>175.2</v>
      </c>
      <c r="K23" t="s">
        <v>25399</v>
      </c>
      <c r="L23" t="s">
        <v>25422</v>
      </c>
      <c r="N23" s="8">
        <v>12000</v>
      </c>
      <c r="O23" t="s">
        <v>25492</v>
      </c>
      <c r="P23" s="37">
        <f>14500000*0.65</f>
        <v>9425000</v>
      </c>
      <c r="Q23" t="s">
        <v>25493</v>
      </c>
      <c r="R23" s="3" t="s">
        <v>25494</v>
      </c>
      <c r="S23" t="s">
        <v>22295</v>
      </c>
      <c r="V23" t="str">
        <f t="shared" si="0"/>
        <v>Operational</v>
      </c>
      <c r="W23" s="3" t="s">
        <v>25467</v>
      </c>
      <c r="X23" t="s">
        <v>25495</v>
      </c>
    </row>
    <row r="24" spans="1:24" x14ac:dyDescent="0.35">
      <c r="A24" s="3" t="s">
        <v>25496</v>
      </c>
      <c r="B24" t="s">
        <v>25497</v>
      </c>
      <c r="C24" t="s">
        <v>24</v>
      </c>
      <c r="D24" t="s">
        <v>354</v>
      </c>
      <c r="E24">
        <v>-25.922902052776699</v>
      </c>
      <c r="F24">
        <v>113.538006794813</v>
      </c>
      <c r="G24">
        <v>2023</v>
      </c>
      <c r="H24">
        <v>0.34799999999999998</v>
      </c>
      <c r="I24" s="8">
        <v>35</v>
      </c>
      <c r="J24">
        <f t="shared" si="1"/>
        <v>12.775</v>
      </c>
      <c r="K24" t="s">
        <v>502</v>
      </c>
      <c r="L24" t="s">
        <v>25394</v>
      </c>
      <c r="M24">
        <v>0.70399999999999996</v>
      </c>
      <c r="N24">
        <v>378</v>
      </c>
      <c r="O24" t="s">
        <v>25498</v>
      </c>
      <c r="P24" s="37">
        <f>9300000*0.65</f>
        <v>6045000</v>
      </c>
      <c r="Q24" t="s">
        <v>25436</v>
      </c>
      <c r="R24" s="3" t="s">
        <v>25499</v>
      </c>
      <c r="S24" t="s">
        <v>22295</v>
      </c>
      <c r="V24" t="str">
        <f t="shared" si="0"/>
        <v>Under Constuction or FID</v>
      </c>
      <c r="W24" s="3" t="s">
        <v>25500</v>
      </c>
      <c r="X24" t="s">
        <v>25501</v>
      </c>
    </row>
    <row r="25" spans="1:24" ht="29" x14ac:dyDescent="0.35">
      <c r="A25" s="3" t="s">
        <v>25502</v>
      </c>
      <c r="B25" t="s">
        <v>6461</v>
      </c>
      <c r="C25" t="s">
        <v>24</v>
      </c>
      <c r="D25" t="s">
        <v>354</v>
      </c>
      <c r="E25">
        <v>-32.135993128672503</v>
      </c>
      <c r="F25">
        <v>115.77011399468</v>
      </c>
      <c r="G25">
        <v>2023</v>
      </c>
      <c r="I25">
        <v>274</v>
      </c>
      <c r="J25">
        <f t="shared" si="1"/>
        <v>100.01</v>
      </c>
      <c r="K25" t="s">
        <v>1321</v>
      </c>
      <c r="L25" t="s">
        <v>25503</v>
      </c>
      <c r="O25" t="s">
        <v>25504</v>
      </c>
      <c r="P25" s="37">
        <f>25000000*0.65</f>
        <v>16250000</v>
      </c>
      <c r="R25" s="3" t="s">
        <v>25505</v>
      </c>
      <c r="S25" t="s">
        <v>22295</v>
      </c>
      <c r="V25" t="str">
        <f t="shared" si="0"/>
        <v>Under Constuction or FID</v>
      </c>
      <c r="W25" s="3" t="s">
        <v>25506</v>
      </c>
      <c r="X25" t="s">
        <v>25507</v>
      </c>
    </row>
    <row r="26" spans="1:24" ht="29" x14ac:dyDescent="0.35">
      <c r="A26" s="3" t="s">
        <v>25508</v>
      </c>
      <c r="B26" t="s">
        <v>6461</v>
      </c>
      <c r="C26" t="s">
        <v>24</v>
      </c>
      <c r="D26" t="s">
        <v>354</v>
      </c>
      <c r="E26">
        <v>-32.106982899577602</v>
      </c>
      <c r="F26">
        <v>115.858341083394</v>
      </c>
      <c r="G26">
        <v>2022</v>
      </c>
      <c r="H26">
        <v>0.26</v>
      </c>
      <c r="I26" s="8">
        <v>63</v>
      </c>
      <c r="J26">
        <f t="shared" si="1"/>
        <v>22.995000000000001</v>
      </c>
      <c r="K26" t="s">
        <v>25399</v>
      </c>
      <c r="L26" t="s">
        <v>25422</v>
      </c>
      <c r="O26" t="s">
        <v>25509</v>
      </c>
      <c r="P26" s="37">
        <f>1000000*0.65</f>
        <v>650000</v>
      </c>
      <c r="Q26" t="s">
        <v>583</v>
      </c>
      <c r="R26" s="3" t="s">
        <v>25510</v>
      </c>
      <c r="S26" t="s">
        <v>22295</v>
      </c>
      <c r="V26" t="str">
        <f t="shared" si="0"/>
        <v>Operational</v>
      </c>
      <c r="W26" s="3" t="s">
        <v>25511</v>
      </c>
      <c r="X26" t="s">
        <v>25512</v>
      </c>
    </row>
    <row r="27" spans="1:24" ht="29" x14ac:dyDescent="0.35">
      <c r="A27" s="3" t="s">
        <v>25513</v>
      </c>
      <c r="B27" t="s">
        <v>6461</v>
      </c>
      <c r="C27" t="s">
        <v>24</v>
      </c>
      <c r="D27" t="s">
        <v>354</v>
      </c>
      <c r="E27">
        <v>-32.102412118858197</v>
      </c>
      <c r="F27">
        <v>115.863634232622</v>
      </c>
      <c r="G27">
        <v>2022</v>
      </c>
      <c r="O27" t="s">
        <v>25514</v>
      </c>
      <c r="P27" s="37">
        <f>2600000*0.65</f>
        <v>1690000</v>
      </c>
      <c r="Q27" t="s">
        <v>25113</v>
      </c>
      <c r="R27" s="3" t="s">
        <v>25515</v>
      </c>
      <c r="S27" t="s">
        <v>22295</v>
      </c>
      <c r="V27" t="str">
        <f t="shared" si="0"/>
        <v>Operational</v>
      </c>
      <c r="W27" s="3" t="s">
        <v>25516</v>
      </c>
      <c r="X27" t="s">
        <v>25517</v>
      </c>
    </row>
    <row r="28" spans="1:24" x14ac:dyDescent="0.35">
      <c r="A28" s="3" t="s">
        <v>25518</v>
      </c>
      <c r="B28" t="s">
        <v>6461</v>
      </c>
      <c r="C28" t="s">
        <v>24</v>
      </c>
      <c r="D28" t="s">
        <v>354</v>
      </c>
      <c r="E28">
        <v>-32.113318845503599</v>
      </c>
      <c r="F28">
        <v>115.860815228129</v>
      </c>
      <c r="G28">
        <v>2019</v>
      </c>
      <c r="H28">
        <v>0.26</v>
      </c>
      <c r="I28" s="8">
        <v>63</v>
      </c>
      <c r="J28">
        <f t="shared" si="1"/>
        <v>22.995000000000001</v>
      </c>
      <c r="K28" t="s">
        <v>25399</v>
      </c>
      <c r="L28" t="s">
        <v>25394</v>
      </c>
      <c r="M28">
        <v>0.3</v>
      </c>
      <c r="O28" t="s">
        <v>25519</v>
      </c>
      <c r="P28" s="37">
        <f>3530000*0.65</f>
        <v>2294500</v>
      </c>
      <c r="Q28" t="s">
        <v>25477</v>
      </c>
      <c r="S28" t="s">
        <v>22295</v>
      </c>
      <c r="V28" t="str">
        <f t="shared" si="0"/>
        <v>Operational</v>
      </c>
      <c r="W28" s="3" t="s">
        <v>25516</v>
      </c>
      <c r="X28" t="s">
        <v>25520</v>
      </c>
    </row>
    <row r="29" spans="1:24" ht="29" x14ac:dyDescent="0.35">
      <c r="A29" s="3" t="s">
        <v>25521</v>
      </c>
      <c r="B29" t="s">
        <v>25522</v>
      </c>
      <c r="C29" t="s">
        <v>24</v>
      </c>
      <c r="D29" t="s">
        <v>354</v>
      </c>
      <c r="E29">
        <v>-23.809306456742501</v>
      </c>
      <c r="F29">
        <v>119.631865483398</v>
      </c>
      <c r="G29">
        <v>2023</v>
      </c>
      <c r="H29">
        <v>0.7</v>
      </c>
      <c r="I29">
        <v>180</v>
      </c>
      <c r="J29">
        <f t="shared" si="1"/>
        <v>65.7</v>
      </c>
      <c r="K29" t="s">
        <v>502</v>
      </c>
      <c r="L29" t="s">
        <v>25422</v>
      </c>
      <c r="O29" t="s">
        <v>25523</v>
      </c>
      <c r="P29" s="37">
        <f>32000000*0.65</f>
        <v>20800000</v>
      </c>
      <c r="Q29" t="s">
        <v>583</v>
      </c>
      <c r="R29" s="3" t="s">
        <v>25524</v>
      </c>
      <c r="S29" t="s">
        <v>22295</v>
      </c>
      <c r="V29" t="str">
        <f t="shared" si="0"/>
        <v>Under Constuction or FID</v>
      </c>
      <c r="W29" s="3" t="s">
        <v>25525</v>
      </c>
      <c r="X29" t="s">
        <v>25526</v>
      </c>
    </row>
    <row r="30" spans="1:24" x14ac:dyDescent="0.35">
      <c r="A30" s="3" t="s">
        <v>25527</v>
      </c>
      <c r="B30" t="s">
        <v>25491</v>
      </c>
      <c r="C30" t="s">
        <v>24</v>
      </c>
      <c r="D30" t="s">
        <v>354</v>
      </c>
      <c r="E30">
        <v>-34.750190457851403</v>
      </c>
      <c r="F30">
        <v>138.645260942562</v>
      </c>
      <c r="G30">
        <v>2023</v>
      </c>
      <c r="H30">
        <v>0.15</v>
      </c>
      <c r="I30" s="8">
        <v>40</v>
      </c>
      <c r="J30">
        <f t="shared" si="1"/>
        <v>14.6</v>
      </c>
      <c r="K30" t="s">
        <v>25399</v>
      </c>
      <c r="L30" t="s">
        <v>25422</v>
      </c>
      <c r="O30" t="s">
        <v>25528</v>
      </c>
      <c r="P30" s="37">
        <f>12500000*0.65</f>
        <v>8125000</v>
      </c>
      <c r="Q30" t="s">
        <v>583</v>
      </c>
      <c r="R30" s="3" t="s">
        <v>25529</v>
      </c>
      <c r="S30" t="s">
        <v>22295</v>
      </c>
      <c r="V30" t="str">
        <f t="shared" si="0"/>
        <v>Under Constuction or FID</v>
      </c>
      <c r="W30" s="3" t="s">
        <v>25530</v>
      </c>
      <c r="X30" t="s">
        <v>25531</v>
      </c>
    </row>
    <row r="31" spans="1:24" ht="43.5" x14ac:dyDescent="0.35">
      <c r="A31" s="3" t="s">
        <v>25532</v>
      </c>
      <c r="B31" t="s">
        <v>25533</v>
      </c>
      <c r="C31" t="s">
        <v>24</v>
      </c>
      <c r="D31" t="s">
        <v>354</v>
      </c>
      <c r="E31">
        <v>-33.825878413610397</v>
      </c>
      <c r="F31">
        <v>150.86203180237001</v>
      </c>
      <c r="G31">
        <v>2021</v>
      </c>
      <c r="H31">
        <v>0.5</v>
      </c>
      <c r="I31">
        <v>241</v>
      </c>
      <c r="J31">
        <f t="shared" si="1"/>
        <v>87.965000000000003</v>
      </c>
      <c r="K31" t="s">
        <v>25399</v>
      </c>
      <c r="L31" t="s">
        <v>25422</v>
      </c>
      <c r="O31" t="s">
        <v>25534</v>
      </c>
      <c r="P31" s="37">
        <f>15000000*0.65</f>
        <v>9750000</v>
      </c>
      <c r="Q31" t="s">
        <v>25535</v>
      </c>
      <c r="R31" s="3" t="s">
        <v>25536</v>
      </c>
      <c r="S31" t="s">
        <v>22295</v>
      </c>
      <c r="V31" t="str">
        <f t="shared" si="0"/>
        <v>Operational</v>
      </c>
      <c r="W31" s="3" t="s">
        <v>25537</v>
      </c>
      <c r="X31" t="s">
        <v>25538</v>
      </c>
    </row>
    <row r="32" spans="1:24" ht="29" x14ac:dyDescent="0.35">
      <c r="A32" s="3" t="s">
        <v>25539</v>
      </c>
      <c r="B32" t="s">
        <v>25540</v>
      </c>
      <c r="C32" t="s">
        <v>24</v>
      </c>
      <c r="D32" t="s">
        <v>354</v>
      </c>
      <c r="E32">
        <v>-34.511626861829001</v>
      </c>
      <c r="F32">
        <v>150.80835595056001</v>
      </c>
      <c r="G32">
        <v>2024</v>
      </c>
      <c r="I32" s="8">
        <v>548</v>
      </c>
      <c r="J32">
        <f t="shared" si="1"/>
        <v>200.02</v>
      </c>
      <c r="K32" t="s">
        <v>25541</v>
      </c>
      <c r="L32" t="s">
        <v>25542</v>
      </c>
      <c r="M32">
        <v>435</v>
      </c>
      <c r="O32" t="s">
        <v>25543</v>
      </c>
      <c r="P32" s="37">
        <f>83000000*0.65</f>
        <v>53950000</v>
      </c>
      <c r="Q32" t="s">
        <v>25436</v>
      </c>
      <c r="R32" s="3" t="s">
        <v>25544</v>
      </c>
      <c r="S32" t="s">
        <v>22295</v>
      </c>
      <c r="V32" t="str">
        <f t="shared" si="0"/>
        <v>Under Constuction or FID</v>
      </c>
      <c r="W32" s="3" t="s">
        <v>25545</v>
      </c>
      <c r="X32" t="s">
        <v>25546</v>
      </c>
    </row>
    <row r="33" spans="1:24" x14ac:dyDescent="0.35">
      <c r="A33" s="3" t="s">
        <v>25547</v>
      </c>
      <c r="B33" t="s">
        <v>4123</v>
      </c>
      <c r="C33" t="s">
        <v>24</v>
      </c>
      <c r="D33" t="s">
        <v>354</v>
      </c>
      <c r="E33">
        <v>-34.476324266062598</v>
      </c>
      <c r="F33">
        <v>150.906635396242</v>
      </c>
      <c r="G33">
        <v>2023</v>
      </c>
      <c r="J33">
        <f t="shared" si="1"/>
        <v>0</v>
      </c>
      <c r="K33" t="s">
        <v>261</v>
      </c>
      <c r="P33" s="37"/>
      <c r="Q33" t="s">
        <v>583</v>
      </c>
      <c r="R33" t="s">
        <v>25548</v>
      </c>
      <c r="S33" t="s">
        <v>22295</v>
      </c>
      <c r="V33" t="str">
        <f t="shared" si="0"/>
        <v>Under Constuction or FID</v>
      </c>
      <c r="W33" s="3" t="s">
        <v>25549</v>
      </c>
      <c r="X33" t="s">
        <v>25550</v>
      </c>
    </row>
    <row r="34" spans="1:24" ht="29" x14ac:dyDescent="0.35">
      <c r="A34" s="3" t="s">
        <v>25551</v>
      </c>
      <c r="B34" t="s">
        <v>2973</v>
      </c>
      <c r="C34" t="s">
        <v>24</v>
      </c>
      <c r="D34" t="s">
        <v>354</v>
      </c>
      <c r="E34">
        <v>-27.402494481041899</v>
      </c>
      <c r="F34">
        <v>153.136550124705</v>
      </c>
      <c r="G34">
        <v>2023</v>
      </c>
      <c r="H34">
        <v>0.22</v>
      </c>
      <c r="I34" s="8">
        <v>80</v>
      </c>
      <c r="J34">
        <f t="shared" si="1"/>
        <v>29.2</v>
      </c>
      <c r="K34" t="s">
        <v>25399</v>
      </c>
      <c r="L34" t="s">
        <v>25394</v>
      </c>
      <c r="M34">
        <v>0.1</v>
      </c>
      <c r="O34" t="s">
        <v>25552</v>
      </c>
      <c r="P34" s="37">
        <f>5540000*0.65</f>
        <v>3601000</v>
      </c>
      <c r="Q34" t="s">
        <v>583</v>
      </c>
      <c r="R34" s="3" t="s">
        <v>25553</v>
      </c>
      <c r="S34" t="s">
        <v>22295</v>
      </c>
      <c r="V34" t="str">
        <f t="shared" ref="V34:V65" si="2">IF(G34&lt;2023,"Operational","Under Constuction or FID")</f>
        <v>Under Constuction or FID</v>
      </c>
      <c r="W34" s="3" t="s">
        <v>25554</v>
      </c>
      <c r="X34" t="s">
        <v>25555</v>
      </c>
    </row>
    <row r="35" spans="1:24" x14ac:dyDescent="0.35">
      <c r="A35" s="3" t="s">
        <v>25556</v>
      </c>
      <c r="B35" t="s">
        <v>2973</v>
      </c>
      <c r="C35" t="s">
        <v>24</v>
      </c>
      <c r="D35" t="s">
        <v>354</v>
      </c>
      <c r="E35">
        <v>-27.5537713734014</v>
      </c>
      <c r="F35">
        <v>153.05490008313399</v>
      </c>
      <c r="G35">
        <v>2013</v>
      </c>
      <c r="H35">
        <v>0.16</v>
      </c>
      <c r="I35">
        <v>23</v>
      </c>
      <c r="J35">
        <f t="shared" si="1"/>
        <v>8.3949999999999996</v>
      </c>
      <c r="K35" t="s">
        <v>25408</v>
      </c>
      <c r="L35" t="s">
        <v>25394</v>
      </c>
      <c r="M35">
        <v>0.376</v>
      </c>
      <c r="P35" s="37"/>
      <c r="Q35" t="s">
        <v>25436</v>
      </c>
      <c r="R35" s="3" t="s">
        <v>25557</v>
      </c>
      <c r="S35" t="s">
        <v>22295</v>
      </c>
      <c r="V35" t="str">
        <f t="shared" si="2"/>
        <v>Operational</v>
      </c>
      <c r="W35" s="3" t="s">
        <v>25558</v>
      </c>
      <c r="X35" t="s">
        <v>25559</v>
      </c>
    </row>
    <row r="36" spans="1:24" ht="29" x14ac:dyDescent="0.35">
      <c r="A36" s="3" t="s">
        <v>25560</v>
      </c>
      <c r="B36" t="s">
        <v>25561</v>
      </c>
      <c r="C36" t="s">
        <v>24</v>
      </c>
      <c r="D36" t="s">
        <v>354</v>
      </c>
      <c r="E36">
        <v>-26.865341019375499</v>
      </c>
      <c r="F36">
        <v>150.76368071571</v>
      </c>
      <c r="G36">
        <v>2023</v>
      </c>
      <c r="H36">
        <v>1</v>
      </c>
      <c r="I36" s="8">
        <v>205</v>
      </c>
      <c r="J36">
        <f t="shared" si="1"/>
        <v>74.825000000000003</v>
      </c>
      <c r="K36" t="s">
        <v>25399</v>
      </c>
      <c r="L36" t="s">
        <v>25394</v>
      </c>
      <c r="M36">
        <v>2</v>
      </c>
      <c r="P36" s="37"/>
      <c r="Q36" s="3" t="s">
        <v>25562</v>
      </c>
      <c r="R36" s="3" t="s">
        <v>25563</v>
      </c>
      <c r="S36" t="s">
        <v>22295</v>
      </c>
      <c r="V36" t="str">
        <f t="shared" si="2"/>
        <v>Under Constuction or FID</v>
      </c>
      <c r="W36" s="3" t="s">
        <v>25564</v>
      </c>
      <c r="X36" t="s">
        <v>25565</v>
      </c>
    </row>
    <row r="37" spans="1:24" ht="43.5" x14ac:dyDescent="0.35">
      <c r="A37" s="3" t="s">
        <v>25566</v>
      </c>
      <c r="B37" t="s">
        <v>13040</v>
      </c>
      <c r="C37" t="s">
        <v>24</v>
      </c>
      <c r="D37" t="s">
        <v>354</v>
      </c>
      <c r="E37">
        <v>-26.585455111794499</v>
      </c>
      <c r="F37">
        <v>149.18572449093799</v>
      </c>
      <c r="G37">
        <v>2023</v>
      </c>
      <c r="H37">
        <v>0.05</v>
      </c>
      <c r="I37">
        <v>1</v>
      </c>
      <c r="J37">
        <f t="shared" si="1"/>
        <v>0.36499999999999999</v>
      </c>
      <c r="K37" s="3" t="s">
        <v>25567</v>
      </c>
      <c r="L37" t="s">
        <v>25394</v>
      </c>
      <c r="M37">
        <v>0.1</v>
      </c>
      <c r="O37" t="s">
        <v>25568</v>
      </c>
      <c r="P37" s="37">
        <f>2260000*0.65</f>
        <v>1469000</v>
      </c>
      <c r="Q37" t="s">
        <v>25113</v>
      </c>
      <c r="R37" s="3" t="s">
        <v>25569</v>
      </c>
      <c r="S37" t="s">
        <v>22295</v>
      </c>
      <c r="V37" t="str">
        <f t="shared" si="2"/>
        <v>Under Constuction or FID</v>
      </c>
      <c r="W37" s="3" t="s">
        <v>25570</v>
      </c>
      <c r="X37" t="s">
        <v>25571</v>
      </c>
    </row>
    <row r="38" spans="1:24" ht="43.5" x14ac:dyDescent="0.35">
      <c r="A38" s="3" t="s">
        <v>25572</v>
      </c>
      <c r="B38" t="s">
        <v>25573</v>
      </c>
      <c r="C38" t="s">
        <v>24</v>
      </c>
      <c r="D38" t="s">
        <v>354</v>
      </c>
      <c r="E38">
        <v>-23.828799547008501</v>
      </c>
      <c r="F38">
        <v>151.23433293493301</v>
      </c>
      <c r="G38">
        <v>2023</v>
      </c>
      <c r="I38" s="8">
        <v>821</v>
      </c>
      <c r="J38">
        <f t="shared" si="1"/>
        <v>299.66500000000002</v>
      </c>
      <c r="K38" t="s">
        <v>502</v>
      </c>
      <c r="L38" t="s">
        <v>25422</v>
      </c>
      <c r="P38" s="37"/>
      <c r="Q38" t="s">
        <v>25251</v>
      </c>
      <c r="R38" s="3" t="s">
        <v>25574</v>
      </c>
      <c r="S38" t="s">
        <v>22295</v>
      </c>
      <c r="V38" t="str">
        <f t="shared" si="2"/>
        <v>Under Constuction or FID</v>
      </c>
      <c r="W38" s="3" t="s">
        <v>25575</v>
      </c>
      <c r="X38" t="s">
        <v>25576</v>
      </c>
    </row>
    <row r="39" spans="1:24" ht="43.5" x14ac:dyDescent="0.35">
      <c r="A39" s="3" t="s">
        <v>25577</v>
      </c>
      <c r="B39" t="s">
        <v>25578</v>
      </c>
      <c r="C39" t="s">
        <v>24</v>
      </c>
      <c r="D39" t="s">
        <v>354</v>
      </c>
      <c r="E39">
        <v>-23.868317390818401</v>
      </c>
      <c r="F39">
        <v>151.26672765111701</v>
      </c>
      <c r="G39">
        <v>2023</v>
      </c>
      <c r="H39">
        <v>0.17499999999999999</v>
      </c>
      <c r="I39">
        <v>65</v>
      </c>
      <c r="J39">
        <f t="shared" si="1"/>
        <v>23.725000000000001</v>
      </c>
      <c r="K39" t="s">
        <v>25399</v>
      </c>
      <c r="L39" t="s">
        <v>25422</v>
      </c>
      <c r="O39" t="s">
        <v>25579</v>
      </c>
      <c r="P39" s="37">
        <f>4200000*0.65</f>
        <v>2730000</v>
      </c>
      <c r="Q39" t="s">
        <v>25113</v>
      </c>
      <c r="R39" s="3" t="s">
        <v>25580</v>
      </c>
      <c r="S39" t="s">
        <v>22295</v>
      </c>
      <c r="V39" t="str">
        <f t="shared" si="2"/>
        <v>Under Constuction or FID</v>
      </c>
      <c r="W39" s="3" t="s">
        <v>25467</v>
      </c>
      <c r="X39" t="s">
        <v>25581</v>
      </c>
    </row>
    <row r="40" spans="1:24" ht="29" x14ac:dyDescent="0.35">
      <c r="A40" s="3" t="s">
        <v>25582</v>
      </c>
      <c r="B40" t="s">
        <v>25583</v>
      </c>
      <c r="C40" t="s">
        <v>24</v>
      </c>
      <c r="D40" t="s">
        <v>354</v>
      </c>
      <c r="E40">
        <v>-35.327032348662698</v>
      </c>
      <c r="F40">
        <v>149.17134048020901</v>
      </c>
      <c r="G40">
        <v>2023</v>
      </c>
      <c r="H40">
        <v>1.2500000000000001E-2</v>
      </c>
      <c r="I40" s="8">
        <v>1</v>
      </c>
      <c r="J40">
        <f t="shared" si="1"/>
        <v>0.36499999999999999</v>
      </c>
      <c r="K40" t="s">
        <v>25408</v>
      </c>
      <c r="L40" t="s">
        <v>25394</v>
      </c>
      <c r="O40" t="s">
        <v>25584</v>
      </c>
      <c r="P40" s="37">
        <f>600000*0.65</f>
        <v>390000</v>
      </c>
      <c r="Q40" t="s">
        <v>25113</v>
      </c>
      <c r="R40" s="3" t="s">
        <v>25585</v>
      </c>
      <c r="S40" t="s">
        <v>22295</v>
      </c>
      <c r="V40" t="str">
        <f t="shared" si="2"/>
        <v>Under Constuction or FID</v>
      </c>
      <c r="W40" s="3" t="s">
        <v>25234</v>
      </c>
      <c r="X40" t="s">
        <v>25586</v>
      </c>
    </row>
    <row r="41" spans="1:24" x14ac:dyDescent="0.35">
      <c r="A41" s="3" t="s">
        <v>25587</v>
      </c>
      <c r="B41" t="s">
        <v>25588</v>
      </c>
      <c r="C41" t="s">
        <v>24</v>
      </c>
      <c r="D41" t="s">
        <v>354</v>
      </c>
      <c r="E41">
        <v>-33.3470500539322</v>
      </c>
      <c r="F41">
        <v>138.210310851532</v>
      </c>
      <c r="G41">
        <v>2024</v>
      </c>
      <c r="H41">
        <v>50</v>
      </c>
      <c r="I41" s="8">
        <v>20000</v>
      </c>
      <c r="J41">
        <f t="shared" si="1"/>
        <v>7300</v>
      </c>
      <c r="K41" t="s">
        <v>502</v>
      </c>
      <c r="L41" t="s">
        <v>25452</v>
      </c>
      <c r="M41">
        <v>300</v>
      </c>
      <c r="O41" s="21">
        <v>600000000</v>
      </c>
      <c r="P41" s="21">
        <v>600000000</v>
      </c>
      <c r="Q41" t="s">
        <v>6424</v>
      </c>
      <c r="R41" s="3" t="s">
        <v>25589</v>
      </c>
      <c r="S41" t="s">
        <v>22295</v>
      </c>
      <c r="V41" t="str">
        <f t="shared" si="2"/>
        <v>Under Constuction or FID</v>
      </c>
      <c r="W41" s="3" t="s">
        <v>25590</v>
      </c>
      <c r="X41" t="s">
        <v>25591</v>
      </c>
    </row>
    <row r="42" spans="1:24" ht="73" customHeight="1" x14ac:dyDescent="0.35">
      <c r="A42" s="3" t="s">
        <v>25592</v>
      </c>
      <c r="B42" t="s">
        <v>25593</v>
      </c>
      <c r="C42" t="s">
        <v>24</v>
      </c>
      <c r="D42" t="s">
        <v>354</v>
      </c>
      <c r="E42">
        <v>-30.746050952760701</v>
      </c>
      <c r="F42">
        <v>150.72637614356199</v>
      </c>
      <c r="G42">
        <v>2023</v>
      </c>
      <c r="K42" t="s">
        <v>502</v>
      </c>
      <c r="L42" t="s">
        <v>25394</v>
      </c>
      <c r="M42">
        <v>5</v>
      </c>
      <c r="O42" t="s">
        <v>25594</v>
      </c>
      <c r="P42" s="37">
        <f>7300000*0.65</f>
        <v>4745000</v>
      </c>
      <c r="Q42" t="s">
        <v>25436</v>
      </c>
      <c r="R42" s="3" t="s">
        <v>25595</v>
      </c>
      <c r="S42" t="s">
        <v>22295</v>
      </c>
      <c r="V42" t="str">
        <f t="shared" si="2"/>
        <v>Under Constuction or FID</v>
      </c>
      <c r="W42" s="3" t="s">
        <v>25596</v>
      </c>
      <c r="X42" t="s">
        <v>25597</v>
      </c>
    </row>
    <row r="43" spans="1:24" ht="29" x14ac:dyDescent="0.35">
      <c r="A43" s="3" t="s">
        <v>25598</v>
      </c>
      <c r="B43" t="s">
        <v>17251</v>
      </c>
      <c r="C43" t="s">
        <v>24</v>
      </c>
      <c r="D43" t="s">
        <v>354</v>
      </c>
      <c r="E43">
        <v>-41.097482943074702</v>
      </c>
      <c r="F43">
        <v>146.816268062142</v>
      </c>
      <c r="G43">
        <v>2022</v>
      </c>
      <c r="I43" s="8">
        <v>1490</v>
      </c>
      <c r="J43">
        <f t="shared" si="1"/>
        <v>543.85</v>
      </c>
      <c r="K43" t="s">
        <v>25408</v>
      </c>
      <c r="L43" t="s">
        <v>25394</v>
      </c>
      <c r="M43">
        <v>5</v>
      </c>
      <c r="O43" t="s">
        <v>25599</v>
      </c>
      <c r="P43" s="37">
        <f>5500000*0.65</f>
        <v>3575000</v>
      </c>
      <c r="Q43" t="s">
        <v>583</v>
      </c>
      <c r="R43" s="3" t="s">
        <v>25600</v>
      </c>
      <c r="S43" t="s">
        <v>22295</v>
      </c>
      <c r="V43" t="str">
        <f t="shared" si="2"/>
        <v>Operational</v>
      </c>
      <c r="W43" s="3" t="s">
        <v>25601</v>
      </c>
      <c r="X43" t="s">
        <v>25602</v>
      </c>
    </row>
    <row r="44" spans="1:24" x14ac:dyDescent="0.35">
      <c r="A44" s="3" t="s">
        <v>25603</v>
      </c>
      <c r="B44" t="s">
        <v>2973</v>
      </c>
      <c r="C44" t="s">
        <v>24</v>
      </c>
      <c r="D44" t="s">
        <v>354</v>
      </c>
      <c r="E44">
        <v>-19.259024644095799</v>
      </c>
      <c r="F44">
        <v>146.81706561974201</v>
      </c>
      <c r="G44">
        <v>2024</v>
      </c>
      <c r="K44" t="s">
        <v>502</v>
      </c>
      <c r="P44" s="37"/>
      <c r="Q44" t="s">
        <v>583</v>
      </c>
      <c r="R44" s="3" t="s">
        <v>25604</v>
      </c>
      <c r="S44" t="s">
        <v>22295</v>
      </c>
      <c r="V44" t="str">
        <f t="shared" si="2"/>
        <v>Under Constuction or FID</v>
      </c>
      <c r="W44" s="3" t="s">
        <v>25605</v>
      </c>
      <c r="X44" t="s">
        <v>25606</v>
      </c>
    </row>
    <row r="45" spans="1:24" ht="48" customHeight="1" x14ac:dyDescent="0.35">
      <c r="A45" s="3" t="s">
        <v>25607</v>
      </c>
      <c r="B45" t="s">
        <v>17251</v>
      </c>
      <c r="C45" t="s">
        <v>24</v>
      </c>
      <c r="D45" t="s">
        <v>354</v>
      </c>
      <c r="E45">
        <v>-41.393067835326001</v>
      </c>
      <c r="F45">
        <v>147.123345663614</v>
      </c>
      <c r="G45">
        <v>2024</v>
      </c>
      <c r="I45" s="8">
        <v>288</v>
      </c>
      <c r="J45">
        <f t="shared" si="1"/>
        <v>105.12</v>
      </c>
      <c r="K45" t="s">
        <v>25399</v>
      </c>
      <c r="L45" t="s">
        <v>25422</v>
      </c>
      <c r="P45" s="37"/>
      <c r="Q45" t="s">
        <v>25436</v>
      </c>
      <c r="R45" s="3" t="s">
        <v>25608</v>
      </c>
      <c r="S45" t="s">
        <v>22295</v>
      </c>
      <c r="V45" t="str">
        <f t="shared" si="2"/>
        <v>Under Constuction or FID</v>
      </c>
      <c r="W45" s="3" t="s">
        <v>25609</v>
      </c>
      <c r="X45" t="s">
        <v>25610</v>
      </c>
    </row>
    <row r="46" spans="1:24" x14ac:dyDescent="0.35">
      <c r="A46" s="3" t="s">
        <v>25611</v>
      </c>
      <c r="B46" t="s">
        <v>25612</v>
      </c>
      <c r="C46" t="s">
        <v>451</v>
      </c>
      <c r="D46" t="s">
        <v>450</v>
      </c>
      <c r="E46">
        <v>39.029069033161299</v>
      </c>
      <c r="F46">
        <v>-77.142583443453006</v>
      </c>
      <c r="G46">
        <v>2025</v>
      </c>
      <c r="I46">
        <v>131</v>
      </c>
      <c r="J46">
        <f t="shared" si="1"/>
        <v>47.814999999999998</v>
      </c>
      <c r="K46" t="s">
        <v>502</v>
      </c>
      <c r="L46" t="s">
        <v>25394</v>
      </c>
      <c r="M46">
        <v>5</v>
      </c>
      <c r="N46" s="8">
        <v>4000</v>
      </c>
      <c r="P46" s="37"/>
      <c r="Q46" t="s">
        <v>583</v>
      </c>
      <c r="R46" s="3" t="s">
        <v>25613</v>
      </c>
      <c r="S46" t="s">
        <v>22295</v>
      </c>
      <c r="V46" t="str">
        <f t="shared" si="2"/>
        <v>Under Constuction or FID</v>
      </c>
      <c r="W46" s="3" t="s">
        <v>25614</v>
      </c>
      <c r="X46" t="s">
        <v>25615</v>
      </c>
    </row>
    <row r="47" spans="1:24" ht="29" x14ac:dyDescent="0.35">
      <c r="A47" s="3" t="s">
        <v>25616</v>
      </c>
      <c r="B47" t="s">
        <v>25617</v>
      </c>
      <c r="C47" t="s">
        <v>451</v>
      </c>
      <c r="D47" t="s">
        <v>450</v>
      </c>
      <c r="E47">
        <v>27.6434844887842</v>
      </c>
      <c r="F47">
        <v>-80.791395118880502</v>
      </c>
      <c r="G47">
        <v>2023</v>
      </c>
      <c r="H47">
        <v>25</v>
      </c>
      <c r="I47" s="8">
        <v>10800</v>
      </c>
      <c r="J47">
        <f t="shared" si="1"/>
        <v>3942</v>
      </c>
      <c r="K47" t="s">
        <v>25399</v>
      </c>
      <c r="L47" t="s">
        <v>25394</v>
      </c>
      <c r="O47" s="21">
        <v>65000000</v>
      </c>
      <c r="P47" s="21">
        <v>65000000</v>
      </c>
      <c r="Q47" t="s">
        <v>25113</v>
      </c>
      <c r="R47" s="3" t="s">
        <v>25618</v>
      </c>
      <c r="S47" t="s">
        <v>22295</v>
      </c>
      <c r="V47" t="str">
        <f t="shared" si="2"/>
        <v>Under Constuction or FID</v>
      </c>
      <c r="W47" s="3" t="s">
        <v>25619</v>
      </c>
      <c r="X47" t="s">
        <v>25620</v>
      </c>
    </row>
    <row r="48" spans="1:24" x14ac:dyDescent="0.35">
      <c r="A48" s="3" t="s">
        <v>25621</v>
      </c>
      <c r="B48" t="s">
        <v>25622</v>
      </c>
      <c r="C48" t="s">
        <v>451</v>
      </c>
      <c r="D48" t="s">
        <v>450</v>
      </c>
      <c r="E48">
        <v>37.046261652831099</v>
      </c>
      <c r="F48">
        <v>-95.604018237273095</v>
      </c>
      <c r="G48">
        <v>2011</v>
      </c>
      <c r="I48" s="8">
        <v>210000</v>
      </c>
      <c r="J48">
        <f t="shared" si="1"/>
        <v>76650</v>
      </c>
      <c r="K48" t="s">
        <v>25623</v>
      </c>
      <c r="L48" t="s">
        <v>25624</v>
      </c>
      <c r="N48" s="8">
        <v>650000</v>
      </c>
      <c r="P48" s="37"/>
      <c r="Q48" t="s">
        <v>1074</v>
      </c>
      <c r="R48" s="3" t="s">
        <v>25625</v>
      </c>
      <c r="S48" t="s">
        <v>22295</v>
      </c>
      <c r="V48" t="str">
        <f t="shared" si="2"/>
        <v>Operational</v>
      </c>
      <c r="W48" s="3" t="s">
        <v>25626</v>
      </c>
      <c r="X48" t="s">
        <v>25627</v>
      </c>
    </row>
    <row r="49" spans="1:24" x14ac:dyDescent="0.35">
      <c r="A49" s="3" t="s">
        <v>25628</v>
      </c>
      <c r="B49" t="s">
        <v>25629</v>
      </c>
      <c r="C49" t="s">
        <v>451</v>
      </c>
      <c r="D49" t="s">
        <v>450</v>
      </c>
      <c r="E49">
        <v>47.513102782041102</v>
      </c>
      <c r="F49">
        <v>-120.292927104821</v>
      </c>
      <c r="G49">
        <v>2024</v>
      </c>
      <c r="H49">
        <v>10</v>
      </c>
      <c r="I49" s="8">
        <v>2000</v>
      </c>
      <c r="J49">
        <f t="shared" si="1"/>
        <v>730</v>
      </c>
      <c r="K49" t="s">
        <v>25399</v>
      </c>
      <c r="L49" t="s">
        <v>25630</v>
      </c>
      <c r="O49" s="21">
        <v>25000000</v>
      </c>
      <c r="P49" s="21">
        <v>25000001</v>
      </c>
      <c r="Q49" t="s">
        <v>25477</v>
      </c>
      <c r="S49" t="s">
        <v>22295</v>
      </c>
      <c r="V49" t="str">
        <f t="shared" si="2"/>
        <v>Under Constuction or FID</v>
      </c>
      <c r="W49" s="3" t="s">
        <v>25631</v>
      </c>
      <c r="X49" t="s">
        <v>25632</v>
      </c>
    </row>
    <row r="50" spans="1:24" x14ac:dyDescent="0.35">
      <c r="A50" s="3" t="s">
        <v>25633</v>
      </c>
      <c r="B50" t="s">
        <v>25634</v>
      </c>
      <c r="C50" t="s">
        <v>451</v>
      </c>
      <c r="D50" t="s">
        <v>450</v>
      </c>
      <c r="E50" s="39">
        <v>33.932206261687703</v>
      </c>
      <c r="F50" s="39">
        <v>-116.354654185143</v>
      </c>
      <c r="G50">
        <v>2021</v>
      </c>
      <c r="I50" s="8">
        <v>650</v>
      </c>
      <c r="J50">
        <f t="shared" si="1"/>
        <v>237.25</v>
      </c>
      <c r="K50" t="s">
        <v>25635</v>
      </c>
      <c r="L50" t="s">
        <v>25636</v>
      </c>
      <c r="Q50" t="s">
        <v>583</v>
      </c>
      <c r="R50" t="s">
        <v>25637</v>
      </c>
      <c r="S50" t="s">
        <v>22295</v>
      </c>
      <c r="V50" t="str">
        <f t="shared" si="2"/>
        <v>Operational</v>
      </c>
      <c r="W50" s="3" t="s">
        <v>25638</v>
      </c>
      <c r="X50" t="s">
        <v>25639</v>
      </c>
    </row>
    <row r="51" spans="1:24" x14ac:dyDescent="0.35">
      <c r="A51" s="3" t="s">
        <v>25640</v>
      </c>
      <c r="B51" t="s">
        <v>25641</v>
      </c>
      <c r="C51" t="s">
        <v>451</v>
      </c>
      <c r="D51" t="s">
        <v>450</v>
      </c>
      <c r="E51" s="39">
        <v>36.5065236708502</v>
      </c>
      <c r="F51" s="39">
        <v>-97.826215965395704</v>
      </c>
      <c r="G51">
        <v>2003</v>
      </c>
      <c r="I51" s="8">
        <v>413000</v>
      </c>
      <c r="J51">
        <f t="shared" si="1"/>
        <v>150745</v>
      </c>
      <c r="K51" t="s">
        <v>25623</v>
      </c>
      <c r="L51" t="s">
        <v>25636</v>
      </c>
      <c r="N51" s="8">
        <v>680000</v>
      </c>
      <c r="Q51" t="s">
        <v>1074</v>
      </c>
      <c r="R51" t="s">
        <v>25642</v>
      </c>
      <c r="S51" t="s">
        <v>22295</v>
      </c>
      <c r="V51" t="str">
        <f t="shared" si="2"/>
        <v>Operational</v>
      </c>
      <c r="W51" s="3" t="s">
        <v>25643</v>
      </c>
      <c r="X51" t="s">
        <v>25644</v>
      </c>
    </row>
    <row r="52" spans="1:24" ht="29" x14ac:dyDescent="0.35">
      <c r="A52" s="3" t="s">
        <v>25645</v>
      </c>
      <c r="B52" t="s">
        <v>25646</v>
      </c>
      <c r="C52" t="s">
        <v>451</v>
      </c>
      <c r="D52" t="s">
        <v>450</v>
      </c>
      <c r="E52" s="39">
        <v>43.260582769438898</v>
      </c>
      <c r="F52" s="39">
        <v>-78.390083668646199</v>
      </c>
      <c r="G52">
        <v>2023</v>
      </c>
      <c r="H52">
        <v>120</v>
      </c>
      <c r="I52" s="8">
        <v>45000</v>
      </c>
      <c r="J52">
        <f t="shared" si="1"/>
        <v>16425</v>
      </c>
      <c r="K52" t="s">
        <v>25399</v>
      </c>
      <c r="L52" t="s">
        <v>25630</v>
      </c>
      <c r="Q52" t="s">
        <v>25477</v>
      </c>
      <c r="R52" t="s">
        <v>25647</v>
      </c>
      <c r="S52" t="s">
        <v>22295</v>
      </c>
      <c r="V52" t="str">
        <f t="shared" si="2"/>
        <v>Under Constuction or FID</v>
      </c>
      <c r="W52" s="3" t="s">
        <v>724</v>
      </c>
      <c r="X52" t="s">
        <v>25648</v>
      </c>
    </row>
    <row r="53" spans="1:24" x14ac:dyDescent="0.35">
      <c r="A53" s="3" t="s">
        <v>25649</v>
      </c>
      <c r="B53" t="s">
        <v>25650</v>
      </c>
      <c r="C53" t="s">
        <v>451</v>
      </c>
      <c r="D53" t="s">
        <v>450</v>
      </c>
      <c r="E53" s="39">
        <v>40.047578177458803</v>
      </c>
      <c r="F53" s="39">
        <v>-105.155681971606</v>
      </c>
      <c r="G53">
        <v>2021</v>
      </c>
      <c r="H53">
        <v>1.25</v>
      </c>
      <c r="K53" t="s">
        <v>25399</v>
      </c>
      <c r="L53" t="s">
        <v>25422</v>
      </c>
      <c r="O53" s="21">
        <v>6500000</v>
      </c>
      <c r="P53" s="21">
        <v>6500000</v>
      </c>
      <c r="Q53" t="s">
        <v>25651</v>
      </c>
      <c r="R53" t="s">
        <v>25652</v>
      </c>
      <c r="S53" t="s">
        <v>22295</v>
      </c>
      <c r="V53" t="str">
        <f t="shared" si="2"/>
        <v>Operational</v>
      </c>
      <c r="W53" s="3" t="s">
        <v>25653</v>
      </c>
      <c r="X53" t="s">
        <v>25654</v>
      </c>
    </row>
    <row r="54" spans="1:24" x14ac:dyDescent="0.35">
      <c r="A54" t="s">
        <v>25655</v>
      </c>
      <c r="B54" t="s">
        <v>25656</v>
      </c>
      <c r="C54" t="s">
        <v>451</v>
      </c>
      <c r="D54" t="s">
        <v>450</v>
      </c>
      <c r="E54" s="39">
        <v>30.2882203227357</v>
      </c>
      <c r="F54" s="39">
        <v>-97.733413881052599</v>
      </c>
      <c r="G54">
        <v>2020</v>
      </c>
      <c r="H54">
        <v>0.18</v>
      </c>
      <c r="K54" t="s">
        <v>25399</v>
      </c>
      <c r="L54" s="33" t="s">
        <v>25657</v>
      </c>
      <c r="P54" s="37"/>
      <c r="Q54" t="s">
        <v>25477</v>
      </c>
      <c r="R54" t="s">
        <v>25658</v>
      </c>
      <c r="S54" t="s">
        <v>22295</v>
      </c>
      <c r="V54" t="str">
        <f t="shared" si="2"/>
        <v>Operational</v>
      </c>
      <c r="W54" s="3" t="s">
        <v>25659</v>
      </c>
      <c r="X54" t="s">
        <v>25660</v>
      </c>
    </row>
    <row r="55" spans="1:24" x14ac:dyDescent="0.35">
      <c r="A55" s="3" t="s">
        <v>25661</v>
      </c>
      <c r="B55" t="s">
        <v>25662</v>
      </c>
      <c r="C55" t="s">
        <v>451</v>
      </c>
      <c r="D55" t="s">
        <v>450</v>
      </c>
      <c r="E55" s="39">
        <v>47.355294686488598</v>
      </c>
      <c r="F55" s="39">
        <v>-101.769471642453</v>
      </c>
      <c r="G55">
        <v>2026</v>
      </c>
      <c r="I55" s="8">
        <v>849000</v>
      </c>
      <c r="J55">
        <f t="shared" si="1"/>
        <v>309885</v>
      </c>
      <c r="K55" t="s">
        <v>1701</v>
      </c>
      <c r="L55" s="3" t="s">
        <v>25663</v>
      </c>
      <c r="N55" s="8">
        <v>3000000</v>
      </c>
      <c r="P55" s="37"/>
      <c r="Q55" t="s">
        <v>25664</v>
      </c>
      <c r="R55" t="s">
        <v>25665</v>
      </c>
      <c r="S55" t="s">
        <v>22295</v>
      </c>
      <c r="V55" t="str">
        <f t="shared" si="2"/>
        <v>Under Constuction or FID</v>
      </c>
      <c r="W55" s="3" t="s">
        <v>25666</v>
      </c>
      <c r="X55" t="s">
        <v>25667</v>
      </c>
    </row>
    <row r="56" spans="1:24" x14ac:dyDescent="0.35">
      <c r="A56" s="3" t="s">
        <v>25668</v>
      </c>
      <c r="B56" t="s">
        <v>25669</v>
      </c>
      <c r="C56" t="s">
        <v>451</v>
      </c>
      <c r="D56" t="s">
        <v>450</v>
      </c>
      <c r="E56" s="39">
        <v>40.759884579663499</v>
      </c>
      <c r="F56" s="39">
        <v>-96.811242655390799</v>
      </c>
      <c r="G56">
        <v>2021</v>
      </c>
      <c r="I56" s="8">
        <v>14400</v>
      </c>
      <c r="J56">
        <f t="shared" si="1"/>
        <v>5256</v>
      </c>
      <c r="K56" t="s">
        <v>1321</v>
      </c>
      <c r="L56" t="s">
        <v>25636</v>
      </c>
      <c r="N56" s="8">
        <v>192000</v>
      </c>
      <c r="P56" s="37"/>
      <c r="Q56" t="s">
        <v>1074</v>
      </c>
      <c r="R56" s="3" t="s">
        <v>25670</v>
      </c>
      <c r="S56" t="s">
        <v>22295</v>
      </c>
      <c r="V56" t="str">
        <f t="shared" si="2"/>
        <v>Operational</v>
      </c>
      <c r="W56" s="3" t="s">
        <v>25671</v>
      </c>
      <c r="X56" t="s">
        <v>25672</v>
      </c>
    </row>
    <row r="57" spans="1:24" ht="29" x14ac:dyDescent="0.35">
      <c r="A57" s="3" t="s">
        <v>25673</v>
      </c>
      <c r="B57" t="s">
        <v>25674</v>
      </c>
      <c r="C57" t="s">
        <v>451</v>
      </c>
      <c r="D57" t="s">
        <v>450</v>
      </c>
      <c r="E57" s="39">
        <v>33.774998574316101</v>
      </c>
      <c r="F57" s="39">
        <v>-118.19323066923199</v>
      </c>
      <c r="G57">
        <v>2023</v>
      </c>
      <c r="H57">
        <v>2.2999999999999998</v>
      </c>
      <c r="K57" t="s">
        <v>25675</v>
      </c>
      <c r="L57" t="s">
        <v>25676</v>
      </c>
      <c r="P57" s="37"/>
      <c r="Q57" t="s">
        <v>583</v>
      </c>
      <c r="R57" s="3" t="s">
        <v>25677</v>
      </c>
      <c r="S57" t="s">
        <v>22295</v>
      </c>
      <c r="V57" t="str">
        <f t="shared" si="2"/>
        <v>Under Constuction or FID</v>
      </c>
      <c r="W57" s="3" t="s">
        <v>25479</v>
      </c>
      <c r="X57" t="s">
        <v>25678</v>
      </c>
    </row>
    <row r="58" spans="1:24" x14ac:dyDescent="0.35">
      <c r="A58" s="3" t="s">
        <v>25679</v>
      </c>
      <c r="B58" t="s">
        <v>25680</v>
      </c>
      <c r="C58" t="s">
        <v>451</v>
      </c>
      <c r="D58" t="s">
        <v>450</v>
      </c>
      <c r="E58" s="39">
        <v>40.1558162089758</v>
      </c>
      <c r="F58" s="39">
        <v>-88.181791670680298</v>
      </c>
      <c r="G58">
        <v>2020</v>
      </c>
      <c r="H58">
        <v>1</v>
      </c>
      <c r="K58" t="s">
        <v>25399</v>
      </c>
      <c r="L58" t="s">
        <v>25394</v>
      </c>
      <c r="O58" s="21">
        <v>2200000</v>
      </c>
      <c r="P58" s="21">
        <v>2200000</v>
      </c>
      <c r="Q58" t="s">
        <v>583</v>
      </c>
      <c r="R58" t="s">
        <v>25681</v>
      </c>
      <c r="S58" t="s">
        <v>22295</v>
      </c>
      <c r="V58" t="str">
        <f t="shared" si="2"/>
        <v>Operational</v>
      </c>
      <c r="W58" s="3" t="s">
        <v>25682</v>
      </c>
      <c r="X58" t="s">
        <v>25683</v>
      </c>
    </row>
    <row r="59" spans="1:24" x14ac:dyDescent="0.35">
      <c r="A59" s="3" t="s">
        <v>25684</v>
      </c>
      <c r="B59" t="s">
        <v>25685</v>
      </c>
      <c r="C59" t="s">
        <v>451</v>
      </c>
      <c r="D59" t="s">
        <v>450</v>
      </c>
      <c r="E59" s="39">
        <v>36.268345631727001</v>
      </c>
      <c r="F59" s="39">
        <v>-115.132142573447</v>
      </c>
      <c r="G59">
        <v>2022</v>
      </c>
      <c r="I59" s="8">
        <v>30000</v>
      </c>
      <c r="J59">
        <f t="shared" si="1"/>
        <v>10950</v>
      </c>
      <c r="K59" t="s">
        <v>25675</v>
      </c>
      <c r="L59" t="s">
        <v>25676</v>
      </c>
      <c r="O59" s="21">
        <v>250000000</v>
      </c>
      <c r="P59" s="21">
        <v>250000000</v>
      </c>
      <c r="Q59" t="s">
        <v>583</v>
      </c>
      <c r="R59" t="s">
        <v>25686</v>
      </c>
      <c r="S59" t="s">
        <v>22295</v>
      </c>
      <c r="V59" t="str">
        <f t="shared" si="2"/>
        <v>Operational</v>
      </c>
      <c r="W59" s="3" t="s">
        <v>469</v>
      </c>
      <c r="X59" t="s">
        <v>25687</v>
      </c>
    </row>
    <row r="60" spans="1:24" ht="29" x14ac:dyDescent="0.35">
      <c r="A60" s="3" t="s">
        <v>25688</v>
      </c>
      <c r="B60" t="s">
        <v>25689</v>
      </c>
      <c r="C60" t="s">
        <v>451</v>
      </c>
      <c r="D60" t="s">
        <v>450</v>
      </c>
      <c r="E60" s="39">
        <v>34.866088165250197</v>
      </c>
      <c r="F60" s="39">
        <v>-118.132617714991</v>
      </c>
      <c r="G60">
        <v>2023</v>
      </c>
      <c r="I60" s="8">
        <v>11000</v>
      </c>
      <c r="J60">
        <f t="shared" si="1"/>
        <v>4015</v>
      </c>
      <c r="K60" t="s">
        <v>25690</v>
      </c>
      <c r="L60" t="s">
        <v>25691</v>
      </c>
      <c r="Q60" t="s">
        <v>583</v>
      </c>
      <c r="R60" s="3" t="s">
        <v>25692</v>
      </c>
      <c r="S60" t="s">
        <v>22295</v>
      </c>
      <c r="V60" t="str">
        <f t="shared" si="2"/>
        <v>Under Constuction or FID</v>
      </c>
      <c r="W60" t="s">
        <v>25075</v>
      </c>
      <c r="X60" t="s">
        <v>25693</v>
      </c>
    </row>
    <row r="61" spans="1:24" x14ac:dyDescent="0.35">
      <c r="A61" s="3" t="s">
        <v>25694</v>
      </c>
      <c r="B61" t="s">
        <v>25695</v>
      </c>
      <c r="C61" t="s">
        <v>451</v>
      </c>
      <c r="D61" t="s">
        <v>450</v>
      </c>
      <c r="E61" s="39">
        <v>30.225495702185299</v>
      </c>
      <c r="F61" s="39">
        <v>-91.005751246060299</v>
      </c>
      <c r="G61">
        <v>2013</v>
      </c>
      <c r="I61" s="8">
        <v>217000</v>
      </c>
      <c r="J61">
        <f t="shared" si="1"/>
        <v>79205</v>
      </c>
      <c r="K61" t="s">
        <v>25623</v>
      </c>
      <c r="L61" t="s">
        <v>25636</v>
      </c>
      <c r="N61" s="8">
        <v>200000</v>
      </c>
      <c r="Q61" t="s">
        <v>1074</v>
      </c>
      <c r="R61" s="3" t="s">
        <v>25696</v>
      </c>
      <c r="S61" t="s">
        <v>22295</v>
      </c>
      <c r="V61" t="str">
        <f t="shared" si="2"/>
        <v>Operational</v>
      </c>
      <c r="W61" s="3" t="s">
        <v>25697</v>
      </c>
      <c r="X61" t="s">
        <v>25698</v>
      </c>
    </row>
    <row r="62" spans="1:24" ht="30" customHeight="1" x14ac:dyDescent="0.35">
      <c r="A62" s="3" t="s">
        <v>25699</v>
      </c>
      <c r="B62" t="s">
        <v>25700</v>
      </c>
      <c r="C62" t="s">
        <v>451</v>
      </c>
      <c r="D62" t="s">
        <v>450</v>
      </c>
      <c r="E62" s="39">
        <v>30.100994592282198</v>
      </c>
      <c r="F62" s="39">
        <v>-94.022602608316205</v>
      </c>
      <c r="G62">
        <v>2013</v>
      </c>
      <c r="I62" s="8">
        <v>247000</v>
      </c>
      <c r="J62">
        <f t="shared" si="1"/>
        <v>90155</v>
      </c>
      <c r="K62" t="s">
        <v>25623</v>
      </c>
      <c r="L62" t="s">
        <v>25636</v>
      </c>
      <c r="N62" s="8">
        <v>1000000</v>
      </c>
      <c r="O62" s="21">
        <v>431000000</v>
      </c>
      <c r="P62" s="21">
        <v>431000000</v>
      </c>
      <c r="Q62" t="s">
        <v>25251</v>
      </c>
      <c r="R62" s="3" t="s">
        <v>25701</v>
      </c>
      <c r="S62" t="s">
        <v>22295</v>
      </c>
      <c r="V62" t="str">
        <f t="shared" si="2"/>
        <v>Operational</v>
      </c>
      <c r="W62" s="3" t="s">
        <v>525</v>
      </c>
      <c r="X62" t="s">
        <v>25698</v>
      </c>
    </row>
    <row r="63" spans="1:24" x14ac:dyDescent="0.35">
      <c r="A63" s="3" t="s">
        <v>25702</v>
      </c>
      <c r="B63" t="s">
        <v>25703</v>
      </c>
      <c r="C63" t="s">
        <v>451</v>
      </c>
      <c r="D63" t="s">
        <v>450</v>
      </c>
      <c r="E63">
        <v>43.119362788288797</v>
      </c>
      <c r="F63">
        <v>-93.567583623824902</v>
      </c>
      <c r="G63">
        <v>2026</v>
      </c>
      <c r="I63" s="8">
        <v>40477</v>
      </c>
      <c r="J63">
        <f t="shared" si="1"/>
        <v>14774.105</v>
      </c>
      <c r="K63" t="s">
        <v>502</v>
      </c>
      <c r="L63" t="s">
        <v>25447</v>
      </c>
      <c r="N63" s="8">
        <v>166000</v>
      </c>
      <c r="Q63" t="s">
        <v>1074</v>
      </c>
      <c r="S63" t="s">
        <v>22295</v>
      </c>
      <c r="V63" t="str">
        <f t="shared" si="2"/>
        <v>Under Constuction or FID</v>
      </c>
      <c r="W63" s="3" t="s">
        <v>25704</v>
      </c>
      <c r="X63" t="s">
        <v>25705</v>
      </c>
    </row>
    <row r="64" spans="1:24" x14ac:dyDescent="0.35">
      <c r="A64" s="3" t="s">
        <v>25706</v>
      </c>
      <c r="B64" t="s">
        <v>25707</v>
      </c>
      <c r="C64" t="s">
        <v>451</v>
      </c>
      <c r="D64" t="s">
        <v>450</v>
      </c>
      <c r="E64" s="39">
        <v>47.573136458838903</v>
      </c>
      <c r="F64" s="39">
        <v>-111.31479838368099</v>
      </c>
      <c r="G64">
        <v>2022</v>
      </c>
      <c r="K64" t="s">
        <v>502</v>
      </c>
      <c r="L64" t="s">
        <v>25422</v>
      </c>
      <c r="O64" s="21">
        <v>50000000</v>
      </c>
      <c r="P64" s="21">
        <v>50000000</v>
      </c>
      <c r="Q64" t="s">
        <v>25708</v>
      </c>
      <c r="R64" t="s">
        <v>25709</v>
      </c>
      <c r="S64" t="s">
        <v>22295</v>
      </c>
      <c r="V64" t="str">
        <f t="shared" si="2"/>
        <v>Operational</v>
      </c>
      <c r="W64" s="3" t="s">
        <v>25710</v>
      </c>
      <c r="X64" t="s">
        <v>25711</v>
      </c>
    </row>
    <row r="65" spans="1:24" ht="29" x14ac:dyDescent="0.35">
      <c r="A65" s="3" t="s">
        <v>25712</v>
      </c>
      <c r="B65" t="s">
        <v>25713</v>
      </c>
      <c r="C65" t="s">
        <v>451</v>
      </c>
      <c r="D65" t="s">
        <v>450</v>
      </c>
      <c r="E65" s="39">
        <v>34.1369594157715</v>
      </c>
      <c r="F65" s="39">
        <v>-117.66471785466</v>
      </c>
      <c r="G65">
        <v>2020</v>
      </c>
      <c r="K65" t="s">
        <v>25399</v>
      </c>
      <c r="L65" t="s">
        <v>25447</v>
      </c>
      <c r="N65" s="8">
        <v>50000</v>
      </c>
      <c r="P65" s="37"/>
      <c r="Q65" t="s">
        <v>583</v>
      </c>
      <c r="R65" s="3" t="s">
        <v>25714</v>
      </c>
      <c r="S65" t="s">
        <v>22295</v>
      </c>
      <c r="V65" t="str">
        <f t="shared" si="2"/>
        <v>Operational</v>
      </c>
      <c r="W65" t="s">
        <v>639</v>
      </c>
      <c r="X65" t="s">
        <v>25715</v>
      </c>
    </row>
    <row r="66" spans="1:24" ht="29" x14ac:dyDescent="0.35">
      <c r="A66" s="3" t="s">
        <v>25716</v>
      </c>
      <c r="B66" t="s">
        <v>25717</v>
      </c>
      <c r="C66" t="s">
        <v>451</v>
      </c>
      <c r="D66" t="s">
        <v>450</v>
      </c>
      <c r="E66">
        <v>36.729585421228499</v>
      </c>
      <c r="F66">
        <v>-119.802731994461</v>
      </c>
      <c r="G66">
        <v>2024</v>
      </c>
      <c r="H66">
        <v>120</v>
      </c>
      <c r="I66" s="8">
        <v>30000</v>
      </c>
      <c r="J66">
        <f t="shared" si="1"/>
        <v>10950</v>
      </c>
      <c r="K66" t="s">
        <v>25399</v>
      </c>
      <c r="L66" t="s">
        <v>25394</v>
      </c>
      <c r="M66">
        <v>300</v>
      </c>
      <c r="P66" s="37"/>
      <c r="Q66" t="s">
        <v>583</v>
      </c>
      <c r="R66" s="3" t="s">
        <v>25718</v>
      </c>
      <c r="S66" t="s">
        <v>22295</v>
      </c>
      <c r="V66" t="str">
        <f t="shared" ref="V66:V76" si="3">IF(G66&lt;2023,"Operational","Under Constuction or FID")</f>
        <v>Under Constuction or FID</v>
      </c>
      <c r="W66" s="3" t="s">
        <v>724</v>
      </c>
      <c r="X66" t="s">
        <v>25719</v>
      </c>
    </row>
    <row r="67" spans="1:24" x14ac:dyDescent="0.35">
      <c r="A67" s="3" t="s">
        <v>25720</v>
      </c>
      <c r="B67" t="s">
        <v>25721</v>
      </c>
      <c r="C67" t="s">
        <v>451</v>
      </c>
      <c r="D67" t="s">
        <v>450</v>
      </c>
      <c r="E67">
        <v>39.518884368449498</v>
      </c>
      <c r="F67">
        <v>-121.637539310525</v>
      </c>
      <c r="G67">
        <v>2024</v>
      </c>
      <c r="I67" s="8">
        <v>12200</v>
      </c>
      <c r="J67">
        <f t="shared" ref="J67:J73" si="4">I67*365/1000</f>
        <v>4453</v>
      </c>
      <c r="K67" t="s">
        <v>25675</v>
      </c>
      <c r="L67" t="s">
        <v>25311</v>
      </c>
      <c r="O67" s="21">
        <v>225000000</v>
      </c>
      <c r="P67" s="21">
        <v>225000000</v>
      </c>
      <c r="Q67" t="s">
        <v>583</v>
      </c>
      <c r="R67" t="s">
        <v>25722</v>
      </c>
      <c r="S67" t="s">
        <v>22295</v>
      </c>
      <c r="V67" t="str">
        <f t="shared" si="3"/>
        <v>Under Constuction or FID</v>
      </c>
      <c r="W67" s="3" t="s">
        <v>25720</v>
      </c>
      <c r="X67" t="s">
        <v>25723</v>
      </c>
    </row>
    <row r="68" spans="1:24" x14ac:dyDescent="0.35">
      <c r="A68" s="3" t="s">
        <v>25724</v>
      </c>
      <c r="C68" t="s">
        <v>451</v>
      </c>
      <c r="D68" t="s">
        <v>450</v>
      </c>
      <c r="G68">
        <v>2023</v>
      </c>
      <c r="H68">
        <v>85</v>
      </c>
      <c r="I68" s="8">
        <v>40000</v>
      </c>
      <c r="J68">
        <f t="shared" si="4"/>
        <v>14600</v>
      </c>
      <c r="K68" t="s">
        <v>25408</v>
      </c>
      <c r="L68" t="s">
        <v>25447</v>
      </c>
      <c r="O68" s="21">
        <v>30000000</v>
      </c>
      <c r="P68" s="21">
        <v>30000000</v>
      </c>
      <c r="Q68" t="s">
        <v>583</v>
      </c>
      <c r="R68" t="s">
        <v>25725</v>
      </c>
      <c r="S68" t="s">
        <v>22295</v>
      </c>
      <c r="V68" t="str">
        <f t="shared" si="3"/>
        <v>Under Constuction or FID</v>
      </c>
      <c r="W68" t="s">
        <v>25726</v>
      </c>
      <c r="X68" t="s">
        <v>25727</v>
      </c>
    </row>
    <row r="69" spans="1:24" ht="29" x14ac:dyDescent="0.35">
      <c r="A69" s="3" t="s">
        <v>25728</v>
      </c>
      <c r="B69" t="s">
        <v>25729</v>
      </c>
      <c r="C69" t="s">
        <v>451</v>
      </c>
      <c r="D69" t="s">
        <v>450</v>
      </c>
      <c r="E69">
        <v>39.743005031340601</v>
      </c>
      <c r="F69">
        <v>-105.170899363187</v>
      </c>
      <c r="G69">
        <v>2019</v>
      </c>
      <c r="H69">
        <v>0.25</v>
      </c>
      <c r="K69" t="s">
        <v>502</v>
      </c>
      <c r="L69" t="s">
        <v>25447</v>
      </c>
      <c r="P69" s="37"/>
      <c r="Q69" t="s">
        <v>25113</v>
      </c>
      <c r="R69" t="s">
        <v>25730</v>
      </c>
      <c r="S69" t="s">
        <v>22295</v>
      </c>
      <c r="V69" t="str">
        <f t="shared" si="3"/>
        <v>Operational</v>
      </c>
      <c r="W69" s="3" t="s">
        <v>25731</v>
      </c>
      <c r="X69" t="s">
        <v>25732</v>
      </c>
    </row>
    <row r="70" spans="1:24" x14ac:dyDescent="0.35">
      <c r="A70" s="3" t="s">
        <v>25733</v>
      </c>
      <c r="B70" t="s">
        <v>25734</v>
      </c>
      <c r="C70" t="s">
        <v>451</v>
      </c>
      <c r="D70" t="s">
        <v>450</v>
      </c>
      <c r="E70" s="39">
        <v>42.746074311997702</v>
      </c>
      <c r="F70" s="39">
        <v>-73.784359292477404</v>
      </c>
      <c r="G70">
        <v>2022</v>
      </c>
      <c r="K70" t="s">
        <v>502</v>
      </c>
      <c r="L70" t="s">
        <v>25447</v>
      </c>
      <c r="N70" s="8">
        <v>6400</v>
      </c>
      <c r="P70" s="37"/>
      <c r="Q70" t="s">
        <v>25477</v>
      </c>
      <c r="R70" s="34" t="s">
        <v>25735</v>
      </c>
      <c r="S70" t="s">
        <v>22295</v>
      </c>
      <c r="V70" t="str">
        <f t="shared" si="3"/>
        <v>Operational</v>
      </c>
      <c r="W70" s="3" t="s">
        <v>25122</v>
      </c>
      <c r="X70" t="s">
        <v>25736</v>
      </c>
    </row>
    <row r="71" spans="1:24" x14ac:dyDescent="0.35">
      <c r="A71" s="3" t="s">
        <v>25737</v>
      </c>
      <c r="B71" t="s">
        <v>25738</v>
      </c>
      <c r="C71" t="s">
        <v>451</v>
      </c>
      <c r="D71" t="s">
        <v>450</v>
      </c>
      <c r="E71" s="39">
        <v>37.396835000000003</v>
      </c>
      <c r="F71" s="39">
        <v>-122.081267</v>
      </c>
      <c r="G71">
        <v>2023</v>
      </c>
      <c r="I71" s="8">
        <v>13698</v>
      </c>
      <c r="J71">
        <f t="shared" si="4"/>
        <v>4999.7700000000004</v>
      </c>
      <c r="K71" t="s">
        <v>25690</v>
      </c>
      <c r="L71" t="s">
        <v>25691</v>
      </c>
      <c r="O71" s="21">
        <v>35000000</v>
      </c>
      <c r="P71" s="21">
        <v>35000000</v>
      </c>
      <c r="S71" t="s">
        <v>22295</v>
      </c>
      <c r="V71" t="str">
        <f t="shared" si="3"/>
        <v>Under Constuction or FID</v>
      </c>
      <c r="W71" s="3" t="s">
        <v>25739</v>
      </c>
      <c r="X71" t="s">
        <v>25740</v>
      </c>
    </row>
    <row r="72" spans="1:24" x14ac:dyDescent="0.35">
      <c r="A72" s="3" t="s">
        <v>25741</v>
      </c>
      <c r="B72" t="s">
        <v>25742</v>
      </c>
      <c r="C72" t="s">
        <v>451</v>
      </c>
      <c r="D72" t="s">
        <v>450</v>
      </c>
      <c r="E72" s="39">
        <v>40.233277148769602</v>
      </c>
      <c r="F72" s="39">
        <v>-74.188741144713703</v>
      </c>
      <c r="G72">
        <v>2021</v>
      </c>
      <c r="H72">
        <v>50</v>
      </c>
      <c r="I72" s="8">
        <v>24657</v>
      </c>
      <c r="J72">
        <f t="shared" si="4"/>
        <v>8999.8050000000003</v>
      </c>
      <c r="K72" t="s">
        <v>502</v>
      </c>
      <c r="L72" t="s">
        <v>25394</v>
      </c>
      <c r="P72" s="37"/>
      <c r="Q72" t="s">
        <v>25113</v>
      </c>
      <c r="R72" t="s">
        <v>25743</v>
      </c>
      <c r="S72" t="s">
        <v>22295</v>
      </c>
      <c r="V72" t="str">
        <f t="shared" si="3"/>
        <v>Operational</v>
      </c>
      <c r="W72" s="3" t="s">
        <v>25744</v>
      </c>
      <c r="X72" t="s">
        <v>25745</v>
      </c>
    </row>
    <row r="73" spans="1:24" x14ac:dyDescent="0.35">
      <c r="A73" s="3" t="s">
        <v>25746</v>
      </c>
      <c r="B73" t="s">
        <v>25747</v>
      </c>
      <c r="C73" t="s">
        <v>451</v>
      </c>
      <c r="D73" t="s">
        <v>450</v>
      </c>
      <c r="E73" s="39">
        <v>34.182156247588402</v>
      </c>
      <c r="F73" s="39">
        <v>-116.545111037457</v>
      </c>
      <c r="G73">
        <v>2018</v>
      </c>
      <c r="H73">
        <v>2</v>
      </c>
      <c r="I73" s="8">
        <v>300</v>
      </c>
      <c r="J73">
        <f t="shared" si="4"/>
        <v>109.5</v>
      </c>
      <c r="K73" t="s">
        <v>25399</v>
      </c>
      <c r="L73" t="s">
        <v>25394</v>
      </c>
      <c r="N73" s="8">
        <v>4200000</v>
      </c>
      <c r="P73" s="37"/>
      <c r="Q73" t="s">
        <v>583</v>
      </c>
      <c r="R73" t="s">
        <v>25748</v>
      </c>
      <c r="S73" t="s">
        <v>22295</v>
      </c>
      <c r="V73" t="str">
        <f t="shared" si="3"/>
        <v>Operational</v>
      </c>
      <c r="X73" t="s">
        <v>25749</v>
      </c>
    </row>
    <row r="74" spans="1:24" x14ac:dyDescent="0.35">
      <c r="A74" s="3" t="s">
        <v>25750</v>
      </c>
      <c r="B74" t="s">
        <v>25751</v>
      </c>
      <c r="C74" t="s">
        <v>451</v>
      </c>
      <c r="D74" t="s">
        <v>450</v>
      </c>
      <c r="E74" s="40">
        <v>40.871781172676201</v>
      </c>
      <c r="F74" s="40">
        <v>-81.385395918349602</v>
      </c>
      <c r="G74">
        <v>2016</v>
      </c>
      <c r="K74" t="s">
        <v>25752</v>
      </c>
      <c r="P74" s="37"/>
      <c r="Q74" t="s">
        <v>583</v>
      </c>
      <c r="R74" t="s">
        <v>25753</v>
      </c>
      <c r="S74" t="s">
        <v>22295</v>
      </c>
      <c r="V74" t="str">
        <f t="shared" si="3"/>
        <v>Operational</v>
      </c>
      <c r="W74" s="3" t="s">
        <v>25754</v>
      </c>
      <c r="X74" t="s">
        <v>25755</v>
      </c>
    </row>
    <row r="75" spans="1:24" x14ac:dyDescent="0.35">
      <c r="A75" s="3" t="s">
        <v>25756</v>
      </c>
      <c r="B75" t="s">
        <v>25757</v>
      </c>
      <c r="C75" t="s">
        <v>451</v>
      </c>
      <c r="D75" t="s">
        <v>450</v>
      </c>
      <c r="E75" s="39">
        <v>40.011499299184798</v>
      </c>
      <c r="F75" s="39">
        <v>-83.026769592633599</v>
      </c>
      <c r="G75">
        <v>2021</v>
      </c>
      <c r="H75">
        <v>0.25</v>
      </c>
      <c r="K75" t="s">
        <v>25758</v>
      </c>
      <c r="O75" s="21">
        <v>6200000</v>
      </c>
      <c r="P75" s="21">
        <v>6200000</v>
      </c>
      <c r="Q75" t="s">
        <v>25436</v>
      </c>
      <c r="R75" t="s">
        <v>25658</v>
      </c>
      <c r="S75" t="s">
        <v>22295</v>
      </c>
      <c r="V75" t="str">
        <f t="shared" si="3"/>
        <v>Operational</v>
      </c>
      <c r="W75" s="3" t="s">
        <v>25759</v>
      </c>
      <c r="X75" t="s">
        <v>25760</v>
      </c>
    </row>
    <row r="76" spans="1:24" x14ac:dyDescent="0.35">
      <c r="A76" s="3" t="s">
        <v>25761</v>
      </c>
      <c r="B76" t="s">
        <v>841</v>
      </c>
      <c r="C76" t="s">
        <v>451</v>
      </c>
      <c r="D76" t="s">
        <v>450</v>
      </c>
      <c r="E76" s="39">
        <v>33.185307471304</v>
      </c>
      <c r="F76" s="39">
        <v>-87.496484208925494</v>
      </c>
      <c r="G76">
        <v>2013</v>
      </c>
      <c r="K76" t="s">
        <v>25762</v>
      </c>
      <c r="P76" s="37"/>
      <c r="Q76" t="s">
        <v>25763</v>
      </c>
      <c r="R76" t="s">
        <v>25764</v>
      </c>
      <c r="S76" t="s">
        <v>22295</v>
      </c>
      <c r="V76" t="str">
        <f t="shared" si="3"/>
        <v>Operational</v>
      </c>
      <c r="W76" s="3" t="s">
        <v>25765</v>
      </c>
      <c r="X76" t="s">
        <v>25766</v>
      </c>
    </row>
    <row r="77" spans="1:24" x14ac:dyDescent="0.35">
      <c r="A77" s="3" t="s">
        <v>25767</v>
      </c>
      <c r="B77" t="s">
        <v>25768</v>
      </c>
      <c r="C77" t="s">
        <v>5643</v>
      </c>
      <c r="D77" t="s">
        <v>141</v>
      </c>
      <c r="E77" s="39">
        <v>53.933021106639302</v>
      </c>
      <c r="F77" s="39">
        <v>12.3461644386961</v>
      </c>
      <c r="G77">
        <v>2020</v>
      </c>
      <c r="H77">
        <v>2</v>
      </c>
      <c r="K77" t="s">
        <v>25408</v>
      </c>
      <c r="L77" t="s">
        <v>25422</v>
      </c>
      <c r="O77" t="s">
        <v>25769</v>
      </c>
      <c r="P77" s="37">
        <f>10000000*1.07</f>
        <v>10700000</v>
      </c>
      <c r="Q77" t="s">
        <v>25770</v>
      </c>
      <c r="R77" t="s">
        <v>25771</v>
      </c>
      <c r="S77" t="s">
        <v>22295</v>
      </c>
      <c r="V77" t="s">
        <v>6422</v>
      </c>
      <c r="W77" s="3" t="s">
        <v>25772</v>
      </c>
      <c r="X77" t="s">
        <v>25773</v>
      </c>
    </row>
    <row r="78" spans="1:24" hidden="1" x14ac:dyDescent="0.35">
      <c r="A78" s="3" t="s">
        <v>25774</v>
      </c>
      <c r="B78" t="s">
        <v>25775</v>
      </c>
      <c r="C78" t="s">
        <v>24</v>
      </c>
      <c r="D78" t="s">
        <v>354</v>
      </c>
      <c r="E78" s="40">
        <v>-11.421484762041599</v>
      </c>
      <c r="F78" s="40">
        <v>130.42451132875101</v>
      </c>
      <c r="G78">
        <v>2027</v>
      </c>
      <c r="I78" s="8">
        <v>273973</v>
      </c>
      <c r="J78">
        <f t="shared" ref="J78:J79" si="5">I78*365/1000</f>
        <v>100000.145</v>
      </c>
      <c r="K78" t="s">
        <v>502</v>
      </c>
      <c r="L78" t="s">
        <v>25394</v>
      </c>
      <c r="M78" s="8">
        <v>2800</v>
      </c>
      <c r="Q78" t="s">
        <v>6424</v>
      </c>
      <c r="R78" t="s">
        <v>25776</v>
      </c>
      <c r="S78" t="s">
        <v>25777</v>
      </c>
      <c r="V78" t="s">
        <v>25778</v>
      </c>
      <c r="W78" s="3" t="s">
        <v>25779</v>
      </c>
      <c r="X78" t="s">
        <v>25780</v>
      </c>
    </row>
    <row r="79" spans="1:24" ht="58" hidden="1" x14ac:dyDescent="0.35">
      <c r="A79" s="3" t="s">
        <v>25781</v>
      </c>
      <c r="B79" t="s">
        <v>25782</v>
      </c>
      <c r="C79" t="s">
        <v>24</v>
      </c>
      <c r="D79" t="s">
        <v>354</v>
      </c>
      <c r="E79" s="40">
        <v>-31.901651268039899</v>
      </c>
      <c r="F79" s="40">
        <v>126.612904646659</v>
      </c>
      <c r="G79">
        <v>2030</v>
      </c>
      <c r="I79" s="8">
        <v>9589041</v>
      </c>
      <c r="J79">
        <f t="shared" si="5"/>
        <v>3499999.9649999999</v>
      </c>
      <c r="K79" t="s">
        <v>502</v>
      </c>
      <c r="L79" t="s">
        <v>25783</v>
      </c>
      <c r="M79" s="8">
        <v>50000</v>
      </c>
      <c r="O79" t="s">
        <v>25784</v>
      </c>
      <c r="P79" s="41">
        <f>0.65*100000000000</f>
        <v>65000000000</v>
      </c>
      <c r="Q79" t="s">
        <v>6424</v>
      </c>
      <c r="R79" t="s">
        <v>25785</v>
      </c>
      <c r="S79" t="s">
        <v>25777</v>
      </c>
      <c r="V79" t="s">
        <v>25786</v>
      </c>
      <c r="W79" s="3" t="s">
        <v>25787</v>
      </c>
      <c r="X79" t="s">
        <v>25788</v>
      </c>
    </row>
    <row r="80" spans="1:24" ht="29" hidden="1" x14ac:dyDescent="0.35">
      <c r="A80" s="3" t="s">
        <v>25789</v>
      </c>
      <c r="B80" t="s">
        <v>25790</v>
      </c>
      <c r="C80" t="s">
        <v>24</v>
      </c>
      <c r="D80" t="s">
        <v>354</v>
      </c>
      <c r="E80" s="40">
        <v>-27.618051616707099</v>
      </c>
      <c r="F80" s="40">
        <v>114.217961678945</v>
      </c>
      <c r="G80" t="s">
        <v>4022</v>
      </c>
      <c r="H80" s="8">
        <v>3000</v>
      </c>
      <c r="I80" s="38">
        <f>J80/365*1000</f>
        <v>975342.46575342468</v>
      </c>
      <c r="J80" s="8">
        <v>356000</v>
      </c>
      <c r="K80" t="s">
        <v>502</v>
      </c>
      <c r="L80" t="s">
        <v>25783</v>
      </c>
      <c r="M80" s="8">
        <v>5200</v>
      </c>
      <c r="Q80" t="s">
        <v>6424</v>
      </c>
      <c r="R80" t="s">
        <v>25791</v>
      </c>
      <c r="S80" t="s">
        <v>25777</v>
      </c>
      <c r="T80" t="s">
        <v>1074</v>
      </c>
      <c r="V80" t="s">
        <v>25752</v>
      </c>
      <c r="W80" s="3" t="s">
        <v>25792</v>
      </c>
      <c r="X80" t="s">
        <v>25793</v>
      </c>
    </row>
    <row r="81" spans="1:24" hidden="1" x14ac:dyDescent="0.35">
      <c r="A81" s="3" t="s">
        <v>25794</v>
      </c>
      <c r="B81" t="s">
        <v>6461</v>
      </c>
      <c r="C81" t="s">
        <v>24</v>
      </c>
      <c r="D81" t="s">
        <v>354</v>
      </c>
      <c r="E81" s="40">
        <v>-31.649913418115698</v>
      </c>
      <c r="F81" s="40">
        <v>116.71249212435499</v>
      </c>
      <c r="G81">
        <v>2024</v>
      </c>
      <c r="H81">
        <v>10</v>
      </c>
      <c r="I81" s="8">
        <v>4400</v>
      </c>
      <c r="J81" s="38">
        <f>4.4*365</f>
        <v>1606.0000000000002</v>
      </c>
      <c r="K81" t="s">
        <v>502</v>
      </c>
      <c r="L81" t="s">
        <v>25394</v>
      </c>
      <c r="M81" s="8">
        <v>10</v>
      </c>
      <c r="Q81" t="s">
        <v>25795</v>
      </c>
      <c r="R81" t="s">
        <v>25796</v>
      </c>
      <c r="S81" t="s">
        <v>25777</v>
      </c>
      <c r="V81" t="s">
        <v>25797</v>
      </c>
      <c r="W81" s="3" t="s">
        <v>25798</v>
      </c>
      <c r="X81" t="s">
        <v>25799</v>
      </c>
    </row>
    <row r="82" spans="1:24" hidden="1" x14ac:dyDescent="0.35">
      <c r="A82" s="3" t="s">
        <v>25800</v>
      </c>
      <c r="B82" t="s">
        <v>25801</v>
      </c>
      <c r="C82" t="s">
        <v>24</v>
      </c>
      <c r="D82" t="s">
        <v>354</v>
      </c>
      <c r="E82" s="40">
        <v>-24.7506497471221</v>
      </c>
      <c r="F82" s="40">
        <v>113.635662353822</v>
      </c>
      <c r="G82" t="s">
        <v>4022</v>
      </c>
      <c r="I82" s="38">
        <f>J82/365*1000</f>
        <v>821917.808219178</v>
      </c>
      <c r="J82" s="8">
        <v>300000</v>
      </c>
      <c r="K82" t="s">
        <v>502</v>
      </c>
      <c r="L82" t="s">
        <v>25447</v>
      </c>
      <c r="M82" s="8">
        <v>4000</v>
      </c>
      <c r="O82" t="s">
        <v>25584</v>
      </c>
      <c r="P82" s="41">
        <f>600000*0.65</f>
        <v>390000</v>
      </c>
      <c r="Q82" t="s">
        <v>6424</v>
      </c>
      <c r="R82" t="s">
        <v>25802</v>
      </c>
      <c r="S82" t="s">
        <v>25777</v>
      </c>
      <c r="T82" t="s">
        <v>1074</v>
      </c>
      <c r="V82" t="s">
        <v>25803</v>
      </c>
      <c r="W82" s="3" t="s">
        <v>25804</v>
      </c>
      <c r="X82" t="s">
        <v>25805</v>
      </c>
    </row>
    <row r="83" spans="1:24" hidden="1" x14ac:dyDescent="0.35">
      <c r="A83" s="3" t="s">
        <v>25806</v>
      </c>
      <c r="B83" t="s">
        <v>25807</v>
      </c>
      <c r="C83" t="s">
        <v>24</v>
      </c>
      <c r="D83" t="s">
        <v>354</v>
      </c>
      <c r="E83" s="40">
        <v>-15.7773648373424</v>
      </c>
      <c r="F83" s="40">
        <v>128.75226851615199</v>
      </c>
      <c r="G83" t="s">
        <v>4022</v>
      </c>
      <c r="K83" t="s">
        <v>502</v>
      </c>
      <c r="L83" t="s">
        <v>25630</v>
      </c>
      <c r="M83" s="8">
        <v>25</v>
      </c>
      <c r="O83" t="s">
        <v>25808</v>
      </c>
      <c r="P83" s="37">
        <f>370000*0.65</f>
        <v>240500</v>
      </c>
      <c r="Q83" t="s">
        <v>6424</v>
      </c>
      <c r="R83" t="s">
        <v>25809</v>
      </c>
      <c r="S83" t="s">
        <v>25777</v>
      </c>
      <c r="V83" t="s">
        <v>25797</v>
      </c>
      <c r="W83" s="3" t="s">
        <v>25810</v>
      </c>
      <c r="X83" t="s">
        <v>25811</v>
      </c>
    </row>
    <row r="84" spans="1:24" hidden="1" x14ac:dyDescent="0.35">
      <c r="A84" s="3" t="s">
        <v>25812</v>
      </c>
      <c r="B84" t="s">
        <v>17251</v>
      </c>
      <c r="C84" t="s">
        <v>24</v>
      </c>
      <c r="D84" t="s">
        <v>354</v>
      </c>
      <c r="E84" s="40">
        <v>-42.702228327403802</v>
      </c>
      <c r="F84" s="40">
        <v>147.23176331323501</v>
      </c>
      <c r="G84" t="s">
        <v>4022</v>
      </c>
      <c r="H84">
        <v>5</v>
      </c>
      <c r="I84" s="38">
        <f>J84/365*1000</f>
        <v>2191.7808219178082</v>
      </c>
      <c r="J84">
        <v>800</v>
      </c>
      <c r="K84" t="s">
        <v>502</v>
      </c>
      <c r="L84" t="s">
        <v>25783</v>
      </c>
      <c r="O84" t="s">
        <v>25813</v>
      </c>
      <c r="P84" s="41">
        <f>60000000*0.65</f>
        <v>39000000</v>
      </c>
      <c r="Q84" t="s">
        <v>25113</v>
      </c>
      <c r="R84" t="s">
        <v>25814</v>
      </c>
      <c r="S84" t="s">
        <v>25777</v>
      </c>
      <c r="V84" t="s">
        <v>25815</v>
      </c>
      <c r="W84" s="3" t="s">
        <v>25816</v>
      </c>
      <c r="X84" t="s">
        <v>25817</v>
      </c>
    </row>
    <row r="85" spans="1:24" hidden="1" x14ac:dyDescent="0.35">
      <c r="A85" s="3" t="s">
        <v>25818</v>
      </c>
      <c r="B85" t="s">
        <v>17251</v>
      </c>
      <c r="C85" t="s">
        <v>24</v>
      </c>
      <c r="D85" t="s">
        <v>354</v>
      </c>
      <c r="E85" s="40">
        <v>-41.5429482997123</v>
      </c>
      <c r="F85" s="40">
        <v>147.210513053</v>
      </c>
      <c r="G85" t="s">
        <v>4022</v>
      </c>
      <c r="H85">
        <v>5</v>
      </c>
      <c r="I85" s="8">
        <v>2250</v>
      </c>
      <c r="J85" s="9">
        <f>I85/1000*365</f>
        <v>821.25</v>
      </c>
      <c r="K85" t="s">
        <v>502</v>
      </c>
      <c r="Q85" t="s">
        <v>583</v>
      </c>
      <c r="R85" t="s">
        <v>25819</v>
      </c>
      <c r="S85" t="s">
        <v>25777</v>
      </c>
      <c r="V85" t="s">
        <v>25815</v>
      </c>
      <c r="W85" s="3" t="s">
        <v>25816</v>
      </c>
      <c r="X85" t="s">
        <v>25820</v>
      </c>
    </row>
    <row r="86" spans="1:24" hidden="1" x14ac:dyDescent="0.35">
      <c r="A86" s="3" t="s">
        <v>25821</v>
      </c>
      <c r="B86" t="s">
        <v>17251</v>
      </c>
      <c r="C86" t="s">
        <v>24</v>
      </c>
      <c r="D86" t="s">
        <v>354</v>
      </c>
      <c r="E86" s="40">
        <v>-41.517042236652998</v>
      </c>
      <c r="F86" s="40">
        <v>145.71646984565601</v>
      </c>
      <c r="G86">
        <v>2026</v>
      </c>
      <c r="H86">
        <v>250</v>
      </c>
      <c r="K86" t="s">
        <v>502</v>
      </c>
      <c r="N86" s="8">
        <v>260000</v>
      </c>
      <c r="Q86" t="s">
        <v>1162</v>
      </c>
      <c r="R86" t="s">
        <v>25822</v>
      </c>
      <c r="S86" t="s">
        <v>25777</v>
      </c>
      <c r="T86" t="s">
        <v>1162</v>
      </c>
      <c r="V86" t="s">
        <v>25823</v>
      </c>
      <c r="W86" s="3" t="s">
        <v>25824</v>
      </c>
      <c r="X86" t="s">
        <v>25825</v>
      </c>
    </row>
    <row r="87" spans="1:24" hidden="1" x14ac:dyDescent="0.35">
      <c r="A87" s="3" t="s">
        <v>25826</v>
      </c>
      <c r="B87" t="s">
        <v>10750</v>
      </c>
      <c r="C87" t="s">
        <v>24</v>
      </c>
      <c r="D87" t="s">
        <v>354</v>
      </c>
      <c r="E87" s="40">
        <v>-19.6323828915327</v>
      </c>
      <c r="F87" s="40">
        <v>134.18584714674699</v>
      </c>
      <c r="G87" t="s">
        <v>4022</v>
      </c>
      <c r="H87" s="8">
        <v>10000</v>
      </c>
      <c r="I87" s="38">
        <f>J87/365*1000</f>
        <v>54794.520547945205</v>
      </c>
      <c r="J87" s="8">
        <v>20000</v>
      </c>
      <c r="K87" t="s">
        <v>502</v>
      </c>
      <c r="L87" t="s">
        <v>25394</v>
      </c>
      <c r="N87" s="8">
        <v>20000000</v>
      </c>
      <c r="P87" s="21">
        <v>10750000000</v>
      </c>
      <c r="Q87" t="s">
        <v>6424</v>
      </c>
      <c r="R87" t="s">
        <v>25827</v>
      </c>
      <c r="S87" t="s">
        <v>25777</v>
      </c>
      <c r="V87" t="s">
        <v>25752</v>
      </c>
      <c r="W87" s="3" t="s">
        <v>25828</v>
      </c>
      <c r="X87" t="s">
        <v>25829</v>
      </c>
    </row>
    <row r="88" spans="1:24" ht="29" hidden="1" x14ac:dyDescent="0.35">
      <c r="A88" s="3" t="s">
        <v>25830</v>
      </c>
      <c r="B88" t="s">
        <v>25831</v>
      </c>
      <c r="C88" t="s">
        <v>24</v>
      </c>
      <c r="D88" t="s">
        <v>354</v>
      </c>
      <c r="E88" s="40">
        <v>-20.746924031238802</v>
      </c>
      <c r="F88" s="40">
        <v>134.20690906796699</v>
      </c>
      <c r="G88" t="s">
        <v>4022</v>
      </c>
      <c r="H88" s="8">
        <v>10000</v>
      </c>
      <c r="I88" s="8">
        <v>1000000</v>
      </c>
      <c r="J88" s="38">
        <f>I88/1000*365</f>
        <v>365000</v>
      </c>
      <c r="K88" t="s">
        <v>502</v>
      </c>
      <c r="L88" t="s">
        <v>25447</v>
      </c>
      <c r="P88" s="21">
        <v>10000000000</v>
      </c>
      <c r="Q88" t="s">
        <v>25832</v>
      </c>
      <c r="S88" t="s">
        <v>25777</v>
      </c>
      <c r="T88" t="s">
        <v>25833</v>
      </c>
      <c r="V88" t="s">
        <v>25797</v>
      </c>
      <c r="W88" s="3" t="s">
        <v>25834</v>
      </c>
      <c r="X88" t="s">
        <v>25835</v>
      </c>
    </row>
    <row r="89" spans="1:24" ht="29" hidden="1" x14ac:dyDescent="0.35">
      <c r="A89" s="3" t="s">
        <v>25836</v>
      </c>
      <c r="B89" t="s">
        <v>25837</v>
      </c>
      <c r="C89" t="s">
        <v>24</v>
      </c>
      <c r="D89" t="s">
        <v>354</v>
      </c>
      <c r="E89" s="40">
        <v>-32.9012484703699</v>
      </c>
      <c r="F89" s="40">
        <v>115.818488402933</v>
      </c>
      <c r="G89" t="s">
        <v>4022</v>
      </c>
      <c r="H89">
        <v>36</v>
      </c>
      <c r="I89" s="38">
        <f>J89/365*1000</f>
        <v>13424.657534246575</v>
      </c>
      <c r="J89" s="8">
        <v>4900</v>
      </c>
      <c r="K89" t="s">
        <v>502</v>
      </c>
      <c r="L89" t="s">
        <v>25394</v>
      </c>
      <c r="M89">
        <v>114</v>
      </c>
      <c r="Q89" t="s">
        <v>25752</v>
      </c>
      <c r="R89" s="3" t="s">
        <v>25838</v>
      </c>
      <c r="S89" t="s">
        <v>25777</v>
      </c>
      <c r="V89" t="s">
        <v>25839</v>
      </c>
      <c r="W89" s="3" t="s">
        <v>25840</v>
      </c>
      <c r="X89" t="s">
        <v>25841</v>
      </c>
    </row>
    <row r="90" spans="1:24" hidden="1" x14ac:dyDescent="0.35">
      <c r="A90" s="3" t="s">
        <v>25842</v>
      </c>
      <c r="B90" t="s">
        <v>6461</v>
      </c>
      <c r="C90" t="s">
        <v>24</v>
      </c>
      <c r="D90" t="s">
        <v>354</v>
      </c>
      <c r="E90" s="40">
        <v>-32.255032652002903</v>
      </c>
      <c r="F90" s="40">
        <v>115.76985692378101</v>
      </c>
      <c r="G90" t="s">
        <v>4022</v>
      </c>
      <c r="I90" s="8">
        <v>480000</v>
      </c>
      <c r="J90" s="38">
        <f>2700*365</f>
        <v>985500</v>
      </c>
      <c r="K90" s="3" t="s">
        <v>25843</v>
      </c>
      <c r="L90" t="s">
        <v>25844</v>
      </c>
      <c r="Q90" t="s">
        <v>6424</v>
      </c>
      <c r="R90" t="s">
        <v>25845</v>
      </c>
      <c r="S90" t="s">
        <v>25777</v>
      </c>
      <c r="T90" t="s">
        <v>25846</v>
      </c>
      <c r="V90" t="s">
        <v>25847</v>
      </c>
      <c r="W90" s="3" t="s">
        <v>25848</v>
      </c>
      <c r="X90" t="s">
        <v>25849</v>
      </c>
    </row>
    <row r="91" spans="1:24" hidden="1" x14ac:dyDescent="0.35">
      <c r="A91" s="3" t="s">
        <v>25850</v>
      </c>
      <c r="B91" t="s">
        <v>6461</v>
      </c>
      <c r="C91" t="s">
        <v>24</v>
      </c>
      <c r="D91" t="s">
        <v>354</v>
      </c>
      <c r="E91" s="40">
        <v>-32.240587013124198</v>
      </c>
      <c r="F91" s="40">
        <v>115.775092595166</v>
      </c>
      <c r="G91" t="s">
        <v>4022</v>
      </c>
      <c r="R91" t="s">
        <v>25851</v>
      </c>
      <c r="S91" t="s">
        <v>25777</v>
      </c>
      <c r="U91" t="s">
        <v>12978</v>
      </c>
      <c r="V91" t="s">
        <v>25803</v>
      </c>
      <c r="W91" s="3" t="s">
        <v>25852</v>
      </c>
      <c r="X91" t="s">
        <v>25853</v>
      </c>
    </row>
    <row r="92" spans="1:24" ht="29" hidden="1" x14ac:dyDescent="0.35">
      <c r="A92" s="3" t="s">
        <v>25854</v>
      </c>
      <c r="B92" t="s">
        <v>6461</v>
      </c>
      <c r="C92" t="s">
        <v>24</v>
      </c>
      <c r="D92" t="s">
        <v>354</v>
      </c>
      <c r="E92" s="40">
        <v>-32.223046283224797</v>
      </c>
      <c r="F92" s="40">
        <v>115.761993253895</v>
      </c>
      <c r="G92" t="s">
        <v>4022</v>
      </c>
      <c r="H92">
        <v>75</v>
      </c>
      <c r="K92" t="s">
        <v>502</v>
      </c>
      <c r="Q92" t="s">
        <v>25855</v>
      </c>
      <c r="R92" t="s">
        <v>25856</v>
      </c>
      <c r="S92" t="s">
        <v>25777</v>
      </c>
      <c r="V92" t="s">
        <v>25797</v>
      </c>
      <c r="W92" s="3" t="s">
        <v>25857</v>
      </c>
      <c r="X92" t="s">
        <v>25858</v>
      </c>
    </row>
    <row r="93" spans="1:24" hidden="1" x14ac:dyDescent="0.35">
      <c r="A93" s="3" t="s">
        <v>25859</v>
      </c>
      <c r="B93" t="s">
        <v>25860</v>
      </c>
      <c r="C93" t="s">
        <v>24</v>
      </c>
      <c r="D93" t="s">
        <v>354</v>
      </c>
      <c r="E93" s="40">
        <v>-32.1225160541034</v>
      </c>
      <c r="F93" s="40">
        <v>115.84140855802301</v>
      </c>
      <c r="G93" t="s">
        <v>4022</v>
      </c>
      <c r="H93">
        <v>1</v>
      </c>
      <c r="I93">
        <v>440</v>
      </c>
      <c r="J93" s="9">
        <f>I93*365/1000</f>
        <v>160.6</v>
      </c>
      <c r="Q93" t="s">
        <v>25477</v>
      </c>
      <c r="S93" t="s">
        <v>25777</v>
      </c>
      <c r="V93" t="s">
        <v>25797</v>
      </c>
      <c r="W93" s="3" t="s">
        <v>25861</v>
      </c>
      <c r="X93" t="s">
        <v>25862</v>
      </c>
    </row>
    <row r="94" spans="1:24" hidden="1" x14ac:dyDescent="0.35">
      <c r="A94" s="3" t="s">
        <v>25863</v>
      </c>
      <c r="B94" t="s">
        <v>25864</v>
      </c>
      <c r="C94" t="s">
        <v>24</v>
      </c>
      <c r="D94" t="s">
        <v>354</v>
      </c>
      <c r="E94" s="40">
        <v>-32.1225160541034</v>
      </c>
      <c r="F94" s="40">
        <v>115.84140855802301</v>
      </c>
      <c r="G94" t="s">
        <v>4022</v>
      </c>
      <c r="Q94" t="s">
        <v>1074</v>
      </c>
      <c r="S94" t="s">
        <v>25777</v>
      </c>
      <c r="V94" t="s">
        <v>25797</v>
      </c>
      <c r="W94" s="3" t="s">
        <v>25865</v>
      </c>
      <c r="X94" t="s">
        <v>25866</v>
      </c>
    </row>
    <row r="95" spans="1:24" ht="43.5" hidden="1" x14ac:dyDescent="0.35">
      <c r="A95" s="3" t="s">
        <v>25867</v>
      </c>
      <c r="B95" t="s">
        <v>19162</v>
      </c>
      <c r="C95" t="s">
        <v>24</v>
      </c>
      <c r="D95" t="s">
        <v>354</v>
      </c>
      <c r="E95" s="40">
        <v>-20.7041125407425</v>
      </c>
      <c r="F95" s="40">
        <v>120.914345700902</v>
      </c>
      <c r="G95" t="s">
        <v>4022</v>
      </c>
      <c r="H95" s="8"/>
      <c r="I95" s="11">
        <f>J95/365*1000</f>
        <v>4383561.6438356163</v>
      </c>
      <c r="J95" s="38">
        <v>1600000</v>
      </c>
      <c r="K95" t="s">
        <v>502</v>
      </c>
      <c r="L95" t="s">
        <v>25783</v>
      </c>
      <c r="M95" s="8">
        <v>26000</v>
      </c>
      <c r="Q95" t="s">
        <v>6424</v>
      </c>
      <c r="R95" t="s">
        <v>25868</v>
      </c>
      <c r="S95" t="s">
        <v>25777</v>
      </c>
      <c r="V95" t="s">
        <v>25803</v>
      </c>
      <c r="W95" s="3" t="s">
        <v>25869</v>
      </c>
      <c r="X95" t="s">
        <v>25870</v>
      </c>
    </row>
    <row r="96" spans="1:24" hidden="1" x14ac:dyDescent="0.35">
      <c r="A96" s="3" t="s">
        <v>25871</v>
      </c>
      <c r="B96" t="s">
        <v>6437</v>
      </c>
      <c r="C96" t="s">
        <v>24</v>
      </c>
      <c r="D96" t="s">
        <v>354</v>
      </c>
      <c r="E96" s="40">
        <v>-12.1821737194468</v>
      </c>
      <c r="F96" s="40">
        <v>130.87822496133899</v>
      </c>
      <c r="G96" t="s">
        <v>4022</v>
      </c>
      <c r="H96" s="8">
        <v>1000</v>
      </c>
      <c r="I96" s="38">
        <f>J96/365*1000</f>
        <v>219178.08219178082</v>
      </c>
      <c r="J96" s="8">
        <v>80000</v>
      </c>
      <c r="K96" t="s">
        <v>502</v>
      </c>
      <c r="L96" t="s">
        <v>25394</v>
      </c>
      <c r="M96" s="8">
        <v>2000</v>
      </c>
      <c r="Q96" t="s">
        <v>6424</v>
      </c>
      <c r="R96" t="s">
        <v>25872</v>
      </c>
      <c r="S96" t="s">
        <v>25777</v>
      </c>
      <c r="V96" t="s">
        <v>25803</v>
      </c>
      <c r="W96" s="3" t="s">
        <v>2642</v>
      </c>
      <c r="X96" t="s">
        <v>25873</v>
      </c>
    </row>
    <row r="97" spans="1:24" hidden="1" x14ac:dyDescent="0.35">
      <c r="A97" s="3" t="s">
        <v>25874</v>
      </c>
      <c r="B97" t="s">
        <v>25875</v>
      </c>
      <c r="C97" t="s">
        <v>24</v>
      </c>
      <c r="D97" t="s">
        <v>354</v>
      </c>
      <c r="E97" s="40">
        <v>-34.104321036924098</v>
      </c>
      <c r="F97" s="40">
        <v>136.33814845857401</v>
      </c>
      <c r="G97">
        <v>2028</v>
      </c>
      <c r="H97" s="8">
        <v>5000</v>
      </c>
      <c r="I97" s="38">
        <f>J97/365*1000</f>
        <v>2438356.1643835614</v>
      </c>
      <c r="J97" s="8">
        <v>890000</v>
      </c>
      <c r="K97" t="s">
        <v>502</v>
      </c>
      <c r="Q97" t="s">
        <v>6424</v>
      </c>
      <c r="R97" t="s">
        <v>25876</v>
      </c>
      <c r="S97" t="s">
        <v>25777</v>
      </c>
      <c r="T97" t="s">
        <v>1074</v>
      </c>
      <c r="V97" t="s">
        <v>25847</v>
      </c>
      <c r="W97" s="3" t="s">
        <v>25877</v>
      </c>
      <c r="X97" t="s">
        <v>25878</v>
      </c>
    </row>
    <row r="98" spans="1:24" hidden="1" x14ac:dyDescent="0.35">
      <c r="A98" s="3" t="s">
        <v>25879</v>
      </c>
      <c r="B98" t="s">
        <v>25880</v>
      </c>
      <c r="C98" t="s">
        <v>24</v>
      </c>
      <c r="D98" t="s">
        <v>354</v>
      </c>
      <c r="E98" s="40">
        <v>-32.179302549734601</v>
      </c>
      <c r="F98" s="40">
        <v>137.59712401651399</v>
      </c>
      <c r="G98" t="s">
        <v>4022</v>
      </c>
      <c r="H98" s="8">
        <v>10</v>
      </c>
      <c r="I98" s="38">
        <f>J98/365*1000</f>
        <v>20547.945205479449</v>
      </c>
      <c r="J98" s="8">
        <v>7500</v>
      </c>
      <c r="K98" t="s">
        <v>25399</v>
      </c>
      <c r="L98" t="s">
        <v>25394</v>
      </c>
      <c r="M98">
        <v>30</v>
      </c>
      <c r="Q98" t="s">
        <v>1162</v>
      </c>
      <c r="R98" t="s">
        <v>25881</v>
      </c>
      <c r="S98" t="s">
        <v>25777</v>
      </c>
      <c r="T98" t="s">
        <v>1162</v>
      </c>
      <c r="V98" t="s">
        <v>25803</v>
      </c>
      <c r="W98" s="3" t="s">
        <v>25882</v>
      </c>
      <c r="X98" t="s">
        <v>25883</v>
      </c>
    </row>
    <row r="99" spans="1:24" hidden="1" x14ac:dyDescent="0.35">
      <c r="A99" s="3" t="s">
        <v>25884</v>
      </c>
      <c r="B99" t="s">
        <v>4128</v>
      </c>
      <c r="C99" t="s">
        <v>24</v>
      </c>
      <c r="D99" t="s">
        <v>354</v>
      </c>
      <c r="E99" s="40">
        <v>-33.032678376096499</v>
      </c>
      <c r="F99" s="40">
        <v>137.58182507949101</v>
      </c>
      <c r="G99" t="s">
        <v>4022</v>
      </c>
      <c r="H99" s="8">
        <v>75</v>
      </c>
      <c r="I99" s="38">
        <f>J99/365*1000</f>
        <v>27397.260273972603</v>
      </c>
      <c r="J99" s="8">
        <v>10000</v>
      </c>
      <c r="K99" t="s">
        <v>502</v>
      </c>
      <c r="O99" t="s">
        <v>25885</v>
      </c>
      <c r="P99" s="41">
        <f>240000000*0.65</f>
        <v>156000000</v>
      </c>
      <c r="Q99" t="s">
        <v>1074</v>
      </c>
      <c r="R99" t="s">
        <v>25886</v>
      </c>
      <c r="S99" t="s">
        <v>25777</v>
      </c>
      <c r="T99" t="s">
        <v>1074</v>
      </c>
      <c r="V99" t="s">
        <v>25797</v>
      </c>
      <c r="W99" s="3" t="s">
        <v>25887</v>
      </c>
      <c r="X99" t="s">
        <v>25888</v>
      </c>
    </row>
    <row r="100" spans="1:24" x14ac:dyDescent="0.35">
      <c r="A100" s="3" t="s">
        <v>25889</v>
      </c>
      <c r="B100" t="s">
        <v>25890</v>
      </c>
      <c r="C100" t="s">
        <v>396</v>
      </c>
      <c r="D100" t="s">
        <v>395</v>
      </c>
      <c r="E100" s="40">
        <v>35.4849216232817</v>
      </c>
      <c r="F100" s="40">
        <v>138.80513948173899</v>
      </c>
      <c r="H100" s="42">
        <v>0.32</v>
      </c>
      <c r="J100" s="8">
        <v>2365200</v>
      </c>
      <c r="V100" t="str">
        <f t="shared" ref="V100:V113" si="6">IF(G100&lt;2023,"Operational","Under Constuction or FID")</f>
        <v>Operational</v>
      </c>
      <c r="W100" s="3"/>
    </row>
    <row r="101" spans="1:24" x14ac:dyDescent="0.35">
      <c r="A101" s="3" t="s">
        <v>25891</v>
      </c>
      <c r="B101" t="s">
        <v>25892</v>
      </c>
      <c r="C101" t="s">
        <v>396</v>
      </c>
      <c r="D101" t="s">
        <v>395</v>
      </c>
      <c r="E101" s="40">
        <v>37.45205</v>
      </c>
      <c r="F101" s="40">
        <v>138.85288</v>
      </c>
      <c r="G101">
        <v>2020</v>
      </c>
      <c r="H101">
        <v>1.5</v>
      </c>
      <c r="J101" s="8">
        <v>10512000</v>
      </c>
      <c r="K101" t="s">
        <v>25399</v>
      </c>
      <c r="L101" t="s">
        <v>25893</v>
      </c>
      <c r="M101">
        <v>10</v>
      </c>
      <c r="Q101" t="s">
        <v>25894</v>
      </c>
      <c r="R101" t="s">
        <v>25895</v>
      </c>
      <c r="S101" t="s">
        <v>22295</v>
      </c>
      <c r="V101" t="str">
        <f t="shared" si="6"/>
        <v>Operational</v>
      </c>
      <c r="W101" s="3" t="s">
        <v>25896</v>
      </c>
      <c r="X101" t="s">
        <v>25897</v>
      </c>
    </row>
    <row r="102" spans="1:24" x14ac:dyDescent="0.35">
      <c r="A102" s="3" t="s">
        <v>25898</v>
      </c>
      <c r="B102" t="s">
        <v>2992</v>
      </c>
      <c r="C102" t="s">
        <v>396</v>
      </c>
      <c r="D102" t="s">
        <v>395</v>
      </c>
      <c r="E102" s="40">
        <v>35.684536000000001</v>
      </c>
      <c r="F102" s="40">
        <v>139.771479</v>
      </c>
      <c r="G102">
        <v>2017</v>
      </c>
      <c r="H102">
        <v>5.1999999999999998E-3</v>
      </c>
      <c r="K102" t="s">
        <v>25399</v>
      </c>
      <c r="L102" t="s">
        <v>25899</v>
      </c>
      <c r="Q102" t="s">
        <v>25900</v>
      </c>
      <c r="R102" t="s">
        <v>25901</v>
      </c>
      <c r="S102" t="s">
        <v>22295</v>
      </c>
      <c r="V102" t="str">
        <f t="shared" si="6"/>
        <v>Operational</v>
      </c>
      <c r="W102" s="3" t="s">
        <v>25902</v>
      </c>
      <c r="X102" t="s">
        <v>25903</v>
      </c>
    </row>
    <row r="103" spans="1:24" x14ac:dyDescent="0.35">
      <c r="A103" s="3" t="s">
        <v>25904</v>
      </c>
      <c r="B103" t="s">
        <v>25905</v>
      </c>
      <c r="C103" t="s">
        <v>396</v>
      </c>
      <c r="D103" t="s">
        <v>395</v>
      </c>
      <c r="E103" s="40">
        <v>38.258865</v>
      </c>
      <c r="F103" s="40">
        <v>140.87803500000001</v>
      </c>
      <c r="G103">
        <v>2018</v>
      </c>
      <c r="H103">
        <v>5.1999999999999998E-3</v>
      </c>
      <c r="K103" t="s">
        <v>25399</v>
      </c>
      <c r="L103" t="s">
        <v>25899</v>
      </c>
      <c r="Q103" t="s">
        <v>25906</v>
      </c>
      <c r="R103" t="s">
        <v>25905</v>
      </c>
      <c r="S103" t="s">
        <v>22295</v>
      </c>
      <c r="V103" t="str">
        <f t="shared" si="6"/>
        <v>Operational</v>
      </c>
      <c r="W103" s="3" t="s">
        <v>25902</v>
      </c>
      <c r="X103" t="s">
        <v>25907</v>
      </c>
    </row>
    <row r="104" spans="1:24" x14ac:dyDescent="0.35">
      <c r="A104" s="3" t="s">
        <v>25908</v>
      </c>
      <c r="B104" t="s">
        <v>25905</v>
      </c>
      <c r="C104" t="s">
        <v>396</v>
      </c>
      <c r="D104" t="s">
        <v>395</v>
      </c>
      <c r="E104" s="40">
        <v>38.256402700000002</v>
      </c>
      <c r="F104" s="40">
        <v>140.90347389999999</v>
      </c>
      <c r="G104">
        <v>2018</v>
      </c>
      <c r="H104">
        <v>2.5000000000000001E-2</v>
      </c>
      <c r="K104" t="s">
        <v>25399</v>
      </c>
      <c r="L104" t="s">
        <v>25893</v>
      </c>
      <c r="Q104" t="s">
        <v>25906</v>
      </c>
      <c r="R104" t="s">
        <v>25905</v>
      </c>
      <c r="S104" t="s">
        <v>22295</v>
      </c>
      <c r="V104" t="str">
        <f t="shared" si="6"/>
        <v>Operational</v>
      </c>
      <c r="W104" s="3" t="s">
        <v>25902</v>
      </c>
      <c r="X104" t="s">
        <v>25909</v>
      </c>
    </row>
    <row r="105" spans="1:24" ht="29" x14ac:dyDescent="0.35">
      <c r="A105" s="3" t="s">
        <v>25910</v>
      </c>
      <c r="E105" s="40"/>
      <c r="F105" s="40"/>
      <c r="V105" t="str">
        <f t="shared" si="6"/>
        <v>Operational</v>
      </c>
      <c r="W105" s="3"/>
    </row>
    <row r="106" spans="1:24" x14ac:dyDescent="0.35">
      <c r="A106" s="3" t="s">
        <v>25905</v>
      </c>
      <c r="E106" s="40"/>
      <c r="F106" s="40"/>
      <c r="V106" t="str">
        <f t="shared" si="6"/>
        <v>Operational</v>
      </c>
      <c r="W106" s="3"/>
    </row>
    <row r="107" spans="1:24" x14ac:dyDescent="0.35">
      <c r="A107" s="3" t="s">
        <v>25911</v>
      </c>
      <c r="E107" s="40"/>
      <c r="F107" s="40"/>
      <c r="V107" t="str">
        <f t="shared" si="6"/>
        <v>Operational</v>
      </c>
      <c r="W107" s="3"/>
    </row>
    <row r="108" spans="1:24" x14ac:dyDescent="0.35">
      <c r="A108" s="3" t="s">
        <v>25912</v>
      </c>
      <c r="E108" s="40"/>
      <c r="F108" s="40"/>
      <c r="V108" t="str">
        <f t="shared" si="6"/>
        <v>Operational</v>
      </c>
      <c r="W108" s="3"/>
    </row>
    <row r="109" spans="1:24" x14ac:dyDescent="0.35">
      <c r="A109" s="3" t="s">
        <v>25913</v>
      </c>
      <c r="E109" s="40"/>
      <c r="F109" s="40"/>
      <c r="V109" t="str">
        <f t="shared" si="6"/>
        <v>Operational</v>
      </c>
      <c r="W109" s="3"/>
    </row>
    <row r="110" spans="1:24" ht="29" x14ac:dyDescent="0.35">
      <c r="A110" s="3" t="s">
        <v>25914</v>
      </c>
      <c r="E110" s="40"/>
      <c r="F110" s="40"/>
      <c r="V110" t="str">
        <f t="shared" si="6"/>
        <v>Operational</v>
      </c>
      <c r="W110" s="3"/>
    </row>
    <row r="111" spans="1:24" x14ac:dyDescent="0.35">
      <c r="A111" s="3" t="s">
        <v>25915</v>
      </c>
      <c r="E111" s="40"/>
      <c r="F111" s="40"/>
      <c r="V111" t="str">
        <f t="shared" si="6"/>
        <v>Operational</v>
      </c>
      <c r="W111" s="3"/>
    </row>
    <row r="112" spans="1:24" x14ac:dyDescent="0.35">
      <c r="A112" s="3" t="s">
        <v>25916</v>
      </c>
      <c r="E112" s="40"/>
      <c r="F112" s="40"/>
      <c r="V112" t="str">
        <f t="shared" si="6"/>
        <v>Operational</v>
      </c>
      <c r="W112" s="3"/>
    </row>
    <row r="113" spans="1:24" x14ac:dyDescent="0.35">
      <c r="A113" s="3" t="s">
        <v>25917</v>
      </c>
      <c r="E113" s="40"/>
      <c r="F113" s="40"/>
      <c r="V113" t="str">
        <f t="shared" si="6"/>
        <v>Operational</v>
      </c>
      <c r="W113" s="3"/>
    </row>
    <row r="114" spans="1:24" hidden="1" x14ac:dyDescent="0.35">
      <c r="A114" s="3" t="s">
        <v>25918</v>
      </c>
      <c r="B114" t="s">
        <v>25919</v>
      </c>
      <c r="C114" t="s">
        <v>24</v>
      </c>
      <c r="D114" t="s">
        <v>354</v>
      </c>
      <c r="E114" s="40">
        <v>-32.988718386126102</v>
      </c>
      <c r="F114" s="40">
        <v>137.756792017164</v>
      </c>
      <c r="G114" t="s">
        <v>4022</v>
      </c>
      <c r="J114" s="8">
        <v>1800000</v>
      </c>
      <c r="P114" s="41">
        <f>13000000000</f>
        <v>13000000000</v>
      </c>
      <c r="Q114" t="s">
        <v>6424</v>
      </c>
      <c r="S114" t="s">
        <v>25777</v>
      </c>
      <c r="T114" t="s">
        <v>1074</v>
      </c>
      <c r="V114" t="s">
        <v>25847</v>
      </c>
      <c r="W114" s="3" t="s">
        <v>25920</v>
      </c>
      <c r="X114" t="s">
        <v>25921</v>
      </c>
    </row>
    <row r="115" spans="1:24" hidden="1" x14ac:dyDescent="0.35">
      <c r="A115" s="3" t="s">
        <v>25922</v>
      </c>
      <c r="B115" t="s">
        <v>25919</v>
      </c>
      <c r="C115" t="s">
        <v>24</v>
      </c>
      <c r="D115" t="s">
        <v>354</v>
      </c>
      <c r="E115" s="40">
        <v>-32.978690042167202</v>
      </c>
      <c r="F115" s="40">
        <v>137.77064920447401</v>
      </c>
      <c r="G115">
        <v>2025</v>
      </c>
      <c r="H115">
        <v>250</v>
      </c>
      <c r="K115" t="s">
        <v>502</v>
      </c>
      <c r="L115" t="s">
        <v>25447</v>
      </c>
      <c r="P115" s="21">
        <v>593000000</v>
      </c>
      <c r="Q115" t="s">
        <v>25436</v>
      </c>
      <c r="S115" t="s">
        <v>25777</v>
      </c>
      <c r="V115" t="s">
        <v>25803</v>
      </c>
      <c r="W115" s="3" t="s">
        <v>25920</v>
      </c>
      <c r="X115" t="s">
        <v>25923</v>
      </c>
    </row>
    <row r="116" spans="1:24" hidden="1" x14ac:dyDescent="0.35">
      <c r="A116" s="3" t="s">
        <v>25924</v>
      </c>
      <c r="B116" t="s">
        <v>25925</v>
      </c>
      <c r="C116" t="s">
        <v>24</v>
      </c>
      <c r="D116" t="s">
        <v>354</v>
      </c>
      <c r="E116" s="40">
        <v>-33.176327130284001</v>
      </c>
      <c r="F116" s="40">
        <v>138.012835596895</v>
      </c>
      <c r="G116" t="s">
        <v>4022</v>
      </c>
      <c r="H116">
        <v>440</v>
      </c>
      <c r="I116" s="8">
        <v>100000</v>
      </c>
      <c r="J116" s="38">
        <f>I116/1000*365</f>
        <v>36500</v>
      </c>
      <c r="L116" t="s">
        <v>25447</v>
      </c>
      <c r="P116" s="37">
        <f>750000000*0.65</f>
        <v>487500000</v>
      </c>
      <c r="Q116" t="s">
        <v>6424</v>
      </c>
      <c r="R116" t="s">
        <v>25926</v>
      </c>
      <c r="S116" t="s">
        <v>25777</v>
      </c>
      <c r="T116" t="s">
        <v>1074</v>
      </c>
      <c r="V116" t="s">
        <v>25803</v>
      </c>
      <c r="W116" s="3" t="s">
        <v>25927</v>
      </c>
      <c r="X116" t="s">
        <v>25928</v>
      </c>
    </row>
    <row r="117" spans="1:24" hidden="1" x14ac:dyDescent="0.35">
      <c r="A117" s="3" t="s">
        <v>25929</v>
      </c>
      <c r="B117" t="s">
        <v>25930</v>
      </c>
      <c r="C117" t="s">
        <v>24</v>
      </c>
      <c r="D117" t="s">
        <v>354</v>
      </c>
      <c r="E117" s="40">
        <v>-36.337810047091502</v>
      </c>
      <c r="F117" s="40">
        <v>140.96753653209799</v>
      </c>
      <c r="G117" t="s">
        <v>4022</v>
      </c>
      <c r="P117" s="37">
        <f>4150000*0.65</f>
        <v>2697500</v>
      </c>
      <c r="Q117" t="s">
        <v>25113</v>
      </c>
      <c r="R117" t="s">
        <v>25931</v>
      </c>
      <c r="S117" t="s">
        <v>25777</v>
      </c>
      <c r="U117" t="s">
        <v>25932</v>
      </c>
      <c r="V117" t="s">
        <v>25803</v>
      </c>
      <c r="W117" s="3" t="s">
        <v>25933</v>
      </c>
      <c r="X117" t="s">
        <v>25934</v>
      </c>
    </row>
    <row r="118" spans="1:24" ht="29" hidden="1" x14ac:dyDescent="0.35">
      <c r="A118" s="3" t="s">
        <v>25935</v>
      </c>
      <c r="B118" t="s">
        <v>6363</v>
      </c>
      <c r="C118" t="s">
        <v>24</v>
      </c>
      <c r="D118" t="s">
        <v>354</v>
      </c>
      <c r="E118" s="40">
        <v>-38.360978938028303</v>
      </c>
      <c r="F118" s="40">
        <v>141.61295144106501</v>
      </c>
      <c r="G118" t="s">
        <v>4022</v>
      </c>
      <c r="H118">
        <v>5</v>
      </c>
      <c r="I118" s="38">
        <f>800*1000/365</f>
        <v>2191.7808219178082</v>
      </c>
      <c r="J118">
        <v>800</v>
      </c>
      <c r="K118" t="s">
        <v>502</v>
      </c>
      <c r="L118" t="s">
        <v>25936</v>
      </c>
      <c r="Q118" t="s">
        <v>25937</v>
      </c>
      <c r="R118" t="s">
        <v>25938</v>
      </c>
      <c r="S118" t="s">
        <v>25777</v>
      </c>
      <c r="V118" t="s">
        <v>25847</v>
      </c>
      <c r="W118" s="3" t="s">
        <v>25939</v>
      </c>
      <c r="X118" t="s">
        <v>25940</v>
      </c>
    </row>
    <row r="119" spans="1:24" hidden="1" x14ac:dyDescent="0.35">
      <c r="A119" s="3" t="s">
        <v>25941</v>
      </c>
      <c r="B119" t="s">
        <v>6363</v>
      </c>
      <c r="C119" t="s">
        <v>24</v>
      </c>
      <c r="D119" t="s">
        <v>354</v>
      </c>
      <c r="E119" s="40">
        <v>-38.332055110638102</v>
      </c>
      <c r="F119" s="40">
        <v>141.599945740236</v>
      </c>
      <c r="G119" t="s">
        <v>4022</v>
      </c>
      <c r="J119" s="8">
        <v>15000</v>
      </c>
      <c r="K119" t="s">
        <v>502</v>
      </c>
      <c r="L119" t="s">
        <v>25311</v>
      </c>
      <c r="Q119" t="s">
        <v>25942</v>
      </c>
      <c r="R119" t="s">
        <v>25943</v>
      </c>
      <c r="S119" t="s">
        <v>25777</v>
      </c>
      <c r="T119" t="s">
        <v>25944</v>
      </c>
      <c r="V119" t="s">
        <v>25803</v>
      </c>
      <c r="W119" s="3" t="s">
        <v>25945</v>
      </c>
      <c r="X119" t="s">
        <v>25946</v>
      </c>
    </row>
    <row r="120" spans="1:24" hidden="1" x14ac:dyDescent="0.35">
      <c r="A120" s="3" t="s">
        <v>25947</v>
      </c>
      <c r="B120" t="s">
        <v>25948</v>
      </c>
      <c r="C120" t="s">
        <v>24</v>
      </c>
      <c r="D120" t="s">
        <v>354</v>
      </c>
      <c r="E120" s="40">
        <v>-38.372725733783298</v>
      </c>
      <c r="F120" s="40">
        <v>142.479966129948</v>
      </c>
      <c r="G120" t="s">
        <v>4022</v>
      </c>
      <c r="Q120" t="s">
        <v>583</v>
      </c>
      <c r="R120" t="s">
        <v>25949</v>
      </c>
      <c r="S120" t="s">
        <v>25777</v>
      </c>
      <c r="T120" t="s">
        <v>583</v>
      </c>
      <c r="V120" t="s">
        <v>25803</v>
      </c>
      <c r="W120" s="3" t="s">
        <v>25950</v>
      </c>
      <c r="X120" t="s">
        <v>25951</v>
      </c>
    </row>
    <row r="121" spans="1:24" hidden="1" x14ac:dyDescent="0.35">
      <c r="A121" s="3" t="s">
        <v>25952</v>
      </c>
      <c r="B121" t="s">
        <v>2969</v>
      </c>
      <c r="C121" t="s">
        <v>24</v>
      </c>
      <c r="D121" t="s">
        <v>354</v>
      </c>
      <c r="E121" s="40">
        <v>-37.696512440913601</v>
      </c>
      <c r="F121" s="40">
        <v>144.41172843969801</v>
      </c>
      <c r="G121" t="s">
        <v>4022</v>
      </c>
      <c r="P121" s="37">
        <f>1960000*0.65</f>
        <v>1274000</v>
      </c>
      <c r="Q121" t="s">
        <v>25263</v>
      </c>
      <c r="R121" t="s">
        <v>25953</v>
      </c>
      <c r="S121" t="s">
        <v>25777</v>
      </c>
      <c r="T121" t="s">
        <v>25263</v>
      </c>
      <c r="V121" t="s">
        <v>25803</v>
      </c>
      <c r="W121" s="3" t="s">
        <v>25954</v>
      </c>
      <c r="X121" t="s">
        <v>25955</v>
      </c>
    </row>
    <row r="122" spans="1:24" ht="29" hidden="1" x14ac:dyDescent="0.35">
      <c r="A122" s="3" t="s">
        <v>25956</v>
      </c>
      <c r="B122" t="s">
        <v>2969</v>
      </c>
      <c r="C122" t="s">
        <v>24</v>
      </c>
      <c r="D122" t="s">
        <v>354</v>
      </c>
      <c r="E122" s="40">
        <v>-38.0745850980895</v>
      </c>
      <c r="F122" s="40">
        <v>144.39247665908499</v>
      </c>
      <c r="G122" t="s">
        <v>4022</v>
      </c>
      <c r="Q122" t="s">
        <v>6424</v>
      </c>
      <c r="S122" t="s">
        <v>25777</v>
      </c>
      <c r="T122" t="s">
        <v>1074</v>
      </c>
      <c r="V122" t="s">
        <v>25957</v>
      </c>
      <c r="W122" s="3" t="s">
        <v>25525</v>
      </c>
      <c r="X122" t="s">
        <v>25958</v>
      </c>
    </row>
    <row r="123" spans="1:24" hidden="1" x14ac:dyDescent="0.35">
      <c r="A123" s="3" t="s">
        <v>25959</v>
      </c>
      <c r="B123" t="s">
        <v>25960</v>
      </c>
      <c r="C123" t="s">
        <v>24</v>
      </c>
      <c r="D123" t="s">
        <v>354</v>
      </c>
      <c r="E123" s="40">
        <v>-37.816425467196801</v>
      </c>
      <c r="F123" s="40">
        <v>144.79257457146201</v>
      </c>
      <c r="G123" t="s">
        <v>4022</v>
      </c>
      <c r="I123" s="9">
        <f>130/365*1000</f>
        <v>356.16438356164383</v>
      </c>
      <c r="J123">
        <v>130</v>
      </c>
      <c r="N123">
        <v>740</v>
      </c>
      <c r="P123" s="37">
        <f>5784000*0.65</f>
        <v>3759600</v>
      </c>
      <c r="Q123" t="s">
        <v>583</v>
      </c>
      <c r="R123" t="s">
        <v>25961</v>
      </c>
      <c r="S123" t="s">
        <v>25777</v>
      </c>
      <c r="T123" t="s">
        <v>583</v>
      </c>
      <c r="V123" t="s">
        <v>25803</v>
      </c>
      <c r="W123" s="3" t="s">
        <v>469</v>
      </c>
      <c r="X123" t="s">
        <v>25962</v>
      </c>
    </row>
    <row r="124" spans="1:24" ht="29" hidden="1" x14ac:dyDescent="0.35">
      <c r="A124" s="3" t="s">
        <v>25963</v>
      </c>
      <c r="B124" t="s">
        <v>1087</v>
      </c>
      <c r="C124" t="s">
        <v>24</v>
      </c>
      <c r="D124" t="s">
        <v>354</v>
      </c>
      <c r="E124" s="40">
        <v>-37.644070934435398</v>
      </c>
      <c r="F124" s="40">
        <v>144.982219743272</v>
      </c>
      <c r="G124" t="s">
        <v>4022</v>
      </c>
      <c r="H124">
        <v>10</v>
      </c>
      <c r="I124" s="8">
        <v>4500</v>
      </c>
      <c r="J124" s="9">
        <f>I124*365/1000</f>
        <v>1642.5</v>
      </c>
      <c r="Q124" t="s">
        <v>25937</v>
      </c>
      <c r="R124" t="s">
        <v>25964</v>
      </c>
      <c r="S124" t="s">
        <v>25777</v>
      </c>
      <c r="V124" t="s">
        <v>25803</v>
      </c>
      <c r="W124" s="3" t="s">
        <v>25939</v>
      </c>
      <c r="X124" t="s">
        <v>25965</v>
      </c>
    </row>
    <row r="125" spans="1:24" hidden="1" x14ac:dyDescent="0.35">
      <c r="A125" s="3" t="s">
        <v>25966</v>
      </c>
      <c r="B125" t="s">
        <v>1087</v>
      </c>
      <c r="C125" t="s">
        <v>24</v>
      </c>
      <c r="D125" t="s">
        <v>354</v>
      </c>
      <c r="E125" s="40">
        <v>-37.605712054139801</v>
      </c>
      <c r="F125" s="40">
        <v>145.02755398710201</v>
      </c>
      <c r="G125" t="s">
        <v>4022</v>
      </c>
      <c r="I125" s="38">
        <f>700*1000/365</f>
        <v>1917.8082191780823</v>
      </c>
      <c r="J125">
        <v>700</v>
      </c>
      <c r="K125" t="s">
        <v>502</v>
      </c>
      <c r="L125" t="s">
        <v>25691</v>
      </c>
      <c r="P125" s="37">
        <f>32000000*0.65</f>
        <v>20800000</v>
      </c>
      <c r="Q125" t="s">
        <v>583</v>
      </c>
      <c r="R125" t="s">
        <v>25967</v>
      </c>
      <c r="S125" t="s">
        <v>25777</v>
      </c>
      <c r="V125" t="s">
        <v>25803</v>
      </c>
      <c r="W125" s="3" t="s">
        <v>25968</v>
      </c>
      <c r="X125" t="s">
        <v>25969</v>
      </c>
    </row>
    <row r="126" spans="1:24" hidden="1" x14ac:dyDescent="0.35">
      <c r="A126" s="3" t="s">
        <v>25970</v>
      </c>
      <c r="B126" t="s">
        <v>1087</v>
      </c>
      <c r="C126" t="s">
        <v>24</v>
      </c>
      <c r="D126" t="s">
        <v>354</v>
      </c>
      <c r="E126" s="40">
        <v>-37.916348594661898</v>
      </c>
      <c r="F126" s="40">
        <v>145.145380036425</v>
      </c>
      <c r="G126" t="s">
        <v>4022</v>
      </c>
      <c r="P126" s="37">
        <f>3350000*0.65</f>
        <v>2177500</v>
      </c>
      <c r="Q126" t="s">
        <v>25971</v>
      </c>
      <c r="R126" t="s">
        <v>25972</v>
      </c>
      <c r="S126" t="s">
        <v>25777</v>
      </c>
      <c r="V126" t="s">
        <v>25803</v>
      </c>
      <c r="W126" s="3" t="s">
        <v>25973</v>
      </c>
      <c r="X126" t="s">
        <v>25974</v>
      </c>
    </row>
    <row r="127" spans="1:24" ht="29" hidden="1" x14ac:dyDescent="0.35">
      <c r="A127" s="3" t="s">
        <v>25975</v>
      </c>
      <c r="B127" t="s">
        <v>1087</v>
      </c>
      <c r="C127" t="s">
        <v>24</v>
      </c>
      <c r="D127" t="s">
        <v>354</v>
      </c>
      <c r="E127" s="40">
        <v>-38.0037257113569</v>
      </c>
      <c r="F127" s="40">
        <v>145.213990683844</v>
      </c>
      <c r="G127" t="s">
        <v>4022</v>
      </c>
      <c r="Q127" t="s">
        <v>583</v>
      </c>
      <c r="R127" t="s">
        <v>25976</v>
      </c>
      <c r="S127" t="s">
        <v>25777</v>
      </c>
      <c r="T127" t="s">
        <v>583</v>
      </c>
      <c r="V127" t="s">
        <v>25803</v>
      </c>
      <c r="W127" s="3" t="s">
        <v>25977</v>
      </c>
      <c r="X127" t="s">
        <v>25978</v>
      </c>
    </row>
    <row r="128" spans="1:24" ht="29" hidden="1" x14ac:dyDescent="0.35">
      <c r="A128" s="3" t="s">
        <v>25979</v>
      </c>
      <c r="B128" t="s">
        <v>2969</v>
      </c>
      <c r="C128" t="s">
        <v>24</v>
      </c>
      <c r="D128" t="s">
        <v>354</v>
      </c>
      <c r="E128" s="40">
        <v>-38.247135107410799</v>
      </c>
      <c r="F128" s="40">
        <v>146.57441391817201</v>
      </c>
      <c r="G128" t="s">
        <v>4022</v>
      </c>
      <c r="I128" s="38">
        <f>40000/365*1000</f>
        <v>109589.04109589041</v>
      </c>
      <c r="J128">
        <v>40000</v>
      </c>
      <c r="K128" t="s">
        <v>25980</v>
      </c>
      <c r="P128" s="37">
        <f>2350000000*0.65</f>
        <v>1527500000</v>
      </c>
      <c r="Q128" t="s">
        <v>6424</v>
      </c>
      <c r="R128" t="s">
        <v>25981</v>
      </c>
      <c r="S128" t="s">
        <v>25777</v>
      </c>
      <c r="V128" t="s">
        <v>25982</v>
      </c>
      <c r="W128" s="3" t="s">
        <v>25575</v>
      </c>
      <c r="X128" t="s">
        <v>25983</v>
      </c>
    </row>
    <row r="129" spans="1:24" hidden="1" x14ac:dyDescent="0.35">
      <c r="A129" s="3" t="s">
        <v>25984</v>
      </c>
      <c r="B129" t="s">
        <v>17251</v>
      </c>
      <c r="C129" t="s">
        <v>24</v>
      </c>
      <c r="D129" t="s">
        <v>354</v>
      </c>
      <c r="E129" s="40">
        <v>-41.132063777590403</v>
      </c>
      <c r="F129" s="40">
        <v>146.85791548285101</v>
      </c>
      <c r="G129" t="s">
        <v>4022</v>
      </c>
      <c r="I129" s="11">
        <f>J129/365*1000</f>
        <v>204821.91780821918</v>
      </c>
      <c r="J129" s="38">
        <f>420000*0.178</f>
        <v>74760</v>
      </c>
      <c r="K129" t="s">
        <v>502</v>
      </c>
      <c r="M129">
        <v>500</v>
      </c>
      <c r="Q129" t="s">
        <v>6424</v>
      </c>
      <c r="R129" t="s">
        <v>25985</v>
      </c>
      <c r="S129" t="s">
        <v>25777</v>
      </c>
      <c r="V129" t="s">
        <v>25797</v>
      </c>
      <c r="W129" s="3" t="s">
        <v>25986</v>
      </c>
      <c r="X129" t="s">
        <v>25987</v>
      </c>
    </row>
    <row r="130" spans="1:24" ht="29" hidden="1" x14ac:dyDescent="0.35">
      <c r="A130" s="3" t="s">
        <v>25988</v>
      </c>
      <c r="B130" t="s">
        <v>17251</v>
      </c>
      <c r="C130" t="s">
        <v>24</v>
      </c>
      <c r="D130" t="s">
        <v>354</v>
      </c>
      <c r="E130" s="40">
        <v>-41.1273095022554</v>
      </c>
      <c r="F130" s="40">
        <v>146.86981100990999</v>
      </c>
      <c r="G130" t="s">
        <v>4022</v>
      </c>
      <c r="I130" s="38">
        <f>J130/365*1000</f>
        <v>121917.80821917808</v>
      </c>
      <c r="J130" s="8">
        <f>250000*0.178</f>
        <v>44500</v>
      </c>
      <c r="K130" t="s">
        <v>502</v>
      </c>
      <c r="Q130" t="s">
        <v>6424</v>
      </c>
      <c r="R130" t="s">
        <v>25989</v>
      </c>
      <c r="S130" t="s">
        <v>25777</v>
      </c>
      <c r="T130" t="s">
        <v>1074</v>
      </c>
      <c r="V130" t="s">
        <v>25797</v>
      </c>
      <c r="W130" s="3" t="s">
        <v>25525</v>
      </c>
      <c r="X130" t="s">
        <v>25990</v>
      </c>
    </row>
    <row r="131" spans="1:24" hidden="1" x14ac:dyDescent="0.35">
      <c r="A131" s="3" t="s">
        <v>25991</v>
      </c>
      <c r="B131" t="s">
        <v>17251</v>
      </c>
      <c r="C131" t="s">
        <v>24</v>
      </c>
      <c r="D131" t="s">
        <v>354</v>
      </c>
      <c r="E131" s="40">
        <v>-41.139547774400697</v>
      </c>
      <c r="F131" s="40">
        <v>146.90329794539699</v>
      </c>
      <c r="G131">
        <v>2027</v>
      </c>
      <c r="H131">
        <v>260</v>
      </c>
      <c r="I131" s="8">
        <v>120000</v>
      </c>
      <c r="J131" s="38">
        <f>I131/1000*365</f>
        <v>43800</v>
      </c>
      <c r="Q131" t="s">
        <v>6424</v>
      </c>
      <c r="R131" t="s">
        <v>25992</v>
      </c>
      <c r="S131" t="s">
        <v>25777</v>
      </c>
      <c r="T131" t="s">
        <v>1162</v>
      </c>
      <c r="V131" t="s">
        <v>25797</v>
      </c>
      <c r="W131" s="3" t="s">
        <v>25993</v>
      </c>
      <c r="X131" t="s">
        <v>25994</v>
      </c>
    </row>
    <row r="132" spans="1:24" hidden="1" x14ac:dyDescent="0.35">
      <c r="A132" s="3" t="s">
        <v>25995</v>
      </c>
      <c r="B132" t="s">
        <v>17251</v>
      </c>
      <c r="C132" t="s">
        <v>24</v>
      </c>
      <c r="D132" t="s">
        <v>354</v>
      </c>
      <c r="E132" s="40">
        <v>-41.154002383147201</v>
      </c>
      <c r="F132" s="40">
        <v>146.92412655032999</v>
      </c>
      <c r="G132" t="s">
        <v>4022</v>
      </c>
      <c r="H132">
        <v>300</v>
      </c>
      <c r="I132" s="38">
        <f>550000*0.178</f>
        <v>97900</v>
      </c>
      <c r="J132" s="11">
        <f>I132*365/1000</f>
        <v>35733.5</v>
      </c>
      <c r="K132" t="s">
        <v>502</v>
      </c>
      <c r="L132" t="s">
        <v>25996</v>
      </c>
      <c r="Q132" t="s">
        <v>6424</v>
      </c>
      <c r="R132" t="s">
        <v>25997</v>
      </c>
      <c r="S132" t="s">
        <v>25777</v>
      </c>
      <c r="T132" t="s">
        <v>1074</v>
      </c>
      <c r="V132" t="s">
        <v>25847</v>
      </c>
      <c r="W132" s="3" t="s">
        <v>25848</v>
      </c>
      <c r="X132" t="s">
        <v>25998</v>
      </c>
    </row>
    <row r="133" spans="1:24" ht="29" hidden="1" x14ac:dyDescent="0.35">
      <c r="A133" s="3" t="s">
        <v>25999</v>
      </c>
      <c r="B133" t="s">
        <v>17251</v>
      </c>
      <c r="C133" t="s">
        <v>24</v>
      </c>
      <c r="D133" t="s">
        <v>354</v>
      </c>
      <c r="E133" s="40">
        <v>-40.851038221728402</v>
      </c>
      <c r="F133" s="40">
        <v>145.37910208075201</v>
      </c>
      <c r="G133" t="s">
        <v>4022</v>
      </c>
      <c r="H133">
        <v>100</v>
      </c>
      <c r="Q133" t="s">
        <v>25263</v>
      </c>
      <c r="R133" s="3" t="s">
        <v>26000</v>
      </c>
      <c r="S133" t="s">
        <v>25777</v>
      </c>
      <c r="T133" t="s">
        <v>25263</v>
      </c>
      <c r="V133" t="s">
        <v>25803</v>
      </c>
      <c r="W133" s="3" t="s">
        <v>26001</v>
      </c>
      <c r="X133" t="s">
        <v>26002</v>
      </c>
    </row>
    <row r="134" spans="1:24" hidden="1" x14ac:dyDescent="0.35">
      <c r="A134" s="3" t="s">
        <v>26003</v>
      </c>
      <c r="B134" t="s">
        <v>26004</v>
      </c>
      <c r="C134" t="s">
        <v>24</v>
      </c>
      <c r="D134" t="s">
        <v>354</v>
      </c>
      <c r="E134" s="40">
        <v>-34.475328499035399</v>
      </c>
      <c r="F134" s="40">
        <v>150.90629102117501</v>
      </c>
      <c r="G134" t="s">
        <v>4022</v>
      </c>
      <c r="H134" s="8">
        <v>1000</v>
      </c>
      <c r="I134" s="11">
        <f>J134/365*1000</f>
        <v>390136.98630136985</v>
      </c>
      <c r="J134" s="38">
        <f>800000*0.178</f>
        <v>142400</v>
      </c>
      <c r="K134" t="s">
        <v>502</v>
      </c>
      <c r="Q134" t="s">
        <v>6424</v>
      </c>
      <c r="R134" t="s">
        <v>26005</v>
      </c>
      <c r="S134" t="s">
        <v>25777</v>
      </c>
      <c r="T134" t="s">
        <v>1074</v>
      </c>
      <c r="V134" t="s">
        <v>25797</v>
      </c>
      <c r="W134" s="3" t="s">
        <v>26006</v>
      </c>
      <c r="X134" t="s">
        <v>26007</v>
      </c>
    </row>
    <row r="135" spans="1:24" ht="29" hidden="1" x14ac:dyDescent="0.35">
      <c r="A135" s="3" t="s">
        <v>26008</v>
      </c>
      <c r="B135" t="s">
        <v>26004</v>
      </c>
      <c r="C135" t="s">
        <v>24</v>
      </c>
      <c r="D135" t="s">
        <v>354</v>
      </c>
      <c r="E135" s="40">
        <v>-34.482969823443497</v>
      </c>
      <c r="F135" s="40">
        <v>150.91161252398999</v>
      </c>
      <c r="G135" t="s">
        <v>4022</v>
      </c>
      <c r="S135" t="s">
        <v>25777</v>
      </c>
      <c r="V135" t="s">
        <v>25752</v>
      </c>
      <c r="W135" s="3" t="s">
        <v>26009</v>
      </c>
      <c r="X135" t="s">
        <v>26010</v>
      </c>
    </row>
    <row r="136" spans="1:24" hidden="1" x14ac:dyDescent="0.35">
      <c r="A136" s="3" t="s">
        <v>26011</v>
      </c>
      <c r="B136" t="s">
        <v>26004</v>
      </c>
      <c r="C136" t="s">
        <v>24</v>
      </c>
      <c r="D136" t="s">
        <v>354</v>
      </c>
      <c r="E136" s="40">
        <v>-34.493440131259803</v>
      </c>
      <c r="F136" s="40">
        <v>150.89787961349899</v>
      </c>
      <c r="G136">
        <v>2025</v>
      </c>
      <c r="H136">
        <v>10</v>
      </c>
      <c r="I136" s="8">
        <v>4000</v>
      </c>
      <c r="J136" s="38">
        <f>I136*365/1000</f>
        <v>1460</v>
      </c>
      <c r="K136" t="s">
        <v>502</v>
      </c>
      <c r="L136" t="s">
        <v>25422</v>
      </c>
      <c r="Q136" t="s">
        <v>583</v>
      </c>
      <c r="R136" t="s">
        <v>26012</v>
      </c>
      <c r="S136" t="s">
        <v>25777</v>
      </c>
      <c r="V136" t="s">
        <v>25797</v>
      </c>
      <c r="W136" s="3" t="s">
        <v>25554</v>
      </c>
      <c r="X136" t="s">
        <v>26013</v>
      </c>
    </row>
    <row r="137" spans="1:24" ht="29" hidden="1" x14ac:dyDescent="0.35">
      <c r="A137" s="3" t="s">
        <v>26014</v>
      </c>
      <c r="B137" t="s">
        <v>4124</v>
      </c>
      <c r="C137" t="s">
        <v>24</v>
      </c>
      <c r="D137" t="s">
        <v>354</v>
      </c>
      <c r="E137" s="40">
        <v>-32.730411092485198</v>
      </c>
      <c r="F137" s="40">
        <v>151.55090842836699</v>
      </c>
      <c r="G137" t="s">
        <v>4022</v>
      </c>
      <c r="S137" t="s">
        <v>25777</v>
      </c>
      <c r="V137" t="s">
        <v>25803</v>
      </c>
      <c r="W137" s="3" t="s">
        <v>26009</v>
      </c>
      <c r="X137" t="s">
        <v>26015</v>
      </c>
    </row>
    <row r="138" spans="1:24" hidden="1" x14ac:dyDescent="0.35">
      <c r="A138" s="3" t="s">
        <v>26016</v>
      </c>
      <c r="B138" t="s">
        <v>4124</v>
      </c>
      <c r="C138" t="s">
        <v>24</v>
      </c>
      <c r="D138" t="s">
        <v>354</v>
      </c>
      <c r="E138" s="40">
        <v>-32.9207759304633</v>
      </c>
      <c r="F138" s="40">
        <v>151.773931765952</v>
      </c>
      <c r="G138" t="s">
        <v>4022</v>
      </c>
      <c r="H138">
        <v>55</v>
      </c>
      <c r="K138" t="s">
        <v>502</v>
      </c>
      <c r="L138" t="s">
        <v>25422</v>
      </c>
      <c r="P138" s="37">
        <f>200000000*0.65</f>
        <v>130000000</v>
      </c>
      <c r="S138" t="s">
        <v>25777</v>
      </c>
      <c r="V138" t="s">
        <v>25797</v>
      </c>
      <c r="W138" s="3" t="s">
        <v>25986</v>
      </c>
      <c r="X138" t="s">
        <v>26017</v>
      </c>
    </row>
    <row r="139" spans="1:24" ht="29" hidden="1" x14ac:dyDescent="0.35">
      <c r="A139" s="3" t="s">
        <v>26018</v>
      </c>
      <c r="B139" t="s">
        <v>4124</v>
      </c>
      <c r="C139" t="s">
        <v>24</v>
      </c>
      <c r="D139" t="s">
        <v>354</v>
      </c>
      <c r="E139" s="40">
        <v>-30.745591377722999</v>
      </c>
      <c r="F139" s="40">
        <v>150.72277286397599</v>
      </c>
      <c r="G139" t="s">
        <v>4022</v>
      </c>
      <c r="L139" t="s">
        <v>25394</v>
      </c>
      <c r="M139">
        <v>4.95</v>
      </c>
      <c r="P139" s="37">
        <f>7300000*0.65</f>
        <v>4745000</v>
      </c>
      <c r="Q139" t="s">
        <v>25436</v>
      </c>
      <c r="R139" t="s">
        <v>26019</v>
      </c>
      <c r="S139" t="s">
        <v>25777</v>
      </c>
      <c r="U139" t="s">
        <v>26020</v>
      </c>
      <c r="V139" t="s">
        <v>25803</v>
      </c>
      <c r="W139" s="3" t="s">
        <v>26021</v>
      </c>
      <c r="X139" t="s">
        <v>25597</v>
      </c>
    </row>
    <row r="140" spans="1:24" hidden="1" x14ac:dyDescent="0.35">
      <c r="A140" s="3" t="s">
        <v>26022</v>
      </c>
      <c r="B140" t="s">
        <v>26023</v>
      </c>
      <c r="C140" t="s">
        <v>24</v>
      </c>
      <c r="D140" t="s">
        <v>354</v>
      </c>
      <c r="E140" s="40">
        <v>-29.481648542865202</v>
      </c>
      <c r="F140" s="40">
        <v>149.83993341624699</v>
      </c>
      <c r="G140" t="s">
        <v>4022</v>
      </c>
      <c r="H140">
        <v>12</v>
      </c>
      <c r="I140" s="38">
        <f>J140*1000/365</f>
        <v>1853.1506849315069</v>
      </c>
      <c r="J140" s="9">
        <f>3800*0.178</f>
        <v>676.4</v>
      </c>
      <c r="K140" t="s">
        <v>502</v>
      </c>
      <c r="L140" t="s">
        <v>25394</v>
      </c>
      <c r="M140">
        <v>27</v>
      </c>
      <c r="N140" s="8">
        <v>20000</v>
      </c>
      <c r="Q140" t="s">
        <v>1074</v>
      </c>
      <c r="R140" t="s">
        <v>26024</v>
      </c>
      <c r="S140" t="s">
        <v>25777</v>
      </c>
      <c r="T140" t="s">
        <v>1074</v>
      </c>
      <c r="V140" t="s">
        <v>25803</v>
      </c>
      <c r="W140" s="3" t="s">
        <v>26025</v>
      </c>
      <c r="X140" t="s">
        <v>26026</v>
      </c>
    </row>
    <row r="141" spans="1:24" ht="29" hidden="1" x14ac:dyDescent="0.35">
      <c r="A141" s="3" t="s">
        <v>26027</v>
      </c>
      <c r="B141" t="s">
        <v>26028</v>
      </c>
      <c r="C141" t="s">
        <v>24</v>
      </c>
      <c r="D141" t="s">
        <v>354</v>
      </c>
      <c r="E141" s="40">
        <v>-28.547748028900799</v>
      </c>
      <c r="F141" s="40">
        <v>150.30778670043799</v>
      </c>
      <c r="G141">
        <v>2024</v>
      </c>
      <c r="I141" s="38">
        <f>J141*1000/365</f>
        <v>3698.6301369863013</v>
      </c>
      <c r="J141" s="8">
        <v>1350</v>
      </c>
      <c r="K141" t="s">
        <v>502</v>
      </c>
      <c r="L141" t="s">
        <v>25394</v>
      </c>
      <c r="M141">
        <v>2.5</v>
      </c>
      <c r="Q141" t="s">
        <v>25855</v>
      </c>
      <c r="R141" t="s">
        <v>26029</v>
      </c>
      <c r="S141" t="s">
        <v>25777</v>
      </c>
      <c r="V141" t="s">
        <v>25797</v>
      </c>
      <c r="W141" s="3" t="s">
        <v>26030</v>
      </c>
      <c r="X141" t="s">
        <v>26031</v>
      </c>
    </row>
    <row r="142" spans="1:24" ht="29" hidden="1" x14ac:dyDescent="0.35">
      <c r="A142" s="3" t="s">
        <v>26032</v>
      </c>
      <c r="B142" t="s">
        <v>1080</v>
      </c>
      <c r="C142" t="s">
        <v>24</v>
      </c>
      <c r="D142" t="s">
        <v>354</v>
      </c>
      <c r="E142" s="40">
        <v>-27.6455350622835</v>
      </c>
      <c r="F142" s="40">
        <v>152.81528477864401</v>
      </c>
      <c r="G142" t="s">
        <v>4022</v>
      </c>
      <c r="Q142" t="s">
        <v>25436</v>
      </c>
      <c r="R142" s="3" t="s">
        <v>26033</v>
      </c>
      <c r="S142" t="s">
        <v>25777</v>
      </c>
      <c r="T142" t="s">
        <v>25542</v>
      </c>
      <c r="V142" t="s">
        <v>25803</v>
      </c>
      <c r="W142" s="3" t="s">
        <v>26034</v>
      </c>
      <c r="X142" t="s">
        <v>26035</v>
      </c>
    </row>
    <row r="143" spans="1:24" hidden="1" x14ac:dyDescent="0.35">
      <c r="A143" s="3" t="s">
        <v>26036</v>
      </c>
      <c r="B143" t="s">
        <v>1080</v>
      </c>
      <c r="C143" t="s">
        <v>24</v>
      </c>
      <c r="D143" t="s">
        <v>354</v>
      </c>
      <c r="E143" s="40">
        <v>-27.524175973613499</v>
      </c>
      <c r="F143" s="40">
        <v>153.19794222411701</v>
      </c>
      <c r="G143" t="s">
        <v>4022</v>
      </c>
      <c r="P143" s="37">
        <f>3000000*0.65</f>
        <v>1950000</v>
      </c>
      <c r="Q143" t="s">
        <v>583</v>
      </c>
      <c r="R143" t="s">
        <v>26037</v>
      </c>
      <c r="S143" t="s">
        <v>25777</v>
      </c>
      <c r="T143" t="s">
        <v>583</v>
      </c>
      <c r="V143" t="s">
        <v>25847</v>
      </c>
      <c r="W143" s="3" t="s">
        <v>26038</v>
      </c>
      <c r="X143" t="s">
        <v>26039</v>
      </c>
    </row>
    <row r="144" spans="1:24" ht="29" hidden="1" x14ac:dyDescent="0.35">
      <c r="A144" s="3" t="s">
        <v>26040</v>
      </c>
      <c r="B144" t="s">
        <v>1080</v>
      </c>
      <c r="C144" t="s">
        <v>24</v>
      </c>
      <c r="D144" t="s">
        <v>354</v>
      </c>
      <c r="E144" s="40">
        <v>-27.3796448058484</v>
      </c>
      <c r="F144" s="40">
        <v>153.14888172771299</v>
      </c>
      <c r="G144" t="s">
        <v>4022</v>
      </c>
      <c r="H144">
        <v>500</v>
      </c>
      <c r="I144" s="38">
        <f>J144*1000/365</f>
        <v>191780.82191780821</v>
      </c>
      <c r="J144">
        <v>70000</v>
      </c>
      <c r="K144" t="s">
        <v>502</v>
      </c>
      <c r="P144" s="37">
        <f>38000000*0.65</f>
        <v>24700000</v>
      </c>
      <c r="Q144" t="s">
        <v>1074</v>
      </c>
      <c r="R144" t="s">
        <v>26041</v>
      </c>
      <c r="S144" t="s">
        <v>25777</v>
      </c>
      <c r="T144" t="s">
        <v>1074</v>
      </c>
      <c r="V144" t="s">
        <v>26042</v>
      </c>
      <c r="W144" s="3" t="s">
        <v>25525</v>
      </c>
      <c r="X144" t="s">
        <v>26043</v>
      </c>
    </row>
    <row r="145" spans="1:24" ht="29" hidden="1" x14ac:dyDescent="0.35">
      <c r="A145" s="3" t="s">
        <v>26044</v>
      </c>
      <c r="B145" t="s">
        <v>25561</v>
      </c>
      <c r="C145" t="s">
        <v>24</v>
      </c>
      <c r="D145" t="s">
        <v>354</v>
      </c>
      <c r="E145" s="40">
        <v>-26.8431326604471</v>
      </c>
      <c r="F145" s="40">
        <v>150.79650126365999</v>
      </c>
      <c r="G145">
        <v>2027</v>
      </c>
      <c r="Q145" t="s">
        <v>25436</v>
      </c>
      <c r="R145" t="s">
        <v>26045</v>
      </c>
      <c r="S145" t="s">
        <v>25777</v>
      </c>
      <c r="T145" t="s">
        <v>25542</v>
      </c>
      <c r="V145" t="s">
        <v>25803</v>
      </c>
      <c r="W145" s="3" t="s">
        <v>26046</v>
      </c>
      <c r="X145" t="s">
        <v>26047</v>
      </c>
    </row>
    <row r="146" spans="1:24" hidden="1" x14ac:dyDescent="0.35">
      <c r="A146" s="3" t="s">
        <v>26048</v>
      </c>
      <c r="B146" t="s">
        <v>26049</v>
      </c>
      <c r="C146" t="s">
        <v>24</v>
      </c>
      <c r="D146" t="s">
        <v>354</v>
      </c>
      <c r="E146" s="40">
        <v>-16.0845230111494</v>
      </c>
      <c r="F146" s="40">
        <v>145.45507478991399</v>
      </c>
      <c r="G146">
        <v>2024</v>
      </c>
      <c r="H146">
        <v>1</v>
      </c>
      <c r="L146" t="s">
        <v>25394</v>
      </c>
      <c r="M146">
        <v>8</v>
      </c>
      <c r="Q146" t="s">
        <v>25436</v>
      </c>
      <c r="R146" t="s">
        <v>26050</v>
      </c>
      <c r="S146" t="s">
        <v>25777</v>
      </c>
      <c r="U146" t="s">
        <v>26020</v>
      </c>
      <c r="V146" t="s">
        <v>25797</v>
      </c>
      <c r="W146" s="3" t="s">
        <v>26051</v>
      </c>
      <c r="X146" t="s">
        <v>26052</v>
      </c>
    </row>
    <row r="147" spans="1:24" hidden="1" x14ac:dyDescent="0.35">
      <c r="A147" s="3" t="s">
        <v>26053</v>
      </c>
      <c r="B147" t="s">
        <v>10742</v>
      </c>
      <c r="C147" t="s">
        <v>24</v>
      </c>
      <c r="D147" t="s">
        <v>354</v>
      </c>
      <c r="E147" s="40">
        <v>-19.255240603172201</v>
      </c>
      <c r="F147" s="40">
        <v>146.80845671674899</v>
      </c>
      <c r="G147">
        <v>2030</v>
      </c>
      <c r="Q147" t="s">
        <v>6424</v>
      </c>
      <c r="S147" t="s">
        <v>25777</v>
      </c>
      <c r="V147" t="s">
        <v>25803</v>
      </c>
      <c r="W147" s="3" t="s">
        <v>25986</v>
      </c>
      <c r="X147" t="s">
        <v>26054</v>
      </c>
    </row>
    <row r="148" spans="1:24" hidden="1" x14ac:dyDescent="0.35">
      <c r="A148" s="3" t="s">
        <v>26055</v>
      </c>
      <c r="B148" t="s">
        <v>10742</v>
      </c>
      <c r="C148" t="s">
        <v>24</v>
      </c>
      <c r="D148" t="s">
        <v>354</v>
      </c>
      <c r="E148" s="40">
        <v>-19.3246492744872</v>
      </c>
      <c r="F148" s="40">
        <v>146.821944448045</v>
      </c>
      <c r="G148" t="s">
        <v>4022</v>
      </c>
      <c r="Q148" t="s">
        <v>583</v>
      </c>
      <c r="R148" t="s">
        <v>26056</v>
      </c>
      <c r="S148" t="s">
        <v>25777</v>
      </c>
      <c r="T148" t="s">
        <v>583</v>
      </c>
      <c r="V148" t="s">
        <v>25797</v>
      </c>
      <c r="W148" s="3" t="s">
        <v>26057</v>
      </c>
      <c r="X148" t="s">
        <v>26058</v>
      </c>
    </row>
    <row r="149" spans="1:24" hidden="1" x14ac:dyDescent="0.35">
      <c r="A149" s="3" t="s">
        <v>26059</v>
      </c>
      <c r="B149" t="s">
        <v>26060</v>
      </c>
      <c r="C149" t="s">
        <v>24</v>
      </c>
      <c r="D149" t="s">
        <v>354</v>
      </c>
      <c r="E149" s="40">
        <v>-19.646795347584401</v>
      </c>
      <c r="F149" s="40">
        <v>146.83199695329</v>
      </c>
      <c r="G149" t="s">
        <v>4022</v>
      </c>
      <c r="H149" s="8">
        <v>1000</v>
      </c>
      <c r="I149" s="38">
        <f>J149*1000/365</f>
        <v>410958.90410958906</v>
      </c>
      <c r="J149" s="8">
        <v>150000</v>
      </c>
      <c r="K149" t="s">
        <v>502</v>
      </c>
      <c r="L149" t="s">
        <v>25394</v>
      </c>
      <c r="M149">
        <v>800</v>
      </c>
      <c r="Q149" t="s">
        <v>26061</v>
      </c>
      <c r="R149" t="s">
        <v>26062</v>
      </c>
      <c r="S149" t="s">
        <v>25777</v>
      </c>
      <c r="V149" t="s">
        <v>26063</v>
      </c>
      <c r="W149" s="3" t="s">
        <v>26064</v>
      </c>
      <c r="X149" t="s">
        <v>26065</v>
      </c>
    </row>
    <row r="150" spans="1:24" ht="29" hidden="1" x14ac:dyDescent="0.35">
      <c r="A150" s="3" t="s">
        <v>26066</v>
      </c>
      <c r="B150" t="s">
        <v>26067</v>
      </c>
      <c r="C150" t="s">
        <v>24</v>
      </c>
      <c r="D150" t="s">
        <v>354</v>
      </c>
      <c r="E150" s="40">
        <v>-20.543775145003799</v>
      </c>
      <c r="F150" s="40">
        <v>147.80569171372801</v>
      </c>
      <c r="G150">
        <v>2032</v>
      </c>
      <c r="I150" s="38">
        <f>J150/365*1000</f>
        <v>487671.23287671234</v>
      </c>
      <c r="J150" s="8">
        <v>178000</v>
      </c>
      <c r="K150" t="s">
        <v>502</v>
      </c>
      <c r="Q150" t="s">
        <v>6424</v>
      </c>
      <c r="R150" t="s">
        <v>26068</v>
      </c>
      <c r="S150" t="s">
        <v>25777</v>
      </c>
      <c r="T150" t="s">
        <v>1074</v>
      </c>
      <c r="V150" t="s">
        <v>25797</v>
      </c>
      <c r="W150" s="3" t="s">
        <v>26069</v>
      </c>
      <c r="X150" t="s">
        <v>26070</v>
      </c>
    </row>
    <row r="151" spans="1:24" ht="87" hidden="1" x14ac:dyDescent="0.35">
      <c r="A151" s="3" t="s">
        <v>26071</v>
      </c>
      <c r="B151" t="s">
        <v>26072</v>
      </c>
      <c r="C151" t="s">
        <v>24</v>
      </c>
      <c r="D151" t="s">
        <v>354</v>
      </c>
      <c r="E151" s="40">
        <v>-21.2757196236646</v>
      </c>
      <c r="F151" s="40">
        <v>49.2904942194493</v>
      </c>
      <c r="G151" t="s">
        <v>4022</v>
      </c>
      <c r="Q151" t="s">
        <v>6424</v>
      </c>
      <c r="R151" t="s">
        <v>26073</v>
      </c>
      <c r="S151" t="s">
        <v>25777</v>
      </c>
      <c r="V151" t="s">
        <v>25803</v>
      </c>
      <c r="W151" s="3" t="s">
        <v>26074</v>
      </c>
      <c r="X151" t="s">
        <v>26075</v>
      </c>
    </row>
    <row r="152" spans="1:24" hidden="1" x14ac:dyDescent="0.35">
      <c r="A152" s="3" t="s">
        <v>26076</v>
      </c>
      <c r="B152" t="s">
        <v>26077</v>
      </c>
      <c r="C152" t="s">
        <v>24</v>
      </c>
      <c r="D152" t="s">
        <v>354</v>
      </c>
      <c r="E152" s="40">
        <v>-23.52385612502</v>
      </c>
      <c r="F152" s="40">
        <v>148.16165991084199</v>
      </c>
      <c r="G152">
        <v>2024</v>
      </c>
      <c r="N152" s="8">
        <v>3100</v>
      </c>
      <c r="P152" s="37">
        <f>100000000*0.65</f>
        <v>65000000</v>
      </c>
      <c r="Q152" t="s">
        <v>583</v>
      </c>
      <c r="R152" t="s">
        <v>26078</v>
      </c>
      <c r="S152" t="s">
        <v>25777</v>
      </c>
      <c r="T152" t="s">
        <v>583</v>
      </c>
      <c r="V152" t="s">
        <v>25797</v>
      </c>
      <c r="W152" s="3" t="s">
        <v>26079</v>
      </c>
      <c r="X152" t="s">
        <v>26080</v>
      </c>
    </row>
    <row r="153" spans="1:24" hidden="1" x14ac:dyDescent="0.35">
      <c r="A153" s="3" t="s">
        <v>26081</v>
      </c>
      <c r="B153" t="s">
        <v>18693</v>
      </c>
      <c r="C153" t="s">
        <v>24</v>
      </c>
      <c r="D153" t="s">
        <v>354</v>
      </c>
      <c r="E153" s="40">
        <v>-24.5699988894245</v>
      </c>
      <c r="F153" s="40">
        <v>149.97503839955701</v>
      </c>
      <c r="G153" t="s">
        <v>4022</v>
      </c>
      <c r="Q153" t="s">
        <v>583</v>
      </c>
      <c r="R153" t="s">
        <v>26082</v>
      </c>
      <c r="S153" t="s">
        <v>25777</v>
      </c>
      <c r="T153" t="s">
        <v>26083</v>
      </c>
      <c r="V153" t="s">
        <v>25797</v>
      </c>
      <c r="W153" s="3" t="s">
        <v>26057</v>
      </c>
      <c r="X153" t="s">
        <v>26080</v>
      </c>
    </row>
    <row r="154" spans="1:24" hidden="1" x14ac:dyDescent="0.35">
      <c r="A154" s="3" t="s">
        <v>26084</v>
      </c>
      <c r="B154" t="s">
        <v>26085</v>
      </c>
      <c r="C154" t="s">
        <v>24</v>
      </c>
      <c r="D154" t="s">
        <v>354</v>
      </c>
      <c r="E154" s="40">
        <v>-24.380132771242899</v>
      </c>
      <c r="F154" s="40">
        <v>150.546078475532</v>
      </c>
      <c r="G154" t="s">
        <v>4022</v>
      </c>
      <c r="I154" s="38">
        <f>J154/365*1000</f>
        <v>273972.60273972602</v>
      </c>
      <c r="J154" s="8">
        <v>100000</v>
      </c>
      <c r="L154" t="s">
        <v>25394</v>
      </c>
      <c r="M154" s="8">
        <v>3600</v>
      </c>
      <c r="Q154" t="s">
        <v>6424</v>
      </c>
      <c r="R154" t="s">
        <v>26086</v>
      </c>
      <c r="S154" t="s">
        <v>25777</v>
      </c>
      <c r="T154" t="s">
        <v>1074</v>
      </c>
      <c r="V154" t="s">
        <v>25803</v>
      </c>
      <c r="W154" s="3" t="s">
        <v>26087</v>
      </c>
      <c r="X154" t="s">
        <v>26088</v>
      </c>
    </row>
    <row r="155" spans="1:24" hidden="1" x14ac:dyDescent="0.35">
      <c r="A155" s="3" t="s">
        <v>26089</v>
      </c>
      <c r="B155" t="s">
        <v>6432</v>
      </c>
      <c r="C155" t="s">
        <v>24</v>
      </c>
      <c r="D155" t="s">
        <v>354</v>
      </c>
      <c r="E155" s="40">
        <v>-23.835095886131</v>
      </c>
      <c r="F155" s="40">
        <v>151.26149365895799</v>
      </c>
      <c r="G155" t="s">
        <v>4022</v>
      </c>
      <c r="P155" s="37">
        <f>20600000*0.65</f>
        <v>13390000</v>
      </c>
      <c r="Q155" t="s">
        <v>583</v>
      </c>
      <c r="R155" t="s">
        <v>26090</v>
      </c>
      <c r="S155" t="s">
        <v>25777</v>
      </c>
      <c r="T155" t="s">
        <v>25944</v>
      </c>
      <c r="V155" t="s">
        <v>25803</v>
      </c>
      <c r="W155" s="3" t="s">
        <v>26091</v>
      </c>
      <c r="X155" t="s">
        <v>26092</v>
      </c>
    </row>
    <row r="156" spans="1:24" hidden="1" x14ac:dyDescent="0.35">
      <c r="A156" s="3" t="s">
        <v>26093</v>
      </c>
      <c r="B156" t="s">
        <v>6432</v>
      </c>
      <c r="C156" t="s">
        <v>24</v>
      </c>
      <c r="D156" t="s">
        <v>354</v>
      </c>
      <c r="E156" s="40">
        <v>-23.8250250165406</v>
      </c>
      <c r="F156" s="40">
        <v>151.22752164342799</v>
      </c>
      <c r="G156" t="s">
        <v>4022</v>
      </c>
      <c r="Q156" t="s">
        <v>494</v>
      </c>
      <c r="R156" t="s">
        <v>26094</v>
      </c>
      <c r="S156" t="s">
        <v>25777</v>
      </c>
      <c r="V156" t="s">
        <v>25803</v>
      </c>
      <c r="W156" s="3" t="s">
        <v>26095</v>
      </c>
      <c r="X156" t="s">
        <v>26096</v>
      </c>
    </row>
    <row r="157" spans="1:24" ht="58" hidden="1" x14ac:dyDescent="0.35">
      <c r="A157" s="3" t="s">
        <v>26097</v>
      </c>
      <c r="B157" t="s">
        <v>26098</v>
      </c>
      <c r="C157" t="s">
        <v>24</v>
      </c>
      <c r="D157" t="s">
        <v>354</v>
      </c>
      <c r="E157" s="40">
        <v>-23.836821859825498</v>
      </c>
      <c r="F157" s="40">
        <v>151.045956122154</v>
      </c>
      <c r="G157">
        <v>2028</v>
      </c>
      <c r="I157" s="8">
        <v>200000</v>
      </c>
      <c r="J157" s="38">
        <f>I157*365/1000</f>
        <v>73000</v>
      </c>
      <c r="K157" t="s">
        <v>502</v>
      </c>
      <c r="L157" t="s">
        <v>25447</v>
      </c>
      <c r="P157" s="37">
        <f>117000000*0.65</f>
        <v>76050000</v>
      </c>
      <c r="Q157" t="s">
        <v>6424</v>
      </c>
      <c r="R157" t="s">
        <v>26099</v>
      </c>
      <c r="S157" t="s">
        <v>25777</v>
      </c>
      <c r="V157" t="s">
        <v>25797</v>
      </c>
      <c r="W157" s="3" t="s">
        <v>26100</v>
      </c>
      <c r="X157" t="s">
        <v>26101</v>
      </c>
    </row>
    <row r="158" spans="1:24" hidden="1" x14ac:dyDescent="0.35">
      <c r="A158" s="3" t="s">
        <v>26102</v>
      </c>
      <c r="B158" t="s">
        <v>6432</v>
      </c>
      <c r="C158" t="s">
        <v>24</v>
      </c>
      <c r="D158" t="s">
        <v>354</v>
      </c>
      <c r="E158" s="40">
        <v>-23.842113778299101</v>
      </c>
      <c r="F158" s="40">
        <v>151.21667942022299</v>
      </c>
      <c r="G158" t="s">
        <v>4022</v>
      </c>
      <c r="H158" s="8">
        <v>3000</v>
      </c>
      <c r="I158" s="8">
        <v>5000000</v>
      </c>
      <c r="J158" s="38">
        <f>I158*365/1000</f>
        <v>1825000</v>
      </c>
      <c r="K158" t="s">
        <v>502</v>
      </c>
      <c r="L158" t="s">
        <v>25452</v>
      </c>
      <c r="P158" s="37">
        <f>4700000000*0.65</f>
        <v>3055000000</v>
      </c>
      <c r="Q158" t="s">
        <v>6424</v>
      </c>
      <c r="R158" t="s">
        <v>26103</v>
      </c>
      <c r="S158" t="s">
        <v>25777</v>
      </c>
      <c r="T158" t="s">
        <v>1074</v>
      </c>
      <c r="V158" t="s">
        <v>25803</v>
      </c>
      <c r="W158" s="3" t="s">
        <v>26104</v>
      </c>
      <c r="X158" t="s">
        <v>26105</v>
      </c>
    </row>
    <row r="159" spans="1:24" hidden="1" x14ac:dyDescent="0.35">
      <c r="A159" s="3" t="s">
        <v>26106</v>
      </c>
      <c r="B159" t="s">
        <v>6432</v>
      </c>
      <c r="C159" t="s">
        <v>24</v>
      </c>
      <c r="D159" t="s">
        <v>354</v>
      </c>
      <c r="E159" s="40">
        <v>-23.809605081199699</v>
      </c>
      <c r="F159" s="40">
        <v>151.14827746716699</v>
      </c>
      <c r="G159" t="s">
        <v>4022</v>
      </c>
      <c r="I159">
        <v>480</v>
      </c>
      <c r="J159" s="9">
        <f>I159*365/1000</f>
        <v>175.2</v>
      </c>
      <c r="K159" t="s">
        <v>26107</v>
      </c>
      <c r="L159" t="s">
        <v>25708</v>
      </c>
      <c r="P159" s="37">
        <f>7000000*0.65</f>
        <v>4550000</v>
      </c>
      <c r="Q159" t="s">
        <v>25251</v>
      </c>
      <c r="R159" t="s">
        <v>26108</v>
      </c>
      <c r="S159" t="s">
        <v>25777</v>
      </c>
      <c r="T159" t="s">
        <v>25251</v>
      </c>
      <c r="V159" t="s">
        <v>25797</v>
      </c>
      <c r="W159" s="3" t="s">
        <v>26109</v>
      </c>
      <c r="X159" t="s">
        <v>26110</v>
      </c>
    </row>
    <row r="160" spans="1:24" hidden="1" x14ac:dyDescent="0.35">
      <c r="A160" s="3" t="s">
        <v>26111</v>
      </c>
      <c r="B160" t="s">
        <v>6432</v>
      </c>
      <c r="C160" t="s">
        <v>24</v>
      </c>
      <c r="D160" t="s">
        <v>354</v>
      </c>
      <c r="E160" s="40">
        <v>-23.7806324888912</v>
      </c>
      <c r="F160" s="40">
        <v>151.16242532032001</v>
      </c>
      <c r="G160">
        <v>2028</v>
      </c>
      <c r="I160" s="11"/>
      <c r="J160" s="9">
        <f>I160*365/1000</f>
        <v>0</v>
      </c>
      <c r="P160" s="37">
        <f>150000000*0.65</f>
        <v>97500000</v>
      </c>
      <c r="Q160" t="s">
        <v>1162</v>
      </c>
      <c r="R160" t="s">
        <v>26112</v>
      </c>
      <c r="S160" t="s">
        <v>25777</v>
      </c>
      <c r="T160" t="s">
        <v>1162</v>
      </c>
      <c r="V160" t="s">
        <v>25797</v>
      </c>
      <c r="W160" s="3" t="s">
        <v>26113</v>
      </c>
      <c r="X160" t="s">
        <v>26114</v>
      </c>
    </row>
    <row r="161" spans="1:24" ht="29" hidden="1" x14ac:dyDescent="0.35">
      <c r="A161" s="3" t="s">
        <v>26115</v>
      </c>
      <c r="B161" t="s">
        <v>26116</v>
      </c>
      <c r="C161" t="s">
        <v>24</v>
      </c>
      <c r="D161" t="s">
        <v>354</v>
      </c>
      <c r="E161" s="40">
        <v>-24.8658865641986</v>
      </c>
      <c r="F161" s="40">
        <v>152.34955328569299</v>
      </c>
      <c r="G161" t="s">
        <v>4022</v>
      </c>
      <c r="J161" s="9">
        <f t="shared" ref="J161:J178" si="7">I161*365/1000</f>
        <v>0</v>
      </c>
      <c r="K161" t="s">
        <v>26117</v>
      </c>
      <c r="L161" t="s">
        <v>25691</v>
      </c>
      <c r="Q161" t="s">
        <v>583</v>
      </c>
      <c r="R161" t="s">
        <v>26118</v>
      </c>
      <c r="S161" t="s">
        <v>25777</v>
      </c>
      <c r="V161" t="s">
        <v>25803</v>
      </c>
      <c r="W161" s="3" t="s">
        <v>26119</v>
      </c>
      <c r="X161" t="s">
        <v>26120</v>
      </c>
    </row>
    <row r="162" spans="1:24" x14ac:dyDescent="0.35">
      <c r="A162" s="3" t="s">
        <v>1734</v>
      </c>
      <c r="B162" t="s">
        <v>1733</v>
      </c>
      <c r="C162" t="s">
        <v>5613</v>
      </c>
      <c r="D162" t="s">
        <v>131</v>
      </c>
      <c r="E162" s="40">
        <v>50.367874</v>
      </c>
      <c r="F162" s="40">
        <v>3.0806019999999998</v>
      </c>
      <c r="G162">
        <v>1988</v>
      </c>
      <c r="J162" s="9">
        <f t="shared" si="7"/>
        <v>0</v>
      </c>
      <c r="K162" t="s">
        <v>261</v>
      </c>
      <c r="Q162" s="111" t="s">
        <v>1735</v>
      </c>
      <c r="S162" t="str">
        <f>IF(G162&gt;2023, "Under Consruction", "Operational")</f>
        <v>Operational</v>
      </c>
      <c r="W162" s="3"/>
    </row>
    <row r="163" spans="1:24" x14ac:dyDescent="0.35">
      <c r="A163" s="3" t="s">
        <v>1734</v>
      </c>
      <c r="B163" t="s">
        <v>1270</v>
      </c>
      <c r="C163" t="s">
        <v>5613</v>
      </c>
      <c r="D163" t="s">
        <v>131</v>
      </c>
      <c r="E163" s="40">
        <v>51.034368399999998</v>
      </c>
      <c r="F163" s="40">
        <v>2.3767763</v>
      </c>
      <c r="I163" s="8">
        <v>51951</v>
      </c>
      <c r="J163" s="9">
        <f t="shared" si="7"/>
        <v>18962.115000000002</v>
      </c>
      <c r="K163" t="s">
        <v>498</v>
      </c>
      <c r="Q163" s="111" t="s">
        <v>494</v>
      </c>
      <c r="W163" s="3"/>
    </row>
    <row r="164" spans="1:24" x14ac:dyDescent="0.35">
      <c r="A164" s="3" t="s">
        <v>1734</v>
      </c>
      <c r="B164" t="s">
        <v>1737</v>
      </c>
      <c r="C164" t="s">
        <v>5613</v>
      </c>
      <c r="D164" t="s">
        <v>131</v>
      </c>
      <c r="E164" s="40">
        <v>46.601312999999998</v>
      </c>
      <c r="F164" s="40">
        <v>4.0649930000000003</v>
      </c>
      <c r="G164">
        <v>2001</v>
      </c>
      <c r="I164" s="8">
        <v>1708</v>
      </c>
      <c r="J164" s="9">
        <f t="shared" si="7"/>
        <v>623.41999999999996</v>
      </c>
      <c r="K164" t="s">
        <v>261</v>
      </c>
      <c r="Q164" s="111" t="s">
        <v>503</v>
      </c>
      <c r="S164" t="str">
        <f>IF(G164&gt;2023, "Under Consruction", "Operational")</f>
        <v>Operational</v>
      </c>
      <c r="W164" s="3"/>
    </row>
    <row r="165" spans="1:24" x14ac:dyDescent="0.35">
      <c r="A165" s="3" t="s">
        <v>1734</v>
      </c>
      <c r="B165" t="s">
        <v>1739</v>
      </c>
      <c r="C165" t="s">
        <v>5613</v>
      </c>
      <c r="D165" t="s">
        <v>131</v>
      </c>
      <c r="E165" s="40">
        <v>43.413249</v>
      </c>
      <c r="F165" s="40">
        <v>-0.61914000000000002</v>
      </c>
      <c r="I165" s="8">
        <v>3865</v>
      </c>
      <c r="J165" s="9">
        <f t="shared" si="7"/>
        <v>1410.7249999999999</v>
      </c>
      <c r="K165" t="s">
        <v>261</v>
      </c>
      <c r="Q165" s="111" t="s">
        <v>494</v>
      </c>
      <c r="W165" s="3"/>
    </row>
    <row r="166" spans="1:24" x14ac:dyDescent="0.35">
      <c r="A166" s="3" t="s">
        <v>1734</v>
      </c>
      <c r="B166" t="s">
        <v>1273</v>
      </c>
      <c r="C166" t="s">
        <v>5613</v>
      </c>
      <c r="D166" t="s">
        <v>131</v>
      </c>
      <c r="E166" s="40"/>
      <c r="F166" s="40"/>
      <c r="G166">
        <v>2006</v>
      </c>
      <c r="I166" s="8">
        <v>53928</v>
      </c>
      <c r="J166" s="9">
        <f t="shared" si="7"/>
        <v>19683.72</v>
      </c>
      <c r="K166" t="s">
        <v>261</v>
      </c>
      <c r="Q166" s="111" t="s">
        <v>483</v>
      </c>
      <c r="S166" t="str">
        <f>IF(G166&gt;2023, "Under Consruction", "Operational")</f>
        <v>Operational</v>
      </c>
      <c r="W166" s="3"/>
    </row>
    <row r="167" spans="1:24" x14ac:dyDescent="0.35">
      <c r="A167" s="3" t="s">
        <v>1734</v>
      </c>
      <c r="B167" t="s">
        <v>1273</v>
      </c>
      <c r="C167" t="s">
        <v>5613</v>
      </c>
      <c r="D167" t="s">
        <v>131</v>
      </c>
      <c r="E167" s="40"/>
      <c r="F167" s="40"/>
      <c r="G167">
        <v>2016</v>
      </c>
      <c r="I167" s="8">
        <v>26604</v>
      </c>
      <c r="J167" s="9">
        <f t="shared" si="7"/>
        <v>9710.4599999999991</v>
      </c>
      <c r="K167" t="s">
        <v>498</v>
      </c>
      <c r="Q167" s="111" t="s">
        <v>1694</v>
      </c>
      <c r="S167" t="str">
        <f>IF(G167&gt;2023, "Under Consruction", "Operational")</f>
        <v>Operational</v>
      </c>
      <c r="W167" s="3"/>
    </row>
    <row r="168" spans="1:24" x14ac:dyDescent="0.35">
      <c r="A168" s="3" t="s">
        <v>1734</v>
      </c>
      <c r="B168" t="s">
        <v>1743</v>
      </c>
      <c r="C168" t="s">
        <v>5613</v>
      </c>
      <c r="D168" t="s">
        <v>131</v>
      </c>
      <c r="E168" s="40">
        <v>45.371338999999999</v>
      </c>
      <c r="F168" s="40">
        <v>4.7968489999999999</v>
      </c>
      <c r="G168">
        <v>2010</v>
      </c>
      <c r="I168" s="8">
        <v>10965</v>
      </c>
      <c r="J168" s="9">
        <f t="shared" si="7"/>
        <v>4002.2249999999999</v>
      </c>
      <c r="K168" t="s">
        <v>261</v>
      </c>
      <c r="Q168" s="111" t="s">
        <v>1694</v>
      </c>
      <c r="S168" t="str">
        <f>IF(G168&gt;2023, "Under Consruction", "Operational")</f>
        <v>Operational</v>
      </c>
      <c r="W168" s="3"/>
    </row>
    <row r="169" spans="1:24" x14ac:dyDescent="0.35">
      <c r="A169" s="3" t="s">
        <v>1734</v>
      </c>
      <c r="B169" t="s">
        <v>1745</v>
      </c>
      <c r="C169" t="s">
        <v>5613</v>
      </c>
      <c r="D169" t="s">
        <v>131</v>
      </c>
      <c r="E169" s="40">
        <v>45.123218000000001</v>
      </c>
      <c r="F169" s="40">
        <v>5.6978200000000001</v>
      </c>
      <c r="I169" s="8">
        <v>15729</v>
      </c>
      <c r="J169" s="9">
        <f t="shared" si="7"/>
        <v>5741.085</v>
      </c>
      <c r="K169" t="s">
        <v>613</v>
      </c>
      <c r="Q169" s="111" t="s">
        <v>494</v>
      </c>
      <c r="W169" s="3"/>
    </row>
    <row r="170" spans="1:24" x14ac:dyDescent="0.35">
      <c r="A170" s="3" t="s">
        <v>1734</v>
      </c>
      <c r="B170" t="s">
        <v>1745</v>
      </c>
      <c r="C170" t="s">
        <v>5613</v>
      </c>
      <c r="D170" t="s">
        <v>131</v>
      </c>
      <c r="E170" s="40">
        <v>45.123218000000001</v>
      </c>
      <c r="F170" s="40">
        <v>5.6978200000000001</v>
      </c>
      <c r="I170" s="8">
        <v>6471</v>
      </c>
      <c r="J170" s="9">
        <f t="shared" si="7"/>
        <v>2361.915</v>
      </c>
      <c r="K170" t="s">
        <v>261</v>
      </c>
      <c r="Q170" s="111" t="s">
        <v>494</v>
      </c>
      <c r="W170" s="3"/>
    </row>
    <row r="171" spans="1:24" x14ac:dyDescent="0.35">
      <c r="A171" s="3" t="s">
        <v>1734</v>
      </c>
      <c r="B171" t="s">
        <v>1255</v>
      </c>
      <c r="C171" t="s">
        <v>5613</v>
      </c>
      <c r="D171" t="s">
        <v>131</v>
      </c>
      <c r="E171" s="40">
        <v>49.489108000000002</v>
      </c>
      <c r="F171" s="40">
        <v>0.56762400000000002</v>
      </c>
      <c r="G171">
        <v>2005</v>
      </c>
      <c r="I171" s="8">
        <v>107856</v>
      </c>
      <c r="J171" s="9">
        <f t="shared" si="7"/>
        <v>39367.440000000002</v>
      </c>
      <c r="K171" t="s">
        <v>261</v>
      </c>
      <c r="Q171" s="111" t="s">
        <v>483</v>
      </c>
      <c r="S171" t="str">
        <f>IF(G171&gt;2023, "Under Consruction", "Operational")</f>
        <v>Operational</v>
      </c>
      <c r="W171" s="3"/>
    </row>
    <row r="172" spans="1:24" x14ac:dyDescent="0.35">
      <c r="A172" s="3" t="s">
        <v>1734</v>
      </c>
      <c r="B172" t="s">
        <v>1260</v>
      </c>
      <c r="C172" t="s">
        <v>5613</v>
      </c>
      <c r="D172" t="s">
        <v>131</v>
      </c>
      <c r="E172" s="40">
        <v>45.708874000000002</v>
      </c>
      <c r="F172" s="40">
        <v>4.8533739999999996</v>
      </c>
      <c r="G172">
        <v>2019</v>
      </c>
      <c r="I172" s="8">
        <v>65792</v>
      </c>
      <c r="J172" s="9">
        <f t="shared" si="7"/>
        <v>24014.080000000002</v>
      </c>
      <c r="K172" t="s">
        <v>261</v>
      </c>
      <c r="Q172" s="111" t="s">
        <v>494</v>
      </c>
      <c r="S172" t="str">
        <f>IF(G172&gt;2023, "Under Consruction", "Operational")</f>
        <v>Operational</v>
      </c>
      <c r="W172" s="3"/>
    </row>
    <row r="173" spans="1:24" x14ac:dyDescent="0.35">
      <c r="A173" s="3" t="s">
        <v>1749</v>
      </c>
      <c r="B173" t="s">
        <v>1255</v>
      </c>
      <c r="C173" t="s">
        <v>5613</v>
      </c>
      <c r="D173" t="s">
        <v>131</v>
      </c>
      <c r="E173" s="40">
        <v>49.489108000000002</v>
      </c>
      <c r="F173" s="40">
        <v>0.56762400000000002</v>
      </c>
      <c r="G173">
        <v>2025</v>
      </c>
      <c r="I173" s="8">
        <v>95902</v>
      </c>
      <c r="J173" s="9">
        <f t="shared" si="7"/>
        <v>35004.230000000003</v>
      </c>
      <c r="K173" t="s">
        <v>502</v>
      </c>
      <c r="Q173" s="111" t="s">
        <v>483</v>
      </c>
      <c r="S173" t="str">
        <f>IF(G173&gt;2023, "Under Consruction", "Operational")</f>
        <v>Under Consruction</v>
      </c>
      <c r="W173" s="3"/>
    </row>
    <row r="174" spans="1:24" x14ac:dyDescent="0.35">
      <c r="A174" s="3" t="s">
        <v>1751</v>
      </c>
      <c r="B174" t="s">
        <v>1255</v>
      </c>
      <c r="C174" t="s">
        <v>5613</v>
      </c>
      <c r="D174" t="s">
        <v>131</v>
      </c>
      <c r="E174" s="40">
        <v>49.489108000000002</v>
      </c>
      <c r="F174" s="40">
        <v>0.56762400000000002</v>
      </c>
      <c r="G174">
        <v>2023</v>
      </c>
      <c r="I174" s="8">
        <v>95902</v>
      </c>
      <c r="J174" s="9">
        <f t="shared" si="7"/>
        <v>35004.230000000003</v>
      </c>
      <c r="K174" t="s">
        <v>502</v>
      </c>
      <c r="Q174" s="111" t="s">
        <v>549</v>
      </c>
      <c r="S174" t="str">
        <f>IF(G174&gt;2023, "Under Consruction", "Operational")</f>
        <v>Operational</v>
      </c>
      <c r="W174" s="3"/>
    </row>
    <row r="175" spans="1:24" x14ac:dyDescent="0.35">
      <c r="A175" s="3" t="s">
        <v>1754</v>
      </c>
      <c r="B175" t="s">
        <v>1753</v>
      </c>
      <c r="C175" t="s">
        <v>5613</v>
      </c>
      <c r="D175" t="s">
        <v>131</v>
      </c>
      <c r="E175" s="40">
        <v>47.819778900000003</v>
      </c>
      <c r="F175" s="40">
        <v>7.5397689999999997</v>
      </c>
      <c r="G175">
        <v>2024</v>
      </c>
      <c r="I175" s="8">
        <v>44940</v>
      </c>
      <c r="J175" s="9">
        <f t="shared" si="7"/>
        <v>16403.099999999999</v>
      </c>
      <c r="K175" t="s">
        <v>1250</v>
      </c>
      <c r="Q175" s="111" t="s">
        <v>1262</v>
      </c>
      <c r="S175" t="str">
        <f>IF(G175&gt;2023, "Under Consruction", "Operational")</f>
        <v>Under Consruction</v>
      </c>
      <c r="W175" s="3"/>
    </row>
    <row r="176" spans="1:24" x14ac:dyDescent="0.35">
      <c r="A176" s="3" t="s">
        <v>1754</v>
      </c>
      <c r="B176" t="s">
        <v>1753</v>
      </c>
      <c r="C176" t="s">
        <v>5613</v>
      </c>
      <c r="D176" t="s">
        <v>131</v>
      </c>
      <c r="E176" s="40">
        <v>47.819778900000003</v>
      </c>
      <c r="F176" s="40">
        <v>7.5397689999999997</v>
      </c>
      <c r="I176" s="8">
        <v>47906</v>
      </c>
      <c r="J176" s="9">
        <f t="shared" si="7"/>
        <v>17485.689999999999</v>
      </c>
      <c r="K176" t="s">
        <v>1250</v>
      </c>
      <c r="Q176" s="111" t="s">
        <v>494</v>
      </c>
      <c r="W176" s="3"/>
    </row>
    <row r="177" spans="1:23" x14ac:dyDescent="0.35">
      <c r="A177" s="3" t="s">
        <v>1757</v>
      </c>
      <c r="B177" t="s">
        <v>1276</v>
      </c>
      <c r="C177" t="s">
        <v>5613</v>
      </c>
      <c r="D177" t="s">
        <v>131</v>
      </c>
      <c r="E177" s="40">
        <v>43.399231999999998</v>
      </c>
      <c r="F177" s="40">
        <v>5.1115209999999998</v>
      </c>
      <c r="G177">
        <v>2028</v>
      </c>
      <c r="I177" s="8">
        <v>44940</v>
      </c>
      <c r="J177" s="9">
        <f t="shared" si="7"/>
        <v>16403.099999999999</v>
      </c>
      <c r="K177" t="s">
        <v>502</v>
      </c>
      <c r="Q177" s="111" t="s">
        <v>732</v>
      </c>
      <c r="S177" t="str">
        <f>IF(G177&gt;2023, "Under Consruction", "Operational")</f>
        <v>Under Consruction</v>
      </c>
      <c r="W177" s="3"/>
    </row>
    <row r="178" spans="1:23" x14ac:dyDescent="0.35">
      <c r="A178" s="3" t="s">
        <v>1760</v>
      </c>
      <c r="B178" t="s">
        <v>1759</v>
      </c>
      <c r="C178" t="s">
        <v>5613</v>
      </c>
      <c r="D178" t="s">
        <v>131</v>
      </c>
      <c r="E178" s="40">
        <v>49.218164999999999</v>
      </c>
      <c r="F178" s="40">
        <v>2.4184100000000002</v>
      </c>
      <c r="J178" s="9">
        <f t="shared" si="7"/>
        <v>0</v>
      </c>
      <c r="K178" t="s">
        <v>1250</v>
      </c>
      <c r="Q178" s="111" t="s">
        <v>1694</v>
      </c>
      <c r="W178" s="3"/>
    </row>
    <row r="179" spans="1:23" x14ac:dyDescent="0.35">
      <c r="A179" s="3"/>
      <c r="E179" s="40"/>
      <c r="F179" s="40"/>
      <c r="W179" s="3"/>
    </row>
    <row r="180" spans="1:23" x14ac:dyDescent="0.35">
      <c r="A180" s="3"/>
      <c r="E180" s="40"/>
      <c r="F180" s="40"/>
      <c r="W180" s="3"/>
    </row>
    <row r="181" spans="1:23" x14ac:dyDescent="0.35">
      <c r="A181" s="3"/>
      <c r="E181" s="40"/>
      <c r="F181" s="40"/>
      <c r="W181" s="3"/>
    </row>
    <row r="182" spans="1:23" x14ac:dyDescent="0.35">
      <c r="A182" s="3"/>
      <c r="E182" s="40"/>
      <c r="F182" s="40"/>
      <c r="W182" s="3"/>
    </row>
    <row r="183" spans="1:23" x14ac:dyDescent="0.35">
      <c r="A183" s="3"/>
      <c r="E183" s="40"/>
      <c r="F183" s="40"/>
      <c r="W183" s="3"/>
    </row>
    <row r="184" spans="1:23" x14ac:dyDescent="0.35">
      <c r="A184" s="3"/>
      <c r="E184" s="40"/>
      <c r="F184" s="40"/>
      <c r="W184" s="3"/>
    </row>
    <row r="185" spans="1:23" x14ac:dyDescent="0.35">
      <c r="A185" s="3"/>
      <c r="E185" s="40"/>
      <c r="F185" s="40"/>
      <c r="W185" s="3"/>
    </row>
    <row r="186" spans="1:23" x14ac:dyDescent="0.35">
      <c r="A186" s="3"/>
      <c r="E186" s="40"/>
      <c r="F186" s="40"/>
      <c r="W186" s="3"/>
    </row>
    <row r="187" spans="1:23" x14ac:dyDescent="0.35">
      <c r="A187" s="3"/>
      <c r="E187" s="40"/>
      <c r="F187" s="40"/>
      <c r="W187" s="3"/>
    </row>
    <row r="188" spans="1:23" x14ac:dyDescent="0.35">
      <c r="A188" s="3"/>
      <c r="E188" s="40"/>
      <c r="F188" s="40"/>
      <c r="W188" s="3"/>
    </row>
    <row r="189" spans="1:23" x14ac:dyDescent="0.35">
      <c r="A189" s="3"/>
      <c r="E189" s="40"/>
      <c r="F189" s="40"/>
      <c r="W189" s="3"/>
    </row>
    <row r="190" spans="1:23" x14ac:dyDescent="0.35">
      <c r="A190" s="3"/>
      <c r="E190" s="40"/>
      <c r="F190" s="40"/>
      <c r="W190" s="3"/>
    </row>
    <row r="191" spans="1:23" x14ac:dyDescent="0.35">
      <c r="A191" s="3"/>
      <c r="E191" s="40"/>
      <c r="F191" s="40"/>
      <c r="W191" s="3"/>
    </row>
    <row r="192" spans="1:23" x14ac:dyDescent="0.35">
      <c r="A192" s="3"/>
      <c r="E192" s="40"/>
      <c r="F192" s="40"/>
      <c r="W192" s="3"/>
    </row>
    <row r="193" spans="1:23" x14ac:dyDescent="0.35">
      <c r="A193" s="3"/>
      <c r="E193" s="40"/>
      <c r="F193" s="40"/>
      <c r="W193" s="3"/>
    </row>
    <row r="194" spans="1:23" x14ac:dyDescent="0.35">
      <c r="A194" s="3"/>
      <c r="E194" s="40"/>
      <c r="F194" s="40"/>
      <c r="W194" s="3"/>
    </row>
    <row r="195" spans="1:23" x14ac:dyDescent="0.35">
      <c r="A195" s="3"/>
      <c r="E195" s="40"/>
      <c r="F195" s="40"/>
      <c r="W195" s="3"/>
    </row>
    <row r="196" spans="1:23" x14ac:dyDescent="0.35">
      <c r="A196" s="3"/>
      <c r="E196" s="40"/>
      <c r="F196" s="40"/>
      <c r="W196" s="3"/>
    </row>
    <row r="197" spans="1:23" x14ac:dyDescent="0.35">
      <c r="A197" s="3"/>
      <c r="E197" s="40"/>
      <c r="F197" s="40"/>
      <c r="W197" s="3"/>
    </row>
    <row r="198" spans="1:23" x14ac:dyDescent="0.35">
      <c r="A198" s="3"/>
      <c r="E198" s="40"/>
      <c r="F198" s="40"/>
      <c r="W198" s="3"/>
    </row>
    <row r="199" spans="1:23" x14ac:dyDescent="0.35">
      <c r="A199" s="3"/>
      <c r="E199" s="40"/>
      <c r="F199" s="40"/>
      <c r="W199" s="3"/>
    </row>
    <row r="200" spans="1:23" x14ac:dyDescent="0.35">
      <c r="A200" s="3"/>
      <c r="E200" s="40"/>
      <c r="F200" s="40"/>
      <c r="W200" s="3"/>
    </row>
    <row r="201" spans="1:23" x14ac:dyDescent="0.35">
      <c r="A201" s="3"/>
      <c r="E201" s="40"/>
      <c r="F201" s="40"/>
      <c r="W201" s="3"/>
    </row>
    <row r="202" spans="1:23" x14ac:dyDescent="0.35">
      <c r="A202" s="3"/>
      <c r="E202" s="40"/>
      <c r="F202" s="40"/>
      <c r="W202" s="3"/>
    </row>
    <row r="203" spans="1:23" x14ac:dyDescent="0.35">
      <c r="A203" s="3"/>
      <c r="E203" s="40"/>
      <c r="F203" s="40"/>
      <c r="W203" s="3"/>
    </row>
    <row r="204" spans="1:23" x14ac:dyDescent="0.35">
      <c r="A204" s="3"/>
      <c r="E204" s="40"/>
      <c r="F204" s="40"/>
      <c r="W204" s="3"/>
    </row>
    <row r="205" spans="1:23" x14ac:dyDescent="0.35">
      <c r="A205" s="3"/>
      <c r="E205" s="40"/>
      <c r="F205" s="40"/>
      <c r="W205" s="3"/>
    </row>
    <row r="206" spans="1:23" x14ac:dyDescent="0.35">
      <c r="A206" s="3"/>
      <c r="E206" s="40"/>
      <c r="F206" s="40"/>
      <c r="W206" s="3"/>
    </row>
    <row r="207" spans="1:23" x14ac:dyDescent="0.35">
      <c r="A207" s="3"/>
      <c r="E207" s="40"/>
      <c r="F207" s="40"/>
      <c r="W207" s="3"/>
    </row>
    <row r="208" spans="1:23" x14ac:dyDescent="0.35">
      <c r="A208" s="3"/>
      <c r="E208" s="40"/>
      <c r="F208" s="40"/>
      <c r="W208" s="3"/>
    </row>
    <row r="209" spans="1:23" x14ac:dyDescent="0.35">
      <c r="A209" s="3"/>
      <c r="E209" s="40"/>
      <c r="F209" s="40"/>
      <c r="W209" s="3"/>
    </row>
    <row r="210" spans="1:23" x14ac:dyDescent="0.35">
      <c r="A210" s="3"/>
      <c r="E210" s="40"/>
      <c r="F210" s="40"/>
      <c r="W210" s="3"/>
    </row>
    <row r="211" spans="1:23" x14ac:dyDescent="0.35">
      <c r="A211" s="3"/>
      <c r="E211" s="40"/>
      <c r="F211" s="40"/>
      <c r="W211" s="3"/>
    </row>
    <row r="212" spans="1:23" x14ac:dyDescent="0.35">
      <c r="A212" s="3"/>
      <c r="E212" s="40"/>
      <c r="F212" s="40"/>
      <c r="W212" s="3"/>
    </row>
    <row r="213" spans="1:23" x14ac:dyDescent="0.35">
      <c r="A213" s="3"/>
      <c r="E213" s="40"/>
      <c r="F213" s="40"/>
      <c r="W213" s="3"/>
    </row>
    <row r="214" spans="1:23" x14ac:dyDescent="0.35">
      <c r="A214" s="3"/>
      <c r="E214" s="40"/>
      <c r="F214" s="40"/>
      <c r="W214" s="3"/>
    </row>
    <row r="215" spans="1:23" x14ac:dyDescent="0.35">
      <c r="A215" s="3"/>
      <c r="E215" s="40"/>
      <c r="F215" s="40"/>
      <c r="W215" s="3"/>
    </row>
    <row r="216" spans="1:23" x14ac:dyDescent="0.35">
      <c r="A216" s="3"/>
      <c r="E216" s="40"/>
      <c r="F216" s="40"/>
      <c r="W216" s="3"/>
    </row>
    <row r="217" spans="1:23" x14ac:dyDescent="0.35">
      <c r="A217" s="3"/>
      <c r="E217" s="40"/>
      <c r="F217" s="40"/>
      <c r="W217" s="3"/>
    </row>
    <row r="218" spans="1:23" x14ac:dyDescent="0.35">
      <c r="A218" s="3"/>
      <c r="E218" s="40"/>
      <c r="F218" s="40"/>
      <c r="W218" s="3"/>
    </row>
    <row r="219" spans="1:23" x14ac:dyDescent="0.35">
      <c r="A219" s="3"/>
      <c r="E219" s="40"/>
      <c r="F219" s="40"/>
      <c r="W219" s="3"/>
    </row>
    <row r="220" spans="1:23" x14ac:dyDescent="0.35">
      <c r="A220" s="3"/>
      <c r="E220" s="40"/>
      <c r="F220" s="40"/>
      <c r="W220" s="3"/>
    </row>
    <row r="221" spans="1:23" x14ac:dyDescent="0.35">
      <c r="A221" s="3"/>
      <c r="E221" s="40"/>
      <c r="F221" s="40"/>
      <c r="W221" s="3"/>
    </row>
    <row r="222" spans="1:23" x14ac:dyDescent="0.35">
      <c r="A222" s="3"/>
      <c r="E222" s="40"/>
      <c r="F222" s="40"/>
      <c r="W222" s="3"/>
    </row>
    <row r="223" spans="1:23" x14ac:dyDescent="0.35">
      <c r="A223" s="3"/>
      <c r="E223" s="40"/>
      <c r="F223" s="40"/>
      <c r="W223" s="3"/>
    </row>
    <row r="224" spans="1:23" x14ac:dyDescent="0.35">
      <c r="A224" s="3"/>
      <c r="E224" s="40"/>
      <c r="F224" s="40"/>
      <c r="W224" s="3"/>
    </row>
    <row r="225" spans="1:23" x14ac:dyDescent="0.35">
      <c r="A225" s="3"/>
      <c r="E225" s="40"/>
      <c r="F225" s="40"/>
      <c r="W225" s="3"/>
    </row>
    <row r="226" spans="1:23" x14ac:dyDescent="0.35">
      <c r="A226" s="3"/>
      <c r="E226" s="40"/>
      <c r="F226" s="40"/>
      <c r="W226" s="3"/>
    </row>
    <row r="227" spans="1:23" x14ac:dyDescent="0.35">
      <c r="A227" s="3"/>
      <c r="E227" s="40"/>
      <c r="F227" s="40"/>
      <c r="W227" s="3"/>
    </row>
    <row r="228" spans="1:23" x14ac:dyDescent="0.35">
      <c r="A228" s="3"/>
      <c r="E228" s="40"/>
      <c r="F228" s="40"/>
      <c r="W228" s="3"/>
    </row>
    <row r="229" spans="1:23" x14ac:dyDescent="0.35">
      <c r="A229" s="3"/>
      <c r="E229" s="40"/>
      <c r="F229" s="40"/>
      <c r="W229" s="3"/>
    </row>
    <row r="230" spans="1:23" x14ac:dyDescent="0.35">
      <c r="A230" s="3"/>
      <c r="E230" s="40"/>
      <c r="F230" s="40"/>
      <c r="W230" s="3"/>
    </row>
    <row r="231" spans="1:23" x14ac:dyDescent="0.35">
      <c r="A231" s="3"/>
      <c r="E231" s="40"/>
      <c r="F231" s="40"/>
      <c r="W231" s="3"/>
    </row>
    <row r="232" spans="1:23" x14ac:dyDescent="0.35">
      <c r="A232" s="3"/>
      <c r="E232" s="40"/>
      <c r="F232" s="40"/>
      <c r="W232" s="3"/>
    </row>
    <row r="233" spans="1:23" x14ac:dyDescent="0.35">
      <c r="A233" s="3"/>
      <c r="E233" s="40"/>
      <c r="F233" s="40"/>
      <c r="W233" s="3"/>
    </row>
    <row r="234" spans="1:23" x14ac:dyDescent="0.35">
      <c r="A234" s="3"/>
      <c r="E234" s="40"/>
      <c r="F234" s="40"/>
      <c r="W234" s="3"/>
    </row>
    <row r="235" spans="1:23" x14ac:dyDescent="0.35">
      <c r="A235" s="3"/>
      <c r="E235" s="40"/>
      <c r="F235" s="40"/>
      <c r="W235" s="3"/>
    </row>
    <row r="236" spans="1:23" x14ac:dyDescent="0.35">
      <c r="A236" s="3"/>
      <c r="E236" s="40"/>
      <c r="F236" s="40"/>
      <c r="W236" s="3"/>
    </row>
    <row r="237" spans="1:23" x14ac:dyDescent="0.35">
      <c r="A237" s="3"/>
      <c r="E237" s="40"/>
      <c r="F237" s="40"/>
      <c r="W237" s="3"/>
    </row>
    <row r="238" spans="1:23" x14ac:dyDescent="0.35">
      <c r="A238" s="3"/>
      <c r="E238" s="40"/>
      <c r="F238" s="40"/>
      <c r="W238" s="3"/>
    </row>
    <row r="239" spans="1:23" x14ac:dyDescent="0.35">
      <c r="A239" s="3"/>
      <c r="E239" s="40"/>
      <c r="F239" s="40"/>
      <c r="W239" s="3"/>
    </row>
    <row r="240" spans="1:23" x14ac:dyDescent="0.35">
      <c r="A240" s="3"/>
      <c r="E240" s="40"/>
      <c r="F240" s="40"/>
      <c r="W240" s="3"/>
    </row>
    <row r="241" spans="1:23" x14ac:dyDescent="0.35">
      <c r="A241" s="3"/>
      <c r="E241" s="40"/>
      <c r="F241" s="40"/>
      <c r="W241" s="3"/>
    </row>
    <row r="242" spans="1:23" x14ac:dyDescent="0.35">
      <c r="A242" s="3"/>
      <c r="E242" s="40"/>
      <c r="F242" s="40"/>
      <c r="W242" s="3"/>
    </row>
    <row r="243" spans="1:23" x14ac:dyDescent="0.35">
      <c r="A243" s="3"/>
      <c r="E243" s="40"/>
      <c r="F243" s="40"/>
      <c r="W243" s="3"/>
    </row>
    <row r="244" spans="1:23" x14ac:dyDescent="0.35">
      <c r="A244" s="3"/>
      <c r="E244" s="40"/>
      <c r="F244" s="40"/>
      <c r="W244" s="3"/>
    </row>
    <row r="245" spans="1:23" x14ac:dyDescent="0.35">
      <c r="A245" s="3"/>
      <c r="E245" s="40"/>
      <c r="F245" s="40"/>
      <c r="W245" s="3"/>
    </row>
    <row r="246" spans="1:23" x14ac:dyDescent="0.35">
      <c r="A246" s="3"/>
      <c r="E246" s="40"/>
      <c r="F246" s="40"/>
      <c r="W246" s="3"/>
    </row>
    <row r="247" spans="1:23" x14ac:dyDescent="0.35">
      <c r="A247" s="3"/>
      <c r="E247" s="40"/>
      <c r="F247" s="40"/>
      <c r="W247" s="3"/>
    </row>
    <row r="248" spans="1:23" x14ac:dyDescent="0.35">
      <c r="A248" s="3"/>
      <c r="E248" s="40"/>
      <c r="F248" s="40"/>
      <c r="W248" s="3"/>
    </row>
    <row r="249" spans="1:23" x14ac:dyDescent="0.35">
      <c r="A249" s="3"/>
      <c r="E249" s="40"/>
      <c r="F249" s="40"/>
      <c r="W249" s="3"/>
    </row>
    <row r="250" spans="1:23" x14ac:dyDescent="0.35">
      <c r="A250" s="3"/>
      <c r="E250" s="40"/>
      <c r="F250" s="40"/>
      <c r="W250" s="3"/>
    </row>
    <row r="251" spans="1:23" x14ac:dyDescent="0.35">
      <c r="A251" s="3"/>
      <c r="E251" s="40"/>
      <c r="F251" s="40"/>
      <c r="W251" s="3"/>
    </row>
    <row r="252" spans="1:23" x14ac:dyDescent="0.35">
      <c r="A252" s="3"/>
      <c r="E252" s="40"/>
      <c r="F252" s="40"/>
      <c r="W252" s="3"/>
    </row>
    <row r="253" spans="1:23" x14ac:dyDescent="0.35">
      <c r="A253" s="3"/>
      <c r="E253" s="40"/>
      <c r="F253" s="40"/>
      <c r="W253" s="3"/>
    </row>
    <row r="254" spans="1:23" x14ac:dyDescent="0.35">
      <c r="A254" s="3"/>
      <c r="E254" s="40"/>
      <c r="F254" s="40"/>
      <c r="W254" s="3"/>
    </row>
    <row r="255" spans="1:23" x14ac:dyDescent="0.35">
      <c r="A255" s="3"/>
      <c r="E255" s="40"/>
      <c r="F255" s="40"/>
      <c r="W255" s="3"/>
    </row>
    <row r="256" spans="1:23" x14ac:dyDescent="0.35">
      <c r="A256" s="3"/>
      <c r="E256" s="40"/>
      <c r="F256" s="40"/>
      <c r="W256" s="3"/>
    </row>
    <row r="257" spans="1:23" x14ac:dyDescent="0.35">
      <c r="A257" s="3"/>
      <c r="E257" s="40"/>
      <c r="F257" s="40"/>
      <c r="W257" s="3"/>
    </row>
    <row r="258" spans="1:23" x14ac:dyDescent="0.35">
      <c r="A258" s="3"/>
      <c r="E258" s="40"/>
      <c r="F258" s="40"/>
      <c r="W258" s="3"/>
    </row>
    <row r="259" spans="1:23" x14ac:dyDescent="0.35">
      <c r="A259" s="3"/>
      <c r="E259" s="40"/>
      <c r="F259" s="40"/>
      <c r="W259" s="3"/>
    </row>
    <row r="260" spans="1:23" x14ac:dyDescent="0.35">
      <c r="A260" s="3"/>
      <c r="E260" s="40"/>
      <c r="F260" s="40"/>
      <c r="W260" s="3"/>
    </row>
    <row r="261" spans="1:23" x14ac:dyDescent="0.35">
      <c r="A261" s="3"/>
      <c r="E261" s="40"/>
      <c r="F261" s="40"/>
      <c r="W261" s="3"/>
    </row>
    <row r="262" spans="1:23" x14ac:dyDescent="0.35">
      <c r="A262" s="3"/>
      <c r="E262" s="40"/>
      <c r="F262" s="40"/>
      <c r="W262" s="3"/>
    </row>
    <row r="263" spans="1:23" x14ac:dyDescent="0.35">
      <c r="A263" s="3"/>
      <c r="E263" s="40"/>
      <c r="F263" s="40"/>
      <c r="W263" s="3"/>
    </row>
    <row r="264" spans="1:23" x14ac:dyDescent="0.35">
      <c r="A264" s="3"/>
      <c r="E264" s="40"/>
      <c r="F264" s="40"/>
      <c r="W264" s="3"/>
    </row>
    <row r="265" spans="1:23" x14ac:dyDescent="0.35">
      <c r="A265" s="3"/>
      <c r="E265" s="40"/>
      <c r="F265" s="40"/>
      <c r="W265" s="3"/>
    </row>
    <row r="266" spans="1:23" x14ac:dyDescent="0.35">
      <c r="A266" s="3"/>
      <c r="E266" s="40"/>
      <c r="F266" s="40"/>
      <c r="W266" s="3"/>
    </row>
    <row r="267" spans="1:23" x14ac:dyDescent="0.35">
      <c r="A267" s="3"/>
      <c r="E267" s="40"/>
      <c r="F267" s="40"/>
      <c r="W267" s="3"/>
    </row>
    <row r="268" spans="1:23" x14ac:dyDescent="0.35">
      <c r="A268" s="3"/>
      <c r="E268" s="40"/>
      <c r="F268" s="40"/>
      <c r="W268" s="3"/>
    </row>
    <row r="269" spans="1:23" x14ac:dyDescent="0.35">
      <c r="A269" s="3"/>
      <c r="E269" s="40"/>
      <c r="F269" s="40"/>
      <c r="W269" s="3"/>
    </row>
    <row r="270" spans="1:23" x14ac:dyDescent="0.35">
      <c r="A270" s="3"/>
      <c r="E270" s="40"/>
      <c r="F270" s="40"/>
      <c r="W270" s="3"/>
    </row>
    <row r="271" spans="1:23" x14ac:dyDescent="0.35">
      <c r="A271" s="3"/>
      <c r="E271" s="40"/>
      <c r="F271" s="40"/>
      <c r="W271" s="3"/>
    </row>
    <row r="272" spans="1:23" x14ac:dyDescent="0.35">
      <c r="A272" s="3"/>
      <c r="E272" s="40"/>
      <c r="F272" s="40"/>
      <c r="W272" s="3"/>
    </row>
    <row r="273" spans="1:23" x14ac:dyDescent="0.35">
      <c r="A273" s="3"/>
      <c r="E273" s="40"/>
      <c r="F273" s="40"/>
      <c r="W273" s="3"/>
    </row>
    <row r="274" spans="1:23" x14ac:dyDescent="0.35">
      <c r="A274" s="3"/>
      <c r="E274" s="40"/>
      <c r="F274" s="40"/>
      <c r="W274" s="3"/>
    </row>
    <row r="275" spans="1:23" x14ac:dyDescent="0.35">
      <c r="A275" s="3"/>
      <c r="E275" s="40"/>
      <c r="F275" s="40"/>
      <c r="W275" s="3"/>
    </row>
    <row r="276" spans="1:23" x14ac:dyDescent="0.35">
      <c r="A276" s="3"/>
      <c r="E276" s="40"/>
      <c r="F276" s="40"/>
      <c r="W276" s="3"/>
    </row>
    <row r="277" spans="1:23" x14ac:dyDescent="0.35">
      <c r="A277" s="3"/>
      <c r="E277" s="40"/>
      <c r="F277" s="40"/>
      <c r="W277" s="3"/>
    </row>
    <row r="278" spans="1:23" x14ac:dyDescent="0.35">
      <c r="A278" s="3"/>
      <c r="E278" s="40"/>
      <c r="F278" s="40"/>
      <c r="W278" s="3"/>
    </row>
    <row r="279" spans="1:23" x14ac:dyDescent="0.35">
      <c r="A279" s="3"/>
      <c r="E279" s="40"/>
      <c r="F279" s="40"/>
      <c r="W279" s="3"/>
    </row>
    <row r="280" spans="1:23" x14ac:dyDescent="0.35">
      <c r="A280" s="3"/>
      <c r="E280" s="40"/>
      <c r="F280" s="40"/>
      <c r="W280" s="3"/>
    </row>
    <row r="281" spans="1:23" x14ac:dyDescent="0.35">
      <c r="A281" s="3"/>
      <c r="E281" s="40"/>
      <c r="F281" s="40"/>
      <c r="W281" s="3"/>
    </row>
    <row r="282" spans="1:23" x14ac:dyDescent="0.35">
      <c r="A282" s="3"/>
      <c r="E282" s="40"/>
      <c r="F282" s="40"/>
      <c r="W282" s="3"/>
    </row>
    <row r="283" spans="1:23" x14ac:dyDescent="0.35">
      <c r="A283" s="3"/>
      <c r="E283" s="40"/>
      <c r="F283" s="40"/>
      <c r="W283" s="3"/>
    </row>
    <row r="284" spans="1:23" x14ac:dyDescent="0.35">
      <c r="A284" s="3"/>
      <c r="E284" s="40"/>
      <c r="F284" s="40"/>
      <c r="W284" s="3"/>
    </row>
    <row r="285" spans="1:23" x14ac:dyDescent="0.35">
      <c r="A285" s="3"/>
      <c r="E285" s="40"/>
      <c r="F285" s="40"/>
      <c r="W285" s="3"/>
    </row>
    <row r="286" spans="1:23" x14ac:dyDescent="0.35">
      <c r="A286" s="3"/>
      <c r="E286" s="40"/>
      <c r="F286" s="40"/>
      <c r="W286" s="3"/>
    </row>
    <row r="287" spans="1:23" x14ac:dyDescent="0.35">
      <c r="A287" s="3"/>
      <c r="E287" s="40"/>
      <c r="F287" s="40"/>
      <c r="W287" s="3"/>
    </row>
    <row r="288" spans="1:23" x14ac:dyDescent="0.35">
      <c r="A288" s="3"/>
      <c r="E288" s="40"/>
      <c r="F288" s="40"/>
      <c r="W288" s="3"/>
    </row>
    <row r="289" spans="1:23" x14ac:dyDescent="0.35">
      <c r="A289" s="3"/>
      <c r="E289" s="40"/>
      <c r="F289" s="40"/>
      <c r="W289" s="3"/>
    </row>
    <row r="290" spans="1:23" x14ac:dyDescent="0.35">
      <c r="A290" s="3"/>
      <c r="E290" s="40"/>
      <c r="F290" s="40"/>
      <c r="W290" s="3"/>
    </row>
    <row r="291" spans="1:23" x14ac:dyDescent="0.35">
      <c r="A291" s="3"/>
      <c r="E291" s="40"/>
      <c r="F291" s="40"/>
      <c r="W291" s="3"/>
    </row>
    <row r="292" spans="1:23" x14ac:dyDescent="0.35">
      <c r="A292" s="3"/>
      <c r="E292" s="40"/>
      <c r="F292" s="40"/>
      <c r="W292" s="3"/>
    </row>
    <row r="293" spans="1:23" x14ac:dyDescent="0.35">
      <c r="A293" s="3"/>
      <c r="E293" s="40"/>
      <c r="F293" s="40"/>
      <c r="W293" s="3"/>
    </row>
    <row r="294" spans="1:23" x14ac:dyDescent="0.35">
      <c r="A294" s="3"/>
      <c r="E294" s="40"/>
      <c r="F294" s="40"/>
      <c r="W294" s="3"/>
    </row>
    <row r="295" spans="1:23" x14ac:dyDescent="0.35">
      <c r="A295" s="3"/>
      <c r="E295" s="40"/>
      <c r="F295" s="40"/>
      <c r="W295" s="3"/>
    </row>
    <row r="296" spans="1:23" x14ac:dyDescent="0.35">
      <c r="A296" s="3"/>
      <c r="E296" s="40"/>
      <c r="F296" s="40"/>
      <c r="W296" s="3"/>
    </row>
    <row r="297" spans="1:23" x14ac:dyDescent="0.35">
      <c r="A297" s="3"/>
      <c r="E297" s="40"/>
      <c r="F297" s="40"/>
      <c r="W297" s="3"/>
    </row>
    <row r="298" spans="1:23" x14ac:dyDescent="0.35">
      <c r="A298" s="3"/>
      <c r="E298" s="40"/>
      <c r="F298" s="40"/>
      <c r="W298" s="3"/>
    </row>
    <row r="299" spans="1:23" x14ac:dyDescent="0.35">
      <c r="A299" s="3"/>
      <c r="E299" s="40"/>
      <c r="F299" s="40"/>
      <c r="W299" s="3"/>
    </row>
    <row r="300" spans="1:23" x14ac:dyDescent="0.35">
      <c r="A300" s="3"/>
      <c r="E300" s="40"/>
      <c r="F300" s="40"/>
      <c r="W300" s="3"/>
    </row>
    <row r="301" spans="1:23" x14ac:dyDescent="0.35">
      <c r="A301" s="3"/>
      <c r="E301" s="40"/>
      <c r="F301" s="40"/>
      <c r="W301" s="3"/>
    </row>
    <row r="302" spans="1:23" x14ac:dyDescent="0.35">
      <c r="A302" s="3"/>
      <c r="E302" s="40"/>
      <c r="F302" s="40"/>
      <c r="W302" s="3"/>
    </row>
    <row r="303" spans="1:23" x14ac:dyDescent="0.35">
      <c r="A303" s="3"/>
      <c r="E303" s="40"/>
      <c r="F303" s="40"/>
      <c r="W303" s="3"/>
    </row>
    <row r="304" spans="1:23" x14ac:dyDescent="0.35">
      <c r="A304" s="3"/>
      <c r="E304" s="40"/>
      <c r="F304" s="40"/>
      <c r="W304" s="3"/>
    </row>
    <row r="305" spans="1:23" x14ac:dyDescent="0.35">
      <c r="A305" s="3"/>
      <c r="E305" s="40"/>
      <c r="F305" s="40"/>
      <c r="W305" s="3"/>
    </row>
    <row r="306" spans="1:23" x14ac:dyDescent="0.35">
      <c r="A306" s="3"/>
      <c r="E306" s="40"/>
      <c r="F306" s="40"/>
      <c r="W306" s="3"/>
    </row>
    <row r="307" spans="1:23" x14ac:dyDescent="0.35">
      <c r="A307" s="3"/>
      <c r="E307" s="40"/>
      <c r="F307" s="40"/>
      <c r="W307" s="3"/>
    </row>
    <row r="308" spans="1:23" x14ac:dyDescent="0.35">
      <c r="A308" s="3"/>
      <c r="E308" s="40"/>
      <c r="F308" s="40"/>
      <c r="W308" s="3"/>
    </row>
    <row r="309" spans="1:23" x14ac:dyDescent="0.35">
      <c r="A309" s="3"/>
      <c r="E309" s="40"/>
      <c r="F309" s="40"/>
      <c r="W309" s="3"/>
    </row>
    <row r="310" spans="1:23" x14ac:dyDescent="0.35">
      <c r="A310" s="3"/>
      <c r="E310" s="40"/>
      <c r="F310" s="40"/>
      <c r="W310" s="3"/>
    </row>
    <row r="311" spans="1:23" x14ac:dyDescent="0.35">
      <c r="A311" s="3"/>
      <c r="E311" s="40"/>
      <c r="F311" s="40"/>
      <c r="W311" s="3"/>
    </row>
    <row r="312" spans="1:23" x14ac:dyDescent="0.35">
      <c r="A312" s="3"/>
      <c r="E312" s="40"/>
      <c r="F312" s="40"/>
      <c r="W312" s="3"/>
    </row>
    <row r="313" spans="1:23" x14ac:dyDescent="0.35">
      <c r="A313" s="3"/>
      <c r="E313" s="40"/>
      <c r="F313" s="40"/>
      <c r="W313" s="3"/>
    </row>
    <row r="314" spans="1:23" x14ac:dyDescent="0.35">
      <c r="A314" s="3"/>
      <c r="E314" s="40"/>
      <c r="F314" s="40"/>
      <c r="W314" s="3"/>
    </row>
    <row r="315" spans="1:23" x14ac:dyDescent="0.35">
      <c r="A315" s="3"/>
      <c r="E315" s="40"/>
      <c r="F315" s="40"/>
      <c r="W315" s="3"/>
    </row>
    <row r="316" spans="1:23" x14ac:dyDescent="0.35">
      <c r="A316" s="3"/>
      <c r="E316" s="40"/>
      <c r="F316" s="40"/>
      <c r="W316" s="3"/>
    </row>
    <row r="317" spans="1:23" x14ac:dyDescent="0.35">
      <c r="A317" s="3"/>
      <c r="E317" s="40"/>
      <c r="F317" s="40"/>
      <c r="W317" s="3"/>
    </row>
    <row r="318" spans="1:23" x14ac:dyDescent="0.35">
      <c r="A318" s="3"/>
      <c r="E318" s="40"/>
      <c r="F318" s="40"/>
      <c r="W318" s="3"/>
    </row>
    <row r="319" spans="1:23" x14ac:dyDescent="0.35">
      <c r="A319" s="3"/>
      <c r="E319" s="40"/>
      <c r="F319" s="40"/>
      <c r="W319" s="3"/>
    </row>
    <row r="320" spans="1:23" x14ac:dyDescent="0.35">
      <c r="A320" s="3"/>
      <c r="E320" s="40"/>
      <c r="F320" s="40"/>
      <c r="W320" s="3"/>
    </row>
    <row r="321" spans="1:23" x14ac:dyDescent="0.35">
      <c r="A321" s="3"/>
      <c r="E321" s="40"/>
      <c r="F321" s="40"/>
      <c r="W321" s="3"/>
    </row>
    <row r="322" spans="1:23" x14ac:dyDescent="0.35">
      <c r="A322" s="3"/>
      <c r="E322" s="40"/>
      <c r="F322" s="40"/>
      <c r="W322" s="3"/>
    </row>
    <row r="323" spans="1:23" x14ac:dyDescent="0.35">
      <c r="A323" s="3"/>
      <c r="E323" s="40"/>
      <c r="F323" s="40"/>
      <c r="W323" s="3"/>
    </row>
    <row r="324" spans="1:23" x14ac:dyDescent="0.35">
      <c r="A324" s="3"/>
      <c r="E324" s="40"/>
      <c r="F324" s="40"/>
      <c r="W324" s="3"/>
    </row>
    <row r="325" spans="1:23" x14ac:dyDescent="0.35">
      <c r="A325" s="3"/>
      <c r="E325" s="40"/>
      <c r="F325" s="40"/>
      <c r="W325" s="3"/>
    </row>
    <row r="326" spans="1:23" x14ac:dyDescent="0.35">
      <c r="A326" s="3"/>
      <c r="E326" s="40"/>
      <c r="F326" s="40"/>
      <c r="W326" s="3"/>
    </row>
    <row r="327" spans="1:23" x14ac:dyDescent="0.35">
      <c r="A327" s="3"/>
      <c r="E327" s="40"/>
      <c r="F327" s="40"/>
      <c r="W327" s="3"/>
    </row>
    <row r="328" spans="1:23" x14ac:dyDescent="0.35">
      <c r="A328" s="3"/>
      <c r="E328" s="40"/>
      <c r="F328" s="40"/>
      <c r="W328" s="3"/>
    </row>
    <row r="329" spans="1:23" x14ac:dyDescent="0.35">
      <c r="A329" s="3"/>
      <c r="E329" s="40"/>
      <c r="F329" s="40"/>
      <c r="W329" s="3"/>
    </row>
    <row r="330" spans="1:23" x14ac:dyDescent="0.35">
      <c r="A330" s="3"/>
      <c r="E330" s="40"/>
      <c r="F330" s="40"/>
      <c r="W330" s="3"/>
    </row>
    <row r="331" spans="1:23" x14ac:dyDescent="0.35">
      <c r="A331" s="3"/>
      <c r="E331" s="40"/>
      <c r="F331" s="40"/>
      <c r="W331" s="3"/>
    </row>
    <row r="332" spans="1:23" x14ac:dyDescent="0.35">
      <c r="A332" s="3"/>
      <c r="E332" s="40"/>
      <c r="F332" s="40"/>
      <c r="W332" s="3"/>
    </row>
    <row r="333" spans="1:23" x14ac:dyDescent="0.35">
      <c r="A333" s="3"/>
      <c r="E333" s="40"/>
      <c r="F333" s="40"/>
      <c r="W333" s="3"/>
    </row>
    <row r="334" spans="1:23" x14ac:dyDescent="0.35">
      <c r="A334" s="3"/>
      <c r="E334" s="40"/>
      <c r="F334" s="40"/>
      <c r="W334" s="3"/>
    </row>
    <row r="335" spans="1:23" x14ac:dyDescent="0.35">
      <c r="A335" s="3"/>
      <c r="E335" s="40"/>
      <c r="F335" s="40"/>
      <c r="W335" s="3"/>
    </row>
    <row r="336" spans="1:23" x14ac:dyDescent="0.35">
      <c r="A336" s="3"/>
      <c r="E336" s="40"/>
      <c r="F336" s="40"/>
      <c r="W336" s="3"/>
    </row>
    <row r="337" spans="1:23" x14ac:dyDescent="0.35">
      <c r="A337" s="3"/>
      <c r="E337" s="40"/>
      <c r="F337" s="40"/>
      <c r="W337" s="3"/>
    </row>
    <row r="338" spans="1:23" x14ac:dyDescent="0.35">
      <c r="A338" s="3"/>
      <c r="E338" s="40"/>
      <c r="F338" s="40"/>
      <c r="W338" s="3"/>
    </row>
    <row r="339" spans="1:23" x14ac:dyDescent="0.35">
      <c r="A339" s="3"/>
      <c r="E339" s="40"/>
      <c r="F339" s="40"/>
      <c r="W339" s="3"/>
    </row>
    <row r="340" spans="1:23" x14ac:dyDescent="0.35">
      <c r="A340" s="3"/>
      <c r="E340" s="40"/>
      <c r="F340" s="40"/>
      <c r="W340" s="3"/>
    </row>
    <row r="341" spans="1:23" x14ac:dyDescent="0.35">
      <c r="A341" s="3"/>
      <c r="E341" s="40"/>
      <c r="F341" s="40"/>
      <c r="W341" s="3"/>
    </row>
    <row r="342" spans="1:23" x14ac:dyDescent="0.35">
      <c r="A342" s="3"/>
      <c r="E342" s="40"/>
      <c r="F342" s="40"/>
      <c r="W342" s="3"/>
    </row>
    <row r="343" spans="1:23" x14ac:dyDescent="0.35">
      <c r="A343" s="3"/>
      <c r="E343" s="40"/>
      <c r="F343" s="40"/>
      <c r="W343" s="3"/>
    </row>
    <row r="344" spans="1:23" x14ac:dyDescent="0.35">
      <c r="A344" s="3"/>
      <c r="E344" s="40"/>
      <c r="F344" s="40"/>
      <c r="W344" s="3"/>
    </row>
    <row r="345" spans="1:23" x14ac:dyDescent="0.35">
      <c r="A345" s="3"/>
      <c r="E345" s="40"/>
      <c r="F345" s="40"/>
      <c r="W345" s="3"/>
    </row>
    <row r="346" spans="1:23" x14ac:dyDescent="0.35">
      <c r="A346" s="3"/>
      <c r="E346" s="40"/>
      <c r="F346" s="40"/>
      <c r="W346" s="3"/>
    </row>
    <row r="347" spans="1:23" x14ac:dyDescent="0.35">
      <c r="A347" s="3"/>
      <c r="E347" s="40"/>
      <c r="F347" s="40"/>
      <c r="W347" s="3"/>
    </row>
    <row r="348" spans="1:23" x14ac:dyDescent="0.35">
      <c r="A348" s="3"/>
      <c r="E348" s="40"/>
      <c r="F348" s="40"/>
      <c r="W348" s="3"/>
    </row>
    <row r="349" spans="1:23" x14ac:dyDescent="0.35">
      <c r="A349" s="3"/>
      <c r="E349" s="40"/>
      <c r="F349" s="40"/>
      <c r="W349" s="3"/>
    </row>
    <row r="350" spans="1:23" x14ac:dyDescent="0.35">
      <c r="A350" s="3"/>
      <c r="E350" s="40"/>
      <c r="F350" s="40"/>
      <c r="W350" s="3"/>
    </row>
    <row r="351" spans="1:23" x14ac:dyDescent="0.35">
      <c r="A351" s="3"/>
      <c r="E351" s="40"/>
      <c r="F351" s="40"/>
      <c r="W351" s="3"/>
    </row>
    <row r="352" spans="1:23" x14ac:dyDescent="0.35">
      <c r="A352" s="3"/>
      <c r="E352" s="40"/>
      <c r="F352" s="40"/>
      <c r="W352" s="3"/>
    </row>
    <row r="353" spans="1:23" x14ac:dyDescent="0.35">
      <c r="A353" s="3"/>
      <c r="E353" s="40"/>
      <c r="F353" s="40"/>
      <c r="W353" s="3"/>
    </row>
    <row r="354" spans="1:23" x14ac:dyDescent="0.35">
      <c r="A354" s="3"/>
      <c r="E354" s="40"/>
      <c r="F354" s="40"/>
      <c r="W354" s="3"/>
    </row>
    <row r="355" spans="1:23" x14ac:dyDescent="0.35">
      <c r="A355" s="3"/>
      <c r="E355" s="40"/>
      <c r="F355" s="40"/>
      <c r="W355" s="3"/>
    </row>
    <row r="356" spans="1:23" x14ac:dyDescent="0.35">
      <c r="A356" s="3"/>
      <c r="E356" s="40"/>
      <c r="F356" s="40"/>
      <c r="W356" s="3"/>
    </row>
    <row r="357" spans="1:23" x14ac:dyDescent="0.35">
      <c r="A357" s="3"/>
      <c r="E357" s="40"/>
      <c r="F357" s="40"/>
      <c r="W357" s="3"/>
    </row>
    <row r="358" spans="1:23" x14ac:dyDescent="0.35">
      <c r="A358" s="3"/>
      <c r="E358" s="40"/>
      <c r="F358" s="40"/>
      <c r="W358" s="3"/>
    </row>
    <row r="359" spans="1:23" x14ac:dyDescent="0.35">
      <c r="A359" s="3"/>
      <c r="E359" s="40"/>
      <c r="F359" s="40"/>
      <c r="W359" s="3"/>
    </row>
    <row r="360" spans="1:23" x14ac:dyDescent="0.35">
      <c r="A360" s="3"/>
      <c r="E360" s="40"/>
      <c r="F360" s="40"/>
      <c r="W360" s="3"/>
    </row>
    <row r="361" spans="1:23" x14ac:dyDescent="0.35">
      <c r="A361" s="3"/>
      <c r="E361" s="40"/>
      <c r="F361" s="40"/>
      <c r="W361" s="3"/>
    </row>
    <row r="362" spans="1:23" x14ac:dyDescent="0.35">
      <c r="A362" s="3"/>
      <c r="E362" s="40"/>
      <c r="F362" s="40"/>
      <c r="W362" s="3"/>
    </row>
    <row r="363" spans="1:23" x14ac:dyDescent="0.35">
      <c r="A363" s="3"/>
      <c r="E363" s="40"/>
      <c r="F363" s="40"/>
      <c r="W363" s="3"/>
    </row>
    <row r="364" spans="1:23" x14ac:dyDescent="0.35">
      <c r="A364" s="3"/>
      <c r="E364" s="40"/>
      <c r="F364" s="40"/>
      <c r="W364" s="3"/>
    </row>
    <row r="365" spans="1:23" x14ac:dyDescent="0.35">
      <c r="A365" s="3"/>
      <c r="E365" s="40"/>
      <c r="F365" s="40"/>
      <c r="W365" s="3"/>
    </row>
    <row r="366" spans="1:23" x14ac:dyDescent="0.35">
      <c r="A366" s="3"/>
      <c r="E366" s="40"/>
      <c r="F366" s="40"/>
      <c r="W366" s="3"/>
    </row>
    <row r="367" spans="1:23" x14ac:dyDescent="0.35">
      <c r="A367" s="3"/>
      <c r="E367" s="40"/>
      <c r="F367" s="40"/>
      <c r="W367" s="3"/>
    </row>
    <row r="368" spans="1:23" x14ac:dyDescent="0.35">
      <c r="A368" s="3"/>
      <c r="E368" s="40"/>
      <c r="F368" s="40"/>
      <c r="W368" s="3"/>
    </row>
    <row r="369" spans="1:23" x14ac:dyDescent="0.35">
      <c r="A369" s="3"/>
      <c r="E369" s="40"/>
      <c r="F369" s="40"/>
      <c r="W369" s="3"/>
    </row>
    <row r="370" spans="1:23" x14ac:dyDescent="0.35">
      <c r="A370" s="3"/>
      <c r="E370" s="40"/>
      <c r="F370" s="40"/>
      <c r="W370" s="3"/>
    </row>
    <row r="371" spans="1:23" x14ac:dyDescent="0.35">
      <c r="A371" s="3"/>
      <c r="E371" s="40"/>
      <c r="F371" s="40"/>
      <c r="W371" s="3"/>
    </row>
    <row r="372" spans="1:23" x14ac:dyDescent="0.35">
      <c r="A372" s="3"/>
      <c r="E372" s="40"/>
      <c r="F372" s="40"/>
      <c r="W372" s="3"/>
    </row>
    <row r="373" spans="1:23" x14ac:dyDescent="0.35">
      <c r="A373" s="3"/>
      <c r="E373" s="40"/>
      <c r="F373" s="40"/>
      <c r="W373" s="3"/>
    </row>
    <row r="374" spans="1:23" x14ac:dyDescent="0.35">
      <c r="A374" s="3"/>
      <c r="E374" s="40"/>
      <c r="F374" s="40"/>
      <c r="W374" s="3"/>
    </row>
    <row r="375" spans="1:23" x14ac:dyDescent="0.35">
      <c r="A375" s="3"/>
      <c r="E375" s="40"/>
      <c r="F375" s="40"/>
      <c r="W375" s="3"/>
    </row>
    <row r="376" spans="1:23" x14ac:dyDescent="0.35">
      <c r="A376" s="3"/>
      <c r="E376" s="40"/>
      <c r="F376" s="40"/>
      <c r="W376" s="3"/>
    </row>
    <row r="377" spans="1:23" x14ac:dyDescent="0.35">
      <c r="A377" s="3"/>
      <c r="E377" s="40"/>
      <c r="F377" s="40"/>
      <c r="W377" s="3"/>
    </row>
    <row r="378" spans="1:23" x14ac:dyDescent="0.35">
      <c r="A378" s="3"/>
      <c r="E378" s="40"/>
      <c r="F378" s="40"/>
      <c r="W378" s="3"/>
    </row>
    <row r="379" spans="1:23" x14ac:dyDescent="0.35">
      <c r="A379" s="3"/>
      <c r="E379" s="40"/>
      <c r="F379" s="40"/>
      <c r="W379" s="3"/>
    </row>
    <row r="380" spans="1:23" x14ac:dyDescent="0.35">
      <c r="A380" s="3"/>
      <c r="E380" s="40"/>
      <c r="F380" s="40"/>
      <c r="W380" s="3"/>
    </row>
    <row r="381" spans="1:23" x14ac:dyDescent="0.35">
      <c r="A381" s="3"/>
      <c r="E381" s="40"/>
      <c r="F381" s="40"/>
      <c r="W381" s="3"/>
    </row>
    <row r="382" spans="1:23" x14ac:dyDescent="0.35">
      <c r="A382" s="3"/>
      <c r="E382" s="40"/>
      <c r="F382" s="40"/>
      <c r="W382" s="3"/>
    </row>
    <row r="383" spans="1:23" x14ac:dyDescent="0.35">
      <c r="A383" s="3"/>
      <c r="E383" s="40"/>
      <c r="F383" s="40"/>
      <c r="W383" s="3"/>
    </row>
    <row r="384" spans="1:23" x14ac:dyDescent="0.35">
      <c r="A384" s="3"/>
      <c r="E384" s="40"/>
      <c r="F384" s="40"/>
      <c r="W384" s="3"/>
    </row>
    <row r="385" spans="1:23" x14ac:dyDescent="0.35">
      <c r="A385" s="3"/>
      <c r="E385" s="40"/>
      <c r="F385" s="40"/>
      <c r="W385" s="3"/>
    </row>
    <row r="386" spans="1:23" x14ac:dyDescent="0.35">
      <c r="A386" s="3"/>
      <c r="E386" s="40"/>
      <c r="F386" s="40"/>
      <c r="W386" s="3"/>
    </row>
    <row r="387" spans="1:23" x14ac:dyDescent="0.35">
      <c r="A387" s="3"/>
      <c r="E387" s="40"/>
      <c r="F387" s="40"/>
      <c r="W387" s="3"/>
    </row>
    <row r="388" spans="1:23" x14ac:dyDescent="0.35">
      <c r="A388" s="3"/>
      <c r="E388" s="40"/>
      <c r="F388" s="40"/>
      <c r="W388" s="3"/>
    </row>
    <row r="389" spans="1:23" x14ac:dyDescent="0.35">
      <c r="A389" s="3"/>
      <c r="E389" s="40"/>
      <c r="F389" s="40"/>
      <c r="W389" s="3"/>
    </row>
    <row r="390" spans="1:23" x14ac:dyDescent="0.35">
      <c r="A390" s="3"/>
      <c r="E390" s="40"/>
      <c r="F390" s="40"/>
      <c r="W390" s="3"/>
    </row>
    <row r="391" spans="1:23" x14ac:dyDescent="0.35">
      <c r="A391" s="3"/>
      <c r="E391" s="40"/>
      <c r="F391" s="40"/>
      <c r="W391" s="3"/>
    </row>
    <row r="392" spans="1:23" x14ac:dyDescent="0.35">
      <c r="A392" s="3"/>
      <c r="E392" s="40"/>
      <c r="F392" s="40"/>
      <c r="W392" s="3"/>
    </row>
    <row r="393" spans="1:23" x14ac:dyDescent="0.35">
      <c r="A393" s="3"/>
      <c r="E393" s="40"/>
      <c r="F393" s="40"/>
      <c r="W393" s="3"/>
    </row>
    <row r="394" spans="1:23" x14ac:dyDescent="0.35">
      <c r="A394" s="3"/>
      <c r="E394" s="40"/>
      <c r="F394" s="40"/>
      <c r="W394" s="3"/>
    </row>
    <row r="395" spans="1:23" x14ac:dyDescent="0.35">
      <c r="A395" s="3"/>
      <c r="E395" s="40"/>
      <c r="F395" s="40"/>
      <c r="W395" s="3"/>
    </row>
    <row r="396" spans="1:23" x14ac:dyDescent="0.35">
      <c r="A396" s="3"/>
      <c r="E396" s="40"/>
      <c r="F396" s="40"/>
      <c r="W396" s="3"/>
    </row>
    <row r="397" spans="1:23" x14ac:dyDescent="0.35">
      <c r="A397" s="3"/>
      <c r="E397" s="40"/>
      <c r="F397" s="40"/>
      <c r="W397" s="3"/>
    </row>
    <row r="398" spans="1:23" x14ac:dyDescent="0.35">
      <c r="A398" s="3"/>
      <c r="E398" s="40"/>
      <c r="F398" s="40"/>
      <c r="W398" s="3"/>
    </row>
    <row r="399" spans="1:23" x14ac:dyDescent="0.35">
      <c r="A399" s="3"/>
      <c r="E399" s="40"/>
      <c r="F399" s="40"/>
      <c r="W399" s="3"/>
    </row>
    <row r="400" spans="1:23" x14ac:dyDescent="0.35">
      <c r="A400" s="3"/>
      <c r="E400" s="40"/>
      <c r="F400" s="40"/>
      <c r="W400" s="3"/>
    </row>
    <row r="401" spans="1:23" x14ac:dyDescent="0.35">
      <c r="A401" s="3"/>
      <c r="E401" s="40"/>
      <c r="F401" s="40"/>
      <c r="W401" s="3"/>
    </row>
    <row r="402" spans="1:23" x14ac:dyDescent="0.35">
      <c r="A402" s="3"/>
      <c r="E402" s="40"/>
      <c r="F402" s="40"/>
      <c r="W402" s="3"/>
    </row>
    <row r="403" spans="1:23" x14ac:dyDescent="0.35">
      <c r="A403" s="3"/>
      <c r="E403" s="40"/>
      <c r="F403" s="40"/>
      <c r="W403" s="3"/>
    </row>
    <row r="404" spans="1:23" x14ac:dyDescent="0.35">
      <c r="A404" s="3"/>
      <c r="E404" s="40"/>
      <c r="F404" s="40"/>
      <c r="W404" s="3"/>
    </row>
    <row r="405" spans="1:23" x14ac:dyDescent="0.35">
      <c r="A405" s="3"/>
      <c r="E405" s="40"/>
      <c r="F405" s="40"/>
      <c r="W405" s="3"/>
    </row>
    <row r="406" spans="1:23" x14ac:dyDescent="0.35">
      <c r="A406" s="3"/>
      <c r="E406" s="40"/>
      <c r="F406" s="40"/>
      <c r="W406" s="3"/>
    </row>
    <row r="407" spans="1:23" x14ac:dyDescent="0.35">
      <c r="A407" s="3"/>
      <c r="E407" s="40"/>
      <c r="F407" s="40"/>
      <c r="W407" s="3"/>
    </row>
    <row r="408" spans="1:23" x14ac:dyDescent="0.35">
      <c r="A408" s="3"/>
      <c r="E408" s="40"/>
      <c r="F408" s="40"/>
      <c r="W408" s="3"/>
    </row>
    <row r="409" spans="1:23" x14ac:dyDescent="0.35">
      <c r="A409" s="3"/>
      <c r="E409" s="40"/>
      <c r="F409" s="40"/>
      <c r="W409" s="3"/>
    </row>
    <row r="410" spans="1:23" x14ac:dyDescent="0.35">
      <c r="A410" s="3"/>
      <c r="E410" s="40"/>
      <c r="F410" s="40"/>
      <c r="W410" s="3"/>
    </row>
    <row r="411" spans="1:23" x14ac:dyDescent="0.35">
      <c r="A411" s="3"/>
      <c r="E411" s="40"/>
      <c r="F411" s="40"/>
      <c r="W411" s="3"/>
    </row>
    <row r="412" spans="1:23" x14ac:dyDescent="0.35">
      <c r="A412" s="3"/>
      <c r="E412" s="40"/>
      <c r="F412" s="40"/>
      <c r="W412" s="3"/>
    </row>
    <row r="413" spans="1:23" x14ac:dyDescent="0.35">
      <c r="A413" s="3"/>
      <c r="E413" s="40"/>
      <c r="F413" s="40"/>
      <c r="W413" s="3"/>
    </row>
    <row r="414" spans="1:23" x14ac:dyDescent="0.35">
      <c r="A414" s="3"/>
      <c r="E414" s="40"/>
      <c r="F414" s="40"/>
      <c r="W414" s="3"/>
    </row>
    <row r="415" spans="1:23" x14ac:dyDescent="0.35">
      <c r="A415" s="3"/>
      <c r="E415" s="40"/>
      <c r="F415" s="40"/>
      <c r="W415" s="3"/>
    </row>
    <row r="416" spans="1:23" x14ac:dyDescent="0.35">
      <c r="A416" s="3"/>
      <c r="E416" s="40"/>
      <c r="F416" s="40"/>
      <c r="W416" s="3"/>
    </row>
    <row r="417" spans="1:23" x14ac:dyDescent="0.35">
      <c r="A417" s="3"/>
      <c r="E417" s="40"/>
      <c r="F417" s="40"/>
      <c r="W417" s="3"/>
    </row>
    <row r="418" spans="1:23" x14ac:dyDescent="0.35">
      <c r="A418" s="3"/>
      <c r="E418" s="40"/>
      <c r="F418" s="40"/>
      <c r="W418" s="3"/>
    </row>
    <row r="419" spans="1:23" x14ac:dyDescent="0.35">
      <c r="A419" s="3"/>
      <c r="E419" s="40"/>
      <c r="F419" s="40"/>
      <c r="W419" s="3"/>
    </row>
    <row r="420" spans="1:23" x14ac:dyDescent="0.35">
      <c r="A420" s="3"/>
      <c r="E420" s="40"/>
      <c r="F420" s="40"/>
      <c r="W420" s="3"/>
    </row>
    <row r="421" spans="1:23" x14ac:dyDescent="0.35">
      <c r="A421" s="3"/>
      <c r="E421" s="40"/>
      <c r="F421" s="40"/>
      <c r="W421" s="3"/>
    </row>
    <row r="422" spans="1:23" x14ac:dyDescent="0.35">
      <c r="A422" s="3"/>
      <c r="E422" s="40"/>
      <c r="F422" s="40"/>
      <c r="W422" s="3"/>
    </row>
    <row r="423" spans="1:23" x14ac:dyDescent="0.35">
      <c r="A423" s="3"/>
      <c r="E423" s="40"/>
      <c r="F423" s="40"/>
      <c r="W423" s="3"/>
    </row>
    <row r="424" spans="1:23" x14ac:dyDescent="0.35">
      <c r="A424" s="3"/>
      <c r="E424" s="40"/>
      <c r="F424" s="40"/>
      <c r="W424" s="3"/>
    </row>
    <row r="425" spans="1:23" x14ac:dyDescent="0.35">
      <c r="A425" s="3"/>
      <c r="E425" s="40"/>
      <c r="F425" s="40"/>
      <c r="W425" s="3"/>
    </row>
    <row r="426" spans="1:23" x14ac:dyDescent="0.35">
      <c r="A426" s="3"/>
      <c r="E426" s="40"/>
      <c r="F426" s="40"/>
      <c r="W426" s="3"/>
    </row>
    <row r="427" spans="1:23" x14ac:dyDescent="0.35">
      <c r="A427" s="3"/>
      <c r="E427" s="40"/>
      <c r="F427" s="40"/>
      <c r="W427" s="3"/>
    </row>
    <row r="428" spans="1:23" x14ac:dyDescent="0.35">
      <c r="A428" s="3"/>
      <c r="E428" s="40"/>
      <c r="F428" s="40"/>
      <c r="W428" s="3"/>
    </row>
    <row r="429" spans="1:23" x14ac:dyDescent="0.35">
      <c r="A429" s="3"/>
      <c r="E429" s="40"/>
      <c r="F429" s="40"/>
      <c r="W429" s="3"/>
    </row>
    <row r="430" spans="1:23" x14ac:dyDescent="0.35">
      <c r="A430" s="3"/>
      <c r="E430" s="40"/>
      <c r="F430" s="40"/>
      <c r="W430" s="3"/>
    </row>
    <row r="431" spans="1:23" x14ac:dyDescent="0.35">
      <c r="A431" s="3"/>
      <c r="E431" s="40"/>
      <c r="F431" s="40"/>
      <c r="W431" s="3"/>
    </row>
    <row r="432" spans="1:23" x14ac:dyDescent="0.35">
      <c r="A432" s="3"/>
      <c r="E432" s="40"/>
      <c r="F432" s="40"/>
      <c r="W432" s="3"/>
    </row>
    <row r="433" spans="1:23" x14ac:dyDescent="0.35">
      <c r="A433" s="3"/>
      <c r="E433" s="40"/>
      <c r="F433" s="40"/>
      <c r="W433" s="3"/>
    </row>
    <row r="434" spans="1:23" x14ac:dyDescent="0.35">
      <c r="A434" s="3"/>
      <c r="E434" s="40"/>
      <c r="F434" s="40"/>
      <c r="W434" s="3"/>
    </row>
    <row r="435" spans="1:23" x14ac:dyDescent="0.35">
      <c r="A435" s="3"/>
      <c r="E435" s="40"/>
      <c r="F435" s="40"/>
      <c r="W435" s="3"/>
    </row>
    <row r="436" spans="1:23" x14ac:dyDescent="0.35">
      <c r="A436" s="3"/>
      <c r="E436" s="40"/>
      <c r="F436" s="40"/>
      <c r="W436" s="3"/>
    </row>
    <row r="437" spans="1:23" x14ac:dyDescent="0.35">
      <c r="A437" s="3"/>
      <c r="E437" s="40"/>
      <c r="F437" s="40"/>
      <c r="W437" s="3"/>
    </row>
    <row r="438" spans="1:23" x14ac:dyDescent="0.35">
      <c r="A438" s="3"/>
      <c r="E438" s="40"/>
      <c r="F438" s="40"/>
      <c r="W438" s="3"/>
    </row>
    <row r="439" spans="1:23" x14ac:dyDescent="0.35">
      <c r="A439" s="3"/>
      <c r="E439" s="40"/>
      <c r="F439" s="40"/>
      <c r="W439" s="3"/>
    </row>
    <row r="440" spans="1:23" x14ac:dyDescent="0.35">
      <c r="A440" s="3"/>
      <c r="E440" s="40"/>
      <c r="F440" s="40"/>
      <c r="W440" s="3"/>
    </row>
    <row r="441" spans="1:23" x14ac:dyDescent="0.35">
      <c r="A441" s="3"/>
      <c r="E441" s="40"/>
      <c r="F441" s="40"/>
      <c r="W441" s="3"/>
    </row>
    <row r="442" spans="1:23" x14ac:dyDescent="0.35">
      <c r="A442" s="3"/>
      <c r="E442" s="40"/>
      <c r="F442" s="40"/>
      <c r="W442" s="3"/>
    </row>
    <row r="443" spans="1:23" x14ac:dyDescent="0.35">
      <c r="A443" s="3"/>
      <c r="E443" s="40"/>
      <c r="F443" s="40"/>
      <c r="W443" s="3"/>
    </row>
    <row r="444" spans="1:23" x14ac:dyDescent="0.35">
      <c r="A444" s="3"/>
      <c r="E444" s="40"/>
      <c r="F444" s="40"/>
      <c r="W444" s="3"/>
    </row>
    <row r="445" spans="1:23" x14ac:dyDescent="0.35">
      <c r="A445" s="3"/>
      <c r="E445" s="40"/>
      <c r="F445" s="40"/>
      <c r="W445" s="3"/>
    </row>
    <row r="446" spans="1:23" x14ac:dyDescent="0.35">
      <c r="A446" s="3"/>
      <c r="E446" s="40"/>
      <c r="F446" s="40"/>
      <c r="W446" s="3"/>
    </row>
    <row r="447" spans="1:23" x14ac:dyDescent="0.35">
      <c r="A447" s="3"/>
      <c r="E447" s="40"/>
      <c r="F447" s="40"/>
      <c r="W447" s="3"/>
    </row>
    <row r="448" spans="1:23" x14ac:dyDescent="0.35">
      <c r="A448" s="3"/>
      <c r="E448" s="40"/>
      <c r="F448" s="40"/>
      <c r="W448" s="3"/>
    </row>
    <row r="449" spans="1:23" x14ac:dyDescent="0.35">
      <c r="A449" s="3"/>
      <c r="E449" s="40"/>
      <c r="F449" s="40"/>
      <c r="W449" s="3"/>
    </row>
    <row r="450" spans="1:23" x14ac:dyDescent="0.35">
      <c r="A450" s="3"/>
      <c r="E450" s="40"/>
      <c r="F450" s="40"/>
      <c r="W450" s="3"/>
    </row>
    <row r="451" spans="1:23" x14ac:dyDescent="0.35">
      <c r="A451" s="3"/>
      <c r="E451" s="40"/>
      <c r="F451" s="40"/>
      <c r="W451" s="3"/>
    </row>
    <row r="452" spans="1:23" x14ac:dyDescent="0.35">
      <c r="A452" s="3"/>
      <c r="E452" s="40"/>
      <c r="F452" s="40"/>
      <c r="W452" s="3"/>
    </row>
    <row r="453" spans="1:23" x14ac:dyDescent="0.35">
      <c r="A453" s="3"/>
      <c r="E453" s="40"/>
      <c r="F453" s="40"/>
      <c r="W453" s="3"/>
    </row>
    <row r="454" spans="1:23" x14ac:dyDescent="0.35">
      <c r="A454" s="3"/>
      <c r="E454" s="40"/>
      <c r="F454" s="40"/>
      <c r="W454" s="3"/>
    </row>
    <row r="455" spans="1:23" x14ac:dyDescent="0.35">
      <c r="A455" s="3"/>
      <c r="E455" s="40"/>
      <c r="F455" s="40"/>
      <c r="W455" s="3"/>
    </row>
    <row r="456" spans="1:23" x14ac:dyDescent="0.35">
      <c r="A456" s="3"/>
      <c r="E456" s="40"/>
      <c r="F456" s="40"/>
      <c r="W456" s="3"/>
    </row>
    <row r="457" spans="1:23" x14ac:dyDescent="0.35">
      <c r="A457" s="3"/>
      <c r="E457" s="40"/>
      <c r="F457" s="40"/>
      <c r="W457" s="3"/>
    </row>
    <row r="458" spans="1:23" x14ac:dyDescent="0.35">
      <c r="A458" s="3"/>
      <c r="E458" s="40"/>
      <c r="F458" s="40"/>
      <c r="W458" s="3"/>
    </row>
    <row r="459" spans="1:23" x14ac:dyDescent="0.35">
      <c r="A459" s="3"/>
      <c r="E459" s="40"/>
      <c r="F459" s="40"/>
      <c r="W459" s="3"/>
    </row>
    <row r="460" spans="1:23" x14ac:dyDescent="0.35">
      <c r="A460" s="3"/>
      <c r="E460" s="40"/>
      <c r="F460" s="40"/>
      <c r="W460" s="3"/>
    </row>
    <row r="461" spans="1:23" x14ac:dyDescent="0.35">
      <c r="A461" s="3"/>
      <c r="E461" s="40"/>
      <c r="F461" s="40"/>
      <c r="W461" s="3"/>
    </row>
    <row r="462" spans="1:23" x14ac:dyDescent="0.35">
      <c r="A462" s="3"/>
      <c r="E462" s="40"/>
      <c r="F462" s="40"/>
      <c r="W462" s="3"/>
    </row>
    <row r="463" spans="1:23" x14ac:dyDescent="0.35">
      <c r="A463" s="3"/>
      <c r="E463" s="40"/>
      <c r="F463" s="40"/>
      <c r="W463" s="3"/>
    </row>
    <row r="464" spans="1:23" x14ac:dyDescent="0.35">
      <c r="A464" s="3"/>
      <c r="E464" s="40"/>
      <c r="F464" s="40"/>
      <c r="W464" s="3"/>
    </row>
    <row r="465" spans="1:23" x14ac:dyDescent="0.35">
      <c r="A465" s="3"/>
      <c r="E465" s="40"/>
      <c r="F465" s="40"/>
      <c r="W465" s="3"/>
    </row>
    <row r="466" spans="1:23" x14ac:dyDescent="0.35">
      <c r="A466" s="3"/>
      <c r="E466" s="40"/>
      <c r="F466" s="40"/>
      <c r="W466" s="3"/>
    </row>
    <row r="467" spans="1:23" x14ac:dyDescent="0.35">
      <c r="A467" s="3"/>
      <c r="E467" s="40"/>
      <c r="F467" s="40"/>
      <c r="W467" s="3"/>
    </row>
    <row r="468" spans="1:23" x14ac:dyDescent="0.35">
      <c r="A468" s="3"/>
      <c r="E468" s="40"/>
      <c r="F468" s="40"/>
      <c r="W468" s="3"/>
    </row>
    <row r="469" spans="1:23" x14ac:dyDescent="0.35">
      <c r="A469" s="3"/>
      <c r="E469" s="40"/>
      <c r="F469" s="40"/>
      <c r="W469" s="3"/>
    </row>
    <row r="470" spans="1:23" x14ac:dyDescent="0.35">
      <c r="A470" s="3"/>
      <c r="E470" s="40"/>
      <c r="F470" s="40"/>
      <c r="W470" s="3"/>
    </row>
    <row r="471" spans="1:23" x14ac:dyDescent="0.35">
      <c r="A471" s="3"/>
      <c r="E471" s="40"/>
      <c r="F471" s="40"/>
      <c r="W471" s="3"/>
    </row>
    <row r="472" spans="1:23" x14ac:dyDescent="0.35">
      <c r="A472" s="3"/>
      <c r="E472" s="40"/>
      <c r="F472" s="40"/>
      <c r="W472" s="3"/>
    </row>
    <row r="473" spans="1:23" x14ac:dyDescent="0.35">
      <c r="A473" s="3"/>
      <c r="E473" s="40"/>
      <c r="F473" s="40"/>
      <c r="W473" s="3"/>
    </row>
    <row r="474" spans="1:23" x14ac:dyDescent="0.35">
      <c r="A474" s="3"/>
      <c r="E474" s="40"/>
      <c r="F474" s="40"/>
      <c r="W474" s="3"/>
    </row>
    <row r="475" spans="1:23" x14ac:dyDescent="0.35">
      <c r="A475" s="3"/>
      <c r="E475" s="40"/>
      <c r="F475" s="40"/>
      <c r="W475" s="3"/>
    </row>
    <row r="476" spans="1:23" x14ac:dyDescent="0.35">
      <c r="A476" s="3"/>
      <c r="E476" s="40"/>
      <c r="F476" s="40"/>
      <c r="W476" s="3"/>
    </row>
    <row r="477" spans="1:23" x14ac:dyDescent="0.35">
      <c r="A477" s="3"/>
      <c r="E477" s="40"/>
      <c r="F477" s="40"/>
      <c r="W477" s="3"/>
    </row>
    <row r="478" spans="1:23" x14ac:dyDescent="0.35">
      <c r="A478" s="3"/>
      <c r="E478" s="40"/>
      <c r="F478" s="40"/>
      <c r="W478" s="3"/>
    </row>
    <row r="479" spans="1:23" x14ac:dyDescent="0.35">
      <c r="A479" s="3"/>
      <c r="E479" s="40"/>
      <c r="F479" s="40"/>
      <c r="W479" s="3"/>
    </row>
    <row r="480" spans="1:23" x14ac:dyDescent="0.35">
      <c r="A480" s="3"/>
      <c r="E480" s="40"/>
      <c r="F480" s="40"/>
      <c r="W480" s="3"/>
    </row>
    <row r="481" spans="1:23" x14ac:dyDescent="0.35">
      <c r="A481" s="3"/>
      <c r="E481" s="40"/>
      <c r="F481" s="40"/>
      <c r="W481" s="3"/>
    </row>
    <row r="482" spans="1:23" x14ac:dyDescent="0.35">
      <c r="A482" s="3"/>
      <c r="E482" s="40"/>
      <c r="F482" s="40"/>
      <c r="W482" s="3"/>
    </row>
    <row r="483" spans="1:23" x14ac:dyDescent="0.35">
      <c r="A483" s="3"/>
      <c r="E483" s="40"/>
      <c r="F483" s="40"/>
      <c r="W483" s="3"/>
    </row>
    <row r="484" spans="1:23" x14ac:dyDescent="0.35">
      <c r="A484" s="3"/>
      <c r="E484" s="40"/>
      <c r="F484" s="40"/>
      <c r="W484" s="3"/>
    </row>
    <row r="485" spans="1:23" x14ac:dyDescent="0.35">
      <c r="A485" s="3"/>
      <c r="E485" s="40"/>
      <c r="F485" s="40"/>
      <c r="W485" s="3"/>
    </row>
    <row r="486" spans="1:23" x14ac:dyDescent="0.35">
      <c r="A486" s="3"/>
      <c r="E486" s="40"/>
      <c r="F486" s="40"/>
      <c r="W486" s="3"/>
    </row>
    <row r="487" spans="1:23" x14ac:dyDescent="0.35">
      <c r="A487" s="3"/>
      <c r="E487" s="40"/>
      <c r="F487" s="40"/>
      <c r="W487" s="3"/>
    </row>
    <row r="488" spans="1:23" x14ac:dyDescent="0.35">
      <c r="A488" s="3"/>
      <c r="E488" s="40"/>
      <c r="F488" s="40"/>
      <c r="W488" s="3"/>
    </row>
    <row r="489" spans="1:23" x14ac:dyDescent="0.35">
      <c r="A489" s="3"/>
      <c r="E489" s="40"/>
      <c r="F489" s="40"/>
      <c r="W489" s="3"/>
    </row>
    <row r="490" spans="1:23" x14ac:dyDescent="0.35">
      <c r="A490" s="3"/>
      <c r="E490" s="40"/>
      <c r="F490" s="40"/>
      <c r="W490" s="3"/>
    </row>
    <row r="491" spans="1:23" x14ac:dyDescent="0.35">
      <c r="A491" s="3"/>
      <c r="E491" s="40"/>
      <c r="F491" s="40"/>
      <c r="W491" s="3"/>
    </row>
    <row r="492" spans="1:23" x14ac:dyDescent="0.35">
      <c r="A492" s="3"/>
      <c r="E492" s="40"/>
      <c r="F492" s="40"/>
      <c r="W492" s="3"/>
    </row>
    <row r="493" spans="1:23" x14ac:dyDescent="0.35">
      <c r="A493" s="3"/>
      <c r="E493" s="40"/>
      <c r="F493" s="40"/>
      <c r="W493" s="3"/>
    </row>
    <row r="494" spans="1:23" x14ac:dyDescent="0.35">
      <c r="A494" s="3"/>
      <c r="E494" s="40"/>
      <c r="F494" s="40"/>
      <c r="W494" s="3"/>
    </row>
    <row r="495" spans="1:23" x14ac:dyDescent="0.35">
      <c r="A495" s="3"/>
      <c r="E495" s="40"/>
      <c r="F495" s="40"/>
      <c r="W495" s="3"/>
    </row>
    <row r="496" spans="1:23" x14ac:dyDescent="0.35">
      <c r="A496" s="3"/>
      <c r="E496" s="40"/>
      <c r="F496" s="40"/>
      <c r="W496" s="3"/>
    </row>
    <row r="497" spans="1:23" x14ac:dyDescent="0.35">
      <c r="A497" s="3"/>
      <c r="E497" s="40"/>
      <c r="F497" s="40"/>
      <c r="W497" s="3"/>
    </row>
    <row r="498" spans="1:23" x14ac:dyDescent="0.35">
      <c r="A498" s="3"/>
      <c r="E498" s="40"/>
      <c r="F498" s="40"/>
      <c r="W498" s="3"/>
    </row>
    <row r="499" spans="1:23" x14ac:dyDescent="0.35">
      <c r="A499" s="3"/>
      <c r="E499" s="40"/>
      <c r="F499" s="40"/>
      <c r="W499" s="3"/>
    </row>
    <row r="500" spans="1:23" x14ac:dyDescent="0.35">
      <c r="A500" s="3"/>
      <c r="E500" s="40"/>
      <c r="F500" s="40"/>
      <c r="W500" s="3"/>
    </row>
    <row r="501" spans="1:23" x14ac:dyDescent="0.35">
      <c r="A501" s="3"/>
      <c r="E501" s="40"/>
      <c r="F501" s="40"/>
      <c r="W501" s="3"/>
    </row>
    <row r="502" spans="1:23" x14ac:dyDescent="0.35">
      <c r="A502" s="3"/>
      <c r="E502" s="40"/>
      <c r="F502" s="40"/>
      <c r="W502" s="3"/>
    </row>
    <row r="503" spans="1:23" x14ac:dyDescent="0.35">
      <c r="A503" s="3"/>
      <c r="E503" s="40"/>
      <c r="F503" s="40"/>
      <c r="W503" s="3"/>
    </row>
    <row r="504" spans="1:23" x14ac:dyDescent="0.35">
      <c r="A504" s="3"/>
      <c r="E504" s="40"/>
      <c r="F504" s="40"/>
      <c r="W504" s="3"/>
    </row>
    <row r="505" spans="1:23" x14ac:dyDescent="0.35">
      <c r="A505" s="3"/>
      <c r="E505" s="40"/>
      <c r="F505" s="40"/>
      <c r="W505" s="3"/>
    </row>
    <row r="506" spans="1:23" x14ac:dyDescent="0.35">
      <c r="A506" s="3"/>
      <c r="E506" s="40"/>
      <c r="F506" s="40"/>
      <c r="W506" s="3"/>
    </row>
    <row r="507" spans="1:23" x14ac:dyDescent="0.35">
      <c r="A507" s="3"/>
      <c r="E507" s="40"/>
      <c r="F507" s="40"/>
      <c r="W507" s="3"/>
    </row>
    <row r="508" spans="1:23" x14ac:dyDescent="0.35">
      <c r="A508" s="3"/>
      <c r="E508" s="40"/>
      <c r="F508" s="40"/>
      <c r="W508" s="3"/>
    </row>
    <row r="509" spans="1:23" x14ac:dyDescent="0.35">
      <c r="A509" s="3"/>
      <c r="E509" s="40"/>
      <c r="F509" s="40"/>
      <c r="W509" s="3"/>
    </row>
    <row r="510" spans="1:23" x14ac:dyDescent="0.35">
      <c r="A510" s="3"/>
      <c r="E510" s="40"/>
      <c r="F510" s="40"/>
      <c r="W510" s="3"/>
    </row>
    <row r="511" spans="1:23" x14ac:dyDescent="0.35">
      <c r="A511" s="3"/>
      <c r="E511" s="40"/>
      <c r="F511" s="40"/>
      <c r="W511" s="3"/>
    </row>
    <row r="512" spans="1:23" x14ac:dyDescent="0.35">
      <c r="A512" s="3"/>
      <c r="E512" s="40"/>
      <c r="F512" s="40"/>
      <c r="W512" s="3"/>
    </row>
    <row r="513" spans="1:23" x14ac:dyDescent="0.35">
      <c r="A513" s="3"/>
      <c r="E513" s="40"/>
      <c r="F513" s="40"/>
      <c r="W513" s="3"/>
    </row>
    <row r="514" spans="1:23" x14ac:dyDescent="0.35">
      <c r="A514" s="3"/>
      <c r="E514" s="40"/>
      <c r="F514" s="40"/>
      <c r="W514" s="3"/>
    </row>
    <row r="515" spans="1:23" x14ac:dyDescent="0.35">
      <c r="A515" s="3"/>
      <c r="E515" s="40"/>
      <c r="F515" s="40"/>
      <c r="W515" s="3"/>
    </row>
    <row r="516" spans="1:23" x14ac:dyDescent="0.35">
      <c r="A516" s="3"/>
      <c r="E516" s="40"/>
      <c r="F516" s="40"/>
      <c r="W516" s="3"/>
    </row>
    <row r="517" spans="1:23" x14ac:dyDescent="0.35">
      <c r="A517" s="3"/>
      <c r="E517" s="40"/>
      <c r="F517" s="40"/>
      <c r="W517" s="3"/>
    </row>
    <row r="518" spans="1:23" x14ac:dyDescent="0.35">
      <c r="A518" s="3"/>
      <c r="E518" s="40"/>
      <c r="F518" s="40"/>
      <c r="W518" s="3"/>
    </row>
    <row r="519" spans="1:23" x14ac:dyDescent="0.35">
      <c r="A519" s="3"/>
      <c r="E519" s="40"/>
      <c r="F519" s="40"/>
      <c r="W519" s="3"/>
    </row>
    <row r="520" spans="1:23" x14ac:dyDescent="0.35">
      <c r="A520" s="3"/>
      <c r="E520" s="40"/>
      <c r="F520" s="40"/>
      <c r="W520" s="3"/>
    </row>
    <row r="521" spans="1:23" x14ac:dyDescent="0.35">
      <c r="A521" s="3"/>
      <c r="E521" s="40"/>
      <c r="F521" s="40"/>
      <c r="W521" s="3"/>
    </row>
    <row r="522" spans="1:23" x14ac:dyDescent="0.35">
      <c r="A522" s="3"/>
      <c r="E522" s="40"/>
      <c r="F522" s="40"/>
      <c r="W522" s="3"/>
    </row>
    <row r="523" spans="1:23" x14ac:dyDescent="0.35">
      <c r="A523" s="3"/>
      <c r="E523" s="40"/>
      <c r="F523" s="40"/>
      <c r="W523" s="3"/>
    </row>
    <row r="524" spans="1:23" x14ac:dyDescent="0.35">
      <c r="A524" s="3"/>
      <c r="E524" s="40"/>
      <c r="F524" s="40"/>
      <c r="W524" s="3"/>
    </row>
    <row r="525" spans="1:23" x14ac:dyDescent="0.35">
      <c r="A525" s="3"/>
      <c r="E525" s="40"/>
      <c r="F525" s="40"/>
      <c r="W525" s="3"/>
    </row>
    <row r="526" spans="1:23" x14ac:dyDescent="0.35">
      <c r="A526" s="3"/>
      <c r="E526" s="40"/>
      <c r="F526" s="40"/>
      <c r="W526" s="3"/>
    </row>
    <row r="527" spans="1:23" x14ac:dyDescent="0.35">
      <c r="A527" s="3"/>
      <c r="E527" s="40"/>
      <c r="F527" s="40"/>
      <c r="W527" s="3"/>
    </row>
    <row r="528" spans="1:23" x14ac:dyDescent="0.35">
      <c r="A528" s="3"/>
      <c r="E528" s="40"/>
      <c r="F528" s="40"/>
      <c r="W528" s="3"/>
    </row>
    <row r="529" spans="1:23" x14ac:dyDescent="0.35">
      <c r="A529" s="3"/>
      <c r="E529" s="40"/>
      <c r="F529" s="40"/>
      <c r="W529" s="3"/>
    </row>
    <row r="530" spans="1:23" x14ac:dyDescent="0.35">
      <c r="A530" s="3"/>
      <c r="E530" s="40"/>
      <c r="F530" s="40"/>
      <c r="W530" s="3"/>
    </row>
    <row r="531" spans="1:23" x14ac:dyDescent="0.35">
      <c r="A531" s="3"/>
      <c r="E531" s="40"/>
      <c r="F531" s="40"/>
      <c r="W531" s="3"/>
    </row>
    <row r="532" spans="1:23" x14ac:dyDescent="0.35">
      <c r="A532" s="3"/>
      <c r="E532" s="40"/>
      <c r="F532" s="40"/>
      <c r="W532" s="3"/>
    </row>
    <row r="533" spans="1:23" x14ac:dyDescent="0.35">
      <c r="A533" s="3"/>
      <c r="E533" s="40"/>
      <c r="F533" s="40"/>
      <c r="W533" s="3"/>
    </row>
    <row r="534" spans="1:23" x14ac:dyDescent="0.35">
      <c r="A534" s="3"/>
      <c r="E534" s="40"/>
      <c r="F534" s="40"/>
      <c r="W534" s="3"/>
    </row>
    <row r="535" spans="1:23" x14ac:dyDescent="0.35">
      <c r="A535" s="3"/>
      <c r="E535" s="40"/>
      <c r="F535" s="40"/>
      <c r="W535" s="3"/>
    </row>
    <row r="536" spans="1:23" x14ac:dyDescent="0.35">
      <c r="A536" s="3"/>
      <c r="E536" s="40"/>
      <c r="F536" s="40"/>
      <c r="W536" s="3"/>
    </row>
    <row r="537" spans="1:23" x14ac:dyDescent="0.35">
      <c r="A537" s="3"/>
      <c r="E537" s="40"/>
      <c r="F537" s="40"/>
      <c r="W537" s="3"/>
    </row>
    <row r="538" spans="1:23" x14ac:dyDescent="0.35">
      <c r="A538" s="3"/>
      <c r="E538" s="40"/>
      <c r="F538" s="40"/>
      <c r="W538" s="3"/>
    </row>
    <row r="539" spans="1:23" x14ac:dyDescent="0.35">
      <c r="A539" s="3"/>
      <c r="E539" s="40"/>
      <c r="F539" s="40"/>
      <c r="W539" s="3"/>
    </row>
    <row r="540" spans="1:23" x14ac:dyDescent="0.35">
      <c r="A540" s="3"/>
      <c r="E540" s="40"/>
      <c r="F540" s="40"/>
      <c r="W540" s="3"/>
    </row>
    <row r="541" spans="1:23" x14ac:dyDescent="0.35">
      <c r="A541" s="3"/>
      <c r="E541" s="40"/>
      <c r="F541" s="40"/>
      <c r="W541" s="3"/>
    </row>
    <row r="542" spans="1:23" x14ac:dyDescent="0.35">
      <c r="A542" s="3"/>
      <c r="E542" s="40"/>
      <c r="F542" s="40"/>
      <c r="W542" s="3"/>
    </row>
    <row r="543" spans="1:23" x14ac:dyDescent="0.35">
      <c r="A543" s="3"/>
      <c r="E543" s="40"/>
      <c r="F543" s="40"/>
      <c r="W543" s="3"/>
    </row>
    <row r="544" spans="1:23" x14ac:dyDescent="0.35">
      <c r="A544" s="3"/>
      <c r="E544" s="40"/>
      <c r="F544" s="40"/>
      <c r="W544" s="3"/>
    </row>
    <row r="545" spans="1:23" x14ac:dyDescent="0.35">
      <c r="A545" s="3"/>
      <c r="E545" s="40"/>
      <c r="F545" s="40"/>
      <c r="W545" s="3"/>
    </row>
    <row r="546" spans="1:23" x14ac:dyDescent="0.35">
      <c r="A546" s="3"/>
      <c r="E546" s="40"/>
      <c r="F546" s="40"/>
      <c r="W546" s="3"/>
    </row>
    <row r="547" spans="1:23" x14ac:dyDescent="0.35">
      <c r="A547" s="3"/>
      <c r="E547" s="40"/>
      <c r="F547" s="40"/>
      <c r="W547" s="3"/>
    </row>
    <row r="548" spans="1:23" x14ac:dyDescent="0.35">
      <c r="A548" s="3"/>
      <c r="E548" s="40"/>
      <c r="F548" s="40"/>
      <c r="W548" s="3"/>
    </row>
    <row r="549" spans="1:23" x14ac:dyDescent="0.35">
      <c r="A549" s="3"/>
      <c r="E549" s="40"/>
      <c r="F549" s="40"/>
      <c r="W549" s="3"/>
    </row>
    <row r="550" spans="1:23" x14ac:dyDescent="0.35">
      <c r="A550" s="3"/>
      <c r="E550" s="40"/>
      <c r="F550" s="40"/>
      <c r="W550" s="3"/>
    </row>
    <row r="551" spans="1:23" x14ac:dyDescent="0.35">
      <c r="A551" s="3"/>
      <c r="E551" s="40"/>
      <c r="F551" s="40"/>
      <c r="W551" s="3"/>
    </row>
    <row r="552" spans="1:23" x14ac:dyDescent="0.35">
      <c r="A552" s="3"/>
      <c r="E552" s="40"/>
      <c r="F552" s="40"/>
      <c r="W552" s="3"/>
    </row>
    <row r="553" spans="1:23" x14ac:dyDescent="0.35">
      <c r="A553" s="3"/>
      <c r="E553" s="40"/>
      <c r="F553" s="40"/>
      <c r="W553" s="3"/>
    </row>
    <row r="554" spans="1:23" x14ac:dyDescent="0.35">
      <c r="A554" s="3"/>
      <c r="E554" s="40"/>
      <c r="F554" s="40"/>
      <c r="W554" s="3"/>
    </row>
    <row r="555" spans="1:23" x14ac:dyDescent="0.35">
      <c r="A555" s="3"/>
      <c r="E555" s="40"/>
      <c r="F555" s="40"/>
      <c r="W555" s="3"/>
    </row>
    <row r="556" spans="1:23" x14ac:dyDescent="0.35">
      <c r="A556" s="3"/>
      <c r="E556" s="40"/>
      <c r="F556" s="40"/>
      <c r="W556" s="3"/>
    </row>
    <row r="557" spans="1:23" x14ac:dyDescent="0.35">
      <c r="A557" s="3"/>
      <c r="E557" s="40"/>
      <c r="F557" s="40"/>
      <c r="W557" s="3"/>
    </row>
    <row r="558" spans="1:23" x14ac:dyDescent="0.35">
      <c r="A558" s="3"/>
      <c r="E558" s="40"/>
      <c r="F558" s="40"/>
      <c r="W558" s="3"/>
    </row>
    <row r="559" spans="1:23" x14ac:dyDescent="0.35">
      <c r="A559" s="3"/>
      <c r="E559" s="40"/>
      <c r="F559" s="40"/>
      <c r="W559" s="3"/>
    </row>
    <row r="560" spans="1:23" x14ac:dyDescent="0.35">
      <c r="A560" s="3"/>
      <c r="E560" s="40"/>
      <c r="F560" s="40"/>
      <c r="W560" s="3"/>
    </row>
    <row r="561" spans="1:23" x14ac:dyDescent="0.35">
      <c r="A561" s="3"/>
      <c r="E561" s="40"/>
      <c r="F561" s="40"/>
      <c r="W561" s="3"/>
    </row>
    <row r="562" spans="1:23" x14ac:dyDescent="0.35">
      <c r="A562" s="3"/>
      <c r="E562" s="40"/>
      <c r="F562" s="40"/>
      <c r="W562" s="3"/>
    </row>
    <row r="563" spans="1:23" x14ac:dyDescent="0.35">
      <c r="A563" s="3"/>
      <c r="E563" s="40"/>
      <c r="F563" s="40"/>
      <c r="W563" s="3"/>
    </row>
    <row r="564" spans="1:23" x14ac:dyDescent="0.35">
      <c r="A564" s="3"/>
      <c r="E564" s="40"/>
      <c r="F564" s="40"/>
      <c r="W564" s="3"/>
    </row>
    <row r="565" spans="1:23" x14ac:dyDescent="0.35">
      <c r="A565" s="3"/>
      <c r="E565" s="40"/>
      <c r="F565" s="40"/>
      <c r="W565" s="3"/>
    </row>
    <row r="566" spans="1:23" x14ac:dyDescent="0.35">
      <c r="A566" s="3"/>
      <c r="E566" s="40"/>
      <c r="F566" s="40"/>
      <c r="W566" s="3"/>
    </row>
    <row r="567" spans="1:23" x14ac:dyDescent="0.35">
      <c r="A567" s="3"/>
      <c r="E567" s="40"/>
      <c r="F567" s="40"/>
      <c r="W567" s="3"/>
    </row>
    <row r="568" spans="1:23" x14ac:dyDescent="0.35">
      <c r="A568" s="3"/>
      <c r="E568" s="40"/>
      <c r="F568" s="40"/>
      <c r="W568" s="3"/>
    </row>
    <row r="569" spans="1:23" x14ac:dyDescent="0.35">
      <c r="A569" s="3"/>
      <c r="E569" s="40"/>
      <c r="F569" s="40"/>
      <c r="W569" s="3"/>
    </row>
    <row r="570" spans="1:23" x14ac:dyDescent="0.35">
      <c r="A570" s="3"/>
      <c r="E570" s="40"/>
      <c r="F570" s="40"/>
      <c r="W570" s="3"/>
    </row>
    <row r="571" spans="1:23" x14ac:dyDescent="0.35">
      <c r="A571" s="3"/>
      <c r="E571" s="40"/>
      <c r="F571" s="40"/>
      <c r="W571" s="3"/>
    </row>
    <row r="572" spans="1:23" x14ac:dyDescent="0.35">
      <c r="A572" s="3"/>
      <c r="E572" s="40"/>
      <c r="F572" s="40"/>
      <c r="W572" s="3"/>
    </row>
    <row r="573" spans="1:23" x14ac:dyDescent="0.35">
      <c r="A573" s="3"/>
      <c r="E573" s="40"/>
      <c r="F573" s="40"/>
      <c r="W573" s="3"/>
    </row>
    <row r="574" spans="1:23" x14ac:dyDescent="0.35">
      <c r="A574" s="3"/>
      <c r="E574" s="40"/>
      <c r="F574" s="40"/>
      <c r="W574" s="3"/>
    </row>
    <row r="575" spans="1:23" x14ac:dyDescent="0.35">
      <c r="A575" s="3"/>
      <c r="E575" s="40"/>
      <c r="F575" s="40"/>
      <c r="W575" s="3"/>
    </row>
    <row r="576" spans="1:23" x14ac:dyDescent="0.35">
      <c r="A576" s="3"/>
      <c r="E576" s="40"/>
      <c r="F576" s="40"/>
      <c r="W576" s="3"/>
    </row>
    <row r="577" spans="1:23" x14ac:dyDescent="0.35">
      <c r="A577" s="3"/>
      <c r="E577" s="40"/>
      <c r="F577" s="40"/>
      <c r="W577" s="3"/>
    </row>
    <row r="578" spans="1:23" x14ac:dyDescent="0.35">
      <c r="A578" s="3"/>
      <c r="E578" s="40"/>
      <c r="F578" s="40"/>
      <c r="W578" s="3"/>
    </row>
    <row r="579" spans="1:23" x14ac:dyDescent="0.35">
      <c r="A579" s="3"/>
      <c r="E579" s="40"/>
      <c r="F579" s="40"/>
      <c r="W579" s="3"/>
    </row>
    <row r="580" spans="1:23" x14ac:dyDescent="0.35">
      <c r="A580" s="3"/>
      <c r="E580" s="40"/>
      <c r="F580" s="40"/>
      <c r="W580" s="3"/>
    </row>
    <row r="581" spans="1:23" x14ac:dyDescent="0.35">
      <c r="A581" s="3"/>
      <c r="E581" s="40"/>
      <c r="F581" s="40"/>
      <c r="W581" s="3"/>
    </row>
    <row r="582" spans="1:23" x14ac:dyDescent="0.35">
      <c r="A582" s="3"/>
      <c r="E582" s="40"/>
      <c r="F582" s="40"/>
      <c r="W582" s="3"/>
    </row>
    <row r="583" spans="1:23" x14ac:dyDescent="0.35">
      <c r="A583" s="3"/>
      <c r="E583" s="40"/>
      <c r="F583" s="40"/>
      <c r="W583" s="3"/>
    </row>
    <row r="584" spans="1:23" x14ac:dyDescent="0.35">
      <c r="A584" s="3"/>
      <c r="E584" s="40"/>
      <c r="F584" s="40"/>
      <c r="W584" s="3"/>
    </row>
    <row r="585" spans="1:23" x14ac:dyDescent="0.35">
      <c r="A585" s="3"/>
      <c r="E585" s="40"/>
      <c r="F585" s="40"/>
      <c r="W585" s="3"/>
    </row>
    <row r="586" spans="1:23" x14ac:dyDescent="0.35">
      <c r="A586" s="3"/>
      <c r="E586" s="40"/>
      <c r="F586" s="40"/>
      <c r="W586" s="3"/>
    </row>
    <row r="587" spans="1:23" x14ac:dyDescent="0.35">
      <c r="A587" s="3"/>
      <c r="E587" s="40"/>
      <c r="F587" s="40"/>
      <c r="W587" s="3"/>
    </row>
    <row r="588" spans="1:23" x14ac:dyDescent="0.35">
      <c r="A588" s="3"/>
      <c r="E588" s="40"/>
      <c r="F588" s="40"/>
      <c r="W588" s="3"/>
    </row>
    <row r="589" spans="1:23" x14ac:dyDescent="0.35">
      <c r="A589" s="3"/>
      <c r="E589" s="40"/>
      <c r="F589" s="40"/>
      <c r="W589" s="3"/>
    </row>
    <row r="590" spans="1:23" x14ac:dyDescent="0.35">
      <c r="A590" s="3"/>
      <c r="E590" s="40"/>
      <c r="F590" s="40"/>
      <c r="W590" s="3"/>
    </row>
    <row r="591" spans="1:23" x14ac:dyDescent="0.35">
      <c r="A591" s="3"/>
      <c r="E591" s="40"/>
      <c r="F591" s="40"/>
      <c r="W591" s="3"/>
    </row>
    <row r="592" spans="1:23" x14ac:dyDescent="0.35">
      <c r="A592" s="3"/>
      <c r="E592" s="40"/>
      <c r="F592" s="40"/>
      <c r="W592" s="3"/>
    </row>
    <row r="593" spans="1:23" x14ac:dyDescent="0.35">
      <c r="A593" s="3"/>
      <c r="E593" s="40"/>
      <c r="F593" s="40"/>
      <c r="W593" s="3"/>
    </row>
    <row r="594" spans="1:23" x14ac:dyDescent="0.35">
      <c r="A594" s="3"/>
      <c r="E594" s="40"/>
      <c r="F594" s="40"/>
      <c r="W594" s="3"/>
    </row>
    <row r="595" spans="1:23" x14ac:dyDescent="0.35">
      <c r="A595" s="3"/>
      <c r="E595" s="40"/>
      <c r="F595" s="40"/>
      <c r="W595" s="3"/>
    </row>
    <row r="596" spans="1:23" x14ac:dyDescent="0.35">
      <c r="A596" s="3"/>
      <c r="E596" s="40"/>
      <c r="F596" s="40"/>
      <c r="W596" s="3"/>
    </row>
    <row r="597" spans="1:23" x14ac:dyDescent="0.35">
      <c r="A597" s="3"/>
      <c r="E597" s="40"/>
      <c r="F597" s="40"/>
      <c r="W597" s="3"/>
    </row>
    <row r="598" spans="1:23" x14ac:dyDescent="0.35">
      <c r="A598" s="3"/>
      <c r="E598" s="40"/>
      <c r="F598" s="40"/>
      <c r="W598" s="3"/>
    </row>
    <row r="599" spans="1:23" x14ac:dyDescent="0.35">
      <c r="A599" s="3"/>
      <c r="E599" s="40"/>
      <c r="F599" s="40"/>
      <c r="W599" s="3"/>
    </row>
    <row r="600" spans="1:23" x14ac:dyDescent="0.35">
      <c r="A600" s="3"/>
      <c r="E600" s="40"/>
      <c r="F600" s="40"/>
      <c r="W600" s="3"/>
    </row>
    <row r="601" spans="1:23" x14ac:dyDescent="0.35">
      <c r="A601" s="3"/>
      <c r="E601" s="40"/>
      <c r="F601" s="40"/>
      <c r="W601" s="3"/>
    </row>
    <row r="602" spans="1:23" x14ac:dyDescent="0.35">
      <c r="A602" s="3"/>
      <c r="E602" s="40"/>
      <c r="F602" s="40"/>
      <c r="W602" s="3"/>
    </row>
    <row r="603" spans="1:23" x14ac:dyDescent="0.35">
      <c r="A603" s="3"/>
      <c r="E603" s="40"/>
      <c r="F603" s="40"/>
      <c r="W603" s="3"/>
    </row>
    <row r="604" spans="1:23" x14ac:dyDescent="0.35">
      <c r="A604" s="3"/>
      <c r="E604" s="40"/>
      <c r="F604" s="40"/>
      <c r="W604" s="3"/>
    </row>
    <row r="605" spans="1:23" x14ac:dyDescent="0.35">
      <c r="A605" s="3"/>
      <c r="E605" s="40"/>
      <c r="F605" s="40"/>
      <c r="W605" s="3"/>
    </row>
    <row r="606" spans="1:23" x14ac:dyDescent="0.35">
      <c r="A606" s="3"/>
      <c r="E606" s="40"/>
      <c r="F606" s="40"/>
      <c r="W606" s="3"/>
    </row>
    <row r="607" spans="1:23" x14ac:dyDescent="0.35">
      <c r="A607" s="3"/>
      <c r="E607" s="40"/>
      <c r="F607" s="40"/>
      <c r="W607" s="3"/>
    </row>
    <row r="608" spans="1:23" x14ac:dyDescent="0.35">
      <c r="A608" s="3"/>
      <c r="E608" s="40"/>
      <c r="F608" s="40"/>
      <c r="W608" s="3"/>
    </row>
    <row r="609" spans="1:23" x14ac:dyDescent="0.35">
      <c r="A609" s="3"/>
      <c r="E609" s="40"/>
      <c r="F609" s="40"/>
      <c r="W609" s="3"/>
    </row>
    <row r="610" spans="1:23" x14ac:dyDescent="0.35">
      <c r="A610" s="3"/>
      <c r="E610" s="40"/>
      <c r="F610" s="40"/>
      <c r="W610" s="3"/>
    </row>
    <row r="611" spans="1:23" x14ac:dyDescent="0.35">
      <c r="A611" s="3"/>
      <c r="E611" s="40"/>
      <c r="F611" s="40"/>
      <c r="W611" s="3"/>
    </row>
    <row r="612" spans="1:23" x14ac:dyDescent="0.35">
      <c r="A612" s="3"/>
      <c r="E612" s="40"/>
      <c r="F612" s="40"/>
      <c r="W612" s="3"/>
    </row>
    <row r="613" spans="1:23" x14ac:dyDescent="0.35">
      <c r="A613" s="3"/>
      <c r="E613" s="40"/>
      <c r="F613" s="40"/>
      <c r="W613" s="3"/>
    </row>
    <row r="614" spans="1:23" x14ac:dyDescent="0.35">
      <c r="A614" s="3"/>
      <c r="E614" s="40"/>
      <c r="F614" s="40"/>
      <c r="W614" s="3"/>
    </row>
    <row r="615" spans="1:23" x14ac:dyDescent="0.35">
      <c r="A615" s="3"/>
      <c r="E615" s="40"/>
      <c r="F615" s="40"/>
      <c r="W615" s="3"/>
    </row>
    <row r="616" spans="1:23" x14ac:dyDescent="0.35">
      <c r="A616" s="3"/>
      <c r="E616" s="40"/>
      <c r="F616" s="40"/>
      <c r="W616" s="3"/>
    </row>
    <row r="617" spans="1:23" x14ac:dyDescent="0.35">
      <c r="A617" s="3"/>
      <c r="E617" s="40"/>
      <c r="F617" s="40"/>
      <c r="W617" s="3"/>
    </row>
    <row r="618" spans="1:23" x14ac:dyDescent="0.35">
      <c r="A618" s="3"/>
      <c r="E618" s="40"/>
      <c r="F618" s="40"/>
      <c r="W618" s="3"/>
    </row>
    <row r="619" spans="1:23" x14ac:dyDescent="0.35">
      <c r="A619" s="3"/>
      <c r="E619" s="40"/>
      <c r="F619" s="40"/>
      <c r="W619" s="3"/>
    </row>
    <row r="620" spans="1:23" x14ac:dyDescent="0.35">
      <c r="A620" s="3"/>
      <c r="E620" s="40"/>
      <c r="F620" s="40"/>
      <c r="W620" s="3"/>
    </row>
    <row r="621" spans="1:23" x14ac:dyDescent="0.35">
      <c r="A621" s="3"/>
      <c r="E621" s="40"/>
      <c r="F621" s="40"/>
      <c r="W621" s="3"/>
    </row>
    <row r="622" spans="1:23" x14ac:dyDescent="0.35">
      <c r="A622" s="3"/>
      <c r="E622" s="40"/>
      <c r="F622" s="40"/>
      <c r="W622" s="3"/>
    </row>
    <row r="623" spans="1:23" x14ac:dyDescent="0.35">
      <c r="A623" s="3"/>
      <c r="E623" s="40"/>
      <c r="F623" s="40"/>
      <c r="W623" s="3"/>
    </row>
    <row r="624" spans="1:23" x14ac:dyDescent="0.35">
      <c r="A624" s="3"/>
      <c r="E624" s="40"/>
      <c r="F624" s="40"/>
      <c r="W624" s="3"/>
    </row>
    <row r="625" spans="1:23" x14ac:dyDescent="0.35">
      <c r="A625" s="3"/>
      <c r="E625" s="40"/>
      <c r="F625" s="40"/>
      <c r="W625" s="3"/>
    </row>
    <row r="626" spans="1:23" x14ac:dyDescent="0.35">
      <c r="A626" s="3"/>
      <c r="E626" s="40"/>
      <c r="F626" s="40"/>
      <c r="W626" s="3"/>
    </row>
    <row r="627" spans="1:23" x14ac:dyDescent="0.35">
      <c r="A627" s="3"/>
      <c r="E627" s="40"/>
      <c r="F627" s="40"/>
      <c r="W627" s="3"/>
    </row>
    <row r="628" spans="1:23" x14ac:dyDescent="0.35">
      <c r="A628" s="3"/>
      <c r="E628" s="40"/>
      <c r="F628" s="40"/>
      <c r="W628" s="3"/>
    </row>
    <row r="629" spans="1:23" x14ac:dyDescent="0.35">
      <c r="A629" s="3"/>
      <c r="E629" s="40"/>
      <c r="F629" s="40"/>
      <c r="W629" s="3"/>
    </row>
    <row r="630" spans="1:23" x14ac:dyDescent="0.35">
      <c r="A630" s="3"/>
      <c r="E630" s="40"/>
      <c r="F630" s="40"/>
      <c r="W630" s="3"/>
    </row>
    <row r="631" spans="1:23" x14ac:dyDescent="0.35">
      <c r="A631" s="3"/>
      <c r="E631" s="40"/>
      <c r="F631" s="40"/>
      <c r="W631" s="3"/>
    </row>
    <row r="632" spans="1:23" x14ac:dyDescent="0.35">
      <c r="A632" s="3"/>
      <c r="E632" s="40"/>
      <c r="F632" s="40"/>
      <c r="W632" s="3"/>
    </row>
    <row r="633" spans="1:23" x14ac:dyDescent="0.35">
      <c r="A633" s="3"/>
      <c r="E633" s="40"/>
      <c r="F633" s="40"/>
      <c r="W633" s="3"/>
    </row>
    <row r="634" spans="1:23" x14ac:dyDescent="0.35">
      <c r="A634" s="3"/>
      <c r="E634" s="40"/>
      <c r="F634" s="40"/>
      <c r="W634" s="3"/>
    </row>
    <row r="635" spans="1:23" x14ac:dyDescent="0.35">
      <c r="A635" s="3"/>
      <c r="E635" s="40"/>
      <c r="F635" s="40"/>
      <c r="W635" s="3"/>
    </row>
    <row r="636" spans="1:23" x14ac:dyDescent="0.35">
      <c r="A636" s="3"/>
      <c r="E636" s="40"/>
      <c r="F636" s="40"/>
      <c r="W636" s="3"/>
    </row>
    <row r="637" spans="1:23" x14ac:dyDescent="0.35">
      <c r="A637" s="3"/>
      <c r="E637" s="40"/>
      <c r="F637" s="40"/>
      <c r="W637" s="3"/>
    </row>
    <row r="638" spans="1:23" x14ac:dyDescent="0.35">
      <c r="A638" s="3"/>
      <c r="E638" s="40"/>
      <c r="F638" s="40"/>
      <c r="W638" s="3"/>
    </row>
    <row r="639" spans="1:23" x14ac:dyDescent="0.35">
      <c r="A639" s="3"/>
      <c r="E639" s="40"/>
      <c r="F639" s="40"/>
      <c r="W639" s="3"/>
    </row>
    <row r="640" spans="1:23" x14ac:dyDescent="0.35">
      <c r="A640" s="3"/>
      <c r="E640" s="40"/>
      <c r="F640" s="40"/>
      <c r="W640" s="3"/>
    </row>
    <row r="641" spans="1:23" x14ac:dyDescent="0.35">
      <c r="A641" s="3"/>
      <c r="E641" s="40"/>
      <c r="F641" s="40"/>
      <c r="W641" s="3"/>
    </row>
    <row r="642" spans="1:23" x14ac:dyDescent="0.35">
      <c r="A642" s="3"/>
      <c r="E642" s="40"/>
      <c r="F642" s="40"/>
      <c r="W642" s="3"/>
    </row>
    <row r="643" spans="1:23" x14ac:dyDescent="0.35">
      <c r="A643" s="3"/>
      <c r="E643" s="40"/>
      <c r="F643" s="40"/>
      <c r="W643" s="3"/>
    </row>
    <row r="644" spans="1:23" x14ac:dyDescent="0.35">
      <c r="A644" s="3"/>
      <c r="E644" s="40"/>
      <c r="F644" s="40"/>
      <c r="W644" s="3"/>
    </row>
    <row r="645" spans="1:23" x14ac:dyDescent="0.35">
      <c r="A645" s="3"/>
      <c r="E645" s="40"/>
      <c r="F645" s="40"/>
      <c r="W645" s="3"/>
    </row>
    <row r="646" spans="1:23" x14ac:dyDescent="0.35">
      <c r="A646" s="3"/>
      <c r="E646" s="40"/>
      <c r="F646" s="40"/>
      <c r="W646" s="3"/>
    </row>
    <row r="647" spans="1:23" x14ac:dyDescent="0.35">
      <c r="A647" s="3"/>
      <c r="E647" s="40"/>
      <c r="F647" s="40"/>
      <c r="W647" s="3"/>
    </row>
    <row r="648" spans="1:23" x14ac:dyDescent="0.35">
      <c r="A648" s="3"/>
      <c r="E648" s="40"/>
      <c r="F648" s="40"/>
      <c r="W648" s="3"/>
    </row>
    <row r="649" spans="1:23" x14ac:dyDescent="0.35">
      <c r="A649" s="3"/>
      <c r="E649" s="40"/>
      <c r="F649" s="40"/>
      <c r="W649" s="3"/>
    </row>
    <row r="650" spans="1:23" x14ac:dyDescent="0.35">
      <c r="A650" s="3"/>
      <c r="E650" s="40"/>
      <c r="F650" s="40"/>
      <c r="W650" s="3"/>
    </row>
    <row r="651" spans="1:23" x14ac:dyDescent="0.35">
      <c r="A651" s="3"/>
      <c r="E651" s="40"/>
      <c r="F651" s="40"/>
      <c r="W651" s="3"/>
    </row>
    <row r="652" spans="1:23" x14ac:dyDescent="0.35">
      <c r="A652" s="3"/>
      <c r="E652" s="40"/>
      <c r="F652" s="40"/>
      <c r="W652" s="3"/>
    </row>
    <row r="653" spans="1:23" x14ac:dyDescent="0.35">
      <c r="A653" s="3"/>
      <c r="E653" s="40"/>
      <c r="F653" s="40"/>
      <c r="W653" s="3"/>
    </row>
    <row r="654" spans="1:23" x14ac:dyDescent="0.35">
      <c r="A654" s="3"/>
      <c r="E654" s="40"/>
      <c r="F654" s="40"/>
      <c r="W654" s="3"/>
    </row>
    <row r="655" spans="1:23" x14ac:dyDescent="0.35">
      <c r="A655" s="3"/>
      <c r="E655" s="40"/>
      <c r="F655" s="40"/>
      <c r="W655" s="3"/>
    </row>
    <row r="656" spans="1:23" x14ac:dyDescent="0.35">
      <c r="A656" s="3"/>
      <c r="E656" s="40"/>
      <c r="F656" s="40"/>
      <c r="W656" s="3"/>
    </row>
    <row r="657" spans="1:23" x14ac:dyDescent="0.35">
      <c r="A657" s="3"/>
      <c r="E657" s="40"/>
      <c r="F657" s="40"/>
      <c r="W657" s="3"/>
    </row>
    <row r="658" spans="1:23" x14ac:dyDescent="0.35">
      <c r="A658" s="3"/>
      <c r="E658" s="40"/>
      <c r="F658" s="40"/>
      <c r="W658" s="3"/>
    </row>
    <row r="659" spans="1:23" x14ac:dyDescent="0.35">
      <c r="A659" s="3"/>
      <c r="E659" s="40"/>
      <c r="F659" s="40"/>
      <c r="W659" s="3"/>
    </row>
    <row r="660" spans="1:23" x14ac:dyDescent="0.35">
      <c r="A660" s="3"/>
      <c r="E660" s="40"/>
      <c r="F660" s="40"/>
      <c r="W660" s="3"/>
    </row>
    <row r="661" spans="1:23" x14ac:dyDescent="0.35">
      <c r="A661" s="3"/>
      <c r="E661" s="40"/>
      <c r="F661" s="40"/>
      <c r="W661" s="3"/>
    </row>
    <row r="662" spans="1:23" x14ac:dyDescent="0.35">
      <c r="A662" s="3"/>
      <c r="E662" s="40"/>
      <c r="F662" s="40"/>
      <c r="W662" s="3"/>
    </row>
    <row r="663" spans="1:23" x14ac:dyDescent="0.35">
      <c r="A663" s="3"/>
      <c r="E663" s="40"/>
      <c r="F663" s="40"/>
      <c r="W663" s="3"/>
    </row>
    <row r="664" spans="1:23" x14ac:dyDescent="0.35">
      <c r="A664" s="3"/>
      <c r="E664" s="40"/>
      <c r="F664" s="40"/>
      <c r="W664" s="3"/>
    </row>
    <row r="665" spans="1:23" x14ac:dyDescent="0.35">
      <c r="A665" s="3"/>
      <c r="E665" s="40"/>
      <c r="F665" s="40"/>
      <c r="W665" s="3"/>
    </row>
    <row r="666" spans="1:23" x14ac:dyDescent="0.35">
      <c r="A666" s="3"/>
      <c r="E666" s="40"/>
      <c r="F666" s="40"/>
      <c r="W666" s="3"/>
    </row>
    <row r="667" spans="1:23" x14ac:dyDescent="0.35">
      <c r="A667" s="3"/>
      <c r="E667" s="40"/>
      <c r="F667" s="40"/>
      <c r="W667" s="3"/>
    </row>
    <row r="668" spans="1:23" x14ac:dyDescent="0.35">
      <c r="A668" s="3"/>
      <c r="E668" s="40"/>
      <c r="F668" s="40"/>
      <c r="W668" s="3"/>
    </row>
    <row r="669" spans="1:23" x14ac:dyDescent="0.35">
      <c r="A669" s="3"/>
      <c r="E669" s="40"/>
      <c r="F669" s="40"/>
      <c r="W669" s="3"/>
    </row>
    <row r="670" spans="1:23" x14ac:dyDescent="0.35">
      <c r="A670" s="3"/>
      <c r="E670" s="40"/>
      <c r="F670" s="40"/>
      <c r="W670" s="3"/>
    </row>
    <row r="671" spans="1:23" x14ac:dyDescent="0.35">
      <c r="A671" s="3"/>
      <c r="E671" s="40"/>
      <c r="F671" s="40"/>
      <c r="W671" s="3"/>
    </row>
    <row r="672" spans="1:23" x14ac:dyDescent="0.35">
      <c r="A672" s="3"/>
      <c r="E672" s="40"/>
      <c r="F672" s="40"/>
      <c r="W672" s="3"/>
    </row>
    <row r="673" spans="1:23" x14ac:dyDescent="0.35">
      <c r="A673" s="3"/>
      <c r="E673" s="40"/>
      <c r="F673" s="40"/>
      <c r="W673" s="3"/>
    </row>
    <row r="674" spans="1:23" x14ac:dyDescent="0.35">
      <c r="A674" s="3"/>
      <c r="E674" s="40"/>
      <c r="F674" s="40"/>
      <c r="W674" s="3"/>
    </row>
    <row r="675" spans="1:23" x14ac:dyDescent="0.35">
      <c r="A675" s="3"/>
      <c r="E675" s="40"/>
      <c r="F675" s="40"/>
      <c r="W675" s="3"/>
    </row>
    <row r="676" spans="1:23" x14ac:dyDescent="0.35">
      <c r="A676" s="3"/>
      <c r="E676" s="40"/>
      <c r="F676" s="40"/>
      <c r="W676" s="3"/>
    </row>
    <row r="677" spans="1:23" x14ac:dyDescent="0.35">
      <c r="A677" s="3"/>
      <c r="E677" s="40"/>
      <c r="F677" s="40"/>
      <c r="W677" s="3"/>
    </row>
    <row r="678" spans="1:23" x14ac:dyDescent="0.35">
      <c r="A678" s="3"/>
      <c r="E678" s="40"/>
      <c r="F678" s="40"/>
      <c r="W678" s="3"/>
    </row>
    <row r="679" spans="1:23" x14ac:dyDescent="0.35">
      <c r="A679" s="3"/>
      <c r="E679" s="40"/>
      <c r="F679" s="40"/>
      <c r="W679" s="3"/>
    </row>
    <row r="680" spans="1:23" x14ac:dyDescent="0.35">
      <c r="A680" s="3"/>
      <c r="E680" s="40"/>
      <c r="F680" s="40"/>
      <c r="W680" s="3"/>
    </row>
    <row r="681" spans="1:23" x14ac:dyDescent="0.35">
      <c r="A681" s="3"/>
      <c r="E681" s="40"/>
      <c r="F681" s="40"/>
      <c r="W681" s="3"/>
    </row>
    <row r="682" spans="1:23" x14ac:dyDescent="0.35">
      <c r="A682" s="3"/>
      <c r="E682" s="40"/>
      <c r="F682" s="40"/>
      <c r="W682" s="3"/>
    </row>
    <row r="683" spans="1:23" x14ac:dyDescent="0.35">
      <c r="A683" s="3"/>
      <c r="E683" s="40"/>
      <c r="F683" s="40"/>
      <c r="W683" s="3"/>
    </row>
    <row r="684" spans="1:23" x14ac:dyDescent="0.35">
      <c r="A684" s="3"/>
      <c r="E684" s="40"/>
      <c r="F684" s="40"/>
      <c r="W684" s="3"/>
    </row>
    <row r="685" spans="1:23" x14ac:dyDescent="0.35">
      <c r="A685" s="3"/>
      <c r="E685" s="40"/>
      <c r="F685" s="40"/>
      <c r="W685" s="3"/>
    </row>
    <row r="686" spans="1:23" x14ac:dyDescent="0.35">
      <c r="A686" s="3"/>
      <c r="E686" s="40"/>
      <c r="F686" s="40"/>
      <c r="W686" s="3"/>
    </row>
    <row r="687" spans="1:23" x14ac:dyDescent="0.35">
      <c r="A687" s="3"/>
      <c r="E687" s="40"/>
      <c r="F687" s="40"/>
      <c r="W687" s="3"/>
    </row>
    <row r="688" spans="1:23" x14ac:dyDescent="0.35">
      <c r="A688" s="3"/>
      <c r="E688" s="40"/>
      <c r="F688" s="40"/>
      <c r="W688" s="3"/>
    </row>
    <row r="689" spans="1:23" x14ac:dyDescent="0.35">
      <c r="A689" s="3"/>
      <c r="E689" s="40"/>
      <c r="F689" s="40"/>
      <c r="W689" s="3"/>
    </row>
    <row r="690" spans="1:23" x14ac:dyDescent="0.35">
      <c r="A690" s="3"/>
      <c r="E690" s="40"/>
      <c r="F690" s="40"/>
      <c r="W690" s="3"/>
    </row>
    <row r="691" spans="1:23" x14ac:dyDescent="0.35">
      <c r="A691" s="3"/>
      <c r="E691" s="40"/>
      <c r="F691" s="40"/>
      <c r="W691" s="3"/>
    </row>
    <row r="692" spans="1:23" x14ac:dyDescent="0.35">
      <c r="A692" s="3"/>
      <c r="E692" s="40"/>
      <c r="F692" s="40"/>
      <c r="W692" s="3"/>
    </row>
    <row r="693" spans="1:23" x14ac:dyDescent="0.35">
      <c r="A693" s="3"/>
      <c r="E693" s="40"/>
      <c r="F693" s="40"/>
      <c r="W693" s="3"/>
    </row>
    <row r="694" spans="1:23" x14ac:dyDescent="0.35">
      <c r="A694" s="3"/>
      <c r="E694" s="40"/>
      <c r="F694" s="40"/>
      <c r="W694" s="3"/>
    </row>
    <row r="695" spans="1:23" x14ac:dyDescent="0.35">
      <c r="A695" s="3"/>
      <c r="E695" s="40"/>
      <c r="F695" s="40"/>
      <c r="W695" s="3"/>
    </row>
    <row r="696" spans="1:23" x14ac:dyDescent="0.35">
      <c r="A696" s="3"/>
      <c r="E696" s="40"/>
      <c r="F696" s="40"/>
      <c r="W696" s="3"/>
    </row>
    <row r="697" spans="1:23" x14ac:dyDescent="0.35">
      <c r="A697" s="3"/>
      <c r="E697" s="40"/>
      <c r="F697" s="40"/>
      <c r="W697" s="3"/>
    </row>
    <row r="698" spans="1:23" x14ac:dyDescent="0.35">
      <c r="A698" s="3"/>
      <c r="E698" s="40"/>
      <c r="F698" s="40"/>
      <c r="W698" s="3"/>
    </row>
    <row r="699" spans="1:23" x14ac:dyDescent="0.35">
      <c r="A699" s="3"/>
      <c r="E699" s="40"/>
      <c r="F699" s="40"/>
      <c r="W699" s="3"/>
    </row>
    <row r="700" spans="1:23" x14ac:dyDescent="0.35">
      <c r="A700" s="3"/>
      <c r="E700" s="40"/>
      <c r="F700" s="40"/>
      <c r="W700" s="3"/>
    </row>
    <row r="701" spans="1:23" x14ac:dyDescent="0.35">
      <c r="A701" s="3"/>
      <c r="E701" s="40"/>
      <c r="F701" s="40"/>
      <c r="W701" s="3"/>
    </row>
    <row r="702" spans="1:23" x14ac:dyDescent="0.35">
      <c r="A702" s="3"/>
      <c r="E702" s="40"/>
      <c r="F702" s="40"/>
      <c r="W702" s="3"/>
    </row>
    <row r="703" spans="1:23" x14ac:dyDescent="0.35">
      <c r="A703" s="3"/>
      <c r="E703" s="40"/>
      <c r="F703" s="40"/>
      <c r="W703" s="3"/>
    </row>
    <row r="704" spans="1:23" x14ac:dyDescent="0.35">
      <c r="A704" s="3"/>
      <c r="E704" s="40"/>
      <c r="F704" s="40"/>
      <c r="W704" s="3"/>
    </row>
    <row r="705" spans="1:23" x14ac:dyDescent="0.35">
      <c r="A705" s="3"/>
      <c r="E705" s="40"/>
      <c r="F705" s="40"/>
      <c r="W705" s="3"/>
    </row>
    <row r="706" spans="1:23" x14ac:dyDescent="0.35">
      <c r="A706" s="3"/>
      <c r="E706" s="40"/>
      <c r="F706" s="40"/>
      <c r="W706" s="3"/>
    </row>
    <row r="707" spans="1:23" x14ac:dyDescent="0.35">
      <c r="A707" s="3"/>
      <c r="E707" s="40"/>
      <c r="F707" s="40"/>
      <c r="W707" s="3"/>
    </row>
    <row r="708" spans="1:23" x14ac:dyDescent="0.35">
      <c r="A708" s="3"/>
      <c r="E708" s="40"/>
      <c r="F708" s="40"/>
      <c r="W708" s="3"/>
    </row>
    <row r="709" spans="1:23" x14ac:dyDescent="0.35">
      <c r="A709" s="3"/>
      <c r="E709" s="40"/>
      <c r="F709" s="40"/>
      <c r="W709" s="3"/>
    </row>
    <row r="710" spans="1:23" x14ac:dyDescent="0.35">
      <c r="A710" s="3"/>
      <c r="E710" s="40"/>
      <c r="F710" s="40"/>
      <c r="W710" s="3"/>
    </row>
    <row r="711" spans="1:23" x14ac:dyDescent="0.35">
      <c r="A711" s="3"/>
      <c r="E711" s="40"/>
      <c r="F711" s="40"/>
      <c r="W711" s="3"/>
    </row>
    <row r="712" spans="1:23" x14ac:dyDescent="0.35">
      <c r="A712" s="3"/>
      <c r="E712" s="40"/>
      <c r="F712" s="40"/>
      <c r="W712" s="3"/>
    </row>
    <row r="713" spans="1:23" x14ac:dyDescent="0.35">
      <c r="A713" s="3"/>
      <c r="E713" s="40"/>
      <c r="F713" s="40"/>
      <c r="W713" s="3"/>
    </row>
    <row r="714" spans="1:23" x14ac:dyDescent="0.35">
      <c r="A714" s="3"/>
      <c r="E714" s="40"/>
      <c r="F714" s="40"/>
      <c r="W714" s="3"/>
    </row>
    <row r="715" spans="1:23" x14ac:dyDescent="0.35">
      <c r="A715" s="3"/>
      <c r="E715" s="40"/>
      <c r="F715" s="40"/>
      <c r="W715" s="3"/>
    </row>
    <row r="716" spans="1:23" x14ac:dyDescent="0.35">
      <c r="A716" s="3"/>
      <c r="E716" s="40"/>
      <c r="F716" s="40"/>
      <c r="W716" s="3"/>
    </row>
    <row r="717" spans="1:23" x14ac:dyDescent="0.35">
      <c r="A717" s="3"/>
      <c r="E717" s="40"/>
      <c r="F717" s="40"/>
      <c r="W717" s="3"/>
    </row>
    <row r="718" spans="1:23" x14ac:dyDescent="0.35">
      <c r="A718" s="3"/>
      <c r="E718" s="40"/>
      <c r="F718" s="40"/>
      <c r="W718" s="3"/>
    </row>
    <row r="719" spans="1:23" x14ac:dyDescent="0.35">
      <c r="A719" s="3"/>
      <c r="E719" s="40"/>
      <c r="F719" s="40"/>
      <c r="W719" s="3"/>
    </row>
    <row r="720" spans="1:23" x14ac:dyDescent="0.35">
      <c r="A720" s="3"/>
      <c r="E720" s="40"/>
      <c r="F720" s="40"/>
      <c r="W720" s="3"/>
    </row>
    <row r="721" spans="1:23" x14ac:dyDescent="0.35">
      <c r="A721" s="3"/>
      <c r="E721" s="40"/>
      <c r="F721" s="40"/>
      <c r="W721" s="3"/>
    </row>
    <row r="722" spans="1:23" x14ac:dyDescent="0.35">
      <c r="A722" s="3"/>
      <c r="E722" s="40"/>
      <c r="F722" s="40"/>
      <c r="W722" s="3"/>
    </row>
    <row r="723" spans="1:23" x14ac:dyDescent="0.35">
      <c r="A723" s="3"/>
      <c r="E723" s="40"/>
      <c r="F723" s="40"/>
      <c r="W723" s="3"/>
    </row>
    <row r="724" spans="1:23" x14ac:dyDescent="0.35">
      <c r="A724" s="3"/>
      <c r="E724" s="40"/>
      <c r="F724" s="40"/>
      <c r="W724" s="3"/>
    </row>
    <row r="725" spans="1:23" x14ac:dyDescent="0.35">
      <c r="A725" s="3"/>
      <c r="E725" s="40"/>
      <c r="F725" s="40"/>
      <c r="W725" s="3"/>
    </row>
    <row r="726" spans="1:23" x14ac:dyDescent="0.35">
      <c r="A726" s="3"/>
      <c r="E726" s="40"/>
      <c r="F726" s="40"/>
      <c r="W726" s="3"/>
    </row>
    <row r="727" spans="1:23" x14ac:dyDescent="0.35">
      <c r="A727" s="3"/>
      <c r="E727" s="40"/>
      <c r="F727" s="40"/>
      <c r="W727" s="3"/>
    </row>
    <row r="728" spans="1:23" x14ac:dyDescent="0.35">
      <c r="A728" s="3"/>
      <c r="E728" s="40"/>
      <c r="F728" s="40"/>
      <c r="W728" s="3"/>
    </row>
    <row r="729" spans="1:23" x14ac:dyDescent="0.35">
      <c r="A729" s="3"/>
      <c r="E729" s="40"/>
      <c r="F729" s="40"/>
      <c r="W729" s="3"/>
    </row>
    <row r="730" spans="1:23" x14ac:dyDescent="0.35">
      <c r="A730" s="3"/>
      <c r="E730" s="40"/>
      <c r="F730" s="40"/>
      <c r="W730" s="3"/>
    </row>
    <row r="731" spans="1:23" x14ac:dyDescent="0.35">
      <c r="A731" s="3"/>
      <c r="E731" s="40"/>
      <c r="F731" s="40"/>
      <c r="W731" s="3"/>
    </row>
    <row r="732" spans="1:23" x14ac:dyDescent="0.35">
      <c r="A732" s="3"/>
      <c r="E732" s="40"/>
      <c r="F732" s="40"/>
      <c r="W732" s="3"/>
    </row>
    <row r="733" spans="1:23" x14ac:dyDescent="0.35">
      <c r="A733" s="3"/>
      <c r="E733" s="40"/>
      <c r="F733" s="40"/>
      <c r="W733" s="3"/>
    </row>
    <row r="734" spans="1:23" x14ac:dyDescent="0.35">
      <c r="A734" s="3"/>
      <c r="E734" s="40"/>
      <c r="F734" s="40"/>
      <c r="W734" s="3"/>
    </row>
    <row r="735" spans="1:23" x14ac:dyDescent="0.35">
      <c r="A735" s="3"/>
      <c r="E735" s="40"/>
      <c r="F735" s="40"/>
      <c r="W735" s="3"/>
    </row>
    <row r="736" spans="1:23" x14ac:dyDescent="0.35">
      <c r="A736" s="3"/>
      <c r="E736" s="40"/>
      <c r="F736" s="40"/>
      <c r="W736" s="3"/>
    </row>
    <row r="737" spans="1:23" x14ac:dyDescent="0.35">
      <c r="A737" s="3"/>
      <c r="E737" s="40"/>
      <c r="F737" s="40"/>
      <c r="W737" s="3"/>
    </row>
    <row r="738" spans="1:23" x14ac:dyDescent="0.35">
      <c r="A738" s="3"/>
      <c r="E738" s="40"/>
      <c r="F738" s="40"/>
      <c r="W738" s="3"/>
    </row>
    <row r="739" spans="1:23" x14ac:dyDescent="0.35">
      <c r="A739" s="3"/>
      <c r="E739" s="40"/>
      <c r="F739" s="40"/>
      <c r="W739" s="3"/>
    </row>
    <row r="740" spans="1:23" x14ac:dyDescent="0.35">
      <c r="A740" s="3"/>
      <c r="E740" s="40"/>
      <c r="F740" s="40"/>
      <c r="W740" s="3"/>
    </row>
    <row r="741" spans="1:23" x14ac:dyDescent="0.35">
      <c r="A741" s="3"/>
      <c r="E741" s="40"/>
      <c r="F741" s="40"/>
      <c r="W741" s="3"/>
    </row>
    <row r="742" spans="1:23" x14ac:dyDescent="0.35">
      <c r="A742" s="3"/>
      <c r="E742" s="40"/>
      <c r="F742" s="40"/>
      <c r="W742" s="3"/>
    </row>
    <row r="743" spans="1:23" x14ac:dyDescent="0.35">
      <c r="A743" s="3"/>
      <c r="E743" s="40"/>
      <c r="F743" s="40"/>
      <c r="W743" s="3"/>
    </row>
    <row r="744" spans="1:23" x14ac:dyDescent="0.35">
      <c r="A744" s="3"/>
      <c r="E744" s="40"/>
      <c r="F744" s="40"/>
      <c r="W744" s="3"/>
    </row>
    <row r="745" spans="1:23" x14ac:dyDescent="0.35">
      <c r="A745" s="3"/>
      <c r="E745" s="40"/>
      <c r="F745" s="40"/>
      <c r="W745" s="3"/>
    </row>
    <row r="746" spans="1:23" x14ac:dyDescent="0.35">
      <c r="A746" s="3"/>
      <c r="E746" s="40"/>
      <c r="F746" s="40"/>
      <c r="W746" s="3"/>
    </row>
    <row r="747" spans="1:23" x14ac:dyDescent="0.35">
      <c r="A747" s="3"/>
      <c r="E747" s="40"/>
      <c r="F747" s="40"/>
      <c r="W747" s="3"/>
    </row>
    <row r="748" spans="1:23" x14ac:dyDescent="0.35">
      <c r="A748" s="3"/>
      <c r="E748" s="40"/>
      <c r="F748" s="40"/>
      <c r="W748" s="3"/>
    </row>
    <row r="749" spans="1:23" x14ac:dyDescent="0.35">
      <c r="A749" s="3"/>
      <c r="E749" s="40"/>
      <c r="F749" s="40"/>
      <c r="W749" s="3"/>
    </row>
    <row r="750" spans="1:23" x14ac:dyDescent="0.35">
      <c r="A750" s="3"/>
      <c r="E750" s="40"/>
      <c r="F750" s="40"/>
      <c r="W750" s="3"/>
    </row>
    <row r="751" spans="1:23" x14ac:dyDescent="0.35">
      <c r="A751" s="3"/>
      <c r="E751" s="40"/>
      <c r="F751" s="40"/>
      <c r="W751" s="3"/>
    </row>
    <row r="752" spans="1:23" x14ac:dyDescent="0.35">
      <c r="A752" s="3"/>
      <c r="E752" s="40"/>
      <c r="F752" s="40"/>
      <c r="W752" s="3"/>
    </row>
    <row r="753" spans="1:23" x14ac:dyDescent="0.35">
      <c r="A753" s="3"/>
      <c r="E753" s="40"/>
      <c r="F753" s="40"/>
      <c r="W753" s="3"/>
    </row>
    <row r="754" spans="1:23" x14ac:dyDescent="0.35">
      <c r="A754" s="3"/>
      <c r="E754" s="40"/>
      <c r="F754" s="40"/>
      <c r="W754" s="3"/>
    </row>
    <row r="755" spans="1:23" x14ac:dyDescent="0.35">
      <c r="A755" s="3"/>
      <c r="E755" s="40"/>
      <c r="F755" s="40"/>
      <c r="W755" s="3"/>
    </row>
    <row r="756" spans="1:23" x14ac:dyDescent="0.35">
      <c r="A756" s="3"/>
      <c r="E756" s="40"/>
      <c r="F756" s="40"/>
      <c r="W756" s="3"/>
    </row>
    <row r="757" spans="1:23" x14ac:dyDescent="0.35">
      <c r="A757" s="3"/>
      <c r="E757" s="40"/>
      <c r="F757" s="40"/>
      <c r="W757" s="3"/>
    </row>
    <row r="758" spans="1:23" x14ac:dyDescent="0.35">
      <c r="A758" s="3"/>
      <c r="E758" s="40"/>
      <c r="F758" s="40"/>
      <c r="W758" s="3"/>
    </row>
    <row r="759" spans="1:23" x14ac:dyDescent="0.35">
      <c r="A759" s="3"/>
      <c r="E759" s="40"/>
      <c r="F759" s="40"/>
      <c r="W759" s="3"/>
    </row>
    <row r="760" spans="1:23" x14ac:dyDescent="0.35">
      <c r="A760" s="3"/>
      <c r="E760" s="40"/>
      <c r="F760" s="40"/>
      <c r="W760" s="3"/>
    </row>
    <row r="761" spans="1:23" x14ac:dyDescent="0.35">
      <c r="A761" s="3"/>
      <c r="E761" s="40"/>
      <c r="F761" s="40"/>
      <c r="W761" s="3"/>
    </row>
    <row r="762" spans="1:23" x14ac:dyDescent="0.35">
      <c r="A762" s="3"/>
      <c r="E762" s="40"/>
      <c r="F762" s="40"/>
      <c r="W762" s="3"/>
    </row>
    <row r="763" spans="1:23" x14ac:dyDescent="0.35">
      <c r="A763" s="3"/>
      <c r="E763" s="40"/>
      <c r="F763" s="40"/>
      <c r="W763" s="3"/>
    </row>
    <row r="764" spans="1:23" x14ac:dyDescent="0.35">
      <c r="A764" s="3"/>
      <c r="E764" s="40"/>
      <c r="F764" s="40"/>
      <c r="W764" s="3"/>
    </row>
    <row r="765" spans="1:23" x14ac:dyDescent="0.35">
      <c r="A765" s="3"/>
      <c r="E765" s="40"/>
      <c r="F765" s="40"/>
      <c r="W765" s="3"/>
    </row>
    <row r="766" spans="1:23" x14ac:dyDescent="0.35">
      <c r="A766" s="3"/>
      <c r="E766" s="40"/>
      <c r="F766" s="40"/>
      <c r="W766" s="3"/>
    </row>
    <row r="767" spans="1:23" x14ac:dyDescent="0.35">
      <c r="A767" s="3"/>
      <c r="E767" s="40"/>
      <c r="F767" s="40"/>
      <c r="W767" s="3"/>
    </row>
    <row r="768" spans="1:23" x14ac:dyDescent="0.35">
      <c r="A768" s="3"/>
      <c r="E768" s="40"/>
      <c r="F768" s="40"/>
      <c r="W768" s="3"/>
    </row>
    <row r="769" spans="1:23" x14ac:dyDescent="0.35">
      <c r="A769" s="3"/>
      <c r="E769" s="40"/>
      <c r="F769" s="40"/>
      <c r="W769" s="3"/>
    </row>
    <row r="770" spans="1:23" x14ac:dyDescent="0.35">
      <c r="A770" s="3"/>
      <c r="E770" s="40"/>
      <c r="F770" s="40"/>
      <c r="W770" s="3"/>
    </row>
    <row r="771" spans="1:23" x14ac:dyDescent="0.35">
      <c r="A771" s="3"/>
      <c r="E771" s="40"/>
      <c r="F771" s="40"/>
      <c r="W771" s="3"/>
    </row>
    <row r="772" spans="1:23" x14ac:dyDescent="0.35">
      <c r="A772" s="3"/>
      <c r="E772" s="40"/>
      <c r="F772" s="40"/>
      <c r="W772" s="3"/>
    </row>
    <row r="773" spans="1:23" x14ac:dyDescent="0.35">
      <c r="A773" s="3"/>
      <c r="E773" s="40"/>
      <c r="F773" s="40"/>
      <c r="W773" s="3"/>
    </row>
    <row r="774" spans="1:23" x14ac:dyDescent="0.35">
      <c r="A774" s="3"/>
      <c r="E774" s="40"/>
      <c r="F774" s="40"/>
      <c r="W774" s="3"/>
    </row>
    <row r="775" spans="1:23" x14ac:dyDescent="0.35">
      <c r="A775" s="3"/>
      <c r="E775" s="40"/>
      <c r="F775" s="40"/>
      <c r="W775" s="3"/>
    </row>
    <row r="776" spans="1:23" x14ac:dyDescent="0.35">
      <c r="A776" s="3"/>
      <c r="E776" s="40"/>
      <c r="F776" s="40"/>
      <c r="W776" s="3"/>
    </row>
    <row r="777" spans="1:23" x14ac:dyDescent="0.35">
      <c r="A777" s="3"/>
      <c r="E777" s="40"/>
      <c r="F777" s="40"/>
      <c r="W777" s="3"/>
    </row>
    <row r="778" spans="1:23" x14ac:dyDescent="0.35">
      <c r="A778" s="3"/>
      <c r="E778" s="40"/>
      <c r="F778" s="40"/>
      <c r="W778" s="3"/>
    </row>
    <row r="779" spans="1:23" x14ac:dyDescent="0.35">
      <c r="A779" s="3"/>
      <c r="E779" s="40"/>
      <c r="F779" s="40"/>
      <c r="W779" s="3"/>
    </row>
    <row r="780" spans="1:23" x14ac:dyDescent="0.35">
      <c r="A780" s="3"/>
      <c r="E780" s="40"/>
      <c r="F780" s="40"/>
      <c r="W780" s="3"/>
    </row>
    <row r="781" spans="1:23" x14ac:dyDescent="0.35">
      <c r="A781" s="3"/>
      <c r="E781" s="40"/>
      <c r="F781" s="40"/>
      <c r="W781" s="3"/>
    </row>
    <row r="782" spans="1:23" x14ac:dyDescent="0.35">
      <c r="A782" s="3"/>
      <c r="E782" s="40"/>
      <c r="F782" s="40"/>
      <c r="W782" s="3"/>
    </row>
    <row r="783" spans="1:23" x14ac:dyDescent="0.35">
      <c r="A783" s="3"/>
      <c r="E783" s="40"/>
      <c r="F783" s="40"/>
      <c r="W783" s="3"/>
    </row>
    <row r="784" spans="1:23" x14ac:dyDescent="0.35">
      <c r="A784" s="3"/>
      <c r="E784" s="40"/>
      <c r="F784" s="40"/>
      <c r="W784" s="3"/>
    </row>
    <row r="785" spans="1:23" x14ac:dyDescent="0.35">
      <c r="A785" s="3"/>
      <c r="E785" s="40"/>
      <c r="F785" s="40"/>
      <c r="W785" s="3"/>
    </row>
    <row r="786" spans="1:23" x14ac:dyDescent="0.35">
      <c r="A786" s="3"/>
      <c r="E786" s="40"/>
      <c r="F786" s="40"/>
      <c r="W786" s="3"/>
    </row>
    <row r="787" spans="1:23" x14ac:dyDescent="0.35">
      <c r="A787" s="3"/>
      <c r="E787" s="40"/>
      <c r="F787" s="40"/>
      <c r="W787" s="3"/>
    </row>
    <row r="788" spans="1:23" x14ac:dyDescent="0.35">
      <c r="A788" s="3"/>
      <c r="E788" s="40"/>
      <c r="F788" s="40"/>
      <c r="W788" s="3"/>
    </row>
    <row r="789" spans="1:23" x14ac:dyDescent="0.35">
      <c r="A789" s="3"/>
      <c r="E789" s="40"/>
      <c r="F789" s="40"/>
      <c r="W789" s="3"/>
    </row>
    <row r="790" spans="1:23" x14ac:dyDescent="0.35">
      <c r="A790" s="3"/>
      <c r="E790" s="40"/>
      <c r="F790" s="40"/>
      <c r="W790" s="3"/>
    </row>
    <row r="791" spans="1:23" x14ac:dyDescent="0.35">
      <c r="A791" s="3"/>
      <c r="E791" s="40"/>
      <c r="F791" s="40"/>
      <c r="W791" s="3"/>
    </row>
    <row r="792" spans="1:23" x14ac:dyDescent="0.35">
      <c r="A792" s="3"/>
      <c r="E792" s="40"/>
      <c r="F792" s="40"/>
      <c r="W792" s="3"/>
    </row>
    <row r="793" spans="1:23" x14ac:dyDescent="0.35">
      <c r="A793" s="3"/>
      <c r="E793" s="40"/>
      <c r="F793" s="40"/>
      <c r="W793" s="3"/>
    </row>
    <row r="794" spans="1:23" x14ac:dyDescent="0.35">
      <c r="A794" s="3"/>
      <c r="E794" s="40"/>
      <c r="F794" s="40"/>
      <c r="W794" s="3"/>
    </row>
    <row r="795" spans="1:23" x14ac:dyDescent="0.35">
      <c r="A795" s="3"/>
      <c r="E795" s="40"/>
      <c r="F795" s="40"/>
      <c r="W795" s="3"/>
    </row>
    <row r="796" spans="1:23" x14ac:dyDescent="0.35">
      <c r="A796" s="3"/>
      <c r="E796" s="40"/>
      <c r="F796" s="40"/>
      <c r="W796" s="3"/>
    </row>
    <row r="797" spans="1:23" x14ac:dyDescent="0.35">
      <c r="A797" s="3"/>
      <c r="E797" s="40"/>
      <c r="F797" s="40"/>
      <c r="W797" s="3"/>
    </row>
    <row r="798" spans="1:23" x14ac:dyDescent="0.35">
      <c r="A798" s="3"/>
      <c r="E798" s="40"/>
      <c r="F798" s="40"/>
      <c r="W798" s="3"/>
    </row>
    <row r="799" spans="1:23" x14ac:dyDescent="0.35">
      <c r="A799" s="3"/>
      <c r="E799" s="40"/>
      <c r="F799" s="40"/>
      <c r="W799" s="3"/>
    </row>
    <row r="800" spans="1:23" x14ac:dyDescent="0.35">
      <c r="A800" s="3"/>
      <c r="E800" s="40"/>
      <c r="F800" s="40"/>
      <c r="W800" s="3"/>
    </row>
    <row r="801" spans="1:23" x14ac:dyDescent="0.35">
      <c r="A801" s="3"/>
      <c r="E801" s="40"/>
      <c r="F801" s="40"/>
      <c r="W801" s="3"/>
    </row>
    <row r="802" spans="1:23" x14ac:dyDescent="0.35">
      <c r="A802" s="3"/>
      <c r="E802" s="40"/>
      <c r="F802" s="40"/>
      <c r="W802" s="3"/>
    </row>
    <row r="803" spans="1:23" x14ac:dyDescent="0.35">
      <c r="A803" s="3"/>
      <c r="E803" s="40"/>
      <c r="F803" s="40"/>
      <c r="W803" s="3"/>
    </row>
    <row r="804" spans="1:23" x14ac:dyDescent="0.35">
      <c r="A804" s="3"/>
      <c r="E804" s="40"/>
      <c r="F804" s="40"/>
      <c r="W804" s="3"/>
    </row>
    <row r="805" spans="1:23" x14ac:dyDescent="0.35">
      <c r="A805" s="3"/>
      <c r="E805" s="40"/>
      <c r="F805" s="40"/>
      <c r="W805" s="3"/>
    </row>
    <row r="806" spans="1:23" x14ac:dyDescent="0.35">
      <c r="A806" s="3"/>
      <c r="E806" s="40"/>
      <c r="F806" s="40"/>
      <c r="W806" s="3"/>
    </row>
    <row r="807" spans="1:23" x14ac:dyDescent="0.35">
      <c r="A807" s="3"/>
      <c r="E807" s="40"/>
      <c r="F807" s="40"/>
      <c r="W807" s="3"/>
    </row>
    <row r="808" spans="1:23" x14ac:dyDescent="0.35">
      <c r="A808" s="3"/>
      <c r="E808" s="40"/>
      <c r="F808" s="40"/>
      <c r="W808" s="3"/>
    </row>
    <row r="809" spans="1:23" x14ac:dyDescent="0.35">
      <c r="A809" s="3"/>
      <c r="E809" s="40"/>
      <c r="F809" s="40"/>
      <c r="W809" s="3"/>
    </row>
    <row r="810" spans="1:23" x14ac:dyDescent="0.35">
      <c r="A810" s="3"/>
      <c r="E810" s="40"/>
      <c r="F810" s="40"/>
      <c r="W810" s="3"/>
    </row>
    <row r="811" spans="1:23" x14ac:dyDescent="0.35">
      <c r="A811" s="3"/>
      <c r="E811" s="40"/>
      <c r="F811" s="40"/>
      <c r="W811" s="3"/>
    </row>
    <row r="812" spans="1:23" x14ac:dyDescent="0.35">
      <c r="A812" s="3"/>
      <c r="E812" s="40"/>
      <c r="F812" s="40"/>
      <c r="W812" s="3"/>
    </row>
    <row r="813" spans="1:23" x14ac:dyDescent="0.35">
      <c r="A813" s="3"/>
      <c r="E813" s="40"/>
      <c r="F813" s="40"/>
      <c r="W813" s="3"/>
    </row>
    <row r="814" spans="1:23" x14ac:dyDescent="0.35">
      <c r="A814" s="3"/>
      <c r="E814" s="40"/>
      <c r="F814" s="40"/>
      <c r="W814" s="3"/>
    </row>
    <row r="815" spans="1:23" x14ac:dyDescent="0.35">
      <c r="A815" s="3"/>
      <c r="E815" s="40"/>
      <c r="F815" s="40"/>
      <c r="W815" s="3"/>
    </row>
    <row r="816" spans="1:23" x14ac:dyDescent="0.35">
      <c r="A816" s="3"/>
      <c r="E816" s="40"/>
      <c r="F816" s="40"/>
      <c r="W816" s="3"/>
    </row>
    <row r="817" spans="1:23" x14ac:dyDescent="0.35">
      <c r="A817" s="3"/>
      <c r="E817" s="40"/>
      <c r="F817" s="40"/>
      <c r="W817" s="3"/>
    </row>
    <row r="818" spans="1:23" x14ac:dyDescent="0.35">
      <c r="A818" s="3"/>
      <c r="E818" s="40"/>
      <c r="F818" s="40"/>
      <c r="W818" s="3"/>
    </row>
    <row r="819" spans="1:23" x14ac:dyDescent="0.35">
      <c r="A819" s="3"/>
      <c r="E819" s="40"/>
      <c r="F819" s="40"/>
      <c r="W819" s="3"/>
    </row>
    <row r="820" spans="1:23" x14ac:dyDescent="0.35">
      <c r="A820" s="3"/>
      <c r="E820" s="40"/>
      <c r="F820" s="40"/>
      <c r="W820" s="3"/>
    </row>
    <row r="821" spans="1:23" x14ac:dyDescent="0.35">
      <c r="A821" s="3"/>
      <c r="E821" s="40"/>
      <c r="F821" s="40"/>
      <c r="W821" s="3"/>
    </row>
    <row r="822" spans="1:23" x14ac:dyDescent="0.35">
      <c r="A822" s="3"/>
      <c r="E822" s="40"/>
      <c r="F822" s="40"/>
      <c r="W822" s="3"/>
    </row>
    <row r="823" spans="1:23" x14ac:dyDescent="0.35">
      <c r="A823" s="3"/>
      <c r="E823" s="40"/>
      <c r="F823" s="40"/>
      <c r="W823" s="3"/>
    </row>
    <row r="824" spans="1:23" x14ac:dyDescent="0.35">
      <c r="A824" s="3"/>
      <c r="E824" s="40"/>
      <c r="F824" s="40"/>
      <c r="W824" s="3"/>
    </row>
    <row r="825" spans="1:23" x14ac:dyDescent="0.35">
      <c r="A825" s="3"/>
      <c r="E825" s="40"/>
      <c r="F825" s="40"/>
      <c r="W825" s="3"/>
    </row>
    <row r="826" spans="1:23" x14ac:dyDescent="0.35">
      <c r="A826" s="3"/>
      <c r="E826" s="40"/>
      <c r="F826" s="40"/>
      <c r="W826" s="3"/>
    </row>
    <row r="827" spans="1:23" x14ac:dyDescent="0.35">
      <c r="A827" s="3"/>
      <c r="E827" s="40"/>
      <c r="F827" s="40"/>
      <c r="W827" s="3"/>
    </row>
    <row r="828" spans="1:23" x14ac:dyDescent="0.35">
      <c r="A828" s="3"/>
      <c r="E828" s="40"/>
      <c r="F828" s="40"/>
      <c r="W828" s="3"/>
    </row>
    <row r="829" spans="1:23" x14ac:dyDescent="0.35">
      <c r="A829" s="3"/>
      <c r="E829" s="40"/>
      <c r="F829" s="40"/>
      <c r="W829" s="3"/>
    </row>
    <row r="830" spans="1:23" x14ac:dyDescent="0.35">
      <c r="A830" s="3"/>
      <c r="E830" s="40"/>
      <c r="F830" s="40"/>
      <c r="W830" s="3"/>
    </row>
    <row r="831" spans="1:23" x14ac:dyDescent="0.35">
      <c r="A831" s="3"/>
      <c r="E831" s="40"/>
      <c r="F831" s="40"/>
      <c r="W831" s="3"/>
    </row>
    <row r="832" spans="1:23" x14ac:dyDescent="0.35">
      <c r="A832" s="3"/>
      <c r="E832" s="40"/>
      <c r="F832" s="40"/>
      <c r="W832" s="3"/>
    </row>
    <row r="833" spans="1:23" x14ac:dyDescent="0.35">
      <c r="A833" s="3"/>
      <c r="E833" s="40"/>
      <c r="F833" s="40"/>
      <c r="W833" s="3"/>
    </row>
    <row r="834" spans="1:23" x14ac:dyDescent="0.35">
      <c r="A834" s="3"/>
      <c r="E834" s="40"/>
      <c r="F834" s="40"/>
      <c r="W834" s="3"/>
    </row>
    <row r="835" spans="1:23" x14ac:dyDescent="0.35">
      <c r="A835" s="3"/>
      <c r="E835" s="40"/>
      <c r="F835" s="40"/>
      <c r="W835" s="3"/>
    </row>
    <row r="836" spans="1:23" x14ac:dyDescent="0.35">
      <c r="A836" s="3"/>
      <c r="E836" s="40"/>
      <c r="F836" s="40"/>
      <c r="W836" s="3"/>
    </row>
    <row r="837" spans="1:23" x14ac:dyDescent="0.35">
      <c r="A837" s="3"/>
      <c r="E837" s="40"/>
      <c r="F837" s="40"/>
      <c r="W837" s="3"/>
    </row>
    <row r="838" spans="1:23" x14ac:dyDescent="0.35">
      <c r="A838" s="3"/>
      <c r="E838" s="40"/>
      <c r="F838" s="40"/>
      <c r="W838" s="3"/>
    </row>
    <row r="839" spans="1:23" x14ac:dyDescent="0.35">
      <c r="A839" s="3"/>
      <c r="E839" s="40"/>
      <c r="F839" s="40"/>
      <c r="W839" s="3"/>
    </row>
    <row r="840" spans="1:23" x14ac:dyDescent="0.35">
      <c r="A840" s="3"/>
      <c r="E840" s="40"/>
      <c r="F840" s="40"/>
      <c r="W840" s="3"/>
    </row>
    <row r="841" spans="1:23" x14ac:dyDescent="0.35">
      <c r="A841" s="3"/>
      <c r="E841" s="40"/>
      <c r="F841" s="40"/>
      <c r="W841" s="3"/>
    </row>
    <row r="842" spans="1:23" x14ac:dyDescent="0.35">
      <c r="A842" s="3"/>
      <c r="E842" s="40"/>
      <c r="F842" s="40"/>
      <c r="W842" s="3"/>
    </row>
    <row r="843" spans="1:23" x14ac:dyDescent="0.35">
      <c r="A843" s="3"/>
      <c r="E843" s="40"/>
      <c r="F843" s="40"/>
      <c r="W843" s="3"/>
    </row>
    <row r="844" spans="1:23" x14ac:dyDescent="0.35">
      <c r="A844" s="3"/>
      <c r="E844" s="40"/>
      <c r="F844" s="40"/>
      <c r="W844" s="3"/>
    </row>
    <row r="845" spans="1:23" x14ac:dyDescent="0.35">
      <c r="A845" s="3"/>
      <c r="E845" s="40"/>
      <c r="F845" s="40"/>
      <c r="W845" s="3"/>
    </row>
    <row r="846" spans="1:23" x14ac:dyDescent="0.35">
      <c r="A846" s="3"/>
      <c r="E846" s="40"/>
      <c r="F846" s="40"/>
      <c r="W846" s="3"/>
    </row>
    <row r="847" spans="1:23" x14ac:dyDescent="0.35">
      <c r="A847" s="3"/>
      <c r="E847" s="40"/>
      <c r="F847" s="40"/>
      <c r="W847" s="3"/>
    </row>
    <row r="848" spans="1:23" x14ac:dyDescent="0.35">
      <c r="A848" s="3"/>
      <c r="E848" s="40"/>
      <c r="F848" s="40"/>
      <c r="W848" s="3"/>
    </row>
    <row r="849" spans="1:23" x14ac:dyDescent="0.35">
      <c r="A849" s="3"/>
      <c r="E849" s="40"/>
      <c r="F849" s="40"/>
      <c r="W849" s="3"/>
    </row>
    <row r="850" spans="1:23" x14ac:dyDescent="0.35">
      <c r="A850" s="3"/>
      <c r="E850" s="40"/>
      <c r="F850" s="40"/>
      <c r="W850" s="3"/>
    </row>
    <row r="851" spans="1:23" x14ac:dyDescent="0.35">
      <c r="A851" s="3"/>
      <c r="E851" s="40"/>
      <c r="F851" s="40"/>
      <c r="W851" s="3"/>
    </row>
    <row r="852" spans="1:23" x14ac:dyDescent="0.35">
      <c r="A852" s="3"/>
      <c r="E852" s="40"/>
      <c r="F852" s="40"/>
      <c r="W852" s="3"/>
    </row>
    <row r="853" spans="1:23" x14ac:dyDescent="0.35">
      <c r="A853" s="3"/>
      <c r="E853" s="40"/>
      <c r="F853" s="40"/>
      <c r="W853" s="3"/>
    </row>
    <row r="854" spans="1:23" x14ac:dyDescent="0.35">
      <c r="A854" s="3"/>
      <c r="E854" s="40"/>
      <c r="F854" s="40"/>
      <c r="W854" s="3"/>
    </row>
    <row r="855" spans="1:23" x14ac:dyDescent="0.35">
      <c r="A855" s="3"/>
      <c r="E855" s="40"/>
      <c r="F855" s="40"/>
      <c r="W855" s="3"/>
    </row>
    <row r="856" spans="1:23" x14ac:dyDescent="0.35">
      <c r="A856" s="3"/>
      <c r="E856" s="40"/>
      <c r="F856" s="40"/>
      <c r="W856" s="3"/>
    </row>
    <row r="857" spans="1:23" x14ac:dyDescent="0.35">
      <c r="A857" s="3"/>
      <c r="E857" s="40"/>
      <c r="F857" s="40"/>
      <c r="W857" s="3"/>
    </row>
    <row r="858" spans="1:23" x14ac:dyDescent="0.35">
      <c r="A858" s="3"/>
      <c r="E858" s="40"/>
      <c r="F858" s="40"/>
      <c r="W858" s="3"/>
    </row>
    <row r="859" spans="1:23" x14ac:dyDescent="0.35">
      <c r="A859" s="3"/>
      <c r="E859" s="40"/>
      <c r="F859" s="40"/>
      <c r="W859" s="3"/>
    </row>
    <row r="860" spans="1:23" x14ac:dyDescent="0.35">
      <c r="A860" s="3"/>
      <c r="E860" s="40"/>
      <c r="F860" s="40"/>
      <c r="W860" s="3"/>
    </row>
    <row r="861" spans="1:23" x14ac:dyDescent="0.35">
      <c r="A861" s="3"/>
      <c r="E861" s="40"/>
      <c r="F861" s="40"/>
      <c r="W861" s="3"/>
    </row>
    <row r="862" spans="1:23" x14ac:dyDescent="0.35">
      <c r="A862" s="3"/>
      <c r="E862" s="40"/>
      <c r="F862" s="40"/>
      <c r="W862" s="3"/>
    </row>
    <row r="863" spans="1:23" x14ac:dyDescent="0.35">
      <c r="A863" s="3"/>
      <c r="E863" s="40"/>
      <c r="F863" s="40"/>
      <c r="W863" s="3"/>
    </row>
    <row r="864" spans="1:23" x14ac:dyDescent="0.35">
      <c r="A864" s="3"/>
      <c r="E864" s="40"/>
      <c r="F864" s="40"/>
      <c r="W864" s="3"/>
    </row>
    <row r="865" spans="1:23" x14ac:dyDescent="0.35">
      <c r="A865" s="3"/>
      <c r="E865" s="40"/>
      <c r="F865" s="40"/>
      <c r="W865" s="3"/>
    </row>
    <row r="866" spans="1:23" x14ac:dyDescent="0.35">
      <c r="A866" s="3"/>
      <c r="E866" s="40"/>
      <c r="F866" s="40"/>
      <c r="W866" s="3"/>
    </row>
    <row r="867" spans="1:23" x14ac:dyDescent="0.35">
      <c r="A867" s="3"/>
      <c r="E867" s="40"/>
      <c r="F867" s="40"/>
      <c r="W867" s="3"/>
    </row>
    <row r="868" spans="1:23" x14ac:dyDescent="0.35">
      <c r="A868" s="3"/>
      <c r="E868" s="40"/>
      <c r="F868" s="40"/>
      <c r="W868" s="3"/>
    </row>
    <row r="869" spans="1:23" x14ac:dyDescent="0.35">
      <c r="A869" s="3"/>
      <c r="E869" s="40"/>
      <c r="F869" s="40"/>
      <c r="W869" s="3"/>
    </row>
    <row r="870" spans="1:23" x14ac:dyDescent="0.35">
      <c r="A870" s="3"/>
      <c r="E870" s="40"/>
      <c r="F870" s="40"/>
      <c r="W870" s="3"/>
    </row>
    <row r="871" spans="1:23" x14ac:dyDescent="0.35">
      <c r="A871" s="3"/>
      <c r="E871" s="40"/>
      <c r="F871" s="40"/>
      <c r="W871" s="3"/>
    </row>
    <row r="872" spans="1:23" x14ac:dyDescent="0.35">
      <c r="A872" s="3"/>
      <c r="E872" s="40"/>
      <c r="F872" s="40"/>
      <c r="W872" s="3"/>
    </row>
    <row r="873" spans="1:23" x14ac:dyDescent="0.35">
      <c r="A873" s="3"/>
      <c r="E873" s="40"/>
      <c r="F873" s="40"/>
      <c r="W873" s="3"/>
    </row>
    <row r="874" spans="1:23" x14ac:dyDescent="0.35">
      <c r="A874" s="3"/>
      <c r="E874" s="40"/>
      <c r="F874" s="40"/>
      <c r="W874" s="3"/>
    </row>
    <row r="875" spans="1:23" x14ac:dyDescent="0.35">
      <c r="A875" s="3"/>
      <c r="E875" s="40"/>
      <c r="F875" s="40"/>
      <c r="W875" s="3"/>
    </row>
    <row r="876" spans="1:23" x14ac:dyDescent="0.35">
      <c r="A876" s="3"/>
      <c r="E876" s="40"/>
      <c r="F876" s="40"/>
      <c r="W876" s="3"/>
    </row>
    <row r="877" spans="1:23" x14ac:dyDescent="0.35">
      <c r="A877" s="3"/>
      <c r="E877" s="40"/>
      <c r="F877" s="40"/>
      <c r="W877" s="3"/>
    </row>
    <row r="878" spans="1:23" x14ac:dyDescent="0.35">
      <c r="A878" s="3"/>
      <c r="E878" s="40"/>
      <c r="F878" s="40"/>
      <c r="W878" s="3"/>
    </row>
    <row r="879" spans="1:23" x14ac:dyDescent="0.35">
      <c r="A879" s="3"/>
      <c r="E879" s="40"/>
      <c r="F879" s="40"/>
      <c r="W879" s="3"/>
    </row>
    <row r="880" spans="1:23" x14ac:dyDescent="0.35">
      <c r="A880" s="3"/>
      <c r="E880" s="40"/>
      <c r="F880" s="40"/>
      <c r="W880" s="3"/>
    </row>
    <row r="881" spans="1:23" x14ac:dyDescent="0.35">
      <c r="A881" s="3"/>
      <c r="E881" s="40"/>
      <c r="F881" s="40"/>
      <c r="W881" s="3"/>
    </row>
    <row r="882" spans="1:23" x14ac:dyDescent="0.35">
      <c r="A882" s="3"/>
      <c r="E882" s="40"/>
      <c r="F882" s="40"/>
      <c r="W882" s="3"/>
    </row>
    <row r="883" spans="1:23" x14ac:dyDescent="0.35">
      <c r="A883" s="3"/>
      <c r="E883" s="40"/>
      <c r="F883" s="40"/>
      <c r="W883" s="3"/>
    </row>
    <row r="884" spans="1:23" x14ac:dyDescent="0.35">
      <c r="A884" s="3"/>
      <c r="E884" s="40"/>
      <c r="F884" s="40"/>
      <c r="W884" s="3"/>
    </row>
    <row r="885" spans="1:23" x14ac:dyDescent="0.35">
      <c r="A885" s="3"/>
      <c r="E885" s="40"/>
      <c r="F885" s="40"/>
      <c r="W885" s="3"/>
    </row>
    <row r="886" spans="1:23" x14ac:dyDescent="0.35">
      <c r="A886" s="3"/>
      <c r="E886" s="40"/>
      <c r="F886" s="40"/>
      <c r="W886" s="3"/>
    </row>
    <row r="887" spans="1:23" x14ac:dyDescent="0.35">
      <c r="A887" s="3"/>
      <c r="E887" s="40"/>
      <c r="F887" s="40"/>
      <c r="W887" s="3"/>
    </row>
    <row r="888" spans="1:23" x14ac:dyDescent="0.35">
      <c r="A888" s="3"/>
      <c r="E888" s="40"/>
      <c r="F888" s="40"/>
      <c r="W888" s="3"/>
    </row>
    <row r="889" spans="1:23" x14ac:dyDescent="0.35">
      <c r="A889" s="3"/>
      <c r="E889" s="40"/>
      <c r="F889" s="40"/>
      <c r="W889" s="3"/>
    </row>
    <row r="890" spans="1:23" x14ac:dyDescent="0.35">
      <c r="A890" s="3"/>
      <c r="E890" s="40"/>
      <c r="F890" s="40"/>
      <c r="W890" s="3"/>
    </row>
    <row r="891" spans="1:23" x14ac:dyDescent="0.35">
      <c r="A891" s="3"/>
      <c r="E891" s="40"/>
      <c r="F891" s="40"/>
      <c r="W891" s="3"/>
    </row>
    <row r="892" spans="1:23" x14ac:dyDescent="0.35">
      <c r="A892" s="3"/>
      <c r="E892" s="40"/>
      <c r="F892" s="40"/>
      <c r="W892" s="3"/>
    </row>
    <row r="893" spans="1:23" x14ac:dyDescent="0.35">
      <c r="A893" s="3"/>
      <c r="E893" s="40"/>
      <c r="F893" s="40"/>
      <c r="W893" s="3"/>
    </row>
    <row r="894" spans="1:23" x14ac:dyDescent="0.35">
      <c r="A894" s="3"/>
      <c r="E894" s="40"/>
      <c r="F894" s="40"/>
      <c r="W894" s="3"/>
    </row>
    <row r="895" spans="1:23" x14ac:dyDescent="0.35">
      <c r="A895" s="3"/>
      <c r="E895" s="40"/>
      <c r="F895" s="40"/>
      <c r="W895" s="3"/>
    </row>
    <row r="896" spans="1:23" x14ac:dyDescent="0.35">
      <c r="A896" s="3"/>
      <c r="E896" s="40"/>
      <c r="F896" s="40"/>
      <c r="W896" s="3"/>
    </row>
    <row r="897" spans="1:23" x14ac:dyDescent="0.35">
      <c r="A897" s="3"/>
      <c r="E897" s="40"/>
      <c r="F897" s="40"/>
      <c r="W897" s="3"/>
    </row>
    <row r="898" spans="1:23" x14ac:dyDescent="0.35">
      <c r="A898" s="3"/>
      <c r="E898" s="40"/>
      <c r="F898" s="40"/>
      <c r="W898" s="3"/>
    </row>
    <row r="899" spans="1:23" x14ac:dyDescent="0.35">
      <c r="A899" s="3"/>
      <c r="E899" s="40"/>
      <c r="F899" s="40"/>
      <c r="W899" s="3"/>
    </row>
    <row r="900" spans="1:23" x14ac:dyDescent="0.35">
      <c r="A900" s="3"/>
      <c r="E900" s="40"/>
      <c r="F900" s="40"/>
      <c r="W900" s="3"/>
    </row>
    <row r="901" spans="1:23" x14ac:dyDescent="0.35">
      <c r="A901" s="3"/>
      <c r="E901" s="40"/>
      <c r="F901" s="40"/>
      <c r="W901" s="3"/>
    </row>
    <row r="902" spans="1:23" x14ac:dyDescent="0.35">
      <c r="A902" s="3"/>
      <c r="E902" s="40"/>
      <c r="F902" s="40"/>
      <c r="W902" s="3"/>
    </row>
    <row r="903" spans="1:23" x14ac:dyDescent="0.35">
      <c r="A903" s="3"/>
      <c r="E903" s="40"/>
      <c r="F903" s="40"/>
      <c r="W903" s="3"/>
    </row>
    <row r="904" spans="1:23" x14ac:dyDescent="0.35">
      <c r="A904" s="3"/>
      <c r="E904" s="40"/>
      <c r="F904" s="40"/>
      <c r="W904" s="3"/>
    </row>
    <row r="905" spans="1:23" x14ac:dyDescent="0.35">
      <c r="A905" s="3"/>
      <c r="E905" s="40"/>
      <c r="F905" s="40"/>
      <c r="W905" s="3"/>
    </row>
    <row r="906" spans="1:23" x14ac:dyDescent="0.35">
      <c r="A906" s="3"/>
      <c r="E906" s="40"/>
      <c r="F906" s="40"/>
      <c r="W906" s="3"/>
    </row>
    <row r="907" spans="1:23" x14ac:dyDescent="0.35">
      <c r="A907" s="3"/>
      <c r="E907" s="40"/>
      <c r="F907" s="40"/>
      <c r="W907" s="3"/>
    </row>
    <row r="908" spans="1:23" x14ac:dyDescent="0.35">
      <c r="A908" s="3"/>
      <c r="E908" s="40"/>
      <c r="F908" s="40"/>
      <c r="W908" s="3"/>
    </row>
    <row r="909" spans="1:23" x14ac:dyDescent="0.35">
      <c r="A909" s="3"/>
      <c r="E909" s="40"/>
      <c r="F909" s="40"/>
      <c r="W909" s="3"/>
    </row>
    <row r="910" spans="1:23" x14ac:dyDescent="0.35">
      <c r="A910" s="3"/>
      <c r="E910" s="40"/>
      <c r="F910" s="40"/>
      <c r="W910" s="3"/>
    </row>
    <row r="911" spans="1:23" x14ac:dyDescent="0.35">
      <c r="A911" s="3"/>
      <c r="E911" s="40"/>
      <c r="F911" s="40"/>
      <c r="W911" s="3"/>
    </row>
    <row r="912" spans="1:23" x14ac:dyDescent="0.35">
      <c r="A912" s="3"/>
      <c r="E912" s="40"/>
      <c r="F912" s="40"/>
      <c r="W912" s="3"/>
    </row>
    <row r="913" spans="1:23" x14ac:dyDescent="0.35">
      <c r="A913" s="3"/>
      <c r="E913" s="40"/>
      <c r="F913" s="40"/>
      <c r="W913" s="3"/>
    </row>
    <row r="914" spans="1:23" x14ac:dyDescent="0.35">
      <c r="A914" s="3"/>
      <c r="E914" s="40"/>
      <c r="F914" s="40"/>
      <c r="W914" s="3"/>
    </row>
    <row r="915" spans="1:23" x14ac:dyDescent="0.35">
      <c r="A915" s="3"/>
      <c r="E915" s="40"/>
      <c r="F915" s="40"/>
      <c r="W915" s="3"/>
    </row>
    <row r="916" spans="1:23" x14ac:dyDescent="0.35">
      <c r="A916" s="3"/>
      <c r="E916" s="40"/>
      <c r="F916" s="40"/>
      <c r="W916" s="3"/>
    </row>
    <row r="917" spans="1:23" x14ac:dyDescent="0.35">
      <c r="A917" s="3"/>
      <c r="E917" s="40"/>
      <c r="F917" s="40"/>
      <c r="W917" s="3"/>
    </row>
    <row r="918" spans="1:23" x14ac:dyDescent="0.35">
      <c r="A918" s="3"/>
      <c r="E918" s="40"/>
      <c r="F918" s="40"/>
      <c r="W918" s="3"/>
    </row>
    <row r="919" spans="1:23" x14ac:dyDescent="0.35">
      <c r="A919" s="3"/>
      <c r="E919" s="40"/>
      <c r="F919" s="40"/>
      <c r="W919" s="3"/>
    </row>
    <row r="920" spans="1:23" x14ac:dyDescent="0.35">
      <c r="A920" s="3"/>
      <c r="E920" s="40"/>
      <c r="F920" s="40"/>
      <c r="W920" s="3"/>
    </row>
    <row r="921" spans="1:23" x14ac:dyDescent="0.35">
      <c r="A921" s="3"/>
      <c r="E921" s="40"/>
      <c r="F921" s="40"/>
      <c r="W921" s="3"/>
    </row>
    <row r="922" spans="1:23" x14ac:dyDescent="0.35">
      <c r="A922" s="3"/>
      <c r="E922" s="40"/>
      <c r="F922" s="40"/>
      <c r="W922" s="3"/>
    </row>
    <row r="923" spans="1:23" x14ac:dyDescent="0.35">
      <c r="A923" s="3"/>
      <c r="E923" s="40"/>
      <c r="F923" s="40"/>
      <c r="W923" s="3"/>
    </row>
    <row r="924" spans="1:23" x14ac:dyDescent="0.35">
      <c r="A924" s="3"/>
      <c r="E924" s="40"/>
      <c r="F924" s="40"/>
      <c r="W924" s="3"/>
    </row>
    <row r="925" spans="1:23" x14ac:dyDescent="0.35">
      <c r="A925" s="3"/>
      <c r="E925" s="40"/>
      <c r="F925" s="40"/>
      <c r="W925" s="3"/>
    </row>
    <row r="926" spans="1:23" x14ac:dyDescent="0.35">
      <c r="A926" s="3"/>
      <c r="E926" s="40"/>
      <c r="F926" s="40"/>
      <c r="W926" s="3"/>
    </row>
    <row r="927" spans="1:23" x14ac:dyDescent="0.35">
      <c r="A927" s="3"/>
      <c r="E927" s="40"/>
      <c r="F927" s="40"/>
      <c r="W927" s="3"/>
    </row>
    <row r="928" spans="1:23" x14ac:dyDescent="0.35">
      <c r="A928" s="3"/>
      <c r="E928" s="40"/>
      <c r="F928" s="40"/>
      <c r="W928" s="3"/>
    </row>
    <row r="929" spans="1:23" x14ac:dyDescent="0.35">
      <c r="A929" s="3"/>
      <c r="E929" s="40"/>
      <c r="F929" s="40"/>
      <c r="W929" s="3"/>
    </row>
    <row r="930" spans="1:23" x14ac:dyDescent="0.35">
      <c r="A930" s="3"/>
      <c r="E930" s="40"/>
      <c r="F930" s="40"/>
      <c r="W930" s="3"/>
    </row>
    <row r="931" spans="1:23" x14ac:dyDescent="0.35">
      <c r="A931" s="3"/>
      <c r="E931" s="40"/>
      <c r="F931" s="40"/>
      <c r="W931" s="3"/>
    </row>
    <row r="932" spans="1:23" x14ac:dyDescent="0.35">
      <c r="A932" s="3"/>
      <c r="E932" s="40"/>
      <c r="F932" s="40"/>
      <c r="W932" s="3"/>
    </row>
    <row r="933" spans="1:23" x14ac:dyDescent="0.35">
      <c r="A933" s="3"/>
      <c r="E933" s="40"/>
      <c r="F933" s="40"/>
      <c r="W933" s="3"/>
    </row>
    <row r="934" spans="1:23" x14ac:dyDescent="0.35">
      <c r="A934" s="3"/>
      <c r="E934" s="40"/>
      <c r="F934" s="40"/>
      <c r="W934" s="3"/>
    </row>
    <row r="935" spans="1:23" x14ac:dyDescent="0.35">
      <c r="A935" s="3"/>
      <c r="E935" s="40"/>
      <c r="F935" s="40"/>
      <c r="W935" s="3"/>
    </row>
    <row r="936" spans="1:23" x14ac:dyDescent="0.35">
      <c r="A936" s="3"/>
      <c r="E936" s="40"/>
      <c r="F936" s="40"/>
      <c r="W936" s="3"/>
    </row>
    <row r="937" spans="1:23" x14ac:dyDescent="0.35">
      <c r="A937" s="3"/>
      <c r="E937" s="40"/>
      <c r="F937" s="40"/>
      <c r="W937" s="3"/>
    </row>
    <row r="938" spans="1:23" x14ac:dyDescent="0.35">
      <c r="A938" s="3"/>
      <c r="E938" s="40"/>
      <c r="F938" s="40"/>
      <c r="W938" s="3"/>
    </row>
    <row r="939" spans="1:23" x14ac:dyDescent="0.35">
      <c r="A939" s="3"/>
      <c r="E939" s="40"/>
      <c r="F939" s="40"/>
      <c r="W939" s="3"/>
    </row>
    <row r="940" spans="1:23" x14ac:dyDescent="0.35">
      <c r="A940" s="3"/>
      <c r="E940" s="40"/>
      <c r="F940" s="40"/>
      <c r="W940" s="3"/>
    </row>
    <row r="941" spans="1:23" x14ac:dyDescent="0.35">
      <c r="A941" s="3"/>
      <c r="E941" s="40"/>
      <c r="F941" s="40"/>
      <c r="W941" s="3"/>
    </row>
    <row r="942" spans="1:23" x14ac:dyDescent="0.35">
      <c r="A942" s="3"/>
      <c r="E942" s="40"/>
      <c r="F942" s="40"/>
      <c r="W942" s="3"/>
    </row>
    <row r="943" spans="1:23" x14ac:dyDescent="0.35">
      <c r="A943" s="3"/>
      <c r="E943" s="40"/>
      <c r="F943" s="40"/>
      <c r="W943" s="3"/>
    </row>
    <row r="944" spans="1:23" x14ac:dyDescent="0.35">
      <c r="A944" s="3"/>
      <c r="E944" s="40"/>
      <c r="F944" s="40"/>
      <c r="W944" s="3"/>
    </row>
    <row r="945" spans="1:23" x14ac:dyDescent="0.35">
      <c r="A945" s="3"/>
      <c r="E945" s="40"/>
      <c r="F945" s="40"/>
      <c r="W945" s="3"/>
    </row>
    <row r="946" spans="1:23" x14ac:dyDescent="0.35">
      <c r="A946" s="3"/>
      <c r="E946" s="40"/>
      <c r="F946" s="40"/>
      <c r="W946" s="3"/>
    </row>
    <row r="947" spans="1:23" x14ac:dyDescent="0.35">
      <c r="A947" s="3"/>
      <c r="E947" s="40"/>
      <c r="F947" s="40"/>
      <c r="W947" s="3"/>
    </row>
    <row r="948" spans="1:23" x14ac:dyDescent="0.35">
      <c r="A948" s="3"/>
      <c r="E948" s="40"/>
      <c r="F948" s="40"/>
      <c r="W948" s="3"/>
    </row>
    <row r="949" spans="1:23" x14ac:dyDescent="0.35">
      <c r="A949" s="3"/>
      <c r="E949" s="40"/>
      <c r="F949" s="40"/>
      <c r="W949" s="3"/>
    </row>
    <row r="950" spans="1:23" x14ac:dyDescent="0.35">
      <c r="A950" s="3"/>
      <c r="E950" s="40"/>
      <c r="F950" s="40"/>
      <c r="W950" s="3"/>
    </row>
    <row r="951" spans="1:23" x14ac:dyDescent="0.35">
      <c r="A951" s="3"/>
      <c r="E951" s="40"/>
      <c r="F951" s="40"/>
      <c r="W951" s="3"/>
    </row>
    <row r="952" spans="1:23" x14ac:dyDescent="0.35">
      <c r="A952" s="3"/>
      <c r="E952" s="40"/>
      <c r="F952" s="40"/>
      <c r="W952" s="3"/>
    </row>
    <row r="953" spans="1:23" x14ac:dyDescent="0.35">
      <c r="A953" s="3"/>
      <c r="E953" s="40"/>
      <c r="F953" s="40"/>
      <c r="W953" s="3"/>
    </row>
    <row r="954" spans="1:23" x14ac:dyDescent="0.35">
      <c r="A954" s="3"/>
      <c r="E954" s="40"/>
      <c r="F954" s="40"/>
      <c r="W954" s="3"/>
    </row>
    <row r="955" spans="1:23" x14ac:dyDescent="0.35">
      <c r="A955" s="3"/>
      <c r="E955" s="40"/>
      <c r="F955" s="40"/>
      <c r="W955" s="3"/>
    </row>
    <row r="956" spans="1:23" x14ac:dyDescent="0.35">
      <c r="A956" s="3"/>
      <c r="E956" s="40"/>
      <c r="F956" s="40"/>
      <c r="W956" s="3"/>
    </row>
    <row r="957" spans="1:23" x14ac:dyDescent="0.35">
      <c r="A957" s="3"/>
      <c r="E957" s="40"/>
      <c r="F957" s="40"/>
      <c r="W957" s="3"/>
    </row>
    <row r="958" spans="1:23" x14ac:dyDescent="0.35">
      <c r="A958" s="3"/>
      <c r="E958" s="40"/>
      <c r="F958" s="40"/>
      <c r="W958" s="3"/>
    </row>
    <row r="959" spans="1:23" x14ac:dyDescent="0.35">
      <c r="A959" s="3"/>
      <c r="E959" s="40"/>
      <c r="F959" s="40"/>
      <c r="W959" s="3"/>
    </row>
    <row r="960" spans="1:23" x14ac:dyDescent="0.35">
      <c r="A960" s="3"/>
      <c r="E960" s="40"/>
      <c r="F960" s="40"/>
      <c r="W960" s="3"/>
    </row>
    <row r="961" spans="1:23" x14ac:dyDescent="0.35">
      <c r="A961" s="3"/>
      <c r="E961" s="40"/>
      <c r="F961" s="40"/>
      <c r="W961" s="3"/>
    </row>
    <row r="962" spans="1:23" x14ac:dyDescent="0.35">
      <c r="A962" s="3"/>
      <c r="E962" s="40"/>
      <c r="F962" s="40"/>
      <c r="W962" s="3"/>
    </row>
    <row r="963" spans="1:23" x14ac:dyDescent="0.35">
      <c r="A963" s="3"/>
      <c r="E963" s="40"/>
      <c r="F963" s="40"/>
      <c r="W963" s="3"/>
    </row>
    <row r="964" spans="1:23" x14ac:dyDescent="0.35">
      <c r="A964" s="3"/>
      <c r="E964" s="40"/>
      <c r="F964" s="40"/>
      <c r="W964" s="3"/>
    </row>
    <row r="965" spans="1:23" x14ac:dyDescent="0.35">
      <c r="A965" s="3"/>
      <c r="E965" s="40"/>
      <c r="F965" s="40"/>
      <c r="W965" s="3"/>
    </row>
    <row r="966" spans="1:23" x14ac:dyDescent="0.35">
      <c r="A966" s="3"/>
      <c r="E966" s="40"/>
      <c r="F966" s="40"/>
      <c r="W966" s="3"/>
    </row>
    <row r="967" spans="1:23" x14ac:dyDescent="0.35">
      <c r="A967" s="3"/>
      <c r="E967" s="40"/>
      <c r="F967" s="40"/>
      <c r="W967" s="3"/>
    </row>
    <row r="968" spans="1:23" x14ac:dyDescent="0.35">
      <c r="A968" s="3"/>
      <c r="E968" s="40"/>
      <c r="F968" s="40"/>
      <c r="W968" s="3"/>
    </row>
    <row r="969" spans="1:23" x14ac:dyDescent="0.35">
      <c r="A969" s="3"/>
      <c r="E969" s="40"/>
      <c r="F969" s="40"/>
      <c r="W969" s="3"/>
    </row>
    <row r="970" spans="1:23" x14ac:dyDescent="0.35">
      <c r="A970" s="3"/>
      <c r="E970" s="40"/>
      <c r="F970" s="40"/>
      <c r="W970" s="3"/>
    </row>
    <row r="971" spans="1:23" x14ac:dyDescent="0.35">
      <c r="A971" s="3"/>
      <c r="E971" s="40"/>
      <c r="F971" s="40"/>
      <c r="W971" s="3"/>
    </row>
    <row r="972" spans="1:23" x14ac:dyDescent="0.35">
      <c r="A972" s="3"/>
      <c r="E972" s="40"/>
      <c r="F972" s="40"/>
      <c r="W972" s="3"/>
    </row>
    <row r="973" spans="1:23" x14ac:dyDescent="0.35">
      <c r="A973" s="3"/>
      <c r="E973" s="40"/>
      <c r="F973" s="40"/>
      <c r="W973" s="3"/>
    </row>
    <row r="974" spans="1:23" x14ac:dyDescent="0.35">
      <c r="A974" s="3"/>
      <c r="E974" s="40"/>
      <c r="F974" s="40"/>
      <c r="W974" s="3"/>
    </row>
    <row r="975" spans="1:23" x14ac:dyDescent="0.35">
      <c r="A975" s="3"/>
      <c r="E975" s="40"/>
      <c r="F975" s="40"/>
      <c r="W975" s="3"/>
    </row>
    <row r="976" spans="1:23" x14ac:dyDescent="0.35">
      <c r="A976" s="3"/>
      <c r="E976" s="40"/>
      <c r="F976" s="40"/>
      <c r="W976" s="3"/>
    </row>
    <row r="977" spans="1:23" x14ac:dyDescent="0.35">
      <c r="A977" s="3"/>
      <c r="E977" s="40"/>
      <c r="F977" s="40"/>
      <c r="W977" s="3"/>
    </row>
    <row r="978" spans="1:23" x14ac:dyDescent="0.35">
      <c r="A978" s="3"/>
      <c r="E978" s="40"/>
      <c r="F978" s="40"/>
      <c r="W978" s="3"/>
    </row>
    <row r="979" spans="1:23" x14ac:dyDescent="0.35">
      <c r="A979" s="3"/>
      <c r="E979" s="40"/>
      <c r="F979" s="40"/>
      <c r="W979" s="3"/>
    </row>
    <row r="980" spans="1:23" x14ac:dyDescent="0.35">
      <c r="A980" s="3"/>
      <c r="E980" s="40"/>
      <c r="F980" s="40"/>
      <c r="W980" s="3"/>
    </row>
    <row r="981" spans="1:23" x14ac:dyDescent="0.35">
      <c r="A981" s="3"/>
      <c r="E981" s="40"/>
      <c r="F981" s="40"/>
      <c r="W981" s="3"/>
    </row>
    <row r="982" spans="1:23" x14ac:dyDescent="0.35">
      <c r="A982" s="3"/>
      <c r="E982" s="40"/>
      <c r="F982" s="40"/>
      <c r="W982" s="3"/>
    </row>
    <row r="983" spans="1:23" x14ac:dyDescent="0.35">
      <c r="A983" s="3"/>
      <c r="E983" s="40"/>
      <c r="F983" s="40"/>
      <c r="W983" s="3"/>
    </row>
    <row r="984" spans="1:23" x14ac:dyDescent="0.35">
      <c r="A984" s="3"/>
      <c r="E984" s="40"/>
      <c r="F984" s="40"/>
      <c r="W984" s="3"/>
    </row>
    <row r="985" spans="1:23" x14ac:dyDescent="0.35">
      <c r="A985" s="3"/>
      <c r="E985" s="40"/>
      <c r="F985" s="40"/>
      <c r="W985" s="3"/>
    </row>
    <row r="986" spans="1:23" x14ac:dyDescent="0.35">
      <c r="A986" s="3"/>
      <c r="E986" s="40"/>
      <c r="F986" s="40"/>
      <c r="W986" s="3"/>
    </row>
    <row r="987" spans="1:23" x14ac:dyDescent="0.35">
      <c r="A987" s="3"/>
      <c r="E987" s="40"/>
      <c r="F987" s="40"/>
      <c r="W987" s="3"/>
    </row>
    <row r="988" spans="1:23" x14ac:dyDescent="0.35">
      <c r="A988" s="3"/>
      <c r="E988" s="40"/>
      <c r="F988" s="40"/>
      <c r="W988" s="3"/>
    </row>
    <row r="989" spans="1:23" x14ac:dyDescent="0.35">
      <c r="A989" s="3"/>
      <c r="E989" s="40"/>
      <c r="F989" s="40"/>
      <c r="W989" s="3"/>
    </row>
    <row r="990" spans="1:23" x14ac:dyDescent="0.35">
      <c r="A990" s="3"/>
      <c r="E990" s="40"/>
      <c r="F990" s="40"/>
      <c r="W990" s="3"/>
    </row>
    <row r="991" spans="1:23" x14ac:dyDescent="0.35">
      <c r="A991" s="3"/>
      <c r="E991" s="40"/>
      <c r="F991" s="40"/>
      <c r="W991" s="3"/>
    </row>
    <row r="992" spans="1:23" x14ac:dyDescent="0.35">
      <c r="A992" s="3"/>
      <c r="E992" s="40"/>
      <c r="F992" s="40"/>
      <c r="W992" s="3"/>
    </row>
    <row r="993" spans="1:24" x14ac:dyDescent="0.35">
      <c r="A993" s="3"/>
      <c r="E993" s="40"/>
      <c r="F993" s="40"/>
      <c r="W993" s="3"/>
    </row>
    <row r="994" spans="1:24" x14ac:dyDescent="0.35">
      <c r="A994" s="3"/>
      <c r="E994" s="40"/>
      <c r="F994" s="40"/>
      <c r="W994" s="3"/>
    </row>
    <row r="995" spans="1:24" x14ac:dyDescent="0.35">
      <c r="A995" s="3"/>
      <c r="E995" s="40"/>
      <c r="F995" s="40"/>
      <c r="W995" s="3"/>
    </row>
    <row r="996" spans="1:24" x14ac:dyDescent="0.35">
      <c r="A996" s="3"/>
      <c r="E996" s="40"/>
      <c r="F996" s="40"/>
      <c r="W996" s="3"/>
    </row>
    <row r="997" spans="1:24" x14ac:dyDescent="0.35">
      <c r="A997" s="3"/>
      <c r="E997" s="40"/>
      <c r="F997" s="40"/>
      <c r="W997" s="3"/>
    </row>
    <row r="998" spans="1:24" x14ac:dyDescent="0.35">
      <c r="A998" s="3"/>
      <c r="E998" s="40"/>
      <c r="F998" s="40"/>
      <c r="W998" s="3"/>
    </row>
    <row r="999" spans="1:24" x14ac:dyDescent="0.35">
      <c r="A999" s="3" t="s">
        <v>26121</v>
      </c>
      <c r="B999" t="s">
        <v>7096</v>
      </c>
      <c r="C999" t="s">
        <v>396</v>
      </c>
      <c r="D999" t="s">
        <v>395</v>
      </c>
      <c r="E999" s="39">
        <v>35.658079000000001</v>
      </c>
      <c r="F999" s="39">
        <v>139.70175499999999</v>
      </c>
      <c r="G999">
        <v>2018</v>
      </c>
      <c r="H999">
        <v>5.1999999999999998E-3</v>
      </c>
      <c r="K999" t="s">
        <v>25399</v>
      </c>
      <c r="L999" t="s">
        <v>25899</v>
      </c>
      <c r="Q999" t="s">
        <v>26122</v>
      </c>
      <c r="R999" t="s">
        <v>26123</v>
      </c>
      <c r="S999" t="s">
        <v>22295</v>
      </c>
      <c r="V999" t="str">
        <f>IF(G999&lt;2023,"Operational","Under Constuction or FID")</f>
        <v>Operational</v>
      </c>
      <c r="W999" s="3" t="s">
        <v>25902</v>
      </c>
      <c r="X999" t="s">
        <v>26124</v>
      </c>
    </row>
    <row r="1000" spans="1:24" x14ac:dyDescent="0.35">
      <c r="A1000" s="3" t="s">
        <v>26125</v>
      </c>
      <c r="B1000" t="s">
        <v>26126</v>
      </c>
      <c r="C1000" t="s">
        <v>396</v>
      </c>
      <c r="D1000" t="s">
        <v>395</v>
      </c>
      <c r="E1000" s="39">
        <v>35.775874000000002</v>
      </c>
      <c r="F1000" s="39">
        <v>139.957818</v>
      </c>
      <c r="G1000">
        <v>2020</v>
      </c>
      <c r="H1000">
        <v>5.1999999999999998E-3</v>
      </c>
      <c r="K1000" t="s">
        <v>25399</v>
      </c>
      <c r="L1000" t="s">
        <v>25899</v>
      </c>
      <c r="Q1000" t="s">
        <v>26127</v>
      </c>
      <c r="R1000" t="s">
        <v>26128</v>
      </c>
      <c r="S1000" t="s">
        <v>22295</v>
      </c>
      <c r="V1000" t="s">
        <v>6422</v>
      </c>
      <c r="W1000" s="3" t="s">
        <v>25902</v>
      </c>
      <c r="X1000" t="s">
        <v>26129</v>
      </c>
    </row>
    <row r="1001" spans="1:24" x14ac:dyDescent="0.35">
      <c r="A1001" s="3" t="s">
        <v>26130</v>
      </c>
      <c r="B1001" t="s">
        <v>3004</v>
      </c>
      <c r="C1001" t="s">
        <v>396</v>
      </c>
      <c r="D1001" t="s">
        <v>395</v>
      </c>
      <c r="E1001" s="39">
        <v>36.700941</v>
      </c>
      <c r="F1001" s="39">
        <v>137.21406899999999</v>
      </c>
      <c r="G1001">
        <v>2020</v>
      </c>
      <c r="H1001">
        <v>5.1999999999999998E-3</v>
      </c>
      <c r="K1001" t="s">
        <v>25399</v>
      </c>
      <c r="L1001" t="s">
        <v>25899</v>
      </c>
      <c r="Q1001" t="s">
        <v>26131</v>
      </c>
      <c r="R1001" t="s">
        <v>26132</v>
      </c>
      <c r="S1001" t="s">
        <v>22295</v>
      </c>
      <c r="V1001" t="s">
        <v>6422</v>
      </c>
      <c r="W1001" s="3" t="s">
        <v>25902</v>
      </c>
      <c r="X1001" t="s">
        <v>26133</v>
      </c>
    </row>
    <row r="1002" spans="1:24" x14ac:dyDescent="0.35">
      <c r="A1002" s="3" t="s">
        <v>26134</v>
      </c>
      <c r="B1002" t="s">
        <v>26135</v>
      </c>
      <c r="C1002" t="s">
        <v>396</v>
      </c>
      <c r="D1002" t="s">
        <v>395</v>
      </c>
      <c r="E1002" s="39">
        <v>35.645243999999998</v>
      </c>
      <c r="F1002" s="39">
        <v>136.055441</v>
      </c>
      <c r="G1002">
        <v>2020</v>
      </c>
      <c r="H1002">
        <v>5.1999999999999998E-3</v>
      </c>
      <c r="K1002" t="s">
        <v>25399</v>
      </c>
      <c r="L1002" t="s">
        <v>25899</v>
      </c>
      <c r="Q1002" t="s">
        <v>26136</v>
      </c>
      <c r="R1002" t="s">
        <v>26135</v>
      </c>
      <c r="S1002" t="s">
        <v>22295</v>
      </c>
      <c r="V1002" t="str">
        <f t="shared" ref="V1002:V1008" si="8">IF(G1002&lt;2023,"Operational","Under Constuction or FID")</f>
        <v>Operational</v>
      </c>
      <c r="W1002" s="3" t="s">
        <v>25902</v>
      </c>
      <c r="X1002" t="s">
        <v>26137</v>
      </c>
    </row>
    <row r="1003" spans="1:24" x14ac:dyDescent="0.35">
      <c r="A1003" s="3" t="s">
        <v>26138</v>
      </c>
      <c r="B1003" t="s">
        <v>13067</v>
      </c>
      <c r="C1003" t="s">
        <v>396</v>
      </c>
      <c r="D1003" t="s">
        <v>395</v>
      </c>
      <c r="E1003" s="39">
        <v>38.0015</v>
      </c>
      <c r="F1003" s="39">
        <v>140.19994</v>
      </c>
      <c r="G1003">
        <v>2019</v>
      </c>
      <c r="H1003">
        <v>4.4999999999999998E-2</v>
      </c>
      <c r="J1003">
        <v>87600</v>
      </c>
      <c r="K1003" t="s">
        <v>26139</v>
      </c>
      <c r="L1003" t="s">
        <v>25893</v>
      </c>
      <c r="Q1003" t="s">
        <v>26140</v>
      </c>
      <c r="R1003" t="s">
        <v>26141</v>
      </c>
      <c r="S1003" t="s">
        <v>22295</v>
      </c>
      <c r="V1003" t="str">
        <f t="shared" si="8"/>
        <v>Operational</v>
      </c>
      <c r="W1003" s="3" t="s">
        <v>25479</v>
      </c>
      <c r="X1003" t="s">
        <v>26142</v>
      </c>
    </row>
    <row r="1004" spans="1:24" x14ac:dyDescent="0.35">
      <c r="A1004" s="3" t="s">
        <v>26143</v>
      </c>
      <c r="B1004" t="s">
        <v>26144</v>
      </c>
      <c r="C1004" t="s">
        <v>396</v>
      </c>
      <c r="D1004" t="s">
        <v>395</v>
      </c>
      <c r="E1004" s="39">
        <v>35.682436699999997</v>
      </c>
      <c r="F1004" s="39">
        <v>139.46598069999999</v>
      </c>
      <c r="G1004">
        <v>2017</v>
      </c>
      <c r="H1004">
        <v>5.1999999999999998E-3</v>
      </c>
      <c r="K1004" t="s">
        <v>25399</v>
      </c>
      <c r="L1004" t="s">
        <v>25899</v>
      </c>
      <c r="Q1004" t="s">
        <v>26127</v>
      </c>
      <c r="R1004" t="s">
        <v>26144</v>
      </c>
      <c r="S1004" t="s">
        <v>22295</v>
      </c>
      <c r="V1004" t="str">
        <f t="shared" si="8"/>
        <v>Operational</v>
      </c>
      <c r="W1004" s="3" t="s">
        <v>25902</v>
      </c>
      <c r="X1004" t="s">
        <v>26145</v>
      </c>
    </row>
    <row r="1005" spans="1:24" x14ac:dyDescent="0.35">
      <c r="A1005" s="3" t="s">
        <v>26146</v>
      </c>
      <c r="B1005" t="s">
        <v>2984</v>
      </c>
      <c r="C1005" t="s">
        <v>396</v>
      </c>
      <c r="D1005" t="s">
        <v>395</v>
      </c>
      <c r="E1005" s="40">
        <v>35.950607300000001</v>
      </c>
      <c r="F1005" s="40">
        <v>139.9669743</v>
      </c>
      <c r="G1005">
        <v>2019</v>
      </c>
      <c r="H1005">
        <v>5.1999999999999998E-3</v>
      </c>
      <c r="K1005" t="s">
        <v>25399</v>
      </c>
      <c r="L1005" t="s">
        <v>25899</v>
      </c>
      <c r="Q1005" t="s">
        <v>26147</v>
      </c>
      <c r="R1005" t="s">
        <v>2984</v>
      </c>
      <c r="S1005" t="s">
        <v>22295</v>
      </c>
      <c r="V1005" t="str">
        <f t="shared" si="8"/>
        <v>Operational</v>
      </c>
      <c r="W1005" s="3" t="s">
        <v>25902</v>
      </c>
      <c r="X1005" t="s">
        <v>26148</v>
      </c>
    </row>
    <row r="1006" spans="1:24" x14ac:dyDescent="0.35">
      <c r="A1006" s="3" t="s">
        <v>25916</v>
      </c>
      <c r="B1006" t="s">
        <v>26149</v>
      </c>
      <c r="C1006" t="s">
        <v>396</v>
      </c>
      <c r="D1006" t="s">
        <v>395</v>
      </c>
      <c r="E1006" s="40">
        <v>33.080926599999998</v>
      </c>
      <c r="F1006" s="40">
        <v>129.7854552</v>
      </c>
      <c r="G1006">
        <v>2016</v>
      </c>
      <c r="H1006">
        <v>5.1999999999999998E-3</v>
      </c>
      <c r="K1006" t="s">
        <v>25399</v>
      </c>
      <c r="L1006" t="s">
        <v>25899</v>
      </c>
      <c r="Q1006" t="s">
        <v>26150</v>
      </c>
      <c r="R1006" t="s">
        <v>26149</v>
      </c>
      <c r="S1006" t="s">
        <v>22295</v>
      </c>
      <c r="V1006" t="str">
        <f t="shared" si="8"/>
        <v>Operational</v>
      </c>
      <c r="W1006" s="3" t="s">
        <v>25902</v>
      </c>
      <c r="X1006" t="s">
        <v>26151</v>
      </c>
    </row>
    <row r="1007" spans="1:24" x14ac:dyDescent="0.35">
      <c r="A1007" s="3" t="s">
        <v>26152</v>
      </c>
      <c r="B1007" t="s">
        <v>2995</v>
      </c>
      <c r="C1007" t="s">
        <v>396</v>
      </c>
      <c r="D1007" t="s">
        <v>395</v>
      </c>
      <c r="E1007" s="39">
        <v>35.455557900000002</v>
      </c>
      <c r="F1007" s="39">
        <v>139.6978383</v>
      </c>
      <c r="G1007">
        <v>2016</v>
      </c>
      <c r="H1007">
        <v>5.1999999999999998E-3</v>
      </c>
      <c r="K1007" t="s">
        <v>25399</v>
      </c>
      <c r="L1007" t="s">
        <v>25899</v>
      </c>
      <c r="Q1007" t="s">
        <v>26153</v>
      </c>
      <c r="R1007" t="s">
        <v>2995</v>
      </c>
      <c r="S1007" t="s">
        <v>22295</v>
      </c>
      <c r="V1007" t="str">
        <f t="shared" si="8"/>
        <v>Operational</v>
      </c>
      <c r="W1007" s="3" t="s">
        <v>25902</v>
      </c>
      <c r="X1007" t="s">
        <v>26154</v>
      </c>
    </row>
    <row r="1008" spans="1:24" x14ac:dyDescent="0.35">
      <c r="A1008" s="3" t="s">
        <v>26155</v>
      </c>
      <c r="B1008" t="s">
        <v>2995</v>
      </c>
      <c r="C1008" t="s">
        <v>396</v>
      </c>
      <c r="D1008" t="s">
        <v>395</v>
      </c>
      <c r="E1008" s="39">
        <v>37.397239399999997</v>
      </c>
      <c r="F1008" s="39">
        <v>138.78358489999999</v>
      </c>
      <c r="G1008">
        <v>2021</v>
      </c>
      <c r="K1008" t="s">
        <v>25399</v>
      </c>
      <c r="L1008" t="s">
        <v>25899</v>
      </c>
      <c r="Q1008" t="s">
        <v>26156</v>
      </c>
      <c r="R1008" t="s">
        <v>2995</v>
      </c>
      <c r="S1008" t="s">
        <v>22295</v>
      </c>
      <c r="V1008" t="str">
        <f t="shared" si="8"/>
        <v>Operational</v>
      </c>
      <c r="W1008" s="3" t="s">
        <v>26157</v>
      </c>
      <c r="X1008" t="s">
        <v>26158</v>
      </c>
    </row>
    <row r="1009" spans="1:24" x14ac:dyDescent="0.35">
      <c r="A1009" s="3" t="s">
        <v>26159</v>
      </c>
      <c r="B1009" t="s">
        <v>10365</v>
      </c>
      <c r="C1009" t="s">
        <v>396</v>
      </c>
      <c r="D1009" t="s">
        <v>395</v>
      </c>
      <c r="E1009" s="39">
        <v>43.171421700000003</v>
      </c>
      <c r="F1009" s="39">
        <v>141.3155371</v>
      </c>
      <c r="G1009">
        <v>2024</v>
      </c>
      <c r="H1009">
        <v>110</v>
      </c>
      <c r="J1009">
        <v>2500</v>
      </c>
      <c r="L1009" t="s">
        <v>25936</v>
      </c>
      <c r="R1009" t="s">
        <v>26160</v>
      </c>
      <c r="S1009" t="s">
        <v>22295</v>
      </c>
      <c r="V1009" t="s">
        <v>6417</v>
      </c>
      <c r="W1009" s="3" t="s">
        <v>26161</v>
      </c>
      <c r="X1009" t="s">
        <v>26162</v>
      </c>
    </row>
    <row r="1010" spans="1:24" ht="14.25" customHeight="1" x14ac:dyDescent="0.35">
      <c r="A1010" s="3" t="s">
        <v>26163</v>
      </c>
      <c r="B1010" t="s">
        <v>7096</v>
      </c>
      <c r="C1010" t="s">
        <v>396</v>
      </c>
      <c r="D1010" t="s">
        <v>395</v>
      </c>
      <c r="E1010" s="39">
        <v>35.662515900000002</v>
      </c>
      <c r="F1010" s="39">
        <v>139.83548039999999</v>
      </c>
      <c r="G1010">
        <v>2021</v>
      </c>
      <c r="J1010">
        <v>20</v>
      </c>
      <c r="K1010" t="s">
        <v>25311</v>
      </c>
      <c r="L1010" t="s">
        <v>26164</v>
      </c>
      <c r="Q1010" t="s">
        <v>26165</v>
      </c>
      <c r="R1010" t="s">
        <v>7096</v>
      </c>
      <c r="S1010" t="s">
        <v>22295</v>
      </c>
      <c r="V1010" t="str">
        <f t="shared" ref="V1010:V1020" si="9">IF(G1010&lt;2023,"Operational","Under Constuction or FID")</f>
        <v>Operational</v>
      </c>
      <c r="W1010" s="3" t="s">
        <v>26166</v>
      </c>
      <c r="X1010" t="s">
        <v>26167</v>
      </c>
    </row>
    <row r="1011" spans="1:24" x14ac:dyDescent="0.35">
      <c r="A1011" s="3" t="s">
        <v>26168</v>
      </c>
      <c r="B1011" t="s">
        <v>4914</v>
      </c>
      <c r="C1011" t="s">
        <v>383</v>
      </c>
      <c r="D1011" t="s">
        <v>382</v>
      </c>
      <c r="E1011" s="39">
        <v>21.178418400000002</v>
      </c>
      <c r="F1011" s="39">
        <v>72.658785600000002</v>
      </c>
      <c r="G1011">
        <v>2022</v>
      </c>
      <c r="H1011">
        <v>0.8</v>
      </c>
      <c r="I1011">
        <v>45</v>
      </c>
      <c r="J1011">
        <f>I1011*365/1000</f>
        <v>16.425000000000001</v>
      </c>
      <c r="K1011" s="3" t="s">
        <v>25408</v>
      </c>
      <c r="L1011" t="s">
        <v>26169</v>
      </c>
      <c r="M1011">
        <v>1.45</v>
      </c>
      <c r="N1011">
        <v>300</v>
      </c>
      <c r="O1011" t="s">
        <v>26170</v>
      </c>
      <c r="P1011" s="8">
        <v>3051515</v>
      </c>
      <c r="Q1011" t="s">
        <v>26171</v>
      </c>
      <c r="R1011" t="s">
        <v>4914</v>
      </c>
      <c r="S1011" t="s">
        <v>6422</v>
      </c>
      <c r="V1011" t="str">
        <f t="shared" si="9"/>
        <v>Operational</v>
      </c>
      <c r="W1011" s="3" t="s">
        <v>26172</v>
      </c>
      <c r="X1011" s="32" t="s">
        <v>26173</v>
      </c>
    </row>
    <row r="1012" spans="1:24" x14ac:dyDescent="0.35">
      <c r="A1012" s="3" t="s">
        <v>26174</v>
      </c>
      <c r="B1012" t="s">
        <v>26175</v>
      </c>
      <c r="C1012" t="s">
        <v>383</v>
      </c>
      <c r="D1012" t="s">
        <v>382</v>
      </c>
      <c r="E1012" s="39">
        <v>12.913399800000001</v>
      </c>
      <c r="F1012" s="39">
        <v>80.191883599999997</v>
      </c>
      <c r="G1012">
        <v>2012</v>
      </c>
      <c r="J1012">
        <f>I1012*365/1000</f>
        <v>0</v>
      </c>
      <c r="K1012" t="s">
        <v>26176</v>
      </c>
      <c r="R1012" t="s">
        <v>26174</v>
      </c>
      <c r="S1012" t="s">
        <v>6422</v>
      </c>
      <c r="V1012" t="str">
        <f t="shared" si="9"/>
        <v>Operational</v>
      </c>
      <c r="W1012" s="3" t="s">
        <v>26177</v>
      </c>
      <c r="X1012" s="32" t="s">
        <v>26178</v>
      </c>
    </row>
    <row r="1013" spans="1:24" x14ac:dyDescent="0.35">
      <c r="A1013" s="3" t="s">
        <v>26179</v>
      </c>
      <c r="E1013" s="39"/>
      <c r="F1013" s="39"/>
      <c r="J1013">
        <f t="shared" ref="J1013:J1020" si="10">I1013*365/1000</f>
        <v>0</v>
      </c>
      <c r="V1013" t="str">
        <f t="shared" si="9"/>
        <v>Operational</v>
      </c>
      <c r="W1013" s="3"/>
    </row>
    <row r="1014" spans="1:24" x14ac:dyDescent="0.35">
      <c r="A1014" s="3" t="s">
        <v>26180</v>
      </c>
      <c r="E1014" s="39"/>
      <c r="F1014" s="39"/>
      <c r="J1014">
        <f t="shared" si="10"/>
        <v>0</v>
      </c>
      <c r="V1014" t="str">
        <f t="shared" si="9"/>
        <v>Operational</v>
      </c>
      <c r="W1014" s="3"/>
    </row>
    <row r="1015" spans="1:24" x14ac:dyDescent="0.35">
      <c r="A1015" s="3" t="s">
        <v>26181</v>
      </c>
      <c r="E1015" s="39"/>
      <c r="F1015" s="39"/>
      <c r="J1015">
        <f t="shared" si="10"/>
        <v>0</v>
      </c>
      <c r="V1015" t="str">
        <f t="shared" si="9"/>
        <v>Operational</v>
      </c>
      <c r="W1015" s="3"/>
    </row>
    <row r="1016" spans="1:24" x14ac:dyDescent="0.35">
      <c r="A1016" s="3" t="s">
        <v>26182</v>
      </c>
      <c r="E1016" s="39"/>
      <c r="F1016" s="39"/>
      <c r="J1016">
        <f t="shared" si="10"/>
        <v>0</v>
      </c>
      <c r="V1016" t="str">
        <f t="shared" si="9"/>
        <v>Operational</v>
      </c>
      <c r="W1016" s="3"/>
    </row>
    <row r="1017" spans="1:24" x14ac:dyDescent="0.35">
      <c r="A1017" s="3" t="s">
        <v>26183</v>
      </c>
      <c r="E1017" s="39"/>
      <c r="F1017" s="39"/>
      <c r="J1017">
        <f t="shared" si="10"/>
        <v>0</v>
      </c>
      <c r="V1017" t="str">
        <f t="shared" si="9"/>
        <v>Operational</v>
      </c>
      <c r="W1017" s="3"/>
    </row>
    <row r="1018" spans="1:24" x14ac:dyDescent="0.35">
      <c r="A1018" s="3" t="s">
        <v>26184</v>
      </c>
      <c r="E1018" s="39"/>
      <c r="F1018" s="39"/>
      <c r="J1018">
        <f t="shared" si="10"/>
        <v>0</v>
      </c>
      <c r="V1018" t="str">
        <f t="shared" si="9"/>
        <v>Operational</v>
      </c>
      <c r="W1018" s="3"/>
    </row>
    <row r="1019" spans="1:24" x14ac:dyDescent="0.35">
      <c r="A1019" s="3" t="s">
        <v>26185</v>
      </c>
      <c r="B1019" t="s">
        <v>2715</v>
      </c>
      <c r="C1019" t="s">
        <v>383</v>
      </c>
      <c r="D1019" t="s">
        <v>382</v>
      </c>
      <c r="E1019" s="39">
        <v>27.4924134</v>
      </c>
      <c r="F1019" s="39">
        <v>77.673672999999994</v>
      </c>
      <c r="H1019">
        <v>40</v>
      </c>
      <c r="J1019">
        <f t="shared" si="10"/>
        <v>0</v>
      </c>
      <c r="V1019" t="str">
        <f t="shared" si="9"/>
        <v>Operational</v>
      </c>
      <c r="W1019" s="3"/>
      <c r="X1019" s="32" t="s">
        <v>26186</v>
      </c>
    </row>
    <row r="1020" spans="1:24" x14ac:dyDescent="0.35">
      <c r="A1020" s="3" t="s">
        <v>26187</v>
      </c>
      <c r="B1020" t="s">
        <v>26188</v>
      </c>
      <c r="C1020" t="s">
        <v>383</v>
      </c>
      <c r="D1020" t="s">
        <v>382</v>
      </c>
      <c r="E1020" s="39">
        <v>28.022934800000002</v>
      </c>
      <c r="F1020" s="39">
        <v>73.311915900000002</v>
      </c>
      <c r="G1020">
        <v>2021</v>
      </c>
      <c r="J1020">
        <f t="shared" si="10"/>
        <v>0</v>
      </c>
      <c r="Q1020" t="s">
        <v>26189</v>
      </c>
      <c r="R1020" t="s">
        <v>26188</v>
      </c>
      <c r="S1020" t="s">
        <v>6422</v>
      </c>
      <c r="V1020" t="str">
        <f t="shared" si="9"/>
        <v>Operational</v>
      </c>
      <c r="W1020" s="3" t="s">
        <v>26190</v>
      </c>
      <c r="X1020" s="32" t="s">
        <v>26191</v>
      </c>
    </row>
    <row r="1021" spans="1:24" x14ac:dyDescent="0.35">
      <c r="A1021" s="6" t="s">
        <v>2682</v>
      </c>
      <c r="B1021" t="s">
        <v>2681</v>
      </c>
      <c r="C1021" t="s">
        <v>383</v>
      </c>
      <c r="D1021" t="s">
        <v>382</v>
      </c>
      <c r="E1021">
        <v>22.397601300000002</v>
      </c>
      <c r="F1021">
        <v>69.719757000000001</v>
      </c>
      <c r="G1021">
        <v>2011</v>
      </c>
      <c r="I1021">
        <v>223172</v>
      </c>
      <c r="J1021">
        <f>I1021*365/1000</f>
        <v>81457.78</v>
      </c>
      <c r="K1021" t="s">
        <v>261</v>
      </c>
      <c r="Q1021" t="s">
        <v>483</v>
      </c>
      <c r="R1021" t="s">
        <v>2681</v>
      </c>
      <c r="S1021" t="s">
        <v>6422</v>
      </c>
      <c r="V1021" t="s">
        <v>6422</v>
      </c>
      <c r="W1021" t="s">
        <v>2685</v>
      </c>
      <c r="X1021" s="13" t="s">
        <v>26192</v>
      </c>
    </row>
    <row r="1022" spans="1:24" x14ac:dyDescent="0.35">
      <c r="A1022" t="s">
        <v>26193</v>
      </c>
      <c r="B1022" t="s">
        <v>2684</v>
      </c>
      <c r="C1022" t="s">
        <v>383</v>
      </c>
      <c r="D1022" t="s">
        <v>382</v>
      </c>
      <c r="E1022">
        <v>9.9312328000000001</v>
      </c>
      <c r="F1022">
        <v>76.267304100000004</v>
      </c>
      <c r="G1022">
        <v>2003</v>
      </c>
      <c r="I1022">
        <v>49614</v>
      </c>
      <c r="J1022">
        <f>I1022*365/1000</f>
        <v>18109.11</v>
      </c>
      <c r="K1022" t="s">
        <v>261</v>
      </c>
      <c r="Q1022" t="s">
        <v>483</v>
      </c>
      <c r="R1022" t="s">
        <v>2684</v>
      </c>
      <c r="S1022" t="s">
        <v>6422</v>
      </c>
      <c r="V1022" t="s">
        <v>6422</v>
      </c>
      <c r="W1022" t="s">
        <v>2685</v>
      </c>
      <c r="X1022" s="13" t="s">
        <v>26194</v>
      </c>
    </row>
    <row r="1023" spans="1:24" x14ac:dyDescent="0.35">
      <c r="A1023" t="s">
        <v>26195</v>
      </c>
      <c r="B1023" t="s">
        <v>2686</v>
      </c>
      <c r="C1023" t="s">
        <v>383</v>
      </c>
      <c r="D1023" t="s">
        <v>382</v>
      </c>
      <c r="E1023">
        <v>26.1326018</v>
      </c>
      <c r="F1023">
        <v>82.813368499999996</v>
      </c>
      <c r="G1023">
        <v>2006</v>
      </c>
      <c r="I1023">
        <v>238002</v>
      </c>
      <c r="J1023">
        <f>I1023*365/1000</f>
        <v>86870.73</v>
      </c>
      <c r="K1023" t="s">
        <v>261</v>
      </c>
      <c r="Q1023" t="s">
        <v>483</v>
      </c>
      <c r="R1023" t="s">
        <v>2686</v>
      </c>
      <c r="S1023" t="s">
        <v>6422</v>
      </c>
      <c r="V1023" t="s">
        <v>6422</v>
      </c>
      <c r="W1023" t="s">
        <v>2685</v>
      </c>
      <c r="X1023" s="13" t="s">
        <v>26196</v>
      </c>
    </row>
    <row r="1024" spans="1:24" x14ac:dyDescent="0.35">
      <c r="A1024" t="s">
        <v>26197</v>
      </c>
      <c r="B1024" t="s">
        <v>2687</v>
      </c>
      <c r="C1024" t="s">
        <v>383</v>
      </c>
      <c r="D1024" t="s">
        <v>382</v>
      </c>
      <c r="E1024">
        <v>13.0826802</v>
      </c>
      <c r="F1024">
        <v>80.270718400000007</v>
      </c>
      <c r="G1024">
        <v>2020</v>
      </c>
      <c r="I1024">
        <v>15010</v>
      </c>
      <c r="J1024">
        <f>I1024*365/1000</f>
        <v>5478.65</v>
      </c>
      <c r="K1024" t="s">
        <v>261</v>
      </c>
      <c r="Q1024" t="s">
        <v>483</v>
      </c>
      <c r="R1024" t="s">
        <v>2687</v>
      </c>
      <c r="S1024" t="s">
        <v>6422</v>
      </c>
      <c r="V1024" t="s">
        <v>6422</v>
      </c>
      <c r="W1024" t="s">
        <v>26197</v>
      </c>
      <c r="X1024" s="13" t="s">
        <v>26198</v>
      </c>
    </row>
    <row r="1025" spans="1:24" x14ac:dyDescent="0.35">
      <c r="A1025" t="s">
        <v>26197</v>
      </c>
      <c r="B1025" t="s">
        <v>2690</v>
      </c>
      <c r="C1025" t="s">
        <v>383</v>
      </c>
      <c r="D1025" t="s">
        <v>382</v>
      </c>
      <c r="E1025">
        <v>10.767231300000001</v>
      </c>
      <c r="F1025">
        <v>79.844851199999994</v>
      </c>
      <c r="G1025">
        <v>2026</v>
      </c>
      <c r="I1025">
        <v>273574</v>
      </c>
      <c r="J1025">
        <f>I1025*365/1000</f>
        <v>99854.51</v>
      </c>
      <c r="K1025" t="s">
        <v>261</v>
      </c>
      <c r="Q1025" t="s">
        <v>483</v>
      </c>
      <c r="R1025" t="s">
        <v>3115</v>
      </c>
      <c r="S1025" t="s">
        <v>6417</v>
      </c>
      <c r="V1025" s="110" t="s">
        <v>6417</v>
      </c>
      <c r="W1025" t="s">
        <v>26199</v>
      </c>
      <c r="X1025" s="13" t="s">
        <v>26200</v>
      </c>
    </row>
    <row r="1026" spans="1:24" x14ac:dyDescent="0.35">
      <c r="A1026" s="6" t="s">
        <v>26201</v>
      </c>
      <c r="B1026" s="6" t="s">
        <v>2692</v>
      </c>
      <c r="C1026" t="s">
        <v>383</v>
      </c>
      <c r="D1026" t="s">
        <v>382</v>
      </c>
      <c r="E1026">
        <v>25.466344899999999</v>
      </c>
      <c r="F1026">
        <v>84.419391599999997</v>
      </c>
      <c r="I1026">
        <v>306491</v>
      </c>
      <c r="J1026">
        <f t="shared" ref="J1026:J1086" si="11">I1026*365/1000</f>
        <v>111869.215</v>
      </c>
      <c r="K1026" t="s">
        <v>261</v>
      </c>
      <c r="Q1026" t="s">
        <v>1074</v>
      </c>
      <c r="R1026" t="s">
        <v>2692</v>
      </c>
      <c r="W1026" s="6" t="s">
        <v>2693</v>
      </c>
    </row>
    <row r="1027" spans="1:24" ht="43.5" x14ac:dyDescent="0.35">
      <c r="A1027" s="6" t="s">
        <v>2695</v>
      </c>
      <c r="B1027" s="6" t="s">
        <v>2694</v>
      </c>
      <c r="C1027" s="93" t="s">
        <v>383</v>
      </c>
      <c r="D1027" t="s">
        <v>382</v>
      </c>
      <c r="E1027">
        <v>22.397601300000002</v>
      </c>
      <c r="F1027">
        <v>69.719757000000001</v>
      </c>
      <c r="G1027" s="6">
        <v>2012</v>
      </c>
      <c r="I1027" s="8">
        <v>290762</v>
      </c>
      <c r="J1027">
        <f t="shared" si="11"/>
        <v>106128.13</v>
      </c>
      <c r="K1027" s="87" t="s">
        <v>1250</v>
      </c>
      <c r="Q1027" s="87" t="s">
        <v>483</v>
      </c>
      <c r="R1027" s="6" t="s">
        <v>2694</v>
      </c>
      <c r="W1027" s="6" t="s">
        <v>2695</v>
      </c>
    </row>
    <row r="1028" spans="1:24" ht="43.5" x14ac:dyDescent="0.35">
      <c r="A1028" s="6" t="s">
        <v>2695</v>
      </c>
      <c r="B1028" s="6" t="s">
        <v>2694</v>
      </c>
      <c r="C1028" s="93" t="s">
        <v>383</v>
      </c>
      <c r="D1028" t="s">
        <v>382</v>
      </c>
      <c r="E1028">
        <v>22.397601300000002</v>
      </c>
      <c r="F1028">
        <v>69.719757000000001</v>
      </c>
      <c r="G1028" s="6">
        <v>2017</v>
      </c>
      <c r="I1028" s="8">
        <v>259843</v>
      </c>
      <c r="J1028">
        <f t="shared" si="11"/>
        <v>94842.695000000007</v>
      </c>
      <c r="K1028" s="87" t="s">
        <v>261</v>
      </c>
      <c r="Q1028" s="87" t="s">
        <v>483</v>
      </c>
      <c r="R1028" s="6" t="s">
        <v>2694</v>
      </c>
      <c r="W1028" s="6" t="s">
        <v>2698</v>
      </c>
    </row>
    <row r="1029" spans="1:24" ht="15.5" x14ac:dyDescent="0.35">
      <c r="A1029" s="6" t="s">
        <v>2698</v>
      </c>
      <c r="B1029" s="6" t="s">
        <v>2697</v>
      </c>
      <c r="C1029" s="93" t="s">
        <v>383</v>
      </c>
      <c r="D1029" t="s">
        <v>382</v>
      </c>
      <c r="E1029">
        <v>19.014387299999999</v>
      </c>
      <c r="F1029">
        <v>72.896069800000006</v>
      </c>
      <c r="G1029" s="6"/>
      <c r="I1029" s="8">
        <v>95183</v>
      </c>
      <c r="J1029">
        <f t="shared" si="11"/>
        <v>34741.794999999998</v>
      </c>
      <c r="K1029" s="87" t="s">
        <v>1250</v>
      </c>
      <c r="Q1029" s="87" t="s">
        <v>483</v>
      </c>
      <c r="R1029" s="6" t="s">
        <v>2697</v>
      </c>
      <c r="W1029" s="6" t="s">
        <v>2698</v>
      </c>
    </row>
    <row r="1030" spans="1:24" ht="15.5" x14ac:dyDescent="0.35">
      <c r="A1030" s="6" t="s">
        <v>2698</v>
      </c>
      <c r="B1030" s="6" t="s">
        <v>2699</v>
      </c>
      <c r="C1030" s="93" t="s">
        <v>383</v>
      </c>
      <c r="D1030" t="s">
        <v>382</v>
      </c>
      <c r="E1030">
        <v>17.686815899999999</v>
      </c>
      <c r="F1030">
        <v>83.218481499999996</v>
      </c>
      <c r="G1030" s="6"/>
      <c r="I1030" s="8">
        <v>146954</v>
      </c>
      <c r="J1030">
        <f t="shared" si="11"/>
        <v>53638.21</v>
      </c>
      <c r="K1030" s="87" t="s">
        <v>261</v>
      </c>
      <c r="Q1030" s="87" t="s">
        <v>483</v>
      </c>
      <c r="R1030" s="6" t="s">
        <v>2699</v>
      </c>
      <c r="W1030" s="6" t="s">
        <v>2701</v>
      </c>
    </row>
    <row r="1031" spans="1:24" ht="15.5" x14ac:dyDescent="0.35">
      <c r="A1031" s="6" t="s">
        <v>2701</v>
      </c>
      <c r="B1031" s="6" t="s">
        <v>2700</v>
      </c>
      <c r="C1031" s="93" t="s">
        <v>383</v>
      </c>
      <c r="D1031" t="s">
        <v>382</v>
      </c>
      <c r="E1031">
        <v>30.210993999999999</v>
      </c>
      <c r="F1031">
        <v>74.945474500000003</v>
      </c>
      <c r="G1031" s="6">
        <v>2012</v>
      </c>
      <c r="I1031" s="8">
        <v>273325</v>
      </c>
      <c r="J1031">
        <f t="shared" si="11"/>
        <v>99763.625</v>
      </c>
      <c r="K1031" s="87" t="s">
        <v>1250</v>
      </c>
      <c r="Q1031" s="87" t="s">
        <v>483</v>
      </c>
      <c r="R1031" s="6" t="s">
        <v>2700</v>
      </c>
      <c r="W1031" s="6" t="s">
        <v>2704</v>
      </c>
    </row>
    <row r="1032" spans="1:24" ht="29" x14ac:dyDescent="0.35">
      <c r="A1032" s="6" t="s">
        <v>2704</v>
      </c>
      <c r="B1032" s="6" t="s">
        <v>2703</v>
      </c>
      <c r="C1032" s="93" t="s">
        <v>383</v>
      </c>
      <c r="D1032" t="s">
        <v>382</v>
      </c>
      <c r="E1032">
        <v>25.465748099999999</v>
      </c>
      <c r="F1032">
        <v>85.991392300000001</v>
      </c>
      <c r="G1032" s="6">
        <v>2015</v>
      </c>
      <c r="I1032" s="8">
        <v>145246</v>
      </c>
      <c r="J1032">
        <f t="shared" si="11"/>
        <v>53014.79</v>
      </c>
      <c r="K1032" s="87" t="s">
        <v>261</v>
      </c>
      <c r="Q1032" s="87" t="s">
        <v>483</v>
      </c>
      <c r="R1032" s="6" t="s">
        <v>2703</v>
      </c>
      <c r="W1032" s="6" t="s">
        <v>2704</v>
      </c>
    </row>
    <row r="1033" spans="1:24" ht="15.5" x14ac:dyDescent="0.35">
      <c r="A1033" s="6" t="s">
        <v>2704</v>
      </c>
      <c r="B1033" s="6" t="s">
        <v>2706</v>
      </c>
      <c r="C1033" s="93" t="s">
        <v>383</v>
      </c>
      <c r="D1033" t="s">
        <v>382</v>
      </c>
      <c r="E1033">
        <v>26.503007199999999</v>
      </c>
      <c r="F1033">
        <v>90.553572399999993</v>
      </c>
      <c r="G1033" s="6">
        <v>2011</v>
      </c>
      <c r="I1033" s="8">
        <v>67320</v>
      </c>
      <c r="J1033">
        <f t="shared" si="11"/>
        <v>24571.8</v>
      </c>
      <c r="K1033" s="87" t="s">
        <v>261</v>
      </c>
      <c r="Q1033" s="87" t="s">
        <v>483</v>
      </c>
      <c r="R1033" s="6" t="s">
        <v>2706</v>
      </c>
      <c r="W1033" s="6" t="s">
        <v>2704</v>
      </c>
    </row>
    <row r="1034" spans="1:24" ht="15.5" x14ac:dyDescent="0.35">
      <c r="A1034" s="6" t="s">
        <v>2704</v>
      </c>
      <c r="B1034" s="6" t="s">
        <v>2708</v>
      </c>
      <c r="C1034" s="93" t="s">
        <v>383</v>
      </c>
      <c r="D1034" t="s">
        <v>382</v>
      </c>
      <c r="E1034">
        <v>27.395032</v>
      </c>
      <c r="F1034">
        <v>95.628663599999996</v>
      </c>
      <c r="G1034" s="6">
        <v>2003</v>
      </c>
      <c r="I1034" s="8">
        <v>18875</v>
      </c>
      <c r="J1034">
        <f t="shared" si="11"/>
        <v>6889.375</v>
      </c>
      <c r="K1034" s="87" t="s">
        <v>261</v>
      </c>
      <c r="Q1034" s="87" t="s">
        <v>483</v>
      </c>
      <c r="R1034" s="6" t="s">
        <v>2708</v>
      </c>
      <c r="W1034" s="6" t="s">
        <v>2704</v>
      </c>
    </row>
    <row r="1035" spans="1:24" ht="15.5" x14ac:dyDescent="0.35">
      <c r="A1035" s="6" t="s">
        <v>2704</v>
      </c>
      <c r="B1035" s="6" t="s">
        <v>2710</v>
      </c>
      <c r="C1035" s="93" t="s">
        <v>383</v>
      </c>
      <c r="D1035" t="s">
        <v>382</v>
      </c>
      <c r="E1035">
        <v>26.115791699999999</v>
      </c>
      <c r="F1035">
        <v>91.708593300000004</v>
      </c>
      <c r="G1035" s="6"/>
      <c r="I1035" s="8">
        <v>25975</v>
      </c>
      <c r="J1035">
        <f t="shared" si="11"/>
        <v>9480.875</v>
      </c>
      <c r="K1035" s="87" t="s">
        <v>261</v>
      </c>
      <c r="Q1035" s="87" t="s">
        <v>483</v>
      </c>
      <c r="R1035" s="6" t="s">
        <v>2710</v>
      </c>
      <c r="W1035" s="6" t="s">
        <v>2704</v>
      </c>
    </row>
    <row r="1036" spans="1:24" ht="15.5" x14ac:dyDescent="0.35">
      <c r="A1036" s="6" t="s">
        <v>2704</v>
      </c>
      <c r="B1036" s="6" t="s">
        <v>2712</v>
      </c>
      <c r="C1036" s="93" t="s">
        <v>383</v>
      </c>
      <c r="D1036" t="s">
        <v>382</v>
      </c>
      <c r="E1036">
        <v>22.062716399999999</v>
      </c>
      <c r="F1036">
        <v>88.083293400000002</v>
      </c>
      <c r="G1036" s="6">
        <v>2011</v>
      </c>
      <c r="I1036" s="8">
        <v>177153</v>
      </c>
      <c r="J1036">
        <f t="shared" si="11"/>
        <v>64660.845000000001</v>
      </c>
      <c r="K1036" s="87" t="s">
        <v>261</v>
      </c>
      <c r="Q1036" s="87" t="s">
        <v>483</v>
      </c>
      <c r="R1036" s="6" t="s">
        <v>2712</v>
      </c>
      <c r="W1036" s="6" t="s">
        <v>2704</v>
      </c>
    </row>
    <row r="1037" spans="1:24" ht="15.5" x14ac:dyDescent="0.35">
      <c r="A1037" s="6" t="s">
        <v>2704</v>
      </c>
      <c r="B1037" s="6" t="s">
        <v>2713</v>
      </c>
      <c r="C1037" s="93" t="s">
        <v>383</v>
      </c>
      <c r="D1037" t="s">
        <v>382</v>
      </c>
      <c r="E1037">
        <v>22.3580653</v>
      </c>
      <c r="F1037">
        <v>73.1143067</v>
      </c>
      <c r="G1037" s="6"/>
      <c r="I1037" s="8">
        <v>100845</v>
      </c>
      <c r="J1037">
        <f t="shared" si="11"/>
        <v>36808.425000000003</v>
      </c>
      <c r="K1037" s="87" t="s">
        <v>1250</v>
      </c>
      <c r="Q1037" s="87" t="s">
        <v>483</v>
      </c>
      <c r="R1037" s="6" t="s">
        <v>2713</v>
      </c>
      <c r="W1037" s="6" t="s">
        <v>2704</v>
      </c>
    </row>
    <row r="1038" spans="1:24" ht="15.5" x14ac:dyDescent="0.35">
      <c r="A1038" s="6" t="s">
        <v>2704</v>
      </c>
      <c r="B1038" s="6" t="s">
        <v>2713</v>
      </c>
      <c r="C1038" s="93" t="s">
        <v>383</v>
      </c>
      <c r="D1038" t="s">
        <v>382</v>
      </c>
      <c r="E1038">
        <v>22.3580653</v>
      </c>
      <c r="F1038">
        <v>73.1143067</v>
      </c>
      <c r="G1038" s="6">
        <v>2011</v>
      </c>
      <c r="I1038" s="8">
        <v>165379</v>
      </c>
      <c r="J1038">
        <f t="shared" si="11"/>
        <v>60363.334999999999</v>
      </c>
      <c r="K1038" s="87" t="s">
        <v>261</v>
      </c>
      <c r="Q1038" s="87" t="s">
        <v>483</v>
      </c>
      <c r="R1038" s="6" t="s">
        <v>2713</v>
      </c>
      <c r="W1038" s="6" t="s">
        <v>2704</v>
      </c>
    </row>
    <row r="1039" spans="1:24" ht="15.5" x14ac:dyDescent="0.35">
      <c r="A1039" s="6" t="s">
        <v>2704</v>
      </c>
      <c r="B1039" s="6" t="s">
        <v>2715</v>
      </c>
      <c r="C1039" s="93" t="s">
        <v>383</v>
      </c>
      <c r="D1039" t="s">
        <v>382</v>
      </c>
      <c r="E1039">
        <v>27.4924134</v>
      </c>
      <c r="F1039">
        <v>77.673672999999994</v>
      </c>
      <c r="G1039" s="6">
        <v>2005</v>
      </c>
      <c r="I1039" s="8">
        <v>252743</v>
      </c>
      <c r="J1039">
        <f t="shared" si="11"/>
        <v>92251.195000000007</v>
      </c>
      <c r="K1039" s="87" t="s">
        <v>1250</v>
      </c>
      <c r="Q1039" s="87" t="s">
        <v>483</v>
      </c>
      <c r="R1039" s="6" t="s">
        <v>2715</v>
      </c>
      <c r="W1039" s="6" t="s">
        <v>2704</v>
      </c>
    </row>
    <row r="1040" spans="1:24" ht="15.5" x14ac:dyDescent="0.35">
      <c r="A1040" s="6" t="s">
        <v>2704</v>
      </c>
      <c r="B1040" s="6" t="s">
        <v>2717</v>
      </c>
      <c r="C1040" s="93" t="s">
        <v>383</v>
      </c>
      <c r="D1040" t="s">
        <v>382</v>
      </c>
      <c r="E1040">
        <v>29.390946400000001</v>
      </c>
      <c r="F1040">
        <v>76.963502300000002</v>
      </c>
      <c r="G1040" s="6"/>
      <c r="I1040" s="8">
        <v>437446</v>
      </c>
      <c r="J1040">
        <f t="shared" si="11"/>
        <v>159667.79</v>
      </c>
      <c r="K1040" s="87" t="s">
        <v>261</v>
      </c>
      <c r="Q1040" s="87" t="s">
        <v>483</v>
      </c>
      <c r="R1040" s="6" t="s">
        <v>2717</v>
      </c>
      <c r="W1040" s="6" t="s">
        <v>2704</v>
      </c>
    </row>
    <row r="1041" spans="1:23" ht="15.5" x14ac:dyDescent="0.35">
      <c r="A1041" s="6" t="s">
        <v>2704</v>
      </c>
      <c r="B1041" s="6" t="s">
        <v>2717</v>
      </c>
      <c r="C1041" s="93" t="s">
        <v>383</v>
      </c>
      <c r="D1041" t="s">
        <v>382</v>
      </c>
      <c r="E1041">
        <v>29.390946400000001</v>
      </c>
      <c r="F1041">
        <v>76.963502300000002</v>
      </c>
      <c r="G1041" s="6">
        <v>2011</v>
      </c>
      <c r="I1041" s="8">
        <v>159717</v>
      </c>
      <c r="J1041">
        <f t="shared" si="11"/>
        <v>58296.705000000002</v>
      </c>
      <c r="K1041" s="87" t="s">
        <v>1250</v>
      </c>
      <c r="Q1041" s="87" t="s">
        <v>483</v>
      </c>
      <c r="R1041" s="6" t="s">
        <v>2717</v>
      </c>
      <c r="W1041" s="6" t="s">
        <v>2704</v>
      </c>
    </row>
    <row r="1042" spans="1:23" ht="15.5" x14ac:dyDescent="0.35">
      <c r="A1042" s="6" t="s">
        <v>2704</v>
      </c>
      <c r="B1042" s="6" t="s">
        <v>2717</v>
      </c>
      <c r="C1042" s="93" t="s">
        <v>383</v>
      </c>
      <c r="D1042" t="s">
        <v>382</v>
      </c>
      <c r="E1042">
        <v>29.390946400000001</v>
      </c>
      <c r="F1042">
        <v>76.963502300000002</v>
      </c>
      <c r="G1042" s="6">
        <v>2020</v>
      </c>
      <c r="I1042" s="8">
        <v>121428</v>
      </c>
      <c r="J1042">
        <f t="shared" si="11"/>
        <v>44321.22</v>
      </c>
      <c r="K1042" s="87" t="s">
        <v>1250</v>
      </c>
      <c r="Q1042" s="87" t="s">
        <v>483</v>
      </c>
      <c r="R1042" s="6" t="s">
        <v>2717</v>
      </c>
      <c r="W1042" s="6" t="s">
        <v>2704</v>
      </c>
    </row>
    <row r="1043" spans="1:23" ht="15.5" x14ac:dyDescent="0.35">
      <c r="A1043" s="6" t="s">
        <v>2704</v>
      </c>
      <c r="B1043" s="6" t="s">
        <v>2719</v>
      </c>
      <c r="C1043" s="93" t="s">
        <v>383</v>
      </c>
      <c r="D1043" t="s">
        <v>382</v>
      </c>
      <c r="E1043">
        <v>20.316552300000001</v>
      </c>
      <c r="F1043">
        <v>86.611362799999995</v>
      </c>
      <c r="G1043" s="6">
        <v>2015</v>
      </c>
      <c r="I1043" s="8">
        <v>212566</v>
      </c>
      <c r="J1043">
        <f t="shared" si="11"/>
        <v>77586.59</v>
      </c>
      <c r="K1043" s="87" t="s">
        <v>261</v>
      </c>
      <c r="Q1043" s="87" t="s">
        <v>483</v>
      </c>
      <c r="R1043" s="6" t="s">
        <v>2719</v>
      </c>
      <c r="W1043" s="6" t="s">
        <v>2721</v>
      </c>
    </row>
    <row r="1044" spans="1:23" ht="29" x14ac:dyDescent="0.35">
      <c r="A1044" s="6" t="s">
        <v>2721</v>
      </c>
      <c r="B1044" s="6" t="s">
        <v>2720</v>
      </c>
      <c r="C1044" s="93" t="s">
        <v>383</v>
      </c>
      <c r="D1044" t="s">
        <v>382</v>
      </c>
      <c r="E1044">
        <v>32.243187200000001</v>
      </c>
      <c r="F1044">
        <v>77.189176099999997</v>
      </c>
      <c r="G1044" s="6"/>
      <c r="I1044" s="8">
        <v>168795</v>
      </c>
      <c r="J1044">
        <f t="shared" si="11"/>
        <v>61610.175000000003</v>
      </c>
      <c r="K1044" s="87" t="s">
        <v>1250</v>
      </c>
      <c r="Q1044" s="87" t="s">
        <v>1074</v>
      </c>
      <c r="R1044" s="6" t="s">
        <v>2720</v>
      </c>
      <c r="W1044" s="6" t="s">
        <v>2723</v>
      </c>
    </row>
    <row r="1045" spans="1:23" ht="29" x14ac:dyDescent="0.35">
      <c r="A1045" s="6" t="s">
        <v>2723</v>
      </c>
      <c r="B1045" s="6" t="s">
        <v>2722</v>
      </c>
      <c r="C1045" s="93" t="s">
        <v>383</v>
      </c>
      <c r="D1045" t="s">
        <v>382</v>
      </c>
      <c r="E1045">
        <v>12.9141417</v>
      </c>
      <c r="F1045">
        <v>74.855956800000001</v>
      </c>
      <c r="G1045" s="6"/>
      <c r="I1045" s="8">
        <v>106058</v>
      </c>
      <c r="J1045">
        <f t="shared" si="11"/>
        <v>38711.17</v>
      </c>
      <c r="K1045" s="87" t="s">
        <v>1250</v>
      </c>
      <c r="Q1045" s="87" t="s">
        <v>1074</v>
      </c>
      <c r="R1045" s="6" t="s">
        <v>2722</v>
      </c>
      <c r="W1045" s="6" t="s">
        <v>2724</v>
      </c>
    </row>
    <row r="1046" spans="1:23" ht="29" x14ac:dyDescent="0.35">
      <c r="A1046" s="6" t="s">
        <v>2724</v>
      </c>
      <c r="B1046" s="6" t="s">
        <v>2722</v>
      </c>
      <c r="C1046" s="93" t="s">
        <v>383</v>
      </c>
      <c r="D1046" t="s">
        <v>382</v>
      </c>
      <c r="E1046">
        <v>12.9141417</v>
      </c>
      <c r="F1046">
        <v>74.855956800000001</v>
      </c>
      <c r="G1046" s="6"/>
      <c r="I1046" s="8">
        <v>209870</v>
      </c>
      <c r="J1046">
        <f t="shared" si="11"/>
        <v>76602.55</v>
      </c>
      <c r="K1046" s="87" t="s">
        <v>1250</v>
      </c>
      <c r="Q1046" s="87" t="s">
        <v>483</v>
      </c>
      <c r="R1046" s="6" t="s">
        <v>2722</v>
      </c>
      <c r="W1046" s="6" t="s">
        <v>2726</v>
      </c>
    </row>
    <row r="1047" spans="1:23" ht="15.5" x14ac:dyDescent="0.35">
      <c r="A1047" s="6" t="s">
        <v>2726</v>
      </c>
      <c r="B1047" s="6" t="s">
        <v>2700</v>
      </c>
      <c r="C1047" s="93" t="s">
        <v>383</v>
      </c>
      <c r="D1047" t="s">
        <v>382</v>
      </c>
      <c r="E1047">
        <v>30.210993999999999</v>
      </c>
      <c r="F1047">
        <v>74.945474500000003</v>
      </c>
      <c r="G1047" s="6"/>
      <c r="I1047" s="8">
        <v>144437</v>
      </c>
      <c r="J1047">
        <f t="shared" si="11"/>
        <v>52719.504999999997</v>
      </c>
      <c r="K1047" s="87" t="s">
        <v>1250</v>
      </c>
      <c r="Q1047" s="87" t="s">
        <v>1074</v>
      </c>
      <c r="R1047" s="6" t="s">
        <v>2700</v>
      </c>
      <c r="W1047" s="6"/>
    </row>
    <row r="1048" spans="1:23" ht="15.5" x14ac:dyDescent="0.35">
      <c r="A1048" s="6"/>
      <c r="B1048" s="6" t="s">
        <v>2727</v>
      </c>
      <c r="C1048" s="93" t="s">
        <v>383</v>
      </c>
      <c r="D1048" t="s">
        <v>382</v>
      </c>
      <c r="E1048">
        <v>31.383221299999999</v>
      </c>
      <c r="F1048">
        <v>76.376575299999999</v>
      </c>
      <c r="G1048" s="6"/>
      <c r="I1048" s="8">
        <v>144437</v>
      </c>
      <c r="J1048">
        <f t="shared" si="11"/>
        <v>52719.504999999997</v>
      </c>
      <c r="K1048" s="87" t="s">
        <v>1250</v>
      </c>
      <c r="Q1048" s="87" t="s">
        <v>1074</v>
      </c>
      <c r="R1048" s="6" t="s">
        <v>2727</v>
      </c>
      <c r="W1048" s="6"/>
    </row>
    <row r="1049" spans="1:23" ht="15.5" x14ac:dyDescent="0.35">
      <c r="A1049" s="6"/>
      <c r="B1049" s="6" t="s">
        <v>2717</v>
      </c>
      <c r="C1049" s="93" t="s">
        <v>383</v>
      </c>
      <c r="D1049" t="s">
        <v>382</v>
      </c>
      <c r="E1049">
        <v>29.390946400000001</v>
      </c>
      <c r="F1049">
        <v>76.963502300000002</v>
      </c>
      <c r="G1049" s="6"/>
      <c r="I1049" s="8">
        <v>149381</v>
      </c>
      <c r="J1049">
        <f t="shared" si="11"/>
        <v>54524.065000000002</v>
      </c>
      <c r="K1049" s="87" t="s">
        <v>1250</v>
      </c>
      <c r="Q1049" s="87" t="s">
        <v>1074</v>
      </c>
      <c r="R1049" s="6" t="s">
        <v>2717</v>
      </c>
      <c r="W1049" s="6"/>
    </row>
    <row r="1050" spans="1:23" ht="15.5" x14ac:dyDescent="0.35">
      <c r="A1050" s="6"/>
      <c r="B1050" s="6" t="s">
        <v>2728</v>
      </c>
      <c r="C1050" s="93" t="s">
        <v>383</v>
      </c>
      <c r="D1050" t="s">
        <v>382</v>
      </c>
      <c r="E1050">
        <v>24.482965799999999</v>
      </c>
      <c r="F1050">
        <v>77.160020099999997</v>
      </c>
      <c r="G1050" s="6"/>
      <c r="I1050" s="8">
        <v>297683</v>
      </c>
      <c r="J1050">
        <f t="shared" si="11"/>
        <v>108654.295</v>
      </c>
      <c r="K1050" s="87" t="s">
        <v>261</v>
      </c>
      <c r="Q1050" s="87" t="s">
        <v>1074</v>
      </c>
      <c r="R1050" s="6" t="s">
        <v>2728</v>
      </c>
      <c r="W1050" s="6"/>
    </row>
    <row r="1051" spans="1:23" ht="15.5" x14ac:dyDescent="0.35">
      <c r="A1051" s="6"/>
      <c r="B1051" s="6" t="s">
        <v>2728</v>
      </c>
      <c r="C1051" s="93" t="s">
        <v>383</v>
      </c>
      <c r="D1051" t="s">
        <v>382</v>
      </c>
      <c r="E1051">
        <v>24.482965799999999</v>
      </c>
      <c r="F1051">
        <v>77.160020099999997</v>
      </c>
      <c r="G1051" s="6"/>
      <c r="I1051" s="8">
        <v>216970</v>
      </c>
      <c r="J1051">
        <f t="shared" si="11"/>
        <v>79194.05</v>
      </c>
      <c r="K1051" s="87" t="s">
        <v>261</v>
      </c>
      <c r="Q1051" s="87" t="s">
        <v>1074</v>
      </c>
      <c r="R1051" s="6" t="s">
        <v>2728</v>
      </c>
      <c r="W1051" s="6" t="s">
        <v>2730</v>
      </c>
    </row>
    <row r="1052" spans="1:23" ht="15.5" x14ac:dyDescent="0.35">
      <c r="A1052" s="6" t="s">
        <v>2730</v>
      </c>
      <c r="B1052" s="6" t="s">
        <v>2729</v>
      </c>
      <c r="C1052" s="93" t="s">
        <v>383</v>
      </c>
      <c r="D1052" t="s">
        <v>382</v>
      </c>
      <c r="E1052">
        <v>26.588500499999999</v>
      </c>
      <c r="F1052">
        <v>93.748587400000005</v>
      </c>
      <c r="G1052" s="6"/>
      <c r="I1052" s="8">
        <v>133112</v>
      </c>
      <c r="J1052">
        <f t="shared" si="11"/>
        <v>48585.88</v>
      </c>
      <c r="K1052" s="87" t="s">
        <v>1250</v>
      </c>
      <c r="Q1052" s="87" t="s">
        <v>483</v>
      </c>
      <c r="R1052" s="6" t="s">
        <v>2729</v>
      </c>
      <c r="W1052" s="6" t="s">
        <v>2731</v>
      </c>
    </row>
    <row r="1053" spans="1:23" ht="15.5" x14ac:dyDescent="0.35">
      <c r="A1053" s="6" t="s">
        <v>2731</v>
      </c>
      <c r="B1053" s="6" t="s">
        <v>2719</v>
      </c>
      <c r="C1053" s="93" t="s">
        <v>383</v>
      </c>
      <c r="D1053" t="s">
        <v>382</v>
      </c>
      <c r="E1053">
        <v>20.316552300000001</v>
      </c>
      <c r="F1053">
        <v>86.611362799999995</v>
      </c>
      <c r="G1053" s="6">
        <v>2015</v>
      </c>
      <c r="I1053" s="8">
        <v>212566</v>
      </c>
      <c r="J1053">
        <f t="shared" si="11"/>
        <v>77586.59</v>
      </c>
      <c r="K1053" s="87"/>
      <c r="Q1053" s="87" t="s">
        <v>483</v>
      </c>
      <c r="R1053" s="6" t="s">
        <v>2719</v>
      </c>
      <c r="W1053" s="6" t="s">
        <v>2734</v>
      </c>
    </row>
    <row r="1054" spans="1:23" ht="29" x14ac:dyDescent="0.35">
      <c r="A1054" s="6" t="s">
        <v>2734</v>
      </c>
      <c r="B1054" s="6" t="s">
        <v>2733</v>
      </c>
      <c r="C1054" s="93" t="s">
        <v>383</v>
      </c>
      <c r="D1054" t="s">
        <v>382</v>
      </c>
      <c r="E1054">
        <v>22.470701900000002</v>
      </c>
      <c r="F1054">
        <v>70.057730000000006</v>
      </c>
      <c r="G1054" s="6"/>
      <c r="I1054" s="8">
        <v>1240074</v>
      </c>
      <c r="J1054">
        <f t="shared" si="11"/>
        <v>452627.01</v>
      </c>
      <c r="K1054" s="87" t="s">
        <v>261</v>
      </c>
      <c r="Q1054" s="87" t="s">
        <v>483</v>
      </c>
      <c r="R1054" s="6" t="s">
        <v>2733</v>
      </c>
      <c r="W1054" s="6" t="s">
        <v>2736</v>
      </c>
    </row>
    <row r="1055" spans="1:23" ht="29" x14ac:dyDescent="0.35">
      <c r="A1055" s="6" t="s">
        <v>2743</v>
      </c>
      <c r="B1055" s="6" t="s">
        <v>2742</v>
      </c>
      <c r="C1055" s="93" t="s">
        <v>383</v>
      </c>
      <c r="D1055" t="s">
        <v>382</v>
      </c>
      <c r="E1055">
        <v>22.839564200000002</v>
      </c>
      <c r="F1055">
        <v>69.724074900000005</v>
      </c>
      <c r="G1055" s="6"/>
      <c r="I1055">
        <v>360</v>
      </c>
      <c r="J1055">
        <f t="shared" si="11"/>
        <v>131.4</v>
      </c>
      <c r="K1055" s="6"/>
      <c r="Q1055" s="6"/>
      <c r="R1055" s="6" t="s">
        <v>2742</v>
      </c>
      <c r="W1055" s="6" t="s">
        <v>2745</v>
      </c>
    </row>
    <row r="1056" spans="1:23" ht="29" x14ac:dyDescent="0.35">
      <c r="A1056" s="6" t="s">
        <v>2745</v>
      </c>
      <c r="B1056" s="6" t="s">
        <v>2744</v>
      </c>
      <c r="C1056" s="93" t="s">
        <v>383</v>
      </c>
      <c r="D1056" t="s">
        <v>382</v>
      </c>
      <c r="E1056">
        <v>23.840987399999999</v>
      </c>
      <c r="F1056">
        <v>84.101286099999996</v>
      </c>
      <c r="G1056" s="6"/>
      <c r="I1056" s="8">
        <v>7550</v>
      </c>
      <c r="J1056">
        <f t="shared" si="11"/>
        <v>2755.75</v>
      </c>
      <c r="K1056" s="6"/>
      <c r="Q1056" s="6" t="s">
        <v>494</v>
      </c>
      <c r="R1056" s="6" t="s">
        <v>2744</v>
      </c>
      <c r="W1056" s="6" t="s">
        <v>2747</v>
      </c>
    </row>
    <row r="1057" spans="1:23" ht="15.5" x14ac:dyDescent="0.35">
      <c r="A1057" s="6" t="s">
        <v>2747</v>
      </c>
      <c r="B1057" s="6" t="s">
        <v>2746</v>
      </c>
      <c r="C1057" s="93" t="s">
        <v>383</v>
      </c>
      <c r="D1057" t="s">
        <v>382</v>
      </c>
      <c r="E1057">
        <v>23.022504999999999</v>
      </c>
      <c r="F1057">
        <v>72.571362100000002</v>
      </c>
      <c r="G1057" s="6"/>
      <c r="J1057">
        <f t="shared" si="11"/>
        <v>0</v>
      </c>
      <c r="K1057" s="6"/>
      <c r="Q1057" s="6"/>
      <c r="R1057" s="6" t="s">
        <v>2746</v>
      </c>
      <c r="W1057" s="6" t="s">
        <v>2747</v>
      </c>
    </row>
    <row r="1058" spans="1:23" ht="15.5" x14ac:dyDescent="0.35">
      <c r="A1058" s="6" t="s">
        <v>2747</v>
      </c>
      <c r="B1058" s="108" t="s">
        <v>2748</v>
      </c>
      <c r="C1058" s="93" t="s">
        <v>383</v>
      </c>
      <c r="D1058" t="s">
        <v>382</v>
      </c>
      <c r="E1058">
        <v>21.170240100000001</v>
      </c>
      <c r="F1058">
        <v>72.831060699999995</v>
      </c>
      <c r="G1058" s="6"/>
      <c r="J1058">
        <f t="shared" si="11"/>
        <v>0</v>
      </c>
      <c r="K1058" s="6"/>
      <c r="Q1058" s="6"/>
      <c r="R1058" s="108" t="s">
        <v>2748</v>
      </c>
      <c r="W1058" s="6" t="s">
        <v>525</v>
      </c>
    </row>
    <row r="1059" spans="1:23" ht="15.5" x14ac:dyDescent="0.35">
      <c r="A1059" s="6" t="s">
        <v>525</v>
      </c>
      <c r="B1059" s="6" t="s">
        <v>2749</v>
      </c>
      <c r="C1059" s="93" t="s">
        <v>383</v>
      </c>
      <c r="D1059" t="s">
        <v>382</v>
      </c>
      <c r="E1059">
        <v>9.9312328000000001</v>
      </c>
      <c r="F1059">
        <v>76.267304100000004</v>
      </c>
      <c r="G1059" s="6">
        <v>2018</v>
      </c>
      <c r="I1059" s="8">
        <v>393585</v>
      </c>
      <c r="J1059">
        <f t="shared" si="11"/>
        <v>143658.52499999999</v>
      </c>
      <c r="K1059" s="6" t="s">
        <v>261</v>
      </c>
      <c r="Q1059" s="6"/>
      <c r="R1059" s="6" t="s">
        <v>2749</v>
      </c>
      <c r="W1059" s="6" t="s">
        <v>2751</v>
      </c>
    </row>
    <row r="1060" spans="1:23" ht="29" x14ac:dyDescent="0.35">
      <c r="A1060" s="6" t="s">
        <v>2751</v>
      </c>
      <c r="B1060" s="6" t="s">
        <v>2750</v>
      </c>
      <c r="C1060" s="93" t="s">
        <v>383</v>
      </c>
      <c r="D1060" t="s">
        <v>382</v>
      </c>
      <c r="E1060">
        <v>18.394780399999998</v>
      </c>
      <c r="F1060">
        <v>74.539376599999997</v>
      </c>
      <c r="G1060" s="6">
        <v>1998</v>
      </c>
      <c r="I1060">
        <v>719</v>
      </c>
      <c r="J1060">
        <f t="shared" si="11"/>
        <v>262.435</v>
      </c>
      <c r="K1060" s="109"/>
      <c r="Q1060" s="6"/>
      <c r="R1060" s="6" t="s">
        <v>2750</v>
      </c>
      <c r="W1060" s="6" t="s">
        <v>2753</v>
      </c>
    </row>
    <row r="1061" spans="1:23" ht="29" x14ac:dyDescent="0.35">
      <c r="A1061" s="6" t="s">
        <v>2753</v>
      </c>
      <c r="B1061" s="6" t="s">
        <v>2752</v>
      </c>
      <c r="C1061" s="93" t="s">
        <v>383</v>
      </c>
      <c r="D1061" t="s">
        <v>382</v>
      </c>
      <c r="E1061">
        <v>17.179343899999999</v>
      </c>
      <c r="F1061">
        <v>81.615838199999999</v>
      </c>
      <c r="G1061" s="6">
        <v>1997</v>
      </c>
      <c r="I1061" s="8">
        <v>12493</v>
      </c>
      <c r="J1061">
        <f t="shared" si="11"/>
        <v>4559.9449999999997</v>
      </c>
      <c r="K1061" s="6"/>
      <c r="Q1061" s="6" t="s">
        <v>494</v>
      </c>
      <c r="R1061" s="6" t="s">
        <v>2752</v>
      </c>
      <c r="W1061" s="6" t="s">
        <v>2755</v>
      </c>
    </row>
    <row r="1062" spans="1:23" ht="29" x14ac:dyDescent="0.35">
      <c r="A1062" s="6" t="s">
        <v>2755</v>
      </c>
      <c r="B1062" s="6" t="s">
        <v>2754</v>
      </c>
      <c r="C1062" s="93" t="s">
        <v>383</v>
      </c>
      <c r="D1062" t="s">
        <v>382</v>
      </c>
      <c r="E1062">
        <v>12.987965900000001</v>
      </c>
      <c r="F1062">
        <v>77.689524800000001</v>
      </c>
      <c r="G1062" s="6">
        <v>1982</v>
      </c>
      <c r="I1062">
        <v>90</v>
      </c>
      <c r="J1062">
        <f t="shared" si="11"/>
        <v>32.85</v>
      </c>
      <c r="K1062" s="6" t="s">
        <v>502</v>
      </c>
      <c r="Q1062" s="6"/>
      <c r="R1062" s="6" t="s">
        <v>2754</v>
      </c>
      <c r="W1062" s="6" t="s">
        <v>2757</v>
      </c>
    </row>
    <row r="1063" spans="1:23" ht="29" x14ac:dyDescent="0.35">
      <c r="A1063" s="6" t="s">
        <v>2757</v>
      </c>
      <c r="B1063" s="6" t="s">
        <v>2756</v>
      </c>
      <c r="C1063" s="93" t="s">
        <v>383</v>
      </c>
      <c r="D1063" t="s">
        <v>382</v>
      </c>
      <c r="E1063">
        <v>11.941591499999999</v>
      </c>
      <c r="F1063">
        <v>79.808313299999995</v>
      </c>
      <c r="G1063" s="6">
        <v>1985</v>
      </c>
      <c r="I1063" s="8">
        <v>3146</v>
      </c>
      <c r="J1063">
        <f t="shared" si="11"/>
        <v>1148.29</v>
      </c>
      <c r="K1063" s="6"/>
      <c r="Q1063" s="6" t="s">
        <v>494</v>
      </c>
      <c r="R1063" s="6" t="s">
        <v>2756</v>
      </c>
      <c r="W1063" s="6" t="s">
        <v>2759</v>
      </c>
    </row>
    <row r="1064" spans="1:23" ht="15.5" x14ac:dyDescent="0.35">
      <c r="A1064" s="6" t="s">
        <v>2759</v>
      </c>
      <c r="B1064" s="6" t="s">
        <v>2758</v>
      </c>
      <c r="C1064" s="93" t="s">
        <v>383</v>
      </c>
      <c r="D1064" t="s">
        <v>382</v>
      </c>
      <c r="E1064">
        <v>21.705135800000001</v>
      </c>
      <c r="F1064">
        <v>72.995874799999996</v>
      </c>
      <c r="G1064" s="6">
        <v>1996</v>
      </c>
      <c r="I1064" s="8">
        <v>33615</v>
      </c>
      <c r="J1064">
        <f t="shared" si="11"/>
        <v>12269.475</v>
      </c>
      <c r="K1064" s="6"/>
      <c r="Q1064" s="6" t="s">
        <v>494</v>
      </c>
      <c r="R1064" s="6" t="s">
        <v>2758</v>
      </c>
      <c r="W1064" s="6" t="s">
        <v>2759</v>
      </c>
    </row>
    <row r="1065" spans="1:23" ht="29" x14ac:dyDescent="0.35">
      <c r="A1065" s="6" t="s">
        <v>2759</v>
      </c>
      <c r="B1065" s="6" t="s">
        <v>2760</v>
      </c>
      <c r="C1065" s="93" t="s">
        <v>383</v>
      </c>
      <c r="D1065" t="s">
        <v>382</v>
      </c>
      <c r="E1065">
        <v>25.2138156</v>
      </c>
      <c r="F1065">
        <v>75.864752699999997</v>
      </c>
      <c r="G1065" s="6">
        <v>1963</v>
      </c>
      <c r="I1065" s="8">
        <v>12493</v>
      </c>
      <c r="J1065">
        <f t="shared" si="11"/>
        <v>4559.9449999999997</v>
      </c>
      <c r="K1065" s="6"/>
      <c r="Q1065" s="6" t="s">
        <v>494</v>
      </c>
      <c r="R1065" s="6" t="s">
        <v>2760</v>
      </c>
      <c r="W1065" s="6" t="s">
        <v>2762</v>
      </c>
    </row>
    <row r="1066" spans="1:23" ht="29" x14ac:dyDescent="0.35">
      <c r="A1066" s="6" t="s">
        <v>2762</v>
      </c>
      <c r="B1066" s="6" t="s">
        <v>2761</v>
      </c>
      <c r="C1066" s="93" t="s">
        <v>383</v>
      </c>
      <c r="D1066" t="s">
        <v>382</v>
      </c>
      <c r="E1066">
        <v>22.595768899999999</v>
      </c>
      <c r="F1066">
        <v>88.263639400000002</v>
      </c>
      <c r="G1066" s="6"/>
      <c r="J1066">
        <f t="shared" si="11"/>
        <v>0</v>
      </c>
      <c r="K1066" s="6"/>
      <c r="Q1066" s="6" t="s">
        <v>1074</v>
      </c>
      <c r="R1066" s="6" t="s">
        <v>2761</v>
      </c>
      <c r="W1066" s="6" t="s">
        <v>2762</v>
      </c>
    </row>
    <row r="1067" spans="1:23" ht="29" x14ac:dyDescent="0.35">
      <c r="A1067" s="6" t="s">
        <v>2762</v>
      </c>
      <c r="B1067" s="6" t="s">
        <v>2763</v>
      </c>
      <c r="C1067" s="93" t="s">
        <v>383</v>
      </c>
      <c r="D1067" t="s">
        <v>382</v>
      </c>
      <c r="E1067">
        <v>22.572645999999999</v>
      </c>
      <c r="F1067">
        <v>88.363894999999999</v>
      </c>
      <c r="G1067" s="6"/>
      <c r="J1067">
        <f t="shared" si="11"/>
        <v>0</v>
      </c>
      <c r="K1067" s="6"/>
      <c r="Q1067" s="6"/>
      <c r="R1067" s="6" t="s">
        <v>2763</v>
      </c>
      <c r="W1067" s="6" t="s">
        <v>2762</v>
      </c>
    </row>
    <row r="1068" spans="1:23" ht="43.5" x14ac:dyDescent="0.35">
      <c r="A1068" s="6" t="s">
        <v>2762</v>
      </c>
      <c r="B1068" s="6" t="s">
        <v>2764</v>
      </c>
      <c r="C1068" s="93" t="s">
        <v>383</v>
      </c>
      <c r="D1068" t="s">
        <v>382</v>
      </c>
      <c r="E1068">
        <v>17.686815899999999</v>
      </c>
      <c r="F1068">
        <v>83.218481499999996</v>
      </c>
      <c r="G1068" s="6"/>
      <c r="J1068">
        <f t="shared" si="11"/>
        <v>0</v>
      </c>
      <c r="K1068" s="6"/>
      <c r="Q1068" s="6"/>
      <c r="R1068" s="6" t="s">
        <v>2764</v>
      </c>
      <c r="W1068" s="6" t="s">
        <v>2766</v>
      </c>
    </row>
    <row r="1069" spans="1:23" ht="29" x14ac:dyDescent="0.35">
      <c r="A1069" s="6" t="s">
        <v>2766</v>
      </c>
      <c r="B1069" s="6" t="s">
        <v>2765</v>
      </c>
      <c r="C1069" s="93" t="s">
        <v>383</v>
      </c>
      <c r="D1069" t="s">
        <v>382</v>
      </c>
      <c r="E1069">
        <v>21.713215099999999</v>
      </c>
      <c r="F1069">
        <v>72.5842502</v>
      </c>
      <c r="G1069" s="6"/>
      <c r="I1069" s="8">
        <v>18875</v>
      </c>
      <c r="J1069">
        <f t="shared" si="11"/>
        <v>6889.375</v>
      </c>
      <c r="K1069" s="6"/>
      <c r="Q1069" s="6" t="s">
        <v>494</v>
      </c>
      <c r="R1069" s="6" t="s">
        <v>2765</v>
      </c>
      <c r="W1069" s="6" t="s">
        <v>2769</v>
      </c>
    </row>
    <row r="1070" spans="1:23" ht="29" x14ac:dyDescent="0.35">
      <c r="A1070" s="6" t="s">
        <v>2769</v>
      </c>
      <c r="B1070" s="6" t="s">
        <v>2768</v>
      </c>
      <c r="C1070" s="93" t="s">
        <v>383</v>
      </c>
      <c r="D1070" t="s">
        <v>382</v>
      </c>
      <c r="E1070">
        <v>28.6691565</v>
      </c>
      <c r="F1070">
        <v>77.453757800000005</v>
      </c>
      <c r="G1070" s="6"/>
      <c r="I1070" s="8">
        <v>119990</v>
      </c>
      <c r="J1070">
        <f t="shared" si="11"/>
        <v>43796.35</v>
      </c>
      <c r="K1070" s="6"/>
      <c r="Q1070" s="6"/>
      <c r="R1070" s="6" t="s">
        <v>2768</v>
      </c>
      <c r="W1070" s="6" t="s">
        <v>2693</v>
      </c>
    </row>
    <row r="1071" spans="1:23" ht="29" x14ac:dyDescent="0.35">
      <c r="A1071" s="6" t="s">
        <v>2693</v>
      </c>
      <c r="B1071" s="6" t="s">
        <v>2770</v>
      </c>
      <c r="C1071" s="93" t="s">
        <v>383</v>
      </c>
      <c r="D1071" t="s">
        <v>382</v>
      </c>
      <c r="E1071">
        <v>16.959199000000002</v>
      </c>
      <c r="F1071">
        <v>82.005288300000004</v>
      </c>
      <c r="G1071" s="6">
        <v>2021</v>
      </c>
      <c r="I1071" s="8">
        <v>5033</v>
      </c>
      <c r="J1071">
        <f t="shared" si="11"/>
        <v>1837.0450000000001</v>
      </c>
      <c r="K1071" s="6"/>
      <c r="Q1071" s="6" t="s">
        <v>494</v>
      </c>
      <c r="R1071" s="6" t="s">
        <v>2770</v>
      </c>
      <c r="W1071" s="6" t="s">
        <v>2693</v>
      </c>
    </row>
    <row r="1072" spans="1:23" ht="15.5" x14ac:dyDescent="0.35">
      <c r="A1072" s="6" t="s">
        <v>2693</v>
      </c>
      <c r="B1072" s="6" t="s">
        <v>2771</v>
      </c>
      <c r="C1072" s="93" t="s">
        <v>383</v>
      </c>
      <c r="D1072" t="s">
        <v>382</v>
      </c>
      <c r="E1072">
        <v>21.705135800000001</v>
      </c>
      <c r="F1072">
        <v>72.995874799999996</v>
      </c>
      <c r="G1072" s="6"/>
      <c r="I1072" s="8">
        <v>25166</v>
      </c>
      <c r="J1072">
        <f t="shared" si="11"/>
        <v>9185.59</v>
      </c>
      <c r="K1072" s="6"/>
      <c r="Q1072" s="6" t="s">
        <v>494</v>
      </c>
      <c r="R1072" s="6" t="s">
        <v>2771</v>
      </c>
      <c r="W1072" s="6" t="s">
        <v>2693</v>
      </c>
    </row>
    <row r="1073" spans="1:23" ht="15.5" x14ac:dyDescent="0.35">
      <c r="A1073" s="6" t="s">
        <v>2693</v>
      </c>
      <c r="B1073" s="6" t="s">
        <v>2772</v>
      </c>
      <c r="C1073" s="93" t="s">
        <v>383</v>
      </c>
      <c r="D1073" t="s">
        <v>382</v>
      </c>
      <c r="E1073">
        <v>19.387121400000002</v>
      </c>
      <c r="F1073">
        <v>85.052335600000006</v>
      </c>
      <c r="G1073" s="6"/>
      <c r="I1073" s="8">
        <v>8089</v>
      </c>
      <c r="J1073">
        <f t="shared" si="11"/>
        <v>2952.4850000000001</v>
      </c>
      <c r="K1073" s="6"/>
      <c r="Q1073" s="6" t="s">
        <v>494</v>
      </c>
      <c r="R1073" s="6" t="s">
        <v>2772</v>
      </c>
      <c r="W1073" s="6" t="s">
        <v>2693</v>
      </c>
    </row>
    <row r="1074" spans="1:23" ht="29" x14ac:dyDescent="0.35">
      <c r="A1074" s="6" t="s">
        <v>2693</v>
      </c>
      <c r="B1074" s="6" t="s">
        <v>2773</v>
      </c>
      <c r="C1074" s="93" t="s">
        <v>383</v>
      </c>
      <c r="D1074" t="s">
        <v>382</v>
      </c>
      <c r="E1074">
        <v>23.4561435</v>
      </c>
      <c r="F1074">
        <v>75.422666500000005</v>
      </c>
      <c r="G1074" s="6"/>
      <c r="I1074" s="8">
        <v>18425</v>
      </c>
      <c r="J1074">
        <f t="shared" si="11"/>
        <v>6725.125</v>
      </c>
      <c r="K1074" s="6"/>
      <c r="Q1074" s="6" t="s">
        <v>494</v>
      </c>
      <c r="R1074" s="6" t="s">
        <v>2773</v>
      </c>
      <c r="W1074" s="6" t="s">
        <v>2774</v>
      </c>
    </row>
    <row r="1075" spans="1:23" ht="29" x14ac:dyDescent="0.35">
      <c r="A1075" s="6" t="s">
        <v>2774</v>
      </c>
      <c r="B1075" s="6" t="s">
        <v>2765</v>
      </c>
      <c r="C1075" s="93" t="s">
        <v>383</v>
      </c>
      <c r="D1075" t="s">
        <v>382</v>
      </c>
      <c r="E1075">
        <v>21.713215099999999</v>
      </c>
      <c r="F1075">
        <v>72.5842502</v>
      </c>
      <c r="G1075" s="6">
        <v>1995</v>
      </c>
      <c r="I1075" s="8">
        <v>20043</v>
      </c>
      <c r="J1075">
        <f t="shared" si="11"/>
        <v>7315.6949999999997</v>
      </c>
      <c r="K1075" s="6"/>
      <c r="Q1075" s="6" t="s">
        <v>494</v>
      </c>
      <c r="R1075" s="6" t="s">
        <v>2765</v>
      </c>
      <c r="W1075" s="6" t="s">
        <v>2774</v>
      </c>
    </row>
    <row r="1076" spans="1:23" ht="29" x14ac:dyDescent="0.35">
      <c r="A1076" s="6" t="s">
        <v>2774</v>
      </c>
      <c r="B1076" s="6" t="s">
        <v>2775</v>
      </c>
      <c r="C1076" s="93" t="s">
        <v>383</v>
      </c>
      <c r="D1076" t="s">
        <v>382</v>
      </c>
      <c r="E1076">
        <v>22.3071588</v>
      </c>
      <c r="F1076">
        <v>73.181218700000002</v>
      </c>
      <c r="G1076" s="6">
        <v>1976</v>
      </c>
      <c r="J1076">
        <f t="shared" si="11"/>
        <v>0</v>
      </c>
      <c r="K1076" s="6"/>
      <c r="Q1076" s="6"/>
      <c r="R1076" s="6" t="s">
        <v>2775</v>
      </c>
      <c r="W1076" s="6" t="s">
        <v>2776</v>
      </c>
    </row>
    <row r="1077" spans="1:23" ht="29" x14ac:dyDescent="0.35">
      <c r="A1077" s="6" t="s">
        <v>2776</v>
      </c>
      <c r="B1077" s="6" t="s">
        <v>2763</v>
      </c>
      <c r="C1077" s="93" t="s">
        <v>383</v>
      </c>
      <c r="D1077" t="s">
        <v>382</v>
      </c>
      <c r="E1077">
        <v>22.572645999999999</v>
      </c>
      <c r="F1077">
        <v>88.363894999999999</v>
      </c>
      <c r="G1077" s="6"/>
      <c r="J1077">
        <f t="shared" si="11"/>
        <v>0</v>
      </c>
      <c r="K1077" s="6"/>
      <c r="Q1077" s="6"/>
      <c r="R1077" s="6" t="s">
        <v>2763</v>
      </c>
      <c r="W1077" s="6" t="s">
        <v>2778</v>
      </c>
    </row>
    <row r="1078" spans="1:23" ht="29" x14ac:dyDescent="0.35">
      <c r="A1078" s="6" t="s">
        <v>2778</v>
      </c>
      <c r="B1078" s="6" t="s">
        <v>2777</v>
      </c>
      <c r="C1078" s="93" t="s">
        <v>383</v>
      </c>
      <c r="D1078" t="s">
        <v>382</v>
      </c>
      <c r="E1078">
        <v>18.893070300000002</v>
      </c>
      <c r="F1078">
        <v>73.170127800000003</v>
      </c>
      <c r="G1078" s="6"/>
      <c r="I1078">
        <v>989</v>
      </c>
      <c r="J1078">
        <f t="shared" si="11"/>
        <v>360.98500000000001</v>
      </c>
      <c r="K1078" s="6"/>
      <c r="Q1078" s="6" t="s">
        <v>494</v>
      </c>
      <c r="R1078" s="6" t="s">
        <v>2777</v>
      </c>
      <c r="W1078" s="6" t="s">
        <v>2780</v>
      </c>
    </row>
    <row r="1079" spans="1:23" ht="29" x14ac:dyDescent="0.35">
      <c r="A1079" s="6" t="s">
        <v>2780</v>
      </c>
      <c r="B1079" s="6" t="s">
        <v>2779</v>
      </c>
      <c r="C1079" s="93" t="s">
        <v>383</v>
      </c>
      <c r="D1079" t="s">
        <v>382</v>
      </c>
      <c r="E1079">
        <v>18.815147</v>
      </c>
      <c r="F1079">
        <v>77.162895899999995</v>
      </c>
      <c r="G1079" s="6"/>
      <c r="I1079">
        <v>539</v>
      </c>
      <c r="J1079">
        <f t="shared" si="11"/>
        <v>196.73500000000001</v>
      </c>
      <c r="K1079" s="6"/>
      <c r="Q1079" s="6"/>
      <c r="R1079" s="6" t="s">
        <v>2779</v>
      </c>
      <c r="W1079" s="6" t="s">
        <v>2783</v>
      </c>
    </row>
    <row r="1080" spans="1:23" ht="29" x14ac:dyDescent="0.35">
      <c r="A1080" s="6" t="s">
        <v>2783</v>
      </c>
      <c r="B1080" s="6" t="s">
        <v>2782</v>
      </c>
      <c r="C1080" s="93" t="s">
        <v>383</v>
      </c>
      <c r="D1080" t="s">
        <v>382</v>
      </c>
      <c r="E1080">
        <v>23.7337326</v>
      </c>
      <c r="F1080">
        <v>69.859740599999995</v>
      </c>
      <c r="G1080" s="6">
        <v>2019</v>
      </c>
      <c r="I1080" s="8">
        <v>16538</v>
      </c>
      <c r="J1080">
        <f t="shared" si="11"/>
        <v>6036.37</v>
      </c>
      <c r="K1080" s="6"/>
      <c r="Q1080" s="6" t="s">
        <v>494</v>
      </c>
      <c r="R1080" s="6" t="s">
        <v>2782</v>
      </c>
      <c r="W1080" s="6" t="s">
        <v>2785</v>
      </c>
    </row>
    <row r="1081" spans="1:23" ht="43.5" x14ac:dyDescent="0.35">
      <c r="A1081" s="6" t="s">
        <v>2785</v>
      </c>
      <c r="B1081" s="6" t="s">
        <v>2784</v>
      </c>
      <c r="C1081" s="93" t="s">
        <v>383</v>
      </c>
      <c r="D1081" t="s">
        <v>382</v>
      </c>
      <c r="G1081" s="6"/>
      <c r="J1081">
        <f t="shared" si="11"/>
        <v>0</v>
      </c>
      <c r="K1081" s="6"/>
      <c r="Q1081" s="6"/>
      <c r="R1081" s="6" t="s">
        <v>2784</v>
      </c>
      <c r="W1081" s="6" t="s">
        <v>2785</v>
      </c>
    </row>
    <row r="1082" spans="1:23" ht="29" x14ac:dyDescent="0.35">
      <c r="A1082" s="6" t="s">
        <v>2785</v>
      </c>
      <c r="B1082" s="6" t="s">
        <v>2786</v>
      </c>
      <c r="C1082" s="93" t="s">
        <v>383</v>
      </c>
      <c r="D1082" t="s">
        <v>382</v>
      </c>
      <c r="E1082">
        <v>13.7008756</v>
      </c>
      <c r="F1082">
        <v>80.020906499999995</v>
      </c>
      <c r="G1082" s="6"/>
      <c r="I1082" s="8">
        <v>4314</v>
      </c>
      <c r="J1082">
        <f t="shared" si="11"/>
        <v>1574.61</v>
      </c>
      <c r="K1082" s="6"/>
      <c r="Q1082" s="6" t="s">
        <v>494</v>
      </c>
      <c r="R1082" s="6" t="s">
        <v>2786</v>
      </c>
      <c r="W1082" s="6" t="s">
        <v>2785</v>
      </c>
    </row>
    <row r="1083" spans="1:23" ht="15.5" x14ac:dyDescent="0.35">
      <c r="A1083" s="6" t="s">
        <v>2785</v>
      </c>
      <c r="B1083" s="6" t="s">
        <v>2787</v>
      </c>
      <c r="C1083" s="93" t="s">
        <v>383</v>
      </c>
      <c r="D1083" t="s">
        <v>382</v>
      </c>
      <c r="E1083">
        <v>22.9867569</v>
      </c>
      <c r="F1083">
        <v>87.854975499999995</v>
      </c>
      <c r="G1083" s="6"/>
      <c r="J1083">
        <f t="shared" si="11"/>
        <v>0</v>
      </c>
      <c r="K1083" s="6"/>
      <c r="Q1083" s="6"/>
      <c r="R1083" s="6" t="s">
        <v>2787</v>
      </c>
      <c r="W1083" s="6" t="s">
        <v>2789</v>
      </c>
    </row>
    <row r="1084" spans="1:23" ht="15.5" x14ac:dyDescent="0.35">
      <c r="A1084" s="6" t="s">
        <v>2789</v>
      </c>
      <c r="B1084" s="6" t="s">
        <v>2788</v>
      </c>
      <c r="C1084" s="93" t="s">
        <v>383</v>
      </c>
      <c r="D1084" t="s">
        <v>382</v>
      </c>
      <c r="E1084">
        <v>27.552990699999999</v>
      </c>
      <c r="F1084">
        <v>76.634573500000002</v>
      </c>
      <c r="G1084" s="6">
        <v>1983</v>
      </c>
      <c r="I1084" s="8">
        <v>6202</v>
      </c>
      <c r="J1084">
        <f t="shared" si="11"/>
        <v>2263.73</v>
      </c>
      <c r="K1084" s="6"/>
      <c r="Q1084" s="6" t="s">
        <v>494</v>
      </c>
      <c r="R1084" s="6" t="s">
        <v>2788</v>
      </c>
      <c r="W1084" s="6" t="s">
        <v>2790</v>
      </c>
    </row>
    <row r="1085" spans="1:23" ht="15.5" x14ac:dyDescent="0.35">
      <c r="A1085" s="6" t="s">
        <v>2790</v>
      </c>
      <c r="B1085" s="6" t="s">
        <v>2765</v>
      </c>
      <c r="C1085" s="93" t="s">
        <v>383</v>
      </c>
      <c r="D1085" t="s">
        <v>382</v>
      </c>
      <c r="E1085">
        <v>21.713215099999999</v>
      </c>
      <c r="F1085">
        <v>72.5842502</v>
      </c>
      <c r="G1085" s="6"/>
      <c r="I1085" s="8">
        <v>28043</v>
      </c>
      <c r="J1085">
        <f t="shared" si="11"/>
        <v>10235.695</v>
      </c>
      <c r="K1085" s="6"/>
      <c r="Q1085" s="6" t="s">
        <v>494</v>
      </c>
      <c r="R1085" s="6" t="s">
        <v>2765</v>
      </c>
      <c r="W1085" s="6" t="s">
        <v>2792</v>
      </c>
    </row>
    <row r="1086" spans="1:23" ht="29" x14ac:dyDescent="0.35">
      <c r="A1086" s="6" t="s">
        <v>2792</v>
      </c>
      <c r="B1086" s="6" t="s">
        <v>2791</v>
      </c>
      <c r="C1086" s="93" t="s">
        <v>383</v>
      </c>
      <c r="D1086" t="s">
        <v>382</v>
      </c>
      <c r="E1086">
        <v>28.8344396</v>
      </c>
      <c r="F1086">
        <v>77.569852699999998</v>
      </c>
      <c r="G1086" s="6"/>
      <c r="J1086">
        <f t="shared" si="11"/>
        <v>0</v>
      </c>
      <c r="K1086" s="6"/>
      <c r="Q1086" s="6"/>
      <c r="R1086" s="6" t="s">
        <v>2791</v>
      </c>
      <c r="W1086" s="6" t="s">
        <v>2794</v>
      </c>
    </row>
    <row r="1087" spans="1:23" ht="15.5" x14ac:dyDescent="0.35">
      <c r="A1087" s="6" t="s">
        <v>2794</v>
      </c>
      <c r="B1087" s="6" t="s">
        <v>2793</v>
      </c>
      <c r="C1087" s="93" t="s">
        <v>383</v>
      </c>
      <c r="D1087" t="s">
        <v>382</v>
      </c>
      <c r="E1087">
        <v>29.390946400000001</v>
      </c>
      <c r="F1087">
        <v>76.963502300000002</v>
      </c>
      <c r="G1087" s="6"/>
      <c r="J1087">
        <f t="shared" ref="J1087:J1150" si="12">I1087*365/1000</f>
        <v>0</v>
      </c>
      <c r="K1087" s="6"/>
      <c r="Q1087" s="6"/>
      <c r="R1087" s="6" t="s">
        <v>2793</v>
      </c>
      <c r="W1087" s="6" t="s">
        <v>2796</v>
      </c>
    </row>
    <row r="1088" spans="1:23" ht="29" x14ac:dyDescent="0.35">
      <c r="A1088" s="6" t="s">
        <v>2796</v>
      </c>
      <c r="B1088" s="6" t="s">
        <v>2795</v>
      </c>
      <c r="C1088" s="93" t="s">
        <v>383</v>
      </c>
      <c r="D1088" t="s">
        <v>382</v>
      </c>
      <c r="E1088">
        <v>19.7968929</v>
      </c>
      <c r="F1088">
        <v>72.745181700000003</v>
      </c>
      <c r="G1088" s="6"/>
      <c r="J1088">
        <f t="shared" si="12"/>
        <v>0</v>
      </c>
      <c r="K1088" s="6"/>
      <c r="Q1088" s="6"/>
      <c r="R1088" s="6" t="s">
        <v>2795</v>
      </c>
      <c r="W1088" s="6" t="s">
        <v>2731</v>
      </c>
    </row>
    <row r="1089" spans="1:23" ht="29" x14ac:dyDescent="0.35">
      <c r="A1089" s="6" t="s">
        <v>2731</v>
      </c>
      <c r="B1089" s="6" t="s">
        <v>2797</v>
      </c>
      <c r="C1089" s="93" t="s">
        <v>383</v>
      </c>
      <c r="D1089" t="s">
        <v>382</v>
      </c>
      <c r="E1089">
        <v>12.9624975</v>
      </c>
      <c r="F1089">
        <v>79.945274800000007</v>
      </c>
      <c r="G1089" s="6">
        <v>2000</v>
      </c>
      <c r="I1089">
        <v>360</v>
      </c>
      <c r="J1089">
        <f t="shared" si="12"/>
        <v>131.4</v>
      </c>
      <c r="K1089" s="6"/>
      <c r="Q1089" s="6"/>
      <c r="R1089" s="6" t="s">
        <v>2797</v>
      </c>
      <c r="W1089" s="6" t="s">
        <v>2800</v>
      </c>
    </row>
    <row r="1090" spans="1:23" ht="29" x14ac:dyDescent="0.35">
      <c r="A1090" s="6" t="s">
        <v>2800</v>
      </c>
      <c r="B1090" s="6" t="s">
        <v>2799</v>
      </c>
      <c r="C1090" s="93" t="s">
        <v>383</v>
      </c>
      <c r="D1090" t="s">
        <v>382</v>
      </c>
      <c r="E1090">
        <v>31.386640499999999</v>
      </c>
      <c r="F1090">
        <v>76.355045700000005</v>
      </c>
      <c r="G1090" s="6">
        <v>1993</v>
      </c>
      <c r="I1090" s="8">
        <v>18246</v>
      </c>
      <c r="J1090">
        <f t="shared" si="12"/>
        <v>6659.79</v>
      </c>
      <c r="K1090" s="6"/>
      <c r="Q1090" s="6" t="s">
        <v>494</v>
      </c>
      <c r="R1090" s="6" t="s">
        <v>2799</v>
      </c>
      <c r="W1090" s="6" t="s">
        <v>2802</v>
      </c>
    </row>
    <row r="1091" spans="1:23" ht="29" x14ac:dyDescent="0.35">
      <c r="A1091" s="6" t="s">
        <v>2802</v>
      </c>
      <c r="B1091" s="6" t="s">
        <v>2801</v>
      </c>
      <c r="C1091" s="93" t="s">
        <v>383</v>
      </c>
      <c r="D1091" t="s">
        <v>382</v>
      </c>
      <c r="E1091">
        <v>15.828125699999999</v>
      </c>
      <c r="F1091">
        <v>78.0372792</v>
      </c>
      <c r="G1091" s="6"/>
      <c r="I1091" s="8">
        <v>13033</v>
      </c>
      <c r="J1091">
        <f t="shared" si="12"/>
        <v>4757.0450000000001</v>
      </c>
      <c r="K1091" s="6"/>
      <c r="Q1091" s="6" t="s">
        <v>494</v>
      </c>
      <c r="R1091" s="6" t="s">
        <v>2801</v>
      </c>
      <c r="W1091" s="6" t="s">
        <v>2803</v>
      </c>
    </row>
    <row r="1092" spans="1:23" ht="43.5" x14ac:dyDescent="0.35">
      <c r="A1092" s="6" t="s">
        <v>2803</v>
      </c>
      <c r="B1092" s="6" t="s">
        <v>2784</v>
      </c>
      <c r="C1092" s="93" t="s">
        <v>383</v>
      </c>
      <c r="D1092" t="s">
        <v>382</v>
      </c>
      <c r="G1092" s="6"/>
      <c r="J1092">
        <f t="shared" si="12"/>
        <v>0</v>
      </c>
      <c r="K1092" s="6"/>
      <c r="Q1092" s="6"/>
      <c r="R1092" s="6" t="s">
        <v>2784</v>
      </c>
      <c r="W1092" s="6" t="s">
        <v>2805</v>
      </c>
    </row>
    <row r="1093" spans="1:23" ht="29" x14ac:dyDescent="0.35">
      <c r="A1093" s="6" t="s">
        <v>2805</v>
      </c>
      <c r="B1093" s="6" t="s">
        <v>2804</v>
      </c>
      <c r="C1093" s="93" t="s">
        <v>383</v>
      </c>
      <c r="D1093" t="s">
        <v>382</v>
      </c>
      <c r="E1093">
        <v>15.377513499999999</v>
      </c>
      <c r="F1093">
        <v>73.880953500000004</v>
      </c>
      <c r="G1093" s="6">
        <v>1977</v>
      </c>
      <c r="J1093">
        <f t="shared" si="12"/>
        <v>0</v>
      </c>
      <c r="K1093" s="6" t="s">
        <v>1250</v>
      </c>
      <c r="Q1093" s="6" t="s">
        <v>1074</v>
      </c>
      <c r="R1093" s="6" t="s">
        <v>2804</v>
      </c>
    </row>
    <row r="1094" spans="1:23" x14ac:dyDescent="0.35">
      <c r="A1094" t="s">
        <v>1307</v>
      </c>
      <c r="B1094" t="s">
        <v>1306</v>
      </c>
      <c r="C1094" t="s">
        <v>5643</v>
      </c>
      <c r="D1094" t="s">
        <v>141</v>
      </c>
      <c r="E1094">
        <v>53.928663200000003</v>
      </c>
      <c r="F1094">
        <v>12.345662900000001</v>
      </c>
      <c r="G1094">
        <v>2027</v>
      </c>
      <c r="I1094" s="8">
        <v>47906</v>
      </c>
      <c r="J1094">
        <f t="shared" si="12"/>
        <v>17485.689999999999</v>
      </c>
      <c r="K1094" t="s">
        <v>502</v>
      </c>
      <c r="Q1094" t="s">
        <v>1162</v>
      </c>
      <c r="R1094" t="s">
        <v>1306</v>
      </c>
      <c r="S1094" t="str">
        <f t="shared" ref="S1094:S1103" si="13">IF(G1094&gt;2023,"Under Construction","Operational")</f>
        <v>Under Construction</v>
      </c>
      <c r="W1094" t="s">
        <v>1307</v>
      </c>
    </row>
    <row r="1095" spans="1:23" x14ac:dyDescent="0.35">
      <c r="A1095" t="s">
        <v>1310</v>
      </c>
      <c r="B1095" t="s">
        <v>1309</v>
      </c>
      <c r="C1095" t="s">
        <v>5643</v>
      </c>
      <c r="D1095" t="s">
        <v>141</v>
      </c>
      <c r="E1095">
        <v>53.079296200000002</v>
      </c>
      <c r="F1095">
        <v>8.8016936999999995</v>
      </c>
      <c r="G1095">
        <v>2030</v>
      </c>
      <c r="I1095" s="8">
        <v>143808</v>
      </c>
      <c r="J1095">
        <f t="shared" si="12"/>
        <v>52489.919999999998</v>
      </c>
      <c r="K1095" t="s">
        <v>502</v>
      </c>
      <c r="Q1095" t="s">
        <v>503</v>
      </c>
      <c r="R1095" t="s">
        <v>1309</v>
      </c>
      <c r="S1095" t="str">
        <f t="shared" si="13"/>
        <v>Under Construction</v>
      </c>
      <c r="W1095" t="s">
        <v>1310</v>
      </c>
    </row>
    <row r="1096" spans="1:23" x14ac:dyDescent="0.35">
      <c r="A1096" t="s">
        <v>1313</v>
      </c>
      <c r="B1096" t="s">
        <v>1312</v>
      </c>
      <c r="C1096" t="s">
        <v>5643</v>
      </c>
      <c r="D1096" t="s">
        <v>141</v>
      </c>
      <c r="E1096">
        <v>52.1436615</v>
      </c>
      <c r="F1096">
        <v>14.641902200000001</v>
      </c>
      <c r="G1096">
        <v>2032</v>
      </c>
      <c r="I1096" s="8">
        <v>476364</v>
      </c>
      <c r="J1096">
        <f t="shared" si="12"/>
        <v>173872.86</v>
      </c>
      <c r="K1096" t="s">
        <v>502</v>
      </c>
      <c r="Q1096" t="s">
        <v>503</v>
      </c>
      <c r="R1096" t="s">
        <v>1312</v>
      </c>
      <c r="S1096" t="str">
        <f t="shared" si="13"/>
        <v>Under Construction</v>
      </c>
      <c r="W1096" t="s">
        <v>1313</v>
      </c>
    </row>
    <row r="1097" spans="1:23" x14ac:dyDescent="0.35">
      <c r="A1097" t="s">
        <v>1316</v>
      </c>
      <c r="B1097" t="s">
        <v>1315</v>
      </c>
      <c r="C1097" t="s">
        <v>5643</v>
      </c>
      <c r="D1097" t="s">
        <v>141</v>
      </c>
      <c r="E1097">
        <v>49.477401800000003</v>
      </c>
      <c r="F1097">
        <v>8.4447451000000004</v>
      </c>
      <c r="G1097">
        <v>1974</v>
      </c>
      <c r="I1097" s="8">
        <v>116844</v>
      </c>
      <c r="J1097">
        <f t="shared" si="12"/>
        <v>42648.06</v>
      </c>
      <c r="K1097" t="s">
        <v>613</v>
      </c>
      <c r="Q1097" t="s">
        <v>494</v>
      </c>
      <c r="R1097" t="s">
        <v>1315</v>
      </c>
      <c r="S1097" t="str">
        <f t="shared" si="13"/>
        <v>Operational</v>
      </c>
      <c r="W1097" t="s">
        <v>1316</v>
      </c>
    </row>
    <row r="1098" spans="1:23" x14ac:dyDescent="0.35">
      <c r="A1098" t="s">
        <v>1316</v>
      </c>
      <c r="B1098" t="s">
        <v>1318</v>
      </c>
      <c r="C1098" t="s">
        <v>5643</v>
      </c>
      <c r="D1098" t="s">
        <v>141</v>
      </c>
      <c r="E1098">
        <v>51.477261400000003</v>
      </c>
      <c r="F1098">
        <v>13.856191300000001</v>
      </c>
      <c r="G1098">
        <v>1991</v>
      </c>
      <c r="I1098" s="8">
        <v>17976</v>
      </c>
      <c r="J1098">
        <f t="shared" si="12"/>
        <v>6561.24</v>
      </c>
      <c r="K1098" t="s">
        <v>261</v>
      </c>
      <c r="Q1098" t="s">
        <v>494</v>
      </c>
      <c r="R1098" t="s">
        <v>1318</v>
      </c>
      <c r="S1098" t="str">
        <f t="shared" si="13"/>
        <v>Operational</v>
      </c>
      <c r="W1098" t="s">
        <v>1316</v>
      </c>
    </row>
    <row r="1099" spans="1:23" x14ac:dyDescent="0.35">
      <c r="A1099" t="s">
        <v>1319</v>
      </c>
      <c r="B1099" t="s">
        <v>1315</v>
      </c>
      <c r="C1099" t="s">
        <v>5643</v>
      </c>
      <c r="D1099" t="s">
        <v>141</v>
      </c>
      <c r="E1099">
        <v>49.477401800000003</v>
      </c>
      <c r="F1099">
        <v>8.4447451000000004</v>
      </c>
      <c r="G1099">
        <v>2024</v>
      </c>
      <c r="I1099" s="8">
        <v>23998</v>
      </c>
      <c r="J1099">
        <f t="shared" si="12"/>
        <v>8759.27</v>
      </c>
      <c r="K1099" t="s">
        <v>502</v>
      </c>
      <c r="Q1099" t="s">
        <v>494</v>
      </c>
      <c r="R1099" t="s">
        <v>1315</v>
      </c>
      <c r="S1099" t="str">
        <f t="shared" si="13"/>
        <v>Under Construction</v>
      </c>
      <c r="W1099" t="s">
        <v>1319</v>
      </c>
    </row>
    <row r="1100" spans="1:23" x14ac:dyDescent="0.35">
      <c r="A1100" t="s">
        <v>1319</v>
      </c>
      <c r="B1100" t="s">
        <v>1315</v>
      </c>
      <c r="C1100" t="s">
        <v>5643</v>
      </c>
      <c r="D1100" t="s">
        <v>141</v>
      </c>
      <c r="E1100">
        <v>49.477401800000003</v>
      </c>
      <c r="F1100">
        <v>8.4447451000000004</v>
      </c>
      <c r="G1100">
        <v>2030</v>
      </c>
      <c r="J1100">
        <f t="shared" si="12"/>
        <v>0</v>
      </c>
      <c r="K1100" t="s">
        <v>1321</v>
      </c>
      <c r="Q1100" t="s">
        <v>494</v>
      </c>
      <c r="R1100" t="s">
        <v>1315</v>
      </c>
      <c r="S1100" t="str">
        <f t="shared" si="13"/>
        <v>Under Construction</v>
      </c>
      <c r="W1100" t="s">
        <v>1319</v>
      </c>
    </row>
    <row r="1101" spans="1:23" x14ac:dyDescent="0.35">
      <c r="A1101" t="s">
        <v>1324</v>
      </c>
      <c r="B1101" t="s">
        <v>1323</v>
      </c>
      <c r="C1101" t="s">
        <v>5643</v>
      </c>
      <c r="D1101" t="s">
        <v>141</v>
      </c>
      <c r="E1101">
        <v>49.350186399999998</v>
      </c>
      <c r="F1101">
        <v>8.1486885999999998</v>
      </c>
      <c r="G1101">
        <v>2008</v>
      </c>
      <c r="I1101" s="8">
        <v>208791</v>
      </c>
      <c r="J1101">
        <f t="shared" si="12"/>
        <v>76208.714999999997</v>
      </c>
      <c r="K1101" t="s">
        <v>261</v>
      </c>
      <c r="Q1101" t="s">
        <v>483</v>
      </c>
      <c r="R1101" t="s">
        <v>1323</v>
      </c>
      <c r="S1101" t="str">
        <f t="shared" si="13"/>
        <v>Operational</v>
      </c>
      <c r="W1101" t="s">
        <v>1324</v>
      </c>
    </row>
    <row r="1102" spans="1:23" x14ac:dyDescent="0.35">
      <c r="A1102" t="s">
        <v>1324</v>
      </c>
      <c r="B1102" t="s">
        <v>1326</v>
      </c>
      <c r="C1102" t="s">
        <v>5643</v>
      </c>
      <c r="D1102" t="s">
        <v>141</v>
      </c>
      <c r="E1102">
        <v>48.7682249</v>
      </c>
      <c r="F1102">
        <v>11.6190613</v>
      </c>
      <c r="G1102">
        <v>1999</v>
      </c>
      <c r="I1102" s="8">
        <v>213825</v>
      </c>
      <c r="J1102">
        <f t="shared" si="12"/>
        <v>78046.125</v>
      </c>
      <c r="K1102" t="s">
        <v>1327</v>
      </c>
      <c r="Q1102" t="s">
        <v>483</v>
      </c>
      <c r="R1102" t="s">
        <v>1326</v>
      </c>
      <c r="S1102" t="str">
        <f t="shared" si="13"/>
        <v>Operational</v>
      </c>
      <c r="W1102" t="s">
        <v>1324</v>
      </c>
    </row>
    <row r="1103" spans="1:23" x14ac:dyDescent="0.35">
      <c r="A1103" t="s">
        <v>1329</v>
      </c>
      <c r="B1103" t="s">
        <v>1328</v>
      </c>
      <c r="C1103" t="s">
        <v>5643</v>
      </c>
      <c r="D1103" t="s">
        <v>141</v>
      </c>
      <c r="E1103">
        <v>53.532340300000001</v>
      </c>
      <c r="F1103">
        <v>8.1068721999999998</v>
      </c>
      <c r="G1103">
        <v>2028</v>
      </c>
      <c r="I1103" s="8">
        <v>306401</v>
      </c>
      <c r="J1103">
        <f t="shared" si="12"/>
        <v>111836.36500000001</v>
      </c>
      <c r="K1103" t="s">
        <v>990</v>
      </c>
      <c r="Q1103" t="s">
        <v>549</v>
      </c>
      <c r="R1103" t="s">
        <v>1328</v>
      </c>
      <c r="S1103" t="str">
        <f t="shared" si="13"/>
        <v>Under Construction</v>
      </c>
      <c r="W1103" t="s">
        <v>1329</v>
      </c>
    </row>
    <row r="1104" spans="1:23" x14ac:dyDescent="0.35">
      <c r="A1104" t="s">
        <v>1332</v>
      </c>
      <c r="B1104" t="s">
        <v>1331</v>
      </c>
      <c r="C1104" t="s">
        <v>5643</v>
      </c>
      <c r="D1104" t="s">
        <v>141</v>
      </c>
      <c r="E1104">
        <v>52.540307900000002</v>
      </c>
      <c r="F1104">
        <v>7.3292862000000003</v>
      </c>
      <c r="I1104" s="8">
        <v>127270</v>
      </c>
      <c r="J1104">
        <f t="shared" si="12"/>
        <v>46453.55</v>
      </c>
      <c r="K1104" t="s">
        <v>1327</v>
      </c>
      <c r="Q1104" t="s">
        <v>483</v>
      </c>
      <c r="R1104" t="s">
        <v>1331</v>
      </c>
      <c r="W1104" t="s">
        <v>1332</v>
      </c>
    </row>
    <row r="1105" spans="1:23" x14ac:dyDescent="0.35">
      <c r="A1105" t="s">
        <v>1332</v>
      </c>
      <c r="B1105" t="s">
        <v>1331</v>
      </c>
      <c r="C1105" t="s">
        <v>5643</v>
      </c>
      <c r="D1105" t="s">
        <v>141</v>
      </c>
      <c r="E1105">
        <v>52.540307900000002</v>
      </c>
      <c r="F1105">
        <v>7.3292862000000003</v>
      </c>
      <c r="I1105" s="8">
        <v>111990</v>
      </c>
      <c r="J1105">
        <f t="shared" si="12"/>
        <v>40876.35</v>
      </c>
      <c r="K1105" t="s">
        <v>261</v>
      </c>
      <c r="Q1105" t="s">
        <v>483</v>
      </c>
      <c r="R1105" t="s">
        <v>1331</v>
      </c>
      <c r="W1105" t="s">
        <v>1332</v>
      </c>
    </row>
    <row r="1106" spans="1:23" x14ac:dyDescent="0.35">
      <c r="A1106" t="s">
        <v>1333</v>
      </c>
      <c r="B1106" t="s">
        <v>1331</v>
      </c>
      <c r="C1106" t="s">
        <v>5643</v>
      </c>
      <c r="D1106" t="s">
        <v>141</v>
      </c>
      <c r="E1106">
        <v>52.540307900000002</v>
      </c>
      <c r="F1106">
        <v>7.3292862000000003</v>
      </c>
      <c r="G1106">
        <v>2029</v>
      </c>
      <c r="I1106" s="8">
        <v>239710</v>
      </c>
      <c r="J1106">
        <f t="shared" si="12"/>
        <v>87494.15</v>
      </c>
      <c r="K1106" t="s">
        <v>502</v>
      </c>
      <c r="Q1106" t="s">
        <v>483</v>
      </c>
      <c r="R1106" t="s">
        <v>1331</v>
      </c>
      <c r="S1106" t="str">
        <f t="shared" ref="S1106:S1111" si="14">IF(G1106&gt;2023,"Under Construction","Operational")</f>
        <v>Under Construction</v>
      </c>
      <c r="W1106" t="s">
        <v>1333</v>
      </c>
    </row>
    <row r="1107" spans="1:23" x14ac:dyDescent="0.35">
      <c r="A1107" t="s">
        <v>1335</v>
      </c>
      <c r="B1107" t="s">
        <v>1331</v>
      </c>
      <c r="C1107" t="s">
        <v>5643</v>
      </c>
      <c r="D1107" t="s">
        <v>141</v>
      </c>
      <c r="E1107">
        <v>52.540307900000002</v>
      </c>
      <c r="F1107">
        <v>7.3292862000000003</v>
      </c>
      <c r="G1107">
        <v>2023</v>
      </c>
      <c r="I1107" s="8">
        <v>7190</v>
      </c>
      <c r="J1107">
        <f t="shared" si="12"/>
        <v>2624.35</v>
      </c>
      <c r="K1107" t="s">
        <v>502</v>
      </c>
      <c r="Q1107" t="s">
        <v>483</v>
      </c>
      <c r="R1107" t="s">
        <v>1331</v>
      </c>
      <c r="S1107" t="str">
        <f t="shared" si="14"/>
        <v>Operational</v>
      </c>
      <c r="W1107" t="s">
        <v>1335</v>
      </c>
    </row>
    <row r="1108" spans="1:23" x14ac:dyDescent="0.35">
      <c r="A1108" t="s">
        <v>1338</v>
      </c>
      <c r="B1108" t="s">
        <v>1337</v>
      </c>
      <c r="C1108" t="s">
        <v>5643</v>
      </c>
      <c r="D1108" t="s">
        <v>141</v>
      </c>
      <c r="E1108">
        <v>51.434407899999997</v>
      </c>
      <c r="F1108">
        <v>6.7623293000000002</v>
      </c>
      <c r="G1108">
        <v>2018</v>
      </c>
      <c r="I1108">
        <v>989</v>
      </c>
      <c r="J1108">
        <f t="shared" si="12"/>
        <v>360.98500000000001</v>
      </c>
      <c r="K1108" t="s">
        <v>502</v>
      </c>
      <c r="Q1108" t="s">
        <v>1162</v>
      </c>
      <c r="R1108" t="s">
        <v>1337</v>
      </c>
      <c r="S1108" t="str">
        <f t="shared" si="14"/>
        <v>Operational</v>
      </c>
      <c r="W1108" t="s">
        <v>1338</v>
      </c>
    </row>
    <row r="1109" spans="1:23" x14ac:dyDescent="0.35">
      <c r="A1109" t="s">
        <v>1341</v>
      </c>
      <c r="B1109" t="s">
        <v>1340</v>
      </c>
      <c r="C1109" t="s">
        <v>5643</v>
      </c>
      <c r="D1109" t="s">
        <v>141</v>
      </c>
      <c r="E1109">
        <v>52.473845500000003</v>
      </c>
      <c r="F1109">
        <v>13.8568111</v>
      </c>
      <c r="G1109">
        <v>2027</v>
      </c>
      <c r="I1109" s="8">
        <v>11055</v>
      </c>
      <c r="J1109">
        <f t="shared" si="12"/>
        <v>4035.0749999999998</v>
      </c>
      <c r="K1109" t="s">
        <v>502</v>
      </c>
      <c r="Q1109" t="s">
        <v>1162</v>
      </c>
      <c r="R1109" t="s">
        <v>1340</v>
      </c>
      <c r="S1109" t="str">
        <f t="shared" si="14"/>
        <v>Under Construction</v>
      </c>
      <c r="W1109" t="s">
        <v>1341</v>
      </c>
    </row>
    <row r="1110" spans="1:23" x14ac:dyDescent="0.35">
      <c r="A1110" t="s">
        <v>1344</v>
      </c>
      <c r="B1110" t="s">
        <v>1343</v>
      </c>
      <c r="C1110" t="s">
        <v>5643</v>
      </c>
      <c r="D1110" t="s">
        <v>141</v>
      </c>
      <c r="E1110">
        <v>53.592861800000001</v>
      </c>
      <c r="F1110">
        <v>9.4709494000000003</v>
      </c>
      <c r="G1110">
        <v>2027</v>
      </c>
      <c r="I1110" s="8">
        <v>105429</v>
      </c>
      <c r="J1110">
        <f t="shared" si="12"/>
        <v>38481.584999999999</v>
      </c>
      <c r="K1110" t="s">
        <v>502</v>
      </c>
      <c r="Q1110" t="s">
        <v>1345</v>
      </c>
      <c r="R1110" t="s">
        <v>1343</v>
      </c>
      <c r="S1110" t="str">
        <f t="shared" si="14"/>
        <v>Under Construction</v>
      </c>
      <c r="W1110" t="s">
        <v>1344</v>
      </c>
    </row>
    <row r="1111" spans="1:23" x14ac:dyDescent="0.35">
      <c r="A1111" t="s">
        <v>1348</v>
      </c>
      <c r="B1111" t="s">
        <v>1347</v>
      </c>
      <c r="C1111" t="s">
        <v>5643</v>
      </c>
      <c r="D1111" t="s">
        <v>141</v>
      </c>
      <c r="E1111">
        <v>51.323265900000003</v>
      </c>
      <c r="F1111">
        <v>12.0242284</v>
      </c>
      <c r="G1111">
        <v>2022</v>
      </c>
      <c r="I1111">
        <v>449</v>
      </c>
      <c r="J1111">
        <f t="shared" si="12"/>
        <v>163.88499999999999</v>
      </c>
      <c r="K1111" t="s">
        <v>502</v>
      </c>
      <c r="Q1111" t="s">
        <v>1349</v>
      </c>
      <c r="R1111" t="s">
        <v>1347</v>
      </c>
      <c r="S1111" t="str">
        <f t="shared" si="14"/>
        <v>Operational</v>
      </c>
      <c r="W1111" t="s">
        <v>1348</v>
      </c>
    </row>
    <row r="1112" spans="1:23" x14ac:dyDescent="0.35">
      <c r="A1112" t="s">
        <v>1352</v>
      </c>
      <c r="B1112" t="s">
        <v>1351</v>
      </c>
      <c r="C1112" t="s">
        <v>5643</v>
      </c>
      <c r="D1112" t="s">
        <v>141</v>
      </c>
      <c r="E1112">
        <v>48.7667395</v>
      </c>
      <c r="F1112">
        <v>11.4226498</v>
      </c>
      <c r="I1112" s="8">
        <v>28043</v>
      </c>
      <c r="J1112">
        <f t="shared" si="12"/>
        <v>10235.695</v>
      </c>
      <c r="K1112" t="s">
        <v>261</v>
      </c>
      <c r="Q1112" t="s">
        <v>483</v>
      </c>
      <c r="R1112" t="s">
        <v>1351</v>
      </c>
      <c r="W1112" t="s">
        <v>1352</v>
      </c>
    </row>
    <row r="1113" spans="1:23" x14ac:dyDescent="0.35">
      <c r="A1113" t="s">
        <v>1355</v>
      </c>
      <c r="B1113" t="s">
        <v>1354</v>
      </c>
      <c r="C1113" t="s">
        <v>5643</v>
      </c>
      <c r="D1113" t="s">
        <v>141</v>
      </c>
      <c r="E1113">
        <v>53.460778500000004</v>
      </c>
      <c r="F1113">
        <v>9.9834183999999997</v>
      </c>
      <c r="G1113">
        <v>2017</v>
      </c>
      <c r="I1113" s="8">
        <v>2427</v>
      </c>
      <c r="J1113">
        <f t="shared" si="12"/>
        <v>885.85500000000002</v>
      </c>
      <c r="K1113" t="s">
        <v>502</v>
      </c>
      <c r="Q1113" t="s">
        <v>732</v>
      </c>
      <c r="R1113" t="s">
        <v>1354</v>
      </c>
      <c r="S1113" t="str">
        <f t="shared" ref="S1113:S1120" si="15">IF(G1113&gt;2023,"Under Construction","Operational")</f>
        <v>Operational</v>
      </c>
      <c r="W1113" t="s">
        <v>1355</v>
      </c>
    </row>
    <row r="1114" spans="1:23" x14ac:dyDescent="0.35">
      <c r="A1114" t="s">
        <v>1358</v>
      </c>
      <c r="B1114" t="s">
        <v>1357</v>
      </c>
      <c r="C1114" t="s">
        <v>5643</v>
      </c>
      <c r="D1114" t="s">
        <v>141</v>
      </c>
      <c r="G1114">
        <v>2024</v>
      </c>
      <c r="I1114" s="8">
        <v>53299</v>
      </c>
      <c r="J1114">
        <f t="shared" si="12"/>
        <v>19454.134999999998</v>
      </c>
      <c r="K1114" t="s">
        <v>502</v>
      </c>
      <c r="Q1114" t="s">
        <v>1074</v>
      </c>
      <c r="R1114" t="s">
        <v>1357</v>
      </c>
      <c r="S1114" t="str">
        <f t="shared" si="15"/>
        <v>Under Construction</v>
      </c>
      <c r="W1114" t="s">
        <v>1358</v>
      </c>
    </row>
    <row r="1115" spans="1:23" x14ac:dyDescent="0.35">
      <c r="A1115" t="s">
        <v>1361</v>
      </c>
      <c r="B1115" t="s">
        <v>1360</v>
      </c>
      <c r="C1115" t="s">
        <v>5643</v>
      </c>
      <c r="D1115" t="s">
        <v>141</v>
      </c>
      <c r="E1115">
        <v>53.460778500000004</v>
      </c>
      <c r="F1115">
        <v>9.9834183999999997</v>
      </c>
      <c r="G1115">
        <v>1988</v>
      </c>
      <c r="I1115" s="8">
        <v>76398</v>
      </c>
      <c r="J1115">
        <f t="shared" si="12"/>
        <v>27885.27</v>
      </c>
      <c r="K1115" t="s">
        <v>502</v>
      </c>
      <c r="Q1115" t="s">
        <v>483</v>
      </c>
      <c r="R1115" t="s">
        <v>1360</v>
      </c>
      <c r="S1115" t="str">
        <f t="shared" si="15"/>
        <v>Operational</v>
      </c>
      <c r="W1115" t="s">
        <v>1361</v>
      </c>
    </row>
    <row r="1116" spans="1:23" x14ac:dyDescent="0.35">
      <c r="A1116" t="s">
        <v>1364</v>
      </c>
      <c r="B1116" t="s">
        <v>1363</v>
      </c>
      <c r="C1116" t="s">
        <v>5643</v>
      </c>
      <c r="D1116" t="s">
        <v>141</v>
      </c>
      <c r="E1116">
        <v>51.5135717</v>
      </c>
      <c r="F1116">
        <v>13.3482468</v>
      </c>
      <c r="G1116">
        <v>2026</v>
      </c>
      <c r="I1116" s="8">
        <v>33525</v>
      </c>
      <c r="J1116">
        <f t="shared" si="12"/>
        <v>12236.625</v>
      </c>
      <c r="K1116" t="s">
        <v>502</v>
      </c>
      <c r="Q1116" t="s">
        <v>1162</v>
      </c>
      <c r="R1116" t="s">
        <v>1363</v>
      </c>
      <c r="S1116" t="str">
        <f t="shared" si="15"/>
        <v>Under Construction</v>
      </c>
      <c r="W1116" t="s">
        <v>1364</v>
      </c>
    </row>
    <row r="1117" spans="1:23" x14ac:dyDescent="0.35">
      <c r="A1117" t="s">
        <v>1367</v>
      </c>
      <c r="B1117" t="s">
        <v>1366</v>
      </c>
      <c r="C1117" t="s">
        <v>5643</v>
      </c>
      <c r="D1117" t="s">
        <v>141</v>
      </c>
      <c r="E1117">
        <v>53.024491599999998</v>
      </c>
      <c r="F1117">
        <v>7.8589507999999997</v>
      </c>
      <c r="G1117">
        <v>2030</v>
      </c>
      <c r="I1117" s="8">
        <v>71904</v>
      </c>
      <c r="J1117">
        <f t="shared" si="12"/>
        <v>26244.959999999999</v>
      </c>
      <c r="K1117" t="s">
        <v>502</v>
      </c>
      <c r="Q1117" t="s">
        <v>1162</v>
      </c>
      <c r="R1117" t="s">
        <v>1366</v>
      </c>
      <c r="S1117" t="str">
        <f t="shared" si="15"/>
        <v>Under Construction</v>
      </c>
      <c r="W1117" t="s">
        <v>1367</v>
      </c>
    </row>
    <row r="1118" spans="1:23" x14ac:dyDescent="0.35">
      <c r="A1118" t="s">
        <v>1369</v>
      </c>
      <c r="B1118" t="s">
        <v>1368</v>
      </c>
      <c r="C1118" t="s">
        <v>5643</v>
      </c>
      <c r="D1118" t="s">
        <v>141</v>
      </c>
      <c r="E1118">
        <v>53.539584499999997</v>
      </c>
      <c r="F1118">
        <v>8.5809423999999996</v>
      </c>
      <c r="G1118">
        <v>2025</v>
      </c>
      <c r="I1118">
        <v>989</v>
      </c>
      <c r="J1118">
        <f t="shared" si="12"/>
        <v>360.98500000000001</v>
      </c>
      <c r="K1118" t="s">
        <v>502</v>
      </c>
      <c r="Q1118" t="s">
        <v>1162</v>
      </c>
      <c r="R1118" t="s">
        <v>1368</v>
      </c>
      <c r="S1118" t="str">
        <f t="shared" si="15"/>
        <v>Under Construction</v>
      </c>
      <c r="W1118" t="s">
        <v>1369</v>
      </c>
    </row>
    <row r="1119" spans="1:23" x14ac:dyDescent="0.35">
      <c r="A1119" t="s">
        <v>1372</v>
      </c>
      <c r="B1119" t="s">
        <v>1371</v>
      </c>
      <c r="C1119" t="s">
        <v>5643</v>
      </c>
      <c r="D1119" t="s">
        <v>141</v>
      </c>
      <c r="E1119">
        <v>50.937531</v>
      </c>
      <c r="F1119">
        <v>6.9602785999999996</v>
      </c>
      <c r="G1119">
        <v>2027</v>
      </c>
      <c r="I1119" s="8">
        <v>48176</v>
      </c>
      <c r="J1119">
        <f t="shared" si="12"/>
        <v>17584.240000000002</v>
      </c>
      <c r="K1119" t="s">
        <v>502</v>
      </c>
      <c r="Q1119" t="s">
        <v>1074</v>
      </c>
      <c r="R1119" t="s">
        <v>1371</v>
      </c>
      <c r="S1119" t="str">
        <f t="shared" si="15"/>
        <v>Under Construction</v>
      </c>
      <c r="W1119" t="s">
        <v>1372</v>
      </c>
    </row>
    <row r="1120" spans="1:23" x14ac:dyDescent="0.35">
      <c r="A1120" t="s">
        <v>1375</v>
      </c>
      <c r="B1120" t="s">
        <v>1374</v>
      </c>
      <c r="C1120" t="s">
        <v>5643</v>
      </c>
      <c r="D1120" t="s">
        <v>141</v>
      </c>
      <c r="E1120">
        <v>49.0068901</v>
      </c>
      <c r="F1120">
        <v>8.4036527000000003</v>
      </c>
      <c r="G1120">
        <v>1996</v>
      </c>
      <c r="I1120" s="8">
        <v>45839</v>
      </c>
      <c r="J1120">
        <f t="shared" si="12"/>
        <v>16731.235000000001</v>
      </c>
      <c r="K1120" t="s">
        <v>261</v>
      </c>
      <c r="Q1120" t="s">
        <v>483</v>
      </c>
      <c r="R1120" t="s">
        <v>1374</v>
      </c>
      <c r="S1120" t="str">
        <f t="shared" si="15"/>
        <v>Operational</v>
      </c>
      <c r="W1120" t="s">
        <v>1375</v>
      </c>
    </row>
    <row r="1121" spans="1:23" x14ac:dyDescent="0.35">
      <c r="A1121" t="s">
        <v>1378</v>
      </c>
      <c r="B1121" t="s">
        <v>1377</v>
      </c>
      <c r="C1121" t="s">
        <v>5643</v>
      </c>
      <c r="D1121" t="s">
        <v>141</v>
      </c>
      <c r="E1121">
        <v>48.172561299999998</v>
      </c>
      <c r="F1121">
        <v>12.8310753</v>
      </c>
      <c r="I1121" s="8">
        <v>229104</v>
      </c>
      <c r="J1121">
        <f t="shared" si="12"/>
        <v>83622.960000000006</v>
      </c>
      <c r="K1121" t="s">
        <v>261</v>
      </c>
      <c r="Q1121" t="s">
        <v>483</v>
      </c>
      <c r="R1121" t="s">
        <v>1377</v>
      </c>
      <c r="W1121" t="s">
        <v>1378</v>
      </c>
    </row>
    <row r="1122" spans="1:23" x14ac:dyDescent="0.35">
      <c r="A1122" t="s">
        <v>1380</v>
      </c>
      <c r="B1122" t="s">
        <v>1379</v>
      </c>
      <c r="C1122" t="s">
        <v>5643</v>
      </c>
      <c r="D1122" t="s">
        <v>141</v>
      </c>
      <c r="E1122">
        <v>53.062469499999999</v>
      </c>
      <c r="F1122">
        <v>14.273463899999999</v>
      </c>
      <c r="G1122">
        <v>2002</v>
      </c>
      <c r="I1122" s="8">
        <v>101834</v>
      </c>
      <c r="J1122">
        <f t="shared" si="12"/>
        <v>37169.410000000003</v>
      </c>
      <c r="K1122" t="s">
        <v>261</v>
      </c>
      <c r="Q1122" t="s">
        <v>483</v>
      </c>
      <c r="R1122" t="s">
        <v>1379</v>
      </c>
      <c r="S1122" t="str">
        <f>IF(G1122&gt;2023,"Under Construction","Operational")</f>
        <v>Operational</v>
      </c>
      <c r="W1122" t="s">
        <v>1380</v>
      </c>
    </row>
    <row r="1123" spans="1:23" x14ac:dyDescent="0.35">
      <c r="A1123" t="s">
        <v>1383</v>
      </c>
      <c r="B1123" t="s">
        <v>1382</v>
      </c>
      <c r="C1123" t="s">
        <v>5643</v>
      </c>
      <c r="D1123" t="s">
        <v>141</v>
      </c>
      <c r="E1123">
        <v>54.147270399999996</v>
      </c>
      <c r="F1123">
        <v>9.0720974999999999</v>
      </c>
      <c r="G1123">
        <v>2003</v>
      </c>
      <c r="I1123" s="8">
        <v>71275</v>
      </c>
      <c r="J1123">
        <f t="shared" si="12"/>
        <v>26015.375</v>
      </c>
      <c r="K1123" t="s">
        <v>261</v>
      </c>
      <c r="Q1123" t="s">
        <v>483</v>
      </c>
      <c r="R1123" t="s">
        <v>1382</v>
      </c>
      <c r="S1123" t="str">
        <f>IF(G1123&gt;2023,"Under Construction","Operational")</f>
        <v>Operational</v>
      </c>
      <c r="W1123" t="s">
        <v>1383</v>
      </c>
    </row>
    <row r="1124" spans="1:23" x14ac:dyDescent="0.35">
      <c r="A1124" t="s">
        <v>1384</v>
      </c>
      <c r="B1124" t="s">
        <v>1377</v>
      </c>
      <c r="C1124" t="s">
        <v>5643</v>
      </c>
      <c r="D1124" t="s">
        <v>141</v>
      </c>
      <c r="E1124">
        <v>48.172561299999998</v>
      </c>
      <c r="F1124">
        <v>12.8310753</v>
      </c>
      <c r="G1124">
        <v>2024</v>
      </c>
      <c r="I1124" s="8">
        <v>9617</v>
      </c>
      <c r="J1124">
        <f t="shared" si="12"/>
        <v>3510.2049999999999</v>
      </c>
      <c r="K1124" t="s">
        <v>502</v>
      </c>
      <c r="Q1124" t="s">
        <v>1162</v>
      </c>
      <c r="R1124" t="s">
        <v>1377</v>
      </c>
      <c r="S1124" t="str">
        <f>IF(G1124&gt;2023,"Under Construction","Operational")</f>
        <v>Under Construction</v>
      </c>
      <c r="W1124" t="s">
        <v>1384</v>
      </c>
    </row>
    <row r="1125" spans="1:23" x14ac:dyDescent="0.35">
      <c r="A1125" t="s">
        <v>1387</v>
      </c>
      <c r="B1125" t="s">
        <v>1386</v>
      </c>
      <c r="C1125" t="s">
        <v>5643</v>
      </c>
      <c r="D1125" t="s">
        <v>141</v>
      </c>
      <c r="E1125">
        <v>51.518765100000003</v>
      </c>
      <c r="F1125">
        <v>7.0838410999999999</v>
      </c>
      <c r="G1125">
        <v>2006</v>
      </c>
      <c r="I1125" s="8">
        <v>61118</v>
      </c>
      <c r="J1125">
        <f t="shared" si="12"/>
        <v>22308.07</v>
      </c>
      <c r="K1125" t="s">
        <v>261</v>
      </c>
      <c r="Q1125" t="s">
        <v>483</v>
      </c>
      <c r="R1125" t="s">
        <v>1386</v>
      </c>
      <c r="S1125" t="str">
        <f>IF(G1125&gt;2023,"Under Construction","Operational")</f>
        <v>Operational</v>
      </c>
      <c r="W1125" t="s">
        <v>1387</v>
      </c>
    </row>
    <row r="1126" spans="1:23" x14ac:dyDescent="0.35">
      <c r="A1126" t="s">
        <v>1387</v>
      </c>
      <c r="B1126" t="s">
        <v>1386</v>
      </c>
      <c r="C1126" t="s">
        <v>5643</v>
      </c>
      <c r="D1126" t="s">
        <v>141</v>
      </c>
      <c r="E1126">
        <v>51.518765100000003</v>
      </c>
      <c r="F1126">
        <v>7.0838410999999999</v>
      </c>
      <c r="I1126" s="8">
        <v>89071</v>
      </c>
      <c r="J1126">
        <f t="shared" si="12"/>
        <v>32510.915000000001</v>
      </c>
      <c r="K1126" t="s">
        <v>613</v>
      </c>
      <c r="Q1126" t="s">
        <v>483</v>
      </c>
      <c r="R1126" t="s">
        <v>1386</v>
      </c>
      <c r="W1126" t="s">
        <v>1387</v>
      </c>
    </row>
    <row r="1127" spans="1:23" x14ac:dyDescent="0.35">
      <c r="A1127" t="s">
        <v>1389</v>
      </c>
      <c r="B1127" t="s">
        <v>1315</v>
      </c>
      <c r="C1127" t="s">
        <v>5643</v>
      </c>
      <c r="D1127" t="s">
        <v>141</v>
      </c>
      <c r="E1127">
        <v>49.477401800000003</v>
      </c>
      <c r="F1127">
        <v>8.4447451000000004</v>
      </c>
      <c r="G1127">
        <v>2030</v>
      </c>
      <c r="I1127" s="8">
        <v>143808</v>
      </c>
      <c r="J1127">
        <f t="shared" si="12"/>
        <v>52489.919999999998</v>
      </c>
      <c r="K1127" t="s">
        <v>502</v>
      </c>
      <c r="Q1127" t="s">
        <v>494</v>
      </c>
      <c r="R1127" t="s">
        <v>1315</v>
      </c>
      <c r="S1127" t="str">
        <f t="shared" ref="S1127:S1144" si="16">IF(G1127&gt;2023,"Under Construction","Operational")</f>
        <v>Under Construction</v>
      </c>
      <c r="W1127" t="s">
        <v>1389</v>
      </c>
    </row>
    <row r="1128" spans="1:23" x14ac:dyDescent="0.35">
      <c r="A1128" t="s">
        <v>1392</v>
      </c>
      <c r="B1128" t="s">
        <v>1391</v>
      </c>
      <c r="C1128" t="s">
        <v>5643</v>
      </c>
      <c r="D1128" t="s">
        <v>141</v>
      </c>
      <c r="E1128">
        <v>52.137865900000001</v>
      </c>
      <c r="F1128">
        <v>10.389912600000001</v>
      </c>
      <c r="G1128">
        <v>2022</v>
      </c>
      <c r="I1128">
        <v>360</v>
      </c>
      <c r="J1128">
        <f t="shared" si="12"/>
        <v>131.4</v>
      </c>
      <c r="K1128" t="s">
        <v>502</v>
      </c>
      <c r="Q1128" t="s">
        <v>503</v>
      </c>
      <c r="R1128" t="s">
        <v>1391</v>
      </c>
      <c r="S1128" t="str">
        <f t="shared" si="16"/>
        <v>Operational</v>
      </c>
      <c r="W1128" t="s">
        <v>1392</v>
      </c>
    </row>
    <row r="1129" spans="1:23" x14ac:dyDescent="0.35">
      <c r="A1129" t="s">
        <v>1394</v>
      </c>
      <c r="B1129" t="s">
        <v>1360</v>
      </c>
      <c r="C1129" t="s">
        <v>5643</v>
      </c>
      <c r="D1129" t="s">
        <v>141</v>
      </c>
      <c r="E1129">
        <v>53.460778500000004</v>
      </c>
      <c r="F1129">
        <v>9.9834183999999997</v>
      </c>
      <c r="G1129">
        <v>1981</v>
      </c>
      <c r="I1129" s="8">
        <v>1258</v>
      </c>
      <c r="J1129">
        <f t="shared" si="12"/>
        <v>459.17</v>
      </c>
      <c r="K1129" t="s">
        <v>1250</v>
      </c>
      <c r="Q1129" t="s">
        <v>494</v>
      </c>
      <c r="R1129" t="s">
        <v>1360</v>
      </c>
      <c r="S1129" t="str">
        <f t="shared" si="16"/>
        <v>Operational</v>
      </c>
      <c r="W1129" t="s">
        <v>1394</v>
      </c>
    </row>
    <row r="1130" spans="1:23" x14ac:dyDescent="0.35">
      <c r="A1130" t="s">
        <v>1396</v>
      </c>
      <c r="B1130" t="s">
        <v>1395</v>
      </c>
      <c r="C1130" t="s">
        <v>5643</v>
      </c>
      <c r="D1130" t="s">
        <v>141</v>
      </c>
      <c r="E1130">
        <v>50.853458099999997</v>
      </c>
      <c r="F1130">
        <v>6.9786694999999996</v>
      </c>
      <c r="G1130">
        <v>1980</v>
      </c>
      <c r="I1130" s="8">
        <v>196028</v>
      </c>
      <c r="J1130">
        <f t="shared" si="12"/>
        <v>71550.22</v>
      </c>
      <c r="K1130" t="s">
        <v>613</v>
      </c>
      <c r="Q1130" t="s">
        <v>483</v>
      </c>
      <c r="R1130" t="s">
        <v>1395</v>
      </c>
      <c r="S1130" t="str">
        <f t="shared" si="16"/>
        <v>Operational</v>
      </c>
      <c r="W1130" t="s">
        <v>1396</v>
      </c>
    </row>
    <row r="1131" spans="1:23" x14ac:dyDescent="0.35">
      <c r="A1131" t="s">
        <v>1396</v>
      </c>
      <c r="B1131" t="s">
        <v>1395</v>
      </c>
      <c r="C1131" t="s">
        <v>5643</v>
      </c>
      <c r="D1131" t="s">
        <v>141</v>
      </c>
      <c r="E1131">
        <v>50.853458099999997</v>
      </c>
      <c r="F1131">
        <v>6.9786694999999996</v>
      </c>
      <c r="G1131">
        <v>1980</v>
      </c>
      <c r="I1131" s="8">
        <v>101834</v>
      </c>
      <c r="J1131">
        <f t="shared" si="12"/>
        <v>37169.410000000003</v>
      </c>
      <c r="K1131" t="s">
        <v>261</v>
      </c>
      <c r="Q1131" t="s">
        <v>483</v>
      </c>
      <c r="R1131" t="s">
        <v>1395</v>
      </c>
      <c r="S1131" t="str">
        <f t="shared" si="16"/>
        <v>Operational</v>
      </c>
      <c r="W1131" t="s">
        <v>1396</v>
      </c>
    </row>
    <row r="1132" spans="1:23" x14ac:dyDescent="0.35">
      <c r="A1132" t="s">
        <v>1398</v>
      </c>
      <c r="B1132" t="s">
        <v>1397</v>
      </c>
      <c r="C1132" t="s">
        <v>5643</v>
      </c>
      <c r="D1132" t="s">
        <v>141</v>
      </c>
      <c r="E1132">
        <v>51.527868900000001</v>
      </c>
      <c r="F1132">
        <v>6.7238274999999996</v>
      </c>
      <c r="G1132">
        <v>2045</v>
      </c>
      <c r="I1132" s="8">
        <v>2392965</v>
      </c>
      <c r="J1132">
        <f t="shared" si="12"/>
        <v>873432.22499999998</v>
      </c>
      <c r="K1132" t="s">
        <v>502</v>
      </c>
      <c r="Q1132" t="s">
        <v>503</v>
      </c>
      <c r="R1132" t="s">
        <v>1397</v>
      </c>
      <c r="S1132" t="str">
        <f t="shared" si="16"/>
        <v>Under Construction</v>
      </c>
      <c r="W1132" t="s">
        <v>1398</v>
      </c>
    </row>
    <row r="1133" spans="1:23" x14ac:dyDescent="0.35">
      <c r="A1133" t="s">
        <v>1400</v>
      </c>
      <c r="B1133" t="s">
        <v>1347</v>
      </c>
      <c r="C1133" t="s">
        <v>5643</v>
      </c>
      <c r="D1133" t="s">
        <v>141</v>
      </c>
      <c r="E1133">
        <v>51.323265900000003</v>
      </c>
      <c r="F1133">
        <v>12.0242284</v>
      </c>
      <c r="G1133">
        <v>1997</v>
      </c>
      <c r="I1133" s="8">
        <v>351341</v>
      </c>
      <c r="J1133">
        <f t="shared" si="12"/>
        <v>128239.465</v>
      </c>
      <c r="K1133" t="s">
        <v>613</v>
      </c>
      <c r="Q1133" t="s">
        <v>483</v>
      </c>
      <c r="R1133" t="s">
        <v>1347</v>
      </c>
      <c r="S1133" t="str">
        <f t="shared" si="16"/>
        <v>Operational</v>
      </c>
      <c r="W1133" t="s">
        <v>1400</v>
      </c>
    </row>
    <row r="1134" spans="1:23" x14ac:dyDescent="0.35">
      <c r="A1134" t="s">
        <v>1401</v>
      </c>
      <c r="B1134" t="s">
        <v>1328</v>
      </c>
      <c r="C1134" t="s">
        <v>5643</v>
      </c>
      <c r="D1134" t="s">
        <v>141</v>
      </c>
      <c r="E1134">
        <v>53.532340300000001</v>
      </c>
      <c r="F1134">
        <v>8.1068721999999998</v>
      </c>
      <c r="G1134">
        <v>2027</v>
      </c>
      <c r="I1134" s="8">
        <v>199444</v>
      </c>
      <c r="J1134">
        <f t="shared" si="12"/>
        <v>72797.06</v>
      </c>
      <c r="K1134" t="s">
        <v>1074</v>
      </c>
      <c r="Q1134" t="s">
        <v>1074</v>
      </c>
      <c r="R1134" t="s">
        <v>1328</v>
      </c>
      <c r="S1134" t="str">
        <f t="shared" si="16"/>
        <v>Under Construction</v>
      </c>
      <c r="W1134" t="s">
        <v>1401</v>
      </c>
    </row>
    <row r="1135" spans="1:23" x14ac:dyDescent="0.35">
      <c r="A1135" t="s">
        <v>1403</v>
      </c>
      <c r="B1135" t="s">
        <v>1377</v>
      </c>
      <c r="C1135" t="s">
        <v>5643</v>
      </c>
      <c r="D1135" t="s">
        <v>141</v>
      </c>
      <c r="E1135">
        <v>48.172561299999998</v>
      </c>
      <c r="F1135">
        <v>12.8310753</v>
      </c>
      <c r="G1135">
        <v>2000</v>
      </c>
      <c r="I1135" s="8">
        <v>7190</v>
      </c>
      <c r="J1135">
        <f t="shared" si="12"/>
        <v>2624.35</v>
      </c>
      <c r="K1135" t="s">
        <v>502</v>
      </c>
      <c r="Q1135" t="s">
        <v>494</v>
      </c>
      <c r="R1135" t="s">
        <v>1377</v>
      </c>
      <c r="S1135" t="str">
        <f t="shared" si="16"/>
        <v>Operational</v>
      </c>
      <c r="W1135" t="s">
        <v>1403</v>
      </c>
    </row>
    <row r="1136" spans="1:23" x14ac:dyDescent="0.35">
      <c r="A1136" t="s">
        <v>1406</v>
      </c>
      <c r="B1136" t="s">
        <v>1405</v>
      </c>
      <c r="C1136" t="s">
        <v>5643</v>
      </c>
      <c r="D1136" t="s">
        <v>141</v>
      </c>
      <c r="E1136">
        <v>53.548828200000003</v>
      </c>
      <c r="F1136">
        <v>9.9871703000000007</v>
      </c>
      <c r="G1136">
        <v>2032</v>
      </c>
      <c r="I1136" s="8">
        <v>28762</v>
      </c>
      <c r="J1136">
        <f t="shared" si="12"/>
        <v>10498.13</v>
      </c>
      <c r="K1136" t="s">
        <v>502</v>
      </c>
      <c r="Q1136" t="s">
        <v>1162</v>
      </c>
      <c r="R1136" t="s">
        <v>1405</v>
      </c>
      <c r="S1136" t="str">
        <f t="shared" si="16"/>
        <v>Under Construction</v>
      </c>
      <c r="W1136" t="s">
        <v>1406</v>
      </c>
    </row>
    <row r="1137" spans="1:23" x14ac:dyDescent="0.35">
      <c r="A1137" t="s">
        <v>1409</v>
      </c>
      <c r="B1137" t="s">
        <v>1408</v>
      </c>
      <c r="C1137" t="s">
        <v>5643</v>
      </c>
      <c r="D1137" t="s">
        <v>141</v>
      </c>
      <c r="E1137">
        <v>50.658799000000002</v>
      </c>
      <c r="F1137">
        <v>10.6649645</v>
      </c>
      <c r="G1137">
        <v>2023</v>
      </c>
      <c r="I1137" s="8">
        <v>4764</v>
      </c>
      <c r="J1137">
        <f t="shared" si="12"/>
        <v>1738.86</v>
      </c>
      <c r="K1137" t="s">
        <v>502</v>
      </c>
      <c r="Q1137" t="s">
        <v>1162</v>
      </c>
      <c r="R1137" t="s">
        <v>1408</v>
      </c>
      <c r="S1137" t="str">
        <f t="shared" si="16"/>
        <v>Operational</v>
      </c>
      <c r="W1137" t="s">
        <v>1409</v>
      </c>
    </row>
    <row r="1138" spans="1:23" x14ac:dyDescent="0.35">
      <c r="A1138" t="s">
        <v>1433</v>
      </c>
      <c r="B1138" t="s">
        <v>1432</v>
      </c>
      <c r="C1138" t="s">
        <v>5714</v>
      </c>
      <c r="D1138" t="s">
        <v>163</v>
      </c>
      <c r="E1138">
        <v>43.717891899999998</v>
      </c>
      <c r="F1138">
        <v>10.9477782</v>
      </c>
      <c r="G1138">
        <v>2024</v>
      </c>
      <c r="I1138" s="8">
        <v>64714</v>
      </c>
      <c r="J1138">
        <f t="shared" si="12"/>
        <v>23620.61</v>
      </c>
      <c r="K1138" t="s">
        <v>502</v>
      </c>
      <c r="Q1138" t="s">
        <v>1162</v>
      </c>
      <c r="R1138" t="s">
        <v>1432</v>
      </c>
      <c r="S1138" t="str">
        <f t="shared" si="16"/>
        <v>Under Construction</v>
      </c>
      <c r="W1138" t="s">
        <v>1433</v>
      </c>
    </row>
    <row r="1139" spans="1:23" x14ac:dyDescent="0.35">
      <c r="A1139" t="s">
        <v>1436</v>
      </c>
      <c r="B1139" t="s">
        <v>1435</v>
      </c>
      <c r="C1139" t="s">
        <v>5714</v>
      </c>
      <c r="D1139" t="s">
        <v>163</v>
      </c>
      <c r="E1139">
        <v>43.622033899999998</v>
      </c>
      <c r="F1139">
        <v>13.3702811</v>
      </c>
      <c r="G1139">
        <v>1985</v>
      </c>
      <c r="I1139" s="8">
        <v>20403</v>
      </c>
      <c r="J1139">
        <f t="shared" si="12"/>
        <v>7447.0950000000003</v>
      </c>
      <c r="K1139" t="s">
        <v>261</v>
      </c>
      <c r="Q1139" t="s">
        <v>483</v>
      </c>
      <c r="R1139" t="s">
        <v>1435</v>
      </c>
      <c r="S1139" t="str">
        <f t="shared" si="16"/>
        <v>Operational</v>
      </c>
      <c r="W1139" t="s">
        <v>1436</v>
      </c>
    </row>
    <row r="1140" spans="1:23" x14ac:dyDescent="0.35">
      <c r="A1140" t="s">
        <v>1438</v>
      </c>
      <c r="B1140" t="s">
        <v>1437</v>
      </c>
      <c r="C1140" t="s">
        <v>5714</v>
      </c>
      <c r="D1140" t="s">
        <v>163</v>
      </c>
      <c r="E1140">
        <v>37.074152599999998</v>
      </c>
      <c r="F1140">
        <v>14.2403537</v>
      </c>
      <c r="G1140">
        <v>2019</v>
      </c>
      <c r="I1140" s="8">
        <v>98329</v>
      </c>
      <c r="J1140">
        <f t="shared" si="12"/>
        <v>35890.084999999999</v>
      </c>
      <c r="K1140" t="s">
        <v>261</v>
      </c>
      <c r="Q1140" t="s">
        <v>732</v>
      </c>
      <c r="R1140" t="s">
        <v>1437</v>
      </c>
      <c r="S1140" t="str">
        <f t="shared" si="16"/>
        <v>Operational</v>
      </c>
      <c r="W1140" t="s">
        <v>1438</v>
      </c>
    </row>
    <row r="1141" spans="1:23" x14ac:dyDescent="0.35">
      <c r="A1141" t="s">
        <v>1441</v>
      </c>
      <c r="B1141" t="s">
        <v>1440</v>
      </c>
      <c r="C1141" t="s">
        <v>5714</v>
      </c>
      <c r="D1141" t="s">
        <v>163</v>
      </c>
      <c r="E1141">
        <v>45.101976800000003</v>
      </c>
      <c r="F1141">
        <v>8.9075209999999991</v>
      </c>
      <c r="G1141">
        <v>1993</v>
      </c>
      <c r="I1141" s="8">
        <v>63635</v>
      </c>
      <c r="J1141">
        <f t="shared" si="12"/>
        <v>23226.775000000001</v>
      </c>
      <c r="K1141" t="s">
        <v>261</v>
      </c>
      <c r="Q1141" t="s">
        <v>483</v>
      </c>
      <c r="R1141" t="s">
        <v>1440</v>
      </c>
      <c r="S1141" t="str">
        <f t="shared" si="16"/>
        <v>Operational</v>
      </c>
      <c r="W1141" t="s">
        <v>1441</v>
      </c>
    </row>
    <row r="1142" spans="1:23" x14ac:dyDescent="0.35">
      <c r="A1142" t="s">
        <v>1443</v>
      </c>
      <c r="B1142" t="s">
        <v>1442</v>
      </c>
      <c r="C1142" t="s">
        <v>5714</v>
      </c>
      <c r="D1142" t="s">
        <v>163</v>
      </c>
      <c r="E1142">
        <v>40.464360599999999</v>
      </c>
      <c r="F1142">
        <v>17.247030299999999</v>
      </c>
      <c r="G1142">
        <v>1993</v>
      </c>
      <c r="I1142" s="8">
        <v>99317</v>
      </c>
      <c r="J1142">
        <f t="shared" si="12"/>
        <v>36250.705000000002</v>
      </c>
      <c r="K1142" t="s">
        <v>1250</v>
      </c>
      <c r="Q1142" t="s">
        <v>483</v>
      </c>
      <c r="R1142" t="s">
        <v>1442</v>
      </c>
      <c r="S1142" t="str">
        <f t="shared" si="16"/>
        <v>Operational</v>
      </c>
      <c r="W1142" t="s">
        <v>1443</v>
      </c>
    </row>
    <row r="1143" spans="1:23" x14ac:dyDescent="0.35">
      <c r="A1143" t="s">
        <v>1443</v>
      </c>
      <c r="B1143" t="s">
        <v>1442</v>
      </c>
      <c r="C1143" t="s">
        <v>5714</v>
      </c>
      <c r="D1143" t="s">
        <v>163</v>
      </c>
      <c r="E1143">
        <v>40.464360599999999</v>
      </c>
      <c r="F1143">
        <v>17.247030299999999</v>
      </c>
      <c r="G1143">
        <v>2010</v>
      </c>
      <c r="I1143" s="8">
        <v>152706</v>
      </c>
      <c r="J1143">
        <f t="shared" si="12"/>
        <v>55737.69</v>
      </c>
      <c r="K1143" t="s">
        <v>1250</v>
      </c>
      <c r="Q1143" t="s">
        <v>483</v>
      </c>
      <c r="R1143" t="s">
        <v>1442</v>
      </c>
      <c r="S1143" t="str">
        <f t="shared" si="16"/>
        <v>Operational</v>
      </c>
      <c r="W1143" t="s">
        <v>1443</v>
      </c>
    </row>
    <row r="1144" spans="1:23" x14ac:dyDescent="0.35">
      <c r="A1144" t="s">
        <v>1445</v>
      </c>
      <c r="B1144" t="s">
        <v>1444</v>
      </c>
      <c r="C1144" t="s">
        <v>5714</v>
      </c>
      <c r="D1144" t="s">
        <v>163</v>
      </c>
      <c r="E1144">
        <v>45.466666699999998</v>
      </c>
      <c r="F1144">
        <v>12.2333333</v>
      </c>
      <c r="G1144">
        <v>2014</v>
      </c>
      <c r="I1144" s="8">
        <v>49164</v>
      </c>
      <c r="J1144">
        <f t="shared" si="12"/>
        <v>17944.86</v>
      </c>
      <c r="K1144" t="s">
        <v>261</v>
      </c>
      <c r="Q1144" t="s">
        <v>732</v>
      </c>
      <c r="R1144" t="s">
        <v>1444</v>
      </c>
      <c r="S1144" t="str">
        <f t="shared" si="16"/>
        <v>Operational</v>
      </c>
      <c r="W1144" t="s">
        <v>1445</v>
      </c>
    </row>
    <row r="1145" spans="1:23" x14ac:dyDescent="0.35">
      <c r="A1145" t="s">
        <v>1448</v>
      </c>
      <c r="B1145" t="s">
        <v>1447</v>
      </c>
      <c r="C1145" t="s">
        <v>5714</v>
      </c>
      <c r="D1145" t="s">
        <v>163</v>
      </c>
      <c r="E1145">
        <v>37.181024499999999</v>
      </c>
      <c r="F1145">
        <v>15.1253159</v>
      </c>
      <c r="I1145" s="8">
        <v>40446</v>
      </c>
      <c r="J1145">
        <f t="shared" si="12"/>
        <v>14762.79</v>
      </c>
      <c r="K1145" t="s">
        <v>1250</v>
      </c>
      <c r="Q1145" t="s">
        <v>483</v>
      </c>
      <c r="R1145" t="s">
        <v>1447</v>
      </c>
      <c r="W1145" t="s">
        <v>1448</v>
      </c>
    </row>
    <row r="1146" spans="1:23" x14ac:dyDescent="0.35">
      <c r="A1146" t="s">
        <v>1450</v>
      </c>
      <c r="B1146" t="s">
        <v>1449</v>
      </c>
      <c r="C1146" t="s">
        <v>5714</v>
      </c>
      <c r="D1146" t="s">
        <v>163</v>
      </c>
      <c r="E1146">
        <v>44.569243100000001</v>
      </c>
      <c r="F1146">
        <v>8.9461496999999994</v>
      </c>
      <c r="I1146" s="8">
        <v>17796</v>
      </c>
      <c r="J1146">
        <f t="shared" si="12"/>
        <v>6495.54</v>
      </c>
      <c r="K1146" t="s">
        <v>261</v>
      </c>
      <c r="Q1146" t="s">
        <v>483</v>
      </c>
      <c r="R1146" t="s">
        <v>1449</v>
      </c>
      <c r="W1146" t="s">
        <v>1450</v>
      </c>
    </row>
    <row r="1147" spans="1:23" x14ac:dyDescent="0.35">
      <c r="A1147" t="s">
        <v>1452</v>
      </c>
      <c r="B1147" t="s">
        <v>1451</v>
      </c>
      <c r="C1147" t="s">
        <v>5714</v>
      </c>
      <c r="D1147" t="s">
        <v>163</v>
      </c>
      <c r="E1147">
        <v>37.157858400000002</v>
      </c>
      <c r="F1147">
        <v>15.1837006</v>
      </c>
      <c r="G1147">
        <v>2007</v>
      </c>
      <c r="I1147" s="8">
        <v>43322</v>
      </c>
      <c r="J1147">
        <f t="shared" si="12"/>
        <v>15812.53</v>
      </c>
      <c r="K1147" t="s">
        <v>1250</v>
      </c>
      <c r="Q1147" t="s">
        <v>483</v>
      </c>
      <c r="R1147" t="s">
        <v>1451</v>
      </c>
      <c r="S1147" t="str">
        <f t="shared" ref="S1147:S1161" si="17">IF(G1147&gt;2023,"Under Construction","Operational")</f>
        <v>Operational</v>
      </c>
      <c r="W1147" t="s">
        <v>1452</v>
      </c>
    </row>
    <row r="1148" spans="1:23" x14ac:dyDescent="0.35">
      <c r="A1148" t="s">
        <v>1452</v>
      </c>
      <c r="B1148" t="s">
        <v>1451</v>
      </c>
      <c r="C1148" t="s">
        <v>5714</v>
      </c>
      <c r="D1148" t="s">
        <v>163</v>
      </c>
      <c r="E1148">
        <v>37.157858400000002</v>
      </c>
      <c r="F1148">
        <v>15.1837006</v>
      </c>
      <c r="G1148">
        <v>2010</v>
      </c>
      <c r="I1148" s="8">
        <v>43322</v>
      </c>
      <c r="J1148">
        <f t="shared" si="12"/>
        <v>15812.53</v>
      </c>
      <c r="K1148" t="s">
        <v>261</v>
      </c>
      <c r="Q1148" t="s">
        <v>483</v>
      </c>
      <c r="R1148" t="s">
        <v>1451</v>
      </c>
      <c r="S1148" t="str">
        <f t="shared" si="17"/>
        <v>Operational</v>
      </c>
      <c r="W1148" t="s">
        <v>1452</v>
      </c>
    </row>
    <row r="1149" spans="1:23" x14ac:dyDescent="0.35">
      <c r="A1149" t="s">
        <v>1455</v>
      </c>
      <c r="B1149" t="s">
        <v>1454</v>
      </c>
      <c r="C1149" t="s">
        <v>5714</v>
      </c>
      <c r="D1149" t="s">
        <v>163</v>
      </c>
      <c r="E1149">
        <v>45.446930000000002</v>
      </c>
      <c r="F1149">
        <v>8.6221612000000007</v>
      </c>
      <c r="G1149">
        <v>1991</v>
      </c>
      <c r="I1149" s="8">
        <v>7909</v>
      </c>
      <c r="J1149">
        <f t="shared" si="12"/>
        <v>2886.7849999999999</v>
      </c>
      <c r="K1149" t="s">
        <v>261</v>
      </c>
      <c r="Q1149" t="s">
        <v>494</v>
      </c>
      <c r="R1149" t="s">
        <v>1454</v>
      </c>
      <c r="S1149" t="str">
        <f t="shared" si="17"/>
        <v>Operational</v>
      </c>
      <c r="W1149" t="s">
        <v>1455</v>
      </c>
    </row>
    <row r="1150" spans="1:23" x14ac:dyDescent="0.35">
      <c r="A1150" t="s">
        <v>1458</v>
      </c>
      <c r="B1150" t="s">
        <v>1457</v>
      </c>
      <c r="C1150" t="s">
        <v>5714</v>
      </c>
      <c r="D1150" t="s">
        <v>163</v>
      </c>
      <c r="E1150">
        <v>38.220710199999999</v>
      </c>
      <c r="F1150">
        <v>15.2419327</v>
      </c>
      <c r="G1150">
        <v>2002</v>
      </c>
      <c r="I1150" s="8">
        <v>2517</v>
      </c>
      <c r="J1150">
        <f t="shared" si="12"/>
        <v>918.70500000000004</v>
      </c>
      <c r="K1150" t="s">
        <v>261</v>
      </c>
      <c r="Q1150" t="s">
        <v>483</v>
      </c>
      <c r="R1150" t="s">
        <v>1457</v>
      </c>
      <c r="S1150" t="str">
        <f t="shared" si="17"/>
        <v>Operational</v>
      </c>
      <c r="W1150" t="s">
        <v>1458</v>
      </c>
    </row>
    <row r="1151" spans="1:23" x14ac:dyDescent="0.35">
      <c r="A1151" t="s">
        <v>1458</v>
      </c>
      <c r="B1151" t="s">
        <v>1457</v>
      </c>
      <c r="C1151" t="s">
        <v>5714</v>
      </c>
      <c r="D1151" t="s">
        <v>163</v>
      </c>
      <c r="E1151">
        <v>38.220710199999999</v>
      </c>
      <c r="F1151">
        <v>15.2419327</v>
      </c>
      <c r="G1151">
        <v>2002</v>
      </c>
      <c r="I1151" s="8">
        <v>86554</v>
      </c>
      <c r="J1151">
        <f t="shared" ref="J1151:J1194" si="18">I1151*365/1000</f>
        <v>31592.21</v>
      </c>
      <c r="K1151" t="s">
        <v>261</v>
      </c>
      <c r="Q1151" t="s">
        <v>483</v>
      </c>
      <c r="R1151" t="s">
        <v>1457</v>
      </c>
      <c r="S1151" t="str">
        <f t="shared" si="17"/>
        <v>Operational</v>
      </c>
      <c r="W1151" t="s">
        <v>1458</v>
      </c>
    </row>
    <row r="1152" spans="1:23" x14ac:dyDescent="0.35">
      <c r="A1152" t="s">
        <v>1461</v>
      </c>
      <c r="B1152" t="s">
        <v>1460</v>
      </c>
      <c r="C1152" t="s">
        <v>5714</v>
      </c>
      <c r="D1152" t="s">
        <v>163</v>
      </c>
      <c r="E1152">
        <v>39.065497399999998</v>
      </c>
      <c r="F1152">
        <v>9.0108376999999997</v>
      </c>
      <c r="G1152">
        <v>2002</v>
      </c>
      <c r="I1152" s="8">
        <v>66152</v>
      </c>
      <c r="J1152">
        <f t="shared" si="18"/>
        <v>24145.48</v>
      </c>
      <c r="K1152" t="s">
        <v>261</v>
      </c>
      <c r="Q1152" t="s">
        <v>483</v>
      </c>
      <c r="R1152" t="s">
        <v>1460</v>
      </c>
      <c r="S1152" t="str">
        <f t="shared" si="17"/>
        <v>Operational</v>
      </c>
      <c r="W1152" t="s">
        <v>1461</v>
      </c>
    </row>
    <row r="1153" spans="1:23" x14ac:dyDescent="0.35">
      <c r="A1153" t="s">
        <v>1461</v>
      </c>
      <c r="B1153" t="s">
        <v>1460</v>
      </c>
      <c r="C1153" t="s">
        <v>5714</v>
      </c>
      <c r="D1153" t="s">
        <v>163</v>
      </c>
      <c r="E1153">
        <v>39.065497399999998</v>
      </c>
      <c r="F1153">
        <v>9.0108376999999997</v>
      </c>
      <c r="G1153">
        <v>2021</v>
      </c>
      <c r="I1153" s="8">
        <v>13662</v>
      </c>
      <c r="J1153">
        <f t="shared" si="18"/>
        <v>4986.63</v>
      </c>
      <c r="K1153" t="s">
        <v>261</v>
      </c>
      <c r="Q1153" t="s">
        <v>732</v>
      </c>
      <c r="R1153" t="s">
        <v>1460</v>
      </c>
      <c r="S1153" t="str">
        <f t="shared" si="17"/>
        <v>Operational</v>
      </c>
      <c r="W1153" t="s">
        <v>1461</v>
      </c>
    </row>
    <row r="1154" spans="1:23" x14ac:dyDescent="0.35">
      <c r="A1154" t="s">
        <v>1461</v>
      </c>
      <c r="B1154" t="s">
        <v>1460</v>
      </c>
      <c r="C1154" t="s">
        <v>5714</v>
      </c>
      <c r="D1154" t="s">
        <v>163</v>
      </c>
      <c r="E1154">
        <v>39.065497399999998</v>
      </c>
      <c r="F1154">
        <v>9.0108376999999997</v>
      </c>
      <c r="G1154">
        <v>2006</v>
      </c>
      <c r="I1154" s="8">
        <v>91678</v>
      </c>
      <c r="J1154">
        <f t="shared" si="18"/>
        <v>33462.47</v>
      </c>
      <c r="K1154" t="s">
        <v>613</v>
      </c>
      <c r="Q1154" t="s">
        <v>483</v>
      </c>
      <c r="R1154" t="s">
        <v>1460</v>
      </c>
      <c r="S1154" t="str">
        <f t="shared" si="17"/>
        <v>Operational</v>
      </c>
      <c r="W1154" t="s">
        <v>1461</v>
      </c>
    </row>
    <row r="1155" spans="1:23" x14ac:dyDescent="0.35">
      <c r="A1155" t="s">
        <v>1465</v>
      </c>
      <c r="B1155" t="s">
        <v>1464</v>
      </c>
      <c r="C1155" t="s">
        <v>5714</v>
      </c>
      <c r="D1155" t="s">
        <v>163</v>
      </c>
      <c r="E1155">
        <v>39.065497399999998</v>
      </c>
      <c r="F1155">
        <v>9.0108376999999997</v>
      </c>
      <c r="G1155">
        <v>2026</v>
      </c>
      <c r="I1155" s="8">
        <v>9617</v>
      </c>
      <c r="J1155">
        <f t="shared" si="18"/>
        <v>3510.2049999999999</v>
      </c>
      <c r="K1155" t="s">
        <v>502</v>
      </c>
      <c r="Q1155" t="s">
        <v>483</v>
      </c>
      <c r="R1155" t="s">
        <v>1464</v>
      </c>
      <c r="S1155" t="str">
        <f t="shared" si="17"/>
        <v>Under Construction</v>
      </c>
      <c r="W1155" t="s">
        <v>1465</v>
      </c>
    </row>
    <row r="1156" spans="1:23" x14ac:dyDescent="0.35">
      <c r="A1156" t="s">
        <v>1468</v>
      </c>
      <c r="B1156" t="s">
        <v>1467</v>
      </c>
      <c r="C1156" t="s">
        <v>5714</v>
      </c>
      <c r="D1156" t="s">
        <v>163</v>
      </c>
      <c r="E1156">
        <v>45.432744100000001</v>
      </c>
      <c r="F1156">
        <v>8.7380125</v>
      </c>
      <c r="G1156">
        <v>2005</v>
      </c>
      <c r="I1156" s="8">
        <v>33076</v>
      </c>
      <c r="J1156">
        <f t="shared" si="18"/>
        <v>12072.74</v>
      </c>
      <c r="K1156" t="s">
        <v>261</v>
      </c>
      <c r="Q1156" t="s">
        <v>483</v>
      </c>
      <c r="R1156" t="s">
        <v>1467</v>
      </c>
      <c r="S1156" t="str">
        <f t="shared" si="17"/>
        <v>Operational</v>
      </c>
      <c r="W1156" t="s">
        <v>1468</v>
      </c>
    </row>
    <row r="1157" spans="1:23" x14ac:dyDescent="0.35">
      <c r="A1157" t="s">
        <v>1471</v>
      </c>
      <c r="B1157" t="s">
        <v>1470</v>
      </c>
      <c r="C1157" t="s">
        <v>5714</v>
      </c>
      <c r="D1157" t="s">
        <v>163</v>
      </c>
      <c r="E1157">
        <v>45.638658599999999</v>
      </c>
      <c r="F1157">
        <v>9.2653283000000002</v>
      </c>
      <c r="G1157">
        <v>1973</v>
      </c>
      <c r="I1157">
        <v>270</v>
      </c>
      <c r="J1157">
        <f t="shared" si="18"/>
        <v>98.55</v>
      </c>
      <c r="K1157" t="s">
        <v>261</v>
      </c>
      <c r="Q1157" t="s">
        <v>1472</v>
      </c>
      <c r="R1157" t="s">
        <v>1470</v>
      </c>
      <c r="S1157" t="str">
        <f t="shared" si="17"/>
        <v>Operational</v>
      </c>
      <c r="W1157" t="s">
        <v>1471</v>
      </c>
    </row>
    <row r="1158" spans="1:23" x14ac:dyDescent="0.35">
      <c r="A1158" t="s">
        <v>1473</v>
      </c>
      <c r="B1158" t="s">
        <v>1437</v>
      </c>
      <c r="C1158" t="s">
        <v>5714</v>
      </c>
      <c r="D1158" t="s">
        <v>163</v>
      </c>
      <c r="E1158">
        <v>37.074152599999998</v>
      </c>
      <c r="F1158">
        <v>14.2403537</v>
      </c>
      <c r="G1158">
        <v>2026</v>
      </c>
      <c r="I1158" s="8">
        <v>9617</v>
      </c>
      <c r="J1158">
        <f t="shared" si="18"/>
        <v>3510.2049999999999</v>
      </c>
      <c r="K1158" t="s">
        <v>502</v>
      </c>
      <c r="Q1158" t="s">
        <v>732</v>
      </c>
      <c r="R1158" t="s">
        <v>1437</v>
      </c>
      <c r="S1158" t="str">
        <f t="shared" si="17"/>
        <v>Under Construction</v>
      </c>
      <c r="W1158" t="s">
        <v>1473</v>
      </c>
    </row>
    <row r="1159" spans="1:23" x14ac:dyDescent="0.35">
      <c r="A1159" t="s">
        <v>1473</v>
      </c>
      <c r="B1159" t="s">
        <v>1442</v>
      </c>
      <c r="C1159" t="s">
        <v>5714</v>
      </c>
      <c r="D1159" t="s">
        <v>163</v>
      </c>
      <c r="E1159">
        <v>40.464360599999999</v>
      </c>
      <c r="F1159">
        <v>17.247030299999999</v>
      </c>
      <c r="G1159">
        <v>2026</v>
      </c>
      <c r="I1159" s="8">
        <v>4764</v>
      </c>
      <c r="J1159">
        <f t="shared" si="18"/>
        <v>1738.86</v>
      </c>
      <c r="K1159" t="s">
        <v>502</v>
      </c>
      <c r="Q1159" t="s">
        <v>483</v>
      </c>
      <c r="R1159" t="s">
        <v>1442</v>
      </c>
      <c r="S1159" t="str">
        <f t="shared" si="17"/>
        <v>Under Construction</v>
      </c>
      <c r="W1159" t="s">
        <v>1473</v>
      </c>
    </row>
    <row r="1160" spans="1:23" x14ac:dyDescent="0.35">
      <c r="A1160" t="s">
        <v>1656</v>
      </c>
      <c r="B1160" t="s">
        <v>1655</v>
      </c>
      <c r="C1160" t="s">
        <v>26202</v>
      </c>
      <c r="D1160" t="s">
        <v>448</v>
      </c>
      <c r="E1160">
        <v>53.6296958</v>
      </c>
      <c r="F1160">
        <v>-0.18802730000000001</v>
      </c>
      <c r="G1160">
        <v>2027</v>
      </c>
      <c r="J1160">
        <f t="shared" si="18"/>
        <v>0</v>
      </c>
      <c r="K1160" t="s">
        <v>1657</v>
      </c>
      <c r="Q1160" t="s">
        <v>1074</v>
      </c>
      <c r="S1160" t="str">
        <f t="shared" si="17"/>
        <v>Under Construction</v>
      </c>
      <c r="W1160" t="s">
        <v>1656</v>
      </c>
    </row>
    <row r="1161" spans="1:23" x14ac:dyDescent="0.35">
      <c r="A1161" t="s">
        <v>1660</v>
      </c>
      <c r="B1161" t="s">
        <v>1659</v>
      </c>
      <c r="C1161" t="s">
        <v>26202</v>
      </c>
      <c r="D1161" t="s">
        <v>448</v>
      </c>
      <c r="E1161">
        <v>57.811501</v>
      </c>
      <c r="F1161">
        <v>-4.0552299999999999</v>
      </c>
      <c r="G1161">
        <v>2027</v>
      </c>
      <c r="I1161" s="8">
        <v>143808</v>
      </c>
      <c r="J1161">
        <f t="shared" si="18"/>
        <v>52489.919999999998</v>
      </c>
      <c r="K1161" t="s">
        <v>502</v>
      </c>
      <c r="Q1161" t="s">
        <v>1162</v>
      </c>
      <c r="S1161" t="str">
        <f t="shared" si="17"/>
        <v>Under Construction</v>
      </c>
      <c r="W1161" t="s">
        <v>1660</v>
      </c>
    </row>
    <row r="1162" spans="1:23" x14ac:dyDescent="0.35">
      <c r="A1162" t="s">
        <v>1663</v>
      </c>
      <c r="B1162" t="s">
        <v>1662</v>
      </c>
      <c r="C1162" t="s">
        <v>26202</v>
      </c>
      <c r="D1162" t="s">
        <v>448</v>
      </c>
      <c r="E1162">
        <v>50.826813899999998</v>
      </c>
      <c r="F1162">
        <v>-1.3502269</v>
      </c>
      <c r="I1162" s="8">
        <v>127270</v>
      </c>
      <c r="J1162">
        <f t="shared" si="18"/>
        <v>46453.55</v>
      </c>
      <c r="K1162" t="s">
        <v>261</v>
      </c>
      <c r="Q1162" t="s">
        <v>483</v>
      </c>
      <c r="W1162" t="s">
        <v>1663</v>
      </c>
    </row>
    <row r="1163" spans="1:23" x14ac:dyDescent="0.35">
      <c r="A1163" t="s">
        <v>1531</v>
      </c>
      <c r="B1163" t="s">
        <v>1664</v>
      </c>
      <c r="C1163" t="s">
        <v>26202</v>
      </c>
      <c r="D1163" t="s">
        <v>448</v>
      </c>
      <c r="E1163">
        <v>60.529650699999998</v>
      </c>
      <c r="F1163">
        <v>-1.2659408000000001</v>
      </c>
      <c r="G1163">
        <v>2027</v>
      </c>
      <c r="I1163" s="8">
        <v>55905</v>
      </c>
      <c r="J1163">
        <f t="shared" si="18"/>
        <v>20405.325000000001</v>
      </c>
      <c r="K1163" t="s">
        <v>502</v>
      </c>
      <c r="Q1163" t="s">
        <v>1074</v>
      </c>
      <c r="S1163" t="str">
        <f t="shared" ref="S1163:S1170" si="19">IF(G1163&gt;2023,"Under Construction","Operational")</f>
        <v>Under Construction</v>
      </c>
      <c r="W1163" t="s">
        <v>1531</v>
      </c>
    </row>
    <row r="1164" spans="1:23" x14ac:dyDescent="0.35">
      <c r="A1164" t="s">
        <v>1667</v>
      </c>
      <c r="B1164" t="s">
        <v>1666</v>
      </c>
      <c r="C1164" t="s">
        <v>26202</v>
      </c>
      <c r="D1164" t="s">
        <v>448</v>
      </c>
      <c r="E1164">
        <v>56.009715200000002</v>
      </c>
      <c r="F1164">
        <v>-3.7227698</v>
      </c>
      <c r="G1164">
        <v>1993</v>
      </c>
      <c r="I1164" s="8">
        <v>124753</v>
      </c>
      <c r="J1164">
        <f t="shared" si="18"/>
        <v>45534.845000000001</v>
      </c>
      <c r="K1164" t="s">
        <v>261</v>
      </c>
      <c r="Q1164" t="s">
        <v>483</v>
      </c>
      <c r="S1164" t="str">
        <f t="shared" si="19"/>
        <v>Operational</v>
      </c>
      <c r="W1164" t="s">
        <v>1667</v>
      </c>
    </row>
    <row r="1165" spans="1:23" x14ac:dyDescent="0.35">
      <c r="A1165" t="s">
        <v>1670</v>
      </c>
      <c r="B1165" t="s">
        <v>1669</v>
      </c>
      <c r="C1165" t="s">
        <v>26202</v>
      </c>
      <c r="D1165" t="s">
        <v>448</v>
      </c>
      <c r="E1165">
        <v>53.614012000000002</v>
      </c>
      <c r="F1165">
        <v>-0.21591299999999999</v>
      </c>
      <c r="G1165">
        <v>2003</v>
      </c>
      <c r="I1165" s="8">
        <v>45839</v>
      </c>
      <c r="J1165">
        <f t="shared" si="18"/>
        <v>16731.235000000001</v>
      </c>
      <c r="K1165" t="s">
        <v>1486</v>
      </c>
      <c r="Q1165" t="s">
        <v>483</v>
      </c>
      <c r="S1165" t="str">
        <f t="shared" si="19"/>
        <v>Operational</v>
      </c>
      <c r="W1165" t="s">
        <v>1670</v>
      </c>
    </row>
    <row r="1166" spans="1:23" x14ac:dyDescent="0.35">
      <c r="A1166" t="s">
        <v>1670</v>
      </c>
      <c r="B1166" t="s">
        <v>1669</v>
      </c>
      <c r="C1166" t="s">
        <v>26202</v>
      </c>
      <c r="D1166" t="s">
        <v>448</v>
      </c>
      <c r="E1166">
        <v>53.614012000000002</v>
      </c>
      <c r="F1166">
        <v>-0.21591299999999999</v>
      </c>
      <c r="G1166">
        <v>2020</v>
      </c>
      <c r="I1166" s="8">
        <v>34154</v>
      </c>
      <c r="J1166">
        <f t="shared" si="18"/>
        <v>12466.21</v>
      </c>
      <c r="K1166" t="s">
        <v>1486</v>
      </c>
      <c r="Q1166" t="s">
        <v>732</v>
      </c>
      <c r="S1166" t="str">
        <f t="shared" si="19"/>
        <v>Operational</v>
      </c>
      <c r="W1166" t="s">
        <v>1670</v>
      </c>
    </row>
    <row r="1167" spans="1:23" x14ac:dyDescent="0.35">
      <c r="A1167" t="s">
        <v>1671</v>
      </c>
      <c r="B1167" t="s">
        <v>1669</v>
      </c>
      <c r="C1167" t="s">
        <v>26202</v>
      </c>
      <c r="D1167" t="s">
        <v>448</v>
      </c>
      <c r="E1167">
        <v>53.614012000000002</v>
      </c>
      <c r="F1167">
        <v>-0.21591299999999999</v>
      </c>
      <c r="G1167">
        <v>2010</v>
      </c>
      <c r="I1167" s="8">
        <v>53479</v>
      </c>
      <c r="J1167">
        <f t="shared" si="18"/>
        <v>19519.834999999999</v>
      </c>
      <c r="K1167" t="s">
        <v>261</v>
      </c>
      <c r="Q1167" t="s">
        <v>483</v>
      </c>
      <c r="S1167" t="str">
        <f t="shared" si="19"/>
        <v>Operational</v>
      </c>
      <c r="W1167" t="s">
        <v>1671</v>
      </c>
    </row>
    <row r="1168" spans="1:23" x14ac:dyDescent="0.35">
      <c r="A1168" t="s">
        <v>1674</v>
      </c>
      <c r="B1168" t="s">
        <v>1673</v>
      </c>
      <c r="C1168" t="s">
        <v>26202</v>
      </c>
      <c r="D1168" t="s">
        <v>448</v>
      </c>
      <c r="E1168">
        <v>51.961725999999999</v>
      </c>
      <c r="F1168">
        <v>1.3512550000000001</v>
      </c>
      <c r="G1168">
        <v>2030</v>
      </c>
      <c r="I1168" s="8">
        <v>13392</v>
      </c>
      <c r="J1168">
        <f t="shared" si="18"/>
        <v>4888.08</v>
      </c>
      <c r="K1168" t="s">
        <v>502</v>
      </c>
      <c r="Q1168" t="s">
        <v>549</v>
      </c>
      <c r="S1168" t="str">
        <f t="shared" si="19"/>
        <v>Under Construction</v>
      </c>
      <c r="W1168" t="s">
        <v>1674</v>
      </c>
    </row>
    <row r="1169" spans="1:23" x14ac:dyDescent="0.35">
      <c r="A1169" t="s">
        <v>1677</v>
      </c>
      <c r="B1169" t="s">
        <v>1676</v>
      </c>
      <c r="C1169" t="s">
        <v>26202</v>
      </c>
      <c r="D1169" t="s">
        <v>448</v>
      </c>
      <c r="E1169">
        <v>51.714306000000001</v>
      </c>
      <c r="F1169">
        <v>-5.0426970000000004</v>
      </c>
      <c r="G1169">
        <v>1983</v>
      </c>
      <c r="I1169" s="8">
        <v>20403</v>
      </c>
      <c r="J1169">
        <f t="shared" si="18"/>
        <v>7447.0950000000003</v>
      </c>
      <c r="K1169" t="s">
        <v>1486</v>
      </c>
      <c r="Q1169" t="s">
        <v>483</v>
      </c>
      <c r="S1169" t="str">
        <f t="shared" si="19"/>
        <v>Operational</v>
      </c>
      <c r="W1169" t="s">
        <v>1677</v>
      </c>
    </row>
    <row r="1170" spans="1:23" x14ac:dyDescent="0.35">
      <c r="A1170" t="s">
        <v>1678</v>
      </c>
      <c r="B1170" t="s">
        <v>1669</v>
      </c>
      <c r="C1170" t="s">
        <v>26202</v>
      </c>
      <c r="D1170" t="s">
        <v>448</v>
      </c>
      <c r="E1170">
        <v>53.614012000000002</v>
      </c>
      <c r="F1170">
        <v>-0.21591299999999999</v>
      </c>
      <c r="G1170">
        <v>2025</v>
      </c>
      <c r="I1170" s="8">
        <v>54647</v>
      </c>
      <c r="J1170">
        <f t="shared" si="18"/>
        <v>19946.154999999999</v>
      </c>
      <c r="K1170" t="s">
        <v>261</v>
      </c>
      <c r="Q1170" t="s">
        <v>732</v>
      </c>
      <c r="S1170" t="str">
        <f t="shared" si="19"/>
        <v>Under Construction</v>
      </c>
      <c r="W1170" t="s">
        <v>1678</v>
      </c>
    </row>
    <row r="1171" spans="1:23" x14ac:dyDescent="0.35">
      <c r="A1171" t="s">
        <v>1945</v>
      </c>
      <c r="B1171" t="s">
        <v>1602</v>
      </c>
      <c r="C1171" t="s">
        <v>284</v>
      </c>
      <c r="D1171" t="s">
        <v>283</v>
      </c>
      <c r="E1171">
        <v>43.362343600000003</v>
      </c>
      <c r="F1171">
        <v>-8.4115400999999999</v>
      </c>
      <c r="I1171" s="8">
        <v>34514</v>
      </c>
      <c r="J1171">
        <f t="shared" si="18"/>
        <v>12597.61</v>
      </c>
      <c r="K1171" t="s">
        <v>261</v>
      </c>
      <c r="Q1171" t="s">
        <v>483</v>
      </c>
      <c r="R1171" t="s">
        <v>1602</v>
      </c>
    </row>
    <row r="1172" spans="1:23" x14ac:dyDescent="0.35">
      <c r="A1172" t="s">
        <v>1945</v>
      </c>
      <c r="B1172" t="s">
        <v>1591</v>
      </c>
      <c r="C1172" t="s">
        <v>284</v>
      </c>
      <c r="D1172" t="s">
        <v>283</v>
      </c>
      <c r="E1172">
        <v>38.688445799999997</v>
      </c>
      <c r="F1172">
        <v>-4.1078877</v>
      </c>
      <c r="G1172">
        <v>2010</v>
      </c>
      <c r="I1172" s="8">
        <v>3020</v>
      </c>
      <c r="J1172">
        <f t="shared" si="18"/>
        <v>1102.3</v>
      </c>
      <c r="K1172" t="s">
        <v>261</v>
      </c>
      <c r="Q1172" t="s">
        <v>1472</v>
      </c>
      <c r="R1172" t="s">
        <v>1591</v>
      </c>
      <c r="S1172" t="str">
        <f>IF(G1172&gt;2023,"Under Construction","Operational")</f>
        <v>Operational</v>
      </c>
    </row>
    <row r="1173" spans="1:23" x14ac:dyDescent="0.35">
      <c r="A1173" t="s">
        <v>1948</v>
      </c>
      <c r="B1173" t="s">
        <v>1602</v>
      </c>
      <c r="C1173" t="s">
        <v>284</v>
      </c>
      <c r="D1173" t="s">
        <v>283</v>
      </c>
      <c r="E1173">
        <v>43.362343600000003</v>
      </c>
      <c r="F1173">
        <v>-8.4115400999999999</v>
      </c>
      <c r="G1173">
        <v>2005</v>
      </c>
      <c r="I1173" s="8">
        <v>67410</v>
      </c>
      <c r="J1173">
        <f t="shared" si="18"/>
        <v>24604.65</v>
      </c>
      <c r="K1173" t="s">
        <v>261</v>
      </c>
      <c r="Q1173" t="s">
        <v>483</v>
      </c>
      <c r="R1173" t="s">
        <v>1602</v>
      </c>
      <c r="S1173" t="str">
        <f>IF(G1173&gt;2023,"Under Construction","Operational")</f>
        <v>Operational</v>
      </c>
    </row>
    <row r="1174" spans="1:23" x14ac:dyDescent="0.35">
      <c r="A1174" t="s">
        <v>1948</v>
      </c>
      <c r="B1174" t="s">
        <v>1591</v>
      </c>
      <c r="C1174" t="s">
        <v>284</v>
      </c>
      <c r="D1174" t="s">
        <v>283</v>
      </c>
      <c r="E1174">
        <v>38.688445799999997</v>
      </c>
      <c r="F1174">
        <v>-4.1078877</v>
      </c>
      <c r="G1174">
        <v>2004</v>
      </c>
      <c r="I1174" s="8">
        <v>103362</v>
      </c>
      <c r="J1174">
        <f t="shared" si="18"/>
        <v>37727.129999999997</v>
      </c>
      <c r="K1174" t="s">
        <v>261</v>
      </c>
      <c r="Q1174" t="s">
        <v>483</v>
      </c>
      <c r="R1174" t="s">
        <v>1591</v>
      </c>
      <c r="S1174" t="str">
        <f>IF(G1174&gt;2023,"Under Construction","Operational")</f>
        <v>Operational</v>
      </c>
    </row>
    <row r="1175" spans="1:23" x14ac:dyDescent="0.35">
      <c r="A1175" t="s">
        <v>1948</v>
      </c>
      <c r="B1175" t="s">
        <v>1949</v>
      </c>
      <c r="C1175" t="s">
        <v>284</v>
      </c>
      <c r="D1175" t="s">
        <v>283</v>
      </c>
      <c r="E1175">
        <v>43.348850300000002</v>
      </c>
      <c r="F1175">
        <v>-4.0501505</v>
      </c>
      <c r="I1175" s="8">
        <v>2589</v>
      </c>
      <c r="J1175">
        <f t="shared" si="18"/>
        <v>944.98500000000001</v>
      </c>
      <c r="K1175" t="s">
        <v>261</v>
      </c>
      <c r="Q1175" t="s">
        <v>1472</v>
      </c>
      <c r="R1175" t="s">
        <v>1949</v>
      </c>
    </row>
    <row r="1176" spans="1:23" x14ac:dyDescent="0.35">
      <c r="A1176" t="s">
        <v>1952</v>
      </c>
      <c r="B1176" t="s">
        <v>1951</v>
      </c>
      <c r="C1176" t="s">
        <v>284</v>
      </c>
      <c r="D1176" t="s">
        <v>283</v>
      </c>
      <c r="E1176">
        <v>41.648822600000003</v>
      </c>
      <c r="F1176">
        <v>-0.88908529999999997</v>
      </c>
      <c r="G1176">
        <v>2025</v>
      </c>
      <c r="I1176" s="8">
        <v>14381</v>
      </c>
      <c r="J1176">
        <f t="shared" si="18"/>
        <v>5249.0649999999996</v>
      </c>
      <c r="K1176" t="s">
        <v>502</v>
      </c>
      <c r="Q1176" t="s">
        <v>1779</v>
      </c>
      <c r="R1176" t="s">
        <v>1951</v>
      </c>
      <c r="S1176" t="str">
        <f>IF(G1176&gt;2023,"Under Construction","Operational")</f>
        <v>Under Construction</v>
      </c>
    </row>
    <row r="1177" spans="1:23" x14ac:dyDescent="0.35">
      <c r="A1177" t="s">
        <v>1955</v>
      </c>
      <c r="B1177" t="s">
        <v>1954</v>
      </c>
      <c r="C1177" t="s">
        <v>284</v>
      </c>
      <c r="D1177" t="s">
        <v>283</v>
      </c>
      <c r="E1177">
        <v>39.985590500000001</v>
      </c>
      <c r="F1177">
        <v>-4.9638799999999997E-2</v>
      </c>
      <c r="G1177">
        <v>2026</v>
      </c>
      <c r="I1177" s="8">
        <v>55096</v>
      </c>
      <c r="J1177">
        <f t="shared" si="18"/>
        <v>20110.04</v>
      </c>
      <c r="K1177" t="s">
        <v>502</v>
      </c>
      <c r="Q1177" t="s">
        <v>1779</v>
      </c>
      <c r="R1177" t="s">
        <v>1954</v>
      </c>
      <c r="S1177" t="str">
        <f>IF(G1177&gt;2023,"Under Construction","Operational")</f>
        <v>Under Construction</v>
      </c>
    </row>
    <row r="1178" spans="1:23" x14ac:dyDescent="0.35">
      <c r="A1178" t="s">
        <v>1958</v>
      </c>
      <c r="B1178" t="s">
        <v>1957</v>
      </c>
      <c r="C1178" t="s">
        <v>284</v>
      </c>
      <c r="D1178" t="s">
        <v>283</v>
      </c>
      <c r="E1178">
        <v>41.184909599999997</v>
      </c>
      <c r="F1178">
        <v>1.2099939</v>
      </c>
      <c r="G1178">
        <v>2002</v>
      </c>
      <c r="I1178" s="8">
        <v>153763</v>
      </c>
      <c r="J1178">
        <f t="shared" si="18"/>
        <v>56123.495000000003</v>
      </c>
      <c r="K1178" t="s">
        <v>261</v>
      </c>
      <c r="Q1178" t="s">
        <v>483</v>
      </c>
      <c r="R1178" t="s">
        <v>1957</v>
      </c>
      <c r="S1178" t="str">
        <f>IF(G1178&gt;2023,"Under Construction","Operational")</f>
        <v>Operational</v>
      </c>
    </row>
    <row r="1179" spans="1:23" x14ac:dyDescent="0.35">
      <c r="A1179" t="s">
        <v>1958</v>
      </c>
      <c r="B1179" t="s">
        <v>1960</v>
      </c>
      <c r="C1179" t="s">
        <v>284</v>
      </c>
      <c r="D1179" t="s">
        <v>283</v>
      </c>
      <c r="E1179">
        <v>42.853186899999997</v>
      </c>
      <c r="F1179">
        <v>-2.6732421</v>
      </c>
      <c r="I1179">
        <v>899</v>
      </c>
      <c r="J1179">
        <f t="shared" si="18"/>
        <v>328.13499999999999</v>
      </c>
      <c r="K1179" t="s">
        <v>261</v>
      </c>
      <c r="Q1179" t="s">
        <v>1472</v>
      </c>
      <c r="R1179" t="s">
        <v>1960</v>
      </c>
    </row>
    <row r="1180" spans="1:23" x14ac:dyDescent="0.35">
      <c r="A1180" t="s">
        <v>1963</v>
      </c>
      <c r="B1180" t="s">
        <v>1962</v>
      </c>
      <c r="C1180" t="s">
        <v>284</v>
      </c>
      <c r="D1180" t="s">
        <v>283</v>
      </c>
      <c r="E1180">
        <v>40.977423299999998</v>
      </c>
      <c r="F1180">
        <v>-0.44850770000000001</v>
      </c>
      <c r="G1180">
        <v>2028</v>
      </c>
      <c r="I1180" s="8">
        <v>958750</v>
      </c>
      <c r="J1180">
        <f t="shared" si="18"/>
        <v>349943.75</v>
      </c>
      <c r="K1180" t="s">
        <v>502</v>
      </c>
      <c r="Q1180" t="s">
        <v>1074</v>
      </c>
      <c r="R1180" t="s">
        <v>1962</v>
      </c>
      <c r="S1180" t="str">
        <f t="shared" ref="S1180:S1185" si="20">IF(G1180&gt;2023,"Under Construction","Operational")</f>
        <v>Under Construction</v>
      </c>
    </row>
    <row r="1181" spans="1:23" x14ac:dyDescent="0.35">
      <c r="A1181" t="s">
        <v>1966</v>
      </c>
      <c r="B1181" t="s">
        <v>1965</v>
      </c>
      <c r="C1181" t="s">
        <v>284</v>
      </c>
      <c r="D1181" t="s">
        <v>283</v>
      </c>
      <c r="E1181">
        <v>42.801248899999997</v>
      </c>
      <c r="F1181">
        <v>-5.6273951000000002</v>
      </c>
      <c r="G1181">
        <v>2026</v>
      </c>
      <c r="I1181" s="8">
        <v>134191</v>
      </c>
      <c r="J1181">
        <f t="shared" si="18"/>
        <v>48979.714999999997</v>
      </c>
      <c r="K1181" t="s">
        <v>502</v>
      </c>
      <c r="Q1181" t="s">
        <v>1779</v>
      </c>
      <c r="R1181" t="s">
        <v>1965</v>
      </c>
      <c r="S1181" t="str">
        <f t="shared" si="20"/>
        <v>Under Construction</v>
      </c>
    </row>
    <row r="1182" spans="1:23" x14ac:dyDescent="0.35">
      <c r="A1182" t="s">
        <v>1968</v>
      </c>
      <c r="B1182" t="s">
        <v>1568</v>
      </c>
      <c r="C1182" t="s">
        <v>284</v>
      </c>
      <c r="D1182" t="s">
        <v>283</v>
      </c>
      <c r="E1182">
        <v>41.1188827</v>
      </c>
      <c r="F1182">
        <v>1.2444909</v>
      </c>
      <c r="G1182">
        <v>2027</v>
      </c>
      <c r="I1182" s="8">
        <v>479330</v>
      </c>
      <c r="J1182">
        <f t="shared" si="18"/>
        <v>174955.45</v>
      </c>
      <c r="K1182" t="s">
        <v>502</v>
      </c>
      <c r="Q1182" t="s">
        <v>1779</v>
      </c>
      <c r="R1182" t="s">
        <v>1568</v>
      </c>
      <c r="S1182" t="str">
        <f t="shared" si="20"/>
        <v>Under Construction</v>
      </c>
    </row>
    <row r="1183" spans="1:23" x14ac:dyDescent="0.35">
      <c r="A1183" t="s">
        <v>1971</v>
      </c>
      <c r="B1183" t="s">
        <v>1970</v>
      </c>
      <c r="C1183" t="s">
        <v>284</v>
      </c>
      <c r="D1183" t="s">
        <v>283</v>
      </c>
      <c r="E1183">
        <v>36.140759099999997</v>
      </c>
      <c r="F1183">
        <v>-5.4562330000000001</v>
      </c>
      <c r="G1183">
        <v>2025</v>
      </c>
      <c r="I1183" s="8">
        <v>113608</v>
      </c>
      <c r="J1183">
        <f t="shared" si="18"/>
        <v>41466.92</v>
      </c>
      <c r="K1183" t="s">
        <v>502</v>
      </c>
      <c r="Q1183" t="s">
        <v>1779</v>
      </c>
      <c r="R1183" t="s">
        <v>1970</v>
      </c>
      <c r="S1183" t="str">
        <f t="shared" si="20"/>
        <v>Under Construction</v>
      </c>
    </row>
    <row r="1184" spans="1:23" x14ac:dyDescent="0.35">
      <c r="A1184" t="s">
        <v>1974</v>
      </c>
      <c r="B1184" t="s">
        <v>1973</v>
      </c>
      <c r="C1184" t="s">
        <v>284</v>
      </c>
      <c r="D1184" t="s">
        <v>283</v>
      </c>
      <c r="E1184">
        <v>43.361395299999998</v>
      </c>
      <c r="F1184">
        <v>-5.8593267000000004</v>
      </c>
      <c r="G1184">
        <v>2026</v>
      </c>
      <c r="I1184" s="8">
        <v>28762</v>
      </c>
      <c r="J1184">
        <f t="shared" si="18"/>
        <v>10498.13</v>
      </c>
      <c r="K1184" t="s">
        <v>502</v>
      </c>
      <c r="Q1184" t="s">
        <v>1779</v>
      </c>
      <c r="R1184" t="s">
        <v>1973</v>
      </c>
      <c r="S1184" t="str">
        <f t="shared" si="20"/>
        <v>Under Construction</v>
      </c>
    </row>
    <row r="1185" spans="1:19" x14ac:dyDescent="0.35">
      <c r="A1185" t="s">
        <v>1586</v>
      </c>
      <c r="B1185" t="s">
        <v>1976</v>
      </c>
      <c r="C1185" t="s">
        <v>284</v>
      </c>
      <c r="D1185" t="s">
        <v>283</v>
      </c>
      <c r="E1185">
        <v>43.543559399999999</v>
      </c>
      <c r="F1185">
        <v>-5.7189060999999999</v>
      </c>
      <c r="G1185">
        <v>2030</v>
      </c>
      <c r="I1185" s="8">
        <v>3547204</v>
      </c>
      <c r="J1185">
        <f t="shared" si="18"/>
        <v>1294729.46</v>
      </c>
      <c r="K1185" t="s">
        <v>502</v>
      </c>
      <c r="Q1185" t="s">
        <v>503</v>
      </c>
      <c r="R1185" t="s">
        <v>1976</v>
      </c>
      <c r="S1185" t="str">
        <f t="shared" si="20"/>
        <v>Under Construction</v>
      </c>
    </row>
    <row r="1186" spans="1:19" x14ac:dyDescent="0.35">
      <c r="A1186" t="s">
        <v>1979</v>
      </c>
      <c r="B1186" t="s">
        <v>1978</v>
      </c>
      <c r="C1186" t="s">
        <v>284</v>
      </c>
      <c r="D1186" t="s">
        <v>283</v>
      </c>
      <c r="E1186">
        <v>39.983799300000001</v>
      </c>
      <c r="F1186">
        <v>2.0988099999999999E-2</v>
      </c>
      <c r="I1186" s="8">
        <v>75499</v>
      </c>
      <c r="J1186">
        <f t="shared" si="18"/>
        <v>27557.134999999998</v>
      </c>
      <c r="K1186" t="s">
        <v>261</v>
      </c>
      <c r="Q1186" t="s">
        <v>483</v>
      </c>
      <c r="R1186" t="s">
        <v>1978</v>
      </c>
    </row>
    <row r="1187" spans="1:19" x14ac:dyDescent="0.35">
      <c r="A1187" t="s">
        <v>1979</v>
      </c>
      <c r="B1187" t="s">
        <v>1981</v>
      </c>
      <c r="C1187" t="s">
        <v>284</v>
      </c>
      <c r="D1187" t="s">
        <v>283</v>
      </c>
      <c r="E1187">
        <v>43.532201499999999</v>
      </c>
      <c r="F1187">
        <v>-5.6611194999999999</v>
      </c>
      <c r="I1187" s="8">
        <v>133921</v>
      </c>
      <c r="J1187">
        <f t="shared" si="18"/>
        <v>48881.165000000001</v>
      </c>
      <c r="K1187" t="s">
        <v>253</v>
      </c>
      <c r="Q1187" t="s">
        <v>1982</v>
      </c>
      <c r="R1187" t="s">
        <v>1981</v>
      </c>
    </row>
    <row r="1188" spans="1:19" x14ac:dyDescent="0.35">
      <c r="A1188" t="s">
        <v>1979</v>
      </c>
      <c r="B1188" t="s">
        <v>1598</v>
      </c>
      <c r="C1188" t="s">
        <v>284</v>
      </c>
      <c r="D1188" t="s">
        <v>283</v>
      </c>
      <c r="E1188">
        <v>43.322602799999999</v>
      </c>
      <c r="F1188">
        <v>-3.1138927999999999</v>
      </c>
      <c r="I1188" s="8">
        <v>29121</v>
      </c>
      <c r="J1188">
        <f t="shared" si="18"/>
        <v>10629.165000000001</v>
      </c>
      <c r="K1188" t="s">
        <v>261</v>
      </c>
      <c r="Q1188" t="s">
        <v>483</v>
      </c>
      <c r="R1188" t="s">
        <v>1598</v>
      </c>
    </row>
    <row r="1189" spans="1:19" x14ac:dyDescent="0.35">
      <c r="A1189" t="s">
        <v>1979</v>
      </c>
      <c r="B1189" t="s">
        <v>1985</v>
      </c>
      <c r="C1189" t="s">
        <v>284</v>
      </c>
      <c r="D1189" t="s">
        <v>283</v>
      </c>
      <c r="E1189">
        <v>40.237505200000001</v>
      </c>
      <c r="F1189">
        <v>-3.6967718000000001</v>
      </c>
      <c r="J1189">
        <f t="shared" si="18"/>
        <v>0</v>
      </c>
      <c r="K1189" t="s">
        <v>261</v>
      </c>
      <c r="Q1189" t="s">
        <v>1472</v>
      </c>
      <c r="R1189" t="s">
        <v>1985</v>
      </c>
    </row>
    <row r="1190" spans="1:19" x14ac:dyDescent="0.35">
      <c r="A1190" t="s">
        <v>1987</v>
      </c>
      <c r="B1190" t="s">
        <v>1954</v>
      </c>
      <c r="C1190" t="s">
        <v>284</v>
      </c>
      <c r="D1190" t="s">
        <v>283</v>
      </c>
      <c r="E1190">
        <v>39.985590500000001</v>
      </c>
      <c r="F1190">
        <v>-4.9638799999999997E-2</v>
      </c>
      <c r="G1190">
        <v>2024</v>
      </c>
      <c r="I1190" s="8">
        <v>47906</v>
      </c>
      <c r="J1190">
        <f t="shared" si="18"/>
        <v>17485.689999999999</v>
      </c>
      <c r="K1190" t="s">
        <v>502</v>
      </c>
      <c r="Q1190" t="s">
        <v>1472</v>
      </c>
      <c r="R1190" t="s">
        <v>1954</v>
      </c>
      <c r="S1190" t="str">
        <f>IF(G1190&gt;2023,"Under Construction","Operational")</f>
        <v>Under Construction</v>
      </c>
    </row>
    <row r="1191" spans="1:19" x14ac:dyDescent="0.35">
      <c r="A1191" t="s">
        <v>1989</v>
      </c>
      <c r="B1191" t="s">
        <v>1598</v>
      </c>
      <c r="C1191" t="s">
        <v>284</v>
      </c>
      <c r="D1191" t="s">
        <v>283</v>
      </c>
      <c r="E1191">
        <v>43.322602799999999</v>
      </c>
      <c r="F1191">
        <v>-3.1138927999999999</v>
      </c>
      <c r="G1191">
        <v>2025</v>
      </c>
      <c r="I1191" s="8">
        <v>1198</v>
      </c>
      <c r="J1191">
        <f t="shared" si="18"/>
        <v>437.27</v>
      </c>
      <c r="K1191" t="s">
        <v>502</v>
      </c>
      <c r="Q1191" t="s">
        <v>1990</v>
      </c>
      <c r="R1191" t="s">
        <v>1598</v>
      </c>
      <c r="S1191" t="str">
        <f>IF(G1191&gt;2023,"Under Construction","Operational")</f>
        <v>Under Construction</v>
      </c>
    </row>
    <row r="1192" spans="1:19" x14ac:dyDescent="0.35">
      <c r="A1192" t="s">
        <v>1993</v>
      </c>
      <c r="B1192" t="s">
        <v>1992</v>
      </c>
      <c r="C1192" t="s">
        <v>284</v>
      </c>
      <c r="D1192" t="s">
        <v>283</v>
      </c>
      <c r="E1192">
        <v>39.718339200000003</v>
      </c>
      <c r="F1192">
        <v>2.8689331999999999</v>
      </c>
      <c r="G1192">
        <v>2024</v>
      </c>
      <c r="I1192" s="8">
        <v>3146</v>
      </c>
      <c r="J1192">
        <f t="shared" si="18"/>
        <v>1148.29</v>
      </c>
      <c r="K1192" t="s">
        <v>502</v>
      </c>
      <c r="Q1192" t="s">
        <v>1779</v>
      </c>
      <c r="R1192" t="s">
        <v>1992</v>
      </c>
      <c r="S1192" t="str">
        <f>IF(G1192&gt;2023,"Under Construction","Operational")</f>
        <v>Under Construction</v>
      </c>
    </row>
    <row r="1193" spans="1:19" x14ac:dyDescent="0.35">
      <c r="A1193" t="s">
        <v>1995</v>
      </c>
      <c r="B1193" t="s">
        <v>1951</v>
      </c>
      <c r="C1193" t="s">
        <v>284</v>
      </c>
      <c r="D1193" t="s">
        <v>283</v>
      </c>
      <c r="E1193">
        <v>41.648822600000003</v>
      </c>
      <c r="F1193">
        <v>-0.88908529999999997</v>
      </c>
      <c r="G1193">
        <v>2023</v>
      </c>
      <c r="I1193" s="8">
        <v>4314</v>
      </c>
      <c r="J1193">
        <f t="shared" si="18"/>
        <v>1574.61</v>
      </c>
      <c r="K1193" t="s">
        <v>502</v>
      </c>
      <c r="Q1193" t="s">
        <v>1779</v>
      </c>
      <c r="R1193" t="s">
        <v>1951</v>
      </c>
      <c r="S1193" t="str">
        <f>IF(G1193&gt;2023,"Under Construction","Operational")</f>
        <v>Operational</v>
      </c>
    </row>
    <row r="1194" spans="1:19" x14ac:dyDescent="0.35">
      <c r="A1194" t="s">
        <v>1997</v>
      </c>
      <c r="B1194" t="s">
        <v>1582</v>
      </c>
      <c r="C1194" t="s">
        <v>284</v>
      </c>
      <c r="D1194" t="s">
        <v>283</v>
      </c>
      <c r="E1194">
        <v>43.263012600000003</v>
      </c>
      <c r="F1194">
        <v>-2.9349851999999998</v>
      </c>
      <c r="G1194">
        <v>2024</v>
      </c>
      <c r="I1194" s="8">
        <v>4764</v>
      </c>
      <c r="J1194">
        <f t="shared" si="18"/>
        <v>1738.86</v>
      </c>
      <c r="K1194" t="s">
        <v>502</v>
      </c>
      <c r="Q1194" t="s">
        <v>1990</v>
      </c>
      <c r="R1194" t="s">
        <v>1582</v>
      </c>
      <c r="S1194" t="str">
        <f>IF(G1194&gt;2023,"Under Construction","Operational")</f>
        <v>Under Construction</v>
      </c>
    </row>
    <row r="1195" spans="1:19" x14ac:dyDescent="0.35">
      <c r="H1195" s="112">
        <f>SUM(H1:H1194)</f>
        <v>37729.557499999995</v>
      </c>
      <c r="I1195" s="112">
        <f>SUM(I1:I1194)</f>
        <v>53985354.178082198</v>
      </c>
      <c r="J1195" s="112">
        <f>SUM(J1:J1194)</f>
        <v>35297274.275000006</v>
      </c>
    </row>
  </sheetData>
  <hyperlinks>
    <hyperlink ref="R70" r:id="rId1" display="https://urldefense.com/v3/__http:/www.standardhydrogencorp.com__;!!B3hxM_NYsQ!nk3uglP1MuOl-QRLSW9bf8SEaKthzwunSaO0GKgSwhKwvWk9HoF21JzUo7JsnQDUtuw2YFio$" xr:uid="{74E411E3-3284-43EA-B5D4-624706F21098}"/>
    <hyperlink ref="X12" r:id="rId2" xr:uid="{B3A03E0E-A9AE-4E57-91B0-A7F306035D53}"/>
    <hyperlink ref="X1011" r:id="rId3" xr:uid="{635CF169-93F0-4619-B42E-963F5B734116}"/>
    <hyperlink ref="X1012" r:id="rId4" xr:uid="{01A18367-A4CB-455E-9042-FBAFC80B7D87}"/>
    <hyperlink ref="X1020" r:id="rId5" xr:uid="{500DB3E4-2FF4-42B6-A136-5E8CBBE4370D}"/>
    <hyperlink ref="X1019" r:id="rId6" xr:uid="{2EF7DD64-8633-4E4D-BF90-6F570B19858D}"/>
    <hyperlink ref="X1021" r:id="rId7" xr:uid="{554896C4-EFF1-4084-87D5-24CA1B3161F7}"/>
    <hyperlink ref="X1022" r:id="rId8" xr:uid="{A252F094-27EC-44FA-A8D6-08824EEECC5C}"/>
    <hyperlink ref="X1023" r:id="rId9" xr:uid="{617D869D-B006-440B-896E-8A9269DD4112}"/>
    <hyperlink ref="X1024" r:id="rId10" xr:uid="{6A1A9A11-D8D1-4A6B-B108-9C5CC287D25C}"/>
    <hyperlink ref="X1025" r:id="rId11" xr:uid="{32D179F6-8F33-4C6F-A6F7-62D6161CAD6C}"/>
  </hyperlinks>
  <pageMargins left="0.7" right="0.7" top="0.75" bottom="0.75" header="0.3" footer="0.3"/>
  <pageSetup orientation="portrait" r:id="rId12"/>
  <tableParts count="1">
    <tablePart r:id="rId1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F99E-1FFC-4AEC-B195-76653795E078}">
  <dimension ref="A1:D47"/>
  <sheetViews>
    <sheetView topLeftCell="C6" workbookViewId="0">
      <selection activeCell="C6" sqref="C6"/>
    </sheetView>
  </sheetViews>
  <sheetFormatPr defaultRowHeight="14.5" x14ac:dyDescent="0.35"/>
  <cols>
    <col min="1" max="1" width="84.7265625" bestFit="1" customWidth="1"/>
    <col min="2" max="2" width="21.7265625" bestFit="1" customWidth="1"/>
    <col min="3" max="3" width="26.1796875" bestFit="1" customWidth="1"/>
    <col min="4" max="4" width="6.81640625" bestFit="1" customWidth="1"/>
    <col min="5" max="5" width="3.81640625" bestFit="1" customWidth="1"/>
    <col min="6" max="6" width="4.81640625" bestFit="1" customWidth="1"/>
    <col min="7" max="19" width="5.81640625" bestFit="1" customWidth="1"/>
    <col min="20" max="25" width="6.81640625" bestFit="1" customWidth="1"/>
    <col min="26" max="26" width="10.7265625" bestFit="1" customWidth="1"/>
    <col min="27" max="27" width="20.7265625" bestFit="1" customWidth="1"/>
    <col min="28" max="28" width="18.81640625" bestFit="1" customWidth="1"/>
    <col min="29" max="29" width="21.81640625" bestFit="1" customWidth="1"/>
    <col min="30" max="37" width="16.453125" bestFit="1" customWidth="1"/>
    <col min="38" max="38" width="19.54296875" bestFit="1" customWidth="1"/>
    <col min="39" max="39" width="10.1796875" bestFit="1" customWidth="1"/>
    <col min="40" max="40" width="13.1796875" bestFit="1" customWidth="1"/>
    <col min="41" max="41" width="10.7265625" bestFit="1" customWidth="1"/>
    <col min="42" max="42" width="13.81640625" bestFit="1" customWidth="1"/>
    <col min="43" max="43" width="10.7265625" bestFit="1" customWidth="1"/>
  </cols>
  <sheetData>
    <row r="1" spans="1:3" x14ac:dyDescent="0.35">
      <c r="A1" s="15" t="s">
        <v>29</v>
      </c>
      <c r="B1" t="s">
        <v>354</v>
      </c>
    </row>
    <row r="2" spans="1:3" x14ac:dyDescent="0.35">
      <c r="A2" s="15" t="s">
        <v>457</v>
      </c>
      <c r="B2" t="s">
        <v>26203</v>
      </c>
    </row>
    <row r="4" spans="1:3" x14ac:dyDescent="0.35">
      <c r="A4" s="15" t="s">
        <v>25291</v>
      </c>
      <c r="B4" t="s">
        <v>26204</v>
      </c>
      <c r="C4" t="s">
        <v>26205</v>
      </c>
    </row>
    <row r="5" spans="1:3" x14ac:dyDescent="0.35">
      <c r="A5" s="16">
        <v>2013</v>
      </c>
      <c r="B5">
        <v>8.3949999999999996</v>
      </c>
      <c r="C5">
        <v>2013</v>
      </c>
    </row>
    <row r="6" spans="1:3" x14ac:dyDescent="0.35">
      <c r="A6" s="31" t="s">
        <v>6422</v>
      </c>
      <c r="B6">
        <v>8.3949999999999996</v>
      </c>
      <c r="C6">
        <v>2013</v>
      </c>
    </row>
    <row r="7" spans="1:3" x14ac:dyDescent="0.35">
      <c r="A7" s="54" t="s">
        <v>25556</v>
      </c>
      <c r="B7">
        <v>8.3949999999999996</v>
      </c>
      <c r="C7">
        <v>2013</v>
      </c>
    </row>
    <row r="8" spans="1:3" x14ac:dyDescent="0.35">
      <c r="A8" s="16">
        <v>2019</v>
      </c>
      <c r="B8">
        <v>22.995000000000001</v>
      </c>
      <c r="C8">
        <v>2019</v>
      </c>
    </row>
    <row r="9" spans="1:3" x14ac:dyDescent="0.35">
      <c r="A9" s="31" t="s">
        <v>6422</v>
      </c>
      <c r="B9">
        <v>22.995000000000001</v>
      </c>
      <c r="C9">
        <v>2019</v>
      </c>
    </row>
    <row r="10" spans="1:3" x14ac:dyDescent="0.35">
      <c r="A10" s="54" t="s">
        <v>25518</v>
      </c>
      <c r="B10">
        <v>22.995000000000001</v>
      </c>
      <c r="C10">
        <v>2019</v>
      </c>
    </row>
    <row r="11" spans="1:3" x14ac:dyDescent="0.35">
      <c r="A11" s="16">
        <v>2021</v>
      </c>
      <c r="B11">
        <v>292.36500000000001</v>
      </c>
      <c r="C11">
        <v>6063</v>
      </c>
    </row>
    <row r="12" spans="1:3" x14ac:dyDescent="0.35">
      <c r="A12" s="31" t="s">
        <v>6422</v>
      </c>
      <c r="B12">
        <v>292.36500000000001</v>
      </c>
      <c r="C12">
        <v>6063</v>
      </c>
    </row>
    <row r="13" spans="1:3" x14ac:dyDescent="0.35">
      <c r="A13" s="54" t="s">
        <v>25490</v>
      </c>
      <c r="B13">
        <v>175.2</v>
      </c>
      <c r="C13">
        <v>2021</v>
      </c>
    </row>
    <row r="14" spans="1:3" x14ac:dyDescent="0.35">
      <c r="A14" s="54" t="s">
        <v>25474</v>
      </c>
      <c r="B14">
        <v>29.2</v>
      </c>
      <c r="C14">
        <v>2021</v>
      </c>
    </row>
    <row r="15" spans="1:3" x14ac:dyDescent="0.35">
      <c r="A15" s="54" t="s">
        <v>25532</v>
      </c>
      <c r="B15">
        <v>87.965000000000003</v>
      </c>
      <c r="C15">
        <v>2021</v>
      </c>
    </row>
    <row r="16" spans="1:3" x14ac:dyDescent="0.35">
      <c r="A16" s="16">
        <v>2022</v>
      </c>
      <c r="B16">
        <v>566.84500000000003</v>
      </c>
      <c r="C16">
        <v>6066</v>
      </c>
    </row>
    <row r="17" spans="1:4" x14ac:dyDescent="0.35">
      <c r="A17" s="31" t="s">
        <v>6422</v>
      </c>
      <c r="B17">
        <v>566.84500000000003</v>
      </c>
      <c r="C17">
        <v>6066</v>
      </c>
    </row>
    <row r="18" spans="1:4" x14ac:dyDescent="0.35">
      <c r="A18" s="54" t="s">
        <v>25513</v>
      </c>
      <c r="B18">
        <v>0</v>
      </c>
      <c r="C18">
        <v>2022</v>
      </c>
    </row>
    <row r="19" spans="1:4" x14ac:dyDescent="0.35">
      <c r="A19" s="54" t="s">
        <v>25598</v>
      </c>
      <c r="B19">
        <v>543.85</v>
      </c>
      <c r="C19">
        <v>2022</v>
      </c>
    </row>
    <row r="20" spans="1:4" x14ac:dyDescent="0.35">
      <c r="A20" s="54" t="s">
        <v>25508</v>
      </c>
      <c r="B20">
        <v>22.995000000000001</v>
      </c>
      <c r="C20">
        <v>2022</v>
      </c>
    </row>
    <row r="21" spans="1:4" x14ac:dyDescent="0.35">
      <c r="A21" s="16">
        <v>2023</v>
      </c>
      <c r="B21">
        <v>1157.0500000000002</v>
      </c>
      <c r="C21">
        <v>34391</v>
      </c>
      <c r="D21" t="s">
        <v>26206</v>
      </c>
    </row>
    <row r="22" spans="1:4" x14ac:dyDescent="0.35">
      <c r="A22" s="31" t="s">
        <v>26207</v>
      </c>
      <c r="B22">
        <v>1157.0500000000002</v>
      </c>
      <c r="C22">
        <v>34391</v>
      </c>
    </row>
    <row r="23" spans="1:4" x14ac:dyDescent="0.35">
      <c r="A23" s="54" t="s">
        <v>25582</v>
      </c>
      <c r="B23">
        <v>0.36499999999999999</v>
      </c>
      <c r="C23">
        <v>2023</v>
      </c>
    </row>
    <row r="24" spans="1:4" x14ac:dyDescent="0.35">
      <c r="A24" s="54" t="s">
        <v>25566</v>
      </c>
      <c r="B24">
        <v>0.36499999999999999</v>
      </c>
      <c r="C24">
        <v>2023</v>
      </c>
    </row>
    <row r="25" spans="1:4" x14ac:dyDescent="0.35">
      <c r="A25" s="54" t="s">
        <v>25521</v>
      </c>
      <c r="B25">
        <v>65.7</v>
      </c>
      <c r="C25">
        <v>2023</v>
      </c>
    </row>
    <row r="26" spans="1:4" x14ac:dyDescent="0.35">
      <c r="A26" s="54" t="s">
        <v>25469</v>
      </c>
      <c r="B26">
        <v>7.3</v>
      </c>
      <c r="C26">
        <v>2023</v>
      </c>
    </row>
    <row r="27" spans="1:4" x14ac:dyDescent="0.35">
      <c r="A27" s="54" t="s">
        <v>25496</v>
      </c>
      <c r="B27">
        <v>12.775</v>
      </c>
      <c r="C27">
        <v>2023</v>
      </c>
    </row>
    <row r="28" spans="1:4" x14ac:dyDescent="0.35">
      <c r="A28" s="54" t="s">
        <v>25485</v>
      </c>
      <c r="B28">
        <v>365</v>
      </c>
      <c r="C28">
        <v>2023</v>
      </c>
    </row>
    <row r="29" spans="1:4" x14ac:dyDescent="0.35">
      <c r="A29" s="54" t="s">
        <v>25527</v>
      </c>
      <c r="B29">
        <v>14.6</v>
      </c>
      <c r="C29">
        <v>2023</v>
      </c>
    </row>
    <row r="30" spans="1:4" x14ac:dyDescent="0.35">
      <c r="A30" s="54" t="s">
        <v>25502</v>
      </c>
      <c r="B30">
        <v>100.01</v>
      </c>
      <c r="C30">
        <v>2023</v>
      </c>
    </row>
    <row r="31" spans="1:4" x14ac:dyDescent="0.35">
      <c r="A31" s="54" t="s">
        <v>25577</v>
      </c>
      <c r="B31">
        <v>23.725000000000001</v>
      </c>
      <c r="C31">
        <v>2023</v>
      </c>
    </row>
    <row r="32" spans="1:4" x14ac:dyDescent="0.35">
      <c r="A32" s="54" t="s">
        <v>25464</v>
      </c>
      <c r="B32">
        <v>0</v>
      </c>
      <c r="C32">
        <v>2023</v>
      </c>
    </row>
    <row r="33" spans="1:3" x14ac:dyDescent="0.35">
      <c r="A33" s="54" t="s">
        <v>25560</v>
      </c>
      <c r="B33">
        <v>74.825000000000003</v>
      </c>
      <c r="C33">
        <v>2023</v>
      </c>
    </row>
    <row r="34" spans="1:3" x14ac:dyDescent="0.35">
      <c r="A34" s="54" t="s">
        <v>25592</v>
      </c>
      <c r="B34">
        <v>0</v>
      </c>
      <c r="C34">
        <v>2023</v>
      </c>
    </row>
    <row r="35" spans="1:3" x14ac:dyDescent="0.35">
      <c r="A35" s="54" t="s">
        <v>25547</v>
      </c>
      <c r="B35">
        <v>0</v>
      </c>
      <c r="C35">
        <v>2023</v>
      </c>
    </row>
    <row r="36" spans="1:3" x14ac:dyDescent="0.35">
      <c r="A36" s="54" t="s">
        <v>25551</v>
      </c>
      <c r="B36">
        <v>29.2</v>
      </c>
      <c r="C36">
        <v>2023</v>
      </c>
    </row>
    <row r="37" spans="1:3" x14ac:dyDescent="0.35">
      <c r="A37" s="54" t="s">
        <v>25572</v>
      </c>
      <c r="B37">
        <v>299.66500000000002</v>
      </c>
      <c r="C37">
        <v>2023</v>
      </c>
    </row>
    <row r="38" spans="1:3" x14ac:dyDescent="0.35">
      <c r="A38" s="54" t="s">
        <v>25460</v>
      </c>
      <c r="B38">
        <v>139.79499999999999</v>
      </c>
      <c r="C38">
        <v>2023</v>
      </c>
    </row>
    <row r="39" spans="1:3" x14ac:dyDescent="0.35">
      <c r="A39" s="54" t="s">
        <v>25481</v>
      </c>
      <c r="B39">
        <v>23.725000000000001</v>
      </c>
      <c r="C39">
        <v>2023</v>
      </c>
    </row>
    <row r="40" spans="1:3" x14ac:dyDescent="0.35">
      <c r="A40" s="16">
        <v>2024</v>
      </c>
      <c r="B40">
        <v>8244.9850000000006</v>
      </c>
      <c r="C40">
        <v>10120</v>
      </c>
    </row>
    <row r="41" spans="1:3" x14ac:dyDescent="0.35">
      <c r="A41" s="31" t="s">
        <v>26207</v>
      </c>
      <c r="B41">
        <v>8244.9850000000006</v>
      </c>
      <c r="C41">
        <v>10120</v>
      </c>
    </row>
    <row r="42" spans="1:3" x14ac:dyDescent="0.35">
      <c r="A42" s="54" t="s">
        <v>25587</v>
      </c>
      <c r="B42">
        <v>7300</v>
      </c>
      <c r="C42">
        <v>2024</v>
      </c>
    </row>
    <row r="43" spans="1:3" x14ac:dyDescent="0.35">
      <c r="A43" s="54" t="s">
        <v>25607</v>
      </c>
      <c r="B43">
        <v>105.12</v>
      </c>
      <c r="C43">
        <v>2024</v>
      </c>
    </row>
    <row r="44" spans="1:3" x14ac:dyDescent="0.35">
      <c r="A44" s="54" t="s">
        <v>25603</v>
      </c>
      <c r="B44">
        <v>0</v>
      </c>
      <c r="C44">
        <v>2024</v>
      </c>
    </row>
    <row r="45" spans="1:3" x14ac:dyDescent="0.35">
      <c r="A45" s="54" t="s">
        <v>25539</v>
      </c>
      <c r="B45">
        <v>200.02</v>
      </c>
      <c r="C45">
        <v>2024</v>
      </c>
    </row>
    <row r="46" spans="1:3" x14ac:dyDescent="0.35">
      <c r="A46" s="54" t="s">
        <v>25456</v>
      </c>
      <c r="B46">
        <v>639.84500000000003</v>
      </c>
      <c r="C46">
        <v>2024</v>
      </c>
    </row>
    <row r="47" spans="1:3" x14ac:dyDescent="0.35">
      <c r="A47" s="16" t="s">
        <v>25293</v>
      </c>
      <c r="B47" s="11">
        <v>10292.635</v>
      </c>
      <c r="C47" s="11">
        <v>60672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4D0A-CA1F-4975-97B3-40CC59D4EF47}">
  <dimension ref="A1:GU351"/>
  <sheetViews>
    <sheetView topLeftCell="A123" workbookViewId="0">
      <selection activeCell="C141" sqref="C141"/>
    </sheetView>
  </sheetViews>
  <sheetFormatPr defaultColWidth="9.1796875" defaultRowHeight="14.5" x14ac:dyDescent="0.35"/>
  <cols>
    <col min="1" max="1" width="57.7265625" style="45" bestFit="1" customWidth="1"/>
    <col min="2" max="2" width="22.1796875" style="45" bestFit="1" customWidth="1"/>
    <col min="3" max="3" width="10.26953125" style="45" bestFit="1" customWidth="1"/>
    <col min="4" max="4" width="13.1796875" style="45" bestFit="1" customWidth="1"/>
    <col min="5" max="5" width="7.1796875" style="45" bestFit="1" customWidth="1"/>
    <col min="6" max="6" width="12.1796875" style="45" bestFit="1" customWidth="1"/>
    <col min="7" max="7" width="16.54296875" style="45" bestFit="1" customWidth="1"/>
    <col min="8" max="8" width="20" style="45" bestFit="1" customWidth="1"/>
    <col min="9" max="9" width="13.1796875" style="45" bestFit="1" customWidth="1"/>
    <col min="10" max="10" width="35" style="45" bestFit="1" customWidth="1"/>
    <col min="11" max="11" width="26" style="45" bestFit="1" customWidth="1"/>
    <col min="12" max="12" width="23.1796875" style="45" bestFit="1" customWidth="1"/>
    <col min="13" max="13" width="24" style="45" bestFit="1" customWidth="1"/>
    <col min="14" max="14" width="31.453125" style="45" bestFit="1" customWidth="1"/>
    <col min="15" max="15" width="16.26953125" style="45" bestFit="1" customWidth="1"/>
    <col min="16" max="16" width="10.54296875" style="45" bestFit="1" customWidth="1"/>
    <col min="17" max="17" width="12.54296875" style="45" bestFit="1" customWidth="1"/>
    <col min="18" max="21" width="8" style="45" bestFit="1" customWidth="1"/>
    <col min="22" max="22" width="41.1796875" style="45" bestFit="1" customWidth="1"/>
    <col min="23" max="23" width="30" style="45" bestFit="1" customWidth="1"/>
    <col min="24" max="27" width="8" style="45" bestFit="1" customWidth="1"/>
    <col min="28" max="28" width="21.7265625" style="45" bestFit="1" customWidth="1"/>
    <col min="29" max="29" width="20.54296875" style="45" bestFit="1" customWidth="1"/>
    <col min="30" max="30" width="1.7265625" style="45" bestFit="1" customWidth="1"/>
    <col min="31" max="31" width="7.26953125" style="45" bestFit="1" customWidth="1"/>
    <col min="32" max="32" width="11.26953125" style="45" bestFit="1" customWidth="1"/>
    <col min="33" max="33" width="11.81640625" style="45" bestFit="1" customWidth="1"/>
    <col min="34" max="34" width="11.26953125" style="45" bestFit="1" customWidth="1"/>
    <col min="35" max="35" width="9.1796875" style="45"/>
    <col min="36" max="36" width="44.26953125" style="45" bestFit="1" customWidth="1"/>
    <col min="37" max="37" width="20" style="45" bestFit="1" customWidth="1"/>
    <col min="38" max="52" width="6" style="45" bestFit="1" customWidth="1"/>
    <col min="53" max="62" width="7" style="45" bestFit="1" customWidth="1"/>
    <col min="63" max="63" width="6" style="45" bestFit="1" customWidth="1"/>
    <col min="64" max="67" width="7" style="45" bestFit="1" customWidth="1"/>
    <col min="68" max="68" width="6" style="45" bestFit="1" customWidth="1"/>
    <col min="69" max="74" width="7" style="45" bestFit="1" customWidth="1"/>
    <col min="75" max="75" width="6" style="45" bestFit="1" customWidth="1"/>
    <col min="76" max="84" width="7" style="45" bestFit="1" customWidth="1"/>
    <col min="85" max="85" width="6" style="45" bestFit="1" customWidth="1"/>
    <col min="86" max="87" width="7" style="45" bestFit="1" customWidth="1"/>
    <col min="88" max="92" width="8" style="45" bestFit="1" customWidth="1"/>
    <col min="93" max="93" width="7" style="45" bestFit="1" customWidth="1"/>
    <col min="94" max="115" width="8" style="45" bestFit="1" customWidth="1"/>
    <col min="116" max="116" width="7" style="45" bestFit="1" customWidth="1"/>
    <col min="117" max="119" width="8" style="45" bestFit="1" customWidth="1"/>
    <col min="120" max="120" width="9" style="45" bestFit="1" customWidth="1"/>
    <col min="121" max="121" width="2.453125" style="45" bestFit="1" customWidth="1"/>
    <col min="122" max="122" width="11.26953125" style="45" bestFit="1" customWidth="1"/>
    <col min="123" max="16384" width="9.1796875" style="45"/>
  </cols>
  <sheetData>
    <row r="1" spans="1:203" customFormat="1" x14ac:dyDescent="0.35">
      <c r="A1" t="s">
        <v>25381</v>
      </c>
      <c r="B1" t="s">
        <v>454</v>
      </c>
      <c r="C1" t="s">
        <v>28</v>
      </c>
      <c r="D1" t="s">
        <v>29</v>
      </c>
      <c r="E1" t="s">
        <v>464</v>
      </c>
      <c r="F1" t="s">
        <v>465</v>
      </c>
      <c r="G1" t="s">
        <v>459</v>
      </c>
      <c r="H1" t="s">
        <v>25382</v>
      </c>
      <c r="I1" t="s">
        <v>25383</v>
      </c>
      <c r="J1" t="s">
        <v>457</v>
      </c>
      <c r="K1" t="s">
        <v>25384</v>
      </c>
      <c r="L1" t="s">
        <v>25385</v>
      </c>
      <c r="M1" t="s">
        <v>25386</v>
      </c>
      <c r="N1" t="s">
        <v>25387</v>
      </c>
      <c r="O1" t="s">
        <v>25388</v>
      </c>
      <c r="P1" t="s">
        <v>25389</v>
      </c>
      <c r="Q1" t="s">
        <v>25390</v>
      </c>
      <c r="R1" t="s">
        <v>6392</v>
      </c>
      <c r="S1" t="s">
        <v>25391</v>
      </c>
      <c r="T1" t="s">
        <v>25392</v>
      </c>
      <c r="U1" t="s">
        <v>25393</v>
      </c>
      <c r="V1" t="s">
        <v>4014</v>
      </c>
      <c r="W1" t="s">
        <v>6382</v>
      </c>
      <c r="X1" t="s">
        <v>2967</v>
      </c>
      <c r="AN1" t="str">
        <f>National_Strategies!A1</f>
        <v>GEOID</v>
      </c>
      <c r="AO1" t="str">
        <f>National_Strategies!B1</f>
        <v>Region</v>
      </c>
      <c r="AP1" t="str">
        <f>National_Strategies!C1</f>
        <v>Country</v>
      </c>
      <c r="AQ1" t="str">
        <f>National_Strategies!D1</f>
        <v>Release Date</v>
      </c>
      <c r="AR1" t="str">
        <f>National_Strategies!E1</f>
        <v>Target in Mt by 2030 (lower bound)</v>
      </c>
      <c r="AS1" t="str">
        <f>National_Strategies!F1</f>
        <v>Target in Mt by 2030 (upper bound)</v>
      </c>
      <c r="AT1" t="str">
        <f>National_Strategies!G1</f>
        <v>Average 2030 production Targets</v>
      </c>
      <c r="AU1" t="str">
        <f>National_Strategies!H1</f>
        <v>Funding Sources</v>
      </c>
      <c r="AV1" t="str">
        <f>National_Strategies!I1</f>
        <v>Pubic Investment Committed/Projected Costs</v>
      </c>
      <c r="AW1" t="str">
        <f>National_Strategies!J1</f>
        <v>Public Investment USD (low)</v>
      </c>
      <c r="AX1" t="str">
        <f>National_Strategies!K1</f>
        <v>Public Investment USD (high)</v>
      </c>
      <c r="AY1" t="str">
        <f>National_Strategies!L1</f>
        <v>Public Investment (average)</v>
      </c>
      <c r="AZ1" t="str">
        <f>National_Strategies!M1</f>
        <v>Regulatory Landscape</v>
      </c>
      <c r="BA1" t="str">
        <f>National_Strategies!N1</f>
        <v>Hub?</v>
      </c>
      <c r="BB1" t="str">
        <f>National_Strategies!O1</f>
        <v>Electrolysis from renewables?</v>
      </c>
      <c r="BC1" t="str">
        <f>National_Strategies!P1</f>
        <v>Gas w/ CCS</v>
      </c>
      <c r="BD1" t="str">
        <f>National_Strategies!Q1</f>
        <v>Coal w/ CCS</v>
      </c>
      <c r="BE1" t="str">
        <f>National_Strategies!R1</f>
        <v>Oil w/ CCS</v>
      </c>
      <c r="BF1" t="str">
        <f>National_Strategies!S1</f>
        <v>By-Product H2</v>
      </c>
      <c r="BG1" t="str">
        <f>National_Strategies!T1</f>
        <v>Electrolysis from Nuclear</v>
      </c>
      <c r="BH1" t="str">
        <f>National_Strategies!U1</f>
        <v>Biomass</v>
      </c>
      <c r="BI1" t="str">
        <f>National_Strategies!V1</f>
        <v>LDV FCEV</v>
      </c>
      <c r="BJ1" t="str">
        <f>National_Strategies!W1</f>
        <v>MDV FCEV</v>
      </c>
      <c r="BK1" t="str">
        <f>National_Strategies!X1</f>
        <v>HDV FCEV</v>
      </c>
      <c r="BL1" t="str">
        <f>National_Strategies!Y1</f>
        <v>Rail Transport</v>
      </c>
      <c r="BM1" t="str">
        <f>National_Strategies!Z1</f>
        <v>Maritime Transport</v>
      </c>
      <c r="BN1" t="str">
        <f>National_Strategies!AA1</f>
        <v>Aviation Transport</v>
      </c>
      <c r="BO1" t="str">
        <f>National_Strategies!AB1</f>
        <v>Refueling Stations</v>
      </c>
      <c r="BP1" t="str">
        <f>National_Strategies!AC1</f>
        <v>Iron and Steel</v>
      </c>
      <c r="BQ1" t="str">
        <f>National_Strategies!AD1</f>
        <v>Ammonia</v>
      </c>
      <c r="BR1" t="str">
        <f>National_Strategies!AE1</f>
        <v>Refining</v>
      </c>
      <c r="BS1" t="str">
        <f>National_Strategies!AF1</f>
        <v>Cement</v>
      </c>
      <c r="BT1" t="str">
        <f>National_Strategies!AG1</f>
        <v>Glass</v>
      </c>
      <c r="BU1" t="str">
        <f>National_Strategies!AH1</f>
        <v>Blending</v>
      </c>
      <c r="BV1" t="str">
        <f>National_Strategies!AI1</f>
        <v>Power Generation and Back-up</v>
      </c>
      <c r="BW1" t="str">
        <f>National_Strategies!AJ1</f>
        <v>Residential and Commercial Heating</v>
      </c>
      <c r="BX1" t="str">
        <f>National_Strategies!AK1</f>
        <v>Source</v>
      </c>
      <c r="CN1" t="s">
        <v>29</v>
      </c>
      <c r="CO1" t="s">
        <v>454</v>
      </c>
      <c r="CP1" t="s">
        <v>455</v>
      </c>
      <c r="CQ1" t="s">
        <v>456</v>
      </c>
      <c r="CR1" t="s">
        <v>457</v>
      </c>
      <c r="CS1" t="s">
        <v>458</v>
      </c>
      <c r="CT1" t="s">
        <v>460</v>
      </c>
      <c r="CU1" t="s">
        <v>461</v>
      </c>
      <c r="CV1" t="s">
        <v>462</v>
      </c>
      <c r="CW1" t="s">
        <v>463</v>
      </c>
      <c r="CX1" t="s">
        <v>464</v>
      </c>
      <c r="CY1" t="s">
        <v>465</v>
      </c>
      <c r="CZ1" t="s">
        <v>466</v>
      </c>
      <c r="DD1" t="s">
        <v>29</v>
      </c>
      <c r="DE1" t="s">
        <v>6390</v>
      </c>
      <c r="DF1" t="s">
        <v>4014</v>
      </c>
      <c r="DG1" t="s">
        <v>6391</v>
      </c>
      <c r="DH1" t="s">
        <v>6392</v>
      </c>
      <c r="DI1" t="s">
        <v>6393</v>
      </c>
      <c r="DJ1" t="s">
        <v>6394</v>
      </c>
      <c r="DK1" t="s">
        <v>6395</v>
      </c>
      <c r="DL1" t="s">
        <v>6382</v>
      </c>
      <c r="DM1" t="s">
        <v>6396</v>
      </c>
      <c r="DN1" t="s">
        <v>464</v>
      </c>
      <c r="DO1" t="s">
        <v>465</v>
      </c>
      <c r="DP1" t="s">
        <v>6397</v>
      </c>
      <c r="DV1" s="48" t="s">
        <v>2965</v>
      </c>
      <c r="DW1" s="48" t="s">
        <v>455</v>
      </c>
      <c r="DX1" s="48" t="s">
        <v>29</v>
      </c>
      <c r="DY1" s="48" t="s">
        <v>4015</v>
      </c>
      <c r="DZ1" s="48" t="s">
        <v>4016</v>
      </c>
      <c r="EA1" s="48" t="s">
        <v>4014</v>
      </c>
      <c r="EB1" s="48" t="s">
        <v>4017</v>
      </c>
      <c r="EC1" s="48" t="s">
        <v>464</v>
      </c>
      <c r="ED1" s="49" t="s">
        <v>465</v>
      </c>
      <c r="EM1" t="s">
        <v>29</v>
      </c>
      <c r="EN1" t="s">
        <v>2963</v>
      </c>
      <c r="EO1" t="s">
        <v>2964</v>
      </c>
      <c r="EP1" t="s">
        <v>2965</v>
      </c>
      <c r="EQ1" t="s">
        <v>464</v>
      </c>
      <c r="ER1" t="s">
        <v>465</v>
      </c>
      <c r="ES1" t="s">
        <v>2966</v>
      </c>
      <c r="ET1" t="s">
        <v>6382</v>
      </c>
      <c r="EU1" t="s">
        <v>2967</v>
      </c>
      <c r="FG1" t="s">
        <v>7208</v>
      </c>
      <c r="FH1" t="s">
        <v>913</v>
      </c>
      <c r="FI1" t="s">
        <v>7209</v>
      </c>
      <c r="FJ1" t="s">
        <v>7210</v>
      </c>
      <c r="FK1" t="s">
        <v>2</v>
      </c>
      <c r="FL1" t="s">
        <v>7211</v>
      </c>
      <c r="FM1" t="s">
        <v>7212</v>
      </c>
      <c r="FN1" t="s">
        <v>7213</v>
      </c>
      <c r="FO1" t="s">
        <v>7214</v>
      </c>
      <c r="FP1" t="s">
        <v>7215</v>
      </c>
      <c r="FQ1" t="s">
        <v>7216</v>
      </c>
      <c r="FR1" t="s">
        <v>7217</v>
      </c>
      <c r="FS1" t="s">
        <v>4014</v>
      </c>
      <c r="FT1" t="s">
        <v>7218</v>
      </c>
      <c r="FU1" t="s">
        <v>7219</v>
      </c>
      <c r="FV1" t="s">
        <v>7220</v>
      </c>
      <c r="FW1" t="s">
        <v>7221</v>
      </c>
      <c r="FX1" t="s">
        <v>7222</v>
      </c>
      <c r="FY1" t="s">
        <v>7223</v>
      </c>
      <c r="FZ1" t="s">
        <v>7224</v>
      </c>
      <c r="GA1" t="s">
        <v>7225</v>
      </c>
      <c r="GB1" t="s">
        <v>7226</v>
      </c>
      <c r="GC1" t="s">
        <v>7227</v>
      </c>
      <c r="GD1" t="s">
        <v>7228</v>
      </c>
      <c r="GE1" t="s">
        <v>7229</v>
      </c>
      <c r="GF1" t="s">
        <v>7230</v>
      </c>
      <c r="GG1" t="s">
        <v>7231</v>
      </c>
      <c r="GH1" t="s">
        <v>7232</v>
      </c>
      <c r="GI1" t="s">
        <v>7233</v>
      </c>
      <c r="GJ1" t="s">
        <v>7234</v>
      </c>
      <c r="GK1" t="s">
        <v>7235</v>
      </c>
      <c r="GL1" t="s">
        <v>7236</v>
      </c>
      <c r="GM1" t="s">
        <v>7237</v>
      </c>
      <c r="GN1" t="s">
        <v>7238</v>
      </c>
      <c r="GO1" t="s">
        <v>7239</v>
      </c>
      <c r="GP1" t="s">
        <v>6407</v>
      </c>
      <c r="GQ1" t="s">
        <v>7240</v>
      </c>
      <c r="GR1" t="s">
        <v>7241</v>
      </c>
      <c r="GS1" t="s">
        <v>7242</v>
      </c>
      <c r="GT1" t="s">
        <v>7243</v>
      </c>
      <c r="GU1" t="s">
        <v>7244</v>
      </c>
    </row>
    <row r="2" spans="1:203" customFormat="1" x14ac:dyDescent="0.35">
      <c r="A2" t="s">
        <v>25456</v>
      </c>
      <c r="B2" t="s">
        <v>19162</v>
      </c>
      <c r="C2" t="s">
        <v>24</v>
      </c>
      <c r="D2" t="s">
        <v>354</v>
      </c>
      <c r="E2">
        <v>-20.619513093092301</v>
      </c>
      <c r="F2">
        <v>116.783675737632</v>
      </c>
      <c r="G2">
        <v>10</v>
      </c>
      <c r="H2">
        <v>1753</v>
      </c>
      <c r="I2">
        <v>639.84500000000003</v>
      </c>
      <c r="J2" t="s">
        <v>502</v>
      </c>
      <c r="K2" t="s">
        <v>25394</v>
      </c>
      <c r="L2">
        <v>18</v>
      </c>
      <c r="P2" t="s">
        <v>1074</v>
      </c>
      <c r="Q2" t="s">
        <v>25457</v>
      </c>
      <c r="R2">
        <v>2024</v>
      </c>
      <c r="S2" t="s">
        <v>22295</v>
      </c>
      <c r="V2" t="s">
        <v>26207</v>
      </c>
      <c r="W2" t="s">
        <v>25458</v>
      </c>
      <c r="X2" t="s">
        <v>25459</v>
      </c>
      <c r="AN2" t="str">
        <f>National_Strategies!A2</f>
        <v>AUS</v>
      </c>
      <c r="AO2" t="str">
        <f>National_Strategies!B2</f>
        <v>Australia</v>
      </c>
      <c r="AP2" t="str">
        <f>National_Strategies!C2</f>
        <v>Australia</v>
      </c>
      <c r="AQ2">
        <f>National_Strategies!D2</f>
        <v>43770</v>
      </c>
      <c r="AR2">
        <f>National_Strategies!E2</f>
        <v>8.5800000000000001E-2</v>
      </c>
      <c r="AS2">
        <f>National_Strategies!F2</f>
        <v>1</v>
      </c>
      <c r="AT2">
        <f>National_Strategies!G2</f>
        <v>0.54290000000000005</v>
      </c>
      <c r="AU2" t="str">
        <f>National_Strategies!H2</f>
        <v>Public</v>
      </c>
      <c r="AV2" t="str">
        <f>National_Strategies!I2</f>
        <v>$1.4B AUD (by 2030)</v>
      </c>
      <c r="AW2">
        <f>National_Strategies!J2</f>
        <v>971201000</v>
      </c>
      <c r="AX2">
        <f>National_Strategies!K2</f>
        <v>971201000</v>
      </c>
      <c r="AY2">
        <f>National_Strategies!L2</f>
        <v>971201000</v>
      </c>
      <c r="AZ2" t="str">
        <f>National_Strategies!M2</f>
        <v>No regulation</v>
      </c>
      <c r="BA2">
        <f>National_Strategies!N2</f>
        <v>1</v>
      </c>
      <c r="BB2">
        <f>National_Strategies!O2</f>
        <v>1</v>
      </c>
      <c r="BC2">
        <f>National_Strategies!P2</f>
        <v>1</v>
      </c>
      <c r="BD2">
        <f>National_Strategies!Q2</f>
        <v>1</v>
      </c>
      <c r="BE2">
        <f>National_Strategies!R2</f>
        <v>0</v>
      </c>
      <c r="BF2">
        <f>National_Strategies!S2</f>
        <v>0</v>
      </c>
      <c r="BG2">
        <f>National_Strategies!T2</f>
        <v>0</v>
      </c>
      <c r="BH2">
        <f>National_Strategies!U2</f>
        <v>0</v>
      </c>
      <c r="BI2">
        <f>National_Strategies!V2</f>
        <v>1</v>
      </c>
      <c r="BJ2">
        <f>National_Strategies!W2</f>
        <v>1</v>
      </c>
      <c r="BK2">
        <f>National_Strategies!X2</f>
        <v>1</v>
      </c>
      <c r="BL2">
        <f>National_Strategies!Y2</f>
        <v>1</v>
      </c>
      <c r="BM2">
        <f>National_Strategies!Z2</f>
        <v>1</v>
      </c>
      <c r="BN2">
        <f>National_Strategies!AA2</f>
        <v>1</v>
      </c>
      <c r="BO2">
        <f>National_Strategies!AB2</f>
        <v>1</v>
      </c>
      <c r="BP2">
        <f>National_Strategies!AC2</f>
        <v>1</v>
      </c>
      <c r="BQ2">
        <f>National_Strategies!AD2</f>
        <v>0</v>
      </c>
      <c r="BR2">
        <f>National_Strategies!AE2</f>
        <v>0</v>
      </c>
      <c r="BS2">
        <f>National_Strategies!AF2</f>
        <v>0</v>
      </c>
      <c r="BT2">
        <f>National_Strategies!AG2</f>
        <v>0</v>
      </c>
      <c r="BU2">
        <f>National_Strategies!AH2</f>
        <v>0</v>
      </c>
      <c r="BV2">
        <f>National_Strategies!AI2</f>
        <v>1</v>
      </c>
      <c r="BW2">
        <f>National_Strategies!AJ2</f>
        <v>1</v>
      </c>
      <c r="BX2" t="str">
        <f>National_Strategies!AK2</f>
        <v>https://www.dcceew.gov.au/energy/publications/australias-national-hydrogen-strategy#:~:text=The%20Australian%20Government%20will%20be,the%20decarbonization%20of%20Australian%20industries.</v>
      </c>
      <c r="CN2" t="s">
        <v>354</v>
      </c>
      <c r="CO2" t="s">
        <v>1080</v>
      </c>
      <c r="CP2" t="s">
        <v>24</v>
      </c>
      <c r="CQ2" t="s">
        <v>1081</v>
      </c>
      <c r="CR2" t="s">
        <v>261</v>
      </c>
      <c r="CS2">
        <v>2000</v>
      </c>
      <c r="CU2" t="s">
        <v>471</v>
      </c>
      <c r="CV2" t="s">
        <v>472</v>
      </c>
      <c r="CW2" t="s">
        <v>483</v>
      </c>
      <c r="CX2">
        <v>-27.403763366251798</v>
      </c>
      <c r="CY2">
        <v>153.13415274860299</v>
      </c>
      <c r="DD2" t="s">
        <v>354</v>
      </c>
      <c r="DE2" t="s">
        <v>6398</v>
      </c>
      <c r="DF2" t="s">
        <v>6399</v>
      </c>
      <c r="DG2">
        <v>1</v>
      </c>
      <c r="DI2" t="s">
        <v>6400</v>
      </c>
      <c r="DJ2" t="s">
        <v>6401</v>
      </c>
      <c r="DK2" t="s">
        <v>6402</v>
      </c>
      <c r="DL2" t="s">
        <v>6403</v>
      </c>
      <c r="DM2">
        <v>165356250</v>
      </c>
      <c r="DN2" t="s">
        <v>6404</v>
      </c>
      <c r="DP2" t="s">
        <v>6405</v>
      </c>
      <c r="DV2" s="50" t="s">
        <v>2969</v>
      </c>
      <c r="DW2" s="50"/>
      <c r="DX2" s="50" t="s">
        <v>354</v>
      </c>
      <c r="DY2" s="50">
        <v>660000</v>
      </c>
      <c r="DZ2" s="50"/>
      <c r="EA2" s="50" t="s">
        <v>7250</v>
      </c>
      <c r="EB2" s="50" t="s">
        <v>26208</v>
      </c>
      <c r="EC2" s="50">
        <v>-37.828195612732401</v>
      </c>
      <c r="ED2" s="51">
        <v>144.79092053856101</v>
      </c>
      <c r="EM2" t="s">
        <v>354</v>
      </c>
      <c r="EN2" t="s">
        <v>2968</v>
      </c>
      <c r="EO2" t="s">
        <v>2969</v>
      </c>
      <c r="EP2" t="s">
        <v>2970</v>
      </c>
      <c r="EQ2">
        <v>-38.078000000000003</v>
      </c>
      <c r="ER2">
        <v>144.38181</v>
      </c>
      <c r="ES2">
        <v>130000</v>
      </c>
      <c r="ET2" t="s">
        <v>6403</v>
      </c>
      <c r="EU2" t="s">
        <v>2971</v>
      </c>
      <c r="FG2" t="s">
        <v>9159</v>
      </c>
      <c r="FH2" t="s">
        <v>7246</v>
      </c>
      <c r="FI2" t="s">
        <v>24</v>
      </c>
      <c r="FJ2" t="s">
        <v>24</v>
      </c>
      <c r="FK2" t="s">
        <v>24</v>
      </c>
      <c r="FM2" t="s">
        <v>9160</v>
      </c>
      <c r="FN2" t="s">
        <v>9161</v>
      </c>
      <c r="FO2" t="s">
        <v>9162</v>
      </c>
      <c r="FQ2" t="s">
        <v>9163</v>
      </c>
      <c r="FR2" t="s">
        <v>9163</v>
      </c>
      <c r="FS2" t="s">
        <v>7250</v>
      </c>
      <c r="FX2">
        <v>8</v>
      </c>
      <c r="FY2" t="s">
        <v>9164</v>
      </c>
      <c r="FZ2">
        <v>0.08</v>
      </c>
      <c r="GA2">
        <v>38.08</v>
      </c>
      <c r="GB2">
        <v>198</v>
      </c>
      <c r="GC2">
        <v>195.98</v>
      </c>
      <c r="GD2">
        <v>198</v>
      </c>
      <c r="GI2" t="s">
        <v>9165</v>
      </c>
      <c r="GO2" t="s">
        <v>9165</v>
      </c>
      <c r="GU2" t="s">
        <v>9166</v>
      </c>
    </row>
    <row r="3" spans="1:203" customFormat="1" x14ac:dyDescent="0.35">
      <c r="A3" t="s">
        <v>25460</v>
      </c>
      <c r="B3" t="s">
        <v>2973</v>
      </c>
      <c r="C3" t="s">
        <v>24</v>
      </c>
      <c r="D3" t="s">
        <v>354</v>
      </c>
      <c r="E3">
        <v>-18.760774325228901</v>
      </c>
      <c r="F3">
        <v>146.887143036781</v>
      </c>
      <c r="H3">
        <v>383</v>
      </c>
      <c r="I3">
        <v>139.79499999999999</v>
      </c>
      <c r="J3" t="s">
        <v>502</v>
      </c>
      <c r="K3" t="s">
        <v>25394</v>
      </c>
      <c r="N3">
        <v>13000000</v>
      </c>
      <c r="O3">
        <v>13000000</v>
      </c>
      <c r="P3" t="s">
        <v>583</v>
      </c>
      <c r="Q3" t="s">
        <v>25461</v>
      </c>
      <c r="R3">
        <v>2023</v>
      </c>
      <c r="S3" t="s">
        <v>22295</v>
      </c>
      <c r="V3" t="s">
        <v>26207</v>
      </c>
      <c r="W3" t="s">
        <v>25462</v>
      </c>
      <c r="X3" t="s">
        <v>25463</v>
      </c>
      <c r="CN3" t="s">
        <v>354</v>
      </c>
      <c r="CO3" t="s">
        <v>1083</v>
      </c>
      <c r="CP3" t="s">
        <v>24</v>
      </c>
      <c r="CQ3" t="s">
        <v>1084</v>
      </c>
      <c r="CR3" t="s">
        <v>1085</v>
      </c>
      <c r="CS3">
        <v>2008</v>
      </c>
      <c r="CT3">
        <v>88082.400000000009</v>
      </c>
      <c r="CU3" t="s">
        <v>471</v>
      </c>
      <c r="CV3" t="s">
        <v>472</v>
      </c>
      <c r="CX3">
        <v>-38.014535535776297</v>
      </c>
      <c r="CY3">
        <v>145.20550950359299</v>
      </c>
      <c r="DD3" t="s">
        <v>354</v>
      </c>
      <c r="DE3" t="s">
        <v>6406</v>
      </c>
      <c r="DF3" t="s">
        <v>6407</v>
      </c>
      <c r="DG3">
        <v>1</v>
      </c>
      <c r="DH3">
        <v>2024</v>
      </c>
      <c r="DI3" t="s">
        <v>6408</v>
      </c>
      <c r="DJ3" t="s">
        <v>6401</v>
      </c>
      <c r="DK3">
        <v>2300000</v>
      </c>
      <c r="DL3" t="s">
        <v>6409</v>
      </c>
      <c r="DM3">
        <v>132285000</v>
      </c>
      <c r="DN3" t="s">
        <v>6410</v>
      </c>
      <c r="DV3" s="52" t="s">
        <v>4124</v>
      </c>
      <c r="DW3" s="52"/>
      <c r="DX3" s="52" t="s">
        <v>354</v>
      </c>
      <c r="DY3" s="52">
        <v>3200000</v>
      </c>
      <c r="DZ3" s="52">
        <v>3000000</v>
      </c>
      <c r="EA3" s="52" t="s">
        <v>7250</v>
      </c>
      <c r="EB3" s="52" t="s">
        <v>26209</v>
      </c>
      <c r="EC3" s="52">
        <v>-34.443110369715598</v>
      </c>
      <c r="ED3" s="53">
        <v>150.88169555612001</v>
      </c>
      <c r="EM3" t="s">
        <v>354</v>
      </c>
      <c r="EN3" t="s">
        <v>2972</v>
      </c>
      <c r="EO3" t="s">
        <v>2973</v>
      </c>
      <c r="EP3" t="s">
        <v>1080</v>
      </c>
      <c r="EQ3">
        <v>-27.413070000000001</v>
      </c>
      <c r="ER3">
        <v>153.15816000000001</v>
      </c>
      <c r="ES3">
        <v>104000</v>
      </c>
      <c r="ET3" t="s">
        <v>26210</v>
      </c>
      <c r="EU3" t="s">
        <v>2974</v>
      </c>
      <c r="FG3" t="s">
        <v>10586</v>
      </c>
      <c r="FH3" t="s">
        <v>7246</v>
      </c>
      <c r="FI3" t="s">
        <v>24</v>
      </c>
      <c r="FJ3" t="s">
        <v>24</v>
      </c>
      <c r="FK3" t="s">
        <v>24</v>
      </c>
      <c r="FM3" t="s">
        <v>10587</v>
      </c>
      <c r="FN3" t="s">
        <v>10588</v>
      </c>
      <c r="FQ3" t="s">
        <v>10589</v>
      </c>
      <c r="FR3" t="s">
        <v>10589</v>
      </c>
      <c r="FS3" t="s">
        <v>7292</v>
      </c>
      <c r="FX3">
        <v>200</v>
      </c>
      <c r="FY3" t="s">
        <v>9164</v>
      </c>
      <c r="FZ3">
        <v>2.0499999999999998</v>
      </c>
      <c r="GA3">
        <v>951.9</v>
      </c>
      <c r="GB3">
        <v>240</v>
      </c>
      <c r="GC3">
        <v>238.64</v>
      </c>
      <c r="GD3">
        <v>240</v>
      </c>
      <c r="GG3" t="s">
        <v>10590</v>
      </c>
      <c r="GI3" t="s">
        <v>9165</v>
      </c>
      <c r="GK3" t="s">
        <v>2973</v>
      </c>
      <c r="GL3" t="s">
        <v>10591</v>
      </c>
      <c r="GN3" t="s">
        <v>2973</v>
      </c>
      <c r="GO3" t="s">
        <v>9165</v>
      </c>
      <c r="GU3" t="s">
        <v>10592</v>
      </c>
    </row>
    <row r="4" spans="1:203" customFormat="1" x14ac:dyDescent="0.35">
      <c r="A4" t="s">
        <v>25464</v>
      </c>
      <c r="B4" t="s">
        <v>2969</v>
      </c>
      <c r="C4" t="s">
        <v>24</v>
      </c>
      <c r="D4" t="s">
        <v>354</v>
      </c>
      <c r="E4">
        <v>-36.132814911412801</v>
      </c>
      <c r="F4">
        <v>146.88900619230901</v>
      </c>
      <c r="G4">
        <v>10</v>
      </c>
      <c r="J4" t="s">
        <v>502</v>
      </c>
      <c r="N4" t="s">
        <v>25465</v>
      </c>
      <c r="O4">
        <v>28600000</v>
      </c>
      <c r="P4" t="s">
        <v>25113</v>
      </c>
      <c r="Q4" t="s">
        <v>25466</v>
      </c>
      <c r="R4">
        <v>2023</v>
      </c>
      <c r="S4" t="s">
        <v>22295</v>
      </c>
      <c r="V4" t="s">
        <v>26207</v>
      </c>
      <c r="W4" t="s">
        <v>25467</v>
      </c>
      <c r="X4" t="s">
        <v>25468</v>
      </c>
      <c r="CN4" t="s">
        <v>354</v>
      </c>
      <c r="CO4" t="s">
        <v>1087</v>
      </c>
      <c r="CP4" t="s">
        <v>1088</v>
      </c>
      <c r="CQ4" t="s">
        <v>1081</v>
      </c>
      <c r="CR4" t="s">
        <v>261</v>
      </c>
      <c r="CT4">
        <v>1527.96</v>
      </c>
      <c r="CU4" t="s">
        <v>471</v>
      </c>
      <c r="CV4" t="s">
        <v>472</v>
      </c>
      <c r="CX4">
        <v>-37.838397570024298</v>
      </c>
      <c r="CY4">
        <v>144.81985393857499</v>
      </c>
      <c r="CZ4" t="s">
        <v>1090</v>
      </c>
      <c r="DD4" t="s">
        <v>354</v>
      </c>
      <c r="DE4" t="s">
        <v>6411</v>
      </c>
      <c r="DF4" t="s">
        <v>6399</v>
      </c>
      <c r="DG4">
        <v>1</v>
      </c>
      <c r="DH4">
        <v>2024</v>
      </c>
      <c r="DI4" t="s">
        <v>6412</v>
      </c>
      <c r="DJ4" t="s">
        <v>6401</v>
      </c>
      <c r="DL4" t="s">
        <v>6413</v>
      </c>
      <c r="DN4" t="s">
        <v>26211</v>
      </c>
      <c r="DP4" t="s">
        <v>6415</v>
      </c>
      <c r="DV4" s="50" t="s">
        <v>4126</v>
      </c>
      <c r="DW4" s="50"/>
      <c r="DX4" s="50" t="s">
        <v>354</v>
      </c>
      <c r="DY4" s="50">
        <v>750000</v>
      </c>
      <c r="DZ4" s="50"/>
      <c r="EA4" s="50" t="s">
        <v>7250</v>
      </c>
      <c r="EB4" s="50" t="s">
        <v>26208</v>
      </c>
      <c r="EC4" s="50">
        <v>-33.764389460911701</v>
      </c>
      <c r="ED4" s="51">
        <v>150.84990334983999</v>
      </c>
      <c r="FG4" t="s">
        <v>10593</v>
      </c>
      <c r="FH4" t="s">
        <v>7246</v>
      </c>
      <c r="FI4" t="s">
        <v>24</v>
      </c>
      <c r="FJ4" t="s">
        <v>24</v>
      </c>
      <c r="FK4" t="s">
        <v>24</v>
      </c>
      <c r="FM4" t="s">
        <v>10594</v>
      </c>
      <c r="FN4" t="s">
        <v>10595</v>
      </c>
      <c r="FQ4" t="s">
        <v>10596</v>
      </c>
      <c r="FR4" t="s">
        <v>10596</v>
      </c>
      <c r="FS4" t="s">
        <v>7292</v>
      </c>
      <c r="FT4">
        <v>2023</v>
      </c>
      <c r="FZ4" t="s">
        <v>6546</v>
      </c>
      <c r="GA4" t="s">
        <v>6546</v>
      </c>
      <c r="GB4">
        <v>430</v>
      </c>
      <c r="GC4">
        <v>316.72000000000003</v>
      </c>
      <c r="GD4">
        <v>430</v>
      </c>
      <c r="GG4" t="s">
        <v>10597</v>
      </c>
      <c r="GH4" t="s">
        <v>10598</v>
      </c>
      <c r="GI4" t="s">
        <v>9165</v>
      </c>
      <c r="GK4" t="s">
        <v>6388</v>
      </c>
      <c r="GL4" t="s">
        <v>6467</v>
      </c>
      <c r="GN4" t="s">
        <v>6388</v>
      </c>
      <c r="GO4" t="s">
        <v>9165</v>
      </c>
      <c r="GU4" t="s">
        <v>10599</v>
      </c>
    </row>
    <row r="5" spans="1:203" customFormat="1" x14ac:dyDescent="0.35">
      <c r="A5" t="s">
        <v>25469</v>
      </c>
      <c r="B5" t="s">
        <v>2969</v>
      </c>
      <c r="C5" t="s">
        <v>24</v>
      </c>
      <c r="D5" t="s">
        <v>354</v>
      </c>
      <c r="E5">
        <v>-37.819641786787798</v>
      </c>
      <c r="F5">
        <v>145.03919687687099</v>
      </c>
      <c r="H5">
        <v>20</v>
      </c>
      <c r="I5">
        <v>7.3</v>
      </c>
      <c r="J5" t="s">
        <v>25399</v>
      </c>
      <c r="K5" t="s">
        <v>25394</v>
      </c>
      <c r="N5" t="s">
        <v>25470</v>
      </c>
      <c r="O5">
        <v>1495000</v>
      </c>
      <c r="P5" t="s">
        <v>583</v>
      </c>
      <c r="Q5" t="s">
        <v>25471</v>
      </c>
      <c r="R5">
        <v>2023</v>
      </c>
      <c r="S5" t="s">
        <v>22295</v>
      </c>
      <c r="V5" t="s">
        <v>26207</v>
      </c>
      <c r="W5" t="s">
        <v>25472</v>
      </c>
      <c r="X5" t="s">
        <v>25473</v>
      </c>
      <c r="CN5" t="s">
        <v>354</v>
      </c>
      <c r="CO5" t="s">
        <v>1091</v>
      </c>
      <c r="CP5" t="s">
        <v>24</v>
      </c>
      <c r="CQ5" t="s">
        <v>1081</v>
      </c>
      <c r="CR5" t="s">
        <v>261</v>
      </c>
      <c r="CT5">
        <v>22020.600000000002</v>
      </c>
      <c r="CU5" t="s">
        <v>471</v>
      </c>
      <c r="CV5" t="s">
        <v>472</v>
      </c>
      <c r="CX5">
        <v>-28.9479300740906</v>
      </c>
      <c r="CY5">
        <v>121.804043581267</v>
      </c>
      <c r="DD5" t="s">
        <v>354</v>
      </c>
      <c r="DE5" t="s">
        <v>6416</v>
      </c>
      <c r="DF5" t="s">
        <v>6417</v>
      </c>
      <c r="DG5">
        <v>1</v>
      </c>
      <c r="DH5">
        <v>2023</v>
      </c>
      <c r="DI5" t="s">
        <v>4123</v>
      </c>
      <c r="DJ5" t="s">
        <v>6401</v>
      </c>
      <c r="DK5">
        <v>1900000</v>
      </c>
      <c r="DL5" t="s">
        <v>6418</v>
      </c>
      <c r="DM5">
        <v>165356250</v>
      </c>
      <c r="DN5" t="s">
        <v>6419</v>
      </c>
      <c r="DP5" t="s">
        <v>26212</v>
      </c>
      <c r="DV5" s="52" t="s">
        <v>4128</v>
      </c>
      <c r="DW5" s="52"/>
      <c r="DX5" s="52" t="s">
        <v>354</v>
      </c>
      <c r="DY5" s="52">
        <v>1200000</v>
      </c>
      <c r="DZ5" s="52">
        <v>1200000</v>
      </c>
      <c r="EA5" s="52" t="s">
        <v>7250</v>
      </c>
      <c r="EB5" s="52" t="s">
        <v>26209</v>
      </c>
      <c r="EC5" s="52">
        <v>-33.008623532156697</v>
      </c>
      <c r="ED5" s="53">
        <v>137.576402568156</v>
      </c>
      <c r="FG5" t="s">
        <v>10600</v>
      </c>
      <c r="FH5" t="s">
        <v>7246</v>
      </c>
      <c r="FI5" t="s">
        <v>24</v>
      </c>
      <c r="FJ5" t="s">
        <v>24</v>
      </c>
      <c r="FK5" t="s">
        <v>24</v>
      </c>
      <c r="FM5" t="s">
        <v>10601</v>
      </c>
      <c r="FN5" t="s">
        <v>10602</v>
      </c>
      <c r="FQ5" t="s">
        <v>10603</v>
      </c>
      <c r="FR5" t="s">
        <v>10603</v>
      </c>
      <c r="FS5" t="s">
        <v>7250</v>
      </c>
      <c r="FT5">
        <v>2007</v>
      </c>
      <c r="FX5">
        <v>107.78</v>
      </c>
      <c r="FY5" t="s">
        <v>7251</v>
      </c>
      <c r="FZ5">
        <v>1.1100000000000001</v>
      </c>
      <c r="GA5">
        <v>518.78</v>
      </c>
      <c r="GB5">
        <v>70</v>
      </c>
      <c r="GC5">
        <v>52.7</v>
      </c>
      <c r="GD5">
        <v>70</v>
      </c>
      <c r="GG5" t="s">
        <v>10604</v>
      </c>
      <c r="GH5" t="s">
        <v>10605</v>
      </c>
      <c r="GI5" t="s">
        <v>9165</v>
      </c>
      <c r="GK5" t="s">
        <v>2969</v>
      </c>
      <c r="GL5" t="s">
        <v>10606</v>
      </c>
      <c r="GN5" t="s">
        <v>2969</v>
      </c>
      <c r="GO5" t="s">
        <v>9165</v>
      </c>
      <c r="GU5" t="s">
        <v>10607</v>
      </c>
    </row>
    <row r="6" spans="1:203" customFormat="1" x14ac:dyDescent="0.35">
      <c r="A6" t="s">
        <v>25474</v>
      </c>
      <c r="B6" t="s">
        <v>2969</v>
      </c>
      <c r="C6" t="s">
        <v>24</v>
      </c>
      <c r="D6" t="s">
        <v>354</v>
      </c>
      <c r="E6">
        <v>-37.835574755167301</v>
      </c>
      <c r="F6">
        <v>144.82895169562201</v>
      </c>
      <c r="H6">
        <v>80</v>
      </c>
      <c r="I6">
        <v>29.2</v>
      </c>
      <c r="J6" t="s">
        <v>25475</v>
      </c>
      <c r="K6" t="s">
        <v>25394</v>
      </c>
      <c r="L6">
        <v>0.58699999999999997</v>
      </c>
      <c r="N6" t="s">
        <v>25476</v>
      </c>
      <c r="O6">
        <v>4790500</v>
      </c>
      <c r="P6" t="s">
        <v>25477</v>
      </c>
      <c r="Q6" t="s">
        <v>25478</v>
      </c>
      <c r="R6">
        <v>2021</v>
      </c>
      <c r="S6" t="s">
        <v>22295</v>
      </c>
      <c r="V6" t="s">
        <v>6422</v>
      </c>
      <c r="W6" t="s">
        <v>25479</v>
      </c>
      <c r="X6" t="s">
        <v>25480</v>
      </c>
      <c r="CN6" t="s">
        <v>354</v>
      </c>
      <c r="CO6" t="s">
        <v>1093</v>
      </c>
      <c r="CP6" t="s">
        <v>24</v>
      </c>
      <c r="CQ6" t="s">
        <v>1094</v>
      </c>
      <c r="CR6" t="s">
        <v>261</v>
      </c>
      <c r="CT6">
        <v>3235.68</v>
      </c>
      <c r="CU6" t="s">
        <v>471</v>
      </c>
      <c r="CV6" t="s">
        <v>472</v>
      </c>
      <c r="CW6" t="s">
        <v>494</v>
      </c>
      <c r="CX6">
        <v>-32.244163782850002</v>
      </c>
      <c r="CY6">
        <v>115.77321689509201</v>
      </c>
      <c r="CZ6" t="s">
        <v>1096</v>
      </c>
      <c r="DD6" t="s">
        <v>354</v>
      </c>
      <c r="DE6" t="s">
        <v>6421</v>
      </c>
      <c r="DF6" t="s">
        <v>6422</v>
      </c>
      <c r="DG6">
        <v>2</v>
      </c>
      <c r="DH6">
        <v>2017</v>
      </c>
      <c r="DI6" t="s">
        <v>6423</v>
      </c>
      <c r="DJ6" t="s">
        <v>6424</v>
      </c>
      <c r="DK6">
        <v>9000000</v>
      </c>
      <c r="DL6" t="s">
        <v>6425</v>
      </c>
      <c r="DM6">
        <v>2875000000</v>
      </c>
      <c r="DN6" t="s">
        <v>6426</v>
      </c>
      <c r="DP6" t="s">
        <v>26213</v>
      </c>
      <c r="DV6" s="50" t="s">
        <v>4128</v>
      </c>
      <c r="DW6" s="50"/>
      <c r="DX6" s="50" t="s">
        <v>354</v>
      </c>
      <c r="DY6" s="50">
        <v>2400000</v>
      </c>
      <c r="DZ6" s="50">
        <v>2400000</v>
      </c>
      <c r="EA6" s="50" t="s">
        <v>26214</v>
      </c>
      <c r="EB6" s="50" t="s">
        <v>26215</v>
      </c>
      <c r="EC6" s="50">
        <v>-33.009307307531301</v>
      </c>
      <c r="ED6" s="51">
        <v>137.57666006022799</v>
      </c>
      <c r="FG6" t="s">
        <v>10736</v>
      </c>
      <c r="FH6" t="s">
        <v>7246</v>
      </c>
      <c r="FI6" t="s">
        <v>24</v>
      </c>
      <c r="FJ6" t="s">
        <v>24</v>
      </c>
      <c r="FK6" t="s">
        <v>24</v>
      </c>
      <c r="FM6" t="s">
        <v>10737</v>
      </c>
      <c r="FN6" t="s">
        <v>10738</v>
      </c>
      <c r="FP6" t="s">
        <v>10739</v>
      </c>
      <c r="FQ6" t="s">
        <v>10740</v>
      </c>
      <c r="FR6" t="s">
        <v>10740</v>
      </c>
      <c r="FS6" t="s">
        <v>7250</v>
      </c>
      <c r="FT6">
        <v>2004</v>
      </c>
      <c r="FX6">
        <v>108</v>
      </c>
      <c r="FY6" t="s">
        <v>9164</v>
      </c>
      <c r="FZ6">
        <v>1.1000000000000001</v>
      </c>
      <c r="GA6">
        <v>514.02</v>
      </c>
      <c r="GB6">
        <v>391</v>
      </c>
      <c r="GC6">
        <v>392.32</v>
      </c>
      <c r="GD6">
        <v>391</v>
      </c>
      <c r="GG6" t="s">
        <v>10741</v>
      </c>
      <c r="GH6" t="s">
        <v>10591</v>
      </c>
      <c r="GI6" t="s">
        <v>9165</v>
      </c>
      <c r="GK6" t="s">
        <v>2973</v>
      </c>
      <c r="GL6" t="s">
        <v>10742</v>
      </c>
      <c r="GN6" t="s">
        <v>2973</v>
      </c>
      <c r="GO6" t="s">
        <v>9165</v>
      </c>
      <c r="GU6" t="s">
        <v>10743</v>
      </c>
    </row>
    <row r="7" spans="1:203" customFormat="1" x14ac:dyDescent="0.35">
      <c r="A7" t="s">
        <v>25481</v>
      </c>
      <c r="B7" t="s">
        <v>2969</v>
      </c>
      <c r="C7" t="s">
        <v>24</v>
      </c>
      <c r="D7" t="s">
        <v>354</v>
      </c>
      <c r="E7">
        <v>-37.829435584692497</v>
      </c>
      <c r="F7">
        <v>144.74984936099901</v>
      </c>
      <c r="H7">
        <v>65</v>
      </c>
      <c r="I7">
        <v>23.725000000000001</v>
      </c>
      <c r="J7" t="s">
        <v>25408</v>
      </c>
      <c r="K7" t="s">
        <v>25394</v>
      </c>
      <c r="L7">
        <v>0.64</v>
      </c>
      <c r="P7" t="s">
        <v>583</v>
      </c>
      <c r="Q7" t="s">
        <v>25482</v>
      </c>
      <c r="R7">
        <v>2023</v>
      </c>
      <c r="S7" t="s">
        <v>22295</v>
      </c>
      <c r="V7" t="s">
        <v>26207</v>
      </c>
      <c r="W7" t="s">
        <v>25483</v>
      </c>
      <c r="X7" t="s">
        <v>25484</v>
      </c>
      <c r="CN7" t="s">
        <v>354</v>
      </c>
      <c r="CO7" t="s">
        <v>1097</v>
      </c>
      <c r="CP7" t="s">
        <v>24</v>
      </c>
      <c r="CQ7" t="s">
        <v>1098</v>
      </c>
      <c r="CR7" t="s">
        <v>261</v>
      </c>
      <c r="CT7">
        <v>134730.12</v>
      </c>
      <c r="CU7" t="s">
        <v>471</v>
      </c>
      <c r="CV7" t="s">
        <v>472</v>
      </c>
      <c r="CW7" t="s">
        <v>1074</v>
      </c>
      <c r="CX7">
        <v>-27.434795674020801</v>
      </c>
      <c r="CY7">
        <v>153.12388240808099</v>
      </c>
      <c r="DD7" t="s">
        <v>354</v>
      </c>
      <c r="DE7" t="s">
        <v>6428</v>
      </c>
      <c r="DF7" t="s">
        <v>6422</v>
      </c>
      <c r="DG7">
        <v>2</v>
      </c>
      <c r="DH7">
        <v>2015</v>
      </c>
      <c r="DI7" t="s">
        <v>6428</v>
      </c>
      <c r="DJ7" t="s">
        <v>6424</v>
      </c>
      <c r="DK7">
        <v>8500000</v>
      </c>
      <c r="DL7" t="s">
        <v>880</v>
      </c>
      <c r="DM7">
        <v>6000000000</v>
      </c>
      <c r="DN7" t="s">
        <v>6429</v>
      </c>
      <c r="DP7" t="s">
        <v>26216</v>
      </c>
      <c r="FG7" t="s">
        <v>10744</v>
      </c>
      <c r="FH7" t="s">
        <v>7246</v>
      </c>
      <c r="FI7" t="s">
        <v>24</v>
      </c>
      <c r="FJ7" t="s">
        <v>24</v>
      </c>
      <c r="FK7" t="s">
        <v>24</v>
      </c>
      <c r="FM7" t="s">
        <v>10745</v>
      </c>
      <c r="FN7" t="s">
        <v>10746</v>
      </c>
      <c r="FO7" t="s">
        <v>8319</v>
      </c>
      <c r="FP7" t="s">
        <v>10747</v>
      </c>
      <c r="FQ7" t="s">
        <v>10748</v>
      </c>
      <c r="FR7" t="s">
        <v>10749</v>
      </c>
      <c r="FS7" t="s">
        <v>7250</v>
      </c>
      <c r="FT7">
        <v>2019</v>
      </c>
      <c r="FX7">
        <v>871.99</v>
      </c>
      <c r="FY7" t="s">
        <v>7251</v>
      </c>
      <c r="FZ7">
        <v>9.02</v>
      </c>
      <c r="GA7">
        <v>4197.18</v>
      </c>
      <c r="GB7">
        <v>622</v>
      </c>
      <c r="GC7">
        <v>613.72</v>
      </c>
      <c r="GD7">
        <v>622</v>
      </c>
      <c r="GH7" t="s">
        <v>10750</v>
      </c>
      <c r="GI7" t="s">
        <v>9165</v>
      </c>
      <c r="GK7" t="s">
        <v>10751</v>
      </c>
      <c r="GL7" t="s">
        <v>10752</v>
      </c>
      <c r="GN7" t="s">
        <v>2973</v>
      </c>
      <c r="GO7" t="s">
        <v>9165</v>
      </c>
      <c r="GU7" t="s">
        <v>10753</v>
      </c>
    </row>
    <row r="8" spans="1:203" customFormat="1" x14ac:dyDescent="0.35">
      <c r="A8" t="s">
        <v>25485</v>
      </c>
      <c r="B8" t="s">
        <v>2969</v>
      </c>
      <c r="C8" t="s">
        <v>24</v>
      </c>
      <c r="D8" t="s">
        <v>354</v>
      </c>
      <c r="E8">
        <v>-38.0663681680238</v>
      </c>
      <c r="F8">
        <v>144.392178583001</v>
      </c>
      <c r="G8">
        <v>2.5</v>
      </c>
      <c r="H8">
        <v>1000</v>
      </c>
      <c r="I8">
        <v>365</v>
      </c>
      <c r="J8" t="s">
        <v>25399</v>
      </c>
      <c r="K8" t="s">
        <v>25422</v>
      </c>
      <c r="N8" t="s">
        <v>25486</v>
      </c>
      <c r="O8">
        <v>28145000</v>
      </c>
      <c r="P8" t="s">
        <v>583</v>
      </c>
      <c r="Q8" t="s">
        <v>25487</v>
      </c>
      <c r="R8">
        <v>2023</v>
      </c>
      <c r="S8" t="s">
        <v>22295</v>
      </c>
      <c r="V8" t="s">
        <v>26207</v>
      </c>
      <c r="W8" t="s">
        <v>25488</v>
      </c>
      <c r="X8" t="s">
        <v>25489</v>
      </c>
      <c r="CN8" t="s">
        <v>354</v>
      </c>
      <c r="CO8" t="s">
        <v>1100</v>
      </c>
      <c r="CP8" t="s">
        <v>24</v>
      </c>
      <c r="CQ8" t="s">
        <v>1101</v>
      </c>
      <c r="CR8" t="s">
        <v>261</v>
      </c>
      <c r="CT8">
        <v>167805.96</v>
      </c>
      <c r="CU8" t="s">
        <v>471</v>
      </c>
      <c r="CV8" t="s">
        <v>472</v>
      </c>
      <c r="CW8" t="s">
        <v>1074</v>
      </c>
      <c r="CX8">
        <v>-32.896094688242002</v>
      </c>
      <c r="CY8">
        <v>151.779379166295</v>
      </c>
      <c r="DD8" t="s">
        <v>354</v>
      </c>
      <c r="DE8" t="s">
        <v>6431</v>
      </c>
      <c r="DF8" t="s">
        <v>6422</v>
      </c>
      <c r="DG8">
        <v>2</v>
      </c>
      <c r="DH8">
        <v>2016</v>
      </c>
      <c r="DI8" t="s">
        <v>6432</v>
      </c>
      <c r="DJ8" t="s">
        <v>6424</v>
      </c>
      <c r="DK8">
        <v>8000000</v>
      </c>
      <c r="DL8" t="s">
        <v>6433</v>
      </c>
      <c r="DM8">
        <v>10582800000</v>
      </c>
      <c r="DN8" t="s">
        <v>6434</v>
      </c>
      <c r="DP8" t="s">
        <v>26217</v>
      </c>
      <c r="FG8" t="s">
        <v>11237</v>
      </c>
      <c r="FH8" t="s">
        <v>7246</v>
      </c>
      <c r="FI8" t="s">
        <v>24</v>
      </c>
      <c r="FJ8" t="s">
        <v>24</v>
      </c>
      <c r="FK8" t="s">
        <v>24</v>
      </c>
      <c r="FM8" t="s">
        <v>11238</v>
      </c>
      <c r="FN8" t="s">
        <v>11239</v>
      </c>
      <c r="FP8" t="s">
        <v>11240</v>
      </c>
      <c r="FQ8" t="s">
        <v>11241</v>
      </c>
      <c r="FR8" t="s">
        <v>11241</v>
      </c>
      <c r="FS8" t="s">
        <v>7250</v>
      </c>
      <c r="FT8">
        <v>1983</v>
      </c>
      <c r="FX8">
        <v>30</v>
      </c>
      <c r="FY8" t="s">
        <v>9164</v>
      </c>
      <c r="FZ8">
        <v>0.31</v>
      </c>
      <c r="GA8">
        <v>142.78</v>
      </c>
      <c r="GB8">
        <v>140</v>
      </c>
      <c r="GC8">
        <v>197.01</v>
      </c>
      <c r="GD8">
        <v>140</v>
      </c>
      <c r="GG8" t="s">
        <v>11242</v>
      </c>
      <c r="GH8" t="s">
        <v>11243</v>
      </c>
      <c r="GI8" t="s">
        <v>9165</v>
      </c>
      <c r="GK8" t="s">
        <v>10751</v>
      </c>
      <c r="GL8" t="s">
        <v>11244</v>
      </c>
      <c r="GN8" t="s">
        <v>11245</v>
      </c>
      <c r="GO8" t="s">
        <v>9165</v>
      </c>
      <c r="GU8" t="s">
        <v>11246</v>
      </c>
    </row>
    <row r="9" spans="1:203" customFormat="1" x14ac:dyDescent="0.35">
      <c r="A9" t="s">
        <v>25490</v>
      </c>
      <c r="B9" t="s">
        <v>25491</v>
      </c>
      <c r="C9" t="s">
        <v>24</v>
      </c>
      <c r="D9" t="s">
        <v>354</v>
      </c>
      <c r="E9">
        <v>-35.009113834068998</v>
      </c>
      <c r="F9">
        <v>138.57012418340301</v>
      </c>
      <c r="G9">
        <v>1.25</v>
      </c>
      <c r="H9">
        <v>480</v>
      </c>
      <c r="I9">
        <v>175.2</v>
      </c>
      <c r="J9" t="s">
        <v>25399</v>
      </c>
      <c r="K9" t="s">
        <v>25422</v>
      </c>
      <c r="M9">
        <v>12000</v>
      </c>
      <c r="N9" t="s">
        <v>25492</v>
      </c>
      <c r="O9">
        <v>9425000</v>
      </c>
      <c r="P9" t="s">
        <v>25493</v>
      </c>
      <c r="Q9" t="s">
        <v>25494</v>
      </c>
      <c r="R9">
        <v>2021</v>
      </c>
      <c r="S9" t="s">
        <v>22295</v>
      </c>
      <c r="V9" t="s">
        <v>6422</v>
      </c>
      <c r="W9" t="s">
        <v>25467</v>
      </c>
      <c r="X9" t="s">
        <v>25495</v>
      </c>
      <c r="CN9" t="s">
        <v>354</v>
      </c>
      <c r="CO9" t="s">
        <v>1103</v>
      </c>
      <c r="CP9" t="s">
        <v>24</v>
      </c>
      <c r="CQ9" t="s">
        <v>1104</v>
      </c>
      <c r="CR9" t="s">
        <v>261</v>
      </c>
      <c r="CT9">
        <v>353138.52</v>
      </c>
      <c r="CU9" t="s">
        <v>471</v>
      </c>
      <c r="CV9" t="s">
        <v>472</v>
      </c>
      <c r="CW9" t="s">
        <v>1074</v>
      </c>
      <c r="CX9">
        <v>-20.623831700534399</v>
      </c>
      <c r="CY9">
        <v>116.78721354548099</v>
      </c>
      <c r="DD9" t="s">
        <v>354</v>
      </c>
      <c r="DE9" t="s">
        <v>6436</v>
      </c>
      <c r="DF9" t="s">
        <v>6422</v>
      </c>
      <c r="DG9">
        <v>2</v>
      </c>
      <c r="DH9">
        <v>2006</v>
      </c>
      <c r="DI9" t="s">
        <v>6437</v>
      </c>
      <c r="DJ9" t="s">
        <v>6424</v>
      </c>
      <c r="DK9">
        <v>7400000</v>
      </c>
      <c r="DL9" t="s">
        <v>6438</v>
      </c>
      <c r="DM9">
        <v>1600000000</v>
      </c>
      <c r="DN9" t="s">
        <v>6439</v>
      </c>
      <c r="DP9" t="s">
        <v>26218</v>
      </c>
      <c r="FG9" t="s">
        <v>12646</v>
      </c>
      <c r="FH9" t="s">
        <v>7246</v>
      </c>
      <c r="FI9" t="s">
        <v>24</v>
      </c>
      <c r="FJ9" t="s">
        <v>24</v>
      </c>
      <c r="FK9" t="s">
        <v>24</v>
      </c>
      <c r="FM9" t="s">
        <v>10745</v>
      </c>
      <c r="FN9" t="s">
        <v>10746</v>
      </c>
      <c r="FO9" t="s">
        <v>12616</v>
      </c>
      <c r="FP9" t="s">
        <v>10747</v>
      </c>
      <c r="FQ9" t="s">
        <v>12647</v>
      </c>
      <c r="FR9" t="s">
        <v>12648</v>
      </c>
      <c r="FS9" t="s">
        <v>7292</v>
      </c>
      <c r="FT9">
        <v>2028</v>
      </c>
      <c r="FX9">
        <v>500</v>
      </c>
      <c r="FY9" t="s">
        <v>9164</v>
      </c>
      <c r="FZ9">
        <v>5.1100000000000003</v>
      </c>
      <c r="GA9">
        <v>2379.7399999999998</v>
      </c>
      <c r="GB9" t="s">
        <v>6546</v>
      </c>
      <c r="GC9">
        <v>662.34</v>
      </c>
      <c r="GD9">
        <v>662.34</v>
      </c>
      <c r="GH9" t="s">
        <v>10752</v>
      </c>
      <c r="GI9" t="s">
        <v>9165</v>
      </c>
      <c r="GK9" t="s">
        <v>2973</v>
      </c>
      <c r="GL9" t="s">
        <v>12649</v>
      </c>
      <c r="GN9" t="s">
        <v>2973</v>
      </c>
      <c r="GO9" t="s">
        <v>9165</v>
      </c>
      <c r="GU9" t="s">
        <v>12650</v>
      </c>
    </row>
    <row r="10" spans="1:203" customFormat="1" x14ac:dyDescent="0.35">
      <c r="A10" t="s">
        <v>25496</v>
      </c>
      <c r="B10" t="s">
        <v>25497</v>
      </c>
      <c r="C10" t="s">
        <v>24</v>
      </c>
      <c r="D10" t="s">
        <v>354</v>
      </c>
      <c r="E10">
        <v>-25.922902052776699</v>
      </c>
      <c r="F10">
        <v>113.538006794813</v>
      </c>
      <c r="G10">
        <v>0.34799999999999998</v>
      </c>
      <c r="H10">
        <v>35</v>
      </c>
      <c r="I10">
        <v>12.775</v>
      </c>
      <c r="J10" t="s">
        <v>502</v>
      </c>
      <c r="K10" t="s">
        <v>25394</v>
      </c>
      <c r="L10">
        <v>0.70399999999999996</v>
      </c>
      <c r="M10">
        <v>378</v>
      </c>
      <c r="N10" t="s">
        <v>25498</v>
      </c>
      <c r="O10">
        <v>6045000</v>
      </c>
      <c r="P10" t="s">
        <v>25436</v>
      </c>
      <c r="Q10" t="s">
        <v>25499</v>
      </c>
      <c r="R10">
        <v>2023</v>
      </c>
      <c r="S10" t="s">
        <v>22295</v>
      </c>
      <c r="V10" t="s">
        <v>26207</v>
      </c>
      <c r="W10" t="s">
        <v>25500</v>
      </c>
      <c r="X10" t="s">
        <v>25501</v>
      </c>
      <c r="CN10" t="s">
        <v>354</v>
      </c>
      <c r="CO10" t="s">
        <v>1093</v>
      </c>
      <c r="CP10" t="s">
        <v>24</v>
      </c>
      <c r="CQ10" t="s">
        <v>1106</v>
      </c>
      <c r="CR10" t="s">
        <v>261</v>
      </c>
      <c r="CT10">
        <v>104620.32</v>
      </c>
      <c r="CU10" t="s">
        <v>471</v>
      </c>
      <c r="CV10" t="s">
        <v>472</v>
      </c>
      <c r="CW10" t="s">
        <v>1074</v>
      </c>
      <c r="CX10">
        <v>-32.234465883560503</v>
      </c>
      <c r="CY10">
        <v>115.766560172863</v>
      </c>
      <c r="DD10" t="s">
        <v>354</v>
      </c>
      <c r="DE10" t="s">
        <v>6441</v>
      </c>
      <c r="DF10" t="s">
        <v>6422</v>
      </c>
      <c r="DG10">
        <v>1</v>
      </c>
      <c r="DH10">
        <v>2018</v>
      </c>
      <c r="DI10" t="s">
        <v>6442</v>
      </c>
      <c r="DJ10" t="s">
        <v>6424</v>
      </c>
      <c r="DK10">
        <v>3600000</v>
      </c>
      <c r="DL10" t="s">
        <v>880</v>
      </c>
      <c r="DM10">
        <v>24000000000</v>
      </c>
      <c r="DN10" t="s">
        <v>6443</v>
      </c>
      <c r="DP10" t="s">
        <v>26219</v>
      </c>
      <c r="FG10" t="s">
        <v>12815</v>
      </c>
      <c r="FH10" t="s">
        <v>7246</v>
      </c>
      <c r="FI10" t="s">
        <v>24</v>
      </c>
      <c r="FJ10" t="s">
        <v>24</v>
      </c>
      <c r="FK10" t="s">
        <v>24</v>
      </c>
      <c r="FM10" t="s">
        <v>12816</v>
      </c>
      <c r="FN10" t="s">
        <v>12817</v>
      </c>
      <c r="FP10" t="s">
        <v>12818</v>
      </c>
      <c r="FQ10" t="s">
        <v>12819</v>
      </c>
      <c r="FR10" t="s">
        <v>12819</v>
      </c>
      <c r="FS10" t="s">
        <v>7292</v>
      </c>
      <c r="FT10">
        <v>2024</v>
      </c>
      <c r="FX10">
        <v>117.53</v>
      </c>
      <c r="FY10" t="s">
        <v>7251</v>
      </c>
      <c r="FZ10">
        <v>1.22</v>
      </c>
      <c r="GA10">
        <v>565.71</v>
      </c>
      <c r="GB10">
        <v>950</v>
      </c>
      <c r="GC10">
        <v>927.54</v>
      </c>
      <c r="GD10">
        <v>950</v>
      </c>
      <c r="GG10" t="s">
        <v>11242</v>
      </c>
      <c r="GI10" t="s">
        <v>9165</v>
      </c>
      <c r="GK10" t="s">
        <v>10751</v>
      </c>
      <c r="GL10" t="s">
        <v>12820</v>
      </c>
      <c r="GN10" t="s">
        <v>4129</v>
      </c>
      <c r="GO10" t="s">
        <v>9165</v>
      </c>
      <c r="GU10" t="s">
        <v>12821</v>
      </c>
    </row>
    <row r="11" spans="1:203" customFormat="1" x14ac:dyDescent="0.35">
      <c r="A11" t="s">
        <v>25502</v>
      </c>
      <c r="B11" t="s">
        <v>6461</v>
      </c>
      <c r="C11" t="s">
        <v>24</v>
      </c>
      <c r="D11" t="s">
        <v>354</v>
      </c>
      <c r="E11">
        <v>-32.135993128672503</v>
      </c>
      <c r="F11">
        <v>115.77011399468</v>
      </c>
      <c r="H11">
        <v>274</v>
      </c>
      <c r="I11">
        <v>100.01</v>
      </c>
      <c r="J11" t="s">
        <v>1321</v>
      </c>
      <c r="K11" t="s">
        <v>25503</v>
      </c>
      <c r="N11" t="s">
        <v>25504</v>
      </c>
      <c r="O11">
        <v>16250000</v>
      </c>
      <c r="Q11" t="s">
        <v>25505</v>
      </c>
      <c r="R11">
        <v>2023</v>
      </c>
      <c r="S11" t="s">
        <v>22295</v>
      </c>
      <c r="V11" t="s">
        <v>26207</v>
      </c>
      <c r="W11" t="s">
        <v>25506</v>
      </c>
      <c r="X11" t="s">
        <v>25507</v>
      </c>
      <c r="DD11" t="s">
        <v>354</v>
      </c>
      <c r="DE11" t="s">
        <v>6445</v>
      </c>
      <c r="DF11" t="s">
        <v>6422</v>
      </c>
      <c r="DG11">
        <v>2</v>
      </c>
      <c r="DH11">
        <v>2018</v>
      </c>
      <c r="DI11" t="s">
        <v>6442</v>
      </c>
      <c r="DJ11" t="s">
        <v>6424</v>
      </c>
      <c r="DK11">
        <v>8900000</v>
      </c>
      <c r="DL11" t="s">
        <v>6446</v>
      </c>
      <c r="DM11">
        <v>45000000000</v>
      </c>
      <c r="DN11">
        <v>-17.961943999999999</v>
      </c>
      <c r="DO11">
        <v>122.23611099999999</v>
      </c>
      <c r="DP11" t="s">
        <v>26220</v>
      </c>
      <c r="FG11" t="s">
        <v>12822</v>
      </c>
      <c r="FH11" t="s">
        <v>7246</v>
      </c>
      <c r="FI11" t="s">
        <v>24</v>
      </c>
      <c r="FJ11" t="s">
        <v>24</v>
      </c>
      <c r="FK11" t="s">
        <v>24</v>
      </c>
      <c r="FM11" t="s">
        <v>12823</v>
      </c>
      <c r="FN11" t="s">
        <v>12824</v>
      </c>
      <c r="FQ11" t="s">
        <v>12825</v>
      </c>
      <c r="FR11" t="s">
        <v>12825</v>
      </c>
      <c r="FS11" t="s">
        <v>7292</v>
      </c>
      <c r="FT11">
        <v>2025</v>
      </c>
      <c r="FZ11" t="s">
        <v>6546</v>
      </c>
      <c r="GA11" t="s">
        <v>6546</v>
      </c>
      <c r="GB11">
        <v>260</v>
      </c>
      <c r="GC11">
        <v>252.89</v>
      </c>
      <c r="GD11">
        <v>260</v>
      </c>
      <c r="GG11" t="s">
        <v>12826</v>
      </c>
      <c r="GI11" t="s">
        <v>9165</v>
      </c>
      <c r="GL11" t="s">
        <v>6437</v>
      </c>
      <c r="GN11" t="s">
        <v>10751</v>
      </c>
      <c r="GO11" t="s">
        <v>9165</v>
      </c>
      <c r="GP11" t="s">
        <v>6407</v>
      </c>
      <c r="GQ11">
        <v>2021</v>
      </c>
      <c r="GU11" t="s">
        <v>12827</v>
      </c>
    </row>
    <row r="12" spans="1:203" customFormat="1" x14ac:dyDescent="0.35">
      <c r="A12" t="s">
        <v>25508</v>
      </c>
      <c r="B12" t="s">
        <v>6461</v>
      </c>
      <c r="C12" t="s">
        <v>24</v>
      </c>
      <c r="D12" t="s">
        <v>354</v>
      </c>
      <c r="E12">
        <v>-32.106982899577602</v>
      </c>
      <c r="F12">
        <v>115.858341083394</v>
      </c>
      <c r="G12">
        <v>0.26</v>
      </c>
      <c r="H12">
        <v>63</v>
      </c>
      <c r="I12">
        <v>22.995000000000001</v>
      </c>
      <c r="J12" t="s">
        <v>25399</v>
      </c>
      <c r="K12" t="s">
        <v>25422</v>
      </c>
      <c r="N12" t="s">
        <v>25509</v>
      </c>
      <c r="O12">
        <v>650000</v>
      </c>
      <c r="P12" t="s">
        <v>583</v>
      </c>
      <c r="Q12" t="s">
        <v>25510</v>
      </c>
      <c r="R12">
        <v>2022</v>
      </c>
      <c r="S12" t="s">
        <v>22295</v>
      </c>
      <c r="V12" t="s">
        <v>6422</v>
      </c>
      <c r="W12" t="s">
        <v>25511</v>
      </c>
      <c r="X12" t="s">
        <v>25512</v>
      </c>
      <c r="DD12" t="s">
        <v>354</v>
      </c>
      <c r="DE12" t="s">
        <v>6445</v>
      </c>
      <c r="DF12" t="s">
        <v>6407</v>
      </c>
      <c r="DG12">
        <v>1</v>
      </c>
      <c r="DH12">
        <v>2023</v>
      </c>
      <c r="DI12" t="s">
        <v>6442</v>
      </c>
      <c r="DJ12" t="s">
        <v>6424</v>
      </c>
      <c r="DK12">
        <v>4450000</v>
      </c>
      <c r="DL12" t="s">
        <v>6446</v>
      </c>
      <c r="DN12">
        <v>-17.961943999999999</v>
      </c>
      <c r="DO12">
        <v>122.23611099999999</v>
      </c>
      <c r="DP12" t="s">
        <v>6448</v>
      </c>
      <c r="FG12" t="s">
        <v>12828</v>
      </c>
      <c r="FH12" t="s">
        <v>7246</v>
      </c>
      <c r="FI12" t="s">
        <v>24</v>
      </c>
      <c r="FJ12" t="s">
        <v>24</v>
      </c>
      <c r="FK12" t="s">
        <v>24</v>
      </c>
      <c r="FM12" t="s">
        <v>12829</v>
      </c>
      <c r="FN12" t="s">
        <v>12830</v>
      </c>
      <c r="FP12" t="s">
        <v>12831</v>
      </c>
      <c r="FQ12" t="s">
        <v>12832</v>
      </c>
      <c r="FR12" t="s">
        <v>12832</v>
      </c>
      <c r="FS12" t="s">
        <v>7292</v>
      </c>
      <c r="FT12">
        <v>2023</v>
      </c>
      <c r="FX12">
        <v>300</v>
      </c>
      <c r="FY12" t="s">
        <v>9164</v>
      </c>
      <c r="FZ12">
        <v>3.07</v>
      </c>
      <c r="GA12">
        <v>1427.84</v>
      </c>
      <c r="GB12">
        <v>500</v>
      </c>
      <c r="GC12">
        <v>314.31</v>
      </c>
      <c r="GD12">
        <v>500</v>
      </c>
      <c r="GG12" t="s">
        <v>10741</v>
      </c>
      <c r="GH12" t="s">
        <v>10591</v>
      </c>
      <c r="GI12" t="s">
        <v>9165</v>
      </c>
      <c r="GK12" t="s">
        <v>2973</v>
      </c>
      <c r="GL12" t="s">
        <v>6432</v>
      </c>
      <c r="GN12" t="s">
        <v>2973</v>
      </c>
      <c r="GO12" t="s">
        <v>9165</v>
      </c>
      <c r="GU12" t="s">
        <v>12833</v>
      </c>
    </row>
    <row r="13" spans="1:203" customFormat="1" x14ac:dyDescent="0.35">
      <c r="A13" t="s">
        <v>25513</v>
      </c>
      <c r="B13" t="s">
        <v>6461</v>
      </c>
      <c r="C13" t="s">
        <v>24</v>
      </c>
      <c r="D13" t="s">
        <v>354</v>
      </c>
      <c r="E13">
        <v>-32.102412118858197</v>
      </c>
      <c r="F13">
        <v>115.863634232622</v>
      </c>
      <c r="N13" t="s">
        <v>25514</v>
      </c>
      <c r="O13">
        <v>1690000</v>
      </c>
      <c r="P13" t="s">
        <v>25113</v>
      </c>
      <c r="Q13" t="s">
        <v>25515</v>
      </c>
      <c r="R13">
        <v>2022</v>
      </c>
      <c r="S13" t="s">
        <v>22295</v>
      </c>
      <c r="V13" t="s">
        <v>6422</v>
      </c>
      <c r="W13" t="s">
        <v>25516</v>
      </c>
      <c r="X13" t="s">
        <v>25517</v>
      </c>
      <c r="DD13" t="s">
        <v>354</v>
      </c>
      <c r="DE13" t="s">
        <v>6449</v>
      </c>
      <c r="DF13" t="s">
        <v>6422</v>
      </c>
      <c r="DG13">
        <v>2</v>
      </c>
      <c r="DH13">
        <v>2018</v>
      </c>
      <c r="DI13" t="s">
        <v>6450</v>
      </c>
      <c r="DJ13" t="s">
        <v>6424</v>
      </c>
      <c r="DK13">
        <v>4450000</v>
      </c>
      <c r="DL13" t="s">
        <v>797</v>
      </c>
      <c r="DM13">
        <v>15000000000</v>
      </c>
      <c r="DN13" t="s">
        <v>6451</v>
      </c>
      <c r="DP13" t="s">
        <v>6452</v>
      </c>
      <c r="FG13" t="s">
        <v>12834</v>
      </c>
      <c r="FH13" t="s">
        <v>7246</v>
      </c>
      <c r="FI13" t="s">
        <v>24</v>
      </c>
      <c r="FJ13" t="s">
        <v>24</v>
      </c>
      <c r="FK13" t="s">
        <v>24</v>
      </c>
      <c r="FM13" t="s">
        <v>12835</v>
      </c>
      <c r="FN13" t="s">
        <v>12836</v>
      </c>
      <c r="FQ13" t="s">
        <v>12837</v>
      </c>
      <c r="FR13" t="s">
        <v>12837</v>
      </c>
      <c r="FS13" t="s">
        <v>7250</v>
      </c>
      <c r="FT13">
        <v>2021</v>
      </c>
      <c r="FZ13" t="s">
        <v>6546</v>
      </c>
      <c r="GA13" t="s">
        <v>6546</v>
      </c>
      <c r="GB13">
        <v>79.3</v>
      </c>
      <c r="GC13">
        <v>74.430000000000007</v>
      </c>
      <c r="GD13">
        <v>79.3</v>
      </c>
      <c r="GE13">
        <v>100</v>
      </c>
      <c r="GF13" t="s">
        <v>8842</v>
      </c>
      <c r="GH13" t="s">
        <v>12838</v>
      </c>
      <c r="GI13" t="s">
        <v>9165</v>
      </c>
      <c r="GK13" t="s">
        <v>6388</v>
      </c>
      <c r="GL13" t="s">
        <v>12839</v>
      </c>
      <c r="GN13" t="s">
        <v>6388</v>
      </c>
      <c r="GO13" t="s">
        <v>9165</v>
      </c>
      <c r="GU13" t="s">
        <v>12840</v>
      </c>
    </row>
    <row r="14" spans="1:203" customFormat="1" x14ac:dyDescent="0.35">
      <c r="A14" t="s">
        <v>25518</v>
      </c>
      <c r="B14" t="s">
        <v>6461</v>
      </c>
      <c r="C14" t="s">
        <v>24</v>
      </c>
      <c r="D14" t="s">
        <v>354</v>
      </c>
      <c r="E14">
        <v>-32.113318845503599</v>
      </c>
      <c r="F14">
        <v>115.860815228129</v>
      </c>
      <c r="G14">
        <v>0.26</v>
      </c>
      <c r="H14">
        <v>63</v>
      </c>
      <c r="I14">
        <v>22.995000000000001</v>
      </c>
      <c r="J14" t="s">
        <v>25399</v>
      </c>
      <c r="K14" t="s">
        <v>25394</v>
      </c>
      <c r="L14">
        <v>0.3</v>
      </c>
      <c r="N14" t="s">
        <v>25519</v>
      </c>
      <c r="O14">
        <v>2294500</v>
      </c>
      <c r="P14" t="s">
        <v>25477</v>
      </c>
      <c r="R14">
        <v>2019</v>
      </c>
      <c r="S14" t="s">
        <v>22295</v>
      </c>
      <c r="V14" t="s">
        <v>6422</v>
      </c>
      <c r="W14" t="s">
        <v>25516</v>
      </c>
      <c r="X14" t="s">
        <v>25520</v>
      </c>
      <c r="DD14" t="s">
        <v>354</v>
      </c>
      <c r="DE14" t="s">
        <v>6453</v>
      </c>
      <c r="DF14" t="s">
        <v>6422</v>
      </c>
      <c r="DG14">
        <v>3</v>
      </c>
      <c r="DH14">
        <v>2017</v>
      </c>
      <c r="DI14" t="s">
        <v>6454</v>
      </c>
      <c r="DJ14" t="s">
        <v>6424</v>
      </c>
      <c r="DK14">
        <v>15600000</v>
      </c>
      <c r="DL14" t="s">
        <v>797</v>
      </c>
      <c r="DM14">
        <v>55000000000</v>
      </c>
      <c r="DN14">
        <v>-20.79</v>
      </c>
      <c r="DO14">
        <v>115.44965000000001</v>
      </c>
      <c r="DP14" t="s">
        <v>26221</v>
      </c>
      <c r="FG14" t="s">
        <v>12841</v>
      </c>
      <c r="FH14" t="s">
        <v>7246</v>
      </c>
      <c r="FI14" t="s">
        <v>24</v>
      </c>
      <c r="FJ14" t="s">
        <v>24</v>
      </c>
      <c r="FK14" t="s">
        <v>24</v>
      </c>
      <c r="FM14" t="s">
        <v>12842</v>
      </c>
      <c r="FN14" t="s">
        <v>12843</v>
      </c>
      <c r="FO14" t="s">
        <v>12844</v>
      </c>
      <c r="FQ14" t="s">
        <v>12647</v>
      </c>
      <c r="FR14" t="s">
        <v>12648</v>
      </c>
      <c r="FS14" t="s">
        <v>7292</v>
      </c>
      <c r="FT14">
        <v>2023</v>
      </c>
      <c r="FZ14" t="s">
        <v>6546</v>
      </c>
      <c r="GA14" t="s">
        <v>6546</v>
      </c>
      <c r="GB14">
        <v>185</v>
      </c>
      <c r="GC14">
        <v>135.11000000000001</v>
      </c>
      <c r="GD14">
        <v>185</v>
      </c>
      <c r="GH14" t="s">
        <v>12845</v>
      </c>
      <c r="GI14" t="s">
        <v>9165</v>
      </c>
      <c r="GK14" t="s">
        <v>4124</v>
      </c>
      <c r="GL14" t="s">
        <v>12846</v>
      </c>
      <c r="GN14" t="s">
        <v>4124</v>
      </c>
      <c r="GO14" t="s">
        <v>9165</v>
      </c>
      <c r="GU14" t="s">
        <v>12847</v>
      </c>
    </row>
    <row r="15" spans="1:203" customFormat="1" x14ac:dyDescent="0.35">
      <c r="A15" t="s">
        <v>25521</v>
      </c>
      <c r="B15" t="s">
        <v>25522</v>
      </c>
      <c r="C15" t="s">
        <v>24</v>
      </c>
      <c r="D15" t="s">
        <v>354</v>
      </c>
      <c r="E15">
        <v>-23.809306456742501</v>
      </c>
      <c r="F15">
        <v>119.631865483398</v>
      </c>
      <c r="G15">
        <v>0.7</v>
      </c>
      <c r="H15">
        <v>180</v>
      </c>
      <c r="I15">
        <v>65.7</v>
      </c>
      <c r="J15" t="s">
        <v>502</v>
      </c>
      <c r="K15" t="s">
        <v>25422</v>
      </c>
      <c r="N15" t="s">
        <v>25523</v>
      </c>
      <c r="O15">
        <v>20800000</v>
      </c>
      <c r="P15" t="s">
        <v>583</v>
      </c>
      <c r="Q15" t="s">
        <v>25524</v>
      </c>
      <c r="R15">
        <v>2023</v>
      </c>
      <c r="S15" t="s">
        <v>22295</v>
      </c>
      <c r="V15" t="s">
        <v>26207</v>
      </c>
      <c r="W15" t="s">
        <v>25525</v>
      </c>
      <c r="X15" t="s">
        <v>25526</v>
      </c>
      <c r="DD15" t="s">
        <v>354</v>
      </c>
      <c r="DE15" t="s">
        <v>6456</v>
      </c>
      <c r="DF15" t="s">
        <v>6399</v>
      </c>
      <c r="DG15">
        <v>2</v>
      </c>
      <c r="DH15">
        <v>2023</v>
      </c>
      <c r="DI15" t="s">
        <v>6457</v>
      </c>
      <c r="DJ15" t="s">
        <v>6424</v>
      </c>
      <c r="DK15">
        <v>11400000</v>
      </c>
      <c r="DL15" t="s">
        <v>6458</v>
      </c>
      <c r="DM15">
        <v>20500000000</v>
      </c>
      <c r="DN15">
        <v>-17.961943999999999</v>
      </c>
      <c r="DO15">
        <v>122.23611099999999</v>
      </c>
      <c r="DP15" t="s">
        <v>6459</v>
      </c>
      <c r="FG15" t="s">
        <v>12848</v>
      </c>
      <c r="FH15" t="s">
        <v>7246</v>
      </c>
      <c r="FI15" t="s">
        <v>24</v>
      </c>
      <c r="FJ15" t="s">
        <v>24</v>
      </c>
      <c r="FK15" t="s">
        <v>24</v>
      </c>
      <c r="FM15" t="s">
        <v>12849</v>
      </c>
      <c r="FN15" t="s">
        <v>12850</v>
      </c>
      <c r="FQ15" t="s">
        <v>12851</v>
      </c>
      <c r="FR15" t="s">
        <v>12851</v>
      </c>
      <c r="FS15" t="s">
        <v>7292</v>
      </c>
      <c r="FT15">
        <v>2024</v>
      </c>
      <c r="FX15">
        <v>331.74</v>
      </c>
      <c r="FY15" t="s">
        <v>7251</v>
      </c>
      <c r="FZ15">
        <v>3.43</v>
      </c>
      <c r="GA15">
        <v>1596.78</v>
      </c>
      <c r="GB15">
        <v>210</v>
      </c>
      <c r="GC15">
        <v>143.6</v>
      </c>
      <c r="GD15">
        <v>210</v>
      </c>
      <c r="GG15" t="s">
        <v>12852</v>
      </c>
      <c r="GI15" t="s">
        <v>9165</v>
      </c>
      <c r="GL15" t="s">
        <v>12853</v>
      </c>
      <c r="GN15" t="s">
        <v>6388</v>
      </c>
      <c r="GO15" t="s">
        <v>9165</v>
      </c>
      <c r="GU15" t="s">
        <v>12854</v>
      </c>
    </row>
    <row r="16" spans="1:203" customFormat="1" x14ac:dyDescent="0.35">
      <c r="A16" t="s">
        <v>25527</v>
      </c>
      <c r="B16" t="s">
        <v>25491</v>
      </c>
      <c r="C16" t="s">
        <v>24</v>
      </c>
      <c r="D16" t="s">
        <v>354</v>
      </c>
      <c r="E16">
        <v>-34.750190457851403</v>
      </c>
      <c r="F16">
        <v>138.645260942562</v>
      </c>
      <c r="G16">
        <v>0.15</v>
      </c>
      <c r="H16">
        <v>40</v>
      </c>
      <c r="I16">
        <v>14.6</v>
      </c>
      <c r="J16" t="s">
        <v>25399</v>
      </c>
      <c r="K16" t="s">
        <v>25422</v>
      </c>
      <c r="N16" t="s">
        <v>25528</v>
      </c>
      <c r="O16">
        <v>8125000</v>
      </c>
      <c r="P16" t="s">
        <v>583</v>
      </c>
      <c r="Q16" t="s">
        <v>25529</v>
      </c>
      <c r="R16">
        <v>2023</v>
      </c>
      <c r="S16" t="s">
        <v>22295</v>
      </c>
      <c r="V16" t="s">
        <v>26207</v>
      </c>
      <c r="W16" t="s">
        <v>25530</v>
      </c>
      <c r="X16" t="s">
        <v>25531</v>
      </c>
      <c r="DD16" t="s">
        <v>354</v>
      </c>
      <c r="DE16" t="s">
        <v>6460</v>
      </c>
      <c r="DF16" t="s">
        <v>6422</v>
      </c>
      <c r="DG16">
        <v>3</v>
      </c>
      <c r="DH16">
        <v>1992</v>
      </c>
      <c r="DI16" t="s">
        <v>6461</v>
      </c>
      <c r="DJ16" t="s">
        <v>6424</v>
      </c>
      <c r="DK16">
        <v>7500000</v>
      </c>
      <c r="DL16" t="s">
        <v>6462</v>
      </c>
      <c r="DN16" t="s">
        <v>6463</v>
      </c>
      <c r="DP16" t="s">
        <v>6464</v>
      </c>
      <c r="FG16" t="s">
        <v>12855</v>
      </c>
      <c r="FH16" t="s">
        <v>7246</v>
      </c>
      <c r="FI16" t="s">
        <v>24</v>
      </c>
      <c r="FJ16" t="s">
        <v>24</v>
      </c>
      <c r="FK16" t="s">
        <v>24</v>
      </c>
      <c r="FM16" t="s">
        <v>12856</v>
      </c>
      <c r="FN16" t="s">
        <v>12857</v>
      </c>
      <c r="FQ16" t="s">
        <v>10748</v>
      </c>
      <c r="FR16" t="s">
        <v>10749</v>
      </c>
      <c r="FS16" t="s">
        <v>7292</v>
      </c>
      <c r="FT16">
        <v>2022</v>
      </c>
      <c r="FX16">
        <v>459.69</v>
      </c>
      <c r="FY16" t="s">
        <v>7251</v>
      </c>
      <c r="FZ16">
        <v>4.75</v>
      </c>
      <c r="GA16">
        <v>2212.64</v>
      </c>
      <c r="GB16">
        <v>12</v>
      </c>
      <c r="GC16">
        <v>12.09</v>
      </c>
      <c r="GD16">
        <v>12</v>
      </c>
      <c r="GG16" t="s">
        <v>6416</v>
      </c>
      <c r="GH16" t="s">
        <v>4123</v>
      </c>
      <c r="GI16" t="s">
        <v>9165</v>
      </c>
      <c r="GK16" t="s">
        <v>4124</v>
      </c>
      <c r="GL16" t="s">
        <v>12843</v>
      </c>
      <c r="GN16" t="s">
        <v>4124</v>
      </c>
      <c r="GO16" t="s">
        <v>9165</v>
      </c>
      <c r="GU16" t="s">
        <v>12858</v>
      </c>
    </row>
    <row r="17" spans="1:203" customFormat="1" x14ac:dyDescent="0.35">
      <c r="A17" t="s">
        <v>25532</v>
      </c>
      <c r="B17" t="s">
        <v>25533</v>
      </c>
      <c r="C17" t="s">
        <v>24</v>
      </c>
      <c r="D17" t="s">
        <v>354</v>
      </c>
      <c r="E17">
        <v>-33.825878413610397</v>
      </c>
      <c r="F17">
        <v>150.86203180237001</v>
      </c>
      <c r="G17">
        <v>0.5</v>
      </c>
      <c r="H17">
        <v>241</v>
      </c>
      <c r="I17">
        <v>87.965000000000003</v>
      </c>
      <c r="J17" t="s">
        <v>25399</v>
      </c>
      <c r="K17" t="s">
        <v>25422</v>
      </c>
      <c r="N17" t="s">
        <v>25534</v>
      </c>
      <c r="O17">
        <v>9750000</v>
      </c>
      <c r="P17" t="s">
        <v>25535</v>
      </c>
      <c r="Q17" t="s">
        <v>25536</v>
      </c>
      <c r="R17">
        <v>2021</v>
      </c>
      <c r="S17" t="s">
        <v>22295</v>
      </c>
      <c r="V17" t="s">
        <v>6422</v>
      </c>
      <c r="W17" t="s">
        <v>25537</v>
      </c>
      <c r="X17" t="s">
        <v>25538</v>
      </c>
      <c r="DD17" t="s">
        <v>354</v>
      </c>
      <c r="DE17" t="s">
        <v>6460</v>
      </c>
      <c r="DF17" t="s">
        <v>6422</v>
      </c>
      <c r="DG17">
        <v>2</v>
      </c>
      <c r="DH17">
        <v>2008</v>
      </c>
      <c r="DI17" t="s">
        <v>6461</v>
      </c>
      <c r="DJ17" t="s">
        <v>6424</v>
      </c>
      <c r="DK17">
        <v>9200000</v>
      </c>
      <c r="DL17" t="s">
        <v>6462</v>
      </c>
      <c r="DN17" t="s">
        <v>6465</v>
      </c>
      <c r="DP17" t="s">
        <v>6464</v>
      </c>
      <c r="FG17" t="s">
        <v>12976</v>
      </c>
      <c r="FH17" t="s">
        <v>7246</v>
      </c>
      <c r="FI17" t="s">
        <v>24</v>
      </c>
      <c r="FJ17" t="s">
        <v>24</v>
      </c>
      <c r="FK17" t="s">
        <v>24</v>
      </c>
      <c r="FM17" t="s">
        <v>12977</v>
      </c>
      <c r="FN17" t="s">
        <v>12978</v>
      </c>
      <c r="FP17" t="s">
        <v>12979</v>
      </c>
      <c r="FQ17" t="s">
        <v>9163</v>
      </c>
      <c r="FR17" t="s">
        <v>9163</v>
      </c>
      <c r="FS17" t="s">
        <v>7250</v>
      </c>
      <c r="FT17">
        <v>1972</v>
      </c>
      <c r="FX17">
        <v>70</v>
      </c>
      <c r="FY17" t="s">
        <v>9164</v>
      </c>
      <c r="FZ17">
        <v>0.72</v>
      </c>
      <c r="GA17">
        <v>333.16</v>
      </c>
      <c r="GB17">
        <v>445</v>
      </c>
      <c r="GC17">
        <v>419.01</v>
      </c>
      <c r="GD17">
        <v>445</v>
      </c>
      <c r="GG17" t="s">
        <v>12980</v>
      </c>
      <c r="GH17" t="s">
        <v>12981</v>
      </c>
      <c r="GI17" t="s">
        <v>9165</v>
      </c>
      <c r="GK17" t="s">
        <v>6388</v>
      </c>
      <c r="GL17" t="s">
        <v>12982</v>
      </c>
      <c r="GN17" t="s">
        <v>6388</v>
      </c>
      <c r="GO17" t="s">
        <v>9165</v>
      </c>
      <c r="GU17" t="s">
        <v>12983</v>
      </c>
    </row>
    <row r="18" spans="1:203" customFormat="1" x14ac:dyDescent="0.35">
      <c r="A18" t="s">
        <v>25539</v>
      </c>
      <c r="B18" t="s">
        <v>25540</v>
      </c>
      <c r="C18" t="s">
        <v>24</v>
      </c>
      <c r="D18" t="s">
        <v>354</v>
      </c>
      <c r="E18">
        <v>-34.511626861829001</v>
      </c>
      <c r="F18">
        <v>150.80835595056001</v>
      </c>
      <c r="H18">
        <v>548</v>
      </c>
      <c r="I18">
        <v>200.02</v>
      </c>
      <c r="J18" t="s">
        <v>25541</v>
      </c>
      <c r="K18" t="s">
        <v>25542</v>
      </c>
      <c r="L18">
        <v>435</v>
      </c>
      <c r="N18" t="s">
        <v>25543</v>
      </c>
      <c r="O18">
        <v>53950000</v>
      </c>
      <c r="P18" t="s">
        <v>25436</v>
      </c>
      <c r="Q18" t="s">
        <v>25544</v>
      </c>
      <c r="R18">
        <v>2024</v>
      </c>
      <c r="S18" t="s">
        <v>22295</v>
      </c>
      <c r="V18" t="s">
        <v>26207</v>
      </c>
      <c r="W18" t="s">
        <v>25545</v>
      </c>
      <c r="X18" t="s">
        <v>25546</v>
      </c>
      <c r="DD18" t="s">
        <v>354</v>
      </c>
      <c r="DE18" t="s">
        <v>6466</v>
      </c>
      <c r="DF18" t="s">
        <v>6422</v>
      </c>
      <c r="DG18">
        <v>1</v>
      </c>
      <c r="DH18">
        <v>2012</v>
      </c>
      <c r="DI18" t="s">
        <v>6467</v>
      </c>
      <c r="DJ18" t="s">
        <v>6424</v>
      </c>
      <c r="DK18">
        <v>4900000</v>
      </c>
      <c r="DL18" t="s">
        <v>6458</v>
      </c>
      <c r="DM18">
        <v>12000000000</v>
      </c>
      <c r="DN18" t="s">
        <v>6468</v>
      </c>
      <c r="DP18" t="s">
        <v>6469</v>
      </c>
      <c r="FG18" t="s">
        <v>12994</v>
      </c>
      <c r="FH18" t="s">
        <v>7246</v>
      </c>
      <c r="FI18" t="s">
        <v>24</v>
      </c>
      <c r="FJ18" t="s">
        <v>24</v>
      </c>
      <c r="FK18" t="s">
        <v>24</v>
      </c>
      <c r="FM18" t="s">
        <v>12995</v>
      </c>
      <c r="FN18" t="s">
        <v>12996</v>
      </c>
      <c r="FQ18" t="s">
        <v>9163</v>
      </c>
      <c r="FR18" t="s">
        <v>9163</v>
      </c>
      <c r="FS18" t="s">
        <v>7250</v>
      </c>
      <c r="FT18">
        <v>1995</v>
      </c>
      <c r="FX18">
        <v>166</v>
      </c>
      <c r="FY18" t="s">
        <v>9164</v>
      </c>
      <c r="FZ18">
        <v>1.7</v>
      </c>
      <c r="GA18">
        <v>790.07</v>
      </c>
      <c r="GB18">
        <v>251.2</v>
      </c>
      <c r="GC18">
        <v>213.79</v>
      </c>
      <c r="GD18">
        <v>251.2</v>
      </c>
      <c r="GH18" t="s">
        <v>1103</v>
      </c>
      <c r="GI18" t="s">
        <v>9165</v>
      </c>
      <c r="GK18" t="s">
        <v>6388</v>
      </c>
      <c r="GL18" t="s">
        <v>12997</v>
      </c>
      <c r="GN18" t="s">
        <v>6388</v>
      </c>
      <c r="GO18" t="s">
        <v>9165</v>
      </c>
      <c r="GU18" t="s">
        <v>12998</v>
      </c>
    </row>
    <row r="19" spans="1:203" customFormat="1" x14ac:dyDescent="0.35">
      <c r="A19" t="s">
        <v>25547</v>
      </c>
      <c r="B19" t="s">
        <v>4123</v>
      </c>
      <c r="C19" t="s">
        <v>24</v>
      </c>
      <c r="D19" t="s">
        <v>354</v>
      </c>
      <c r="E19">
        <v>-34.476324266062598</v>
      </c>
      <c r="F19">
        <v>150.906635396242</v>
      </c>
      <c r="I19">
        <v>0</v>
      </c>
      <c r="J19" t="s">
        <v>261</v>
      </c>
      <c r="P19" t="s">
        <v>583</v>
      </c>
      <c r="Q19" t="s">
        <v>25548</v>
      </c>
      <c r="R19">
        <v>2023</v>
      </c>
      <c r="S19" t="s">
        <v>22295</v>
      </c>
      <c r="V19" t="s">
        <v>26207</v>
      </c>
      <c r="W19" t="s">
        <v>25549</v>
      </c>
      <c r="X19" t="s">
        <v>25550</v>
      </c>
      <c r="DD19" t="s">
        <v>354</v>
      </c>
      <c r="DE19" t="s">
        <v>6466</v>
      </c>
      <c r="DF19" t="s">
        <v>6407</v>
      </c>
      <c r="DG19">
        <v>1</v>
      </c>
      <c r="DH19">
        <v>2026</v>
      </c>
      <c r="DI19" t="s">
        <v>6467</v>
      </c>
      <c r="DJ19" t="s">
        <v>6424</v>
      </c>
      <c r="DK19">
        <v>5000000</v>
      </c>
      <c r="DL19" t="s">
        <v>6458</v>
      </c>
      <c r="DM19">
        <v>5600000000</v>
      </c>
      <c r="DN19" t="s">
        <v>6470</v>
      </c>
      <c r="DP19" t="s">
        <v>26222</v>
      </c>
      <c r="FG19" t="s">
        <v>13034</v>
      </c>
      <c r="FH19" t="s">
        <v>7246</v>
      </c>
      <c r="FI19" t="s">
        <v>24</v>
      </c>
      <c r="FJ19" t="s">
        <v>24</v>
      </c>
      <c r="FK19" t="s">
        <v>24</v>
      </c>
      <c r="FM19" t="s">
        <v>13035</v>
      </c>
      <c r="FN19" t="s">
        <v>13036</v>
      </c>
      <c r="FP19" t="s">
        <v>13037</v>
      </c>
      <c r="FQ19" t="s">
        <v>13038</v>
      </c>
      <c r="FR19" t="s">
        <v>13038</v>
      </c>
      <c r="FS19" t="s">
        <v>7292</v>
      </c>
      <c r="FT19">
        <v>2023</v>
      </c>
      <c r="FX19">
        <v>426.52</v>
      </c>
      <c r="FY19" t="s">
        <v>7251</v>
      </c>
      <c r="FZ19">
        <v>4.41</v>
      </c>
      <c r="GA19">
        <v>2052.98</v>
      </c>
      <c r="GB19">
        <v>820</v>
      </c>
      <c r="GC19">
        <v>770.7</v>
      </c>
      <c r="GD19">
        <v>820</v>
      </c>
      <c r="GG19" t="s">
        <v>13039</v>
      </c>
      <c r="GH19" t="s">
        <v>13040</v>
      </c>
      <c r="GI19" t="s">
        <v>9165</v>
      </c>
      <c r="GK19" t="s">
        <v>2973</v>
      </c>
      <c r="GL19" t="s">
        <v>4099</v>
      </c>
      <c r="GN19" t="s">
        <v>4124</v>
      </c>
      <c r="GO19" t="s">
        <v>9165</v>
      </c>
      <c r="GU19" t="s">
        <v>13041</v>
      </c>
    </row>
    <row r="20" spans="1:203" customFormat="1" x14ac:dyDescent="0.35">
      <c r="A20" t="s">
        <v>25551</v>
      </c>
      <c r="B20" t="s">
        <v>2973</v>
      </c>
      <c r="C20" t="s">
        <v>24</v>
      </c>
      <c r="D20" t="s">
        <v>354</v>
      </c>
      <c r="E20">
        <v>-27.402494481041899</v>
      </c>
      <c r="F20">
        <v>153.136550124705</v>
      </c>
      <c r="G20">
        <v>0.22</v>
      </c>
      <c r="H20">
        <v>80</v>
      </c>
      <c r="I20">
        <v>29.2</v>
      </c>
      <c r="J20" t="s">
        <v>25399</v>
      </c>
      <c r="K20" t="s">
        <v>25394</v>
      </c>
      <c r="L20">
        <v>0.1</v>
      </c>
      <c r="N20" t="s">
        <v>25552</v>
      </c>
      <c r="O20">
        <v>3601000</v>
      </c>
      <c r="P20" t="s">
        <v>583</v>
      </c>
      <c r="Q20" t="s">
        <v>25553</v>
      </c>
      <c r="R20">
        <v>2023</v>
      </c>
      <c r="S20" t="s">
        <v>22295</v>
      </c>
      <c r="V20" t="s">
        <v>26207</v>
      </c>
      <c r="W20" t="s">
        <v>25554</v>
      </c>
      <c r="X20" t="s">
        <v>25555</v>
      </c>
      <c r="FG20" t="s">
        <v>13048</v>
      </c>
      <c r="FH20" t="s">
        <v>7246</v>
      </c>
      <c r="FI20" t="s">
        <v>24</v>
      </c>
      <c r="FJ20" t="s">
        <v>24</v>
      </c>
      <c r="FK20" t="s">
        <v>24</v>
      </c>
      <c r="FM20" t="s">
        <v>13049</v>
      </c>
      <c r="FN20" t="s">
        <v>13050</v>
      </c>
      <c r="FP20" t="s">
        <v>13051</v>
      </c>
      <c r="FQ20" t="s">
        <v>9163</v>
      </c>
      <c r="FR20" t="s">
        <v>9163</v>
      </c>
      <c r="FS20" t="s">
        <v>7250</v>
      </c>
      <c r="FT20">
        <v>2018</v>
      </c>
      <c r="FX20">
        <v>300</v>
      </c>
      <c r="FY20" t="s">
        <v>9164</v>
      </c>
      <c r="FZ20">
        <v>3.07</v>
      </c>
      <c r="GA20">
        <v>1427.84</v>
      </c>
      <c r="GB20">
        <v>50</v>
      </c>
      <c r="GC20">
        <v>42.26</v>
      </c>
      <c r="GD20">
        <v>50</v>
      </c>
      <c r="GH20" t="s">
        <v>13052</v>
      </c>
      <c r="GI20" t="s">
        <v>9165</v>
      </c>
      <c r="GK20" t="s">
        <v>2973</v>
      </c>
      <c r="GL20" t="s">
        <v>13040</v>
      </c>
      <c r="GN20" t="s">
        <v>2973</v>
      </c>
      <c r="GO20" t="s">
        <v>9165</v>
      </c>
      <c r="GU20" t="s">
        <v>13053</v>
      </c>
    </row>
    <row r="21" spans="1:203" customFormat="1" x14ac:dyDescent="0.35">
      <c r="A21" t="s">
        <v>25556</v>
      </c>
      <c r="B21" t="s">
        <v>2973</v>
      </c>
      <c r="C21" t="s">
        <v>24</v>
      </c>
      <c r="D21" t="s">
        <v>354</v>
      </c>
      <c r="E21">
        <v>-27.5537713734014</v>
      </c>
      <c r="F21">
        <v>153.05490008313399</v>
      </c>
      <c r="G21">
        <v>0.16</v>
      </c>
      <c r="H21">
        <v>23</v>
      </c>
      <c r="I21">
        <v>8.3949999999999996</v>
      </c>
      <c r="J21" t="s">
        <v>25408</v>
      </c>
      <c r="K21" t="s">
        <v>25394</v>
      </c>
      <c r="L21">
        <v>0.376</v>
      </c>
      <c r="P21" t="s">
        <v>25436</v>
      </c>
      <c r="Q21" t="s">
        <v>25557</v>
      </c>
      <c r="R21">
        <v>2013</v>
      </c>
      <c r="S21" t="s">
        <v>22295</v>
      </c>
      <c r="V21" t="s">
        <v>6422</v>
      </c>
      <c r="W21" t="s">
        <v>25558</v>
      </c>
      <c r="X21" t="s">
        <v>25559</v>
      </c>
      <c r="FG21" t="s">
        <v>13104</v>
      </c>
      <c r="FH21" t="s">
        <v>7246</v>
      </c>
      <c r="FI21" t="s">
        <v>24</v>
      </c>
      <c r="FJ21" t="s">
        <v>24</v>
      </c>
      <c r="FK21" t="s">
        <v>24</v>
      </c>
      <c r="FM21" t="s">
        <v>13105</v>
      </c>
      <c r="FN21" t="s">
        <v>13106</v>
      </c>
      <c r="FO21" t="s">
        <v>8319</v>
      </c>
      <c r="FP21" t="s">
        <v>13107</v>
      </c>
      <c r="FQ21" t="s">
        <v>9163</v>
      </c>
      <c r="FR21" t="s">
        <v>9163</v>
      </c>
      <c r="FS21" t="s">
        <v>7250</v>
      </c>
      <c r="FT21">
        <v>1969</v>
      </c>
      <c r="FX21">
        <v>318.47000000000003</v>
      </c>
      <c r="FY21" t="s">
        <v>7251</v>
      </c>
      <c r="FZ21">
        <v>3.29</v>
      </c>
      <c r="GA21">
        <v>1532.9</v>
      </c>
      <c r="GB21">
        <v>438</v>
      </c>
      <c r="GC21">
        <v>442.63</v>
      </c>
      <c r="GD21">
        <v>438</v>
      </c>
      <c r="GH21" t="s">
        <v>13108</v>
      </c>
      <c r="GI21" t="s">
        <v>9165</v>
      </c>
      <c r="GK21" t="s">
        <v>2973</v>
      </c>
      <c r="GL21" t="s">
        <v>1080</v>
      </c>
      <c r="GN21" t="s">
        <v>2973</v>
      </c>
      <c r="GO21" t="s">
        <v>9165</v>
      </c>
      <c r="GU21" t="s">
        <v>13109</v>
      </c>
    </row>
    <row r="22" spans="1:203" customFormat="1" x14ac:dyDescent="0.35">
      <c r="A22" t="s">
        <v>25560</v>
      </c>
      <c r="B22" t="s">
        <v>25561</v>
      </c>
      <c r="C22" t="s">
        <v>24</v>
      </c>
      <c r="D22" t="s">
        <v>354</v>
      </c>
      <c r="E22">
        <v>-26.865341019375499</v>
      </c>
      <c r="F22">
        <v>150.76368071571</v>
      </c>
      <c r="G22">
        <v>1</v>
      </c>
      <c r="H22">
        <v>205</v>
      </c>
      <c r="I22">
        <v>74.825000000000003</v>
      </c>
      <c r="J22" t="s">
        <v>25399</v>
      </c>
      <c r="K22" t="s">
        <v>25394</v>
      </c>
      <c r="L22">
        <v>2</v>
      </c>
      <c r="P22" t="s">
        <v>25562</v>
      </c>
      <c r="Q22" t="s">
        <v>25563</v>
      </c>
      <c r="R22">
        <v>2023</v>
      </c>
      <c r="S22" t="s">
        <v>22295</v>
      </c>
      <c r="V22" t="s">
        <v>26207</v>
      </c>
      <c r="W22" t="s">
        <v>25564</v>
      </c>
      <c r="X22" t="s">
        <v>25565</v>
      </c>
      <c r="FG22" t="s">
        <v>13139</v>
      </c>
      <c r="FH22" t="s">
        <v>7246</v>
      </c>
      <c r="FI22" t="s">
        <v>24</v>
      </c>
      <c r="FJ22" t="s">
        <v>24</v>
      </c>
      <c r="FK22" t="s">
        <v>24</v>
      </c>
      <c r="FM22" t="s">
        <v>13140</v>
      </c>
      <c r="FN22" t="s">
        <v>13141</v>
      </c>
      <c r="FP22" t="s">
        <v>13142</v>
      </c>
      <c r="FQ22" t="s">
        <v>13143</v>
      </c>
      <c r="FR22" t="s">
        <v>13143</v>
      </c>
      <c r="FS22" t="s">
        <v>7250</v>
      </c>
      <c r="FT22">
        <v>2004</v>
      </c>
      <c r="FX22">
        <v>314</v>
      </c>
      <c r="FY22" t="s">
        <v>9164</v>
      </c>
      <c r="FZ22">
        <v>3.21</v>
      </c>
      <c r="GA22">
        <v>1494.48</v>
      </c>
      <c r="GB22">
        <v>687</v>
      </c>
      <c r="GC22">
        <v>790.41</v>
      </c>
      <c r="GD22">
        <v>687</v>
      </c>
      <c r="GG22" t="s">
        <v>10604</v>
      </c>
      <c r="GH22" t="s">
        <v>10606</v>
      </c>
      <c r="GI22" t="s">
        <v>9165</v>
      </c>
      <c r="GK22" t="s">
        <v>2969</v>
      </c>
      <c r="GL22" t="s">
        <v>6408</v>
      </c>
      <c r="GN22" t="s">
        <v>4129</v>
      </c>
      <c r="GO22" t="s">
        <v>9165</v>
      </c>
      <c r="GU22" t="s">
        <v>13144</v>
      </c>
    </row>
    <row r="23" spans="1:203" customFormat="1" x14ac:dyDescent="0.35">
      <c r="A23" t="s">
        <v>25566</v>
      </c>
      <c r="B23" t="s">
        <v>13040</v>
      </c>
      <c r="C23" t="s">
        <v>24</v>
      </c>
      <c r="D23" t="s">
        <v>354</v>
      </c>
      <c r="E23">
        <v>-26.585455111794499</v>
      </c>
      <c r="F23">
        <v>149.18572449093799</v>
      </c>
      <c r="G23">
        <v>0.05</v>
      </c>
      <c r="H23">
        <v>1</v>
      </c>
      <c r="I23">
        <v>0.36499999999999999</v>
      </c>
      <c r="J23" t="s">
        <v>25567</v>
      </c>
      <c r="K23" t="s">
        <v>25394</v>
      </c>
      <c r="L23">
        <v>0.1</v>
      </c>
      <c r="N23" t="s">
        <v>25568</v>
      </c>
      <c r="O23">
        <v>1469000</v>
      </c>
      <c r="P23" t="s">
        <v>25113</v>
      </c>
      <c r="Q23" t="s">
        <v>25569</v>
      </c>
      <c r="R23">
        <v>2023</v>
      </c>
      <c r="S23" t="s">
        <v>22295</v>
      </c>
      <c r="V23" t="s">
        <v>26207</v>
      </c>
      <c r="W23" t="s">
        <v>25570</v>
      </c>
      <c r="X23" t="s">
        <v>25571</v>
      </c>
      <c r="FG23" t="s">
        <v>13239</v>
      </c>
      <c r="FH23" t="s">
        <v>7246</v>
      </c>
      <c r="FI23" t="s">
        <v>24</v>
      </c>
      <c r="FJ23" t="s">
        <v>24</v>
      </c>
      <c r="FK23" t="s">
        <v>24</v>
      </c>
      <c r="FM23" t="s">
        <v>13240</v>
      </c>
      <c r="FN23" t="s">
        <v>13241</v>
      </c>
      <c r="FP23" t="s">
        <v>13242</v>
      </c>
      <c r="FQ23" t="s">
        <v>13243</v>
      </c>
      <c r="FR23" t="s">
        <v>13243</v>
      </c>
      <c r="FS23" t="s">
        <v>7250</v>
      </c>
      <c r="FT23">
        <v>1991</v>
      </c>
      <c r="FX23">
        <v>15</v>
      </c>
      <c r="FY23" t="s">
        <v>9164</v>
      </c>
      <c r="FZ23">
        <v>0.15</v>
      </c>
      <c r="GA23">
        <v>71.39</v>
      </c>
      <c r="GB23">
        <v>82</v>
      </c>
      <c r="GC23">
        <v>66.77</v>
      </c>
      <c r="GD23">
        <v>82</v>
      </c>
      <c r="GG23" t="s">
        <v>10604</v>
      </c>
      <c r="GI23" t="s">
        <v>9165</v>
      </c>
      <c r="GK23" t="s">
        <v>2969</v>
      </c>
      <c r="GL23" t="s">
        <v>13244</v>
      </c>
      <c r="GN23" t="s">
        <v>4129</v>
      </c>
      <c r="GO23" t="s">
        <v>9165</v>
      </c>
      <c r="GU23" t="s">
        <v>13245</v>
      </c>
    </row>
    <row r="24" spans="1:203" customFormat="1" x14ac:dyDescent="0.35">
      <c r="A24" t="s">
        <v>25572</v>
      </c>
      <c r="B24" t="s">
        <v>25573</v>
      </c>
      <c r="C24" t="s">
        <v>24</v>
      </c>
      <c r="D24" t="s">
        <v>354</v>
      </c>
      <c r="E24">
        <v>-23.828799547008501</v>
      </c>
      <c r="F24">
        <v>151.23433293493301</v>
      </c>
      <c r="H24">
        <v>821</v>
      </c>
      <c r="I24">
        <v>299.66500000000002</v>
      </c>
      <c r="J24" t="s">
        <v>502</v>
      </c>
      <c r="K24" t="s">
        <v>25422</v>
      </c>
      <c r="P24" t="s">
        <v>25251</v>
      </c>
      <c r="Q24" t="s">
        <v>25574</v>
      </c>
      <c r="R24">
        <v>2023</v>
      </c>
      <c r="S24" t="s">
        <v>22295</v>
      </c>
      <c r="V24" t="s">
        <v>26207</v>
      </c>
      <c r="W24" t="s">
        <v>25575</v>
      </c>
      <c r="X24" t="s">
        <v>25576</v>
      </c>
      <c r="FG24" t="s">
        <v>13251</v>
      </c>
      <c r="FH24" t="s">
        <v>7246</v>
      </c>
      <c r="FI24" t="s">
        <v>24</v>
      </c>
      <c r="FJ24" t="s">
        <v>24</v>
      </c>
      <c r="FK24" t="s">
        <v>24</v>
      </c>
      <c r="FM24" t="s">
        <v>13252</v>
      </c>
      <c r="FN24" t="s">
        <v>13253</v>
      </c>
      <c r="FP24" t="s">
        <v>13254</v>
      </c>
      <c r="FQ24" t="s">
        <v>9163</v>
      </c>
      <c r="FR24" t="s">
        <v>9163</v>
      </c>
      <c r="FS24" t="s">
        <v>7250</v>
      </c>
      <c r="FT24">
        <v>2005</v>
      </c>
      <c r="FX24">
        <v>40</v>
      </c>
      <c r="FY24" t="s">
        <v>9164</v>
      </c>
      <c r="FZ24">
        <v>0.41</v>
      </c>
      <c r="GA24">
        <v>190.38</v>
      </c>
      <c r="GB24">
        <v>45</v>
      </c>
      <c r="GC24">
        <v>49.37</v>
      </c>
      <c r="GD24">
        <v>45</v>
      </c>
      <c r="GH24" t="s">
        <v>13255</v>
      </c>
      <c r="GI24" t="s">
        <v>9165</v>
      </c>
      <c r="GK24" t="s">
        <v>2969</v>
      </c>
      <c r="GL24" t="s">
        <v>13256</v>
      </c>
      <c r="GN24" t="s">
        <v>4129</v>
      </c>
      <c r="GO24" t="s">
        <v>9165</v>
      </c>
      <c r="GU24" t="s">
        <v>13257</v>
      </c>
    </row>
    <row r="25" spans="1:203" customFormat="1" x14ac:dyDescent="0.35">
      <c r="A25" t="s">
        <v>25577</v>
      </c>
      <c r="B25" t="s">
        <v>25578</v>
      </c>
      <c r="C25" t="s">
        <v>24</v>
      </c>
      <c r="D25" t="s">
        <v>354</v>
      </c>
      <c r="E25">
        <v>-23.868317390818401</v>
      </c>
      <c r="F25">
        <v>151.26672765111701</v>
      </c>
      <c r="G25">
        <v>0.17499999999999999</v>
      </c>
      <c r="H25">
        <v>65</v>
      </c>
      <c r="I25">
        <v>23.725000000000001</v>
      </c>
      <c r="J25" t="s">
        <v>25399</v>
      </c>
      <c r="K25" t="s">
        <v>25422</v>
      </c>
      <c r="N25" t="s">
        <v>25579</v>
      </c>
      <c r="O25">
        <v>2730000</v>
      </c>
      <c r="P25" t="s">
        <v>25113</v>
      </c>
      <c r="Q25" t="s">
        <v>25580</v>
      </c>
      <c r="R25">
        <v>2023</v>
      </c>
      <c r="S25" t="s">
        <v>22295</v>
      </c>
      <c r="V25" t="s">
        <v>26207</v>
      </c>
      <c r="W25" t="s">
        <v>25467</v>
      </c>
      <c r="X25" t="s">
        <v>25581</v>
      </c>
      <c r="FG25" t="s">
        <v>13269</v>
      </c>
      <c r="FH25" t="s">
        <v>7246</v>
      </c>
      <c r="FI25" t="s">
        <v>24</v>
      </c>
      <c r="FJ25" t="s">
        <v>24</v>
      </c>
      <c r="FK25" t="s">
        <v>24</v>
      </c>
      <c r="FM25" t="s">
        <v>13270</v>
      </c>
      <c r="FN25" t="s">
        <v>13271</v>
      </c>
      <c r="FP25" t="s">
        <v>13272</v>
      </c>
      <c r="FQ25" t="s">
        <v>11241</v>
      </c>
      <c r="FR25" t="s">
        <v>11241</v>
      </c>
      <c r="FS25" t="s">
        <v>7250</v>
      </c>
      <c r="FT25">
        <v>2009</v>
      </c>
      <c r="FX25">
        <v>614</v>
      </c>
      <c r="FY25" t="s">
        <v>9164</v>
      </c>
      <c r="FZ25">
        <v>6.28</v>
      </c>
      <c r="GA25">
        <v>2922.32</v>
      </c>
      <c r="GB25">
        <v>250</v>
      </c>
      <c r="GC25">
        <v>65.760000000000005</v>
      </c>
      <c r="GD25">
        <v>250</v>
      </c>
      <c r="GH25" t="s">
        <v>13273</v>
      </c>
      <c r="GI25" t="s">
        <v>9165</v>
      </c>
      <c r="GK25" t="s">
        <v>2969</v>
      </c>
      <c r="GL25" t="s">
        <v>13274</v>
      </c>
      <c r="GN25" t="s">
        <v>2969</v>
      </c>
      <c r="GO25" t="s">
        <v>9165</v>
      </c>
      <c r="GU25" t="s">
        <v>13275</v>
      </c>
    </row>
    <row r="26" spans="1:203" customFormat="1" x14ac:dyDescent="0.35">
      <c r="A26" t="s">
        <v>25582</v>
      </c>
      <c r="B26" t="s">
        <v>25583</v>
      </c>
      <c r="C26" t="s">
        <v>24</v>
      </c>
      <c r="D26" t="s">
        <v>354</v>
      </c>
      <c r="E26">
        <v>-35.327032348662698</v>
      </c>
      <c r="F26">
        <v>149.17134048020901</v>
      </c>
      <c r="G26">
        <v>1.2500000000000001E-2</v>
      </c>
      <c r="H26">
        <v>1</v>
      </c>
      <c r="I26">
        <v>0.36499999999999999</v>
      </c>
      <c r="J26" t="s">
        <v>25408</v>
      </c>
      <c r="K26" t="s">
        <v>25394</v>
      </c>
      <c r="N26" t="s">
        <v>25584</v>
      </c>
      <c r="O26">
        <v>390000</v>
      </c>
      <c r="P26" t="s">
        <v>25113</v>
      </c>
      <c r="Q26" t="s">
        <v>25585</v>
      </c>
      <c r="R26">
        <v>2023</v>
      </c>
      <c r="S26" t="s">
        <v>22295</v>
      </c>
      <c r="V26" t="s">
        <v>26207</v>
      </c>
      <c r="W26" t="s">
        <v>25234</v>
      </c>
      <c r="X26" t="s">
        <v>25586</v>
      </c>
      <c r="FG26" t="s">
        <v>13282</v>
      </c>
      <c r="FH26" t="s">
        <v>7246</v>
      </c>
      <c r="FI26" t="s">
        <v>24</v>
      </c>
      <c r="FJ26" t="s">
        <v>24</v>
      </c>
      <c r="FK26" t="s">
        <v>24</v>
      </c>
      <c r="FM26" t="s">
        <v>13283</v>
      </c>
      <c r="FN26" t="s">
        <v>13284</v>
      </c>
      <c r="FP26" t="s">
        <v>13285</v>
      </c>
      <c r="FQ26" t="s">
        <v>9163</v>
      </c>
      <c r="FR26" t="s">
        <v>9163</v>
      </c>
      <c r="FS26" t="s">
        <v>7250</v>
      </c>
      <c r="FT26">
        <v>1996</v>
      </c>
      <c r="FX26">
        <v>404</v>
      </c>
      <c r="FY26" t="s">
        <v>9164</v>
      </c>
      <c r="FZ26">
        <v>4.13</v>
      </c>
      <c r="GA26">
        <v>1922.83</v>
      </c>
      <c r="GB26">
        <v>937</v>
      </c>
      <c r="GC26">
        <v>928.83</v>
      </c>
      <c r="GD26">
        <v>937</v>
      </c>
      <c r="GG26" t="s">
        <v>13286</v>
      </c>
      <c r="GH26" t="s">
        <v>12820</v>
      </c>
      <c r="GI26" t="s">
        <v>9165</v>
      </c>
      <c r="GK26" t="s">
        <v>2973</v>
      </c>
      <c r="GL26" t="s">
        <v>13040</v>
      </c>
      <c r="GN26" t="s">
        <v>2973</v>
      </c>
      <c r="GO26" t="s">
        <v>9165</v>
      </c>
      <c r="GU26" t="s">
        <v>13287</v>
      </c>
    </row>
    <row r="27" spans="1:203" customFormat="1" x14ac:dyDescent="0.35">
      <c r="A27" t="s">
        <v>25587</v>
      </c>
      <c r="B27" t="s">
        <v>25588</v>
      </c>
      <c r="C27" t="s">
        <v>24</v>
      </c>
      <c r="D27" t="s">
        <v>354</v>
      </c>
      <c r="E27">
        <v>-33.3470500539322</v>
      </c>
      <c r="F27">
        <v>138.210310851532</v>
      </c>
      <c r="G27">
        <v>50</v>
      </c>
      <c r="H27">
        <v>20000</v>
      </c>
      <c r="I27">
        <v>7300</v>
      </c>
      <c r="J27" t="s">
        <v>502</v>
      </c>
      <c r="K27" t="s">
        <v>25452</v>
      </c>
      <c r="L27">
        <v>300</v>
      </c>
      <c r="N27">
        <v>600000000</v>
      </c>
      <c r="O27">
        <v>600000000</v>
      </c>
      <c r="P27" t="s">
        <v>6424</v>
      </c>
      <c r="Q27" t="s">
        <v>25589</v>
      </c>
      <c r="R27">
        <v>2024</v>
      </c>
      <c r="S27" t="s">
        <v>22295</v>
      </c>
      <c r="V27" t="s">
        <v>26207</v>
      </c>
      <c r="W27" t="s">
        <v>25590</v>
      </c>
      <c r="X27" t="s">
        <v>25591</v>
      </c>
      <c r="FG27" t="s">
        <v>13304</v>
      </c>
      <c r="FH27" t="s">
        <v>7246</v>
      </c>
      <c r="FI27" t="s">
        <v>24</v>
      </c>
      <c r="FJ27" t="s">
        <v>24</v>
      </c>
      <c r="FK27" t="s">
        <v>24</v>
      </c>
      <c r="FM27" t="s">
        <v>13305</v>
      </c>
      <c r="FN27" t="s">
        <v>13306</v>
      </c>
      <c r="FQ27" t="s">
        <v>13307</v>
      </c>
      <c r="FR27" t="s">
        <v>13307</v>
      </c>
      <c r="FS27" t="s">
        <v>7250</v>
      </c>
      <c r="FT27">
        <v>2004</v>
      </c>
      <c r="FX27">
        <v>142</v>
      </c>
      <c r="FY27" t="s">
        <v>9164</v>
      </c>
      <c r="FZ27">
        <v>1.45</v>
      </c>
      <c r="GA27">
        <v>675.85</v>
      </c>
      <c r="GB27">
        <v>87</v>
      </c>
      <c r="GC27">
        <v>87.09</v>
      </c>
      <c r="GD27">
        <v>87</v>
      </c>
      <c r="GG27" t="s">
        <v>10741</v>
      </c>
      <c r="GH27" t="s">
        <v>13308</v>
      </c>
      <c r="GI27" t="s">
        <v>9165</v>
      </c>
      <c r="GK27" t="s">
        <v>2973</v>
      </c>
      <c r="GL27" t="s">
        <v>13040</v>
      </c>
      <c r="GN27" t="s">
        <v>2973</v>
      </c>
      <c r="GO27" t="s">
        <v>9165</v>
      </c>
      <c r="GU27" t="s">
        <v>13309</v>
      </c>
    </row>
    <row r="28" spans="1:203" customFormat="1" x14ac:dyDescent="0.35">
      <c r="A28" t="s">
        <v>25592</v>
      </c>
      <c r="B28" t="s">
        <v>25593</v>
      </c>
      <c r="C28" t="s">
        <v>24</v>
      </c>
      <c r="D28" t="s">
        <v>354</v>
      </c>
      <c r="E28">
        <v>-30.746050952760701</v>
      </c>
      <c r="F28">
        <v>150.72637614356199</v>
      </c>
      <c r="J28" t="s">
        <v>502</v>
      </c>
      <c r="K28" t="s">
        <v>25394</v>
      </c>
      <c r="L28">
        <v>5</v>
      </c>
      <c r="N28" t="s">
        <v>25594</v>
      </c>
      <c r="O28">
        <v>4745000</v>
      </c>
      <c r="P28" t="s">
        <v>25436</v>
      </c>
      <c r="Q28" t="s">
        <v>25595</v>
      </c>
      <c r="R28">
        <v>2023</v>
      </c>
      <c r="S28" t="s">
        <v>22295</v>
      </c>
      <c r="V28" t="s">
        <v>26207</v>
      </c>
      <c r="W28" t="s">
        <v>25596</v>
      </c>
      <c r="X28" t="s">
        <v>25597</v>
      </c>
      <c r="FG28" t="s">
        <v>17186</v>
      </c>
      <c r="FH28" t="s">
        <v>7246</v>
      </c>
      <c r="FI28" t="s">
        <v>24</v>
      </c>
      <c r="FJ28" t="s">
        <v>24</v>
      </c>
      <c r="FK28" t="s">
        <v>24</v>
      </c>
      <c r="FM28" t="s">
        <v>17187</v>
      </c>
      <c r="FN28" t="s">
        <v>17188</v>
      </c>
      <c r="FQ28" t="s">
        <v>17189</v>
      </c>
      <c r="FR28" t="s">
        <v>17189</v>
      </c>
      <c r="FS28" t="s">
        <v>7731</v>
      </c>
      <c r="FZ28" t="s">
        <v>6546</v>
      </c>
      <c r="GA28" t="s">
        <v>6546</v>
      </c>
      <c r="GB28">
        <v>200</v>
      </c>
      <c r="GC28">
        <v>221.51</v>
      </c>
      <c r="GD28">
        <v>200</v>
      </c>
      <c r="GG28" t="s">
        <v>17190</v>
      </c>
      <c r="GI28" t="s">
        <v>9165</v>
      </c>
      <c r="GK28" t="s">
        <v>2973</v>
      </c>
      <c r="GL28" t="s">
        <v>17191</v>
      </c>
      <c r="GN28" t="s">
        <v>2973</v>
      </c>
      <c r="GO28" t="s">
        <v>9165</v>
      </c>
      <c r="GU28" t="s">
        <v>17192</v>
      </c>
    </row>
    <row r="29" spans="1:203" customFormat="1" x14ac:dyDescent="0.35">
      <c r="A29" t="s">
        <v>25598</v>
      </c>
      <c r="B29" t="s">
        <v>17251</v>
      </c>
      <c r="C29" t="s">
        <v>24</v>
      </c>
      <c r="D29" t="s">
        <v>354</v>
      </c>
      <c r="E29">
        <v>-41.097482943074702</v>
      </c>
      <c r="F29">
        <v>146.816268062142</v>
      </c>
      <c r="H29">
        <v>1490</v>
      </c>
      <c r="I29">
        <v>543.85</v>
      </c>
      <c r="J29" t="s">
        <v>25408</v>
      </c>
      <c r="K29" t="s">
        <v>25394</v>
      </c>
      <c r="L29">
        <v>5</v>
      </c>
      <c r="N29" t="s">
        <v>25599</v>
      </c>
      <c r="O29">
        <v>3575000</v>
      </c>
      <c r="P29" t="s">
        <v>583</v>
      </c>
      <c r="Q29" t="s">
        <v>25600</v>
      </c>
      <c r="R29">
        <v>2022</v>
      </c>
      <c r="S29" t="s">
        <v>22295</v>
      </c>
      <c r="V29" t="s">
        <v>6422</v>
      </c>
      <c r="W29" t="s">
        <v>25601</v>
      </c>
      <c r="X29" t="s">
        <v>25602</v>
      </c>
      <c r="FG29" t="s">
        <v>17193</v>
      </c>
      <c r="FH29" t="s">
        <v>7246</v>
      </c>
      <c r="FI29" t="s">
        <v>24</v>
      </c>
      <c r="FJ29" t="s">
        <v>24</v>
      </c>
      <c r="FK29" t="s">
        <v>24</v>
      </c>
      <c r="FM29" t="s">
        <v>17194</v>
      </c>
      <c r="FN29" t="s">
        <v>17195</v>
      </c>
      <c r="FQ29" t="s">
        <v>9163</v>
      </c>
      <c r="FR29" t="s">
        <v>9163</v>
      </c>
      <c r="FS29" t="s">
        <v>7415</v>
      </c>
      <c r="FT29">
        <v>2022</v>
      </c>
      <c r="FZ29" t="s">
        <v>6546</v>
      </c>
      <c r="GA29" t="s">
        <v>6546</v>
      </c>
      <c r="GB29">
        <v>580</v>
      </c>
      <c r="GC29">
        <v>579.14</v>
      </c>
      <c r="GD29">
        <v>580</v>
      </c>
      <c r="GE29">
        <v>300</v>
      </c>
      <c r="GF29" t="s">
        <v>8842</v>
      </c>
      <c r="GI29" t="s">
        <v>9165</v>
      </c>
      <c r="GK29" t="s">
        <v>6388</v>
      </c>
      <c r="GN29" t="s">
        <v>6388</v>
      </c>
      <c r="GO29" t="s">
        <v>9165</v>
      </c>
      <c r="GU29" t="s">
        <v>17196</v>
      </c>
    </row>
    <row r="30" spans="1:203" customFormat="1" x14ac:dyDescent="0.35">
      <c r="A30" t="s">
        <v>25603</v>
      </c>
      <c r="B30" t="s">
        <v>2973</v>
      </c>
      <c r="C30" t="s">
        <v>24</v>
      </c>
      <c r="D30" t="s">
        <v>354</v>
      </c>
      <c r="E30">
        <v>-19.259024644095799</v>
      </c>
      <c r="F30">
        <v>146.81706561974201</v>
      </c>
      <c r="J30" t="s">
        <v>502</v>
      </c>
      <c r="P30" t="s">
        <v>583</v>
      </c>
      <c r="Q30" t="s">
        <v>25604</v>
      </c>
      <c r="R30">
        <v>2024</v>
      </c>
      <c r="S30" t="s">
        <v>22295</v>
      </c>
      <c r="V30" t="s">
        <v>26207</v>
      </c>
      <c r="W30" t="s">
        <v>25605</v>
      </c>
      <c r="X30" t="s">
        <v>25606</v>
      </c>
      <c r="FG30" t="s">
        <v>17197</v>
      </c>
      <c r="FH30" t="s">
        <v>7246</v>
      </c>
      <c r="FI30" t="s">
        <v>24</v>
      </c>
      <c r="FJ30" t="s">
        <v>24</v>
      </c>
      <c r="FK30" t="s">
        <v>24</v>
      </c>
      <c r="FM30" t="s">
        <v>17198</v>
      </c>
      <c r="FN30" t="s">
        <v>17199</v>
      </c>
      <c r="FQ30" t="s">
        <v>17200</v>
      </c>
      <c r="FR30" t="s">
        <v>17200</v>
      </c>
      <c r="FS30" t="s">
        <v>7292</v>
      </c>
      <c r="FZ30" t="s">
        <v>6546</v>
      </c>
      <c r="GA30" t="s">
        <v>6546</v>
      </c>
      <c r="GB30" t="s">
        <v>6546</v>
      </c>
      <c r="GC30">
        <v>311.77</v>
      </c>
      <c r="GD30">
        <v>311.77</v>
      </c>
      <c r="GG30" t="s">
        <v>17201</v>
      </c>
      <c r="GI30" t="s">
        <v>9165</v>
      </c>
      <c r="GK30" t="s">
        <v>6388</v>
      </c>
      <c r="GN30" t="s">
        <v>6388</v>
      </c>
      <c r="GO30" t="s">
        <v>9165</v>
      </c>
      <c r="GU30" t="s">
        <v>17202</v>
      </c>
    </row>
    <row r="31" spans="1:203" customFormat="1" x14ac:dyDescent="0.35">
      <c r="A31" t="s">
        <v>25607</v>
      </c>
      <c r="B31" t="s">
        <v>17251</v>
      </c>
      <c r="C31" t="s">
        <v>24</v>
      </c>
      <c r="D31" t="s">
        <v>354</v>
      </c>
      <c r="E31">
        <v>-41.393067835326001</v>
      </c>
      <c r="F31">
        <v>147.123345663614</v>
      </c>
      <c r="H31">
        <v>288</v>
      </c>
      <c r="I31">
        <v>105.12</v>
      </c>
      <c r="J31" t="s">
        <v>25399</v>
      </c>
      <c r="K31" t="s">
        <v>25422</v>
      </c>
      <c r="P31" t="s">
        <v>25436</v>
      </c>
      <c r="Q31" t="s">
        <v>25608</v>
      </c>
      <c r="R31">
        <v>2024</v>
      </c>
      <c r="S31" t="s">
        <v>22295</v>
      </c>
      <c r="V31" t="s">
        <v>26207</v>
      </c>
      <c r="W31" t="s">
        <v>25609</v>
      </c>
      <c r="X31" t="s">
        <v>25610</v>
      </c>
      <c r="FG31" t="s">
        <v>17203</v>
      </c>
      <c r="FH31" t="s">
        <v>7246</v>
      </c>
      <c r="FI31" t="s">
        <v>24</v>
      </c>
      <c r="FJ31" t="s">
        <v>24</v>
      </c>
      <c r="FK31" t="s">
        <v>24</v>
      </c>
      <c r="FM31" t="s">
        <v>17204</v>
      </c>
      <c r="FN31" t="s">
        <v>17205</v>
      </c>
      <c r="FQ31" t="s">
        <v>17206</v>
      </c>
      <c r="FR31" t="s">
        <v>17206</v>
      </c>
      <c r="FS31" t="s">
        <v>7292</v>
      </c>
      <c r="FT31">
        <v>2024</v>
      </c>
      <c r="FX31">
        <v>87</v>
      </c>
      <c r="FY31" t="s">
        <v>9164</v>
      </c>
      <c r="FZ31">
        <v>0.89</v>
      </c>
      <c r="GA31">
        <v>414.07</v>
      </c>
      <c r="GB31">
        <v>120</v>
      </c>
      <c r="GC31">
        <v>92.12</v>
      </c>
      <c r="GD31">
        <v>120</v>
      </c>
      <c r="GG31" t="s">
        <v>17207</v>
      </c>
      <c r="GI31" t="s">
        <v>9165</v>
      </c>
      <c r="GK31" t="s">
        <v>6388</v>
      </c>
      <c r="GN31" t="s">
        <v>6388</v>
      </c>
      <c r="GO31" t="s">
        <v>9165</v>
      </c>
      <c r="GU31" t="s">
        <v>17208</v>
      </c>
    </row>
    <row r="32" spans="1:203" customFormat="1" x14ac:dyDescent="0.35">
      <c r="A32" t="s">
        <v>25774</v>
      </c>
      <c r="B32" t="s">
        <v>25775</v>
      </c>
      <c r="C32" t="s">
        <v>24</v>
      </c>
      <c r="D32" t="s">
        <v>354</v>
      </c>
      <c r="E32">
        <v>-11.421484762041599</v>
      </c>
      <c r="F32">
        <v>130.42451132875101</v>
      </c>
      <c r="H32">
        <v>273973</v>
      </c>
      <c r="I32">
        <v>100000.145</v>
      </c>
      <c r="J32" t="s">
        <v>502</v>
      </c>
      <c r="K32" t="s">
        <v>25394</v>
      </c>
      <c r="L32">
        <v>2800</v>
      </c>
      <c r="P32" t="s">
        <v>6424</v>
      </c>
      <c r="Q32" t="s">
        <v>25776</v>
      </c>
      <c r="R32">
        <v>2027</v>
      </c>
      <c r="S32" t="s">
        <v>25777</v>
      </c>
      <c r="V32" t="s">
        <v>25778</v>
      </c>
      <c r="W32" t="s">
        <v>25779</v>
      </c>
      <c r="X32" t="s">
        <v>25780</v>
      </c>
      <c r="FG32" t="s">
        <v>17209</v>
      </c>
      <c r="FH32" t="s">
        <v>7246</v>
      </c>
      <c r="FI32" t="s">
        <v>24</v>
      </c>
      <c r="FJ32" t="s">
        <v>24</v>
      </c>
      <c r="FK32" t="s">
        <v>24</v>
      </c>
      <c r="FM32" t="s">
        <v>17210</v>
      </c>
      <c r="FN32" t="s">
        <v>17211</v>
      </c>
      <c r="FQ32" t="s">
        <v>10589</v>
      </c>
      <c r="FR32" t="s">
        <v>10589</v>
      </c>
      <c r="FS32" t="s">
        <v>7250</v>
      </c>
      <c r="FT32">
        <v>2001</v>
      </c>
      <c r="FZ32" t="s">
        <v>6546</v>
      </c>
      <c r="GA32" t="s">
        <v>6546</v>
      </c>
      <c r="GB32">
        <v>85</v>
      </c>
      <c r="GC32">
        <v>80.180000000000007</v>
      </c>
      <c r="GD32">
        <v>85</v>
      </c>
      <c r="GI32" t="s">
        <v>9165</v>
      </c>
      <c r="GK32" t="s">
        <v>6388</v>
      </c>
      <c r="GN32" t="s">
        <v>6388</v>
      </c>
      <c r="GO32" t="s">
        <v>9165</v>
      </c>
      <c r="GU32" t="s">
        <v>17212</v>
      </c>
    </row>
    <row r="33" spans="1:203" customFormat="1" x14ac:dyDescent="0.35">
      <c r="A33" t="s">
        <v>25781</v>
      </c>
      <c r="B33" t="s">
        <v>25782</v>
      </c>
      <c r="C33" t="s">
        <v>24</v>
      </c>
      <c r="D33" t="s">
        <v>354</v>
      </c>
      <c r="E33">
        <v>-31.901651268039899</v>
      </c>
      <c r="F33">
        <v>126.612904646659</v>
      </c>
      <c r="H33">
        <v>9589041</v>
      </c>
      <c r="I33">
        <v>3499999.9649999999</v>
      </c>
      <c r="J33" t="s">
        <v>502</v>
      </c>
      <c r="K33" t="s">
        <v>25783</v>
      </c>
      <c r="L33">
        <v>50000</v>
      </c>
      <c r="N33" t="s">
        <v>25784</v>
      </c>
      <c r="O33">
        <v>65000000000</v>
      </c>
      <c r="P33" t="s">
        <v>6424</v>
      </c>
      <c r="Q33" t="s">
        <v>25785</v>
      </c>
      <c r="R33">
        <v>2030</v>
      </c>
      <c r="S33" t="s">
        <v>25777</v>
      </c>
      <c r="V33" t="s">
        <v>25786</v>
      </c>
      <c r="W33" t="s">
        <v>25787</v>
      </c>
      <c r="X33" t="s">
        <v>25788</v>
      </c>
      <c r="FG33" t="s">
        <v>17244</v>
      </c>
      <c r="FH33" t="s">
        <v>7246</v>
      </c>
      <c r="FI33" t="s">
        <v>24</v>
      </c>
      <c r="FJ33" t="s">
        <v>24</v>
      </c>
      <c r="FK33" t="s">
        <v>24</v>
      </c>
      <c r="FM33" t="s">
        <v>17245</v>
      </c>
      <c r="FN33" t="s">
        <v>17246</v>
      </c>
      <c r="FP33" t="s">
        <v>17247</v>
      </c>
      <c r="FQ33" t="s">
        <v>10740</v>
      </c>
      <c r="FR33" t="s">
        <v>10740</v>
      </c>
      <c r="FS33" t="s">
        <v>7250</v>
      </c>
      <c r="FT33">
        <v>2002</v>
      </c>
      <c r="FX33">
        <v>129</v>
      </c>
      <c r="FY33" t="s">
        <v>9164</v>
      </c>
      <c r="FZ33">
        <v>1.32</v>
      </c>
      <c r="GA33">
        <v>613.97</v>
      </c>
      <c r="GB33">
        <v>734</v>
      </c>
      <c r="GC33">
        <v>664.81</v>
      </c>
      <c r="GD33">
        <v>734</v>
      </c>
      <c r="GG33" t="s">
        <v>17248</v>
      </c>
      <c r="GH33" t="s">
        <v>17249</v>
      </c>
      <c r="GI33" t="s">
        <v>9165</v>
      </c>
      <c r="GK33" t="s">
        <v>2969</v>
      </c>
      <c r="GL33" t="s">
        <v>17250</v>
      </c>
      <c r="GN33" t="s">
        <v>17251</v>
      </c>
      <c r="GO33" t="s">
        <v>9165</v>
      </c>
      <c r="GU33" t="s">
        <v>17252</v>
      </c>
    </row>
    <row r="34" spans="1:203" customFormat="1" x14ac:dyDescent="0.35">
      <c r="A34" t="s">
        <v>25789</v>
      </c>
      <c r="B34" t="s">
        <v>25790</v>
      </c>
      <c r="C34" t="s">
        <v>24</v>
      </c>
      <c r="D34" t="s">
        <v>354</v>
      </c>
      <c r="E34">
        <v>-27.618051616707099</v>
      </c>
      <c r="F34">
        <v>114.217961678945</v>
      </c>
      <c r="G34">
        <v>3000</v>
      </c>
      <c r="H34">
        <v>975342.46575342468</v>
      </c>
      <c r="I34">
        <v>356000</v>
      </c>
      <c r="J34" t="s">
        <v>502</v>
      </c>
      <c r="K34" t="s">
        <v>25783</v>
      </c>
      <c r="L34">
        <v>5200</v>
      </c>
      <c r="P34" t="s">
        <v>6424</v>
      </c>
      <c r="Q34" t="s">
        <v>25791</v>
      </c>
      <c r="R34" t="s">
        <v>4022</v>
      </c>
      <c r="S34" t="s">
        <v>25777</v>
      </c>
      <c r="T34" t="s">
        <v>1074</v>
      </c>
      <c r="V34" t="s">
        <v>25752</v>
      </c>
      <c r="W34" t="s">
        <v>25792</v>
      </c>
      <c r="X34" t="s">
        <v>25793</v>
      </c>
      <c r="FG34" t="s">
        <v>17253</v>
      </c>
      <c r="FH34" t="s">
        <v>7246</v>
      </c>
      <c r="FI34" t="s">
        <v>24</v>
      </c>
      <c r="FJ34" t="s">
        <v>24</v>
      </c>
      <c r="FK34" t="s">
        <v>24</v>
      </c>
      <c r="FM34" t="s">
        <v>17254</v>
      </c>
      <c r="FN34" t="s">
        <v>17255</v>
      </c>
      <c r="FQ34" t="s">
        <v>9163</v>
      </c>
      <c r="FR34" t="s">
        <v>9163</v>
      </c>
      <c r="FS34" t="s">
        <v>7250</v>
      </c>
      <c r="FT34">
        <v>2004</v>
      </c>
      <c r="FX34">
        <v>29</v>
      </c>
      <c r="FY34" t="s">
        <v>9164</v>
      </c>
      <c r="FZ34">
        <v>0.3</v>
      </c>
      <c r="GA34">
        <v>138.02000000000001</v>
      </c>
      <c r="GB34">
        <v>443</v>
      </c>
      <c r="GC34">
        <v>441.68</v>
      </c>
      <c r="GD34">
        <v>443</v>
      </c>
      <c r="GH34" t="s">
        <v>12997</v>
      </c>
      <c r="GI34" t="s">
        <v>9165</v>
      </c>
      <c r="GK34" t="s">
        <v>6388</v>
      </c>
      <c r="GL34" t="s">
        <v>17256</v>
      </c>
      <c r="GN34" t="s">
        <v>6388</v>
      </c>
      <c r="GO34" t="s">
        <v>9165</v>
      </c>
      <c r="GU34" t="s">
        <v>17257</v>
      </c>
    </row>
    <row r="35" spans="1:203" customFormat="1" x14ac:dyDescent="0.35">
      <c r="A35" t="s">
        <v>25794</v>
      </c>
      <c r="B35" t="s">
        <v>6461</v>
      </c>
      <c r="C35" t="s">
        <v>24</v>
      </c>
      <c r="D35" t="s">
        <v>354</v>
      </c>
      <c r="E35">
        <v>-31.649913418115698</v>
      </c>
      <c r="F35">
        <v>116.71249212435499</v>
      </c>
      <c r="G35">
        <v>10</v>
      </c>
      <c r="H35">
        <v>4400</v>
      </c>
      <c r="I35">
        <v>1606.0000000000002</v>
      </c>
      <c r="J35" t="s">
        <v>502</v>
      </c>
      <c r="K35" t="s">
        <v>25394</v>
      </c>
      <c r="L35">
        <v>10</v>
      </c>
      <c r="P35" t="s">
        <v>25795</v>
      </c>
      <c r="Q35" t="s">
        <v>25796</v>
      </c>
      <c r="R35">
        <v>2024</v>
      </c>
      <c r="S35" t="s">
        <v>25777</v>
      </c>
      <c r="V35" t="s">
        <v>25797</v>
      </c>
      <c r="W35" t="s">
        <v>25798</v>
      </c>
      <c r="X35" t="s">
        <v>25799</v>
      </c>
      <c r="FG35" t="s">
        <v>17258</v>
      </c>
      <c r="FH35" t="s">
        <v>7246</v>
      </c>
      <c r="FI35" t="s">
        <v>24</v>
      </c>
      <c r="FJ35" t="s">
        <v>24</v>
      </c>
      <c r="FK35" t="s">
        <v>24</v>
      </c>
      <c r="FM35" t="s">
        <v>17259</v>
      </c>
      <c r="FN35" t="s">
        <v>17260</v>
      </c>
      <c r="FP35" t="s">
        <v>17261</v>
      </c>
      <c r="FQ35" t="s">
        <v>17262</v>
      </c>
      <c r="FR35" t="s">
        <v>17262</v>
      </c>
      <c r="FS35" t="s">
        <v>7269</v>
      </c>
      <c r="FX35">
        <v>104.26</v>
      </c>
      <c r="FY35" t="s">
        <v>7251</v>
      </c>
      <c r="FZ35">
        <v>1.08</v>
      </c>
      <c r="GA35">
        <v>501.84</v>
      </c>
      <c r="GB35">
        <v>940</v>
      </c>
      <c r="GC35">
        <v>906.34</v>
      </c>
      <c r="GD35">
        <v>940</v>
      </c>
      <c r="GG35" t="s">
        <v>17263</v>
      </c>
      <c r="GH35" t="s">
        <v>17264</v>
      </c>
      <c r="GI35" t="s">
        <v>9165</v>
      </c>
      <c r="GK35" t="s">
        <v>10751</v>
      </c>
      <c r="GL35" t="s">
        <v>17265</v>
      </c>
      <c r="GN35" t="s">
        <v>10751</v>
      </c>
      <c r="GO35" t="s">
        <v>9165</v>
      </c>
      <c r="GU35" t="s">
        <v>17266</v>
      </c>
    </row>
    <row r="36" spans="1:203" customFormat="1" x14ac:dyDescent="0.35">
      <c r="A36" t="s">
        <v>25800</v>
      </c>
      <c r="B36" t="s">
        <v>25801</v>
      </c>
      <c r="C36" t="s">
        <v>24</v>
      </c>
      <c r="D36" t="s">
        <v>354</v>
      </c>
      <c r="E36">
        <v>-24.7506497471221</v>
      </c>
      <c r="F36">
        <v>113.635662353822</v>
      </c>
      <c r="H36">
        <v>821917.808219178</v>
      </c>
      <c r="I36">
        <v>300000</v>
      </c>
      <c r="J36" t="s">
        <v>502</v>
      </c>
      <c r="K36" t="s">
        <v>25447</v>
      </c>
      <c r="L36">
        <v>4000</v>
      </c>
      <c r="N36" t="s">
        <v>25584</v>
      </c>
      <c r="O36">
        <v>390000</v>
      </c>
      <c r="P36" t="s">
        <v>6424</v>
      </c>
      <c r="Q36" t="s">
        <v>25802</v>
      </c>
      <c r="R36" t="s">
        <v>4022</v>
      </c>
      <c r="S36" t="s">
        <v>25777</v>
      </c>
      <c r="T36" t="s">
        <v>1074</v>
      </c>
      <c r="V36" t="s">
        <v>25803</v>
      </c>
      <c r="W36" t="s">
        <v>25804</v>
      </c>
      <c r="X36" t="s">
        <v>25805</v>
      </c>
      <c r="FG36" t="s">
        <v>17267</v>
      </c>
      <c r="FH36" t="s">
        <v>7246</v>
      </c>
      <c r="FI36" t="s">
        <v>24</v>
      </c>
      <c r="FJ36" t="s">
        <v>24</v>
      </c>
      <c r="FK36" t="s">
        <v>24</v>
      </c>
      <c r="FM36" t="s">
        <v>17268</v>
      </c>
      <c r="FN36" t="s">
        <v>17269</v>
      </c>
      <c r="FP36" t="s">
        <v>17270</v>
      </c>
      <c r="FQ36" t="s">
        <v>11241</v>
      </c>
      <c r="FR36" t="s">
        <v>11241</v>
      </c>
      <c r="FS36" t="s">
        <v>7250</v>
      </c>
      <c r="FT36">
        <v>1992</v>
      </c>
      <c r="FX36">
        <v>30</v>
      </c>
      <c r="FY36" t="s">
        <v>9164</v>
      </c>
      <c r="FZ36">
        <v>0.31</v>
      </c>
      <c r="GA36">
        <v>142.78</v>
      </c>
      <c r="GB36">
        <v>87</v>
      </c>
      <c r="GC36">
        <v>107.95</v>
      </c>
      <c r="GD36">
        <v>87</v>
      </c>
      <c r="GG36" t="s">
        <v>17271</v>
      </c>
      <c r="GI36" t="s">
        <v>9165</v>
      </c>
      <c r="GK36" t="s">
        <v>6388</v>
      </c>
      <c r="GN36" t="s">
        <v>6388</v>
      </c>
      <c r="GO36" t="s">
        <v>9165</v>
      </c>
      <c r="GU36" t="s">
        <v>17272</v>
      </c>
    </row>
    <row r="37" spans="1:203" customFormat="1" x14ac:dyDescent="0.35">
      <c r="A37" t="s">
        <v>25806</v>
      </c>
      <c r="B37" t="s">
        <v>25807</v>
      </c>
      <c r="C37" t="s">
        <v>24</v>
      </c>
      <c r="D37" t="s">
        <v>354</v>
      </c>
      <c r="E37">
        <v>-15.7773648373424</v>
      </c>
      <c r="F37">
        <v>128.75226851615199</v>
      </c>
      <c r="J37" t="s">
        <v>502</v>
      </c>
      <c r="K37" t="s">
        <v>25630</v>
      </c>
      <c r="L37">
        <v>25</v>
      </c>
      <c r="N37" t="s">
        <v>25808</v>
      </c>
      <c r="O37">
        <v>240500</v>
      </c>
      <c r="P37" t="s">
        <v>6424</v>
      </c>
      <c r="Q37" t="s">
        <v>25809</v>
      </c>
      <c r="R37" t="s">
        <v>4022</v>
      </c>
      <c r="S37" t="s">
        <v>25777</v>
      </c>
      <c r="V37" t="s">
        <v>25797</v>
      </c>
      <c r="W37" t="s">
        <v>25810</v>
      </c>
      <c r="X37" t="s">
        <v>25811</v>
      </c>
      <c r="FG37" t="s">
        <v>17273</v>
      </c>
      <c r="FH37" t="s">
        <v>7246</v>
      </c>
      <c r="FI37" t="s">
        <v>24</v>
      </c>
      <c r="FJ37" t="s">
        <v>24</v>
      </c>
      <c r="FK37" t="s">
        <v>24</v>
      </c>
      <c r="FM37" t="s">
        <v>17274</v>
      </c>
      <c r="FN37" t="s">
        <v>17275</v>
      </c>
      <c r="FQ37" t="s">
        <v>10589</v>
      </c>
      <c r="FR37" t="s">
        <v>10589</v>
      </c>
      <c r="FS37" t="s">
        <v>7250</v>
      </c>
      <c r="FX37">
        <v>1030</v>
      </c>
      <c r="FY37" t="s">
        <v>9164</v>
      </c>
      <c r="FZ37">
        <v>10.53</v>
      </c>
      <c r="GA37">
        <v>4902.26</v>
      </c>
      <c r="GB37">
        <v>2035</v>
      </c>
      <c r="GC37">
        <v>2064.5</v>
      </c>
      <c r="GD37">
        <v>2035</v>
      </c>
      <c r="GI37" t="s">
        <v>9165</v>
      </c>
      <c r="GK37" t="s">
        <v>2969</v>
      </c>
      <c r="GN37" t="s">
        <v>2969</v>
      </c>
      <c r="GO37" t="s">
        <v>9165</v>
      </c>
      <c r="GU37" t="s">
        <v>17276</v>
      </c>
    </row>
    <row r="38" spans="1:203" customFormat="1" x14ac:dyDescent="0.35">
      <c r="A38" t="s">
        <v>25812</v>
      </c>
      <c r="B38" t="s">
        <v>17251</v>
      </c>
      <c r="C38" t="s">
        <v>24</v>
      </c>
      <c r="D38" t="s">
        <v>354</v>
      </c>
      <c r="E38">
        <v>-42.702228327403802</v>
      </c>
      <c r="F38">
        <v>147.23176331323501</v>
      </c>
      <c r="G38">
        <v>5</v>
      </c>
      <c r="H38">
        <v>2191.7808219178082</v>
      </c>
      <c r="I38">
        <v>800</v>
      </c>
      <c r="J38" t="s">
        <v>502</v>
      </c>
      <c r="K38" t="s">
        <v>25783</v>
      </c>
      <c r="N38" t="s">
        <v>25813</v>
      </c>
      <c r="O38">
        <v>39000000</v>
      </c>
      <c r="P38" t="s">
        <v>25113</v>
      </c>
      <c r="Q38" t="s">
        <v>25814</v>
      </c>
      <c r="R38" t="s">
        <v>4022</v>
      </c>
      <c r="S38" t="s">
        <v>25777</v>
      </c>
      <c r="V38" t="s">
        <v>25815</v>
      </c>
      <c r="W38" t="s">
        <v>25816</v>
      </c>
      <c r="X38" t="s">
        <v>25817</v>
      </c>
      <c r="FG38" t="s">
        <v>17277</v>
      </c>
      <c r="FH38" t="s">
        <v>7246</v>
      </c>
      <c r="FI38" t="s">
        <v>24</v>
      </c>
      <c r="FJ38" t="s">
        <v>24</v>
      </c>
      <c r="FK38" t="s">
        <v>24</v>
      </c>
      <c r="FM38" t="s">
        <v>17278</v>
      </c>
      <c r="FN38" t="s">
        <v>17279</v>
      </c>
      <c r="FP38" t="s">
        <v>17280</v>
      </c>
      <c r="FQ38" t="s">
        <v>10748</v>
      </c>
      <c r="FR38" t="s">
        <v>10749</v>
      </c>
      <c r="FS38" t="s">
        <v>7250</v>
      </c>
      <c r="FT38">
        <v>1990</v>
      </c>
      <c r="FX38">
        <v>149</v>
      </c>
      <c r="FY38" t="s">
        <v>9164</v>
      </c>
      <c r="FZ38">
        <v>1.52</v>
      </c>
      <c r="GA38">
        <v>709.16</v>
      </c>
      <c r="GB38">
        <v>629</v>
      </c>
      <c r="GC38">
        <v>655.28</v>
      </c>
      <c r="GD38">
        <v>629</v>
      </c>
      <c r="GH38" t="s">
        <v>17281</v>
      </c>
      <c r="GI38" t="s">
        <v>9165</v>
      </c>
      <c r="GK38" t="s">
        <v>2973</v>
      </c>
      <c r="GL38" t="s">
        <v>17282</v>
      </c>
      <c r="GN38" t="s">
        <v>2973</v>
      </c>
      <c r="GO38" t="s">
        <v>9165</v>
      </c>
      <c r="GU38" t="s">
        <v>17283</v>
      </c>
    </row>
    <row r="39" spans="1:203" customFormat="1" x14ac:dyDescent="0.35">
      <c r="A39" t="s">
        <v>25818</v>
      </c>
      <c r="B39" t="s">
        <v>17251</v>
      </c>
      <c r="C39" t="s">
        <v>24</v>
      </c>
      <c r="D39" t="s">
        <v>354</v>
      </c>
      <c r="E39">
        <v>-41.5429482997123</v>
      </c>
      <c r="F39">
        <v>147.210513053</v>
      </c>
      <c r="G39">
        <v>5</v>
      </c>
      <c r="H39">
        <v>2250</v>
      </c>
      <c r="I39">
        <v>821.25</v>
      </c>
      <c r="J39" t="s">
        <v>502</v>
      </c>
      <c r="P39" t="s">
        <v>583</v>
      </c>
      <c r="Q39" t="s">
        <v>25819</v>
      </c>
      <c r="R39" t="s">
        <v>4022</v>
      </c>
      <c r="S39" t="s">
        <v>25777</v>
      </c>
      <c r="V39" t="s">
        <v>25815</v>
      </c>
      <c r="W39" t="s">
        <v>25816</v>
      </c>
      <c r="X39" t="s">
        <v>25820</v>
      </c>
      <c r="FG39" t="s">
        <v>17284</v>
      </c>
      <c r="FH39" t="s">
        <v>7246</v>
      </c>
      <c r="FI39" t="s">
        <v>24</v>
      </c>
      <c r="FJ39" t="s">
        <v>24</v>
      </c>
      <c r="FK39" t="s">
        <v>24</v>
      </c>
      <c r="FM39" t="s">
        <v>17285</v>
      </c>
      <c r="FN39" t="s">
        <v>17286</v>
      </c>
      <c r="FP39" t="s">
        <v>17287</v>
      </c>
      <c r="FQ39" t="s">
        <v>6543</v>
      </c>
      <c r="FR39" t="s">
        <v>6543</v>
      </c>
      <c r="FS39" t="s">
        <v>7292</v>
      </c>
      <c r="FX39">
        <v>554.82000000000005</v>
      </c>
      <c r="FY39" t="s">
        <v>7251</v>
      </c>
      <c r="FZ39">
        <v>5.74</v>
      </c>
      <c r="GA39">
        <v>2670.53</v>
      </c>
      <c r="GB39">
        <v>2900</v>
      </c>
      <c r="GC39">
        <v>3060.49</v>
      </c>
      <c r="GD39">
        <v>2900</v>
      </c>
      <c r="GH39" t="s">
        <v>1103</v>
      </c>
      <c r="GI39" t="s">
        <v>9165</v>
      </c>
      <c r="GK39" t="s">
        <v>6388</v>
      </c>
      <c r="GL39" t="s">
        <v>12820</v>
      </c>
      <c r="GN39" t="s">
        <v>4129</v>
      </c>
      <c r="GO39" t="s">
        <v>9165</v>
      </c>
      <c r="GU39" t="s">
        <v>17288</v>
      </c>
    </row>
    <row r="40" spans="1:203" customFormat="1" x14ac:dyDescent="0.35">
      <c r="A40" t="s">
        <v>25821</v>
      </c>
      <c r="B40" t="s">
        <v>17251</v>
      </c>
      <c r="C40" t="s">
        <v>24</v>
      </c>
      <c r="D40" t="s">
        <v>354</v>
      </c>
      <c r="E40">
        <v>-41.517042236652998</v>
      </c>
      <c r="F40">
        <v>145.71646984565601</v>
      </c>
      <c r="G40">
        <v>250</v>
      </c>
      <c r="J40" t="s">
        <v>502</v>
      </c>
      <c r="M40">
        <v>260000</v>
      </c>
      <c r="P40" t="s">
        <v>1162</v>
      </c>
      <c r="Q40" t="s">
        <v>25822</v>
      </c>
      <c r="R40">
        <v>2026</v>
      </c>
      <c r="S40" t="s">
        <v>25777</v>
      </c>
      <c r="T40" t="s">
        <v>1162</v>
      </c>
      <c r="V40" t="s">
        <v>25823</v>
      </c>
      <c r="W40" t="s">
        <v>25824</v>
      </c>
      <c r="X40" t="s">
        <v>25825</v>
      </c>
      <c r="FG40" t="s">
        <v>17289</v>
      </c>
      <c r="FH40" t="s">
        <v>7246</v>
      </c>
      <c r="FI40" t="s">
        <v>24</v>
      </c>
      <c r="FJ40" t="s">
        <v>24</v>
      </c>
      <c r="FK40" t="s">
        <v>24</v>
      </c>
      <c r="FM40" t="s">
        <v>17290</v>
      </c>
      <c r="FN40" t="s">
        <v>17291</v>
      </c>
      <c r="FP40" t="s">
        <v>17292</v>
      </c>
      <c r="FQ40" t="s">
        <v>9163</v>
      </c>
      <c r="FR40" t="s">
        <v>9163</v>
      </c>
      <c r="FS40" t="s">
        <v>7292</v>
      </c>
      <c r="FT40">
        <v>2019</v>
      </c>
      <c r="FX40">
        <v>189.56</v>
      </c>
      <c r="FY40" t="s">
        <v>7251</v>
      </c>
      <c r="FZ40">
        <v>1.96</v>
      </c>
      <c r="GA40">
        <v>912.42</v>
      </c>
      <c r="GB40">
        <v>450</v>
      </c>
      <c r="GC40">
        <v>465.87</v>
      </c>
      <c r="GD40">
        <v>450</v>
      </c>
      <c r="GG40" t="s">
        <v>13039</v>
      </c>
      <c r="GH40" t="s">
        <v>17293</v>
      </c>
      <c r="GI40" t="s">
        <v>9165</v>
      </c>
      <c r="GK40" t="s">
        <v>4124</v>
      </c>
      <c r="GN40" t="s">
        <v>4124</v>
      </c>
      <c r="GO40" t="s">
        <v>9165</v>
      </c>
      <c r="GU40" t="s">
        <v>17294</v>
      </c>
    </row>
    <row r="41" spans="1:203" customFormat="1" x14ac:dyDescent="0.35">
      <c r="A41" t="s">
        <v>25826</v>
      </c>
      <c r="B41" t="s">
        <v>10750</v>
      </c>
      <c r="C41" t="s">
        <v>24</v>
      </c>
      <c r="D41" t="s">
        <v>354</v>
      </c>
      <c r="E41">
        <v>-19.6323828915327</v>
      </c>
      <c r="F41">
        <v>134.18584714674699</v>
      </c>
      <c r="G41">
        <v>10000</v>
      </c>
      <c r="H41">
        <v>54794.520547945205</v>
      </c>
      <c r="I41">
        <v>20000</v>
      </c>
      <c r="J41" t="s">
        <v>502</v>
      </c>
      <c r="K41" t="s">
        <v>25394</v>
      </c>
      <c r="M41">
        <v>20000000</v>
      </c>
      <c r="O41">
        <v>10750000000</v>
      </c>
      <c r="P41" t="s">
        <v>6424</v>
      </c>
      <c r="Q41" t="s">
        <v>25827</v>
      </c>
      <c r="R41" t="s">
        <v>4022</v>
      </c>
      <c r="S41" t="s">
        <v>25777</v>
      </c>
      <c r="V41" t="s">
        <v>25752</v>
      </c>
      <c r="W41" t="s">
        <v>25828</v>
      </c>
      <c r="X41" t="s">
        <v>25829</v>
      </c>
      <c r="FG41" t="s">
        <v>17295</v>
      </c>
      <c r="FH41" t="s">
        <v>7246</v>
      </c>
      <c r="FI41" t="s">
        <v>24</v>
      </c>
      <c r="FJ41" t="s">
        <v>24</v>
      </c>
      <c r="FK41" t="s">
        <v>24</v>
      </c>
      <c r="FM41" t="s">
        <v>17296</v>
      </c>
      <c r="FN41" t="s">
        <v>17297</v>
      </c>
      <c r="FQ41" t="s">
        <v>17298</v>
      </c>
      <c r="FR41" t="s">
        <v>17298</v>
      </c>
      <c r="FS41" t="s">
        <v>7250</v>
      </c>
      <c r="FT41">
        <v>2015</v>
      </c>
      <c r="FX41">
        <v>337</v>
      </c>
      <c r="FY41" t="s">
        <v>9164</v>
      </c>
      <c r="FZ41">
        <v>3.45</v>
      </c>
      <c r="GA41">
        <v>1603.94</v>
      </c>
      <c r="GB41">
        <v>123</v>
      </c>
      <c r="GC41">
        <v>222.45</v>
      </c>
      <c r="GD41">
        <v>123</v>
      </c>
      <c r="GH41" t="s">
        <v>12853</v>
      </c>
      <c r="GI41" t="s">
        <v>9165</v>
      </c>
      <c r="GK41" t="s">
        <v>6388</v>
      </c>
      <c r="GN41" t="s">
        <v>6388</v>
      </c>
      <c r="GO41" t="s">
        <v>9165</v>
      </c>
      <c r="GU41" t="s">
        <v>17299</v>
      </c>
    </row>
    <row r="42" spans="1:203" customFormat="1" x14ac:dyDescent="0.35">
      <c r="A42" t="s">
        <v>25830</v>
      </c>
      <c r="B42" t="s">
        <v>25831</v>
      </c>
      <c r="C42" t="s">
        <v>24</v>
      </c>
      <c r="D42" t="s">
        <v>354</v>
      </c>
      <c r="E42">
        <v>-20.746924031238802</v>
      </c>
      <c r="F42">
        <v>134.20690906796699</v>
      </c>
      <c r="G42">
        <v>10000</v>
      </c>
      <c r="H42">
        <v>1000000</v>
      </c>
      <c r="I42">
        <v>365000</v>
      </c>
      <c r="J42" t="s">
        <v>502</v>
      </c>
      <c r="K42" t="s">
        <v>25447</v>
      </c>
      <c r="O42">
        <v>10000000000</v>
      </c>
      <c r="P42" t="s">
        <v>25832</v>
      </c>
      <c r="R42" t="s">
        <v>4022</v>
      </c>
      <c r="S42" t="s">
        <v>25777</v>
      </c>
      <c r="T42" t="s">
        <v>25833</v>
      </c>
      <c r="V42" t="s">
        <v>25797</v>
      </c>
      <c r="W42" t="s">
        <v>25834</v>
      </c>
      <c r="X42" t="s">
        <v>25835</v>
      </c>
      <c r="FG42" t="s">
        <v>17307</v>
      </c>
      <c r="FH42" t="s">
        <v>7246</v>
      </c>
      <c r="FI42" t="s">
        <v>24</v>
      </c>
      <c r="FJ42" t="s">
        <v>24</v>
      </c>
      <c r="FK42" t="s">
        <v>24</v>
      </c>
      <c r="FM42" t="s">
        <v>17308</v>
      </c>
      <c r="FN42" t="s">
        <v>17309</v>
      </c>
      <c r="FQ42" t="s">
        <v>17310</v>
      </c>
      <c r="FR42" t="s">
        <v>17310</v>
      </c>
      <c r="FS42" t="s">
        <v>7250</v>
      </c>
      <c r="FT42">
        <v>2000</v>
      </c>
      <c r="FX42">
        <v>6.2</v>
      </c>
      <c r="FY42" t="s">
        <v>9164</v>
      </c>
      <c r="FZ42">
        <v>0.06</v>
      </c>
      <c r="GA42">
        <v>29.51</v>
      </c>
      <c r="GB42">
        <v>274</v>
      </c>
      <c r="GC42">
        <v>268.7</v>
      </c>
      <c r="GD42">
        <v>274</v>
      </c>
      <c r="GH42" t="s">
        <v>17311</v>
      </c>
      <c r="GI42" t="s">
        <v>9165</v>
      </c>
      <c r="GK42" t="s">
        <v>2973</v>
      </c>
      <c r="GL42" t="s">
        <v>17312</v>
      </c>
      <c r="GN42" t="s">
        <v>2973</v>
      </c>
      <c r="GO42" t="s">
        <v>9165</v>
      </c>
      <c r="GU42" t="s">
        <v>17313</v>
      </c>
    </row>
    <row r="43" spans="1:203" customFormat="1" x14ac:dyDescent="0.35">
      <c r="A43" t="s">
        <v>25836</v>
      </c>
      <c r="B43" t="s">
        <v>25837</v>
      </c>
      <c r="C43" t="s">
        <v>24</v>
      </c>
      <c r="D43" t="s">
        <v>354</v>
      </c>
      <c r="E43">
        <v>-32.9012484703699</v>
      </c>
      <c r="F43">
        <v>115.818488402933</v>
      </c>
      <c r="G43">
        <v>36</v>
      </c>
      <c r="H43">
        <v>13424.657534246575</v>
      </c>
      <c r="I43">
        <v>4900</v>
      </c>
      <c r="J43" t="s">
        <v>502</v>
      </c>
      <c r="K43" t="s">
        <v>25394</v>
      </c>
      <c r="L43">
        <v>114</v>
      </c>
      <c r="P43" t="s">
        <v>25752</v>
      </c>
      <c r="Q43" t="s">
        <v>25838</v>
      </c>
      <c r="R43" t="s">
        <v>4022</v>
      </c>
      <c r="S43" t="s">
        <v>25777</v>
      </c>
      <c r="V43" t="s">
        <v>25839</v>
      </c>
      <c r="W43" t="s">
        <v>25840</v>
      </c>
      <c r="X43" t="s">
        <v>25841</v>
      </c>
      <c r="FG43" t="s">
        <v>17314</v>
      </c>
      <c r="FH43" t="s">
        <v>7246</v>
      </c>
      <c r="FI43" t="s">
        <v>24</v>
      </c>
      <c r="FJ43" t="s">
        <v>24</v>
      </c>
      <c r="FK43" t="s">
        <v>24</v>
      </c>
      <c r="FM43" t="s">
        <v>17315</v>
      </c>
      <c r="FN43" t="s">
        <v>17316</v>
      </c>
      <c r="FQ43" t="s">
        <v>17317</v>
      </c>
      <c r="FR43" t="s">
        <v>17317</v>
      </c>
      <c r="FS43" t="s">
        <v>7250</v>
      </c>
      <c r="FT43">
        <v>2006</v>
      </c>
      <c r="FX43">
        <v>103.31</v>
      </c>
      <c r="FY43" t="s">
        <v>7251</v>
      </c>
      <c r="FZ43">
        <v>1.07</v>
      </c>
      <c r="GA43">
        <v>497.27</v>
      </c>
      <c r="GB43">
        <v>46</v>
      </c>
      <c r="GC43">
        <v>27.51</v>
      </c>
      <c r="GD43">
        <v>46</v>
      </c>
      <c r="GG43" t="s">
        <v>17318</v>
      </c>
      <c r="GI43" t="s">
        <v>9165</v>
      </c>
      <c r="GK43" t="s">
        <v>2969</v>
      </c>
      <c r="GL43" t="s">
        <v>17319</v>
      </c>
      <c r="GN43" t="s">
        <v>2969</v>
      </c>
      <c r="GO43" t="s">
        <v>9165</v>
      </c>
      <c r="GU43" t="s">
        <v>17320</v>
      </c>
    </row>
    <row r="44" spans="1:203" customFormat="1" x14ac:dyDescent="0.35">
      <c r="A44" t="s">
        <v>25842</v>
      </c>
      <c r="B44" t="s">
        <v>6461</v>
      </c>
      <c r="C44" t="s">
        <v>24</v>
      </c>
      <c r="D44" t="s">
        <v>354</v>
      </c>
      <c r="E44">
        <v>-32.255032652002903</v>
      </c>
      <c r="F44">
        <v>115.76985692378101</v>
      </c>
      <c r="H44">
        <v>480000</v>
      </c>
      <c r="I44">
        <v>985500</v>
      </c>
      <c r="J44" t="s">
        <v>25843</v>
      </c>
      <c r="K44" t="s">
        <v>25844</v>
      </c>
      <c r="P44" t="s">
        <v>6424</v>
      </c>
      <c r="Q44" t="s">
        <v>25845</v>
      </c>
      <c r="R44" t="s">
        <v>4022</v>
      </c>
      <c r="S44" t="s">
        <v>25777</v>
      </c>
      <c r="T44" t="s">
        <v>25846</v>
      </c>
      <c r="V44" t="s">
        <v>25847</v>
      </c>
      <c r="W44" t="s">
        <v>25848</v>
      </c>
      <c r="X44" t="s">
        <v>25849</v>
      </c>
      <c r="FG44" t="s">
        <v>17321</v>
      </c>
      <c r="FH44" t="s">
        <v>7246</v>
      </c>
      <c r="FI44" t="s">
        <v>24</v>
      </c>
      <c r="FJ44" t="s">
        <v>24</v>
      </c>
      <c r="FK44" t="s">
        <v>24</v>
      </c>
      <c r="FM44" t="s">
        <v>17322</v>
      </c>
      <c r="FN44" t="s">
        <v>17323</v>
      </c>
      <c r="FP44" t="s">
        <v>17324</v>
      </c>
      <c r="FQ44" t="s">
        <v>17325</v>
      </c>
      <c r="FR44" t="s">
        <v>17325</v>
      </c>
      <c r="FS44" t="s">
        <v>7269</v>
      </c>
      <c r="FX44">
        <v>88.15</v>
      </c>
      <c r="FY44" t="s">
        <v>7251</v>
      </c>
      <c r="FZ44">
        <v>0.91</v>
      </c>
      <c r="GA44">
        <v>424.3</v>
      </c>
      <c r="GB44">
        <v>603</v>
      </c>
      <c r="GC44">
        <v>574.54999999999995</v>
      </c>
      <c r="GD44">
        <v>603</v>
      </c>
      <c r="GH44" t="s">
        <v>17326</v>
      </c>
      <c r="GI44" t="s">
        <v>9165</v>
      </c>
      <c r="GK44" t="s">
        <v>10751</v>
      </c>
      <c r="GL44" t="s">
        <v>17327</v>
      </c>
      <c r="GN44" t="s">
        <v>10751</v>
      </c>
      <c r="GO44" t="s">
        <v>9165</v>
      </c>
      <c r="GU44" t="s">
        <v>17328</v>
      </c>
    </row>
    <row r="45" spans="1:203" customFormat="1" x14ac:dyDescent="0.35">
      <c r="A45" t="s">
        <v>25850</v>
      </c>
      <c r="B45" t="s">
        <v>6461</v>
      </c>
      <c r="C45" t="s">
        <v>24</v>
      </c>
      <c r="D45" t="s">
        <v>354</v>
      </c>
      <c r="E45">
        <v>-32.240587013124198</v>
      </c>
      <c r="F45">
        <v>115.775092595166</v>
      </c>
      <c r="Q45" t="s">
        <v>25851</v>
      </c>
      <c r="R45" t="s">
        <v>4022</v>
      </c>
      <c r="S45" t="s">
        <v>25777</v>
      </c>
      <c r="U45" t="s">
        <v>12978</v>
      </c>
      <c r="V45" t="s">
        <v>25803</v>
      </c>
      <c r="W45" t="s">
        <v>25852</v>
      </c>
      <c r="X45" t="s">
        <v>25853</v>
      </c>
      <c r="FG45" t="s">
        <v>17329</v>
      </c>
      <c r="FH45" t="s">
        <v>7246</v>
      </c>
      <c r="FI45" t="s">
        <v>24</v>
      </c>
      <c r="FJ45" t="s">
        <v>24</v>
      </c>
      <c r="FK45" t="s">
        <v>24</v>
      </c>
      <c r="FM45" t="s">
        <v>17330</v>
      </c>
      <c r="FN45" t="s">
        <v>17331</v>
      </c>
      <c r="FQ45" t="s">
        <v>17332</v>
      </c>
      <c r="FR45" t="s">
        <v>17332</v>
      </c>
      <c r="FS45" t="s">
        <v>7250</v>
      </c>
      <c r="FT45">
        <v>1984</v>
      </c>
      <c r="FX45">
        <v>139</v>
      </c>
      <c r="FY45" t="s">
        <v>9164</v>
      </c>
      <c r="FZ45">
        <v>1.42</v>
      </c>
      <c r="GA45">
        <v>661.57</v>
      </c>
      <c r="GB45">
        <v>134</v>
      </c>
      <c r="GC45">
        <v>149.38999999999999</v>
      </c>
      <c r="GD45">
        <v>134</v>
      </c>
      <c r="GG45" t="s">
        <v>17333</v>
      </c>
      <c r="GH45" t="s">
        <v>10598</v>
      </c>
      <c r="GI45" t="s">
        <v>9165</v>
      </c>
      <c r="GL45" t="s">
        <v>17334</v>
      </c>
      <c r="GN45" t="s">
        <v>6388</v>
      </c>
      <c r="GO45" t="s">
        <v>9165</v>
      </c>
      <c r="GU45" t="s">
        <v>17335</v>
      </c>
    </row>
    <row r="46" spans="1:203" customFormat="1" x14ac:dyDescent="0.35">
      <c r="A46" t="s">
        <v>25854</v>
      </c>
      <c r="B46" t="s">
        <v>6461</v>
      </c>
      <c r="C46" t="s">
        <v>24</v>
      </c>
      <c r="D46" t="s">
        <v>354</v>
      </c>
      <c r="E46">
        <v>-32.223046283224797</v>
      </c>
      <c r="F46">
        <v>115.761993253895</v>
      </c>
      <c r="G46">
        <v>75</v>
      </c>
      <c r="J46" t="s">
        <v>502</v>
      </c>
      <c r="P46" t="s">
        <v>25855</v>
      </c>
      <c r="Q46" t="s">
        <v>25856</v>
      </c>
      <c r="R46" t="s">
        <v>4022</v>
      </c>
      <c r="S46" t="s">
        <v>25777</v>
      </c>
      <c r="V46" t="s">
        <v>25797</v>
      </c>
      <c r="W46" t="s">
        <v>25857</v>
      </c>
      <c r="X46" t="s">
        <v>25858</v>
      </c>
      <c r="FG46" t="s">
        <v>17374</v>
      </c>
      <c r="FH46" t="s">
        <v>7246</v>
      </c>
      <c r="FI46" t="s">
        <v>24</v>
      </c>
      <c r="FJ46" t="s">
        <v>24</v>
      </c>
      <c r="FK46" t="s">
        <v>24</v>
      </c>
      <c r="FM46" t="s">
        <v>17375</v>
      </c>
      <c r="FN46" t="s">
        <v>17376</v>
      </c>
      <c r="FQ46" t="s">
        <v>17377</v>
      </c>
      <c r="FR46" t="s">
        <v>17377</v>
      </c>
      <c r="FS46" t="s">
        <v>7250</v>
      </c>
      <c r="FT46">
        <v>2018</v>
      </c>
      <c r="FX46">
        <v>1600</v>
      </c>
      <c r="FY46" t="s">
        <v>7251</v>
      </c>
      <c r="FZ46">
        <v>16.55</v>
      </c>
      <c r="GA46">
        <v>7701.34</v>
      </c>
      <c r="GB46">
        <v>889</v>
      </c>
      <c r="GC46">
        <v>792.17</v>
      </c>
      <c r="GD46">
        <v>889</v>
      </c>
      <c r="GH46" t="s">
        <v>17378</v>
      </c>
      <c r="GI46" t="s">
        <v>9165</v>
      </c>
      <c r="GK46" t="s">
        <v>17379</v>
      </c>
      <c r="GL46" t="s">
        <v>6437</v>
      </c>
      <c r="GN46" t="s">
        <v>6388</v>
      </c>
      <c r="GO46" t="s">
        <v>9165</v>
      </c>
      <c r="GU46" t="s">
        <v>17380</v>
      </c>
    </row>
    <row r="47" spans="1:203" customFormat="1" x14ac:dyDescent="0.35">
      <c r="A47" t="s">
        <v>25859</v>
      </c>
      <c r="B47" t="s">
        <v>25860</v>
      </c>
      <c r="C47" t="s">
        <v>24</v>
      </c>
      <c r="D47" t="s">
        <v>354</v>
      </c>
      <c r="E47">
        <v>-32.1225160541034</v>
      </c>
      <c r="F47">
        <v>115.84140855802301</v>
      </c>
      <c r="G47">
        <v>1</v>
      </c>
      <c r="H47">
        <v>440</v>
      </c>
      <c r="I47">
        <v>160.6</v>
      </c>
      <c r="P47" t="s">
        <v>25477</v>
      </c>
      <c r="R47" t="s">
        <v>4022</v>
      </c>
      <c r="S47" t="s">
        <v>25777</v>
      </c>
      <c r="V47" t="s">
        <v>25797</v>
      </c>
      <c r="W47" t="s">
        <v>25861</v>
      </c>
      <c r="X47" t="s">
        <v>25862</v>
      </c>
      <c r="FG47" t="s">
        <v>17507</v>
      </c>
      <c r="FH47" t="s">
        <v>7246</v>
      </c>
      <c r="FI47" t="s">
        <v>24</v>
      </c>
      <c r="FJ47" t="s">
        <v>24</v>
      </c>
      <c r="FK47" t="s">
        <v>24</v>
      </c>
      <c r="FM47" t="s">
        <v>17508</v>
      </c>
      <c r="FN47" t="s">
        <v>17509</v>
      </c>
      <c r="FQ47" t="s">
        <v>17510</v>
      </c>
      <c r="FR47" t="s">
        <v>17510</v>
      </c>
      <c r="FS47" t="s">
        <v>7250</v>
      </c>
      <c r="FT47">
        <v>2005</v>
      </c>
      <c r="FX47">
        <v>464.7</v>
      </c>
      <c r="FY47" t="s">
        <v>7251</v>
      </c>
      <c r="FZ47">
        <v>4.8099999999999996</v>
      </c>
      <c r="GA47">
        <v>2236.7600000000002</v>
      </c>
      <c r="GB47">
        <v>500</v>
      </c>
      <c r="GC47">
        <v>502.57</v>
      </c>
      <c r="GD47">
        <v>500</v>
      </c>
      <c r="GG47" t="s">
        <v>17511</v>
      </c>
      <c r="GH47" t="s">
        <v>17264</v>
      </c>
      <c r="GI47" t="s">
        <v>9165</v>
      </c>
      <c r="GK47" t="s">
        <v>17512</v>
      </c>
      <c r="GL47" t="s">
        <v>6437</v>
      </c>
      <c r="GN47" t="s">
        <v>10751</v>
      </c>
      <c r="GO47" t="s">
        <v>9165</v>
      </c>
      <c r="GU47" t="s">
        <v>17513</v>
      </c>
    </row>
    <row r="48" spans="1:203" customFormat="1" x14ac:dyDescent="0.35">
      <c r="A48" t="s">
        <v>25863</v>
      </c>
      <c r="B48" t="s">
        <v>25864</v>
      </c>
      <c r="C48" t="s">
        <v>24</v>
      </c>
      <c r="D48" t="s">
        <v>354</v>
      </c>
      <c r="E48">
        <v>-32.1225160541034</v>
      </c>
      <c r="F48">
        <v>115.84140855802301</v>
      </c>
      <c r="P48" t="s">
        <v>1074</v>
      </c>
      <c r="R48" t="s">
        <v>4022</v>
      </c>
      <c r="S48" t="s">
        <v>25777</v>
      </c>
      <c r="V48" t="s">
        <v>25797</v>
      </c>
      <c r="W48" t="s">
        <v>25865</v>
      </c>
      <c r="X48" t="s">
        <v>25866</v>
      </c>
      <c r="FG48" t="s">
        <v>17514</v>
      </c>
      <c r="FH48" t="s">
        <v>7246</v>
      </c>
      <c r="FI48" t="s">
        <v>24</v>
      </c>
      <c r="FJ48" t="s">
        <v>24</v>
      </c>
      <c r="FK48" t="s">
        <v>24</v>
      </c>
      <c r="FM48" t="s">
        <v>17515</v>
      </c>
      <c r="FN48" t="s">
        <v>17516</v>
      </c>
      <c r="FQ48" t="s">
        <v>17517</v>
      </c>
      <c r="FR48" t="s">
        <v>17517</v>
      </c>
      <c r="FS48" t="s">
        <v>7250</v>
      </c>
      <c r="FT48">
        <v>1992</v>
      </c>
      <c r="FX48">
        <v>37.909999999999997</v>
      </c>
      <c r="FY48" t="s">
        <v>7251</v>
      </c>
      <c r="FZ48">
        <v>0.39</v>
      </c>
      <c r="GA48">
        <v>182.47</v>
      </c>
      <c r="GB48">
        <v>1.6</v>
      </c>
      <c r="GC48">
        <v>1.88</v>
      </c>
      <c r="GD48">
        <v>1.6</v>
      </c>
      <c r="GG48" t="s">
        <v>17518</v>
      </c>
      <c r="GI48" t="s">
        <v>9165</v>
      </c>
      <c r="GK48" t="s">
        <v>6388</v>
      </c>
      <c r="GL48" t="s">
        <v>17519</v>
      </c>
      <c r="GN48" t="s">
        <v>6388</v>
      </c>
      <c r="GO48" t="s">
        <v>9165</v>
      </c>
      <c r="GU48" t="s">
        <v>17520</v>
      </c>
    </row>
    <row r="49" spans="1:203" customFormat="1" x14ac:dyDescent="0.35">
      <c r="A49" t="s">
        <v>25867</v>
      </c>
      <c r="B49" t="s">
        <v>19162</v>
      </c>
      <c r="C49" t="s">
        <v>24</v>
      </c>
      <c r="D49" t="s">
        <v>354</v>
      </c>
      <c r="E49">
        <v>-20.7041125407425</v>
      </c>
      <c r="F49">
        <v>120.914345700902</v>
      </c>
      <c r="H49">
        <v>4383561.6438356163</v>
      </c>
      <c r="I49">
        <v>1600000</v>
      </c>
      <c r="J49" t="s">
        <v>502</v>
      </c>
      <c r="K49" t="s">
        <v>25783</v>
      </c>
      <c r="L49">
        <v>26000</v>
      </c>
      <c r="P49" t="s">
        <v>6424</v>
      </c>
      <c r="Q49" t="s">
        <v>25868</v>
      </c>
      <c r="R49" t="s">
        <v>4022</v>
      </c>
      <c r="S49" t="s">
        <v>25777</v>
      </c>
      <c r="V49" t="s">
        <v>25803</v>
      </c>
      <c r="W49" t="s">
        <v>25869</v>
      </c>
      <c r="X49" t="s">
        <v>25870</v>
      </c>
      <c r="FG49" t="s">
        <v>17642</v>
      </c>
      <c r="FH49" t="s">
        <v>7246</v>
      </c>
      <c r="FI49" t="s">
        <v>24</v>
      </c>
      <c r="FJ49" t="s">
        <v>24</v>
      </c>
      <c r="FK49" t="s">
        <v>24</v>
      </c>
      <c r="FM49" t="s">
        <v>17643</v>
      </c>
      <c r="FN49" t="s">
        <v>17644</v>
      </c>
      <c r="FQ49" t="s">
        <v>17645</v>
      </c>
      <c r="FR49" t="s">
        <v>17645</v>
      </c>
      <c r="FS49" t="s">
        <v>7250</v>
      </c>
      <c r="FT49">
        <v>2014</v>
      </c>
      <c r="FZ49" t="s">
        <v>6546</v>
      </c>
      <c r="GA49" t="s">
        <v>6546</v>
      </c>
      <c r="GB49">
        <v>540</v>
      </c>
      <c r="GC49">
        <v>656.86</v>
      </c>
      <c r="GD49">
        <v>540</v>
      </c>
      <c r="GE49">
        <v>42</v>
      </c>
      <c r="GF49" t="s">
        <v>7253</v>
      </c>
      <c r="GG49" t="s">
        <v>17646</v>
      </c>
      <c r="GI49" t="s">
        <v>9165</v>
      </c>
      <c r="GK49" t="s">
        <v>17647</v>
      </c>
      <c r="GL49" t="s">
        <v>17648</v>
      </c>
      <c r="GN49" t="s">
        <v>2973</v>
      </c>
      <c r="GO49" t="s">
        <v>9165</v>
      </c>
      <c r="GP49" t="s">
        <v>6407</v>
      </c>
      <c r="GQ49">
        <v>2010</v>
      </c>
      <c r="GU49" t="s">
        <v>17649</v>
      </c>
    </row>
    <row r="50" spans="1:203" customFormat="1" x14ac:dyDescent="0.35">
      <c r="A50" t="s">
        <v>25871</v>
      </c>
      <c r="B50" t="s">
        <v>6437</v>
      </c>
      <c r="C50" t="s">
        <v>24</v>
      </c>
      <c r="D50" t="s">
        <v>354</v>
      </c>
      <c r="E50">
        <v>-12.1821737194468</v>
      </c>
      <c r="F50">
        <v>130.87822496133899</v>
      </c>
      <c r="G50">
        <v>1000</v>
      </c>
      <c r="H50">
        <v>219178.08219178082</v>
      </c>
      <c r="I50">
        <v>80000</v>
      </c>
      <c r="J50" t="s">
        <v>502</v>
      </c>
      <c r="K50" t="s">
        <v>25394</v>
      </c>
      <c r="L50">
        <v>2000</v>
      </c>
      <c r="P50" t="s">
        <v>6424</v>
      </c>
      <c r="Q50" t="s">
        <v>25872</v>
      </c>
      <c r="R50" t="s">
        <v>4022</v>
      </c>
      <c r="S50" t="s">
        <v>25777</v>
      </c>
      <c r="V50" t="s">
        <v>25803</v>
      </c>
      <c r="W50" t="s">
        <v>2642</v>
      </c>
      <c r="X50" t="s">
        <v>25873</v>
      </c>
      <c r="FG50" t="s">
        <v>17650</v>
      </c>
      <c r="FH50" t="s">
        <v>7246</v>
      </c>
      <c r="FI50" t="s">
        <v>24</v>
      </c>
      <c r="FJ50" t="s">
        <v>24</v>
      </c>
      <c r="FK50" t="s">
        <v>24</v>
      </c>
      <c r="FM50" t="s">
        <v>17651</v>
      </c>
      <c r="FN50" t="s">
        <v>17652</v>
      </c>
      <c r="FQ50" t="s">
        <v>17310</v>
      </c>
      <c r="FR50" t="s">
        <v>17310</v>
      </c>
      <c r="FS50" t="s">
        <v>7250</v>
      </c>
      <c r="FT50">
        <v>2019</v>
      </c>
      <c r="FX50">
        <v>13</v>
      </c>
      <c r="FY50" t="s">
        <v>9164</v>
      </c>
      <c r="FZ50">
        <v>0.13</v>
      </c>
      <c r="GA50">
        <v>61.87</v>
      </c>
      <c r="GB50">
        <v>440</v>
      </c>
      <c r="GC50">
        <v>435.4</v>
      </c>
      <c r="GD50">
        <v>440</v>
      </c>
      <c r="GH50" t="s">
        <v>17653</v>
      </c>
      <c r="GI50" t="s">
        <v>9165</v>
      </c>
      <c r="GK50" t="s">
        <v>10751</v>
      </c>
      <c r="GL50" t="s">
        <v>17654</v>
      </c>
      <c r="GN50" t="s">
        <v>10751</v>
      </c>
      <c r="GO50" t="s">
        <v>9165</v>
      </c>
      <c r="GU50" t="s">
        <v>17655</v>
      </c>
    </row>
    <row r="51" spans="1:203" customFormat="1" x14ac:dyDescent="0.35">
      <c r="A51" t="s">
        <v>25874</v>
      </c>
      <c r="B51" t="s">
        <v>25875</v>
      </c>
      <c r="C51" t="s">
        <v>24</v>
      </c>
      <c r="D51" t="s">
        <v>354</v>
      </c>
      <c r="E51">
        <v>-34.104321036924098</v>
      </c>
      <c r="F51">
        <v>136.33814845857401</v>
      </c>
      <c r="G51">
        <v>5000</v>
      </c>
      <c r="H51">
        <v>2438356.1643835614</v>
      </c>
      <c r="I51">
        <v>890000</v>
      </c>
      <c r="J51" t="s">
        <v>502</v>
      </c>
      <c r="P51" t="s">
        <v>6424</v>
      </c>
      <c r="Q51" t="s">
        <v>25876</v>
      </c>
      <c r="R51">
        <v>2028</v>
      </c>
      <c r="S51" t="s">
        <v>25777</v>
      </c>
      <c r="T51" t="s">
        <v>1074</v>
      </c>
      <c r="V51" t="s">
        <v>25847</v>
      </c>
      <c r="W51" t="s">
        <v>25877</v>
      </c>
      <c r="X51" t="s">
        <v>25878</v>
      </c>
      <c r="FG51" t="s">
        <v>17915</v>
      </c>
      <c r="FH51" t="s">
        <v>7246</v>
      </c>
      <c r="FI51" t="s">
        <v>24</v>
      </c>
      <c r="FJ51" t="s">
        <v>24</v>
      </c>
      <c r="FK51" t="s">
        <v>24</v>
      </c>
      <c r="FM51" t="s">
        <v>17916</v>
      </c>
      <c r="FN51" t="s">
        <v>17917</v>
      </c>
      <c r="FQ51" t="s">
        <v>6543</v>
      </c>
      <c r="FR51" t="s">
        <v>6543</v>
      </c>
      <c r="FS51" t="s">
        <v>7250</v>
      </c>
      <c r="FT51">
        <v>1978</v>
      </c>
      <c r="FX51">
        <v>9</v>
      </c>
      <c r="FY51" t="s">
        <v>9164</v>
      </c>
      <c r="FZ51">
        <v>0.09</v>
      </c>
      <c r="GA51">
        <v>41.88</v>
      </c>
      <c r="GB51">
        <v>101</v>
      </c>
      <c r="GC51">
        <v>103.39</v>
      </c>
      <c r="GD51">
        <v>101</v>
      </c>
      <c r="GI51" t="s">
        <v>9165</v>
      </c>
      <c r="GO51" t="s">
        <v>9165</v>
      </c>
      <c r="GU51" t="s">
        <v>17918</v>
      </c>
    </row>
    <row r="52" spans="1:203" customFormat="1" x14ac:dyDescent="0.35">
      <c r="A52" t="s">
        <v>25879</v>
      </c>
      <c r="B52" t="s">
        <v>25880</v>
      </c>
      <c r="C52" t="s">
        <v>24</v>
      </c>
      <c r="D52" t="s">
        <v>354</v>
      </c>
      <c r="E52">
        <v>-32.179302549734601</v>
      </c>
      <c r="F52">
        <v>137.59712401651399</v>
      </c>
      <c r="G52">
        <v>10</v>
      </c>
      <c r="H52">
        <v>20547.945205479449</v>
      </c>
      <c r="I52">
        <v>7500</v>
      </c>
      <c r="J52" t="s">
        <v>25399</v>
      </c>
      <c r="K52" t="s">
        <v>25394</v>
      </c>
      <c r="L52">
        <v>30</v>
      </c>
      <c r="P52" t="s">
        <v>1162</v>
      </c>
      <c r="Q52" t="s">
        <v>25881</v>
      </c>
      <c r="R52" t="s">
        <v>4022</v>
      </c>
      <c r="S52" t="s">
        <v>25777</v>
      </c>
      <c r="T52" t="s">
        <v>1162</v>
      </c>
      <c r="V52" t="s">
        <v>25803</v>
      </c>
      <c r="W52" t="s">
        <v>25882</v>
      </c>
      <c r="X52" t="s">
        <v>25883</v>
      </c>
      <c r="FG52" t="s">
        <v>18187</v>
      </c>
      <c r="FH52" t="s">
        <v>7246</v>
      </c>
      <c r="FI52" t="s">
        <v>24</v>
      </c>
      <c r="FJ52" t="s">
        <v>24</v>
      </c>
      <c r="FK52" t="s">
        <v>24</v>
      </c>
      <c r="FM52" t="s">
        <v>18188</v>
      </c>
      <c r="FN52" t="s">
        <v>18189</v>
      </c>
      <c r="FQ52" t="s">
        <v>10589</v>
      </c>
      <c r="FR52" t="s">
        <v>10589</v>
      </c>
      <c r="FS52" t="s">
        <v>7250</v>
      </c>
      <c r="FT52">
        <v>2006</v>
      </c>
      <c r="FX52">
        <v>13</v>
      </c>
      <c r="FY52" t="s">
        <v>9164</v>
      </c>
      <c r="FZ52">
        <v>0.13</v>
      </c>
      <c r="GA52">
        <v>61.87</v>
      </c>
      <c r="GB52">
        <v>295</v>
      </c>
      <c r="GC52">
        <v>285.3</v>
      </c>
      <c r="GD52">
        <v>295</v>
      </c>
      <c r="GG52" t="s">
        <v>18190</v>
      </c>
      <c r="GH52" t="s">
        <v>18191</v>
      </c>
      <c r="GI52" t="s">
        <v>9165</v>
      </c>
      <c r="GL52" t="s">
        <v>18192</v>
      </c>
      <c r="GO52" t="s">
        <v>9165</v>
      </c>
      <c r="GU52" t="s">
        <v>18193</v>
      </c>
    </row>
    <row r="53" spans="1:203" customFormat="1" x14ac:dyDescent="0.35">
      <c r="A53" t="s">
        <v>25884</v>
      </c>
      <c r="B53" t="s">
        <v>4128</v>
      </c>
      <c r="C53" t="s">
        <v>24</v>
      </c>
      <c r="D53" t="s">
        <v>354</v>
      </c>
      <c r="E53">
        <v>-33.032678376096499</v>
      </c>
      <c r="F53">
        <v>137.58182507949101</v>
      </c>
      <c r="G53">
        <v>75</v>
      </c>
      <c r="H53">
        <v>27397.260273972603</v>
      </c>
      <c r="I53">
        <v>10000</v>
      </c>
      <c r="J53" t="s">
        <v>502</v>
      </c>
      <c r="N53" t="s">
        <v>25885</v>
      </c>
      <c r="O53">
        <v>156000000</v>
      </c>
      <c r="P53" t="s">
        <v>1074</v>
      </c>
      <c r="Q53" t="s">
        <v>25886</v>
      </c>
      <c r="R53" t="s">
        <v>4022</v>
      </c>
      <c r="S53" t="s">
        <v>25777</v>
      </c>
      <c r="T53" t="s">
        <v>1074</v>
      </c>
      <c r="V53" t="s">
        <v>25797</v>
      </c>
      <c r="W53" t="s">
        <v>25887</v>
      </c>
      <c r="X53" t="s">
        <v>25888</v>
      </c>
      <c r="FG53" t="s">
        <v>18430</v>
      </c>
      <c r="FH53" t="s">
        <v>7246</v>
      </c>
      <c r="FI53" t="s">
        <v>24</v>
      </c>
      <c r="FJ53" t="s">
        <v>24</v>
      </c>
      <c r="FK53" t="s">
        <v>24</v>
      </c>
      <c r="FM53" t="s">
        <v>18431</v>
      </c>
      <c r="FN53" t="s">
        <v>18432</v>
      </c>
      <c r="FQ53" t="s">
        <v>18433</v>
      </c>
      <c r="FR53" t="s">
        <v>18433</v>
      </c>
      <c r="FS53" t="s">
        <v>7269</v>
      </c>
      <c r="FT53">
        <v>2023</v>
      </c>
      <c r="FX53">
        <v>98.2</v>
      </c>
      <c r="FY53" t="s">
        <v>8257</v>
      </c>
      <c r="FZ53">
        <v>98.2</v>
      </c>
      <c r="GA53">
        <v>45700.65</v>
      </c>
      <c r="GB53">
        <v>59.5</v>
      </c>
      <c r="GC53">
        <v>46.55</v>
      </c>
      <c r="GD53">
        <v>59.5</v>
      </c>
      <c r="GH53" t="s">
        <v>18434</v>
      </c>
      <c r="GI53" t="s">
        <v>9165</v>
      </c>
      <c r="GK53" t="s">
        <v>2969</v>
      </c>
      <c r="GL53" t="s">
        <v>18435</v>
      </c>
      <c r="GN53" t="s">
        <v>2969</v>
      </c>
      <c r="GO53" t="s">
        <v>9165</v>
      </c>
      <c r="GU53" t="s">
        <v>18436</v>
      </c>
    </row>
    <row r="54" spans="1:203" customFormat="1" x14ac:dyDescent="0.35">
      <c r="A54" t="s">
        <v>25918</v>
      </c>
      <c r="B54" t="s">
        <v>25919</v>
      </c>
      <c r="C54" t="s">
        <v>24</v>
      </c>
      <c r="D54" t="s">
        <v>354</v>
      </c>
      <c r="E54">
        <v>-32.988718386126102</v>
      </c>
      <c r="F54">
        <v>137.756792017164</v>
      </c>
      <c r="I54">
        <v>1800000</v>
      </c>
      <c r="O54">
        <v>13000000000</v>
      </c>
      <c r="P54" t="s">
        <v>6424</v>
      </c>
      <c r="R54" t="s">
        <v>4022</v>
      </c>
      <c r="S54" t="s">
        <v>25777</v>
      </c>
      <c r="T54" t="s">
        <v>1074</v>
      </c>
      <c r="V54" t="s">
        <v>25847</v>
      </c>
      <c r="W54" t="s">
        <v>25920</v>
      </c>
      <c r="X54" t="s">
        <v>25921</v>
      </c>
      <c r="FG54" t="s">
        <v>18547</v>
      </c>
      <c r="FH54" t="s">
        <v>7246</v>
      </c>
      <c r="FI54" t="s">
        <v>24</v>
      </c>
      <c r="FJ54" t="s">
        <v>24</v>
      </c>
      <c r="FK54" t="s">
        <v>24</v>
      </c>
      <c r="FM54" t="s">
        <v>18548</v>
      </c>
      <c r="FN54" t="s">
        <v>18549</v>
      </c>
      <c r="FQ54" t="s">
        <v>12647</v>
      </c>
      <c r="FR54" t="s">
        <v>12648</v>
      </c>
      <c r="FS54" t="s">
        <v>7250</v>
      </c>
      <c r="FT54">
        <v>2019</v>
      </c>
      <c r="FX54">
        <v>36.99</v>
      </c>
      <c r="FY54" t="s">
        <v>7251</v>
      </c>
      <c r="FZ54">
        <v>0.38</v>
      </c>
      <c r="GA54">
        <v>178.05</v>
      </c>
      <c r="GB54">
        <v>60</v>
      </c>
      <c r="GC54">
        <v>53.38</v>
      </c>
      <c r="GD54">
        <v>60</v>
      </c>
      <c r="GG54" t="s">
        <v>18550</v>
      </c>
      <c r="GH54" t="s">
        <v>13052</v>
      </c>
      <c r="GI54" t="s">
        <v>9165</v>
      </c>
      <c r="GK54" t="s">
        <v>2973</v>
      </c>
      <c r="GL54" t="s">
        <v>13040</v>
      </c>
      <c r="GN54" t="s">
        <v>2973</v>
      </c>
      <c r="GO54" t="s">
        <v>9165</v>
      </c>
      <c r="GU54" t="s">
        <v>18551</v>
      </c>
    </row>
    <row r="55" spans="1:203" customFormat="1" x14ac:dyDescent="0.35">
      <c r="A55" t="s">
        <v>25922</v>
      </c>
      <c r="B55" t="s">
        <v>25919</v>
      </c>
      <c r="C55" t="s">
        <v>24</v>
      </c>
      <c r="D55" t="s">
        <v>354</v>
      </c>
      <c r="E55">
        <v>-32.978690042167202</v>
      </c>
      <c r="F55">
        <v>137.77064920447401</v>
      </c>
      <c r="G55">
        <v>250</v>
      </c>
      <c r="J55" t="s">
        <v>502</v>
      </c>
      <c r="K55" t="s">
        <v>25447</v>
      </c>
      <c r="O55">
        <v>593000000</v>
      </c>
      <c r="P55" t="s">
        <v>25436</v>
      </c>
      <c r="R55">
        <v>2025</v>
      </c>
      <c r="S55" t="s">
        <v>25777</v>
      </c>
      <c r="V55" t="s">
        <v>25803</v>
      </c>
      <c r="W55" t="s">
        <v>25920</v>
      </c>
      <c r="X55" t="s">
        <v>25923</v>
      </c>
      <c r="FG55" t="s">
        <v>18681</v>
      </c>
      <c r="FH55" t="s">
        <v>7246</v>
      </c>
      <c r="FI55" t="s">
        <v>24</v>
      </c>
      <c r="FJ55" t="s">
        <v>24</v>
      </c>
      <c r="FK55" t="s">
        <v>24</v>
      </c>
      <c r="FM55" t="s">
        <v>18682</v>
      </c>
      <c r="FN55" t="s">
        <v>18683</v>
      </c>
      <c r="FQ55" t="s">
        <v>9163</v>
      </c>
      <c r="FR55" t="s">
        <v>9163</v>
      </c>
      <c r="FS55" t="s">
        <v>7250</v>
      </c>
      <c r="FT55">
        <v>1986</v>
      </c>
      <c r="FX55">
        <v>113.74</v>
      </c>
      <c r="FY55" t="s">
        <v>7251</v>
      </c>
      <c r="FZ55">
        <v>1.18</v>
      </c>
      <c r="GA55">
        <v>547.47</v>
      </c>
      <c r="GB55">
        <v>1658</v>
      </c>
      <c r="GC55">
        <v>1580.75</v>
      </c>
      <c r="GD55">
        <v>1658</v>
      </c>
      <c r="GG55" t="s">
        <v>11242</v>
      </c>
      <c r="GI55" t="s">
        <v>9165</v>
      </c>
      <c r="GK55" t="s">
        <v>10751</v>
      </c>
      <c r="GL55" t="s">
        <v>18684</v>
      </c>
      <c r="GN55" t="s">
        <v>10751</v>
      </c>
      <c r="GO55" t="s">
        <v>9165</v>
      </c>
      <c r="GU55" t="s">
        <v>18685</v>
      </c>
    </row>
    <row r="56" spans="1:203" customFormat="1" x14ac:dyDescent="0.35">
      <c r="A56" t="s">
        <v>25924</v>
      </c>
      <c r="B56" t="s">
        <v>25925</v>
      </c>
      <c r="C56" t="s">
        <v>24</v>
      </c>
      <c r="D56" t="s">
        <v>354</v>
      </c>
      <c r="E56">
        <v>-33.176327130284001</v>
      </c>
      <c r="F56">
        <v>138.012835596895</v>
      </c>
      <c r="G56">
        <v>440</v>
      </c>
      <c r="H56">
        <v>100000</v>
      </c>
      <c r="I56">
        <v>36500</v>
      </c>
      <c r="K56" t="s">
        <v>25447</v>
      </c>
      <c r="O56">
        <v>487500000</v>
      </c>
      <c r="P56" t="s">
        <v>6424</v>
      </c>
      <c r="Q56" t="s">
        <v>25926</v>
      </c>
      <c r="R56" t="s">
        <v>4022</v>
      </c>
      <c r="S56" t="s">
        <v>25777</v>
      </c>
      <c r="T56" t="s">
        <v>1074</v>
      </c>
      <c r="V56" t="s">
        <v>25803</v>
      </c>
      <c r="W56" t="s">
        <v>25927</v>
      </c>
      <c r="X56" t="s">
        <v>25928</v>
      </c>
      <c r="FG56" t="s">
        <v>18686</v>
      </c>
      <c r="FH56" t="s">
        <v>7246</v>
      </c>
      <c r="FI56" t="s">
        <v>24</v>
      </c>
      <c r="FJ56" t="s">
        <v>24</v>
      </c>
      <c r="FK56" t="s">
        <v>24</v>
      </c>
      <c r="FM56" t="s">
        <v>18687</v>
      </c>
      <c r="FN56" t="s">
        <v>18688</v>
      </c>
      <c r="FP56" t="s">
        <v>18689</v>
      </c>
      <c r="FQ56" t="s">
        <v>18690</v>
      </c>
      <c r="FR56" t="s">
        <v>18690</v>
      </c>
      <c r="FS56" t="s">
        <v>7250</v>
      </c>
      <c r="FT56">
        <v>1996</v>
      </c>
      <c r="FX56">
        <v>47.39</v>
      </c>
      <c r="FY56" t="s">
        <v>7251</v>
      </c>
      <c r="FZ56">
        <v>0.49</v>
      </c>
      <c r="GA56">
        <v>228.1</v>
      </c>
      <c r="GB56">
        <v>23</v>
      </c>
      <c r="GC56">
        <v>10.16</v>
      </c>
      <c r="GD56">
        <v>23</v>
      </c>
      <c r="GG56" t="s">
        <v>18691</v>
      </c>
      <c r="GH56" t="s">
        <v>18692</v>
      </c>
      <c r="GI56" t="s">
        <v>9165</v>
      </c>
      <c r="GK56" t="s">
        <v>2973</v>
      </c>
      <c r="GL56" t="s">
        <v>18693</v>
      </c>
      <c r="GN56" t="s">
        <v>2973</v>
      </c>
      <c r="GO56" t="s">
        <v>9165</v>
      </c>
      <c r="GU56" t="s">
        <v>18694</v>
      </c>
    </row>
    <row r="57" spans="1:203" customFormat="1" x14ac:dyDescent="0.35">
      <c r="A57" t="s">
        <v>25929</v>
      </c>
      <c r="B57" t="s">
        <v>25930</v>
      </c>
      <c r="C57" t="s">
        <v>24</v>
      </c>
      <c r="D57" t="s">
        <v>354</v>
      </c>
      <c r="E57">
        <v>-36.337810047091502</v>
      </c>
      <c r="F57">
        <v>140.96753653209799</v>
      </c>
      <c r="O57">
        <v>2697500</v>
      </c>
      <c r="P57" t="s">
        <v>25113</v>
      </c>
      <c r="Q57" t="s">
        <v>25931</v>
      </c>
      <c r="R57" t="s">
        <v>4022</v>
      </c>
      <c r="S57" t="s">
        <v>25777</v>
      </c>
      <c r="U57" t="s">
        <v>25932</v>
      </c>
      <c r="V57" t="s">
        <v>25803</v>
      </c>
      <c r="W57" t="s">
        <v>25933</v>
      </c>
      <c r="X57" t="s">
        <v>25934</v>
      </c>
      <c r="FG57" t="s">
        <v>18695</v>
      </c>
      <c r="FH57" t="s">
        <v>7246</v>
      </c>
      <c r="FI57" t="s">
        <v>24</v>
      </c>
      <c r="FJ57" t="s">
        <v>24</v>
      </c>
      <c r="FK57" t="s">
        <v>24</v>
      </c>
      <c r="FM57" t="s">
        <v>18696</v>
      </c>
      <c r="FN57" t="s">
        <v>18697</v>
      </c>
      <c r="FQ57" t="s">
        <v>18698</v>
      </c>
      <c r="FR57" t="s">
        <v>18698</v>
      </c>
      <c r="FS57" t="s">
        <v>7250</v>
      </c>
      <c r="FT57">
        <v>2015</v>
      </c>
      <c r="FX57">
        <v>1478.59</v>
      </c>
      <c r="FY57" t="s">
        <v>7251</v>
      </c>
      <c r="FZ57">
        <v>15.29</v>
      </c>
      <c r="GA57">
        <v>7116.95</v>
      </c>
      <c r="GB57">
        <v>530</v>
      </c>
      <c r="GC57">
        <v>517.45000000000005</v>
      </c>
      <c r="GD57">
        <v>530</v>
      </c>
      <c r="GG57" t="s">
        <v>17646</v>
      </c>
      <c r="GI57" t="s">
        <v>9165</v>
      </c>
      <c r="GK57" t="s">
        <v>2973</v>
      </c>
      <c r="GL57" t="s">
        <v>6423</v>
      </c>
      <c r="GN57" t="s">
        <v>2973</v>
      </c>
      <c r="GO57" t="s">
        <v>9165</v>
      </c>
      <c r="GU57" t="s">
        <v>18699</v>
      </c>
    </row>
    <row r="58" spans="1:203" customFormat="1" x14ac:dyDescent="0.35">
      <c r="A58" t="s">
        <v>25935</v>
      </c>
      <c r="B58" t="s">
        <v>6363</v>
      </c>
      <c r="C58" t="s">
        <v>24</v>
      </c>
      <c r="D58" t="s">
        <v>354</v>
      </c>
      <c r="E58">
        <v>-38.360978938028303</v>
      </c>
      <c r="F58">
        <v>141.61295144106501</v>
      </c>
      <c r="G58">
        <v>5</v>
      </c>
      <c r="H58">
        <v>2191.7808219178082</v>
      </c>
      <c r="I58">
        <v>800</v>
      </c>
      <c r="J58" t="s">
        <v>502</v>
      </c>
      <c r="K58" t="s">
        <v>25936</v>
      </c>
      <c r="P58" t="s">
        <v>25937</v>
      </c>
      <c r="Q58" t="s">
        <v>25938</v>
      </c>
      <c r="R58" t="s">
        <v>4022</v>
      </c>
      <c r="S58" t="s">
        <v>25777</v>
      </c>
      <c r="V58" t="s">
        <v>25847</v>
      </c>
      <c r="W58" t="s">
        <v>25939</v>
      </c>
      <c r="X58" t="s">
        <v>25940</v>
      </c>
      <c r="FG58" t="s">
        <v>18700</v>
      </c>
      <c r="FH58" t="s">
        <v>7246</v>
      </c>
      <c r="FI58" t="s">
        <v>24</v>
      </c>
      <c r="FJ58" t="s">
        <v>24</v>
      </c>
      <c r="FK58" t="s">
        <v>24</v>
      </c>
      <c r="FM58" t="s">
        <v>18701</v>
      </c>
      <c r="FN58" t="s">
        <v>18702</v>
      </c>
      <c r="FP58" t="s">
        <v>18703</v>
      </c>
      <c r="FQ58" t="s">
        <v>18704</v>
      </c>
      <c r="FR58" t="s">
        <v>18704</v>
      </c>
      <c r="FS58" t="s">
        <v>7292</v>
      </c>
      <c r="FT58">
        <v>2028</v>
      </c>
      <c r="FX58">
        <v>210</v>
      </c>
      <c r="FY58" t="s">
        <v>9164</v>
      </c>
      <c r="FZ58">
        <v>2.15</v>
      </c>
      <c r="GA58">
        <v>999.49</v>
      </c>
      <c r="GB58">
        <v>475</v>
      </c>
      <c r="GC58">
        <v>396.95</v>
      </c>
      <c r="GD58">
        <v>475</v>
      </c>
      <c r="GG58" t="s">
        <v>10741</v>
      </c>
      <c r="GH58" t="s">
        <v>10591</v>
      </c>
      <c r="GI58" t="s">
        <v>9165</v>
      </c>
      <c r="GK58" t="s">
        <v>2973</v>
      </c>
      <c r="GL58" t="s">
        <v>6432</v>
      </c>
      <c r="GN58" t="s">
        <v>2973</v>
      </c>
      <c r="GO58" t="s">
        <v>9165</v>
      </c>
      <c r="GU58" t="s">
        <v>18705</v>
      </c>
    </row>
    <row r="59" spans="1:203" customFormat="1" x14ac:dyDescent="0.35">
      <c r="A59" t="s">
        <v>25941</v>
      </c>
      <c r="B59" t="s">
        <v>6363</v>
      </c>
      <c r="C59" t="s">
        <v>24</v>
      </c>
      <c r="D59" t="s">
        <v>354</v>
      </c>
      <c r="E59">
        <v>-38.332055110638102</v>
      </c>
      <c r="F59">
        <v>141.599945740236</v>
      </c>
      <c r="I59">
        <v>15000</v>
      </c>
      <c r="J59" t="s">
        <v>502</v>
      </c>
      <c r="K59" t="s">
        <v>25311</v>
      </c>
      <c r="P59" t="s">
        <v>25942</v>
      </c>
      <c r="Q59" t="s">
        <v>25943</v>
      </c>
      <c r="R59" t="s">
        <v>4022</v>
      </c>
      <c r="S59" t="s">
        <v>25777</v>
      </c>
      <c r="T59" t="s">
        <v>25944</v>
      </c>
      <c r="V59" t="s">
        <v>25803</v>
      </c>
      <c r="W59" t="s">
        <v>25945</v>
      </c>
      <c r="X59" t="s">
        <v>25946</v>
      </c>
      <c r="FG59" t="s">
        <v>18706</v>
      </c>
      <c r="FH59" t="s">
        <v>7246</v>
      </c>
      <c r="FI59" t="s">
        <v>24</v>
      </c>
      <c r="FJ59" t="s">
        <v>24</v>
      </c>
      <c r="FK59" t="s">
        <v>24</v>
      </c>
      <c r="FM59" t="s">
        <v>18707</v>
      </c>
      <c r="FN59" t="s">
        <v>18708</v>
      </c>
      <c r="FP59" t="s">
        <v>18709</v>
      </c>
      <c r="FQ59" t="s">
        <v>9163</v>
      </c>
      <c r="FR59" t="s">
        <v>9163</v>
      </c>
      <c r="FS59" t="s">
        <v>7250</v>
      </c>
      <c r="FT59">
        <v>2009</v>
      </c>
      <c r="FX59">
        <v>417.04</v>
      </c>
      <c r="FY59" t="s">
        <v>7251</v>
      </c>
      <c r="FZ59">
        <v>4.3099999999999996</v>
      </c>
      <c r="GA59">
        <v>2007.35</v>
      </c>
      <c r="GB59">
        <v>112</v>
      </c>
      <c r="GC59">
        <v>111.6</v>
      </c>
      <c r="GD59">
        <v>112</v>
      </c>
      <c r="GG59" t="s">
        <v>18710</v>
      </c>
      <c r="GI59" t="s">
        <v>9165</v>
      </c>
      <c r="GK59" t="s">
        <v>2973</v>
      </c>
      <c r="GL59" t="s">
        <v>13108</v>
      </c>
      <c r="GN59" t="s">
        <v>2973</v>
      </c>
      <c r="GO59" t="s">
        <v>9165</v>
      </c>
      <c r="GU59" t="s">
        <v>18711</v>
      </c>
    </row>
    <row r="60" spans="1:203" customFormat="1" x14ac:dyDescent="0.35">
      <c r="A60" t="s">
        <v>25947</v>
      </c>
      <c r="B60" t="s">
        <v>25948</v>
      </c>
      <c r="C60" t="s">
        <v>24</v>
      </c>
      <c r="D60" t="s">
        <v>354</v>
      </c>
      <c r="E60">
        <v>-38.372725733783298</v>
      </c>
      <c r="F60">
        <v>142.479966129948</v>
      </c>
      <c r="P60" t="s">
        <v>583</v>
      </c>
      <c r="Q60" t="s">
        <v>25949</v>
      </c>
      <c r="R60" t="s">
        <v>4022</v>
      </c>
      <c r="S60" t="s">
        <v>25777</v>
      </c>
      <c r="T60" t="s">
        <v>583</v>
      </c>
      <c r="V60" t="s">
        <v>25803</v>
      </c>
      <c r="W60" t="s">
        <v>25950</v>
      </c>
      <c r="X60" t="s">
        <v>25951</v>
      </c>
      <c r="FG60" t="s">
        <v>18712</v>
      </c>
      <c r="FH60" t="s">
        <v>7246</v>
      </c>
      <c r="FI60" t="s">
        <v>24</v>
      </c>
      <c r="FJ60" t="s">
        <v>24</v>
      </c>
      <c r="FK60" t="s">
        <v>24</v>
      </c>
      <c r="FM60" t="s">
        <v>18713</v>
      </c>
      <c r="FN60" t="s">
        <v>18714</v>
      </c>
      <c r="FQ60" t="s">
        <v>18715</v>
      </c>
      <c r="FR60" t="s">
        <v>18715</v>
      </c>
      <c r="FS60" t="s">
        <v>7250</v>
      </c>
      <c r="FT60">
        <v>2008</v>
      </c>
      <c r="FX60">
        <v>75.819999999999993</v>
      </c>
      <c r="FY60" t="s">
        <v>7251</v>
      </c>
      <c r="FZ60">
        <v>0.78</v>
      </c>
      <c r="GA60">
        <v>364.95</v>
      </c>
      <c r="GB60">
        <v>287</v>
      </c>
      <c r="GC60">
        <v>285.91000000000003</v>
      </c>
      <c r="GD60">
        <v>287</v>
      </c>
      <c r="GH60" t="s">
        <v>17265</v>
      </c>
      <c r="GI60" t="s">
        <v>9165</v>
      </c>
      <c r="GK60" t="s">
        <v>10751</v>
      </c>
      <c r="GL60" t="s">
        <v>18716</v>
      </c>
      <c r="GN60" t="s">
        <v>10751</v>
      </c>
      <c r="GO60" t="s">
        <v>9165</v>
      </c>
      <c r="GU60" t="s">
        <v>18717</v>
      </c>
    </row>
    <row r="61" spans="1:203" customFormat="1" x14ac:dyDescent="0.35">
      <c r="A61" t="s">
        <v>25952</v>
      </c>
      <c r="B61" t="s">
        <v>2969</v>
      </c>
      <c r="C61" t="s">
        <v>24</v>
      </c>
      <c r="D61" t="s">
        <v>354</v>
      </c>
      <c r="E61">
        <v>-37.696512440913601</v>
      </c>
      <c r="F61">
        <v>144.41172843969801</v>
      </c>
      <c r="O61">
        <v>1274000</v>
      </c>
      <c r="P61" t="s">
        <v>25263</v>
      </c>
      <c r="Q61" t="s">
        <v>25953</v>
      </c>
      <c r="R61" t="s">
        <v>4022</v>
      </c>
      <c r="S61" t="s">
        <v>25777</v>
      </c>
      <c r="T61" t="s">
        <v>25263</v>
      </c>
      <c r="V61" t="s">
        <v>25803</v>
      </c>
      <c r="W61" t="s">
        <v>25954</v>
      </c>
      <c r="X61" t="s">
        <v>25955</v>
      </c>
      <c r="FG61" t="s">
        <v>18718</v>
      </c>
      <c r="FH61" t="s">
        <v>7246</v>
      </c>
      <c r="FI61" t="s">
        <v>24</v>
      </c>
      <c r="FJ61" t="s">
        <v>24</v>
      </c>
      <c r="FK61" t="s">
        <v>24</v>
      </c>
      <c r="FM61" t="s">
        <v>18719</v>
      </c>
      <c r="FN61" t="s">
        <v>18720</v>
      </c>
      <c r="FQ61" t="s">
        <v>17310</v>
      </c>
      <c r="FR61" t="s">
        <v>17310</v>
      </c>
      <c r="FS61" t="s">
        <v>7250</v>
      </c>
      <c r="FT61">
        <v>1995</v>
      </c>
      <c r="FX61">
        <v>5.6</v>
      </c>
      <c r="FY61" t="s">
        <v>9164</v>
      </c>
      <c r="FZ61">
        <v>0.06</v>
      </c>
      <c r="GA61">
        <v>26.65</v>
      </c>
      <c r="GB61">
        <v>237</v>
      </c>
      <c r="GC61">
        <v>222.25</v>
      </c>
      <c r="GD61">
        <v>237</v>
      </c>
      <c r="GI61" t="s">
        <v>9165</v>
      </c>
      <c r="GK61" t="s">
        <v>4129</v>
      </c>
      <c r="GN61" t="s">
        <v>4129</v>
      </c>
      <c r="GO61" t="s">
        <v>9165</v>
      </c>
      <c r="GU61" t="s">
        <v>18721</v>
      </c>
    </row>
    <row r="62" spans="1:203" customFormat="1" x14ac:dyDescent="0.35">
      <c r="A62" t="s">
        <v>25956</v>
      </c>
      <c r="B62" t="s">
        <v>2969</v>
      </c>
      <c r="C62" t="s">
        <v>24</v>
      </c>
      <c r="D62" t="s">
        <v>354</v>
      </c>
      <c r="E62">
        <v>-38.0745850980895</v>
      </c>
      <c r="F62">
        <v>144.39247665908499</v>
      </c>
      <c r="P62" t="s">
        <v>6424</v>
      </c>
      <c r="R62" t="s">
        <v>4022</v>
      </c>
      <c r="S62" t="s">
        <v>25777</v>
      </c>
      <c r="T62" t="s">
        <v>1074</v>
      </c>
      <c r="V62" t="s">
        <v>25957</v>
      </c>
      <c r="W62" t="s">
        <v>25525</v>
      </c>
      <c r="X62" t="s">
        <v>25958</v>
      </c>
      <c r="FG62" t="s">
        <v>18722</v>
      </c>
      <c r="FH62" t="s">
        <v>7246</v>
      </c>
      <c r="FI62" t="s">
        <v>24</v>
      </c>
      <c r="FJ62" t="s">
        <v>24</v>
      </c>
      <c r="FK62" t="s">
        <v>24</v>
      </c>
      <c r="FM62" t="s">
        <v>18723</v>
      </c>
      <c r="FN62" t="s">
        <v>18724</v>
      </c>
      <c r="FP62" t="s">
        <v>18725</v>
      </c>
      <c r="FQ62" t="s">
        <v>18726</v>
      </c>
      <c r="FR62" t="s">
        <v>18726</v>
      </c>
      <c r="FS62" t="s">
        <v>7250</v>
      </c>
      <c r="FT62">
        <v>1998</v>
      </c>
      <c r="FX62">
        <v>9.7100000000000009</v>
      </c>
      <c r="FY62" t="s">
        <v>7251</v>
      </c>
      <c r="FZ62">
        <v>0.1</v>
      </c>
      <c r="GA62">
        <v>46.74</v>
      </c>
      <c r="GB62">
        <v>183</v>
      </c>
      <c r="GC62">
        <v>178.54</v>
      </c>
      <c r="GD62">
        <v>183</v>
      </c>
      <c r="GH62" t="s">
        <v>18727</v>
      </c>
      <c r="GI62" t="s">
        <v>9165</v>
      </c>
      <c r="GK62" t="s">
        <v>2969</v>
      </c>
      <c r="GL62" t="s">
        <v>18728</v>
      </c>
      <c r="GN62" t="s">
        <v>2969</v>
      </c>
      <c r="GO62" t="s">
        <v>9165</v>
      </c>
      <c r="GU62" t="s">
        <v>18729</v>
      </c>
    </row>
    <row r="63" spans="1:203" customFormat="1" x14ac:dyDescent="0.35">
      <c r="A63" t="s">
        <v>25959</v>
      </c>
      <c r="B63" t="s">
        <v>25960</v>
      </c>
      <c r="C63" t="s">
        <v>24</v>
      </c>
      <c r="D63" t="s">
        <v>354</v>
      </c>
      <c r="E63">
        <v>-37.816425467196801</v>
      </c>
      <c r="F63">
        <v>144.79257457146201</v>
      </c>
      <c r="H63">
        <v>356.16438356164383</v>
      </c>
      <c r="I63">
        <v>130</v>
      </c>
      <c r="M63">
        <v>740</v>
      </c>
      <c r="O63">
        <v>3759600</v>
      </c>
      <c r="P63" t="s">
        <v>583</v>
      </c>
      <c r="Q63" t="s">
        <v>25961</v>
      </c>
      <c r="R63" t="s">
        <v>4022</v>
      </c>
      <c r="S63" t="s">
        <v>25777</v>
      </c>
      <c r="T63" t="s">
        <v>583</v>
      </c>
      <c r="V63" t="s">
        <v>25803</v>
      </c>
      <c r="W63" t="s">
        <v>469</v>
      </c>
      <c r="X63" t="s">
        <v>25962</v>
      </c>
      <c r="FG63" t="s">
        <v>18730</v>
      </c>
      <c r="FH63" t="s">
        <v>7246</v>
      </c>
      <c r="FI63" t="s">
        <v>24</v>
      </c>
      <c r="FJ63" t="s">
        <v>24</v>
      </c>
      <c r="FK63" t="s">
        <v>24</v>
      </c>
      <c r="FM63" t="s">
        <v>18731</v>
      </c>
      <c r="FN63" t="s">
        <v>18732</v>
      </c>
      <c r="FO63" t="s">
        <v>8319</v>
      </c>
      <c r="FP63" t="s">
        <v>18733</v>
      </c>
      <c r="FQ63" t="s">
        <v>9163</v>
      </c>
      <c r="FR63" t="s">
        <v>9163</v>
      </c>
      <c r="FS63" t="s">
        <v>7250</v>
      </c>
      <c r="FT63">
        <v>1998</v>
      </c>
      <c r="FX63">
        <v>112.79</v>
      </c>
      <c r="FY63" t="s">
        <v>7251</v>
      </c>
      <c r="FZ63">
        <v>1.17</v>
      </c>
      <c r="GA63">
        <v>542.9</v>
      </c>
      <c r="GB63">
        <v>840</v>
      </c>
      <c r="GC63">
        <v>840.51</v>
      </c>
      <c r="GD63">
        <v>840</v>
      </c>
      <c r="GG63" t="s">
        <v>18734</v>
      </c>
      <c r="GI63" t="s">
        <v>9165</v>
      </c>
      <c r="GK63" t="s">
        <v>2973</v>
      </c>
      <c r="GL63" t="s">
        <v>18735</v>
      </c>
      <c r="GN63" t="s">
        <v>2973</v>
      </c>
      <c r="GO63" t="s">
        <v>9165</v>
      </c>
      <c r="GU63" t="s">
        <v>18736</v>
      </c>
    </row>
    <row r="64" spans="1:203" customFormat="1" x14ac:dyDescent="0.35">
      <c r="A64" t="s">
        <v>25963</v>
      </c>
      <c r="B64" t="s">
        <v>1087</v>
      </c>
      <c r="C64" t="s">
        <v>24</v>
      </c>
      <c r="D64" t="s">
        <v>354</v>
      </c>
      <c r="E64">
        <v>-37.644070934435398</v>
      </c>
      <c r="F64">
        <v>144.982219743272</v>
      </c>
      <c r="G64">
        <v>10</v>
      </c>
      <c r="H64">
        <v>4500</v>
      </c>
      <c r="I64">
        <v>1642.5</v>
      </c>
      <c r="P64" t="s">
        <v>25937</v>
      </c>
      <c r="Q64" t="s">
        <v>25964</v>
      </c>
      <c r="R64" t="s">
        <v>4022</v>
      </c>
      <c r="S64" t="s">
        <v>25777</v>
      </c>
      <c r="V64" t="s">
        <v>25803</v>
      </c>
      <c r="W64" t="s">
        <v>25939</v>
      </c>
      <c r="X64" t="s">
        <v>25965</v>
      </c>
      <c r="FG64" t="s">
        <v>18737</v>
      </c>
      <c r="FH64" t="s">
        <v>7246</v>
      </c>
      <c r="FI64" t="s">
        <v>24</v>
      </c>
      <c r="FJ64" t="s">
        <v>24</v>
      </c>
      <c r="FK64" t="s">
        <v>24</v>
      </c>
      <c r="FM64" t="s">
        <v>18738</v>
      </c>
      <c r="FN64" t="s">
        <v>18739</v>
      </c>
      <c r="FP64" t="s">
        <v>18740</v>
      </c>
      <c r="FQ64" t="s">
        <v>6543</v>
      </c>
      <c r="FR64" t="s">
        <v>6543</v>
      </c>
      <c r="FS64" t="s">
        <v>7250</v>
      </c>
      <c r="FT64">
        <v>1995</v>
      </c>
      <c r="FX64">
        <v>11</v>
      </c>
      <c r="FY64" t="s">
        <v>7251</v>
      </c>
      <c r="FZ64">
        <v>0.11</v>
      </c>
      <c r="GA64">
        <v>52.95</v>
      </c>
      <c r="GB64">
        <v>420</v>
      </c>
      <c r="GC64">
        <v>402.29</v>
      </c>
      <c r="GD64">
        <v>420</v>
      </c>
      <c r="GH64" t="s">
        <v>18741</v>
      </c>
      <c r="GI64" t="s">
        <v>9165</v>
      </c>
      <c r="GK64" t="s">
        <v>2973</v>
      </c>
      <c r="GL64" t="s">
        <v>18742</v>
      </c>
      <c r="GN64" t="s">
        <v>2973</v>
      </c>
      <c r="GO64" t="s">
        <v>9165</v>
      </c>
      <c r="GU64" t="s">
        <v>18743</v>
      </c>
    </row>
    <row r="65" spans="1:203" customFormat="1" x14ac:dyDescent="0.35">
      <c r="A65" t="s">
        <v>25966</v>
      </c>
      <c r="B65" t="s">
        <v>1087</v>
      </c>
      <c r="C65" t="s">
        <v>24</v>
      </c>
      <c r="D65" t="s">
        <v>354</v>
      </c>
      <c r="E65">
        <v>-37.605712054139801</v>
      </c>
      <c r="F65">
        <v>145.02755398710201</v>
      </c>
      <c r="H65">
        <v>1917.8082191780823</v>
      </c>
      <c r="I65">
        <v>700</v>
      </c>
      <c r="J65" t="s">
        <v>502</v>
      </c>
      <c r="K65" t="s">
        <v>25691</v>
      </c>
      <c r="O65">
        <v>20800000</v>
      </c>
      <c r="P65" t="s">
        <v>583</v>
      </c>
      <c r="Q65" t="s">
        <v>25967</v>
      </c>
      <c r="R65" t="s">
        <v>4022</v>
      </c>
      <c r="S65" t="s">
        <v>25777</v>
      </c>
      <c r="V65" t="s">
        <v>25803</v>
      </c>
      <c r="W65" t="s">
        <v>25968</v>
      </c>
      <c r="X65" t="s">
        <v>25969</v>
      </c>
      <c r="FG65" t="s">
        <v>18744</v>
      </c>
      <c r="FH65" t="s">
        <v>7246</v>
      </c>
      <c r="FI65" t="s">
        <v>24</v>
      </c>
      <c r="FJ65" t="s">
        <v>24</v>
      </c>
      <c r="FK65" t="s">
        <v>24</v>
      </c>
      <c r="FM65" t="s">
        <v>18745</v>
      </c>
      <c r="FN65" t="s">
        <v>18746</v>
      </c>
      <c r="FQ65" t="s">
        <v>10748</v>
      </c>
      <c r="FR65" t="s">
        <v>10749</v>
      </c>
      <c r="FS65" t="s">
        <v>7250</v>
      </c>
      <c r="FT65">
        <v>2009</v>
      </c>
      <c r="FX65">
        <v>38.86</v>
      </c>
      <c r="FY65" t="s">
        <v>7251</v>
      </c>
      <c r="FZ65">
        <v>0.4</v>
      </c>
      <c r="GA65">
        <v>187.05</v>
      </c>
      <c r="GB65">
        <v>9</v>
      </c>
      <c r="GC65">
        <v>6.32</v>
      </c>
      <c r="GD65">
        <v>9</v>
      </c>
      <c r="GG65" t="s">
        <v>18747</v>
      </c>
      <c r="GH65" t="s">
        <v>18748</v>
      </c>
      <c r="GI65" t="s">
        <v>9165</v>
      </c>
      <c r="GK65" t="s">
        <v>4124</v>
      </c>
      <c r="GL65" t="s">
        <v>18749</v>
      </c>
      <c r="GN65" t="s">
        <v>4124</v>
      </c>
      <c r="GO65" t="s">
        <v>9165</v>
      </c>
      <c r="GU65" t="s">
        <v>18750</v>
      </c>
    </row>
    <row r="66" spans="1:203" customFormat="1" x14ac:dyDescent="0.35">
      <c r="A66" t="s">
        <v>25970</v>
      </c>
      <c r="B66" t="s">
        <v>1087</v>
      </c>
      <c r="C66" t="s">
        <v>24</v>
      </c>
      <c r="D66" t="s">
        <v>354</v>
      </c>
      <c r="E66">
        <v>-37.916348594661898</v>
      </c>
      <c r="F66">
        <v>145.145380036425</v>
      </c>
      <c r="O66">
        <v>2177500</v>
      </c>
      <c r="P66" t="s">
        <v>25971</v>
      </c>
      <c r="Q66" t="s">
        <v>25972</v>
      </c>
      <c r="R66" t="s">
        <v>4022</v>
      </c>
      <c r="S66" t="s">
        <v>25777</v>
      </c>
      <c r="V66" t="s">
        <v>25803</v>
      </c>
      <c r="W66" t="s">
        <v>25973</v>
      </c>
      <c r="X66" t="s">
        <v>25974</v>
      </c>
      <c r="FG66" t="s">
        <v>18751</v>
      </c>
      <c r="FH66" t="s">
        <v>7246</v>
      </c>
      <c r="FI66" t="s">
        <v>24</v>
      </c>
      <c r="FJ66" t="s">
        <v>24</v>
      </c>
      <c r="FK66" t="s">
        <v>24</v>
      </c>
      <c r="FM66" t="s">
        <v>18752</v>
      </c>
      <c r="FN66" t="s">
        <v>18753</v>
      </c>
      <c r="FP66" t="s">
        <v>18754</v>
      </c>
      <c r="FQ66" t="s">
        <v>18755</v>
      </c>
      <c r="FR66" t="s">
        <v>18755</v>
      </c>
      <c r="FS66" t="s">
        <v>7250</v>
      </c>
      <c r="FT66">
        <v>2007</v>
      </c>
      <c r="FX66">
        <v>1066.29</v>
      </c>
      <c r="FY66" t="s">
        <v>7251</v>
      </c>
      <c r="FZ66">
        <v>11.03</v>
      </c>
      <c r="GA66">
        <v>5132.41</v>
      </c>
      <c r="GB66">
        <v>127</v>
      </c>
      <c r="GC66">
        <v>126.99</v>
      </c>
      <c r="GD66">
        <v>127</v>
      </c>
      <c r="GG66" t="s">
        <v>18710</v>
      </c>
      <c r="GI66" t="s">
        <v>9165</v>
      </c>
      <c r="GK66" t="s">
        <v>2973</v>
      </c>
      <c r="GL66" t="s">
        <v>13108</v>
      </c>
      <c r="GN66" t="s">
        <v>2973</v>
      </c>
      <c r="GO66" t="s">
        <v>9165</v>
      </c>
      <c r="GU66" t="s">
        <v>18756</v>
      </c>
    </row>
    <row r="67" spans="1:203" customFormat="1" x14ac:dyDescent="0.35">
      <c r="A67" t="s">
        <v>25975</v>
      </c>
      <c r="B67" t="s">
        <v>1087</v>
      </c>
      <c r="C67" t="s">
        <v>24</v>
      </c>
      <c r="D67" t="s">
        <v>354</v>
      </c>
      <c r="E67">
        <v>-38.0037257113569</v>
      </c>
      <c r="F67">
        <v>145.213990683844</v>
      </c>
      <c r="P67" t="s">
        <v>583</v>
      </c>
      <c r="Q67" t="s">
        <v>25976</v>
      </c>
      <c r="R67" t="s">
        <v>4022</v>
      </c>
      <c r="S67" t="s">
        <v>25777</v>
      </c>
      <c r="T67" t="s">
        <v>583</v>
      </c>
      <c r="V67" t="s">
        <v>25803</v>
      </c>
      <c r="W67" t="s">
        <v>25977</v>
      </c>
      <c r="X67" t="s">
        <v>25978</v>
      </c>
      <c r="FG67" t="s">
        <v>18757</v>
      </c>
      <c r="FH67" t="s">
        <v>7246</v>
      </c>
      <c r="FI67" t="s">
        <v>24</v>
      </c>
      <c r="FJ67" t="s">
        <v>24</v>
      </c>
      <c r="FK67" t="s">
        <v>24</v>
      </c>
      <c r="FM67" t="s">
        <v>18758</v>
      </c>
      <c r="FN67" t="s">
        <v>18759</v>
      </c>
      <c r="FP67" t="s">
        <v>18760</v>
      </c>
      <c r="FQ67" t="s">
        <v>18761</v>
      </c>
      <c r="FR67" t="s">
        <v>18761</v>
      </c>
      <c r="FS67" t="s">
        <v>7250</v>
      </c>
      <c r="FT67">
        <v>2005</v>
      </c>
      <c r="FY67" t="s">
        <v>7251</v>
      </c>
      <c r="FZ67">
        <v>0</v>
      </c>
      <c r="GA67">
        <v>0</v>
      </c>
      <c r="GB67">
        <v>150</v>
      </c>
      <c r="GC67">
        <v>85.78</v>
      </c>
      <c r="GD67">
        <v>150</v>
      </c>
      <c r="GH67" t="s">
        <v>18762</v>
      </c>
      <c r="GI67" t="s">
        <v>9165</v>
      </c>
      <c r="GK67" t="s">
        <v>2973</v>
      </c>
      <c r="GL67" t="s">
        <v>18763</v>
      </c>
      <c r="GN67" t="s">
        <v>2973</v>
      </c>
      <c r="GO67" t="s">
        <v>9165</v>
      </c>
      <c r="GU67" t="s">
        <v>18764</v>
      </c>
    </row>
    <row r="68" spans="1:203" customFormat="1" x14ac:dyDescent="0.35">
      <c r="A68" t="s">
        <v>25979</v>
      </c>
      <c r="B68" t="s">
        <v>2969</v>
      </c>
      <c r="C68" t="s">
        <v>24</v>
      </c>
      <c r="D68" t="s">
        <v>354</v>
      </c>
      <c r="E68">
        <v>-38.247135107410799</v>
      </c>
      <c r="F68">
        <v>146.57441391817201</v>
      </c>
      <c r="H68">
        <v>109589.04109589041</v>
      </c>
      <c r="I68">
        <v>40000</v>
      </c>
      <c r="J68" t="s">
        <v>25980</v>
      </c>
      <c r="O68">
        <v>1527500000</v>
      </c>
      <c r="P68" t="s">
        <v>6424</v>
      </c>
      <c r="Q68" t="s">
        <v>25981</v>
      </c>
      <c r="R68" t="s">
        <v>4022</v>
      </c>
      <c r="S68" t="s">
        <v>25777</v>
      </c>
      <c r="V68" t="s">
        <v>25982</v>
      </c>
      <c r="W68" t="s">
        <v>25575</v>
      </c>
      <c r="X68" t="s">
        <v>25983</v>
      </c>
      <c r="FG68" t="s">
        <v>18765</v>
      </c>
      <c r="FH68" t="s">
        <v>7246</v>
      </c>
      <c r="FI68" t="s">
        <v>24</v>
      </c>
      <c r="FJ68" t="s">
        <v>24</v>
      </c>
      <c r="FK68" t="s">
        <v>24</v>
      </c>
      <c r="FM68" t="s">
        <v>18766</v>
      </c>
      <c r="FN68" t="s">
        <v>18767</v>
      </c>
      <c r="FQ68" t="s">
        <v>11277</v>
      </c>
      <c r="FR68" t="s">
        <v>11277</v>
      </c>
      <c r="FS68" t="s">
        <v>7269</v>
      </c>
      <c r="FZ68" t="s">
        <v>6546</v>
      </c>
      <c r="GA68" t="s">
        <v>6546</v>
      </c>
      <c r="GB68">
        <v>280</v>
      </c>
      <c r="GC68">
        <v>215.17</v>
      </c>
      <c r="GD68">
        <v>280</v>
      </c>
      <c r="GH68" t="s">
        <v>18768</v>
      </c>
      <c r="GI68" t="s">
        <v>9165</v>
      </c>
      <c r="GK68" t="s">
        <v>4124</v>
      </c>
      <c r="GL68" t="s">
        <v>4099</v>
      </c>
      <c r="GN68" t="s">
        <v>4124</v>
      </c>
      <c r="GO68" t="s">
        <v>9165</v>
      </c>
      <c r="GU68" t="s">
        <v>18769</v>
      </c>
    </row>
    <row r="69" spans="1:203" customFormat="1" x14ac:dyDescent="0.35">
      <c r="A69" t="s">
        <v>25984</v>
      </c>
      <c r="B69" t="s">
        <v>17251</v>
      </c>
      <c r="C69" t="s">
        <v>24</v>
      </c>
      <c r="D69" t="s">
        <v>354</v>
      </c>
      <c r="E69">
        <v>-41.132063777590403</v>
      </c>
      <c r="F69">
        <v>146.85791548285101</v>
      </c>
      <c r="H69">
        <v>204821.91780821918</v>
      </c>
      <c r="I69">
        <v>74760</v>
      </c>
      <c r="J69" t="s">
        <v>502</v>
      </c>
      <c r="L69">
        <v>500</v>
      </c>
      <c r="P69" t="s">
        <v>6424</v>
      </c>
      <c r="Q69" t="s">
        <v>25985</v>
      </c>
      <c r="R69" t="s">
        <v>4022</v>
      </c>
      <c r="S69" t="s">
        <v>25777</v>
      </c>
      <c r="V69" t="s">
        <v>25797</v>
      </c>
      <c r="W69" t="s">
        <v>25986</v>
      </c>
      <c r="X69" t="s">
        <v>25987</v>
      </c>
      <c r="FG69" t="s">
        <v>18770</v>
      </c>
      <c r="FH69" t="s">
        <v>7246</v>
      </c>
      <c r="FI69" t="s">
        <v>24</v>
      </c>
      <c r="FJ69" t="s">
        <v>24</v>
      </c>
      <c r="FK69" t="s">
        <v>24</v>
      </c>
      <c r="FM69" t="s">
        <v>18771</v>
      </c>
      <c r="FN69" t="s">
        <v>18772</v>
      </c>
      <c r="FQ69" t="s">
        <v>18773</v>
      </c>
      <c r="FR69" t="s">
        <v>18773</v>
      </c>
      <c r="FS69" t="s">
        <v>7250</v>
      </c>
      <c r="FT69">
        <v>1995</v>
      </c>
      <c r="FX69">
        <v>16</v>
      </c>
      <c r="FY69" t="s">
        <v>9164</v>
      </c>
      <c r="FZ69">
        <v>0.16</v>
      </c>
      <c r="GA69">
        <v>76.150000000000006</v>
      </c>
      <c r="GB69">
        <v>332</v>
      </c>
      <c r="GC69">
        <v>331.99</v>
      </c>
      <c r="GD69">
        <v>332</v>
      </c>
      <c r="GI69" t="s">
        <v>9165</v>
      </c>
      <c r="GO69" t="s">
        <v>9165</v>
      </c>
      <c r="GU69" t="s">
        <v>18774</v>
      </c>
    </row>
    <row r="70" spans="1:203" customFormat="1" x14ac:dyDescent="0.35">
      <c r="A70" t="s">
        <v>25988</v>
      </c>
      <c r="B70" t="s">
        <v>17251</v>
      </c>
      <c r="C70" t="s">
        <v>24</v>
      </c>
      <c r="D70" t="s">
        <v>354</v>
      </c>
      <c r="E70">
        <v>-41.1273095022554</v>
      </c>
      <c r="F70">
        <v>146.86981100990999</v>
      </c>
      <c r="H70">
        <v>121917.80821917808</v>
      </c>
      <c r="I70">
        <v>44500</v>
      </c>
      <c r="J70" t="s">
        <v>502</v>
      </c>
      <c r="P70" t="s">
        <v>6424</v>
      </c>
      <c r="Q70" t="s">
        <v>25989</v>
      </c>
      <c r="R70" t="s">
        <v>4022</v>
      </c>
      <c r="S70" t="s">
        <v>25777</v>
      </c>
      <c r="T70" t="s">
        <v>1074</v>
      </c>
      <c r="V70" t="s">
        <v>25797</v>
      </c>
      <c r="W70" t="s">
        <v>25525</v>
      </c>
      <c r="X70" t="s">
        <v>25990</v>
      </c>
      <c r="FG70" t="s">
        <v>18775</v>
      </c>
      <c r="FH70" t="s">
        <v>7246</v>
      </c>
      <c r="FI70" t="s">
        <v>24</v>
      </c>
      <c r="FJ70" t="s">
        <v>24</v>
      </c>
      <c r="FK70" t="s">
        <v>24</v>
      </c>
      <c r="FM70" t="s">
        <v>18776</v>
      </c>
      <c r="FN70" t="s">
        <v>18777</v>
      </c>
      <c r="FQ70" t="s">
        <v>18778</v>
      </c>
      <c r="FR70" t="s">
        <v>18778</v>
      </c>
      <c r="FS70" t="s">
        <v>7250</v>
      </c>
      <c r="FT70">
        <v>1984</v>
      </c>
      <c r="FX70">
        <v>848.3</v>
      </c>
      <c r="FY70" t="s">
        <v>7251</v>
      </c>
      <c r="FZ70">
        <v>8.77</v>
      </c>
      <c r="GA70">
        <v>4083.15</v>
      </c>
      <c r="GB70">
        <v>1597</v>
      </c>
      <c r="GC70">
        <v>1725.18</v>
      </c>
      <c r="GD70">
        <v>1597</v>
      </c>
      <c r="GG70" t="s">
        <v>18779</v>
      </c>
      <c r="GH70" t="s">
        <v>18780</v>
      </c>
      <c r="GI70" t="s">
        <v>9165</v>
      </c>
      <c r="GK70" t="s">
        <v>6388</v>
      </c>
      <c r="GL70" t="s">
        <v>18781</v>
      </c>
      <c r="GN70" t="s">
        <v>6388</v>
      </c>
      <c r="GO70" t="s">
        <v>9165</v>
      </c>
      <c r="GU70" t="s">
        <v>18782</v>
      </c>
    </row>
    <row r="71" spans="1:203" customFormat="1" x14ac:dyDescent="0.35">
      <c r="A71" t="s">
        <v>25991</v>
      </c>
      <c r="B71" t="s">
        <v>17251</v>
      </c>
      <c r="C71" t="s">
        <v>24</v>
      </c>
      <c r="D71" t="s">
        <v>354</v>
      </c>
      <c r="E71">
        <v>-41.139547774400697</v>
      </c>
      <c r="F71">
        <v>146.90329794539699</v>
      </c>
      <c r="G71">
        <v>260</v>
      </c>
      <c r="H71">
        <v>120000</v>
      </c>
      <c r="I71">
        <v>43800</v>
      </c>
      <c r="P71" t="s">
        <v>6424</v>
      </c>
      <c r="Q71" t="s">
        <v>25992</v>
      </c>
      <c r="R71">
        <v>2027</v>
      </c>
      <c r="S71" t="s">
        <v>25777</v>
      </c>
      <c r="T71" t="s">
        <v>1162</v>
      </c>
      <c r="V71" t="s">
        <v>25797</v>
      </c>
      <c r="W71" t="s">
        <v>25993</v>
      </c>
      <c r="X71" t="s">
        <v>25994</v>
      </c>
      <c r="FG71" t="s">
        <v>18783</v>
      </c>
      <c r="FH71" t="s">
        <v>7246</v>
      </c>
      <c r="FI71" t="s">
        <v>24</v>
      </c>
      <c r="FJ71" t="s">
        <v>24</v>
      </c>
      <c r="FK71" t="s">
        <v>24</v>
      </c>
      <c r="FM71" t="s">
        <v>18784</v>
      </c>
      <c r="FN71" t="s">
        <v>18785</v>
      </c>
      <c r="FP71" t="s">
        <v>18786</v>
      </c>
      <c r="FQ71" t="s">
        <v>10748</v>
      </c>
      <c r="FR71" t="s">
        <v>10749</v>
      </c>
      <c r="FS71" t="s">
        <v>7250</v>
      </c>
      <c r="FT71">
        <v>2009</v>
      </c>
      <c r="FX71">
        <v>502.31</v>
      </c>
      <c r="FY71" t="s">
        <v>7251</v>
      </c>
      <c r="FZ71">
        <v>5.2</v>
      </c>
      <c r="GA71">
        <v>2417.79</v>
      </c>
      <c r="GB71">
        <v>292</v>
      </c>
      <c r="GC71">
        <v>201.86</v>
      </c>
      <c r="GD71">
        <v>292</v>
      </c>
      <c r="GG71" t="s">
        <v>18710</v>
      </c>
      <c r="GH71" t="s">
        <v>13108</v>
      </c>
      <c r="GI71" t="s">
        <v>9165</v>
      </c>
      <c r="GK71" t="s">
        <v>2973</v>
      </c>
      <c r="GL71" t="s">
        <v>18787</v>
      </c>
      <c r="GN71" t="s">
        <v>2973</v>
      </c>
      <c r="GO71" t="s">
        <v>9165</v>
      </c>
      <c r="GU71" t="s">
        <v>18788</v>
      </c>
    </row>
    <row r="72" spans="1:203" customFormat="1" x14ac:dyDescent="0.35">
      <c r="A72" t="s">
        <v>25995</v>
      </c>
      <c r="B72" t="s">
        <v>17251</v>
      </c>
      <c r="C72" t="s">
        <v>24</v>
      </c>
      <c r="D72" t="s">
        <v>354</v>
      </c>
      <c r="E72">
        <v>-41.154002383147201</v>
      </c>
      <c r="F72">
        <v>146.92412655032999</v>
      </c>
      <c r="G72">
        <v>300</v>
      </c>
      <c r="H72">
        <v>97900</v>
      </c>
      <c r="I72">
        <v>35733.5</v>
      </c>
      <c r="J72" t="s">
        <v>502</v>
      </c>
      <c r="K72" t="s">
        <v>25996</v>
      </c>
      <c r="P72" t="s">
        <v>6424</v>
      </c>
      <c r="Q72" t="s">
        <v>25997</v>
      </c>
      <c r="R72" t="s">
        <v>4022</v>
      </c>
      <c r="S72" t="s">
        <v>25777</v>
      </c>
      <c r="T72" t="s">
        <v>1074</v>
      </c>
      <c r="V72" t="s">
        <v>25847</v>
      </c>
      <c r="W72" t="s">
        <v>25848</v>
      </c>
      <c r="X72" t="s">
        <v>25998</v>
      </c>
      <c r="FG72" t="s">
        <v>18868</v>
      </c>
      <c r="FH72" t="s">
        <v>7246</v>
      </c>
      <c r="FI72" t="s">
        <v>24</v>
      </c>
      <c r="FJ72" t="s">
        <v>24</v>
      </c>
      <c r="FK72" t="s">
        <v>24</v>
      </c>
      <c r="FM72" t="s">
        <v>18869</v>
      </c>
      <c r="FN72" t="s">
        <v>18870</v>
      </c>
      <c r="FP72" t="s">
        <v>18871</v>
      </c>
      <c r="FQ72" t="s">
        <v>18872</v>
      </c>
      <c r="FR72" t="s">
        <v>18872</v>
      </c>
      <c r="FS72" t="s">
        <v>7250</v>
      </c>
      <c r="FT72">
        <v>1996</v>
      </c>
      <c r="FX72">
        <v>28.43</v>
      </c>
      <c r="FY72" t="s">
        <v>7251</v>
      </c>
      <c r="FZ72">
        <v>0.28999999999999998</v>
      </c>
      <c r="GA72">
        <v>136.84</v>
      </c>
      <c r="GB72">
        <v>47</v>
      </c>
      <c r="GC72">
        <v>47.54</v>
      </c>
      <c r="GD72">
        <v>47</v>
      </c>
      <c r="GG72" t="s">
        <v>10741</v>
      </c>
      <c r="GI72" t="s">
        <v>9165</v>
      </c>
      <c r="GK72" t="s">
        <v>2973</v>
      </c>
      <c r="GL72" t="s">
        <v>18693</v>
      </c>
      <c r="GN72" t="s">
        <v>2973</v>
      </c>
      <c r="GO72" t="s">
        <v>9165</v>
      </c>
      <c r="GU72" t="s">
        <v>18873</v>
      </c>
    </row>
    <row r="73" spans="1:203" customFormat="1" x14ac:dyDescent="0.35">
      <c r="A73" t="s">
        <v>25999</v>
      </c>
      <c r="B73" t="s">
        <v>17251</v>
      </c>
      <c r="C73" t="s">
        <v>24</v>
      </c>
      <c r="D73" t="s">
        <v>354</v>
      </c>
      <c r="E73">
        <v>-40.851038221728402</v>
      </c>
      <c r="F73">
        <v>145.37910208075201</v>
      </c>
      <c r="G73">
        <v>100</v>
      </c>
      <c r="P73" t="s">
        <v>25263</v>
      </c>
      <c r="Q73" t="s">
        <v>26000</v>
      </c>
      <c r="R73" t="s">
        <v>4022</v>
      </c>
      <c r="S73" t="s">
        <v>25777</v>
      </c>
      <c r="T73" t="s">
        <v>25263</v>
      </c>
      <c r="V73" t="s">
        <v>25803</v>
      </c>
      <c r="W73" t="s">
        <v>26001</v>
      </c>
      <c r="X73" t="s">
        <v>26002</v>
      </c>
      <c r="FG73" t="s">
        <v>18896</v>
      </c>
      <c r="FH73" t="s">
        <v>7246</v>
      </c>
      <c r="FI73" t="s">
        <v>24</v>
      </c>
      <c r="FJ73" t="s">
        <v>24</v>
      </c>
      <c r="FK73" t="s">
        <v>24</v>
      </c>
      <c r="FM73" t="s">
        <v>18897</v>
      </c>
      <c r="FN73" t="s">
        <v>18898</v>
      </c>
      <c r="FQ73" t="s">
        <v>18899</v>
      </c>
      <c r="FR73" t="s">
        <v>18900</v>
      </c>
      <c r="FS73" t="s">
        <v>7250</v>
      </c>
      <c r="FT73">
        <v>1996</v>
      </c>
      <c r="FX73">
        <v>100</v>
      </c>
      <c r="FY73" t="s">
        <v>7251</v>
      </c>
      <c r="FZ73">
        <v>1.03</v>
      </c>
      <c r="GA73">
        <v>481.33</v>
      </c>
      <c r="GB73">
        <v>63</v>
      </c>
      <c r="GC73">
        <v>52.63</v>
      </c>
      <c r="GD73">
        <v>63</v>
      </c>
      <c r="GG73" t="s">
        <v>18901</v>
      </c>
      <c r="GH73" t="s">
        <v>10358</v>
      </c>
      <c r="GI73" t="s">
        <v>9165</v>
      </c>
      <c r="GK73" t="s">
        <v>17379</v>
      </c>
      <c r="GL73" t="s">
        <v>18902</v>
      </c>
      <c r="GN73" t="s">
        <v>6388</v>
      </c>
      <c r="GO73" t="s">
        <v>9165</v>
      </c>
      <c r="GU73" t="s">
        <v>18903</v>
      </c>
    </row>
    <row r="74" spans="1:203" customFormat="1" x14ac:dyDescent="0.35">
      <c r="A74" t="s">
        <v>26003</v>
      </c>
      <c r="B74" t="s">
        <v>26004</v>
      </c>
      <c r="C74" t="s">
        <v>24</v>
      </c>
      <c r="D74" t="s">
        <v>354</v>
      </c>
      <c r="E74">
        <v>-34.475328499035399</v>
      </c>
      <c r="F74">
        <v>150.90629102117501</v>
      </c>
      <c r="G74">
        <v>1000</v>
      </c>
      <c r="H74">
        <v>390136.98630136985</v>
      </c>
      <c r="I74">
        <v>142400</v>
      </c>
      <c r="J74" t="s">
        <v>502</v>
      </c>
      <c r="P74" t="s">
        <v>6424</v>
      </c>
      <c r="Q74" t="s">
        <v>26005</v>
      </c>
      <c r="R74" t="s">
        <v>4022</v>
      </c>
      <c r="S74" t="s">
        <v>25777</v>
      </c>
      <c r="T74" t="s">
        <v>1074</v>
      </c>
      <c r="V74" t="s">
        <v>25797</v>
      </c>
      <c r="W74" t="s">
        <v>26006</v>
      </c>
      <c r="X74" t="s">
        <v>26007</v>
      </c>
      <c r="FG74" t="s">
        <v>18907</v>
      </c>
      <c r="FH74" t="s">
        <v>7246</v>
      </c>
      <c r="FI74" t="s">
        <v>24</v>
      </c>
      <c r="FJ74" t="s">
        <v>24</v>
      </c>
      <c r="FK74" t="s">
        <v>24</v>
      </c>
      <c r="FM74" t="s">
        <v>12842</v>
      </c>
      <c r="FN74" t="s">
        <v>12843</v>
      </c>
      <c r="FP74" t="s">
        <v>18908</v>
      </c>
      <c r="FQ74" t="s">
        <v>10748</v>
      </c>
      <c r="FR74" t="s">
        <v>10749</v>
      </c>
      <c r="FS74" t="s">
        <v>7250</v>
      </c>
      <c r="FT74">
        <v>2000</v>
      </c>
      <c r="FX74">
        <v>336.95</v>
      </c>
      <c r="FY74" t="s">
        <v>7251</v>
      </c>
      <c r="FZ74">
        <v>3.48</v>
      </c>
      <c r="GA74">
        <v>1621.85</v>
      </c>
      <c r="GB74">
        <v>797</v>
      </c>
      <c r="GC74">
        <v>738.7</v>
      </c>
      <c r="GD74">
        <v>797</v>
      </c>
      <c r="GG74" t="s">
        <v>17248</v>
      </c>
      <c r="GH74" t="s">
        <v>17249</v>
      </c>
      <c r="GI74" t="s">
        <v>9165</v>
      </c>
      <c r="GK74" t="s">
        <v>2969</v>
      </c>
      <c r="GL74" t="s">
        <v>18909</v>
      </c>
      <c r="GN74" t="s">
        <v>4124</v>
      </c>
      <c r="GO74" t="s">
        <v>9165</v>
      </c>
      <c r="GU74" t="s">
        <v>18910</v>
      </c>
    </row>
    <row r="75" spans="1:203" customFormat="1" x14ac:dyDescent="0.35">
      <c r="A75" t="s">
        <v>26008</v>
      </c>
      <c r="B75" t="s">
        <v>26004</v>
      </c>
      <c r="C75" t="s">
        <v>24</v>
      </c>
      <c r="D75" t="s">
        <v>354</v>
      </c>
      <c r="E75">
        <v>-34.482969823443497</v>
      </c>
      <c r="F75">
        <v>150.91161252398999</v>
      </c>
      <c r="R75" t="s">
        <v>4022</v>
      </c>
      <c r="S75" t="s">
        <v>25777</v>
      </c>
      <c r="V75" t="s">
        <v>25752</v>
      </c>
      <c r="W75" t="s">
        <v>26009</v>
      </c>
      <c r="X75" t="s">
        <v>26010</v>
      </c>
      <c r="FG75" t="s">
        <v>18911</v>
      </c>
      <c r="FH75" t="s">
        <v>7246</v>
      </c>
      <c r="FI75" t="s">
        <v>24</v>
      </c>
      <c r="FJ75" t="s">
        <v>24</v>
      </c>
      <c r="FK75" t="s">
        <v>24</v>
      </c>
      <c r="FM75" t="s">
        <v>9160</v>
      </c>
      <c r="FN75" t="s">
        <v>9161</v>
      </c>
      <c r="FO75" t="s">
        <v>18912</v>
      </c>
      <c r="FP75" t="s">
        <v>18913</v>
      </c>
      <c r="FQ75" t="s">
        <v>9163</v>
      </c>
      <c r="FR75" t="s">
        <v>9163</v>
      </c>
      <c r="FS75" t="s">
        <v>7250</v>
      </c>
      <c r="FT75">
        <v>2015</v>
      </c>
      <c r="FX75">
        <v>20.6</v>
      </c>
      <c r="FY75" t="s">
        <v>9164</v>
      </c>
      <c r="FZ75">
        <v>0.21</v>
      </c>
      <c r="GA75">
        <v>98.05</v>
      </c>
      <c r="GB75">
        <v>293</v>
      </c>
      <c r="GC75">
        <v>250.57</v>
      </c>
      <c r="GD75">
        <v>293</v>
      </c>
      <c r="GI75" t="s">
        <v>9165</v>
      </c>
      <c r="GK75" t="s">
        <v>6388</v>
      </c>
      <c r="GN75" t="s">
        <v>6388</v>
      </c>
      <c r="GO75" t="s">
        <v>9165</v>
      </c>
      <c r="GU75" t="s">
        <v>18914</v>
      </c>
    </row>
    <row r="76" spans="1:203" customFormat="1" x14ac:dyDescent="0.35">
      <c r="A76" t="s">
        <v>26011</v>
      </c>
      <c r="B76" t="s">
        <v>26004</v>
      </c>
      <c r="C76" t="s">
        <v>24</v>
      </c>
      <c r="D76" t="s">
        <v>354</v>
      </c>
      <c r="E76">
        <v>-34.493440131259803</v>
      </c>
      <c r="F76">
        <v>150.89787961349899</v>
      </c>
      <c r="G76">
        <v>10</v>
      </c>
      <c r="H76">
        <v>4000</v>
      </c>
      <c r="I76">
        <v>1460</v>
      </c>
      <c r="J76" t="s">
        <v>502</v>
      </c>
      <c r="K76" t="s">
        <v>25422</v>
      </c>
      <c r="P76" t="s">
        <v>583</v>
      </c>
      <c r="Q76" t="s">
        <v>26012</v>
      </c>
      <c r="R76">
        <v>2025</v>
      </c>
      <c r="S76" t="s">
        <v>25777</v>
      </c>
      <c r="V76" t="s">
        <v>25797</v>
      </c>
      <c r="W76" t="s">
        <v>25554</v>
      </c>
      <c r="X76" t="s">
        <v>26013</v>
      </c>
      <c r="FG76" t="s">
        <v>19152</v>
      </c>
      <c r="FH76" t="s">
        <v>7246</v>
      </c>
      <c r="FI76" t="s">
        <v>24</v>
      </c>
      <c r="FJ76" t="s">
        <v>24</v>
      </c>
      <c r="FK76" t="s">
        <v>24</v>
      </c>
      <c r="FM76" t="s">
        <v>19153</v>
      </c>
      <c r="FN76" t="s">
        <v>19154</v>
      </c>
      <c r="FQ76" t="s">
        <v>19155</v>
      </c>
      <c r="FR76" t="s">
        <v>19155</v>
      </c>
      <c r="FS76" t="s">
        <v>7269</v>
      </c>
      <c r="FZ76" t="s">
        <v>6546</v>
      </c>
      <c r="GA76" t="s">
        <v>6546</v>
      </c>
      <c r="GB76">
        <v>219</v>
      </c>
      <c r="GC76">
        <v>204.11</v>
      </c>
      <c r="GD76">
        <v>219</v>
      </c>
      <c r="GH76" t="s">
        <v>19156</v>
      </c>
      <c r="GI76" t="s">
        <v>9165</v>
      </c>
      <c r="GK76" t="s">
        <v>4124</v>
      </c>
      <c r="GL76" t="s">
        <v>17366</v>
      </c>
      <c r="GN76" t="s">
        <v>4124</v>
      </c>
      <c r="GO76" t="s">
        <v>9165</v>
      </c>
      <c r="GU76" t="s">
        <v>19157</v>
      </c>
    </row>
    <row r="77" spans="1:203" customFormat="1" x14ac:dyDescent="0.35">
      <c r="A77" t="s">
        <v>26014</v>
      </c>
      <c r="B77" t="s">
        <v>4124</v>
      </c>
      <c r="C77" t="s">
        <v>24</v>
      </c>
      <c r="D77" t="s">
        <v>354</v>
      </c>
      <c r="E77">
        <v>-32.730411092485198</v>
      </c>
      <c r="F77">
        <v>151.55090842836699</v>
      </c>
      <c r="R77" t="s">
        <v>4022</v>
      </c>
      <c r="S77" t="s">
        <v>25777</v>
      </c>
      <c r="V77" t="s">
        <v>25803</v>
      </c>
      <c r="W77" t="s">
        <v>26009</v>
      </c>
      <c r="X77" t="s">
        <v>26015</v>
      </c>
      <c r="FG77" t="s">
        <v>19158</v>
      </c>
      <c r="FH77" t="s">
        <v>7246</v>
      </c>
      <c r="FI77" t="s">
        <v>24</v>
      </c>
      <c r="FJ77" t="s">
        <v>24</v>
      </c>
      <c r="FK77" t="s">
        <v>24</v>
      </c>
      <c r="FM77" t="s">
        <v>19159</v>
      </c>
      <c r="FN77" t="s">
        <v>19160</v>
      </c>
      <c r="FQ77" t="s">
        <v>19161</v>
      </c>
      <c r="FR77" t="s">
        <v>19161</v>
      </c>
      <c r="FS77" t="s">
        <v>7250</v>
      </c>
      <c r="FT77">
        <v>2015</v>
      </c>
      <c r="FX77">
        <v>64</v>
      </c>
      <c r="FY77" t="s">
        <v>9164</v>
      </c>
      <c r="FZ77">
        <v>0.65</v>
      </c>
      <c r="GA77">
        <v>304.61</v>
      </c>
      <c r="GB77">
        <v>270</v>
      </c>
      <c r="GC77">
        <v>243.92</v>
      </c>
      <c r="GD77">
        <v>270</v>
      </c>
      <c r="GH77" t="s">
        <v>19162</v>
      </c>
      <c r="GI77" t="s">
        <v>9165</v>
      </c>
      <c r="GK77" t="s">
        <v>6388</v>
      </c>
      <c r="GN77" t="s">
        <v>6388</v>
      </c>
      <c r="GO77" t="s">
        <v>9165</v>
      </c>
      <c r="GU77" t="s">
        <v>19163</v>
      </c>
    </row>
    <row r="78" spans="1:203" customFormat="1" x14ac:dyDescent="0.35">
      <c r="A78" t="s">
        <v>26016</v>
      </c>
      <c r="B78" t="s">
        <v>4124</v>
      </c>
      <c r="C78" t="s">
        <v>24</v>
      </c>
      <c r="D78" t="s">
        <v>354</v>
      </c>
      <c r="E78">
        <v>-32.9207759304633</v>
      </c>
      <c r="F78">
        <v>151.773931765952</v>
      </c>
      <c r="G78">
        <v>55</v>
      </c>
      <c r="J78" t="s">
        <v>502</v>
      </c>
      <c r="K78" t="s">
        <v>25422</v>
      </c>
      <c r="O78">
        <v>130000000</v>
      </c>
      <c r="R78" t="s">
        <v>4022</v>
      </c>
      <c r="S78" t="s">
        <v>25777</v>
      </c>
      <c r="V78" t="s">
        <v>25797</v>
      </c>
      <c r="W78" t="s">
        <v>25986</v>
      </c>
      <c r="X78" t="s">
        <v>26017</v>
      </c>
      <c r="FG78" t="s">
        <v>19170</v>
      </c>
      <c r="FH78" t="s">
        <v>7246</v>
      </c>
      <c r="FI78" t="s">
        <v>24</v>
      </c>
      <c r="FJ78" t="s">
        <v>24</v>
      </c>
      <c r="FK78" t="s">
        <v>24</v>
      </c>
      <c r="FM78" t="s">
        <v>19171</v>
      </c>
      <c r="FN78" t="s">
        <v>19172</v>
      </c>
      <c r="FP78" t="s">
        <v>19173</v>
      </c>
      <c r="FQ78" t="s">
        <v>12647</v>
      </c>
      <c r="FR78" t="s">
        <v>12648</v>
      </c>
      <c r="FS78" t="s">
        <v>7292</v>
      </c>
      <c r="FT78">
        <v>2028</v>
      </c>
      <c r="FX78">
        <v>200</v>
      </c>
      <c r="FY78" t="s">
        <v>9164</v>
      </c>
      <c r="FZ78">
        <v>2.0499999999999998</v>
      </c>
      <c r="GA78">
        <v>951.9</v>
      </c>
      <c r="GB78">
        <v>585</v>
      </c>
      <c r="GC78">
        <v>580.26</v>
      </c>
      <c r="GD78">
        <v>585</v>
      </c>
      <c r="GH78" t="s">
        <v>12649</v>
      </c>
      <c r="GI78" t="s">
        <v>9165</v>
      </c>
      <c r="GK78" t="s">
        <v>2973</v>
      </c>
      <c r="GL78" t="s">
        <v>19174</v>
      </c>
      <c r="GN78" t="s">
        <v>2973</v>
      </c>
      <c r="GO78" t="s">
        <v>9165</v>
      </c>
      <c r="GU78" t="s">
        <v>19175</v>
      </c>
    </row>
    <row r="79" spans="1:203" customFormat="1" x14ac:dyDescent="0.35">
      <c r="A79" t="s">
        <v>26018</v>
      </c>
      <c r="B79" t="s">
        <v>4124</v>
      </c>
      <c r="C79" t="s">
        <v>24</v>
      </c>
      <c r="D79" t="s">
        <v>354</v>
      </c>
      <c r="E79">
        <v>-30.745591377722999</v>
      </c>
      <c r="F79">
        <v>150.72277286397599</v>
      </c>
      <c r="K79" t="s">
        <v>25394</v>
      </c>
      <c r="L79">
        <v>4.95</v>
      </c>
      <c r="O79">
        <v>4745000</v>
      </c>
      <c r="P79" t="s">
        <v>25436</v>
      </c>
      <c r="Q79" t="s">
        <v>26019</v>
      </c>
      <c r="R79" t="s">
        <v>4022</v>
      </c>
      <c r="S79" t="s">
        <v>25777</v>
      </c>
      <c r="U79" t="s">
        <v>26020</v>
      </c>
      <c r="V79" t="s">
        <v>25803</v>
      </c>
      <c r="W79" t="s">
        <v>26021</v>
      </c>
      <c r="X79" t="s">
        <v>25597</v>
      </c>
      <c r="FG79" t="s">
        <v>19194</v>
      </c>
      <c r="FH79" t="s">
        <v>7246</v>
      </c>
      <c r="FI79" t="s">
        <v>24</v>
      </c>
      <c r="FJ79" t="s">
        <v>24</v>
      </c>
      <c r="FK79" t="s">
        <v>24</v>
      </c>
      <c r="FM79" t="s">
        <v>19195</v>
      </c>
      <c r="FN79" t="s">
        <v>19196</v>
      </c>
      <c r="FP79" t="s">
        <v>19197</v>
      </c>
      <c r="FQ79" t="s">
        <v>18755</v>
      </c>
      <c r="FR79" t="s">
        <v>18755</v>
      </c>
      <c r="FS79" t="s">
        <v>7250</v>
      </c>
      <c r="FT79">
        <v>2014</v>
      </c>
      <c r="FX79">
        <v>1355.38</v>
      </c>
      <c r="FY79" t="s">
        <v>7251</v>
      </c>
      <c r="FZ79">
        <v>14.02</v>
      </c>
      <c r="GA79">
        <v>6523.9</v>
      </c>
      <c r="GB79">
        <v>435</v>
      </c>
      <c r="GC79">
        <v>400.83</v>
      </c>
      <c r="GD79">
        <v>435</v>
      </c>
      <c r="GG79" t="s">
        <v>18710</v>
      </c>
      <c r="GH79" t="s">
        <v>19198</v>
      </c>
      <c r="GI79" t="s">
        <v>9165</v>
      </c>
      <c r="GK79" t="s">
        <v>2973</v>
      </c>
      <c r="GL79" t="s">
        <v>6423</v>
      </c>
      <c r="GN79" t="s">
        <v>2973</v>
      </c>
      <c r="GO79" t="s">
        <v>9165</v>
      </c>
      <c r="GU79" t="s">
        <v>19199</v>
      </c>
    </row>
    <row r="80" spans="1:203" customFormat="1" x14ac:dyDescent="0.35">
      <c r="A80" t="s">
        <v>26022</v>
      </c>
      <c r="B80" t="s">
        <v>26023</v>
      </c>
      <c r="C80" t="s">
        <v>24</v>
      </c>
      <c r="D80" t="s">
        <v>354</v>
      </c>
      <c r="E80">
        <v>-29.481648542865202</v>
      </c>
      <c r="F80">
        <v>149.83993341624699</v>
      </c>
      <c r="G80">
        <v>12</v>
      </c>
      <c r="H80">
        <v>1853.1506849315069</v>
      </c>
      <c r="I80">
        <v>676.4</v>
      </c>
      <c r="J80" t="s">
        <v>502</v>
      </c>
      <c r="K80" t="s">
        <v>25394</v>
      </c>
      <c r="L80">
        <v>27</v>
      </c>
      <c r="M80">
        <v>20000</v>
      </c>
      <c r="P80" t="s">
        <v>1074</v>
      </c>
      <c r="Q80" t="s">
        <v>26024</v>
      </c>
      <c r="R80" t="s">
        <v>4022</v>
      </c>
      <c r="S80" t="s">
        <v>25777</v>
      </c>
      <c r="T80" t="s">
        <v>1074</v>
      </c>
      <c r="V80" t="s">
        <v>25803</v>
      </c>
      <c r="W80" t="s">
        <v>26025</v>
      </c>
      <c r="X80" t="s">
        <v>26026</v>
      </c>
      <c r="FG80" t="s">
        <v>19219</v>
      </c>
      <c r="FH80" t="s">
        <v>7246</v>
      </c>
      <c r="FI80" t="s">
        <v>24</v>
      </c>
      <c r="FJ80" t="s">
        <v>24</v>
      </c>
      <c r="FK80" t="s">
        <v>24</v>
      </c>
      <c r="FM80" t="s">
        <v>19220</v>
      </c>
      <c r="FN80" t="s">
        <v>19221</v>
      </c>
      <c r="FQ80" t="s">
        <v>19222</v>
      </c>
      <c r="FR80" t="s">
        <v>19222</v>
      </c>
      <c r="FS80" t="s">
        <v>7269</v>
      </c>
      <c r="FZ80" t="s">
        <v>6546</v>
      </c>
      <c r="GA80" t="s">
        <v>6546</v>
      </c>
      <c r="GB80">
        <v>100</v>
      </c>
      <c r="GC80">
        <v>96.54</v>
      </c>
      <c r="GD80">
        <v>100</v>
      </c>
      <c r="GH80" t="s">
        <v>19223</v>
      </c>
      <c r="GI80" t="s">
        <v>9165</v>
      </c>
      <c r="GK80" t="s">
        <v>4124</v>
      </c>
      <c r="GL80" t="s">
        <v>19224</v>
      </c>
      <c r="GN80" t="s">
        <v>4124</v>
      </c>
      <c r="GO80" t="s">
        <v>9165</v>
      </c>
      <c r="GU80" t="s">
        <v>19225</v>
      </c>
    </row>
    <row r="81" spans="1:203" customFormat="1" x14ac:dyDescent="0.35">
      <c r="A81" t="s">
        <v>26027</v>
      </c>
      <c r="B81" t="s">
        <v>26028</v>
      </c>
      <c r="C81" t="s">
        <v>24</v>
      </c>
      <c r="D81" t="s">
        <v>354</v>
      </c>
      <c r="E81">
        <v>-28.547748028900799</v>
      </c>
      <c r="F81">
        <v>150.30778670043799</v>
      </c>
      <c r="H81">
        <v>3698.6301369863013</v>
      </c>
      <c r="I81">
        <v>1350</v>
      </c>
      <c r="J81" t="s">
        <v>502</v>
      </c>
      <c r="K81" t="s">
        <v>25394</v>
      </c>
      <c r="L81">
        <v>2.5</v>
      </c>
      <c r="P81" t="s">
        <v>25855</v>
      </c>
      <c r="Q81" t="s">
        <v>26029</v>
      </c>
      <c r="R81">
        <v>2024</v>
      </c>
      <c r="S81" t="s">
        <v>25777</v>
      </c>
      <c r="V81" t="s">
        <v>25797</v>
      </c>
      <c r="W81" t="s">
        <v>26030</v>
      </c>
      <c r="X81" t="s">
        <v>26031</v>
      </c>
      <c r="FG81" t="s">
        <v>19234</v>
      </c>
      <c r="FH81" t="s">
        <v>7246</v>
      </c>
      <c r="FI81" t="s">
        <v>24</v>
      </c>
      <c r="FJ81" t="s">
        <v>24</v>
      </c>
      <c r="FK81" t="s">
        <v>24</v>
      </c>
      <c r="FM81" t="s">
        <v>19235</v>
      </c>
      <c r="FN81" t="s">
        <v>19236</v>
      </c>
      <c r="FP81" t="s">
        <v>19173</v>
      </c>
      <c r="FQ81" t="s">
        <v>19237</v>
      </c>
      <c r="FR81" t="s">
        <v>19237</v>
      </c>
      <c r="FS81" t="s">
        <v>7250</v>
      </c>
      <c r="FT81">
        <v>1996</v>
      </c>
      <c r="FX81">
        <v>202.5</v>
      </c>
      <c r="FY81" t="s">
        <v>9164</v>
      </c>
      <c r="FZ81">
        <v>2.0699999999999998</v>
      </c>
      <c r="GA81">
        <v>963.79</v>
      </c>
      <c r="GB81">
        <v>1380</v>
      </c>
      <c r="GC81">
        <v>1427.61</v>
      </c>
      <c r="GD81">
        <v>1380</v>
      </c>
      <c r="GG81" t="s">
        <v>17333</v>
      </c>
      <c r="GI81" t="s">
        <v>9165</v>
      </c>
      <c r="GK81" t="s">
        <v>6388</v>
      </c>
      <c r="GL81" t="s">
        <v>19238</v>
      </c>
      <c r="GN81" t="s">
        <v>6388</v>
      </c>
      <c r="GO81" t="s">
        <v>9165</v>
      </c>
      <c r="GU81" t="s">
        <v>19239</v>
      </c>
    </row>
    <row r="82" spans="1:203" customFormat="1" x14ac:dyDescent="0.35">
      <c r="A82" t="s">
        <v>26032</v>
      </c>
      <c r="B82" t="s">
        <v>1080</v>
      </c>
      <c r="C82" t="s">
        <v>24</v>
      </c>
      <c r="D82" t="s">
        <v>354</v>
      </c>
      <c r="E82">
        <v>-27.6455350622835</v>
      </c>
      <c r="F82">
        <v>152.81528477864401</v>
      </c>
      <c r="P82" t="s">
        <v>25436</v>
      </c>
      <c r="Q82" t="s">
        <v>26033</v>
      </c>
      <c r="R82" t="s">
        <v>4022</v>
      </c>
      <c r="S82" t="s">
        <v>25777</v>
      </c>
      <c r="T82" t="s">
        <v>25542</v>
      </c>
      <c r="V82" t="s">
        <v>25803</v>
      </c>
      <c r="W82" t="s">
        <v>26034</v>
      </c>
      <c r="X82" t="s">
        <v>26035</v>
      </c>
      <c r="FG82" t="s">
        <v>19266</v>
      </c>
      <c r="FH82" t="s">
        <v>7246</v>
      </c>
      <c r="FI82" t="s">
        <v>24</v>
      </c>
      <c r="FJ82" t="s">
        <v>24</v>
      </c>
      <c r="FK82" t="s">
        <v>24</v>
      </c>
      <c r="FM82" t="s">
        <v>19267</v>
      </c>
      <c r="FN82" t="s">
        <v>19268</v>
      </c>
      <c r="FQ82" t="s">
        <v>17298</v>
      </c>
      <c r="FR82" t="s">
        <v>17298</v>
      </c>
      <c r="FS82" t="s">
        <v>7250</v>
      </c>
      <c r="FT82">
        <v>2017</v>
      </c>
      <c r="FX82">
        <v>284.35000000000002</v>
      </c>
      <c r="FY82" t="s">
        <v>7251</v>
      </c>
      <c r="FZ82">
        <v>2.94</v>
      </c>
      <c r="GA82">
        <v>1368.67</v>
      </c>
      <c r="GB82" t="s">
        <v>6546</v>
      </c>
      <c r="GC82">
        <v>227.34</v>
      </c>
      <c r="GD82">
        <v>227.34</v>
      </c>
      <c r="GG82" t="s">
        <v>19269</v>
      </c>
      <c r="GI82" t="s">
        <v>9165</v>
      </c>
      <c r="GK82" t="s">
        <v>6388</v>
      </c>
      <c r="GL82" t="s">
        <v>18780</v>
      </c>
      <c r="GN82" t="s">
        <v>6388</v>
      </c>
      <c r="GO82" t="s">
        <v>9165</v>
      </c>
      <c r="GU82" t="s">
        <v>19270</v>
      </c>
    </row>
    <row r="83" spans="1:203" customFormat="1" x14ac:dyDescent="0.35">
      <c r="A83" t="s">
        <v>26036</v>
      </c>
      <c r="B83" t="s">
        <v>1080</v>
      </c>
      <c r="C83" t="s">
        <v>24</v>
      </c>
      <c r="D83" t="s">
        <v>354</v>
      </c>
      <c r="E83">
        <v>-27.524175973613499</v>
      </c>
      <c r="F83">
        <v>153.19794222411701</v>
      </c>
      <c r="O83">
        <v>1950000</v>
      </c>
      <c r="P83" t="s">
        <v>583</v>
      </c>
      <c r="Q83" t="s">
        <v>26037</v>
      </c>
      <c r="R83" t="s">
        <v>4022</v>
      </c>
      <c r="S83" t="s">
        <v>25777</v>
      </c>
      <c r="T83" t="s">
        <v>583</v>
      </c>
      <c r="V83" t="s">
        <v>25847</v>
      </c>
      <c r="W83" t="s">
        <v>26038</v>
      </c>
      <c r="X83" t="s">
        <v>26039</v>
      </c>
      <c r="FG83" t="s">
        <v>19280</v>
      </c>
      <c r="FH83" t="s">
        <v>7246</v>
      </c>
      <c r="FI83" t="s">
        <v>24</v>
      </c>
      <c r="FJ83" t="s">
        <v>24</v>
      </c>
      <c r="FK83" t="s">
        <v>24</v>
      </c>
      <c r="FM83" t="s">
        <v>19281</v>
      </c>
      <c r="FN83" t="s">
        <v>19282</v>
      </c>
      <c r="FQ83" t="s">
        <v>13307</v>
      </c>
      <c r="FR83" t="s">
        <v>13307</v>
      </c>
      <c r="FS83" t="s">
        <v>7731</v>
      </c>
      <c r="FT83">
        <v>2021</v>
      </c>
      <c r="FX83">
        <v>132.69</v>
      </c>
      <c r="FY83" t="s">
        <v>7251</v>
      </c>
      <c r="FZ83">
        <v>1.37</v>
      </c>
      <c r="GA83">
        <v>638.67999999999995</v>
      </c>
      <c r="GB83">
        <v>32</v>
      </c>
      <c r="GC83">
        <v>33.5</v>
      </c>
      <c r="GD83">
        <v>32</v>
      </c>
      <c r="GG83" t="s">
        <v>19283</v>
      </c>
      <c r="GH83" t="s">
        <v>18787</v>
      </c>
      <c r="GI83" t="s">
        <v>9165</v>
      </c>
      <c r="GK83" t="s">
        <v>2973</v>
      </c>
      <c r="GL83" t="s">
        <v>18785</v>
      </c>
      <c r="GN83" t="s">
        <v>2973</v>
      </c>
      <c r="GO83" t="s">
        <v>9165</v>
      </c>
      <c r="GU83" t="s">
        <v>19284</v>
      </c>
    </row>
    <row r="84" spans="1:203" customFormat="1" x14ac:dyDescent="0.35">
      <c r="A84" t="s">
        <v>26040</v>
      </c>
      <c r="B84" t="s">
        <v>1080</v>
      </c>
      <c r="C84" t="s">
        <v>24</v>
      </c>
      <c r="D84" t="s">
        <v>354</v>
      </c>
      <c r="E84">
        <v>-27.3796448058484</v>
      </c>
      <c r="F84">
        <v>153.14888172771299</v>
      </c>
      <c r="G84">
        <v>500</v>
      </c>
      <c r="H84">
        <v>191780.82191780821</v>
      </c>
      <c r="I84">
        <v>70000</v>
      </c>
      <c r="J84" t="s">
        <v>502</v>
      </c>
      <c r="O84">
        <v>24700000</v>
      </c>
      <c r="P84" t="s">
        <v>1074</v>
      </c>
      <c r="Q84" t="s">
        <v>26041</v>
      </c>
      <c r="R84" t="s">
        <v>4022</v>
      </c>
      <c r="S84" t="s">
        <v>25777</v>
      </c>
      <c r="T84" t="s">
        <v>1074</v>
      </c>
      <c r="V84" t="s">
        <v>26042</v>
      </c>
      <c r="W84" t="s">
        <v>25525</v>
      </c>
      <c r="X84" t="s">
        <v>26043</v>
      </c>
      <c r="FG84" t="s">
        <v>19293</v>
      </c>
      <c r="FH84" t="s">
        <v>7246</v>
      </c>
      <c r="FI84" t="s">
        <v>24</v>
      </c>
      <c r="FJ84" t="s">
        <v>24</v>
      </c>
      <c r="FK84" t="s">
        <v>24</v>
      </c>
      <c r="FM84" t="s">
        <v>19294</v>
      </c>
      <c r="FN84" t="s">
        <v>19295</v>
      </c>
      <c r="FP84" t="s">
        <v>19296</v>
      </c>
      <c r="FQ84" t="s">
        <v>9163</v>
      </c>
      <c r="FR84" t="s">
        <v>9163</v>
      </c>
      <c r="FS84" t="s">
        <v>7250</v>
      </c>
      <c r="FT84">
        <v>1996</v>
      </c>
      <c r="FX84">
        <v>26</v>
      </c>
      <c r="FY84" t="s">
        <v>9164</v>
      </c>
      <c r="FZ84">
        <v>0.27</v>
      </c>
      <c r="GA84">
        <v>123.75</v>
      </c>
      <c r="GB84">
        <v>44</v>
      </c>
      <c r="GC84">
        <v>53.5</v>
      </c>
      <c r="GD84">
        <v>44</v>
      </c>
      <c r="GH84" t="s">
        <v>19238</v>
      </c>
      <c r="GI84" t="s">
        <v>9165</v>
      </c>
      <c r="GK84" t="s">
        <v>6388</v>
      </c>
      <c r="GL84" t="s">
        <v>19297</v>
      </c>
      <c r="GN84" t="s">
        <v>6388</v>
      </c>
      <c r="GO84" t="s">
        <v>9165</v>
      </c>
      <c r="GU84" t="s">
        <v>19298</v>
      </c>
    </row>
    <row r="85" spans="1:203" customFormat="1" x14ac:dyDescent="0.35">
      <c r="A85" t="s">
        <v>26044</v>
      </c>
      <c r="B85" t="s">
        <v>25561</v>
      </c>
      <c r="C85" t="s">
        <v>24</v>
      </c>
      <c r="D85" t="s">
        <v>354</v>
      </c>
      <c r="E85">
        <v>-26.8431326604471</v>
      </c>
      <c r="F85">
        <v>150.79650126365999</v>
      </c>
      <c r="P85" t="s">
        <v>25436</v>
      </c>
      <c r="Q85" t="s">
        <v>26045</v>
      </c>
      <c r="R85">
        <v>2027</v>
      </c>
      <c r="S85" t="s">
        <v>25777</v>
      </c>
      <c r="T85" t="s">
        <v>25542</v>
      </c>
      <c r="V85" t="s">
        <v>25803</v>
      </c>
      <c r="W85" t="s">
        <v>26046</v>
      </c>
      <c r="X85" t="s">
        <v>26047</v>
      </c>
      <c r="FG85" t="s">
        <v>19299</v>
      </c>
      <c r="FH85" t="s">
        <v>7246</v>
      </c>
      <c r="FI85" t="s">
        <v>24</v>
      </c>
      <c r="FJ85" t="s">
        <v>24</v>
      </c>
      <c r="FK85" t="s">
        <v>24</v>
      </c>
      <c r="FM85" t="s">
        <v>19300</v>
      </c>
      <c r="FN85" t="s">
        <v>19301</v>
      </c>
      <c r="FQ85" t="s">
        <v>6543</v>
      </c>
      <c r="FR85" t="s">
        <v>6543</v>
      </c>
      <c r="FS85" t="s">
        <v>7250</v>
      </c>
      <c r="FT85">
        <v>1996</v>
      </c>
      <c r="FX85">
        <v>6</v>
      </c>
      <c r="FY85" t="s">
        <v>9164</v>
      </c>
      <c r="FZ85">
        <v>0.06</v>
      </c>
      <c r="GA85">
        <v>28.56</v>
      </c>
      <c r="GB85">
        <v>342</v>
      </c>
      <c r="GC85">
        <v>341.24</v>
      </c>
      <c r="GD85">
        <v>342</v>
      </c>
      <c r="GH85" t="s">
        <v>19297</v>
      </c>
      <c r="GI85" t="s">
        <v>9165</v>
      </c>
      <c r="GL85" t="s">
        <v>19302</v>
      </c>
      <c r="GN85" t="s">
        <v>6388</v>
      </c>
      <c r="GO85" t="s">
        <v>9165</v>
      </c>
      <c r="GU85" t="s">
        <v>19303</v>
      </c>
    </row>
    <row r="86" spans="1:203" customFormat="1" x14ac:dyDescent="0.35">
      <c r="A86" t="s">
        <v>26048</v>
      </c>
      <c r="B86" t="s">
        <v>26049</v>
      </c>
      <c r="C86" t="s">
        <v>24</v>
      </c>
      <c r="D86" t="s">
        <v>354</v>
      </c>
      <c r="E86">
        <v>-16.0845230111494</v>
      </c>
      <c r="F86">
        <v>145.45507478991399</v>
      </c>
      <c r="G86">
        <v>1</v>
      </c>
      <c r="K86" t="s">
        <v>25394</v>
      </c>
      <c r="L86">
        <v>8</v>
      </c>
      <c r="P86" t="s">
        <v>25436</v>
      </c>
      <c r="Q86" t="s">
        <v>26050</v>
      </c>
      <c r="R86">
        <v>2024</v>
      </c>
      <c r="S86" t="s">
        <v>25777</v>
      </c>
      <c r="U86" t="s">
        <v>26020</v>
      </c>
      <c r="V86" t="s">
        <v>25797</v>
      </c>
      <c r="W86" t="s">
        <v>26051</v>
      </c>
      <c r="X86" t="s">
        <v>26052</v>
      </c>
      <c r="FG86" t="s">
        <v>19304</v>
      </c>
      <c r="FH86" t="s">
        <v>7246</v>
      </c>
      <c r="FI86" t="s">
        <v>24</v>
      </c>
      <c r="FJ86" t="s">
        <v>24</v>
      </c>
      <c r="FK86" t="s">
        <v>24</v>
      </c>
      <c r="FM86" t="s">
        <v>19305</v>
      </c>
      <c r="FN86" t="s">
        <v>19306</v>
      </c>
      <c r="FQ86" t="s">
        <v>19307</v>
      </c>
      <c r="FR86" t="s">
        <v>19307</v>
      </c>
      <c r="FS86" t="s">
        <v>7250</v>
      </c>
      <c r="FT86">
        <v>1984</v>
      </c>
      <c r="FX86">
        <v>95</v>
      </c>
      <c r="FY86" t="s">
        <v>9164</v>
      </c>
      <c r="FZ86">
        <v>0.97</v>
      </c>
      <c r="GA86">
        <v>452.15</v>
      </c>
      <c r="GB86">
        <v>57</v>
      </c>
      <c r="GC86">
        <v>53.41</v>
      </c>
      <c r="GD86">
        <v>57</v>
      </c>
      <c r="GH86" t="s">
        <v>1103</v>
      </c>
      <c r="GI86" t="s">
        <v>9165</v>
      </c>
      <c r="GK86" t="s">
        <v>6388</v>
      </c>
      <c r="GL86" t="s">
        <v>19308</v>
      </c>
      <c r="GN86" t="s">
        <v>6388</v>
      </c>
      <c r="GO86" t="s">
        <v>9165</v>
      </c>
      <c r="GU86" t="s">
        <v>19309</v>
      </c>
    </row>
    <row r="87" spans="1:203" customFormat="1" x14ac:dyDescent="0.35">
      <c r="A87" t="s">
        <v>26053</v>
      </c>
      <c r="B87" t="s">
        <v>10742</v>
      </c>
      <c r="C87" t="s">
        <v>24</v>
      </c>
      <c r="D87" t="s">
        <v>354</v>
      </c>
      <c r="E87">
        <v>-19.255240603172201</v>
      </c>
      <c r="F87">
        <v>146.80845671674899</v>
      </c>
      <c r="P87" t="s">
        <v>6424</v>
      </c>
      <c r="R87">
        <v>2030</v>
      </c>
      <c r="S87" t="s">
        <v>25777</v>
      </c>
      <c r="V87" t="s">
        <v>25803</v>
      </c>
      <c r="W87" t="s">
        <v>25986</v>
      </c>
      <c r="X87" t="s">
        <v>26054</v>
      </c>
      <c r="FG87" t="s">
        <v>19310</v>
      </c>
      <c r="FH87" t="s">
        <v>7246</v>
      </c>
      <c r="FI87" t="s">
        <v>24</v>
      </c>
      <c r="FJ87" t="s">
        <v>24</v>
      </c>
      <c r="FK87" t="s">
        <v>24</v>
      </c>
      <c r="FM87" t="s">
        <v>19311</v>
      </c>
      <c r="FN87" t="s">
        <v>19312</v>
      </c>
      <c r="FP87" t="s">
        <v>19313</v>
      </c>
      <c r="FQ87" t="s">
        <v>19314</v>
      </c>
      <c r="FR87" t="s">
        <v>19314</v>
      </c>
      <c r="FS87" t="s">
        <v>7250</v>
      </c>
      <c r="FT87">
        <v>1977</v>
      </c>
      <c r="FU87">
        <v>2017</v>
      </c>
      <c r="FX87">
        <v>30</v>
      </c>
      <c r="FY87" t="s">
        <v>9164</v>
      </c>
      <c r="FZ87">
        <v>0.31</v>
      </c>
      <c r="GA87">
        <v>142.78</v>
      </c>
      <c r="GB87">
        <v>53</v>
      </c>
      <c r="GC87">
        <v>62.15</v>
      </c>
      <c r="GD87">
        <v>53</v>
      </c>
      <c r="GE87">
        <v>219</v>
      </c>
      <c r="GF87" t="s">
        <v>8842</v>
      </c>
      <c r="GG87" t="s">
        <v>19315</v>
      </c>
      <c r="GH87" t="s">
        <v>19316</v>
      </c>
      <c r="GI87" t="s">
        <v>9165</v>
      </c>
      <c r="GK87" t="s">
        <v>2973</v>
      </c>
      <c r="GL87" t="s">
        <v>13040</v>
      </c>
      <c r="GN87" t="s">
        <v>2973</v>
      </c>
      <c r="GO87" t="s">
        <v>9165</v>
      </c>
      <c r="GU87" t="s">
        <v>19317</v>
      </c>
    </row>
    <row r="88" spans="1:203" customFormat="1" x14ac:dyDescent="0.35">
      <c r="A88" t="s">
        <v>26055</v>
      </c>
      <c r="B88" t="s">
        <v>10742</v>
      </c>
      <c r="C88" t="s">
        <v>24</v>
      </c>
      <c r="D88" t="s">
        <v>354</v>
      </c>
      <c r="E88">
        <v>-19.3246492744872</v>
      </c>
      <c r="F88">
        <v>146.821944448045</v>
      </c>
      <c r="P88" t="s">
        <v>583</v>
      </c>
      <c r="Q88" t="s">
        <v>26056</v>
      </c>
      <c r="R88" t="s">
        <v>4022</v>
      </c>
      <c r="S88" t="s">
        <v>25777</v>
      </c>
      <c r="T88" t="s">
        <v>583</v>
      </c>
      <c r="V88" t="s">
        <v>25797</v>
      </c>
      <c r="W88" t="s">
        <v>26057</v>
      </c>
      <c r="X88" t="s">
        <v>26058</v>
      </c>
      <c r="FG88" t="s">
        <v>19318</v>
      </c>
      <c r="FH88" t="s">
        <v>7246</v>
      </c>
      <c r="FI88" t="s">
        <v>24</v>
      </c>
      <c r="FJ88" t="s">
        <v>24</v>
      </c>
      <c r="FK88" t="s">
        <v>24</v>
      </c>
      <c r="FM88" t="s">
        <v>19319</v>
      </c>
      <c r="FN88" t="s">
        <v>19320</v>
      </c>
      <c r="FQ88" t="s">
        <v>6543</v>
      </c>
      <c r="FR88" t="s">
        <v>6543</v>
      </c>
      <c r="FS88" t="s">
        <v>7250</v>
      </c>
      <c r="FT88">
        <v>1999</v>
      </c>
      <c r="FX88">
        <v>18.5</v>
      </c>
      <c r="FY88" t="s">
        <v>7251</v>
      </c>
      <c r="FZ88">
        <v>0.19</v>
      </c>
      <c r="GA88">
        <v>89.05</v>
      </c>
      <c r="GB88">
        <v>353</v>
      </c>
      <c r="GC88">
        <v>362</v>
      </c>
      <c r="GD88">
        <v>353</v>
      </c>
      <c r="GG88" t="s">
        <v>19321</v>
      </c>
      <c r="GH88" t="s">
        <v>19322</v>
      </c>
      <c r="GI88" t="s">
        <v>9165</v>
      </c>
      <c r="GK88" t="s">
        <v>6388</v>
      </c>
      <c r="GL88" t="s">
        <v>19323</v>
      </c>
      <c r="GN88" t="s">
        <v>6388</v>
      </c>
      <c r="GO88" t="s">
        <v>9165</v>
      </c>
      <c r="GU88" t="s">
        <v>19324</v>
      </c>
    </row>
    <row r="89" spans="1:203" customFormat="1" x14ac:dyDescent="0.35">
      <c r="A89" t="s">
        <v>26059</v>
      </c>
      <c r="B89" t="s">
        <v>26060</v>
      </c>
      <c r="C89" t="s">
        <v>24</v>
      </c>
      <c r="D89" t="s">
        <v>354</v>
      </c>
      <c r="E89">
        <v>-19.646795347584401</v>
      </c>
      <c r="F89">
        <v>146.83199695329</v>
      </c>
      <c r="G89">
        <v>1000</v>
      </c>
      <c r="H89">
        <v>410958.90410958906</v>
      </c>
      <c r="I89">
        <v>150000</v>
      </c>
      <c r="J89" t="s">
        <v>502</v>
      </c>
      <c r="K89" t="s">
        <v>25394</v>
      </c>
      <c r="L89">
        <v>800</v>
      </c>
      <c r="P89" t="s">
        <v>26061</v>
      </c>
      <c r="Q89" t="s">
        <v>26062</v>
      </c>
      <c r="R89" t="s">
        <v>4022</v>
      </c>
      <c r="S89" t="s">
        <v>25777</v>
      </c>
      <c r="V89" t="s">
        <v>26063</v>
      </c>
      <c r="W89" t="s">
        <v>26064</v>
      </c>
      <c r="X89" t="s">
        <v>26065</v>
      </c>
      <c r="FG89" t="s">
        <v>19325</v>
      </c>
      <c r="FH89" t="s">
        <v>7246</v>
      </c>
      <c r="FI89" t="s">
        <v>24</v>
      </c>
      <c r="FJ89" t="s">
        <v>24</v>
      </c>
      <c r="FK89" t="s">
        <v>24</v>
      </c>
      <c r="FM89" t="s">
        <v>19326</v>
      </c>
      <c r="FN89" t="s">
        <v>19327</v>
      </c>
      <c r="FQ89" t="s">
        <v>13243</v>
      </c>
      <c r="FR89" t="s">
        <v>13243</v>
      </c>
      <c r="FS89" t="s">
        <v>7250</v>
      </c>
      <c r="FT89">
        <v>1969</v>
      </c>
      <c r="FX89">
        <v>241</v>
      </c>
      <c r="FY89" t="s">
        <v>9164</v>
      </c>
      <c r="FZ89">
        <v>2.46</v>
      </c>
      <c r="GA89">
        <v>1147.03</v>
      </c>
      <c r="GB89">
        <v>1184</v>
      </c>
      <c r="GC89">
        <v>777.18</v>
      </c>
      <c r="GD89">
        <v>1184</v>
      </c>
      <c r="GG89" t="s">
        <v>13286</v>
      </c>
      <c r="GH89" t="s">
        <v>12820</v>
      </c>
      <c r="GI89" t="s">
        <v>9165</v>
      </c>
      <c r="GK89" t="s">
        <v>4129</v>
      </c>
      <c r="GL89" t="s">
        <v>19328</v>
      </c>
      <c r="GN89" t="s">
        <v>4129</v>
      </c>
      <c r="GO89" t="s">
        <v>9165</v>
      </c>
      <c r="GU89" t="s">
        <v>19329</v>
      </c>
    </row>
    <row r="90" spans="1:203" customFormat="1" x14ac:dyDescent="0.35">
      <c r="A90" t="s">
        <v>26066</v>
      </c>
      <c r="B90" t="s">
        <v>26067</v>
      </c>
      <c r="C90" t="s">
        <v>24</v>
      </c>
      <c r="D90" t="s">
        <v>354</v>
      </c>
      <c r="E90">
        <v>-20.543775145003799</v>
      </c>
      <c r="F90">
        <v>147.80569171372801</v>
      </c>
      <c r="H90">
        <v>487671.23287671234</v>
      </c>
      <c r="I90">
        <v>178000</v>
      </c>
      <c r="J90" t="s">
        <v>502</v>
      </c>
      <c r="P90" t="s">
        <v>6424</v>
      </c>
      <c r="Q90" t="s">
        <v>26068</v>
      </c>
      <c r="R90">
        <v>2032</v>
      </c>
      <c r="S90" t="s">
        <v>25777</v>
      </c>
      <c r="T90" t="s">
        <v>1074</v>
      </c>
      <c r="V90" t="s">
        <v>25797</v>
      </c>
      <c r="W90" t="s">
        <v>26069</v>
      </c>
      <c r="X90" t="s">
        <v>26070</v>
      </c>
      <c r="FG90" t="s">
        <v>19344</v>
      </c>
      <c r="FH90" t="s">
        <v>7246</v>
      </c>
      <c r="FI90" t="s">
        <v>24</v>
      </c>
      <c r="FJ90" t="s">
        <v>24</v>
      </c>
      <c r="FK90" t="s">
        <v>24</v>
      </c>
      <c r="FM90" t="s">
        <v>19345</v>
      </c>
      <c r="FN90" t="s">
        <v>19346</v>
      </c>
      <c r="FO90" t="s">
        <v>8319</v>
      </c>
      <c r="FQ90" t="s">
        <v>9163</v>
      </c>
      <c r="FR90" t="s">
        <v>9163</v>
      </c>
      <c r="FS90" t="s">
        <v>7250</v>
      </c>
      <c r="FT90">
        <v>1976</v>
      </c>
      <c r="FX90">
        <v>446</v>
      </c>
      <c r="FY90" t="s">
        <v>9164</v>
      </c>
      <c r="FZ90">
        <v>4.5599999999999996</v>
      </c>
      <c r="GA90">
        <v>2122.73</v>
      </c>
      <c r="GB90">
        <v>1300</v>
      </c>
      <c r="GC90">
        <v>1680.57</v>
      </c>
      <c r="GD90">
        <v>1300</v>
      </c>
      <c r="GG90" t="s">
        <v>13286</v>
      </c>
      <c r="GH90" t="s">
        <v>12820</v>
      </c>
      <c r="GI90" t="s">
        <v>9165</v>
      </c>
      <c r="GK90" t="s">
        <v>4129</v>
      </c>
      <c r="GL90" t="s">
        <v>19347</v>
      </c>
      <c r="GN90" t="s">
        <v>19348</v>
      </c>
      <c r="GO90" t="s">
        <v>9165</v>
      </c>
      <c r="GU90" t="s">
        <v>19349</v>
      </c>
    </row>
    <row r="91" spans="1:203" customFormat="1" x14ac:dyDescent="0.35">
      <c r="A91" t="s">
        <v>26071</v>
      </c>
      <c r="B91" t="s">
        <v>26072</v>
      </c>
      <c r="C91" t="s">
        <v>24</v>
      </c>
      <c r="D91" t="s">
        <v>354</v>
      </c>
      <c r="E91">
        <v>-21.2757196236646</v>
      </c>
      <c r="F91">
        <v>49.2904942194493</v>
      </c>
      <c r="P91" t="s">
        <v>6424</v>
      </c>
      <c r="Q91" t="s">
        <v>26073</v>
      </c>
      <c r="R91" t="s">
        <v>4022</v>
      </c>
      <c r="S91" t="s">
        <v>25777</v>
      </c>
      <c r="V91" t="s">
        <v>25803</v>
      </c>
      <c r="W91" t="s">
        <v>26074</v>
      </c>
      <c r="X91" t="s">
        <v>26075</v>
      </c>
      <c r="FG91" t="s">
        <v>19350</v>
      </c>
      <c r="FH91" t="s">
        <v>7246</v>
      </c>
      <c r="FI91" t="s">
        <v>24</v>
      </c>
      <c r="FJ91" t="s">
        <v>24</v>
      </c>
      <c r="FK91" t="s">
        <v>24</v>
      </c>
      <c r="FM91" t="s">
        <v>19351</v>
      </c>
      <c r="FN91" t="s">
        <v>19352</v>
      </c>
      <c r="FQ91" t="s">
        <v>19353</v>
      </c>
      <c r="FR91" t="s">
        <v>19353</v>
      </c>
      <c r="FS91" t="s">
        <v>7250</v>
      </c>
      <c r="FT91">
        <v>2011</v>
      </c>
      <c r="FX91">
        <v>400</v>
      </c>
      <c r="FY91" t="s">
        <v>9164</v>
      </c>
      <c r="FZ91">
        <v>4.09</v>
      </c>
      <c r="GA91">
        <v>1903.79</v>
      </c>
      <c r="GB91">
        <v>83</v>
      </c>
      <c r="GC91">
        <v>81.78</v>
      </c>
      <c r="GD91">
        <v>83</v>
      </c>
      <c r="GH91" t="s">
        <v>10606</v>
      </c>
      <c r="GI91" t="s">
        <v>9165</v>
      </c>
      <c r="GK91" t="s">
        <v>2969</v>
      </c>
      <c r="GL91" t="s">
        <v>19354</v>
      </c>
      <c r="GN91" t="s">
        <v>2969</v>
      </c>
      <c r="GO91" t="s">
        <v>9165</v>
      </c>
      <c r="GU91" t="s">
        <v>19355</v>
      </c>
    </row>
    <row r="92" spans="1:203" customFormat="1" x14ac:dyDescent="0.35">
      <c r="A92" t="s">
        <v>26076</v>
      </c>
      <c r="B92" t="s">
        <v>26077</v>
      </c>
      <c r="C92" t="s">
        <v>24</v>
      </c>
      <c r="D92" t="s">
        <v>354</v>
      </c>
      <c r="E92">
        <v>-23.52385612502</v>
      </c>
      <c r="F92">
        <v>148.16165991084199</v>
      </c>
      <c r="M92">
        <v>3100</v>
      </c>
      <c r="O92">
        <v>65000000</v>
      </c>
      <c r="P92" t="s">
        <v>583</v>
      </c>
      <c r="Q92" t="s">
        <v>26078</v>
      </c>
      <c r="R92">
        <v>2024</v>
      </c>
      <c r="S92" t="s">
        <v>25777</v>
      </c>
      <c r="T92" t="s">
        <v>583</v>
      </c>
      <c r="V92" t="s">
        <v>25797</v>
      </c>
      <c r="W92" t="s">
        <v>26079</v>
      </c>
      <c r="X92" t="s">
        <v>26080</v>
      </c>
      <c r="FG92" t="s">
        <v>19383</v>
      </c>
      <c r="FH92" t="s">
        <v>7246</v>
      </c>
      <c r="FI92" t="s">
        <v>24</v>
      </c>
      <c r="FJ92" t="s">
        <v>24</v>
      </c>
      <c r="FK92" t="s">
        <v>24</v>
      </c>
      <c r="FM92" t="s">
        <v>19384</v>
      </c>
      <c r="FN92" t="s">
        <v>18190</v>
      </c>
      <c r="FQ92" t="s">
        <v>10589</v>
      </c>
      <c r="FR92" t="s">
        <v>10589</v>
      </c>
      <c r="FS92" t="s">
        <v>7250</v>
      </c>
      <c r="FX92">
        <v>13</v>
      </c>
      <c r="FY92" t="s">
        <v>9164</v>
      </c>
      <c r="FZ92">
        <v>0.13</v>
      </c>
      <c r="GA92">
        <v>61.87</v>
      </c>
      <c r="GB92">
        <v>255</v>
      </c>
      <c r="GC92">
        <v>255.1</v>
      </c>
      <c r="GD92">
        <v>255</v>
      </c>
      <c r="GG92" t="s">
        <v>19385</v>
      </c>
      <c r="GH92" t="s">
        <v>19386</v>
      </c>
      <c r="GI92" t="s">
        <v>9165</v>
      </c>
      <c r="GK92" t="s">
        <v>4124</v>
      </c>
      <c r="GL92" t="s">
        <v>18191</v>
      </c>
      <c r="GN92" t="s">
        <v>4124</v>
      </c>
      <c r="GO92" t="s">
        <v>9165</v>
      </c>
      <c r="GU92" t="s">
        <v>19387</v>
      </c>
    </row>
    <row r="93" spans="1:203" customFormat="1" x14ac:dyDescent="0.35">
      <c r="A93" t="s">
        <v>26081</v>
      </c>
      <c r="B93" t="s">
        <v>18693</v>
      </c>
      <c r="C93" t="s">
        <v>24</v>
      </c>
      <c r="D93" t="s">
        <v>354</v>
      </c>
      <c r="E93">
        <v>-24.5699988894245</v>
      </c>
      <c r="F93">
        <v>149.97503839955701</v>
      </c>
      <c r="P93" t="s">
        <v>583</v>
      </c>
      <c r="Q93" t="s">
        <v>26082</v>
      </c>
      <c r="R93" t="s">
        <v>4022</v>
      </c>
      <c r="S93" t="s">
        <v>25777</v>
      </c>
      <c r="T93" t="s">
        <v>26083</v>
      </c>
      <c r="V93" t="s">
        <v>25797</v>
      </c>
      <c r="W93" t="s">
        <v>26057</v>
      </c>
      <c r="X93" t="s">
        <v>26080</v>
      </c>
      <c r="FG93" t="s">
        <v>19388</v>
      </c>
      <c r="FH93" t="s">
        <v>7246</v>
      </c>
      <c r="FI93" t="s">
        <v>24</v>
      </c>
      <c r="FJ93" t="s">
        <v>24</v>
      </c>
      <c r="FK93" t="s">
        <v>24</v>
      </c>
      <c r="FM93" t="s">
        <v>19389</v>
      </c>
      <c r="FN93" t="s">
        <v>19390</v>
      </c>
      <c r="FQ93" t="s">
        <v>11277</v>
      </c>
      <c r="FR93" t="s">
        <v>11277</v>
      </c>
      <c r="FS93" t="s">
        <v>7269</v>
      </c>
      <c r="FX93">
        <v>189.56</v>
      </c>
      <c r="FY93" t="s">
        <v>7251</v>
      </c>
      <c r="FZ93">
        <v>1.96</v>
      </c>
      <c r="GA93">
        <v>912.42</v>
      </c>
      <c r="GB93">
        <v>83</v>
      </c>
      <c r="GC93">
        <v>258.92</v>
      </c>
      <c r="GD93">
        <v>83</v>
      </c>
      <c r="GH93" t="s">
        <v>17293</v>
      </c>
      <c r="GI93" t="s">
        <v>9165</v>
      </c>
      <c r="GK93" t="s">
        <v>4124</v>
      </c>
      <c r="GL93" t="s">
        <v>17366</v>
      </c>
      <c r="GN93" t="s">
        <v>4124</v>
      </c>
      <c r="GO93" t="s">
        <v>9165</v>
      </c>
      <c r="GU93" t="s">
        <v>19391</v>
      </c>
    </row>
    <row r="94" spans="1:203" customFormat="1" x14ac:dyDescent="0.35">
      <c r="A94" t="s">
        <v>26084</v>
      </c>
      <c r="B94" t="s">
        <v>26085</v>
      </c>
      <c r="C94" t="s">
        <v>24</v>
      </c>
      <c r="D94" t="s">
        <v>354</v>
      </c>
      <c r="E94">
        <v>-24.380132771242899</v>
      </c>
      <c r="F94">
        <v>150.546078475532</v>
      </c>
      <c r="H94">
        <v>273972.60273972602</v>
      </c>
      <c r="I94">
        <v>100000</v>
      </c>
      <c r="K94" t="s">
        <v>25394</v>
      </c>
      <c r="L94">
        <v>3600</v>
      </c>
      <c r="P94" t="s">
        <v>6424</v>
      </c>
      <c r="Q94" t="s">
        <v>26086</v>
      </c>
      <c r="R94" t="s">
        <v>4022</v>
      </c>
      <c r="S94" t="s">
        <v>25777</v>
      </c>
      <c r="T94" t="s">
        <v>1074</v>
      </c>
      <c r="V94" t="s">
        <v>25803</v>
      </c>
      <c r="W94" t="s">
        <v>26087</v>
      </c>
      <c r="X94" t="s">
        <v>26088</v>
      </c>
      <c r="FG94" t="s">
        <v>19472</v>
      </c>
      <c r="FH94" t="s">
        <v>7246</v>
      </c>
      <c r="FI94" t="s">
        <v>24</v>
      </c>
      <c r="FJ94" t="s">
        <v>24</v>
      </c>
      <c r="FK94" t="s">
        <v>24</v>
      </c>
      <c r="FM94" t="s">
        <v>19473</v>
      </c>
      <c r="FN94" t="s">
        <v>19474</v>
      </c>
      <c r="FO94" t="s">
        <v>19475</v>
      </c>
      <c r="FQ94" t="s">
        <v>6543</v>
      </c>
      <c r="FR94" t="s">
        <v>6543</v>
      </c>
      <c r="FS94" t="s">
        <v>7292</v>
      </c>
      <c r="FT94">
        <v>2025</v>
      </c>
      <c r="FX94">
        <v>350</v>
      </c>
      <c r="FY94" t="s">
        <v>9164</v>
      </c>
      <c r="FZ94">
        <v>3.58</v>
      </c>
      <c r="GA94">
        <v>1665.82</v>
      </c>
      <c r="GB94" t="s">
        <v>6546</v>
      </c>
      <c r="GC94">
        <v>86.84</v>
      </c>
      <c r="GD94">
        <v>86.84</v>
      </c>
      <c r="GI94" t="s">
        <v>9165</v>
      </c>
      <c r="GO94" t="s">
        <v>9165</v>
      </c>
      <c r="GU94" t="s">
        <v>19476</v>
      </c>
    </row>
    <row r="95" spans="1:203" customFormat="1" x14ac:dyDescent="0.35">
      <c r="A95" t="s">
        <v>26089</v>
      </c>
      <c r="B95" t="s">
        <v>6432</v>
      </c>
      <c r="C95" t="s">
        <v>24</v>
      </c>
      <c r="D95" t="s">
        <v>354</v>
      </c>
      <c r="E95">
        <v>-23.835095886131</v>
      </c>
      <c r="F95">
        <v>151.26149365895799</v>
      </c>
      <c r="O95">
        <v>13390000</v>
      </c>
      <c r="P95" t="s">
        <v>583</v>
      </c>
      <c r="Q95" t="s">
        <v>26090</v>
      </c>
      <c r="R95" t="s">
        <v>4022</v>
      </c>
      <c r="S95" t="s">
        <v>25777</v>
      </c>
      <c r="T95" t="s">
        <v>25944</v>
      </c>
      <c r="V95" t="s">
        <v>25803</v>
      </c>
      <c r="W95" t="s">
        <v>26091</v>
      </c>
      <c r="X95" t="s">
        <v>26092</v>
      </c>
      <c r="FG95" t="s">
        <v>19477</v>
      </c>
      <c r="FH95" t="s">
        <v>7246</v>
      </c>
      <c r="FI95" t="s">
        <v>24</v>
      </c>
      <c r="FJ95" t="s">
        <v>24</v>
      </c>
      <c r="FK95" t="s">
        <v>24</v>
      </c>
      <c r="FM95" t="s">
        <v>19473</v>
      </c>
      <c r="FN95" t="s">
        <v>19474</v>
      </c>
      <c r="FO95" t="s">
        <v>19478</v>
      </c>
      <c r="FQ95" t="s">
        <v>6543</v>
      </c>
      <c r="FR95" t="s">
        <v>6543</v>
      </c>
      <c r="FS95" t="s">
        <v>7292</v>
      </c>
      <c r="FT95">
        <v>2025</v>
      </c>
      <c r="FX95">
        <v>350</v>
      </c>
      <c r="FY95" t="s">
        <v>9164</v>
      </c>
      <c r="FZ95">
        <v>3.58</v>
      </c>
      <c r="GA95">
        <v>1665.82</v>
      </c>
      <c r="GB95" t="s">
        <v>6546</v>
      </c>
      <c r="GC95">
        <v>361.14</v>
      </c>
      <c r="GD95">
        <v>361.14</v>
      </c>
      <c r="GI95" t="s">
        <v>9165</v>
      </c>
      <c r="GO95" t="s">
        <v>9165</v>
      </c>
      <c r="GU95" t="s">
        <v>19479</v>
      </c>
    </row>
    <row r="96" spans="1:203" customFormat="1" x14ac:dyDescent="0.35">
      <c r="A96" t="s">
        <v>26093</v>
      </c>
      <c r="B96" t="s">
        <v>6432</v>
      </c>
      <c r="C96" t="s">
        <v>24</v>
      </c>
      <c r="D96" t="s">
        <v>354</v>
      </c>
      <c r="E96">
        <v>-23.8250250165406</v>
      </c>
      <c r="F96">
        <v>151.22752164342799</v>
      </c>
      <c r="P96" t="s">
        <v>494</v>
      </c>
      <c r="Q96" t="s">
        <v>26094</v>
      </c>
      <c r="R96" t="s">
        <v>4022</v>
      </c>
      <c r="S96" t="s">
        <v>25777</v>
      </c>
      <c r="V96" t="s">
        <v>25803</v>
      </c>
      <c r="W96" t="s">
        <v>26095</v>
      </c>
      <c r="X96" t="s">
        <v>26096</v>
      </c>
      <c r="FG96" t="s">
        <v>19480</v>
      </c>
      <c r="FH96" t="s">
        <v>7246</v>
      </c>
      <c r="FI96" t="s">
        <v>24</v>
      </c>
      <c r="FJ96" t="s">
        <v>24</v>
      </c>
      <c r="FK96" t="s">
        <v>24</v>
      </c>
      <c r="FM96" t="s">
        <v>19473</v>
      </c>
      <c r="FN96" t="s">
        <v>19474</v>
      </c>
      <c r="FO96" t="s">
        <v>19481</v>
      </c>
      <c r="FQ96" t="s">
        <v>6543</v>
      </c>
      <c r="FR96" t="s">
        <v>6543</v>
      </c>
      <c r="FS96" t="s">
        <v>7292</v>
      </c>
      <c r="FT96">
        <v>2025</v>
      </c>
      <c r="FX96">
        <v>350</v>
      </c>
      <c r="FY96" t="s">
        <v>9164</v>
      </c>
      <c r="FZ96">
        <v>3.58</v>
      </c>
      <c r="GA96">
        <v>1665.82</v>
      </c>
      <c r="GB96" t="s">
        <v>6546</v>
      </c>
      <c r="GC96">
        <v>748.96</v>
      </c>
      <c r="GD96">
        <v>748.96</v>
      </c>
      <c r="GI96" t="s">
        <v>9165</v>
      </c>
      <c r="GO96" t="s">
        <v>9165</v>
      </c>
      <c r="GU96" t="s">
        <v>19482</v>
      </c>
    </row>
    <row r="97" spans="1:203" customFormat="1" x14ac:dyDescent="0.35">
      <c r="A97" t="s">
        <v>26097</v>
      </c>
      <c r="B97" t="s">
        <v>26098</v>
      </c>
      <c r="C97" t="s">
        <v>24</v>
      </c>
      <c r="D97" t="s">
        <v>354</v>
      </c>
      <c r="E97">
        <v>-23.836821859825498</v>
      </c>
      <c r="F97">
        <v>151.045956122154</v>
      </c>
      <c r="H97">
        <v>200000</v>
      </c>
      <c r="I97">
        <v>73000</v>
      </c>
      <c r="J97" t="s">
        <v>502</v>
      </c>
      <c r="K97" t="s">
        <v>25447</v>
      </c>
      <c r="O97">
        <v>76050000</v>
      </c>
      <c r="P97" t="s">
        <v>6424</v>
      </c>
      <c r="Q97" t="s">
        <v>26099</v>
      </c>
      <c r="R97">
        <v>2028</v>
      </c>
      <c r="S97" t="s">
        <v>25777</v>
      </c>
      <c r="V97" t="s">
        <v>25797</v>
      </c>
      <c r="W97" t="s">
        <v>26100</v>
      </c>
      <c r="X97" t="s">
        <v>26101</v>
      </c>
      <c r="FG97" t="s">
        <v>19483</v>
      </c>
      <c r="FH97" t="s">
        <v>7246</v>
      </c>
      <c r="FI97" t="s">
        <v>24</v>
      </c>
      <c r="FJ97" t="s">
        <v>24</v>
      </c>
      <c r="FK97" t="s">
        <v>24</v>
      </c>
      <c r="FM97" t="s">
        <v>19473</v>
      </c>
      <c r="FN97" t="s">
        <v>19474</v>
      </c>
      <c r="FO97" t="s">
        <v>19484</v>
      </c>
      <c r="FQ97" t="s">
        <v>6543</v>
      </c>
      <c r="FR97" t="s">
        <v>6543</v>
      </c>
      <c r="FS97" t="s">
        <v>7292</v>
      </c>
      <c r="FT97">
        <v>2028</v>
      </c>
      <c r="FX97">
        <v>1350</v>
      </c>
      <c r="FY97" t="s">
        <v>9164</v>
      </c>
      <c r="FZ97">
        <v>13.81</v>
      </c>
      <c r="GA97">
        <v>6425.29</v>
      </c>
      <c r="GB97">
        <v>0</v>
      </c>
      <c r="GC97" t="s">
        <v>6546</v>
      </c>
      <c r="GD97">
        <v>0</v>
      </c>
      <c r="GI97" t="s">
        <v>9165</v>
      </c>
      <c r="GO97" t="s">
        <v>9165</v>
      </c>
      <c r="GU97" t="s">
        <v>6546</v>
      </c>
    </row>
    <row r="98" spans="1:203" customFormat="1" x14ac:dyDescent="0.35">
      <c r="A98" t="s">
        <v>26102</v>
      </c>
      <c r="B98" t="s">
        <v>6432</v>
      </c>
      <c r="C98" t="s">
        <v>24</v>
      </c>
      <c r="D98" t="s">
        <v>354</v>
      </c>
      <c r="E98">
        <v>-23.842113778299101</v>
      </c>
      <c r="F98">
        <v>151.21667942022299</v>
      </c>
      <c r="G98">
        <v>3000</v>
      </c>
      <c r="H98">
        <v>5000000</v>
      </c>
      <c r="I98">
        <v>1825000</v>
      </c>
      <c r="J98" t="s">
        <v>502</v>
      </c>
      <c r="K98" t="s">
        <v>25452</v>
      </c>
      <c r="O98">
        <v>3055000000</v>
      </c>
      <c r="P98" t="s">
        <v>6424</v>
      </c>
      <c r="Q98" t="s">
        <v>26103</v>
      </c>
      <c r="R98" t="s">
        <v>4022</v>
      </c>
      <c r="S98" t="s">
        <v>25777</v>
      </c>
      <c r="T98" t="s">
        <v>1074</v>
      </c>
      <c r="V98" t="s">
        <v>25803</v>
      </c>
      <c r="W98" t="s">
        <v>26104</v>
      </c>
      <c r="X98" t="s">
        <v>26105</v>
      </c>
      <c r="FG98" t="s">
        <v>19485</v>
      </c>
      <c r="FH98" t="s">
        <v>7246</v>
      </c>
      <c r="FI98" t="s">
        <v>24</v>
      </c>
      <c r="FJ98" t="s">
        <v>24</v>
      </c>
      <c r="FK98" t="s">
        <v>24</v>
      </c>
      <c r="FM98" t="s">
        <v>10745</v>
      </c>
      <c r="FN98" t="s">
        <v>10746</v>
      </c>
      <c r="FO98" t="s">
        <v>19486</v>
      </c>
      <c r="FQ98" t="s">
        <v>6543</v>
      </c>
      <c r="FR98" t="s">
        <v>6543</v>
      </c>
      <c r="FS98" t="s">
        <v>7292</v>
      </c>
      <c r="FT98">
        <v>2028</v>
      </c>
      <c r="FX98">
        <v>1608</v>
      </c>
      <c r="FY98" t="s">
        <v>9164</v>
      </c>
      <c r="FZ98">
        <v>16.45</v>
      </c>
      <c r="GA98">
        <v>7653.24</v>
      </c>
      <c r="GB98">
        <v>622</v>
      </c>
      <c r="GC98">
        <v>613.72</v>
      </c>
      <c r="GD98">
        <v>622</v>
      </c>
      <c r="GI98" t="s">
        <v>9165</v>
      </c>
      <c r="GO98" t="s">
        <v>9165</v>
      </c>
      <c r="GU98" t="s">
        <v>10753</v>
      </c>
    </row>
    <row r="99" spans="1:203" customFormat="1" x14ac:dyDescent="0.35">
      <c r="A99" t="s">
        <v>26106</v>
      </c>
      <c r="B99" t="s">
        <v>6432</v>
      </c>
      <c r="C99" t="s">
        <v>24</v>
      </c>
      <c r="D99" t="s">
        <v>354</v>
      </c>
      <c r="E99">
        <v>-23.809605081199699</v>
      </c>
      <c r="F99">
        <v>151.14827746716699</v>
      </c>
      <c r="H99">
        <v>480</v>
      </c>
      <c r="I99">
        <v>175.2</v>
      </c>
      <c r="J99" t="s">
        <v>26107</v>
      </c>
      <c r="K99" t="s">
        <v>25708</v>
      </c>
      <c r="O99">
        <v>4550000</v>
      </c>
      <c r="P99" t="s">
        <v>25251</v>
      </c>
      <c r="Q99" t="s">
        <v>26108</v>
      </c>
      <c r="R99" t="s">
        <v>4022</v>
      </c>
      <c r="S99" t="s">
        <v>25777</v>
      </c>
      <c r="T99" t="s">
        <v>25251</v>
      </c>
      <c r="V99" t="s">
        <v>25797</v>
      </c>
      <c r="W99" t="s">
        <v>26109</v>
      </c>
      <c r="X99" t="s">
        <v>26110</v>
      </c>
      <c r="FG99" t="s">
        <v>19487</v>
      </c>
      <c r="FH99" t="s">
        <v>7246</v>
      </c>
      <c r="FI99" t="s">
        <v>24</v>
      </c>
      <c r="FJ99" t="s">
        <v>24</v>
      </c>
      <c r="FK99" t="s">
        <v>24</v>
      </c>
      <c r="FM99" t="s">
        <v>18731</v>
      </c>
      <c r="FN99" t="s">
        <v>18732</v>
      </c>
      <c r="FO99" t="s">
        <v>19486</v>
      </c>
      <c r="FQ99" t="s">
        <v>6543</v>
      </c>
      <c r="FR99" t="s">
        <v>6543</v>
      </c>
      <c r="FS99" t="s">
        <v>7292</v>
      </c>
      <c r="FT99">
        <v>2028</v>
      </c>
      <c r="FX99">
        <v>1081</v>
      </c>
      <c r="FY99" t="s">
        <v>9164</v>
      </c>
      <c r="FZ99">
        <v>11.06</v>
      </c>
      <c r="GA99">
        <v>5144.99</v>
      </c>
      <c r="GB99">
        <v>840</v>
      </c>
      <c r="GC99">
        <v>840.51</v>
      </c>
      <c r="GD99">
        <v>840</v>
      </c>
      <c r="GI99" t="s">
        <v>9165</v>
      </c>
      <c r="GO99" t="s">
        <v>9165</v>
      </c>
      <c r="GU99" t="s">
        <v>18736</v>
      </c>
    </row>
    <row r="100" spans="1:203" customFormat="1" x14ac:dyDescent="0.35">
      <c r="A100" t="s">
        <v>26111</v>
      </c>
      <c r="B100" t="s">
        <v>6432</v>
      </c>
      <c r="C100" t="s">
        <v>24</v>
      </c>
      <c r="D100" t="s">
        <v>354</v>
      </c>
      <c r="E100">
        <v>-23.7806324888912</v>
      </c>
      <c r="F100">
        <v>151.16242532032001</v>
      </c>
      <c r="H100">
        <v>51369.863013698632</v>
      </c>
      <c r="I100">
        <v>18750</v>
      </c>
      <c r="O100">
        <v>97500000</v>
      </c>
      <c r="P100" t="s">
        <v>1162</v>
      </c>
      <c r="Q100" t="s">
        <v>26112</v>
      </c>
      <c r="R100">
        <v>2028</v>
      </c>
      <c r="S100" t="s">
        <v>25777</v>
      </c>
      <c r="T100" t="s">
        <v>1162</v>
      </c>
      <c r="V100" t="s">
        <v>25797</v>
      </c>
      <c r="W100" t="s">
        <v>26113</v>
      </c>
      <c r="X100" t="s">
        <v>26114</v>
      </c>
      <c r="FG100" t="s">
        <v>19488</v>
      </c>
      <c r="FH100" t="s">
        <v>7246</v>
      </c>
      <c r="FI100" t="s">
        <v>24</v>
      </c>
      <c r="FJ100" t="s">
        <v>24</v>
      </c>
      <c r="FK100" t="s">
        <v>24</v>
      </c>
      <c r="FM100" t="s">
        <v>19171</v>
      </c>
      <c r="FN100" t="s">
        <v>19172</v>
      </c>
      <c r="FO100" t="s">
        <v>19489</v>
      </c>
      <c r="FQ100" t="s">
        <v>6543</v>
      </c>
      <c r="FR100" t="s">
        <v>6543</v>
      </c>
      <c r="FS100" t="s">
        <v>7292</v>
      </c>
      <c r="FT100">
        <v>2028</v>
      </c>
      <c r="FX100">
        <v>500</v>
      </c>
      <c r="FY100" t="s">
        <v>9164</v>
      </c>
      <c r="FZ100">
        <v>5.1100000000000003</v>
      </c>
      <c r="GA100">
        <v>2379.7399999999998</v>
      </c>
      <c r="GB100">
        <v>0</v>
      </c>
      <c r="GC100" t="s">
        <v>6546</v>
      </c>
      <c r="GD100">
        <v>0</v>
      </c>
      <c r="GI100" t="s">
        <v>9165</v>
      </c>
      <c r="GO100" t="s">
        <v>9165</v>
      </c>
      <c r="GU100" t="s">
        <v>6546</v>
      </c>
    </row>
    <row r="101" spans="1:203" customFormat="1" x14ac:dyDescent="0.35">
      <c r="A101" t="s">
        <v>26115</v>
      </c>
      <c r="B101" t="s">
        <v>26116</v>
      </c>
      <c r="C101" t="s">
        <v>24</v>
      </c>
      <c r="D101" t="s">
        <v>354</v>
      </c>
      <c r="E101">
        <v>-24.8658865641986</v>
      </c>
      <c r="F101">
        <v>152.34955328569299</v>
      </c>
      <c r="J101" t="s">
        <v>26117</v>
      </c>
      <c r="K101" t="s">
        <v>25691</v>
      </c>
      <c r="P101" t="s">
        <v>583</v>
      </c>
      <c r="Q101" t="s">
        <v>26118</v>
      </c>
      <c r="R101" t="s">
        <v>4022</v>
      </c>
      <c r="S101" t="s">
        <v>25777</v>
      </c>
      <c r="V101" t="s">
        <v>25803</v>
      </c>
      <c r="W101" t="s">
        <v>26119</v>
      </c>
      <c r="X101" t="s">
        <v>26120</v>
      </c>
      <c r="FG101" t="s">
        <v>19490</v>
      </c>
      <c r="FH101" t="s">
        <v>7246</v>
      </c>
      <c r="FI101" t="s">
        <v>24</v>
      </c>
      <c r="FJ101" t="s">
        <v>24</v>
      </c>
      <c r="FK101" t="s">
        <v>24</v>
      </c>
      <c r="FM101" t="s">
        <v>13035</v>
      </c>
      <c r="FN101" t="s">
        <v>13036</v>
      </c>
      <c r="FO101" t="s">
        <v>19486</v>
      </c>
      <c r="FQ101" t="s">
        <v>6543</v>
      </c>
      <c r="FR101" t="s">
        <v>6543</v>
      </c>
      <c r="FS101" t="s">
        <v>7292</v>
      </c>
      <c r="FT101">
        <v>2028</v>
      </c>
      <c r="FX101">
        <v>700</v>
      </c>
      <c r="FY101" t="s">
        <v>9164</v>
      </c>
      <c r="FZ101">
        <v>7.16</v>
      </c>
      <c r="GA101">
        <v>3331.63</v>
      </c>
      <c r="GB101">
        <v>820</v>
      </c>
      <c r="GC101">
        <v>770.7</v>
      </c>
      <c r="GD101">
        <v>820</v>
      </c>
      <c r="GI101" t="s">
        <v>9165</v>
      </c>
      <c r="GO101" t="s">
        <v>9165</v>
      </c>
      <c r="GU101" t="s">
        <v>13041</v>
      </c>
    </row>
    <row r="102" spans="1:203" x14ac:dyDescent="0.35">
      <c r="FG102" t="s">
        <v>19491</v>
      </c>
      <c r="FH102" t="s">
        <v>7246</v>
      </c>
      <c r="FI102" t="s">
        <v>24</v>
      </c>
      <c r="FJ102" t="s">
        <v>24</v>
      </c>
      <c r="FK102" t="s">
        <v>24</v>
      </c>
      <c r="FL102"/>
      <c r="FM102" t="s">
        <v>19492</v>
      </c>
      <c r="FN102" t="s">
        <v>19493</v>
      </c>
      <c r="FO102"/>
      <c r="FP102"/>
      <c r="FQ102" t="s">
        <v>19494</v>
      </c>
      <c r="FR102" t="s">
        <v>19494</v>
      </c>
      <c r="FS102" t="s">
        <v>7250</v>
      </c>
      <c r="FT102"/>
      <c r="FU102"/>
      <c r="FV102"/>
      <c r="FW102"/>
      <c r="FX102"/>
      <c r="FY102"/>
      <c r="FZ102" t="s">
        <v>6546</v>
      </c>
      <c r="GA102" t="s">
        <v>6546</v>
      </c>
      <c r="GB102">
        <v>127</v>
      </c>
      <c r="GC102">
        <v>118.84</v>
      </c>
      <c r="GD102">
        <v>127</v>
      </c>
      <c r="GE102"/>
      <c r="GF102"/>
      <c r="GG102" t="s">
        <v>19495</v>
      </c>
      <c r="GH102"/>
      <c r="GI102" t="s">
        <v>9165</v>
      </c>
      <c r="GJ102"/>
      <c r="GK102" t="s">
        <v>2973</v>
      </c>
      <c r="GL102" t="s">
        <v>17279</v>
      </c>
      <c r="GM102"/>
      <c r="GN102" t="s">
        <v>2973</v>
      </c>
      <c r="GO102" t="s">
        <v>9165</v>
      </c>
      <c r="GP102"/>
      <c r="GQ102"/>
      <c r="GR102"/>
      <c r="GS102"/>
      <c r="GT102"/>
      <c r="GU102" t="s">
        <v>19496</v>
      </c>
    </row>
    <row r="103" spans="1:203" ht="29.5" customHeight="1" x14ac:dyDescent="0.35">
      <c r="FG103" t="s">
        <v>19497</v>
      </c>
      <c r="FH103" t="s">
        <v>7246</v>
      </c>
      <c r="FI103" t="s">
        <v>24</v>
      </c>
      <c r="FJ103" t="s">
        <v>24</v>
      </c>
      <c r="FK103" t="s">
        <v>24</v>
      </c>
      <c r="FL103"/>
      <c r="FM103" t="s">
        <v>19498</v>
      </c>
      <c r="FN103" t="s">
        <v>19499</v>
      </c>
      <c r="FO103"/>
      <c r="FP103"/>
      <c r="FQ103" t="s">
        <v>19500</v>
      </c>
      <c r="FR103" t="s">
        <v>9163</v>
      </c>
      <c r="FS103" t="s">
        <v>7269</v>
      </c>
      <c r="FT103"/>
      <c r="FU103"/>
      <c r="FV103"/>
      <c r="FW103"/>
      <c r="FX103"/>
      <c r="FY103"/>
      <c r="FZ103" t="s">
        <v>6546</v>
      </c>
      <c r="GA103" t="s">
        <v>6546</v>
      </c>
      <c r="GB103">
        <v>200</v>
      </c>
      <c r="GC103">
        <v>213.83</v>
      </c>
      <c r="GD103">
        <v>200</v>
      </c>
      <c r="GE103" t="s">
        <v>19501</v>
      </c>
      <c r="GF103" t="s">
        <v>7253</v>
      </c>
      <c r="GG103" t="s">
        <v>19502</v>
      </c>
      <c r="GH103"/>
      <c r="GI103" t="s">
        <v>9165</v>
      </c>
      <c r="GJ103"/>
      <c r="GK103" t="s">
        <v>2973</v>
      </c>
      <c r="GL103"/>
      <c r="GM103"/>
      <c r="GN103" t="s">
        <v>2973</v>
      </c>
      <c r="GO103" t="s">
        <v>9165</v>
      </c>
      <c r="GP103"/>
      <c r="GQ103"/>
      <c r="GR103"/>
      <c r="GS103"/>
      <c r="GT103"/>
      <c r="GU103" t="s">
        <v>19503</v>
      </c>
    </row>
    <row r="104" spans="1:203" ht="24" customHeight="1" x14ac:dyDescent="0.35">
      <c r="FG104" t="s">
        <v>19504</v>
      </c>
      <c r="FH104" t="s">
        <v>7246</v>
      </c>
      <c r="FI104" t="s">
        <v>24</v>
      </c>
      <c r="FJ104" t="s">
        <v>24</v>
      </c>
      <c r="FK104" t="s">
        <v>24</v>
      </c>
      <c r="FL104"/>
      <c r="FM104" t="s">
        <v>19505</v>
      </c>
      <c r="FN104" t="s">
        <v>19506</v>
      </c>
      <c r="FO104" t="s">
        <v>19507</v>
      </c>
      <c r="FP104" t="s">
        <v>19508</v>
      </c>
      <c r="FQ104" t="s">
        <v>19509</v>
      </c>
      <c r="FR104" t="s">
        <v>10749</v>
      </c>
      <c r="FS104" t="s">
        <v>7250</v>
      </c>
      <c r="FT104"/>
      <c r="FU104"/>
      <c r="FV104"/>
      <c r="FW104"/>
      <c r="FX104"/>
      <c r="FY104"/>
      <c r="FZ104" t="s">
        <v>6546</v>
      </c>
      <c r="GA104" t="s">
        <v>6546</v>
      </c>
      <c r="GB104" t="s">
        <v>6546</v>
      </c>
      <c r="GC104">
        <v>238.57</v>
      </c>
      <c r="GD104">
        <v>238.57</v>
      </c>
      <c r="GE104"/>
      <c r="GF104"/>
      <c r="GG104"/>
      <c r="GH104" t="s">
        <v>2321</v>
      </c>
      <c r="GI104" t="s">
        <v>9165</v>
      </c>
      <c r="GJ104"/>
      <c r="GK104" t="s">
        <v>4124</v>
      </c>
      <c r="GL104" t="s">
        <v>4099</v>
      </c>
      <c r="GM104"/>
      <c r="GN104" t="s">
        <v>4124</v>
      </c>
      <c r="GO104" t="s">
        <v>9165</v>
      </c>
      <c r="GP104"/>
      <c r="GQ104"/>
      <c r="GR104"/>
      <c r="GS104"/>
      <c r="GT104"/>
      <c r="GU104" t="s">
        <v>19510</v>
      </c>
    </row>
    <row r="105" spans="1:203" x14ac:dyDescent="0.35">
      <c r="FG105" t="s">
        <v>19511</v>
      </c>
      <c r="FH105" t="s">
        <v>7246</v>
      </c>
      <c r="FI105" t="s">
        <v>24</v>
      </c>
      <c r="FJ105" t="s">
        <v>24</v>
      </c>
      <c r="FK105" t="s">
        <v>24</v>
      </c>
      <c r="FL105"/>
      <c r="FM105" t="s">
        <v>19505</v>
      </c>
      <c r="FN105" t="s">
        <v>19506</v>
      </c>
      <c r="FO105" t="s">
        <v>19512</v>
      </c>
      <c r="FP105" t="s">
        <v>19513</v>
      </c>
      <c r="FQ105" t="s">
        <v>19509</v>
      </c>
      <c r="FR105" t="s">
        <v>10749</v>
      </c>
      <c r="FS105" t="s">
        <v>7250</v>
      </c>
      <c r="FT105"/>
      <c r="FU105"/>
      <c r="FV105"/>
      <c r="FW105"/>
      <c r="FX105"/>
      <c r="FY105"/>
      <c r="FZ105" t="s">
        <v>6546</v>
      </c>
      <c r="GA105" t="s">
        <v>6546</v>
      </c>
      <c r="GB105">
        <v>421</v>
      </c>
      <c r="GC105">
        <v>32.619999999999997</v>
      </c>
      <c r="GD105">
        <v>421</v>
      </c>
      <c r="GE105"/>
      <c r="GF105"/>
      <c r="GG105"/>
      <c r="GH105" t="s">
        <v>2321</v>
      </c>
      <c r="GI105" t="s">
        <v>9165</v>
      </c>
      <c r="GJ105"/>
      <c r="GK105" t="s">
        <v>4124</v>
      </c>
      <c r="GL105" t="s">
        <v>19514</v>
      </c>
      <c r="GM105"/>
      <c r="GN105" t="s">
        <v>4124</v>
      </c>
      <c r="GO105" t="s">
        <v>9165</v>
      </c>
      <c r="GP105"/>
      <c r="GQ105"/>
      <c r="GR105"/>
      <c r="GS105"/>
      <c r="GT105"/>
      <c r="GU105" t="s">
        <v>19515</v>
      </c>
    </row>
    <row r="106" spans="1:203" ht="18" customHeight="1" x14ac:dyDescent="0.35">
      <c r="FG106" t="s">
        <v>19516</v>
      </c>
      <c r="FH106" t="s">
        <v>7246</v>
      </c>
      <c r="FI106" t="s">
        <v>24</v>
      </c>
      <c r="FJ106" t="s">
        <v>24</v>
      </c>
      <c r="FK106" t="s">
        <v>24</v>
      </c>
      <c r="FL106"/>
      <c r="FM106" t="s">
        <v>19345</v>
      </c>
      <c r="FN106" t="s">
        <v>19346</v>
      </c>
      <c r="FO106" t="s">
        <v>19517</v>
      </c>
      <c r="FP106"/>
      <c r="FQ106" t="s">
        <v>17310</v>
      </c>
      <c r="FR106" t="s">
        <v>17310</v>
      </c>
      <c r="FS106" t="s">
        <v>7250</v>
      </c>
      <c r="FT106"/>
      <c r="FU106"/>
      <c r="FV106"/>
      <c r="FW106"/>
      <c r="FX106">
        <v>446</v>
      </c>
      <c r="FY106" t="s">
        <v>9164</v>
      </c>
      <c r="FZ106">
        <v>4.5599999999999996</v>
      </c>
      <c r="GA106">
        <v>2122.73</v>
      </c>
      <c r="GB106">
        <v>58</v>
      </c>
      <c r="GC106">
        <v>57.87</v>
      </c>
      <c r="GD106">
        <v>58</v>
      </c>
      <c r="GE106"/>
      <c r="GF106"/>
      <c r="GG106"/>
      <c r="GH106"/>
      <c r="GI106" t="s">
        <v>9165</v>
      </c>
      <c r="GJ106"/>
      <c r="GK106"/>
      <c r="GL106"/>
      <c r="GM106"/>
      <c r="GN106"/>
      <c r="GO106" t="s">
        <v>9165</v>
      </c>
      <c r="GP106"/>
      <c r="GQ106"/>
      <c r="GR106"/>
      <c r="GS106"/>
      <c r="GT106"/>
      <c r="GU106" t="s">
        <v>19518</v>
      </c>
    </row>
    <row r="107" spans="1:203" ht="26.15" customHeight="1" x14ac:dyDescent="0.35">
      <c r="FG107" t="s">
        <v>19519</v>
      </c>
      <c r="FH107" t="s">
        <v>7246</v>
      </c>
      <c r="FI107" t="s">
        <v>24</v>
      </c>
      <c r="FJ107" t="s">
        <v>24</v>
      </c>
      <c r="FK107" t="s">
        <v>24</v>
      </c>
      <c r="FL107"/>
      <c r="FM107" t="s">
        <v>19345</v>
      </c>
      <c r="FN107" t="s">
        <v>19346</v>
      </c>
      <c r="FO107" t="s">
        <v>19520</v>
      </c>
      <c r="FP107"/>
      <c r="FQ107" t="s">
        <v>17310</v>
      </c>
      <c r="FR107" t="s">
        <v>17310</v>
      </c>
      <c r="FS107" t="s">
        <v>7250</v>
      </c>
      <c r="FT107"/>
      <c r="FU107"/>
      <c r="FV107"/>
      <c r="FW107"/>
      <c r="FX107">
        <v>25</v>
      </c>
      <c r="FY107" t="s">
        <v>9164</v>
      </c>
      <c r="FZ107">
        <v>0.26</v>
      </c>
      <c r="GA107">
        <v>118.99</v>
      </c>
      <c r="GB107">
        <v>245</v>
      </c>
      <c r="GC107">
        <v>264.39</v>
      </c>
      <c r="GD107">
        <v>245</v>
      </c>
      <c r="GE107"/>
      <c r="GF107"/>
      <c r="GG107"/>
      <c r="GH107"/>
      <c r="GI107" t="s">
        <v>9165</v>
      </c>
      <c r="GJ107"/>
      <c r="GK107"/>
      <c r="GL107"/>
      <c r="GM107"/>
      <c r="GN107"/>
      <c r="GO107" t="s">
        <v>9165</v>
      </c>
      <c r="GP107"/>
      <c r="GQ107"/>
      <c r="GR107"/>
      <c r="GS107"/>
      <c r="GT107"/>
      <c r="GU107" t="s">
        <v>19521</v>
      </c>
    </row>
    <row r="108" spans="1:203" x14ac:dyDescent="0.35">
      <c r="FG108" t="s">
        <v>19522</v>
      </c>
      <c r="FH108" t="s">
        <v>7246</v>
      </c>
      <c r="FI108" t="s">
        <v>24</v>
      </c>
      <c r="FJ108" t="s">
        <v>24</v>
      </c>
      <c r="FK108" t="s">
        <v>24</v>
      </c>
      <c r="FL108"/>
      <c r="FM108" t="s">
        <v>19345</v>
      </c>
      <c r="FN108" t="s">
        <v>19346</v>
      </c>
      <c r="FO108" t="s">
        <v>19523</v>
      </c>
      <c r="FP108"/>
      <c r="FQ108" t="s">
        <v>17310</v>
      </c>
      <c r="FR108" t="s">
        <v>17310</v>
      </c>
      <c r="FS108" t="s">
        <v>7250</v>
      </c>
      <c r="FT108"/>
      <c r="FU108"/>
      <c r="FV108"/>
      <c r="FW108"/>
      <c r="FX108">
        <v>223</v>
      </c>
      <c r="FY108" t="s">
        <v>9164</v>
      </c>
      <c r="FZ108">
        <v>2.2799999999999998</v>
      </c>
      <c r="GA108">
        <v>1061.3599999999999</v>
      </c>
      <c r="GB108">
        <v>131</v>
      </c>
      <c r="GC108">
        <v>131.16999999999999</v>
      </c>
      <c r="GD108">
        <v>131</v>
      </c>
      <c r="GE108"/>
      <c r="GF108"/>
      <c r="GG108"/>
      <c r="GH108"/>
      <c r="GI108" t="s">
        <v>9165</v>
      </c>
      <c r="GJ108"/>
      <c r="GK108"/>
      <c r="GL108"/>
      <c r="GM108"/>
      <c r="GN108"/>
      <c r="GO108" t="s">
        <v>9165</v>
      </c>
      <c r="GP108"/>
      <c r="GQ108"/>
      <c r="GR108"/>
      <c r="GS108"/>
      <c r="GT108"/>
      <c r="GU108" t="s">
        <v>19524</v>
      </c>
    </row>
    <row r="109" spans="1:203" x14ac:dyDescent="0.35">
      <c r="FG109" t="s">
        <v>19525</v>
      </c>
      <c r="FH109" t="s">
        <v>7246</v>
      </c>
      <c r="FI109" t="s">
        <v>24</v>
      </c>
      <c r="FJ109" t="s">
        <v>24</v>
      </c>
      <c r="FK109" t="s">
        <v>24</v>
      </c>
      <c r="FL109"/>
      <c r="FM109" t="s">
        <v>19345</v>
      </c>
      <c r="FN109" t="s">
        <v>19346</v>
      </c>
      <c r="FO109" t="s">
        <v>19526</v>
      </c>
      <c r="FP109"/>
      <c r="FQ109" t="s">
        <v>17310</v>
      </c>
      <c r="FR109" t="s">
        <v>17310</v>
      </c>
      <c r="FS109" t="s">
        <v>7250</v>
      </c>
      <c r="FT109"/>
      <c r="FU109"/>
      <c r="FV109"/>
      <c r="FW109"/>
      <c r="FX109">
        <v>13</v>
      </c>
      <c r="FY109" t="s">
        <v>9164</v>
      </c>
      <c r="FZ109">
        <v>0.13</v>
      </c>
      <c r="GA109">
        <v>61.87</v>
      </c>
      <c r="GB109">
        <v>179</v>
      </c>
      <c r="GC109">
        <v>178.96</v>
      </c>
      <c r="GD109">
        <v>179</v>
      </c>
      <c r="GE109"/>
      <c r="GF109"/>
      <c r="GG109"/>
      <c r="GH109"/>
      <c r="GI109" t="s">
        <v>9165</v>
      </c>
      <c r="GJ109"/>
      <c r="GK109"/>
      <c r="GL109"/>
      <c r="GM109"/>
      <c r="GN109"/>
      <c r="GO109" t="s">
        <v>9165</v>
      </c>
      <c r="GP109"/>
      <c r="GQ109"/>
      <c r="GR109"/>
      <c r="GS109"/>
      <c r="GT109"/>
      <c r="GU109" t="s">
        <v>19527</v>
      </c>
    </row>
    <row r="110" spans="1:203" x14ac:dyDescent="0.35">
      <c r="FG110" t="s">
        <v>19528</v>
      </c>
      <c r="FH110" t="s">
        <v>7246</v>
      </c>
      <c r="FI110" t="s">
        <v>24</v>
      </c>
      <c r="FJ110" t="s">
        <v>24</v>
      </c>
      <c r="FK110" t="s">
        <v>24</v>
      </c>
      <c r="FL110"/>
      <c r="FM110" t="s">
        <v>19345</v>
      </c>
      <c r="FN110" t="s">
        <v>19346</v>
      </c>
      <c r="FO110" t="s">
        <v>19529</v>
      </c>
      <c r="FP110"/>
      <c r="FQ110" t="s">
        <v>17310</v>
      </c>
      <c r="FR110" t="s">
        <v>17310</v>
      </c>
      <c r="FS110" t="s">
        <v>7250</v>
      </c>
      <c r="FT110"/>
      <c r="FU110"/>
      <c r="FV110"/>
      <c r="FW110"/>
      <c r="FX110">
        <v>223</v>
      </c>
      <c r="FY110" t="s">
        <v>9164</v>
      </c>
      <c r="FZ110">
        <v>2.2799999999999998</v>
      </c>
      <c r="GA110">
        <v>1061.3599999999999</v>
      </c>
      <c r="GB110">
        <v>88</v>
      </c>
      <c r="GC110">
        <v>87.13</v>
      </c>
      <c r="GD110">
        <v>88</v>
      </c>
      <c r="GE110"/>
      <c r="GF110"/>
      <c r="GG110"/>
      <c r="GH110"/>
      <c r="GI110" t="s">
        <v>9165</v>
      </c>
      <c r="GJ110"/>
      <c r="GK110"/>
      <c r="GL110"/>
      <c r="GM110"/>
      <c r="GN110"/>
      <c r="GO110" t="s">
        <v>9165</v>
      </c>
      <c r="GP110"/>
      <c r="GQ110"/>
      <c r="GR110"/>
      <c r="GS110"/>
      <c r="GT110"/>
      <c r="GU110" t="s">
        <v>19530</v>
      </c>
    </row>
    <row r="111" spans="1:203" x14ac:dyDescent="0.35">
      <c r="FG111" t="s">
        <v>19537</v>
      </c>
      <c r="FH111" t="s">
        <v>7246</v>
      </c>
      <c r="FI111" t="s">
        <v>24</v>
      </c>
      <c r="FJ111" t="s">
        <v>24</v>
      </c>
      <c r="FK111" t="s">
        <v>24</v>
      </c>
      <c r="FL111"/>
      <c r="FM111" t="s">
        <v>19538</v>
      </c>
      <c r="FN111" t="s">
        <v>19539</v>
      </c>
      <c r="FO111"/>
      <c r="FP111"/>
      <c r="FQ111" t="s">
        <v>19540</v>
      </c>
      <c r="FR111" t="s">
        <v>19540</v>
      </c>
      <c r="FS111" t="s">
        <v>7250</v>
      </c>
      <c r="FT111">
        <v>2015</v>
      </c>
      <c r="FU111"/>
      <c r="FV111"/>
      <c r="FW111"/>
      <c r="FX111">
        <v>2.4</v>
      </c>
      <c r="FY111" t="s">
        <v>19541</v>
      </c>
      <c r="FZ111">
        <v>7.0000000000000007E-2</v>
      </c>
      <c r="GA111">
        <v>31.27</v>
      </c>
      <c r="GB111">
        <v>50</v>
      </c>
      <c r="GC111">
        <v>47.58</v>
      </c>
      <c r="GD111">
        <v>50</v>
      </c>
      <c r="GE111">
        <v>100</v>
      </c>
      <c r="GF111" t="s">
        <v>8842</v>
      </c>
      <c r="GG111"/>
      <c r="GH111"/>
      <c r="GI111" t="s">
        <v>9165</v>
      </c>
      <c r="GJ111"/>
      <c r="GK111" t="s">
        <v>10751</v>
      </c>
      <c r="GL111"/>
      <c r="GM111"/>
      <c r="GN111" t="s">
        <v>10751</v>
      </c>
      <c r="GO111" t="s">
        <v>9165</v>
      </c>
      <c r="GP111"/>
      <c r="GQ111"/>
      <c r="GR111"/>
      <c r="GS111"/>
      <c r="GT111"/>
      <c r="GU111" t="s">
        <v>19542</v>
      </c>
    </row>
    <row r="112" spans="1:203" x14ac:dyDescent="0.35">
      <c r="FG112" t="s">
        <v>19543</v>
      </c>
      <c r="FH112" t="s">
        <v>7246</v>
      </c>
      <c r="FI112" t="s">
        <v>24</v>
      </c>
      <c r="FJ112" t="s">
        <v>24</v>
      </c>
      <c r="FK112" t="s">
        <v>24</v>
      </c>
      <c r="FL112"/>
      <c r="FM112" t="s">
        <v>18731</v>
      </c>
      <c r="FN112" t="s">
        <v>18732</v>
      </c>
      <c r="FO112" t="s">
        <v>19544</v>
      </c>
      <c r="FP112"/>
      <c r="FQ112" t="s">
        <v>9163</v>
      </c>
      <c r="FR112" t="s">
        <v>9163</v>
      </c>
      <c r="FS112" t="s">
        <v>7250</v>
      </c>
      <c r="FT112">
        <v>1998</v>
      </c>
      <c r="FU112"/>
      <c r="FV112"/>
      <c r="FW112"/>
      <c r="FX112">
        <v>10</v>
      </c>
      <c r="FY112" t="s">
        <v>9164</v>
      </c>
      <c r="FZ112">
        <v>0.1</v>
      </c>
      <c r="GA112">
        <v>47.59</v>
      </c>
      <c r="GB112">
        <v>96</v>
      </c>
      <c r="GC112">
        <v>97.8</v>
      </c>
      <c r="GD112">
        <v>96</v>
      </c>
      <c r="GE112"/>
      <c r="GF112"/>
      <c r="GG112" t="s">
        <v>19545</v>
      </c>
      <c r="GH112"/>
      <c r="GI112" t="s">
        <v>9165</v>
      </c>
      <c r="GJ112"/>
      <c r="GK112" t="s">
        <v>2973</v>
      </c>
      <c r="GL112" t="s">
        <v>19546</v>
      </c>
      <c r="GM112"/>
      <c r="GN112" t="s">
        <v>2973</v>
      </c>
      <c r="GO112" t="s">
        <v>9165</v>
      </c>
      <c r="GP112"/>
      <c r="GQ112"/>
      <c r="GR112"/>
      <c r="GS112"/>
      <c r="GT112"/>
      <c r="GU112" t="s">
        <v>19547</v>
      </c>
    </row>
    <row r="113" spans="1:203" x14ac:dyDescent="0.35">
      <c r="FG113" t="s">
        <v>19548</v>
      </c>
      <c r="FH113" t="s">
        <v>7246</v>
      </c>
      <c r="FI113" t="s">
        <v>24</v>
      </c>
      <c r="FJ113" t="s">
        <v>24</v>
      </c>
      <c r="FK113" t="s">
        <v>24</v>
      </c>
      <c r="FL113"/>
      <c r="FM113" t="s">
        <v>19549</v>
      </c>
      <c r="FN113" t="s">
        <v>19550</v>
      </c>
      <c r="FO113"/>
      <c r="FP113"/>
      <c r="FQ113" t="s">
        <v>19551</v>
      </c>
      <c r="FR113" t="s">
        <v>19551</v>
      </c>
      <c r="FS113" t="s">
        <v>7250</v>
      </c>
      <c r="FT113">
        <v>2009</v>
      </c>
      <c r="FU113"/>
      <c r="FV113"/>
      <c r="FW113"/>
      <c r="FX113"/>
      <c r="FY113"/>
      <c r="FZ113" t="s">
        <v>6546</v>
      </c>
      <c r="GA113" t="s">
        <v>6546</v>
      </c>
      <c r="GB113">
        <v>110</v>
      </c>
      <c r="GC113">
        <v>75.77</v>
      </c>
      <c r="GD113">
        <v>110</v>
      </c>
      <c r="GE113">
        <v>400</v>
      </c>
      <c r="GF113" t="s">
        <v>8842</v>
      </c>
      <c r="GG113"/>
      <c r="GH113"/>
      <c r="GI113" t="s">
        <v>9165</v>
      </c>
      <c r="GJ113"/>
      <c r="GK113" t="s">
        <v>2973</v>
      </c>
      <c r="GL113"/>
      <c r="GM113"/>
      <c r="GN113" t="s">
        <v>2973</v>
      </c>
      <c r="GO113" t="s">
        <v>9165</v>
      </c>
      <c r="GP113"/>
      <c r="GQ113"/>
      <c r="GR113"/>
      <c r="GS113"/>
      <c r="GT113"/>
      <c r="GU113" t="s">
        <v>19552</v>
      </c>
    </row>
    <row r="114" spans="1:203" x14ac:dyDescent="0.35">
      <c r="FG114" t="s">
        <v>19553</v>
      </c>
      <c r="FH114" t="s">
        <v>7246</v>
      </c>
      <c r="FI114" t="s">
        <v>24</v>
      </c>
      <c r="FJ114" t="s">
        <v>24</v>
      </c>
      <c r="FK114" t="s">
        <v>24</v>
      </c>
      <c r="FL114"/>
      <c r="FM114" t="s">
        <v>19554</v>
      </c>
      <c r="FN114" t="s">
        <v>19555</v>
      </c>
      <c r="FO114"/>
      <c r="FP114" t="s">
        <v>19556</v>
      </c>
      <c r="FQ114" t="s">
        <v>17310</v>
      </c>
      <c r="FR114" t="s">
        <v>17310</v>
      </c>
      <c r="FS114" t="s">
        <v>7250</v>
      </c>
      <c r="FT114">
        <v>1999</v>
      </c>
      <c r="FU114"/>
      <c r="FV114"/>
      <c r="FW114"/>
      <c r="FX114">
        <v>2.4</v>
      </c>
      <c r="FY114" t="s">
        <v>9164</v>
      </c>
      <c r="FZ114">
        <v>0.02</v>
      </c>
      <c r="GA114">
        <v>11.42</v>
      </c>
      <c r="GB114">
        <v>148</v>
      </c>
      <c r="GC114">
        <v>159.72</v>
      </c>
      <c r="GD114">
        <v>148</v>
      </c>
      <c r="GE114">
        <v>114.3</v>
      </c>
      <c r="GF114" t="s">
        <v>8842</v>
      </c>
      <c r="GG114" t="s">
        <v>18720</v>
      </c>
      <c r="GH114" t="s">
        <v>19557</v>
      </c>
      <c r="GI114" t="s">
        <v>9165</v>
      </c>
      <c r="GJ114"/>
      <c r="GK114" t="s">
        <v>4129</v>
      </c>
      <c r="GL114" t="s">
        <v>19558</v>
      </c>
      <c r="GM114"/>
      <c r="GN114" t="s">
        <v>4124</v>
      </c>
      <c r="GO114" t="s">
        <v>9165</v>
      </c>
      <c r="GP114"/>
      <c r="GQ114"/>
      <c r="GR114"/>
      <c r="GS114"/>
      <c r="GT114"/>
      <c r="GU114" t="s">
        <v>19559</v>
      </c>
    </row>
    <row r="115" spans="1:203" x14ac:dyDescent="0.35">
      <c r="FG115" t="s">
        <v>19560</v>
      </c>
      <c r="FH115" t="s">
        <v>7246</v>
      </c>
      <c r="FI115" t="s">
        <v>24</v>
      </c>
      <c r="FJ115" t="s">
        <v>24</v>
      </c>
      <c r="FK115" t="s">
        <v>24</v>
      </c>
      <c r="FL115"/>
      <c r="FM115" t="s">
        <v>19561</v>
      </c>
      <c r="FN115" t="s">
        <v>19562</v>
      </c>
      <c r="FO115"/>
      <c r="FP115" t="s">
        <v>19563</v>
      </c>
      <c r="FQ115" t="s">
        <v>19564</v>
      </c>
      <c r="FR115" t="s">
        <v>19564</v>
      </c>
      <c r="FS115" t="s">
        <v>7250</v>
      </c>
      <c r="FT115">
        <v>2017</v>
      </c>
      <c r="FU115"/>
      <c r="FV115"/>
      <c r="FW115"/>
      <c r="FX115"/>
      <c r="FY115"/>
      <c r="FZ115" t="s">
        <v>6546</v>
      </c>
      <c r="GA115" t="s">
        <v>6546</v>
      </c>
      <c r="GB115">
        <v>35.1</v>
      </c>
      <c r="GC115">
        <v>35.380000000000003</v>
      </c>
      <c r="GD115">
        <v>35.1</v>
      </c>
      <c r="GE115"/>
      <c r="GF115"/>
      <c r="GG115" t="s">
        <v>19565</v>
      </c>
      <c r="GH115"/>
      <c r="GI115" t="s">
        <v>9165</v>
      </c>
      <c r="GJ115"/>
      <c r="GK115" t="s">
        <v>2969</v>
      </c>
      <c r="GL115"/>
      <c r="GM115"/>
      <c r="GN115" t="s">
        <v>2969</v>
      </c>
      <c r="GO115" t="s">
        <v>9165</v>
      </c>
      <c r="GP115"/>
      <c r="GQ115"/>
      <c r="GR115"/>
      <c r="GS115"/>
      <c r="GT115"/>
      <c r="GU115" t="s">
        <v>19566</v>
      </c>
    </row>
    <row r="116" spans="1:203" x14ac:dyDescent="0.35">
      <c r="FG116" t="s">
        <v>19567</v>
      </c>
      <c r="FH116" t="s">
        <v>7246</v>
      </c>
      <c r="FI116" t="s">
        <v>24</v>
      </c>
      <c r="FJ116" t="s">
        <v>24</v>
      </c>
      <c r="FK116" t="s">
        <v>24</v>
      </c>
      <c r="FL116"/>
      <c r="FM116" t="s">
        <v>19568</v>
      </c>
      <c r="FN116" t="s">
        <v>19569</v>
      </c>
      <c r="FO116"/>
      <c r="FP116"/>
      <c r="FQ116" t="s">
        <v>19570</v>
      </c>
      <c r="FR116" t="s">
        <v>19570</v>
      </c>
      <c r="FS116" t="s">
        <v>7250</v>
      </c>
      <c r="FT116">
        <v>2006</v>
      </c>
      <c r="FU116"/>
      <c r="FV116"/>
      <c r="FW116"/>
      <c r="FX116"/>
      <c r="FY116"/>
      <c r="FZ116" t="s">
        <v>6546</v>
      </c>
      <c r="GA116" t="s">
        <v>6546</v>
      </c>
      <c r="GB116">
        <v>80</v>
      </c>
      <c r="GC116">
        <v>63.24</v>
      </c>
      <c r="GD116">
        <v>80</v>
      </c>
      <c r="GE116">
        <v>20</v>
      </c>
      <c r="GF116" t="s">
        <v>7253</v>
      </c>
      <c r="GG116" t="s">
        <v>19571</v>
      </c>
      <c r="GH116"/>
      <c r="GI116" t="s">
        <v>9165</v>
      </c>
      <c r="GJ116"/>
      <c r="GK116" t="s">
        <v>2969</v>
      </c>
      <c r="GL116"/>
      <c r="GM116"/>
      <c r="GN116" t="s">
        <v>2969</v>
      </c>
      <c r="GO116" t="s">
        <v>9165</v>
      </c>
      <c r="GP116"/>
      <c r="GQ116"/>
      <c r="GR116"/>
      <c r="GS116"/>
      <c r="GT116"/>
      <c r="GU116" t="s">
        <v>19572</v>
      </c>
    </row>
    <row r="117" spans="1:203" x14ac:dyDescent="0.35">
      <c r="FG117" t="s">
        <v>19573</v>
      </c>
      <c r="FH117" t="s">
        <v>7246</v>
      </c>
      <c r="FI117" t="s">
        <v>24</v>
      </c>
      <c r="FJ117" t="s">
        <v>24</v>
      </c>
      <c r="FK117" t="s">
        <v>24</v>
      </c>
      <c r="FL117"/>
      <c r="FM117" t="s">
        <v>19294</v>
      </c>
      <c r="FN117" t="s">
        <v>19295</v>
      </c>
      <c r="FO117"/>
      <c r="FP117"/>
      <c r="FQ117" t="s">
        <v>9163</v>
      </c>
      <c r="FR117" t="s">
        <v>9163</v>
      </c>
      <c r="FS117" t="s">
        <v>7250</v>
      </c>
      <c r="FT117">
        <v>1996</v>
      </c>
      <c r="FU117"/>
      <c r="FV117"/>
      <c r="FW117"/>
      <c r="FX117">
        <v>26</v>
      </c>
      <c r="FY117" t="s">
        <v>9164</v>
      </c>
      <c r="FZ117">
        <v>0.27</v>
      </c>
      <c r="GA117">
        <v>123.75</v>
      </c>
      <c r="GB117">
        <v>44.3</v>
      </c>
      <c r="GC117">
        <v>44.17</v>
      </c>
      <c r="GD117">
        <v>44.3</v>
      </c>
      <c r="GE117">
        <v>219</v>
      </c>
      <c r="GF117" t="s">
        <v>8842</v>
      </c>
      <c r="GG117" t="s">
        <v>19236</v>
      </c>
      <c r="GH117" t="s">
        <v>19238</v>
      </c>
      <c r="GI117" t="s">
        <v>9165</v>
      </c>
      <c r="GJ117"/>
      <c r="GK117" t="s">
        <v>6388</v>
      </c>
      <c r="GL117" t="s">
        <v>19297</v>
      </c>
      <c r="GM117"/>
      <c r="GN117" t="s">
        <v>6388</v>
      </c>
      <c r="GO117" t="s">
        <v>9165</v>
      </c>
      <c r="GP117"/>
      <c r="GQ117"/>
      <c r="GR117"/>
      <c r="GS117"/>
      <c r="GT117"/>
      <c r="GU117" t="s">
        <v>19574</v>
      </c>
    </row>
    <row r="118" spans="1:203" x14ac:dyDescent="0.35">
      <c r="FG118" t="s">
        <v>19575</v>
      </c>
      <c r="FH118" t="s">
        <v>7246</v>
      </c>
      <c r="FI118" t="s">
        <v>24</v>
      </c>
      <c r="FJ118" t="s">
        <v>24</v>
      </c>
      <c r="FK118" t="s">
        <v>24</v>
      </c>
      <c r="FL118"/>
      <c r="FM118" t="s">
        <v>9160</v>
      </c>
      <c r="FN118" t="s">
        <v>9161</v>
      </c>
      <c r="FO118" t="s">
        <v>19576</v>
      </c>
      <c r="FP118"/>
      <c r="FQ118" t="s">
        <v>9163</v>
      </c>
      <c r="FR118" t="s">
        <v>9163</v>
      </c>
      <c r="FS118" t="s">
        <v>7250</v>
      </c>
      <c r="FT118"/>
      <c r="FU118"/>
      <c r="FV118"/>
      <c r="FW118"/>
      <c r="FX118">
        <v>45.6</v>
      </c>
      <c r="FY118" t="s">
        <v>9164</v>
      </c>
      <c r="FZ118">
        <v>0.47</v>
      </c>
      <c r="GA118">
        <v>217.03</v>
      </c>
      <c r="GB118">
        <v>85</v>
      </c>
      <c r="GC118">
        <v>122.48</v>
      </c>
      <c r="GD118">
        <v>85</v>
      </c>
      <c r="GE118"/>
      <c r="GF118"/>
      <c r="GG118"/>
      <c r="GH118"/>
      <c r="GI118" t="s">
        <v>9165</v>
      </c>
      <c r="GJ118"/>
      <c r="GK118"/>
      <c r="GL118"/>
      <c r="GM118"/>
      <c r="GN118"/>
      <c r="GO118" t="s">
        <v>9165</v>
      </c>
      <c r="GP118"/>
      <c r="GQ118"/>
      <c r="GR118"/>
      <c r="GS118"/>
      <c r="GT118"/>
      <c r="GU118" t="s">
        <v>19577</v>
      </c>
    </row>
    <row r="119" spans="1:203" x14ac:dyDescent="0.35">
      <c r="FG119" t="s">
        <v>19578</v>
      </c>
      <c r="FH119" t="s">
        <v>7246</v>
      </c>
      <c r="FI119" t="s">
        <v>24</v>
      </c>
      <c r="FJ119" t="s">
        <v>24</v>
      </c>
      <c r="FK119" t="s">
        <v>24</v>
      </c>
      <c r="FL119"/>
      <c r="FM119" t="s">
        <v>9160</v>
      </c>
      <c r="FN119" t="s">
        <v>9161</v>
      </c>
      <c r="FO119" t="s">
        <v>19579</v>
      </c>
      <c r="FP119"/>
      <c r="FQ119" t="s">
        <v>9163</v>
      </c>
      <c r="FR119" t="s">
        <v>9163</v>
      </c>
      <c r="FS119" t="s">
        <v>7250</v>
      </c>
      <c r="FT119"/>
      <c r="FU119"/>
      <c r="FV119"/>
      <c r="FW119"/>
      <c r="FX119">
        <v>8</v>
      </c>
      <c r="FY119" t="s">
        <v>9164</v>
      </c>
      <c r="FZ119">
        <v>0.08</v>
      </c>
      <c r="GA119">
        <v>38.08</v>
      </c>
      <c r="GB119">
        <v>5.7</v>
      </c>
      <c r="GC119" t="s">
        <v>6546</v>
      </c>
      <c r="GD119">
        <v>5.7</v>
      </c>
      <c r="GE119"/>
      <c r="GF119"/>
      <c r="GG119"/>
      <c r="GH119"/>
      <c r="GI119" t="s">
        <v>9165</v>
      </c>
      <c r="GJ119"/>
      <c r="GK119"/>
      <c r="GL119"/>
      <c r="GM119"/>
      <c r="GN119"/>
      <c r="GO119" t="s">
        <v>9165</v>
      </c>
      <c r="GP119"/>
      <c r="GQ119"/>
      <c r="GR119"/>
      <c r="GS119"/>
      <c r="GT119"/>
      <c r="GU119" t="s">
        <v>6546</v>
      </c>
    </row>
    <row r="120" spans="1:203" x14ac:dyDescent="0.35">
      <c r="FG120" t="s">
        <v>19580</v>
      </c>
      <c r="FH120" t="s">
        <v>7246</v>
      </c>
      <c r="FI120" t="s">
        <v>24</v>
      </c>
      <c r="FJ120" t="s">
        <v>24</v>
      </c>
      <c r="FK120" t="s">
        <v>24</v>
      </c>
      <c r="FL120"/>
      <c r="FM120" t="s">
        <v>9160</v>
      </c>
      <c r="FN120" t="s">
        <v>9161</v>
      </c>
      <c r="FO120" t="s">
        <v>19581</v>
      </c>
      <c r="FP120"/>
      <c r="FQ120" t="s">
        <v>9163</v>
      </c>
      <c r="FR120" t="s">
        <v>9163</v>
      </c>
      <c r="FS120" t="s">
        <v>7250</v>
      </c>
      <c r="FT120"/>
      <c r="FU120"/>
      <c r="FV120"/>
      <c r="FW120"/>
      <c r="FX120">
        <v>8</v>
      </c>
      <c r="FY120" t="s">
        <v>9164</v>
      </c>
      <c r="FZ120">
        <v>0.08</v>
      </c>
      <c r="GA120">
        <v>38.08</v>
      </c>
      <c r="GB120">
        <v>5</v>
      </c>
      <c r="GC120" t="s">
        <v>6546</v>
      </c>
      <c r="GD120">
        <v>5</v>
      </c>
      <c r="GE120"/>
      <c r="GF120"/>
      <c r="GG120"/>
      <c r="GH120"/>
      <c r="GI120" t="s">
        <v>9165</v>
      </c>
      <c r="GJ120"/>
      <c r="GK120"/>
      <c r="GL120"/>
      <c r="GM120"/>
      <c r="GN120"/>
      <c r="GO120" t="s">
        <v>9165</v>
      </c>
      <c r="GP120"/>
      <c r="GQ120"/>
      <c r="GR120"/>
      <c r="GS120"/>
      <c r="GT120"/>
      <c r="GU120" t="s">
        <v>6546</v>
      </c>
    </row>
    <row r="121" spans="1:203" x14ac:dyDescent="0.35">
      <c r="FG121" t="s">
        <v>19582</v>
      </c>
      <c r="FH121" t="s">
        <v>7246</v>
      </c>
      <c r="FI121" t="s">
        <v>24</v>
      </c>
      <c r="FJ121" t="s">
        <v>24</v>
      </c>
      <c r="FK121" t="s">
        <v>24</v>
      </c>
      <c r="FL121"/>
      <c r="FM121" t="s">
        <v>18682</v>
      </c>
      <c r="FN121" t="s">
        <v>18683</v>
      </c>
      <c r="FO121" t="s">
        <v>19489</v>
      </c>
      <c r="FP121"/>
      <c r="FQ121" t="s">
        <v>6543</v>
      </c>
      <c r="FR121" t="s">
        <v>6543</v>
      </c>
      <c r="FS121" t="s">
        <v>7292</v>
      </c>
      <c r="FT121">
        <v>2025</v>
      </c>
      <c r="FU121"/>
      <c r="FV121"/>
      <c r="FW121"/>
      <c r="FX121">
        <v>350</v>
      </c>
      <c r="FY121" t="s">
        <v>9164</v>
      </c>
      <c r="FZ121">
        <v>3.58</v>
      </c>
      <c r="GA121">
        <v>1665.82</v>
      </c>
      <c r="GB121">
        <v>0</v>
      </c>
      <c r="GC121" t="s">
        <v>6546</v>
      </c>
      <c r="GD121">
        <v>0</v>
      </c>
      <c r="GE121"/>
      <c r="GF121"/>
      <c r="GG121"/>
      <c r="GH121"/>
      <c r="GI121" t="s">
        <v>9165</v>
      </c>
      <c r="GJ121"/>
      <c r="GK121"/>
      <c r="GL121"/>
      <c r="GM121"/>
      <c r="GN121"/>
      <c r="GO121" t="s">
        <v>9165</v>
      </c>
      <c r="GP121"/>
      <c r="GQ121"/>
      <c r="GR121"/>
      <c r="GS121"/>
      <c r="GT121"/>
      <c r="GU121" t="s">
        <v>6546</v>
      </c>
    </row>
    <row r="122" spans="1:203" ht="46" x14ac:dyDescent="1">
      <c r="A122" s="114" t="s">
        <v>26223</v>
      </c>
      <c r="B122" s="114"/>
      <c r="C122" s="114"/>
      <c r="D122" s="114"/>
      <c r="E122" s="114"/>
      <c r="F122" s="114"/>
      <c r="G122" s="114"/>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FG122" t="s">
        <v>19583</v>
      </c>
      <c r="FH122" t="s">
        <v>7246</v>
      </c>
      <c r="FI122" t="s">
        <v>24</v>
      </c>
      <c r="FJ122" t="s">
        <v>24</v>
      </c>
      <c r="FK122" t="s">
        <v>24</v>
      </c>
      <c r="FL122"/>
      <c r="FM122" t="s">
        <v>18731</v>
      </c>
      <c r="FN122" t="s">
        <v>18732</v>
      </c>
      <c r="FO122" t="s">
        <v>19489</v>
      </c>
      <c r="FP122"/>
      <c r="FQ122" t="s">
        <v>6543</v>
      </c>
      <c r="FR122" t="s">
        <v>6543</v>
      </c>
      <c r="FS122" t="s">
        <v>7292</v>
      </c>
      <c r="FT122">
        <v>2025</v>
      </c>
      <c r="FU122"/>
      <c r="FV122"/>
      <c r="FW122"/>
      <c r="FX122">
        <v>350</v>
      </c>
      <c r="FY122" t="s">
        <v>9164</v>
      </c>
      <c r="FZ122">
        <v>3.58</v>
      </c>
      <c r="GA122">
        <v>1665.82</v>
      </c>
      <c r="GB122">
        <v>0</v>
      </c>
      <c r="GC122" t="s">
        <v>6546</v>
      </c>
      <c r="GD122">
        <v>0</v>
      </c>
      <c r="GE122"/>
      <c r="GF122"/>
      <c r="GG122"/>
      <c r="GH122"/>
      <c r="GI122" t="s">
        <v>9165</v>
      </c>
      <c r="GJ122"/>
      <c r="GK122"/>
      <c r="GL122"/>
      <c r="GM122"/>
      <c r="GN122"/>
      <c r="GO122" t="s">
        <v>9165</v>
      </c>
      <c r="GP122"/>
      <c r="GQ122"/>
      <c r="GR122"/>
      <c r="GS122"/>
      <c r="GT122"/>
      <c r="GU122" t="s">
        <v>6546</v>
      </c>
    </row>
    <row r="123" spans="1:203" ht="31" x14ac:dyDescent="0.7">
      <c r="A123" s="43" t="s">
        <v>26224</v>
      </c>
      <c r="B123" s="44"/>
      <c r="D123" s="43" t="s">
        <v>26225</v>
      </c>
      <c r="E123" s="44"/>
      <c r="F123" s="44"/>
      <c r="G123" s="44"/>
      <c r="I123" s="43" t="s">
        <v>26226</v>
      </c>
      <c r="J123" s="44"/>
      <c r="K123" s="44"/>
      <c r="L123" s="44"/>
      <c r="N123" s="43" t="s">
        <v>26227</v>
      </c>
      <c r="O123" s="44"/>
      <c r="P123" s="44"/>
      <c r="Q123" s="44"/>
      <c r="V123" s="43" t="s">
        <v>26228</v>
      </c>
      <c r="W123" s="44"/>
      <c r="X123" s="44"/>
      <c r="Y123" s="44"/>
      <c r="AB123" s="43" t="s">
        <v>25251</v>
      </c>
      <c r="AC123" s="44"/>
      <c r="AD123" s="44"/>
      <c r="AE123" s="44"/>
      <c r="AF123" s="44"/>
      <c r="AG123" s="44"/>
      <c r="AJ123" s="43" t="s">
        <v>26229</v>
      </c>
      <c r="AK123" s="44"/>
      <c r="AL123" s="44"/>
      <c r="FG123" t="s">
        <v>19584</v>
      </c>
      <c r="FH123" t="s">
        <v>7246</v>
      </c>
      <c r="FI123" t="s">
        <v>24</v>
      </c>
      <c r="FJ123" t="s">
        <v>24</v>
      </c>
      <c r="FK123" t="s">
        <v>24</v>
      </c>
      <c r="FL123"/>
      <c r="FM123" t="s">
        <v>10745</v>
      </c>
      <c r="FN123" t="s">
        <v>10746</v>
      </c>
      <c r="FO123" t="s">
        <v>19489</v>
      </c>
      <c r="FP123"/>
      <c r="FQ123" t="s">
        <v>6543</v>
      </c>
      <c r="FR123" t="s">
        <v>6543</v>
      </c>
      <c r="FS123" t="s">
        <v>7292</v>
      </c>
      <c r="FT123">
        <v>2025</v>
      </c>
      <c r="FU123"/>
      <c r="FV123"/>
      <c r="FW123"/>
      <c r="FX123">
        <v>350</v>
      </c>
      <c r="FY123" t="s">
        <v>9164</v>
      </c>
      <c r="FZ123">
        <v>3.58</v>
      </c>
      <c r="GA123">
        <v>1665.82</v>
      </c>
      <c r="GB123">
        <v>0</v>
      </c>
      <c r="GC123" t="s">
        <v>6546</v>
      </c>
      <c r="GD123">
        <v>0</v>
      </c>
      <c r="GE123"/>
      <c r="GF123"/>
      <c r="GG123"/>
      <c r="GH123"/>
      <c r="GI123" t="s">
        <v>9165</v>
      </c>
      <c r="GJ123"/>
      <c r="GK123"/>
      <c r="GL123"/>
      <c r="GM123"/>
      <c r="GN123"/>
      <c r="GO123" t="s">
        <v>9165</v>
      </c>
      <c r="GP123"/>
      <c r="GQ123"/>
      <c r="GR123"/>
      <c r="GS123"/>
      <c r="GT123"/>
      <c r="GU123" t="s">
        <v>6546</v>
      </c>
    </row>
    <row r="124" spans="1:203" x14ac:dyDescent="0.35">
      <c r="A124"/>
      <c r="B124"/>
      <c r="D124" s="44"/>
      <c r="E124" s="44"/>
      <c r="F124" s="44"/>
      <c r="G124" s="44"/>
      <c r="I124" s="44"/>
      <c r="J124" s="44"/>
      <c r="K124" s="44"/>
      <c r="L124" s="44"/>
      <c r="N124" s="44"/>
      <c r="O124" s="44"/>
      <c r="P124" s="44"/>
      <c r="Q124" s="44"/>
      <c r="V124" s="44"/>
      <c r="W124" s="44"/>
      <c r="X124" s="44"/>
      <c r="Y124" s="44"/>
      <c r="AB124" s="44"/>
      <c r="AC124" s="44"/>
      <c r="AD124" s="44"/>
      <c r="AE124" s="44"/>
      <c r="AF124" s="44"/>
      <c r="AG124" s="44"/>
      <c r="AJ124" s="44"/>
      <c r="AK124" s="44"/>
      <c r="AL124" s="44"/>
      <c r="FG124" t="s">
        <v>19602</v>
      </c>
      <c r="FH124" t="s">
        <v>7246</v>
      </c>
      <c r="FI124" t="s">
        <v>24</v>
      </c>
      <c r="FJ124" t="s">
        <v>24</v>
      </c>
      <c r="FK124" t="s">
        <v>24</v>
      </c>
      <c r="FL124"/>
      <c r="FM124" t="s">
        <v>13105</v>
      </c>
      <c r="FN124" t="s">
        <v>13106</v>
      </c>
      <c r="FO124" t="s">
        <v>19603</v>
      </c>
      <c r="FP124"/>
      <c r="FQ124" t="s">
        <v>6543</v>
      </c>
      <c r="FR124" t="s">
        <v>6543</v>
      </c>
      <c r="FS124" t="s">
        <v>7250</v>
      </c>
      <c r="FT124"/>
      <c r="FU124"/>
      <c r="FV124"/>
      <c r="FW124"/>
      <c r="FX124"/>
      <c r="FY124"/>
      <c r="FZ124" t="s">
        <v>6546</v>
      </c>
      <c r="GA124" t="s">
        <v>6546</v>
      </c>
      <c r="GB124">
        <v>121</v>
      </c>
      <c r="GC124">
        <v>118.53</v>
      </c>
      <c r="GD124">
        <v>121</v>
      </c>
      <c r="GE124"/>
      <c r="GF124"/>
      <c r="GG124" t="s">
        <v>19604</v>
      </c>
      <c r="GH124"/>
      <c r="GI124" t="s">
        <v>9165</v>
      </c>
      <c r="GJ124"/>
      <c r="GK124"/>
      <c r="GL124"/>
      <c r="GM124"/>
      <c r="GN124"/>
      <c r="GO124" t="s">
        <v>9165</v>
      </c>
      <c r="GP124"/>
      <c r="GQ124"/>
      <c r="GR124"/>
      <c r="GS124"/>
      <c r="GT124"/>
      <c r="GU124" t="s">
        <v>19605</v>
      </c>
    </row>
    <row r="125" spans="1:203" x14ac:dyDescent="0.35">
      <c r="A125" s="15" t="s">
        <v>25392</v>
      </c>
      <c r="B125" t="s">
        <v>26230</v>
      </c>
      <c r="FG125" t="s">
        <v>19606</v>
      </c>
      <c r="FH125" t="s">
        <v>7246</v>
      </c>
      <c r="FI125" t="s">
        <v>24</v>
      </c>
      <c r="FJ125" t="s">
        <v>24</v>
      </c>
      <c r="FK125" t="s">
        <v>24</v>
      </c>
      <c r="FL125"/>
      <c r="FM125" t="s">
        <v>17254</v>
      </c>
      <c r="FN125" t="s">
        <v>17255</v>
      </c>
      <c r="FO125" t="s">
        <v>19607</v>
      </c>
      <c r="FP125"/>
      <c r="FQ125" t="s">
        <v>6543</v>
      </c>
      <c r="FR125" t="s">
        <v>6543</v>
      </c>
      <c r="FS125" t="s">
        <v>7250</v>
      </c>
      <c r="FT125"/>
      <c r="FU125"/>
      <c r="FV125"/>
      <c r="FW125"/>
      <c r="FX125"/>
      <c r="FY125"/>
      <c r="FZ125" t="s">
        <v>6546</v>
      </c>
      <c r="GA125" t="s">
        <v>6546</v>
      </c>
      <c r="GB125">
        <v>45</v>
      </c>
      <c r="GC125">
        <v>44.85</v>
      </c>
      <c r="GD125">
        <v>45</v>
      </c>
      <c r="GE125"/>
      <c r="GF125"/>
      <c r="GG125"/>
      <c r="GH125"/>
      <c r="GI125" t="s">
        <v>9165</v>
      </c>
      <c r="GJ125"/>
      <c r="GK125"/>
      <c r="GL125"/>
      <c r="GM125"/>
      <c r="GN125"/>
      <c r="GO125" t="s">
        <v>9165</v>
      </c>
      <c r="GP125"/>
      <c r="GQ125"/>
      <c r="GR125"/>
      <c r="GS125"/>
      <c r="GT125"/>
      <c r="GU125" t="s">
        <v>19608</v>
      </c>
    </row>
    <row r="126" spans="1:203" x14ac:dyDescent="0.35">
      <c r="A126" s="15" t="s">
        <v>25391</v>
      </c>
      <c r="B126" t="s">
        <v>25777</v>
      </c>
      <c r="D126" s="15" t="s">
        <v>28</v>
      </c>
      <c r="E126" t="s">
        <v>26203</v>
      </c>
      <c r="F126" s="46"/>
      <c r="G126" s="46"/>
      <c r="FG126" t="s">
        <v>19609</v>
      </c>
      <c r="FH126" t="s">
        <v>7246</v>
      </c>
      <c r="FI126" t="s">
        <v>24</v>
      </c>
      <c r="FJ126" t="s">
        <v>24</v>
      </c>
      <c r="FK126" t="s">
        <v>24</v>
      </c>
      <c r="FL126"/>
      <c r="FM126" t="s">
        <v>19610</v>
      </c>
      <c r="FN126" t="s">
        <v>19611</v>
      </c>
      <c r="FO126"/>
      <c r="FP126"/>
      <c r="FQ126" t="s">
        <v>6543</v>
      </c>
      <c r="FR126" t="s">
        <v>6543</v>
      </c>
      <c r="FS126" t="s">
        <v>7250</v>
      </c>
      <c r="FT126"/>
      <c r="FU126"/>
      <c r="FV126"/>
      <c r="FW126"/>
      <c r="FX126"/>
      <c r="FY126"/>
      <c r="FZ126" t="s">
        <v>6546</v>
      </c>
      <c r="GA126" t="s">
        <v>6546</v>
      </c>
      <c r="GB126" t="s">
        <v>6546</v>
      </c>
      <c r="GC126">
        <v>30.3</v>
      </c>
      <c r="GD126">
        <v>30.3</v>
      </c>
      <c r="GE126"/>
      <c r="GF126"/>
      <c r="GG126"/>
      <c r="GH126"/>
      <c r="GI126" t="s">
        <v>9165</v>
      </c>
      <c r="GJ126"/>
      <c r="GK126"/>
      <c r="GL126"/>
      <c r="GM126"/>
      <c r="GN126"/>
      <c r="GO126" t="s">
        <v>9165</v>
      </c>
      <c r="GP126"/>
      <c r="GQ126"/>
      <c r="GR126"/>
      <c r="GS126"/>
      <c r="GT126"/>
      <c r="GU126" t="s">
        <v>19612</v>
      </c>
    </row>
    <row r="127" spans="1:203" x14ac:dyDescent="0.35">
      <c r="N127" s="15" t="s">
        <v>4014</v>
      </c>
      <c r="O127" t="s">
        <v>26203</v>
      </c>
    </row>
    <row r="128" spans="1:203" x14ac:dyDescent="0.35">
      <c r="A128" s="15" t="s">
        <v>25291</v>
      </c>
      <c r="B128" t="s">
        <v>26204</v>
      </c>
      <c r="D128" s="15" t="s">
        <v>25291</v>
      </c>
      <c r="E128"/>
      <c r="F128"/>
      <c r="AJ128" s="15" t="s">
        <v>4014</v>
      </c>
      <c r="AK128" t="s">
        <v>7250</v>
      </c>
    </row>
    <row r="129" spans="1:37" x14ac:dyDescent="0.35">
      <c r="A129" s="16" t="s">
        <v>1074</v>
      </c>
      <c r="B129">
        <v>80676.399999999994</v>
      </c>
      <c r="D129" s="16">
        <v>1</v>
      </c>
      <c r="E129"/>
      <c r="F129"/>
      <c r="I129" s="15" t="s">
        <v>25291</v>
      </c>
      <c r="J129" t="s">
        <v>26231</v>
      </c>
      <c r="N129" s="15" t="s">
        <v>26232</v>
      </c>
      <c r="O129" s="15" t="s">
        <v>26233</v>
      </c>
      <c r="P129"/>
      <c r="Q129"/>
    </row>
    <row r="130" spans="1:37" x14ac:dyDescent="0.35">
      <c r="A130" s="31" t="s">
        <v>25884</v>
      </c>
      <c r="B130">
        <v>10000</v>
      </c>
      <c r="D130" s="16" t="s">
        <v>25293</v>
      </c>
      <c r="E130"/>
      <c r="F130"/>
      <c r="I130" s="16" t="s">
        <v>1074</v>
      </c>
      <c r="J130">
        <v>760294.91999999993</v>
      </c>
      <c r="N130" s="15" t="s">
        <v>25291</v>
      </c>
      <c r="O130" t="s">
        <v>6424</v>
      </c>
      <c r="P130" t="s">
        <v>6401</v>
      </c>
      <c r="Q130" t="s">
        <v>25293</v>
      </c>
      <c r="V130" s="15" t="s">
        <v>25291</v>
      </c>
      <c r="W130" t="s">
        <v>26234</v>
      </c>
      <c r="AB130" s="15" t="s">
        <v>25291</v>
      </c>
      <c r="AC130" t="s">
        <v>26235</v>
      </c>
      <c r="AJ130" s="15" t="s">
        <v>25291</v>
      </c>
      <c r="AK130" t="s">
        <v>26236</v>
      </c>
    </row>
    <row r="131" spans="1:37" x14ac:dyDescent="0.35">
      <c r="A131" s="54" t="s">
        <v>25797</v>
      </c>
      <c r="B131">
        <v>10000</v>
      </c>
      <c r="D131"/>
      <c r="E131"/>
      <c r="F131"/>
      <c r="I131" s="16" t="s">
        <v>494</v>
      </c>
      <c r="J131">
        <v>3235.68</v>
      </c>
      <c r="N131" s="16" t="s">
        <v>6421</v>
      </c>
      <c r="O131" s="11">
        <v>9000000</v>
      </c>
      <c r="P131" s="11"/>
      <c r="Q131" s="11">
        <v>9000000</v>
      </c>
      <c r="V131" s="16" t="s">
        <v>26209</v>
      </c>
      <c r="W131">
        <v>4400000</v>
      </c>
      <c r="AB131" s="16" t="s">
        <v>2972</v>
      </c>
      <c r="AC131">
        <v>104000</v>
      </c>
      <c r="AJ131" s="16" t="s">
        <v>18683</v>
      </c>
      <c r="AK131">
        <v>547.47</v>
      </c>
    </row>
    <row r="132" spans="1:37" x14ac:dyDescent="0.35">
      <c r="A132" s="31" t="s">
        <v>26040</v>
      </c>
      <c r="B132">
        <v>70000</v>
      </c>
      <c r="D132"/>
      <c r="E132"/>
      <c r="F132"/>
      <c r="I132" s="16" t="s">
        <v>483</v>
      </c>
      <c r="J132"/>
      <c r="N132" s="16" t="s">
        <v>6456</v>
      </c>
      <c r="O132" s="11">
        <v>11400000</v>
      </c>
      <c r="P132" s="11"/>
      <c r="Q132" s="11">
        <v>11400000</v>
      </c>
      <c r="V132" s="16" t="s">
        <v>26215</v>
      </c>
      <c r="W132">
        <v>2400000</v>
      </c>
      <c r="AB132" s="16" t="s">
        <v>2968</v>
      </c>
      <c r="AC132">
        <v>130000</v>
      </c>
      <c r="AJ132" s="16" t="s">
        <v>18688</v>
      </c>
      <c r="AK132">
        <v>228.1</v>
      </c>
    </row>
    <row r="133" spans="1:37" x14ac:dyDescent="0.35">
      <c r="A133" s="54" t="s">
        <v>26042</v>
      </c>
      <c r="B133">
        <v>70000</v>
      </c>
      <c r="D133"/>
      <c r="E133"/>
      <c r="F133"/>
      <c r="I133" s="16" t="s">
        <v>26237</v>
      </c>
      <c r="J133">
        <v>111630.96000000002</v>
      </c>
      <c r="N133" s="16" t="s">
        <v>6436</v>
      </c>
      <c r="O133" s="11">
        <v>7400000</v>
      </c>
      <c r="P133" s="11"/>
      <c r="Q133" s="11">
        <v>7400000</v>
      </c>
      <c r="V133" s="16" t="s">
        <v>26208</v>
      </c>
      <c r="W133">
        <v>1410000</v>
      </c>
      <c r="AB133" s="16" t="s">
        <v>25293</v>
      </c>
      <c r="AC133">
        <v>234000</v>
      </c>
      <c r="AJ133" s="16" t="s">
        <v>18697</v>
      </c>
      <c r="AK133">
        <v>7116.95</v>
      </c>
    </row>
    <row r="134" spans="1:37" x14ac:dyDescent="0.35">
      <c r="A134" s="31" t="s">
        <v>26022</v>
      </c>
      <c r="B134">
        <v>676.4</v>
      </c>
      <c r="D134"/>
      <c r="E134"/>
      <c r="F134"/>
      <c r="I134" s="16" t="s">
        <v>25293</v>
      </c>
      <c r="J134" s="11">
        <v>875161.56</v>
      </c>
      <c r="N134" s="16" t="s">
        <v>6398</v>
      </c>
      <c r="O134" s="11"/>
      <c r="P134" s="11">
        <v>0</v>
      </c>
      <c r="Q134" s="11">
        <v>0</v>
      </c>
      <c r="V134" s="16" t="s">
        <v>25293</v>
      </c>
      <c r="W134">
        <v>8210000</v>
      </c>
      <c r="AJ134" s="16" t="s">
        <v>18549</v>
      </c>
      <c r="AK134">
        <v>178.05</v>
      </c>
    </row>
    <row r="135" spans="1:37" x14ac:dyDescent="0.35">
      <c r="A135" s="54" t="s">
        <v>25803</v>
      </c>
      <c r="B135">
        <v>676.4</v>
      </c>
      <c r="D135"/>
      <c r="E135"/>
      <c r="F135"/>
      <c r="I135"/>
      <c r="J135"/>
      <c r="N135" s="16" t="s">
        <v>6431</v>
      </c>
      <c r="O135" s="11">
        <v>8000000</v>
      </c>
      <c r="P135" s="11"/>
      <c r="Q135" s="11">
        <v>8000000</v>
      </c>
      <c r="AJ135" s="16" t="s">
        <v>19562</v>
      </c>
      <c r="AK135">
        <v>0</v>
      </c>
    </row>
    <row r="136" spans="1:37" x14ac:dyDescent="0.35">
      <c r="A136" s="16" t="s">
        <v>25942</v>
      </c>
      <c r="B136">
        <v>15000</v>
      </c>
      <c r="D136"/>
      <c r="E136"/>
      <c r="F136"/>
      <c r="I136"/>
      <c r="J136"/>
      <c r="N136" s="16" t="s">
        <v>6453</v>
      </c>
      <c r="O136" s="11">
        <v>15600000</v>
      </c>
      <c r="P136" s="11"/>
      <c r="Q136" s="11">
        <v>15600000</v>
      </c>
      <c r="AJ136" s="16" t="s">
        <v>17509</v>
      </c>
      <c r="AK136">
        <v>2236.7600000000002</v>
      </c>
    </row>
    <row r="137" spans="1:37" x14ac:dyDescent="0.35">
      <c r="A137" s="31" t="s">
        <v>25941</v>
      </c>
      <c r="B137">
        <v>15000</v>
      </c>
      <c r="D137"/>
      <c r="E137"/>
      <c r="F137"/>
      <c r="I137"/>
      <c r="J137"/>
      <c r="N137" s="16" t="s">
        <v>6445</v>
      </c>
      <c r="O137" s="11">
        <v>13350000</v>
      </c>
      <c r="P137" s="11"/>
      <c r="Q137" s="11">
        <v>13350000</v>
      </c>
      <c r="AJ137" s="16" t="s">
        <v>17516</v>
      </c>
      <c r="AK137">
        <v>182.47</v>
      </c>
    </row>
    <row r="138" spans="1:37" x14ac:dyDescent="0.35">
      <c r="A138" s="54" t="s">
        <v>25803</v>
      </c>
      <c r="B138">
        <v>15000</v>
      </c>
      <c r="D138"/>
      <c r="E138"/>
      <c r="F138"/>
      <c r="I138"/>
      <c r="J138"/>
      <c r="N138" s="16" t="s">
        <v>6460</v>
      </c>
      <c r="O138" s="11">
        <v>16700000</v>
      </c>
      <c r="P138" s="11"/>
      <c r="Q138" s="11">
        <v>16700000</v>
      </c>
      <c r="AJ138" s="16" t="s">
        <v>19555</v>
      </c>
      <c r="AK138">
        <v>11.42</v>
      </c>
    </row>
    <row r="139" spans="1:37" x14ac:dyDescent="0.35">
      <c r="A139" s="16" t="s">
        <v>6424</v>
      </c>
      <c r="B139">
        <v>6693633.5</v>
      </c>
      <c r="D139"/>
      <c r="E139"/>
      <c r="F139"/>
      <c r="I139"/>
      <c r="J139"/>
      <c r="N139" s="16" t="s">
        <v>6466</v>
      </c>
      <c r="O139" s="11">
        <v>9900000</v>
      </c>
      <c r="P139" s="11"/>
      <c r="Q139" s="11">
        <v>9900000</v>
      </c>
      <c r="AJ139" s="16" t="s">
        <v>18708</v>
      </c>
      <c r="AK139">
        <v>2007.35</v>
      </c>
    </row>
    <row r="140" spans="1:37" x14ac:dyDescent="0.35">
      <c r="A140" s="31" t="s">
        <v>25874</v>
      </c>
      <c r="B140">
        <v>890000</v>
      </c>
      <c r="D140"/>
      <c r="E140"/>
      <c r="F140"/>
      <c r="N140" s="16" t="s">
        <v>6406</v>
      </c>
      <c r="O140" s="11"/>
      <c r="P140" s="11">
        <v>2300000</v>
      </c>
      <c r="Q140" s="11">
        <v>2300000</v>
      </c>
      <c r="AJ140" s="16" t="s">
        <v>18714</v>
      </c>
      <c r="AK140">
        <v>364.95</v>
      </c>
    </row>
    <row r="141" spans="1:37" x14ac:dyDescent="0.35">
      <c r="A141" s="54" t="s">
        <v>25847</v>
      </c>
      <c r="B141">
        <v>890000</v>
      </c>
      <c r="D141"/>
      <c r="E141"/>
      <c r="F141"/>
      <c r="N141" s="16" t="s">
        <v>6416</v>
      </c>
      <c r="O141" s="11"/>
      <c r="P141" s="11">
        <v>1900000</v>
      </c>
      <c r="Q141" s="11">
        <v>1900000</v>
      </c>
      <c r="AJ141" s="16" t="s">
        <v>19550</v>
      </c>
      <c r="AK141">
        <v>0</v>
      </c>
    </row>
    <row r="142" spans="1:37" x14ac:dyDescent="0.35">
      <c r="A142" s="31" t="s">
        <v>25988</v>
      </c>
      <c r="B142">
        <v>44500</v>
      </c>
      <c r="D142"/>
      <c r="E142"/>
      <c r="F142"/>
      <c r="N142" s="16" t="s">
        <v>6411</v>
      </c>
      <c r="O142" s="11"/>
      <c r="P142" s="11"/>
      <c r="Q142" s="11"/>
      <c r="AJ142" s="16" t="s">
        <v>12836</v>
      </c>
      <c r="AK142">
        <v>0</v>
      </c>
    </row>
    <row r="143" spans="1:37" x14ac:dyDescent="0.35">
      <c r="A143" s="54" t="s">
        <v>25797</v>
      </c>
      <c r="B143">
        <v>44500</v>
      </c>
      <c r="D143"/>
      <c r="E143"/>
      <c r="F143"/>
      <c r="N143" s="16" t="s">
        <v>6441</v>
      </c>
      <c r="O143" s="11">
        <v>3600000</v>
      </c>
      <c r="P143" s="11"/>
      <c r="Q143" s="11">
        <v>3600000</v>
      </c>
      <c r="AJ143" s="16" t="s">
        <v>18724</v>
      </c>
      <c r="AK143">
        <v>46.74</v>
      </c>
    </row>
    <row r="144" spans="1:37" x14ac:dyDescent="0.35">
      <c r="A144" s="31" t="s">
        <v>25956</v>
      </c>
      <c r="B144"/>
      <c r="D144"/>
      <c r="E144"/>
      <c r="F144"/>
      <c r="N144" s="16" t="s">
        <v>6428</v>
      </c>
      <c r="O144" s="11">
        <v>8500000</v>
      </c>
      <c r="P144" s="11"/>
      <c r="Q144" s="11">
        <v>8500000</v>
      </c>
      <c r="AJ144" s="16" t="s">
        <v>18732</v>
      </c>
      <c r="AK144">
        <v>590.49</v>
      </c>
    </row>
    <row r="145" spans="1:37" x14ac:dyDescent="0.35">
      <c r="A145" s="54" t="s">
        <v>25957</v>
      </c>
      <c r="B145"/>
      <c r="D145"/>
      <c r="E145"/>
      <c r="F145"/>
      <c r="N145" s="16" t="s">
        <v>6449</v>
      </c>
      <c r="O145" s="11">
        <v>4450000</v>
      </c>
      <c r="P145" s="11"/>
      <c r="Q145" s="11">
        <v>4450000</v>
      </c>
      <c r="AJ145" s="16" t="s">
        <v>17316</v>
      </c>
      <c r="AK145">
        <v>497.27</v>
      </c>
    </row>
    <row r="146" spans="1:37" x14ac:dyDescent="0.35">
      <c r="A146" s="31" t="s">
        <v>26102</v>
      </c>
      <c r="B146">
        <v>1825000</v>
      </c>
      <c r="N146" s="16" t="s">
        <v>25293</v>
      </c>
      <c r="O146" s="11">
        <v>107900000</v>
      </c>
      <c r="P146" s="11">
        <v>4200000</v>
      </c>
      <c r="Q146" s="11">
        <v>112100000</v>
      </c>
      <c r="AJ146" s="16" t="s">
        <v>18189</v>
      </c>
      <c r="AK146">
        <v>61.87</v>
      </c>
    </row>
    <row r="147" spans="1:37" x14ac:dyDescent="0.35">
      <c r="A147" s="54" t="s">
        <v>25803</v>
      </c>
      <c r="B147">
        <v>1825000</v>
      </c>
      <c r="N147"/>
      <c r="O147"/>
      <c r="P147"/>
      <c r="Q147"/>
      <c r="AJ147" s="16" t="s">
        <v>18190</v>
      </c>
      <c r="AK147">
        <v>61.87</v>
      </c>
    </row>
    <row r="148" spans="1:37" x14ac:dyDescent="0.35">
      <c r="A148" s="31" t="s">
        <v>25842</v>
      </c>
      <c r="B148">
        <v>985500</v>
      </c>
      <c r="N148"/>
      <c r="O148"/>
      <c r="P148"/>
      <c r="Q148"/>
      <c r="AJ148" s="16" t="s">
        <v>18739</v>
      </c>
      <c r="AK148">
        <v>52.95</v>
      </c>
    </row>
    <row r="149" spans="1:37" x14ac:dyDescent="0.35">
      <c r="A149" s="54" t="s">
        <v>25847</v>
      </c>
      <c r="B149">
        <v>985500</v>
      </c>
      <c r="N149"/>
      <c r="O149"/>
      <c r="P149"/>
      <c r="Q149"/>
      <c r="AJ149" s="16" t="s">
        <v>18746</v>
      </c>
      <c r="AK149">
        <v>187.05</v>
      </c>
    </row>
    <row r="150" spans="1:37" x14ac:dyDescent="0.35">
      <c r="A150" s="31" t="s">
        <v>25995</v>
      </c>
      <c r="B150">
        <v>35733.5</v>
      </c>
      <c r="N150"/>
      <c r="O150"/>
      <c r="P150"/>
      <c r="Q150"/>
      <c r="AJ150" s="16" t="s">
        <v>18753</v>
      </c>
      <c r="AK150">
        <v>5132.41</v>
      </c>
    </row>
    <row r="151" spans="1:37" x14ac:dyDescent="0.35">
      <c r="A151" s="54" t="s">
        <v>25847</v>
      </c>
      <c r="B151">
        <v>35733.5</v>
      </c>
      <c r="N151"/>
      <c r="O151"/>
      <c r="P151"/>
      <c r="Q151"/>
      <c r="AJ151" s="16" t="s">
        <v>18759</v>
      </c>
      <c r="AK151">
        <v>0</v>
      </c>
    </row>
    <row r="152" spans="1:37" x14ac:dyDescent="0.35">
      <c r="A152" s="31" t="s">
        <v>26066</v>
      </c>
      <c r="B152">
        <v>178000</v>
      </c>
      <c r="N152"/>
      <c r="O152"/>
      <c r="P152"/>
      <c r="Q152"/>
      <c r="AJ152" s="16" t="s">
        <v>18772</v>
      </c>
      <c r="AK152">
        <v>76.150000000000006</v>
      </c>
    </row>
    <row r="153" spans="1:37" x14ac:dyDescent="0.35">
      <c r="A153" s="54" t="s">
        <v>25797</v>
      </c>
      <c r="B153">
        <v>178000</v>
      </c>
      <c r="N153"/>
      <c r="O153"/>
      <c r="P153"/>
      <c r="Q153"/>
      <c r="AJ153" s="16" t="s">
        <v>18777</v>
      </c>
      <c r="AK153">
        <v>4083.15</v>
      </c>
    </row>
    <row r="154" spans="1:37" x14ac:dyDescent="0.35">
      <c r="A154" s="31" t="s">
        <v>25800</v>
      </c>
      <c r="B154">
        <v>300000</v>
      </c>
      <c r="N154"/>
      <c r="O154"/>
      <c r="P154"/>
      <c r="Q154"/>
      <c r="AJ154" s="16" t="s">
        <v>18785</v>
      </c>
      <c r="AK154">
        <v>2417.79</v>
      </c>
    </row>
    <row r="155" spans="1:37" x14ac:dyDescent="0.35">
      <c r="A155" s="54" t="s">
        <v>25803</v>
      </c>
      <c r="B155">
        <v>300000</v>
      </c>
      <c r="N155"/>
      <c r="O155"/>
      <c r="P155"/>
      <c r="Q155"/>
      <c r="AJ155" s="16" t="s">
        <v>18870</v>
      </c>
      <c r="AK155">
        <v>136.84</v>
      </c>
    </row>
    <row r="156" spans="1:37" x14ac:dyDescent="0.35">
      <c r="A156" s="31" t="s">
        <v>25789</v>
      </c>
      <c r="B156">
        <v>356000</v>
      </c>
      <c r="N156"/>
      <c r="O156"/>
      <c r="P156"/>
      <c r="Q156"/>
      <c r="AJ156" s="16" t="s">
        <v>19493</v>
      </c>
      <c r="AK156">
        <v>0</v>
      </c>
    </row>
    <row r="157" spans="1:37" x14ac:dyDescent="0.35">
      <c r="A157" s="54" t="s">
        <v>25752</v>
      </c>
      <c r="B157">
        <v>356000</v>
      </c>
      <c r="N157"/>
      <c r="O157"/>
      <c r="P157"/>
      <c r="Q157"/>
      <c r="AJ157" s="16" t="s">
        <v>19539</v>
      </c>
      <c r="AK157">
        <v>31.27</v>
      </c>
    </row>
    <row r="158" spans="1:37" x14ac:dyDescent="0.35">
      <c r="A158" s="31" t="s">
        <v>26084</v>
      </c>
      <c r="B158">
        <v>100000</v>
      </c>
      <c r="N158"/>
      <c r="O158"/>
      <c r="P158"/>
      <c r="Q158"/>
      <c r="AJ158" s="16" t="s">
        <v>18898</v>
      </c>
      <c r="AK158">
        <v>481.33</v>
      </c>
    </row>
    <row r="159" spans="1:37" x14ac:dyDescent="0.35">
      <c r="A159" s="54" t="s">
        <v>25803</v>
      </c>
      <c r="B159">
        <v>100000</v>
      </c>
      <c r="N159"/>
      <c r="O159"/>
      <c r="P159"/>
      <c r="Q159"/>
      <c r="AJ159" s="16" t="s">
        <v>12843</v>
      </c>
      <c r="AK159">
        <v>1621.85</v>
      </c>
    </row>
    <row r="160" spans="1:37" x14ac:dyDescent="0.35">
      <c r="A160" s="31" t="s">
        <v>25918</v>
      </c>
      <c r="B160">
        <v>1800000</v>
      </c>
      <c r="N160"/>
      <c r="O160"/>
      <c r="P160"/>
      <c r="Q160"/>
      <c r="AJ160" s="16" t="s">
        <v>9161</v>
      </c>
      <c r="AK160">
        <v>429.32</v>
      </c>
    </row>
    <row r="161" spans="1:37" x14ac:dyDescent="0.35">
      <c r="A161" s="54" t="s">
        <v>25847</v>
      </c>
      <c r="B161">
        <v>1800000</v>
      </c>
      <c r="N161"/>
      <c r="O161"/>
      <c r="P161"/>
      <c r="Q161"/>
      <c r="AJ161" s="16" t="s">
        <v>19160</v>
      </c>
      <c r="AK161">
        <v>304.61</v>
      </c>
    </row>
    <row r="162" spans="1:37" x14ac:dyDescent="0.35">
      <c r="A162" s="31" t="s">
        <v>25924</v>
      </c>
      <c r="B162">
        <v>36500</v>
      </c>
      <c r="AJ162" s="16" t="s">
        <v>19196</v>
      </c>
      <c r="AK162">
        <v>6523.9</v>
      </c>
    </row>
    <row r="163" spans="1:37" x14ac:dyDescent="0.35">
      <c r="A163" s="54" t="s">
        <v>25803</v>
      </c>
      <c r="B163">
        <v>36500</v>
      </c>
      <c r="AJ163" s="16" t="s">
        <v>19236</v>
      </c>
      <c r="AK163">
        <v>963.79</v>
      </c>
    </row>
    <row r="164" spans="1:37" x14ac:dyDescent="0.35">
      <c r="A164" s="31" t="s">
        <v>26003</v>
      </c>
      <c r="B164">
        <v>142400</v>
      </c>
      <c r="AJ164" s="16" t="s">
        <v>19268</v>
      </c>
      <c r="AK164">
        <v>1368.67</v>
      </c>
    </row>
    <row r="165" spans="1:37" x14ac:dyDescent="0.35">
      <c r="A165" s="54" t="s">
        <v>25797</v>
      </c>
      <c r="B165">
        <v>142400</v>
      </c>
      <c r="AJ165" s="16" t="s">
        <v>17376</v>
      </c>
      <c r="AK165">
        <v>7701.34</v>
      </c>
    </row>
    <row r="166" spans="1:37" x14ac:dyDescent="0.35">
      <c r="A166" s="16" t="s">
        <v>25251</v>
      </c>
      <c r="B166">
        <v>175.2</v>
      </c>
      <c r="AJ166" s="16" t="s">
        <v>19295</v>
      </c>
      <c r="AK166">
        <v>247.5</v>
      </c>
    </row>
    <row r="167" spans="1:37" x14ac:dyDescent="0.35">
      <c r="A167" s="31" t="s">
        <v>26106</v>
      </c>
      <c r="B167">
        <v>175.2</v>
      </c>
      <c r="AJ167" s="16" t="s">
        <v>19301</v>
      </c>
      <c r="AK167">
        <v>28.56</v>
      </c>
    </row>
    <row r="168" spans="1:37" x14ac:dyDescent="0.35">
      <c r="A168" s="54" t="s">
        <v>25797</v>
      </c>
      <c r="B168">
        <v>175.2</v>
      </c>
      <c r="AJ168" s="16" t="s">
        <v>19306</v>
      </c>
      <c r="AK168">
        <v>452.15</v>
      </c>
    </row>
    <row r="169" spans="1:37" x14ac:dyDescent="0.35">
      <c r="A169" s="16" t="s">
        <v>583</v>
      </c>
      <c r="B169">
        <v>130</v>
      </c>
      <c r="AJ169" s="16" t="s">
        <v>19312</v>
      </c>
      <c r="AK169">
        <v>142.78</v>
      </c>
    </row>
    <row r="170" spans="1:37" x14ac:dyDescent="0.35">
      <c r="A170" s="31" t="s">
        <v>25959</v>
      </c>
      <c r="B170">
        <v>130</v>
      </c>
      <c r="AJ170" s="16" t="s">
        <v>19320</v>
      </c>
      <c r="AK170">
        <v>89.05</v>
      </c>
    </row>
    <row r="171" spans="1:37" x14ac:dyDescent="0.35">
      <c r="A171" s="54" t="s">
        <v>25803</v>
      </c>
      <c r="B171">
        <v>130</v>
      </c>
      <c r="AJ171" s="16" t="s">
        <v>19327</v>
      </c>
      <c r="AK171">
        <v>1147.03</v>
      </c>
    </row>
    <row r="172" spans="1:37" x14ac:dyDescent="0.35">
      <c r="A172" s="31" t="s">
        <v>26076</v>
      </c>
      <c r="B172"/>
      <c r="AJ172" s="16" t="s">
        <v>19346</v>
      </c>
      <c r="AK172">
        <v>6549.0399999999991</v>
      </c>
    </row>
    <row r="173" spans="1:37" x14ac:dyDescent="0.35">
      <c r="A173" s="54" t="s">
        <v>25797</v>
      </c>
      <c r="B173"/>
      <c r="AJ173" s="16" t="s">
        <v>19352</v>
      </c>
      <c r="AK173">
        <v>1903.79</v>
      </c>
    </row>
    <row r="174" spans="1:37" x14ac:dyDescent="0.35">
      <c r="A174" s="31" t="s">
        <v>26055</v>
      </c>
      <c r="B174"/>
      <c r="AJ174" s="16" t="s">
        <v>19611</v>
      </c>
      <c r="AK174">
        <v>0</v>
      </c>
    </row>
    <row r="175" spans="1:37" x14ac:dyDescent="0.35">
      <c r="A175" s="54" t="s">
        <v>25797</v>
      </c>
      <c r="B175"/>
      <c r="AJ175" s="16" t="s">
        <v>10738</v>
      </c>
      <c r="AK175">
        <v>514.02</v>
      </c>
    </row>
    <row r="176" spans="1:37" x14ac:dyDescent="0.35">
      <c r="A176" s="31" t="s">
        <v>25975</v>
      </c>
      <c r="B176"/>
      <c r="AJ176" s="16" t="s">
        <v>17331</v>
      </c>
      <c r="AK176">
        <v>661.57</v>
      </c>
    </row>
    <row r="177" spans="1:37" x14ac:dyDescent="0.35">
      <c r="A177" s="54" t="s">
        <v>25803</v>
      </c>
      <c r="B177"/>
      <c r="AJ177" s="16" t="s">
        <v>10746</v>
      </c>
      <c r="AK177">
        <v>4197.18</v>
      </c>
    </row>
    <row r="178" spans="1:37" x14ac:dyDescent="0.35">
      <c r="A178" s="31" t="s">
        <v>26089</v>
      </c>
      <c r="B178"/>
      <c r="AJ178" s="16" t="s">
        <v>19506</v>
      </c>
      <c r="AK178">
        <v>0</v>
      </c>
    </row>
    <row r="179" spans="1:37" x14ac:dyDescent="0.35">
      <c r="A179" s="54" t="s">
        <v>25803</v>
      </c>
      <c r="B179"/>
      <c r="AJ179" s="16" t="s">
        <v>19569</v>
      </c>
      <c r="AK179">
        <v>0</v>
      </c>
    </row>
    <row r="180" spans="1:37" x14ac:dyDescent="0.35">
      <c r="A180" s="31" t="s">
        <v>26036</v>
      </c>
      <c r="B180"/>
      <c r="AJ180" s="16" t="s">
        <v>11239</v>
      </c>
      <c r="AK180">
        <v>142.78</v>
      </c>
    </row>
    <row r="181" spans="1:37" x14ac:dyDescent="0.35">
      <c r="A181" s="54" t="s">
        <v>25847</v>
      </c>
      <c r="B181"/>
      <c r="AJ181" s="16" t="s">
        <v>12978</v>
      </c>
      <c r="AK181">
        <v>333.16</v>
      </c>
    </row>
    <row r="182" spans="1:37" x14ac:dyDescent="0.35">
      <c r="A182" s="31" t="s">
        <v>25947</v>
      </c>
      <c r="B182"/>
      <c r="AJ182" s="16" t="s">
        <v>12996</v>
      </c>
      <c r="AK182">
        <v>790.07</v>
      </c>
    </row>
    <row r="183" spans="1:37" x14ac:dyDescent="0.35">
      <c r="A183" s="54" t="s">
        <v>25803</v>
      </c>
      <c r="B183"/>
      <c r="AJ183" s="16" t="s">
        <v>17279</v>
      </c>
      <c r="AK183">
        <v>709.16</v>
      </c>
    </row>
    <row r="184" spans="1:37" x14ac:dyDescent="0.35">
      <c r="A184" s="16" t="s">
        <v>25293</v>
      </c>
      <c r="B184" s="11">
        <v>6789615.1000000006</v>
      </c>
      <c r="AJ184" s="16" t="s">
        <v>13050</v>
      </c>
      <c r="AK184">
        <v>1427.84</v>
      </c>
    </row>
    <row r="185" spans="1:37" x14ac:dyDescent="0.35">
      <c r="A185"/>
      <c r="B185"/>
      <c r="AJ185" s="16" t="s">
        <v>18720</v>
      </c>
      <c r="AK185">
        <v>26.65</v>
      </c>
    </row>
    <row r="186" spans="1:37" x14ac:dyDescent="0.35">
      <c r="A186"/>
      <c r="B186"/>
      <c r="AJ186" s="16" t="s">
        <v>13106</v>
      </c>
      <c r="AK186">
        <v>1532.9</v>
      </c>
    </row>
    <row r="187" spans="1:37" x14ac:dyDescent="0.35">
      <c r="A187"/>
      <c r="B187"/>
      <c r="AJ187" s="16" t="s">
        <v>13141</v>
      </c>
      <c r="AK187">
        <v>1494.48</v>
      </c>
    </row>
    <row r="188" spans="1:37" x14ac:dyDescent="0.35">
      <c r="A188"/>
      <c r="B188"/>
      <c r="AJ188" s="16" t="s">
        <v>17917</v>
      </c>
      <c r="AK188">
        <v>41.88</v>
      </c>
    </row>
    <row r="189" spans="1:37" x14ac:dyDescent="0.35">
      <c r="A189"/>
      <c r="B189"/>
      <c r="AJ189" s="16" t="s">
        <v>13241</v>
      </c>
      <c r="AK189">
        <v>71.39</v>
      </c>
    </row>
    <row r="190" spans="1:37" x14ac:dyDescent="0.35">
      <c r="A190"/>
      <c r="B190"/>
      <c r="AJ190" s="16" t="s">
        <v>13253</v>
      </c>
      <c r="AK190">
        <v>190.38</v>
      </c>
    </row>
    <row r="191" spans="1:37" x14ac:dyDescent="0.35">
      <c r="A191"/>
      <c r="B191"/>
      <c r="AJ191" s="16" t="s">
        <v>13271</v>
      </c>
      <c r="AK191">
        <v>2922.32</v>
      </c>
    </row>
    <row r="192" spans="1:37" x14ac:dyDescent="0.35">
      <c r="A192"/>
      <c r="B192"/>
      <c r="AJ192" s="16" t="s">
        <v>13284</v>
      </c>
      <c r="AK192">
        <v>1922.83</v>
      </c>
    </row>
    <row r="193" spans="1:37" x14ac:dyDescent="0.35">
      <c r="A193"/>
      <c r="B193"/>
      <c r="AJ193" s="16" t="s">
        <v>13306</v>
      </c>
      <c r="AK193">
        <v>675.85</v>
      </c>
    </row>
    <row r="194" spans="1:37" x14ac:dyDescent="0.35">
      <c r="A194"/>
      <c r="B194"/>
      <c r="AJ194" s="16" t="s">
        <v>17652</v>
      </c>
      <c r="AK194">
        <v>61.87</v>
      </c>
    </row>
    <row r="195" spans="1:37" x14ac:dyDescent="0.35">
      <c r="A195"/>
      <c r="B195"/>
      <c r="AJ195" s="16" t="s">
        <v>17246</v>
      </c>
      <c r="AK195">
        <v>613.97</v>
      </c>
    </row>
    <row r="196" spans="1:37" x14ac:dyDescent="0.35">
      <c r="A196"/>
      <c r="B196"/>
      <c r="AJ196" s="16" t="s">
        <v>17255</v>
      </c>
      <c r="AK196">
        <v>138.02000000000001</v>
      </c>
    </row>
    <row r="197" spans="1:37" x14ac:dyDescent="0.35">
      <c r="A197"/>
      <c r="B197"/>
      <c r="AJ197" s="16" t="s">
        <v>10602</v>
      </c>
      <c r="AK197">
        <v>518.78</v>
      </c>
    </row>
    <row r="198" spans="1:37" x14ac:dyDescent="0.35">
      <c r="A198"/>
      <c r="B198"/>
      <c r="AJ198" s="16" t="s">
        <v>17269</v>
      </c>
      <c r="AK198">
        <v>142.78</v>
      </c>
    </row>
    <row r="199" spans="1:37" x14ac:dyDescent="0.35">
      <c r="A199"/>
      <c r="B199"/>
      <c r="AJ199" s="16" t="s">
        <v>17275</v>
      </c>
      <c r="AK199">
        <v>4902.26</v>
      </c>
    </row>
    <row r="200" spans="1:37" x14ac:dyDescent="0.35">
      <c r="A200"/>
      <c r="B200"/>
      <c r="AJ200" s="16" t="s">
        <v>17644</v>
      </c>
      <c r="AK200">
        <v>0</v>
      </c>
    </row>
    <row r="201" spans="1:37" x14ac:dyDescent="0.35">
      <c r="A201"/>
      <c r="B201"/>
      <c r="AJ201" s="16" t="s">
        <v>17297</v>
      </c>
      <c r="AK201">
        <v>1603.94</v>
      </c>
    </row>
    <row r="202" spans="1:37" x14ac:dyDescent="0.35">
      <c r="A202"/>
      <c r="B202"/>
      <c r="AJ202" s="16" t="s">
        <v>17309</v>
      </c>
      <c r="AK202">
        <v>29.51</v>
      </c>
    </row>
    <row r="203" spans="1:37" x14ac:dyDescent="0.35">
      <c r="A203"/>
      <c r="B203"/>
      <c r="AJ203" s="16" t="s">
        <v>17211</v>
      </c>
      <c r="AK203">
        <v>0</v>
      </c>
    </row>
    <row r="204" spans="1:37" x14ac:dyDescent="0.35">
      <c r="A204"/>
      <c r="B204"/>
      <c r="AJ204" s="16" t="s">
        <v>25293</v>
      </c>
      <c r="AK204" s="11">
        <v>81869.670000000013</v>
      </c>
    </row>
    <row r="205" spans="1:37" x14ac:dyDescent="0.35">
      <c r="A205"/>
      <c r="B205"/>
      <c r="AJ205"/>
      <c r="AK205"/>
    </row>
    <row r="206" spans="1:37" x14ac:dyDescent="0.35">
      <c r="A206"/>
      <c r="B206"/>
      <c r="AJ206"/>
      <c r="AK206"/>
    </row>
    <row r="207" spans="1:37" x14ac:dyDescent="0.35">
      <c r="A207"/>
      <c r="B207"/>
      <c r="AJ207"/>
      <c r="AK207"/>
    </row>
    <row r="208" spans="1:37" x14ac:dyDescent="0.35">
      <c r="A208"/>
      <c r="B208"/>
      <c r="AJ208"/>
      <c r="AK208"/>
    </row>
    <row r="209" spans="1:37" x14ac:dyDescent="0.35">
      <c r="A209"/>
      <c r="B209"/>
      <c r="AJ209"/>
      <c r="AK209"/>
    </row>
    <row r="210" spans="1:37" x14ac:dyDescent="0.35">
      <c r="A210"/>
      <c r="B210"/>
      <c r="AJ210"/>
      <c r="AK210"/>
    </row>
    <row r="211" spans="1:37" x14ac:dyDescent="0.35">
      <c r="A211"/>
      <c r="B211"/>
      <c r="AJ211"/>
      <c r="AK211"/>
    </row>
    <row r="212" spans="1:37" x14ac:dyDescent="0.35">
      <c r="A212"/>
      <c r="B212"/>
      <c r="AJ212"/>
      <c r="AK212"/>
    </row>
    <row r="213" spans="1:37" x14ac:dyDescent="0.35">
      <c r="A213"/>
      <c r="B213"/>
      <c r="AJ213"/>
      <c r="AK213"/>
    </row>
    <row r="214" spans="1:37" x14ac:dyDescent="0.35">
      <c r="A214"/>
      <c r="B214"/>
      <c r="AJ214"/>
      <c r="AK214"/>
    </row>
    <row r="215" spans="1:37" x14ac:dyDescent="0.35">
      <c r="A215"/>
      <c r="B215"/>
      <c r="AJ215"/>
      <c r="AK215"/>
    </row>
    <row r="216" spans="1:37" x14ac:dyDescent="0.35">
      <c r="A216"/>
      <c r="B216"/>
      <c r="AJ216"/>
      <c r="AK216"/>
    </row>
    <row r="217" spans="1:37" x14ac:dyDescent="0.35">
      <c r="A217"/>
      <c r="B217"/>
      <c r="AJ217"/>
      <c r="AK217"/>
    </row>
    <row r="218" spans="1:37" x14ac:dyDescent="0.35">
      <c r="A218"/>
      <c r="B218"/>
      <c r="AJ218"/>
      <c r="AK218"/>
    </row>
    <row r="219" spans="1:37" x14ac:dyDescent="0.35">
      <c r="A219"/>
      <c r="B219"/>
      <c r="AJ219"/>
      <c r="AK219"/>
    </row>
    <row r="220" spans="1:37" x14ac:dyDescent="0.35">
      <c r="A220"/>
      <c r="B220"/>
      <c r="AJ220"/>
      <c r="AK220"/>
    </row>
    <row r="221" spans="1:37" x14ac:dyDescent="0.35">
      <c r="A221"/>
      <c r="B221"/>
      <c r="AJ221"/>
      <c r="AK221"/>
    </row>
    <row r="222" spans="1:37" x14ac:dyDescent="0.35">
      <c r="A222"/>
      <c r="B222"/>
      <c r="AJ222"/>
      <c r="AK222"/>
    </row>
    <row r="223" spans="1:37" x14ac:dyDescent="0.35">
      <c r="A223"/>
      <c r="B223"/>
      <c r="AJ223"/>
      <c r="AK223"/>
    </row>
    <row r="224" spans="1:37" x14ac:dyDescent="0.35">
      <c r="A224"/>
      <c r="B224"/>
      <c r="AJ224"/>
      <c r="AK224"/>
    </row>
    <row r="225" spans="1:37" x14ac:dyDescent="0.35">
      <c r="A225"/>
      <c r="B225"/>
      <c r="AJ225"/>
      <c r="AK225"/>
    </row>
    <row r="226" spans="1:37" x14ac:dyDescent="0.35">
      <c r="A226"/>
      <c r="B226"/>
      <c r="AJ226"/>
      <c r="AK226"/>
    </row>
    <row r="227" spans="1:37" x14ac:dyDescent="0.35">
      <c r="A227"/>
      <c r="B227"/>
      <c r="AJ227"/>
      <c r="AK227"/>
    </row>
    <row r="228" spans="1:37" x14ac:dyDescent="0.35">
      <c r="A228"/>
      <c r="B228"/>
      <c r="AJ228"/>
      <c r="AK228"/>
    </row>
    <row r="229" spans="1:37" x14ac:dyDescent="0.35">
      <c r="A229"/>
      <c r="B229"/>
      <c r="AJ229"/>
      <c r="AK229"/>
    </row>
    <row r="230" spans="1:37" x14ac:dyDescent="0.35">
      <c r="A230"/>
      <c r="B230"/>
      <c r="AJ230"/>
      <c r="AK230"/>
    </row>
    <row r="231" spans="1:37" x14ac:dyDescent="0.35">
      <c r="A231"/>
      <c r="B231"/>
    </row>
    <row r="232" spans="1:37" x14ac:dyDescent="0.35">
      <c r="A232"/>
      <c r="B232"/>
    </row>
    <row r="233" spans="1:37" x14ac:dyDescent="0.35">
      <c r="A233"/>
      <c r="B233"/>
    </row>
    <row r="234" spans="1:37" x14ac:dyDescent="0.35">
      <c r="A234"/>
      <c r="B234"/>
    </row>
    <row r="235" spans="1:37" x14ac:dyDescent="0.35">
      <c r="A235"/>
      <c r="B235"/>
    </row>
    <row r="236" spans="1:37" x14ac:dyDescent="0.35">
      <c r="A236"/>
      <c r="B236"/>
    </row>
    <row r="237" spans="1:37" x14ac:dyDescent="0.35">
      <c r="A237"/>
      <c r="B237"/>
    </row>
    <row r="238" spans="1:37" x14ac:dyDescent="0.35">
      <c r="A238"/>
      <c r="B238"/>
    </row>
    <row r="239" spans="1:37" x14ac:dyDescent="0.35">
      <c r="A239"/>
      <c r="B239"/>
    </row>
    <row r="240" spans="1:37" x14ac:dyDescent="0.35">
      <c r="A240"/>
      <c r="B240"/>
    </row>
    <row r="241" spans="1:2" x14ac:dyDescent="0.35">
      <c r="A241"/>
      <c r="B241"/>
    </row>
    <row r="242" spans="1:2" x14ac:dyDescent="0.35">
      <c r="A242"/>
      <c r="B242"/>
    </row>
    <row r="243" spans="1:2" x14ac:dyDescent="0.35">
      <c r="A243"/>
      <c r="B243"/>
    </row>
    <row r="244" spans="1:2" x14ac:dyDescent="0.35">
      <c r="A244"/>
      <c r="B244"/>
    </row>
    <row r="245" spans="1:2" x14ac:dyDescent="0.35">
      <c r="A245"/>
      <c r="B245"/>
    </row>
    <row r="246" spans="1:2" x14ac:dyDescent="0.35">
      <c r="A246"/>
      <c r="B246"/>
    </row>
    <row r="247" spans="1:2" x14ac:dyDescent="0.35">
      <c r="A247"/>
      <c r="B247"/>
    </row>
    <row r="248" spans="1:2" x14ac:dyDescent="0.35">
      <c r="A248"/>
      <c r="B248"/>
    </row>
    <row r="249" spans="1:2" x14ac:dyDescent="0.35">
      <c r="A249"/>
      <c r="B249"/>
    </row>
    <row r="250" spans="1:2" x14ac:dyDescent="0.35">
      <c r="A250"/>
      <c r="B250"/>
    </row>
    <row r="251" spans="1:2" x14ac:dyDescent="0.35">
      <c r="A251"/>
      <c r="B251"/>
    </row>
    <row r="252" spans="1:2" x14ac:dyDescent="0.35">
      <c r="A252"/>
      <c r="B252"/>
    </row>
    <row r="253" spans="1:2" x14ac:dyDescent="0.35">
      <c r="A253"/>
      <c r="B253"/>
    </row>
    <row r="254" spans="1:2" x14ac:dyDescent="0.35">
      <c r="A254"/>
      <c r="B254"/>
    </row>
    <row r="255" spans="1:2" x14ac:dyDescent="0.35">
      <c r="A255"/>
      <c r="B255"/>
    </row>
    <row r="256" spans="1:2" x14ac:dyDescent="0.35">
      <c r="A256"/>
      <c r="B256"/>
    </row>
    <row r="257" spans="1:2" x14ac:dyDescent="0.35">
      <c r="A257"/>
      <c r="B257"/>
    </row>
    <row r="258" spans="1:2" x14ac:dyDescent="0.35">
      <c r="A258"/>
      <c r="B258"/>
    </row>
    <row r="259" spans="1:2" x14ac:dyDescent="0.35">
      <c r="A259"/>
      <c r="B259"/>
    </row>
    <row r="260" spans="1:2" x14ac:dyDescent="0.35">
      <c r="A260"/>
      <c r="B260"/>
    </row>
    <row r="261" spans="1:2" x14ac:dyDescent="0.35">
      <c r="A261"/>
      <c r="B261"/>
    </row>
    <row r="262" spans="1:2" x14ac:dyDescent="0.35">
      <c r="A262"/>
      <c r="B262"/>
    </row>
    <row r="263" spans="1:2" x14ac:dyDescent="0.35">
      <c r="A263"/>
      <c r="B263"/>
    </row>
    <row r="264" spans="1:2" x14ac:dyDescent="0.35">
      <c r="A264"/>
      <c r="B264"/>
    </row>
    <row r="265" spans="1:2" x14ac:dyDescent="0.35">
      <c r="A265"/>
      <c r="B265"/>
    </row>
    <row r="266" spans="1:2" x14ac:dyDescent="0.35">
      <c r="A266"/>
      <c r="B266"/>
    </row>
    <row r="267" spans="1:2" x14ac:dyDescent="0.35">
      <c r="A267"/>
      <c r="B267"/>
    </row>
    <row r="268" spans="1:2" x14ac:dyDescent="0.35">
      <c r="A268"/>
      <c r="B268"/>
    </row>
    <row r="269" spans="1:2" x14ac:dyDescent="0.35">
      <c r="A269"/>
      <c r="B269"/>
    </row>
    <row r="270" spans="1:2" x14ac:dyDescent="0.35">
      <c r="A270"/>
      <c r="B270"/>
    </row>
    <row r="271" spans="1:2" x14ac:dyDescent="0.35">
      <c r="A271"/>
      <c r="B271"/>
    </row>
    <row r="272" spans="1:2" x14ac:dyDescent="0.35">
      <c r="A272"/>
      <c r="B272"/>
    </row>
    <row r="273" spans="1:2" x14ac:dyDescent="0.35">
      <c r="A273"/>
      <c r="B273"/>
    </row>
    <row r="274" spans="1:2" x14ac:dyDescent="0.35">
      <c r="A274"/>
      <c r="B274"/>
    </row>
    <row r="275" spans="1:2" x14ac:dyDescent="0.35">
      <c r="A275"/>
      <c r="B275"/>
    </row>
    <row r="276" spans="1:2" x14ac:dyDescent="0.35">
      <c r="A276"/>
      <c r="B276"/>
    </row>
    <row r="277" spans="1:2" x14ac:dyDescent="0.35">
      <c r="A277"/>
      <c r="B277"/>
    </row>
    <row r="278" spans="1:2" x14ac:dyDescent="0.35">
      <c r="A278"/>
      <c r="B278"/>
    </row>
    <row r="279" spans="1:2" x14ac:dyDescent="0.35">
      <c r="A279"/>
      <c r="B279"/>
    </row>
    <row r="280" spans="1:2" x14ac:dyDescent="0.35">
      <c r="A280"/>
      <c r="B280"/>
    </row>
    <row r="281" spans="1:2" x14ac:dyDescent="0.35">
      <c r="A281"/>
      <c r="B281"/>
    </row>
    <row r="282" spans="1:2" x14ac:dyDescent="0.35">
      <c r="A282"/>
      <c r="B282"/>
    </row>
    <row r="283" spans="1:2" x14ac:dyDescent="0.35">
      <c r="A283"/>
      <c r="B283"/>
    </row>
    <row r="284" spans="1:2" x14ac:dyDescent="0.35">
      <c r="A284"/>
      <c r="B284"/>
    </row>
    <row r="285" spans="1:2" x14ac:dyDescent="0.35">
      <c r="A285"/>
      <c r="B285"/>
    </row>
    <row r="286" spans="1:2" x14ac:dyDescent="0.35">
      <c r="A286"/>
      <c r="B286"/>
    </row>
    <row r="287" spans="1:2" x14ac:dyDescent="0.35">
      <c r="A287"/>
      <c r="B287"/>
    </row>
    <row r="288" spans="1:2" x14ac:dyDescent="0.35">
      <c r="A288"/>
      <c r="B288"/>
    </row>
    <row r="289" spans="1:2" x14ac:dyDescent="0.35">
      <c r="A289"/>
      <c r="B289"/>
    </row>
    <row r="290" spans="1:2" x14ac:dyDescent="0.35">
      <c r="A290"/>
      <c r="B290"/>
    </row>
    <row r="291" spans="1:2" x14ac:dyDescent="0.35">
      <c r="A291"/>
      <c r="B291"/>
    </row>
    <row r="292" spans="1:2" x14ac:dyDescent="0.35">
      <c r="A292"/>
      <c r="B292"/>
    </row>
    <row r="293" spans="1:2" x14ac:dyDescent="0.35">
      <c r="A293"/>
      <c r="B293"/>
    </row>
    <row r="294" spans="1:2" x14ac:dyDescent="0.35">
      <c r="A294"/>
      <c r="B294"/>
    </row>
    <row r="295" spans="1:2" x14ac:dyDescent="0.35">
      <c r="A295"/>
      <c r="B295"/>
    </row>
    <row r="296" spans="1:2" x14ac:dyDescent="0.35">
      <c r="A296"/>
      <c r="B296"/>
    </row>
    <row r="297" spans="1:2" x14ac:dyDescent="0.35">
      <c r="A297"/>
      <c r="B297"/>
    </row>
    <row r="298" spans="1:2" x14ac:dyDescent="0.35">
      <c r="A298"/>
      <c r="B298"/>
    </row>
    <row r="299" spans="1:2" x14ac:dyDescent="0.35">
      <c r="A299"/>
      <c r="B299"/>
    </row>
    <row r="300" spans="1:2" x14ac:dyDescent="0.35">
      <c r="A300"/>
      <c r="B300"/>
    </row>
    <row r="301" spans="1:2" x14ac:dyDescent="0.35">
      <c r="A301"/>
      <c r="B301"/>
    </row>
    <row r="302" spans="1:2" x14ac:dyDescent="0.35">
      <c r="A302"/>
      <c r="B302"/>
    </row>
    <row r="303" spans="1:2" x14ac:dyDescent="0.35">
      <c r="A303"/>
      <c r="B303"/>
    </row>
    <row r="304" spans="1:2" x14ac:dyDescent="0.35">
      <c r="A304"/>
      <c r="B304"/>
    </row>
    <row r="305" spans="1:2" x14ac:dyDescent="0.35">
      <c r="A305"/>
      <c r="B305"/>
    </row>
    <row r="306" spans="1:2" x14ac:dyDescent="0.35">
      <c r="A306"/>
      <c r="B306"/>
    </row>
    <row r="307" spans="1:2" x14ac:dyDescent="0.35">
      <c r="A307"/>
      <c r="B307"/>
    </row>
    <row r="308" spans="1:2" x14ac:dyDescent="0.35">
      <c r="A308"/>
      <c r="B308"/>
    </row>
    <row r="309" spans="1:2" x14ac:dyDescent="0.35">
      <c r="A309"/>
      <c r="B309"/>
    </row>
    <row r="310" spans="1:2" x14ac:dyDescent="0.35">
      <c r="A310"/>
      <c r="B310"/>
    </row>
    <row r="311" spans="1:2" x14ac:dyDescent="0.35">
      <c r="A311"/>
      <c r="B311"/>
    </row>
    <row r="312" spans="1:2" x14ac:dyDescent="0.35">
      <c r="A312"/>
      <c r="B312"/>
    </row>
    <row r="313" spans="1:2" x14ac:dyDescent="0.35">
      <c r="A313"/>
      <c r="B313"/>
    </row>
    <row r="314" spans="1:2" x14ac:dyDescent="0.35">
      <c r="A314"/>
      <c r="B314"/>
    </row>
    <row r="315" spans="1:2" x14ac:dyDescent="0.35">
      <c r="A315"/>
      <c r="B315"/>
    </row>
    <row r="316" spans="1:2" x14ac:dyDescent="0.35">
      <c r="A316"/>
      <c r="B316"/>
    </row>
    <row r="317" spans="1:2" x14ac:dyDescent="0.35">
      <c r="A317"/>
      <c r="B317"/>
    </row>
    <row r="318" spans="1:2" x14ac:dyDescent="0.35">
      <c r="A318"/>
      <c r="B318"/>
    </row>
    <row r="319" spans="1:2" x14ac:dyDescent="0.35">
      <c r="A319"/>
      <c r="B319"/>
    </row>
    <row r="320" spans="1:2" x14ac:dyDescent="0.35">
      <c r="A320"/>
      <c r="B320"/>
    </row>
    <row r="321" spans="1:2" x14ac:dyDescent="0.35">
      <c r="A321"/>
      <c r="B321"/>
    </row>
    <row r="322" spans="1:2" x14ac:dyDescent="0.35">
      <c r="A322"/>
      <c r="B322"/>
    </row>
    <row r="323" spans="1:2" x14ac:dyDescent="0.35">
      <c r="A323"/>
      <c r="B323"/>
    </row>
    <row r="324" spans="1:2" x14ac:dyDescent="0.35">
      <c r="A324"/>
      <c r="B324"/>
    </row>
    <row r="325" spans="1:2" x14ac:dyDescent="0.35">
      <c r="A325"/>
      <c r="B325"/>
    </row>
    <row r="326" spans="1:2" x14ac:dyDescent="0.35">
      <c r="A326"/>
      <c r="B326"/>
    </row>
    <row r="327" spans="1:2" x14ac:dyDescent="0.35">
      <c r="A327"/>
      <c r="B327"/>
    </row>
    <row r="328" spans="1:2" x14ac:dyDescent="0.35">
      <c r="A328"/>
      <c r="B328"/>
    </row>
    <row r="329" spans="1:2" x14ac:dyDescent="0.35">
      <c r="A329"/>
      <c r="B329"/>
    </row>
    <row r="330" spans="1:2" x14ac:dyDescent="0.35">
      <c r="A330"/>
      <c r="B330"/>
    </row>
    <row r="331" spans="1:2" x14ac:dyDescent="0.35">
      <c r="A331"/>
      <c r="B331"/>
    </row>
    <row r="332" spans="1:2" x14ac:dyDescent="0.35">
      <c r="A332"/>
      <c r="B332"/>
    </row>
    <row r="333" spans="1:2" x14ac:dyDescent="0.35">
      <c r="A333"/>
      <c r="B333"/>
    </row>
    <row r="334" spans="1:2" x14ac:dyDescent="0.35">
      <c r="A334"/>
      <c r="B334"/>
    </row>
    <row r="335" spans="1:2" x14ac:dyDescent="0.35">
      <c r="A335"/>
      <c r="B335"/>
    </row>
    <row r="336" spans="1:2" x14ac:dyDescent="0.35">
      <c r="A336"/>
      <c r="B336"/>
    </row>
    <row r="337" spans="1:36" x14ac:dyDescent="0.35">
      <c r="A337"/>
      <c r="B337"/>
    </row>
    <row r="338" spans="1:36" x14ac:dyDescent="0.35">
      <c r="A338"/>
      <c r="B338"/>
    </row>
    <row r="339" spans="1:36" x14ac:dyDescent="0.35">
      <c r="A339"/>
      <c r="B339"/>
    </row>
    <row r="340" spans="1:36" x14ac:dyDescent="0.35">
      <c r="A340"/>
      <c r="B340"/>
    </row>
    <row r="341" spans="1:36" x14ac:dyDescent="0.35">
      <c r="A341"/>
      <c r="B341"/>
    </row>
    <row r="342" spans="1:36" x14ac:dyDescent="0.35">
      <c r="A342"/>
      <c r="B342"/>
    </row>
    <row r="343" spans="1:36" x14ac:dyDescent="0.35">
      <c r="A343"/>
      <c r="B343"/>
    </row>
    <row r="344" spans="1:36" x14ac:dyDescent="0.35">
      <c r="A344"/>
      <c r="B344"/>
    </row>
    <row r="345" spans="1:36" x14ac:dyDescent="0.35">
      <c r="A345"/>
      <c r="B345"/>
    </row>
    <row r="346" spans="1:36" x14ac:dyDescent="0.35">
      <c r="A346"/>
      <c r="B346"/>
    </row>
    <row r="347" spans="1:36" x14ac:dyDescent="0.35">
      <c r="A347"/>
      <c r="B347"/>
      <c r="AJ347"/>
    </row>
    <row r="348" spans="1:36" x14ac:dyDescent="0.35">
      <c r="A348"/>
      <c r="B348"/>
    </row>
    <row r="349" spans="1:36" x14ac:dyDescent="0.35">
      <c r="A349"/>
      <c r="B349"/>
    </row>
    <row r="350" spans="1:36" x14ac:dyDescent="0.35">
      <c r="A350"/>
      <c r="B350"/>
    </row>
    <row r="351" spans="1:36" x14ac:dyDescent="0.35">
      <c r="A351"/>
      <c r="B351"/>
    </row>
  </sheetData>
  <mergeCells count="1">
    <mergeCell ref="A122:G122"/>
  </mergeCells>
  <pageMargins left="0.7" right="0.7" top="0.75" bottom="0.75" header="0.3" footer="0.3"/>
  <tableParts count="5">
    <tablePart r:id="rId8"/>
    <tablePart r:id="rId9"/>
    <tablePart r:id="rId10"/>
    <tablePart r:id="rId11"/>
    <tablePart r:id="rId1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7C2EE-1301-46A9-90CE-84EAB16D45B4}">
  <dimension ref="A1:B2"/>
  <sheetViews>
    <sheetView workbookViewId="0">
      <selection activeCell="A2" sqref="A2"/>
    </sheetView>
  </sheetViews>
  <sheetFormatPr defaultRowHeight="14.5" x14ac:dyDescent="0.35"/>
  <cols>
    <col min="1" max="1" width="14" customWidth="1"/>
  </cols>
  <sheetData>
    <row r="1" spans="1:2" x14ac:dyDescent="0.35">
      <c r="A1" t="s">
        <v>26238</v>
      </c>
      <c r="B1" t="s">
        <v>26239</v>
      </c>
    </row>
    <row r="2" spans="1:2" x14ac:dyDescent="0.35">
      <c r="A2">
        <v>8.9880000000000002E-2</v>
      </c>
      <c r="B2">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07AF-C924-4BBA-8D37-8380A3A488BC}">
  <sheetPr filterMode="1"/>
  <dimension ref="A1:D205"/>
  <sheetViews>
    <sheetView workbookViewId="0">
      <selection activeCell="B204" sqref="B204"/>
    </sheetView>
  </sheetViews>
  <sheetFormatPr defaultRowHeight="14.5" x14ac:dyDescent="0.35"/>
  <cols>
    <col min="1" max="1" width="18.81640625" customWidth="1"/>
    <col min="3" max="3" width="23.453125" customWidth="1"/>
    <col min="4" max="4" width="21.26953125" customWidth="1"/>
  </cols>
  <sheetData>
    <row r="1" spans="1:4" x14ac:dyDescent="0.35">
      <c r="A1" t="s">
        <v>28</v>
      </c>
      <c r="B1" t="s">
        <v>29</v>
      </c>
      <c r="C1" t="s">
        <v>28</v>
      </c>
      <c r="D1" t="s">
        <v>30</v>
      </c>
    </row>
    <row r="2" spans="1:4" hidden="1" x14ac:dyDescent="0.35">
      <c r="A2" t="str">
        <f>C2</f>
        <v xml:space="preserve"> Aruba</v>
      </c>
      <c r="B2" s="113" t="s">
        <v>31</v>
      </c>
      <c r="C2" t="s">
        <v>32</v>
      </c>
      <c r="D2" t="s">
        <v>33</v>
      </c>
    </row>
    <row r="3" spans="1:4" hidden="1" x14ac:dyDescent="0.35">
      <c r="A3" t="str">
        <f t="shared" ref="A3:A66" si="0">C3</f>
        <v xml:space="preserve"> Azerbaijan</v>
      </c>
      <c r="B3" t="s">
        <v>34</v>
      </c>
      <c r="C3" t="s">
        <v>35</v>
      </c>
      <c r="D3" t="s">
        <v>36</v>
      </c>
    </row>
    <row r="4" spans="1:4" hidden="1" x14ac:dyDescent="0.35">
      <c r="A4" t="str">
        <f t="shared" si="0"/>
        <v xml:space="preserve"> Bangladesh</v>
      </c>
      <c r="B4" t="s">
        <v>37</v>
      </c>
      <c r="C4" t="s">
        <v>38</v>
      </c>
      <c r="D4" t="s">
        <v>39</v>
      </c>
    </row>
    <row r="5" spans="1:4" hidden="1" x14ac:dyDescent="0.35">
      <c r="A5" t="str">
        <f t="shared" si="0"/>
        <v xml:space="preserve"> Barbados</v>
      </c>
      <c r="B5" s="113" t="s">
        <v>40</v>
      </c>
      <c r="C5" t="s">
        <v>41</v>
      </c>
      <c r="D5" t="s">
        <v>33</v>
      </c>
    </row>
    <row r="6" spans="1:4" hidden="1" x14ac:dyDescent="0.35">
      <c r="A6" t="str">
        <f t="shared" si="0"/>
        <v xml:space="preserve"> Belarus</v>
      </c>
      <c r="B6" t="s">
        <v>42</v>
      </c>
      <c r="C6" t="s">
        <v>43</v>
      </c>
      <c r="D6" t="s">
        <v>44</v>
      </c>
    </row>
    <row r="7" spans="1:4" hidden="1" x14ac:dyDescent="0.35">
      <c r="A7" t="str">
        <f t="shared" si="0"/>
        <v xml:space="preserve"> Belgium</v>
      </c>
      <c r="B7" t="s">
        <v>45</v>
      </c>
      <c r="C7" t="s">
        <v>46</v>
      </c>
      <c r="D7" t="s">
        <v>47</v>
      </c>
    </row>
    <row r="8" spans="1:4" hidden="1" x14ac:dyDescent="0.35">
      <c r="A8" t="str">
        <f t="shared" si="0"/>
        <v xml:space="preserve"> Belize</v>
      </c>
      <c r="B8" s="113" t="s">
        <v>48</v>
      </c>
      <c r="C8" t="s">
        <v>49</v>
      </c>
      <c r="D8" t="s">
        <v>33</v>
      </c>
    </row>
    <row r="9" spans="1:4" hidden="1" x14ac:dyDescent="0.35">
      <c r="A9" t="str">
        <f t="shared" si="0"/>
        <v xml:space="preserve"> Bermuda</v>
      </c>
      <c r="B9" s="113" t="s">
        <v>50</v>
      </c>
      <c r="C9" t="s">
        <v>51</v>
      </c>
      <c r="D9" t="s">
        <v>33</v>
      </c>
    </row>
    <row r="10" spans="1:4" hidden="1" x14ac:dyDescent="0.35">
      <c r="A10" t="str">
        <f t="shared" si="0"/>
        <v xml:space="preserve"> Bhutan</v>
      </c>
      <c r="B10" t="s">
        <v>52</v>
      </c>
      <c r="C10" t="s">
        <v>53</v>
      </c>
      <c r="D10" t="s">
        <v>39</v>
      </c>
    </row>
    <row r="11" spans="1:4" hidden="1" x14ac:dyDescent="0.35">
      <c r="A11" t="str">
        <f t="shared" si="0"/>
        <v xml:space="preserve"> Bolivia</v>
      </c>
      <c r="B11" t="s">
        <v>54</v>
      </c>
      <c r="C11" t="s">
        <v>55</v>
      </c>
      <c r="D11" t="s">
        <v>33</v>
      </c>
    </row>
    <row r="12" spans="1:4" hidden="1" x14ac:dyDescent="0.35">
      <c r="A12" t="str">
        <f t="shared" si="0"/>
        <v xml:space="preserve"> Bosnia and Herzegovina</v>
      </c>
      <c r="B12" t="s">
        <v>56</v>
      </c>
      <c r="C12" t="s">
        <v>57</v>
      </c>
      <c r="D12" t="s">
        <v>44</v>
      </c>
    </row>
    <row r="13" spans="1:4" x14ac:dyDescent="0.35">
      <c r="A13" t="str">
        <f t="shared" si="0"/>
        <v xml:space="preserve"> Botswana</v>
      </c>
      <c r="B13" t="s">
        <v>58</v>
      </c>
      <c r="C13" t="s">
        <v>59</v>
      </c>
      <c r="D13" t="s">
        <v>60</v>
      </c>
    </row>
    <row r="14" spans="1:4" hidden="1" x14ac:dyDescent="0.35">
      <c r="A14" t="str">
        <f t="shared" si="0"/>
        <v xml:space="preserve"> Brunei</v>
      </c>
      <c r="B14" t="s">
        <v>61</v>
      </c>
      <c r="C14" t="s">
        <v>62</v>
      </c>
      <c r="D14" t="s">
        <v>39</v>
      </c>
    </row>
    <row r="15" spans="1:4" hidden="1" x14ac:dyDescent="0.35">
      <c r="A15" t="str">
        <f t="shared" si="0"/>
        <v xml:space="preserve"> Bulgaria</v>
      </c>
      <c r="B15" t="s">
        <v>63</v>
      </c>
      <c r="C15" t="s">
        <v>64</v>
      </c>
      <c r="D15" t="s">
        <v>47</v>
      </c>
    </row>
    <row r="16" spans="1:4" x14ac:dyDescent="0.35">
      <c r="A16" t="str">
        <f t="shared" si="0"/>
        <v xml:space="preserve"> Burundi</v>
      </c>
      <c r="B16" t="s">
        <v>65</v>
      </c>
      <c r="C16" t="s">
        <v>66</v>
      </c>
      <c r="D16" t="s">
        <v>67</v>
      </c>
    </row>
    <row r="17" spans="1:4" hidden="1" x14ac:dyDescent="0.35">
      <c r="A17" t="str">
        <f t="shared" si="0"/>
        <v xml:space="preserve"> Cambodia</v>
      </c>
      <c r="B17" t="s">
        <v>68</v>
      </c>
      <c r="C17" t="s">
        <v>69</v>
      </c>
      <c r="D17" t="s">
        <v>39</v>
      </c>
    </row>
    <row r="18" spans="1:4" x14ac:dyDescent="0.35">
      <c r="A18" t="str">
        <f t="shared" si="0"/>
        <v xml:space="preserve"> Cameroon</v>
      </c>
      <c r="B18" t="s">
        <v>70</v>
      </c>
      <c r="C18" t="s">
        <v>71</v>
      </c>
      <c r="D18" t="s">
        <v>67</v>
      </c>
    </row>
    <row r="19" spans="1:4" x14ac:dyDescent="0.35">
      <c r="A19" t="str">
        <f t="shared" si="0"/>
        <v xml:space="preserve"> Cape Verde</v>
      </c>
      <c r="B19" t="s">
        <v>72</v>
      </c>
      <c r="C19" t="s">
        <v>73</v>
      </c>
      <c r="D19" t="s">
        <v>67</v>
      </c>
    </row>
    <row r="20" spans="1:4" hidden="1" x14ac:dyDescent="0.35">
      <c r="A20" t="str">
        <f t="shared" si="0"/>
        <v xml:space="preserve"> Cayman Islands</v>
      </c>
      <c r="B20" s="113" t="s">
        <v>74</v>
      </c>
      <c r="C20" t="s">
        <v>75</v>
      </c>
      <c r="D20" t="s">
        <v>33</v>
      </c>
    </row>
    <row r="21" spans="1:4" x14ac:dyDescent="0.35">
      <c r="A21" t="str">
        <f t="shared" si="0"/>
        <v xml:space="preserve"> Central African Republic</v>
      </c>
      <c r="B21" t="s">
        <v>76</v>
      </c>
      <c r="C21" t="s">
        <v>77</v>
      </c>
      <c r="D21" t="s">
        <v>67</v>
      </c>
    </row>
    <row r="22" spans="1:4" x14ac:dyDescent="0.35">
      <c r="A22" t="str">
        <f t="shared" si="0"/>
        <v xml:space="preserve"> Chad</v>
      </c>
      <c r="B22" t="s">
        <v>78</v>
      </c>
      <c r="C22" t="s">
        <v>79</v>
      </c>
      <c r="D22" t="s">
        <v>67</v>
      </c>
    </row>
    <row r="23" spans="1:4" hidden="1" x14ac:dyDescent="0.35">
      <c r="A23" t="str">
        <f t="shared" si="0"/>
        <v xml:space="preserve"> Chile</v>
      </c>
      <c r="B23" t="s">
        <v>80</v>
      </c>
      <c r="C23" t="s">
        <v>81</v>
      </c>
      <c r="D23" t="s">
        <v>33</v>
      </c>
    </row>
    <row r="24" spans="1:4" hidden="1" x14ac:dyDescent="0.35">
      <c r="A24" t="str">
        <f t="shared" si="0"/>
        <v xml:space="preserve"> China</v>
      </c>
      <c r="B24" t="s">
        <v>82</v>
      </c>
      <c r="C24" t="s">
        <v>83</v>
      </c>
      <c r="D24" t="s">
        <v>84</v>
      </c>
    </row>
    <row r="25" spans="1:4" hidden="1" x14ac:dyDescent="0.35">
      <c r="A25" t="str">
        <f t="shared" si="0"/>
        <v xml:space="preserve"> Colombia</v>
      </c>
      <c r="B25" t="s">
        <v>85</v>
      </c>
      <c r="C25" t="s">
        <v>86</v>
      </c>
      <c r="D25" t="s">
        <v>33</v>
      </c>
    </row>
    <row r="26" spans="1:4" x14ac:dyDescent="0.35">
      <c r="A26" t="str">
        <f t="shared" si="0"/>
        <v xml:space="preserve"> Comoros</v>
      </c>
      <c r="B26" t="s">
        <v>87</v>
      </c>
      <c r="C26" t="s">
        <v>88</v>
      </c>
      <c r="D26" t="s">
        <v>67</v>
      </c>
    </row>
    <row r="27" spans="1:4" hidden="1" x14ac:dyDescent="0.35">
      <c r="A27" t="str">
        <f t="shared" si="0"/>
        <v xml:space="preserve"> Cook Islands</v>
      </c>
      <c r="B27" t="s">
        <v>89</v>
      </c>
      <c r="C27" t="s">
        <v>90</v>
      </c>
      <c r="D27" t="s">
        <v>39</v>
      </c>
    </row>
    <row r="28" spans="1:4" hidden="1" x14ac:dyDescent="0.35">
      <c r="A28" t="str">
        <f t="shared" si="0"/>
        <v xml:space="preserve"> Costa Rica</v>
      </c>
      <c r="B28" s="113" t="s">
        <v>91</v>
      </c>
      <c r="C28" t="s">
        <v>92</v>
      </c>
      <c r="D28" t="s">
        <v>33</v>
      </c>
    </row>
    <row r="29" spans="1:4" hidden="1" x14ac:dyDescent="0.35">
      <c r="A29" t="str">
        <f t="shared" si="0"/>
        <v xml:space="preserve"> Croatia</v>
      </c>
      <c r="B29" t="s">
        <v>93</v>
      </c>
      <c r="C29" t="s">
        <v>94</v>
      </c>
      <c r="D29" t="s">
        <v>47</v>
      </c>
    </row>
    <row r="30" spans="1:4" hidden="1" x14ac:dyDescent="0.35">
      <c r="A30" t="str">
        <f t="shared" si="0"/>
        <v xml:space="preserve"> Cuba</v>
      </c>
      <c r="B30" s="113" t="s">
        <v>95</v>
      </c>
      <c r="C30" t="s">
        <v>96</v>
      </c>
      <c r="D30" t="s">
        <v>33</v>
      </c>
    </row>
    <row r="31" spans="1:4" hidden="1" x14ac:dyDescent="0.35">
      <c r="A31" t="str">
        <f t="shared" si="0"/>
        <v xml:space="preserve"> Curacao</v>
      </c>
      <c r="B31" s="113" t="s">
        <v>97</v>
      </c>
      <c r="C31" t="s">
        <v>98</v>
      </c>
      <c r="D31" t="s">
        <v>33</v>
      </c>
    </row>
    <row r="32" spans="1:4" hidden="1" x14ac:dyDescent="0.35">
      <c r="A32" t="str">
        <f t="shared" si="0"/>
        <v xml:space="preserve"> Cyprus</v>
      </c>
      <c r="B32" t="s">
        <v>99</v>
      </c>
      <c r="C32" t="s">
        <v>100</v>
      </c>
      <c r="D32" t="s">
        <v>47</v>
      </c>
    </row>
    <row r="33" spans="1:4" hidden="1" x14ac:dyDescent="0.35">
      <c r="A33" t="str">
        <f t="shared" si="0"/>
        <v xml:space="preserve"> Czech Republic</v>
      </c>
      <c r="B33" t="s">
        <v>101</v>
      </c>
      <c r="C33" t="s">
        <v>102</v>
      </c>
      <c r="D33" t="s">
        <v>47</v>
      </c>
    </row>
    <row r="34" spans="1:4" hidden="1" x14ac:dyDescent="0.35">
      <c r="A34" t="str">
        <f t="shared" si="0"/>
        <v xml:space="preserve"> Dem. People^s Rep. Korea</v>
      </c>
      <c r="B34" t="s">
        <v>103</v>
      </c>
      <c r="C34" t="s">
        <v>104</v>
      </c>
      <c r="D34" t="s">
        <v>39</v>
      </c>
    </row>
    <row r="35" spans="1:4" x14ac:dyDescent="0.35">
      <c r="A35" t="str">
        <f t="shared" si="0"/>
        <v xml:space="preserve"> Democratic Republic of Congo</v>
      </c>
      <c r="B35" t="s">
        <v>105</v>
      </c>
      <c r="C35" t="s">
        <v>106</v>
      </c>
      <c r="D35" t="s">
        <v>60</v>
      </c>
    </row>
    <row r="36" spans="1:4" hidden="1" x14ac:dyDescent="0.35">
      <c r="A36" t="str">
        <f t="shared" si="0"/>
        <v xml:space="preserve"> Denmark</v>
      </c>
      <c r="B36" t="s">
        <v>107</v>
      </c>
      <c r="C36" t="s">
        <v>108</v>
      </c>
      <c r="D36" t="s">
        <v>47</v>
      </c>
    </row>
    <row r="37" spans="1:4" x14ac:dyDescent="0.35">
      <c r="A37" t="str">
        <f t="shared" si="0"/>
        <v xml:space="preserve"> Djibouti</v>
      </c>
      <c r="B37" t="s">
        <v>109</v>
      </c>
      <c r="C37" t="s">
        <v>110</v>
      </c>
      <c r="D37" t="s">
        <v>67</v>
      </c>
    </row>
    <row r="38" spans="1:4" hidden="1" x14ac:dyDescent="0.35">
      <c r="A38" t="str">
        <f t="shared" si="0"/>
        <v xml:space="preserve"> Dominica</v>
      </c>
      <c r="B38" s="113" t="s">
        <v>111</v>
      </c>
      <c r="C38" t="s">
        <v>112</v>
      </c>
      <c r="D38" t="s">
        <v>33</v>
      </c>
    </row>
    <row r="39" spans="1:4" hidden="1" x14ac:dyDescent="0.35">
      <c r="A39" t="str">
        <f t="shared" si="0"/>
        <v xml:space="preserve"> Dominican Republic</v>
      </c>
      <c r="B39" s="113" t="s">
        <v>113</v>
      </c>
      <c r="C39" t="s">
        <v>114</v>
      </c>
      <c r="D39" t="s">
        <v>33</v>
      </c>
    </row>
    <row r="40" spans="1:4" hidden="1" x14ac:dyDescent="0.35">
      <c r="A40" t="str">
        <f t="shared" si="0"/>
        <v xml:space="preserve"> Ecuador</v>
      </c>
      <c r="B40" t="s">
        <v>115</v>
      </c>
      <c r="C40" t="s">
        <v>116</v>
      </c>
      <c r="D40" t="s">
        <v>33</v>
      </c>
    </row>
    <row r="41" spans="1:4" hidden="1" x14ac:dyDescent="0.35">
      <c r="A41" t="str">
        <f t="shared" si="0"/>
        <v xml:space="preserve"> El Salvador</v>
      </c>
      <c r="B41" s="113" t="s">
        <v>117</v>
      </c>
      <c r="C41" t="s">
        <v>118</v>
      </c>
      <c r="D41" t="s">
        <v>33</v>
      </c>
    </row>
    <row r="42" spans="1:4" x14ac:dyDescent="0.35">
      <c r="A42" t="str">
        <f t="shared" si="0"/>
        <v xml:space="preserve"> Equatorial Guinea</v>
      </c>
      <c r="B42" t="s">
        <v>119</v>
      </c>
      <c r="C42" t="s">
        <v>120</v>
      </c>
      <c r="D42" t="s">
        <v>67</v>
      </c>
    </row>
    <row r="43" spans="1:4" x14ac:dyDescent="0.35">
      <c r="A43" t="str">
        <f t="shared" si="0"/>
        <v xml:space="preserve"> Eritrea</v>
      </c>
      <c r="B43" t="s">
        <v>121</v>
      </c>
      <c r="C43" t="s">
        <v>122</v>
      </c>
      <c r="D43" t="s">
        <v>67</v>
      </c>
    </row>
    <row r="44" spans="1:4" hidden="1" x14ac:dyDescent="0.35">
      <c r="A44" t="str">
        <f t="shared" si="0"/>
        <v xml:space="preserve"> Estonia</v>
      </c>
      <c r="B44" t="s">
        <v>123</v>
      </c>
      <c r="C44" t="s">
        <v>124</v>
      </c>
      <c r="D44" t="s">
        <v>47</v>
      </c>
    </row>
    <row r="45" spans="1:4" x14ac:dyDescent="0.35">
      <c r="A45" t="str">
        <f t="shared" si="0"/>
        <v xml:space="preserve"> Ethiopia</v>
      </c>
      <c r="B45" t="s">
        <v>125</v>
      </c>
      <c r="C45" t="s">
        <v>126</v>
      </c>
      <c r="D45" t="s">
        <v>67</v>
      </c>
    </row>
    <row r="46" spans="1:4" hidden="1" x14ac:dyDescent="0.35">
      <c r="A46" t="str">
        <f t="shared" si="0"/>
        <v xml:space="preserve"> Fiji</v>
      </c>
      <c r="B46" t="s">
        <v>127</v>
      </c>
      <c r="C46" t="s">
        <v>128</v>
      </c>
      <c r="D46" t="s">
        <v>39</v>
      </c>
    </row>
    <row r="47" spans="1:4" hidden="1" x14ac:dyDescent="0.35">
      <c r="A47" t="str">
        <f t="shared" si="0"/>
        <v xml:space="preserve"> Finland</v>
      </c>
      <c r="B47" t="s">
        <v>129</v>
      </c>
      <c r="C47" t="s">
        <v>130</v>
      </c>
      <c r="D47" t="s">
        <v>47</v>
      </c>
    </row>
    <row r="48" spans="1:4" hidden="1" x14ac:dyDescent="0.35">
      <c r="A48" t="str">
        <f t="shared" si="0"/>
        <v xml:space="preserve"> France</v>
      </c>
      <c r="B48" t="s">
        <v>131</v>
      </c>
      <c r="C48" t="s">
        <v>132</v>
      </c>
      <c r="D48" t="s">
        <v>47</v>
      </c>
    </row>
    <row r="49" spans="1:4" hidden="1" x14ac:dyDescent="0.35">
      <c r="A49" t="str">
        <f t="shared" si="0"/>
        <v xml:space="preserve"> French Guiana</v>
      </c>
      <c r="B49" t="s">
        <v>133</v>
      </c>
      <c r="C49" t="s">
        <v>134</v>
      </c>
      <c r="D49" t="s">
        <v>33</v>
      </c>
    </row>
    <row r="50" spans="1:4" hidden="1" x14ac:dyDescent="0.35">
      <c r="A50" t="str">
        <f t="shared" si="0"/>
        <v xml:space="preserve"> French Polynesia</v>
      </c>
      <c r="B50" t="s">
        <v>135</v>
      </c>
      <c r="C50" t="s">
        <v>136</v>
      </c>
      <c r="D50" t="s">
        <v>39</v>
      </c>
    </row>
    <row r="51" spans="1:4" x14ac:dyDescent="0.35">
      <c r="A51" t="str">
        <f t="shared" si="0"/>
        <v xml:space="preserve"> Gabon</v>
      </c>
      <c r="B51" t="s">
        <v>137</v>
      </c>
      <c r="C51" t="s">
        <v>138</v>
      </c>
      <c r="D51" t="s">
        <v>67</v>
      </c>
    </row>
    <row r="52" spans="1:4" hidden="1" x14ac:dyDescent="0.35">
      <c r="A52" t="str">
        <f t="shared" si="0"/>
        <v xml:space="preserve"> Georgia</v>
      </c>
      <c r="B52" t="s">
        <v>139</v>
      </c>
      <c r="C52" t="s">
        <v>140</v>
      </c>
      <c r="D52" t="s">
        <v>44</v>
      </c>
    </row>
    <row r="53" spans="1:4" hidden="1" x14ac:dyDescent="0.35">
      <c r="A53" t="str">
        <f t="shared" si="0"/>
        <v xml:space="preserve"> Germany</v>
      </c>
      <c r="B53" t="s">
        <v>141</v>
      </c>
      <c r="C53" t="s">
        <v>142</v>
      </c>
      <c r="D53" t="s">
        <v>47</v>
      </c>
    </row>
    <row r="54" spans="1:4" hidden="1" x14ac:dyDescent="0.35">
      <c r="A54" t="str">
        <f t="shared" si="0"/>
        <v xml:space="preserve"> Greece</v>
      </c>
      <c r="B54" t="s">
        <v>143</v>
      </c>
      <c r="C54" t="s">
        <v>144</v>
      </c>
      <c r="D54" t="s">
        <v>47</v>
      </c>
    </row>
    <row r="55" spans="1:4" hidden="1" x14ac:dyDescent="0.35">
      <c r="A55" t="str">
        <f t="shared" si="0"/>
        <v xml:space="preserve"> Grenada</v>
      </c>
      <c r="B55" s="113" t="s">
        <v>145</v>
      </c>
      <c r="C55" t="s">
        <v>146</v>
      </c>
      <c r="D55" t="s">
        <v>33</v>
      </c>
    </row>
    <row r="56" spans="1:4" hidden="1" x14ac:dyDescent="0.35">
      <c r="A56" t="str">
        <f t="shared" si="0"/>
        <v xml:space="preserve"> Guatemala</v>
      </c>
      <c r="B56" s="113" t="s">
        <v>147</v>
      </c>
      <c r="C56" t="s">
        <v>148</v>
      </c>
      <c r="D56" t="s">
        <v>33</v>
      </c>
    </row>
    <row r="57" spans="1:4" x14ac:dyDescent="0.35">
      <c r="A57" t="str">
        <f t="shared" si="0"/>
        <v xml:space="preserve"> Guinea</v>
      </c>
      <c r="B57" t="s">
        <v>149</v>
      </c>
      <c r="C57" t="s">
        <v>150</v>
      </c>
      <c r="D57" t="s">
        <v>67</v>
      </c>
    </row>
    <row r="58" spans="1:4" x14ac:dyDescent="0.35">
      <c r="A58" t="str">
        <f t="shared" si="0"/>
        <v xml:space="preserve"> Guinea-Bissau</v>
      </c>
      <c r="B58" t="s">
        <v>151</v>
      </c>
      <c r="C58" t="s">
        <v>152</v>
      </c>
      <c r="D58" t="s">
        <v>67</v>
      </c>
    </row>
    <row r="59" spans="1:4" hidden="1" x14ac:dyDescent="0.35">
      <c r="A59" t="str">
        <f t="shared" si="0"/>
        <v xml:space="preserve"> Guyana</v>
      </c>
      <c r="B59" t="s">
        <v>153</v>
      </c>
      <c r="C59" t="s">
        <v>154</v>
      </c>
      <c r="D59" t="s">
        <v>33</v>
      </c>
    </row>
    <row r="60" spans="1:4" hidden="1" x14ac:dyDescent="0.35">
      <c r="A60" t="str">
        <f t="shared" si="0"/>
        <v xml:space="preserve"> Haiti</v>
      </c>
      <c r="B60" s="113" t="s">
        <v>155</v>
      </c>
      <c r="C60" t="s">
        <v>156</v>
      </c>
      <c r="D60" t="s">
        <v>33</v>
      </c>
    </row>
    <row r="61" spans="1:4" hidden="1" x14ac:dyDescent="0.35">
      <c r="A61" t="str">
        <f t="shared" si="0"/>
        <v xml:space="preserve"> Honduras</v>
      </c>
      <c r="B61" s="113" t="s">
        <v>157</v>
      </c>
      <c r="C61" t="s">
        <v>158</v>
      </c>
      <c r="D61" t="s">
        <v>33</v>
      </c>
    </row>
    <row r="62" spans="1:4" hidden="1" x14ac:dyDescent="0.35">
      <c r="A62" t="str">
        <f t="shared" si="0"/>
        <v xml:space="preserve"> Hungary</v>
      </c>
      <c r="B62" t="s">
        <v>159</v>
      </c>
      <c r="C62" t="s">
        <v>160</v>
      </c>
      <c r="D62" t="s">
        <v>47</v>
      </c>
    </row>
    <row r="63" spans="1:4" hidden="1" x14ac:dyDescent="0.35">
      <c r="A63" t="str">
        <f t="shared" si="0"/>
        <v xml:space="preserve"> Ireland</v>
      </c>
      <c r="B63" t="s">
        <v>161</v>
      </c>
      <c r="C63" t="s">
        <v>162</v>
      </c>
      <c r="D63" t="s">
        <v>47</v>
      </c>
    </row>
    <row r="64" spans="1:4" hidden="1" x14ac:dyDescent="0.35">
      <c r="A64" t="str">
        <f t="shared" si="0"/>
        <v xml:space="preserve"> Italy</v>
      </c>
      <c r="B64" t="s">
        <v>163</v>
      </c>
      <c r="C64" t="s">
        <v>164</v>
      </c>
      <c r="D64" t="s">
        <v>47</v>
      </c>
    </row>
    <row r="65" spans="1:4" hidden="1" x14ac:dyDescent="0.35">
      <c r="A65" t="str">
        <f t="shared" si="0"/>
        <v xml:space="preserve"> Jamaica</v>
      </c>
      <c r="B65" s="113" t="s">
        <v>165</v>
      </c>
      <c r="C65" t="s">
        <v>166</v>
      </c>
      <c r="D65" t="s">
        <v>33</v>
      </c>
    </row>
    <row r="66" spans="1:4" hidden="1" x14ac:dyDescent="0.35">
      <c r="A66" t="str">
        <f t="shared" si="0"/>
        <v xml:space="preserve"> Kazakhstan</v>
      </c>
      <c r="B66" t="s">
        <v>167</v>
      </c>
      <c r="C66" t="s">
        <v>168</v>
      </c>
      <c r="D66" t="s">
        <v>36</v>
      </c>
    </row>
    <row r="67" spans="1:4" x14ac:dyDescent="0.35">
      <c r="A67" t="str">
        <f t="shared" ref="A67:A130" si="1">C67</f>
        <v xml:space="preserve"> Kenya</v>
      </c>
      <c r="B67" t="s">
        <v>169</v>
      </c>
      <c r="C67" t="s">
        <v>170</v>
      </c>
      <c r="D67" t="s">
        <v>67</v>
      </c>
    </row>
    <row r="68" spans="1:4" hidden="1" x14ac:dyDescent="0.35">
      <c r="A68" t="str">
        <f t="shared" si="1"/>
        <v xml:space="preserve"> Kiribati</v>
      </c>
      <c r="B68" t="s">
        <v>171</v>
      </c>
      <c r="C68" t="s">
        <v>172</v>
      </c>
      <c r="D68" t="s">
        <v>39</v>
      </c>
    </row>
    <row r="69" spans="1:4" hidden="1" x14ac:dyDescent="0.35">
      <c r="A69" t="str">
        <f t="shared" si="1"/>
        <v xml:space="preserve"> Kosovo</v>
      </c>
      <c r="B69" t="s">
        <v>173</v>
      </c>
      <c r="C69" t="s">
        <v>174</v>
      </c>
      <c r="D69" t="s">
        <v>44</v>
      </c>
    </row>
    <row r="70" spans="1:4" hidden="1" x14ac:dyDescent="0.35">
      <c r="A70" t="str">
        <f t="shared" si="1"/>
        <v xml:space="preserve"> Kyrgyz Republic</v>
      </c>
      <c r="B70" t="s">
        <v>175</v>
      </c>
      <c r="C70" t="s">
        <v>176</v>
      </c>
      <c r="D70" t="s">
        <v>36</v>
      </c>
    </row>
    <row r="71" spans="1:4" hidden="1" x14ac:dyDescent="0.35">
      <c r="A71" t="str">
        <f t="shared" si="1"/>
        <v xml:space="preserve"> Laos</v>
      </c>
      <c r="B71" t="s">
        <v>177</v>
      </c>
      <c r="C71" t="s">
        <v>178</v>
      </c>
      <c r="D71" t="s">
        <v>39</v>
      </c>
    </row>
    <row r="72" spans="1:4" hidden="1" x14ac:dyDescent="0.35">
      <c r="A72" t="str">
        <f t="shared" si="1"/>
        <v xml:space="preserve"> Latvia</v>
      </c>
      <c r="B72" t="s">
        <v>179</v>
      </c>
      <c r="C72" t="s">
        <v>180</v>
      </c>
      <c r="D72" t="s">
        <v>47</v>
      </c>
    </row>
    <row r="73" spans="1:4" x14ac:dyDescent="0.35">
      <c r="A73" t="str">
        <f t="shared" si="1"/>
        <v xml:space="preserve"> Lesotho</v>
      </c>
      <c r="B73" t="s">
        <v>181</v>
      </c>
      <c r="C73" t="s">
        <v>182</v>
      </c>
      <c r="D73" t="s">
        <v>67</v>
      </c>
    </row>
    <row r="74" spans="1:4" x14ac:dyDescent="0.35">
      <c r="A74" t="str">
        <f t="shared" si="1"/>
        <v xml:space="preserve"> Liberia</v>
      </c>
      <c r="B74" t="s">
        <v>183</v>
      </c>
      <c r="C74" t="s">
        <v>184</v>
      </c>
      <c r="D74" t="s">
        <v>67</v>
      </c>
    </row>
    <row r="75" spans="1:4" hidden="1" x14ac:dyDescent="0.35">
      <c r="A75" t="str">
        <f t="shared" si="1"/>
        <v xml:space="preserve"> Lithuania</v>
      </c>
      <c r="B75" t="s">
        <v>185</v>
      </c>
      <c r="C75" t="s">
        <v>186</v>
      </c>
      <c r="D75" t="s">
        <v>47</v>
      </c>
    </row>
    <row r="76" spans="1:4" hidden="1" x14ac:dyDescent="0.35">
      <c r="A76" t="str">
        <f t="shared" si="1"/>
        <v xml:space="preserve"> Luxembourg</v>
      </c>
      <c r="B76" t="s">
        <v>187</v>
      </c>
      <c r="C76" t="s">
        <v>188</v>
      </c>
      <c r="D76" t="s">
        <v>47</v>
      </c>
    </row>
    <row r="77" spans="1:4" hidden="1" x14ac:dyDescent="0.35">
      <c r="A77" t="str">
        <f t="shared" si="1"/>
        <v xml:space="preserve"> Macao SAR</v>
      </c>
      <c r="B77" t="s">
        <v>189</v>
      </c>
      <c r="C77" t="s">
        <v>190</v>
      </c>
      <c r="D77" t="s">
        <v>39</v>
      </c>
    </row>
    <row r="78" spans="1:4" hidden="1" x14ac:dyDescent="0.35">
      <c r="A78" t="str">
        <f t="shared" si="1"/>
        <v xml:space="preserve"> Macedonia</v>
      </c>
      <c r="B78" t="s">
        <v>191</v>
      </c>
      <c r="C78" t="s">
        <v>192</v>
      </c>
      <c r="D78" t="s">
        <v>44</v>
      </c>
    </row>
    <row r="79" spans="1:4" x14ac:dyDescent="0.35">
      <c r="A79" t="str">
        <f t="shared" si="1"/>
        <v xml:space="preserve"> Madagascar</v>
      </c>
      <c r="B79" t="s">
        <v>193</v>
      </c>
      <c r="C79" t="s">
        <v>194</v>
      </c>
      <c r="D79" t="s">
        <v>67</v>
      </c>
    </row>
    <row r="80" spans="1:4" x14ac:dyDescent="0.35">
      <c r="A80" t="str">
        <f t="shared" si="1"/>
        <v xml:space="preserve"> Malawi</v>
      </c>
      <c r="B80" t="s">
        <v>195</v>
      </c>
      <c r="C80" t="s">
        <v>196</v>
      </c>
      <c r="D80" t="s">
        <v>67</v>
      </c>
    </row>
    <row r="81" spans="1:4" hidden="1" x14ac:dyDescent="0.35">
      <c r="A81" t="str">
        <f t="shared" si="1"/>
        <v xml:space="preserve"> Malaysia</v>
      </c>
      <c r="B81" t="s">
        <v>197</v>
      </c>
      <c r="C81" t="s">
        <v>198</v>
      </c>
      <c r="D81" t="s">
        <v>39</v>
      </c>
    </row>
    <row r="82" spans="1:4" hidden="1" x14ac:dyDescent="0.35">
      <c r="A82" t="str">
        <f t="shared" si="1"/>
        <v xml:space="preserve"> Maldives</v>
      </c>
      <c r="B82" t="s">
        <v>199</v>
      </c>
      <c r="C82" t="s">
        <v>200</v>
      </c>
      <c r="D82" t="s">
        <v>39</v>
      </c>
    </row>
    <row r="83" spans="1:4" x14ac:dyDescent="0.35">
      <c r="A83" t="str">
        <f t="shared" si="1"/>
        <v xml:space="preserve"> Mali</v>
      </c>
      <c r="B83" t="s">
        <v>201</v>
      </c>
      <c r="C83" t="s">
        <v>202</v>
      </c>
      <c r="D83" t="s">
        <v>67</v>
      </c>
    </row>
    <row r="84" spans="1:4" hidden="1" x14ac:dyDescent="0.35">
      <c r="A84" t="str">
        <f t="shared" si="1"/>
        <v xml:space="preserve"> Malta</v>
      </c>
      <c r="B84" t="s">
        <v>203</v>
      </c>
      <c r="C84" t="s">
        <v>204</v>
      </c>
      <c r="D84" t="s">
        <v>47</v>
      </c>
    </row>
    <row r="85" spans="1:4" x14ac:dyDescent="0.35">
      <c r="A85" t="str">
        <f t="shared" si="1"/>
        <v xml:space="preserve"> Mauritania</v>
      </c>
      <c r="B85" t="s">
        <v>205</v>
      </c>
      <c r="C85" t="s">
        <v>206</v>
      </c>
      <c r="D85" t="s">
        <v>67</v>
      </c>
    </row>
    <row r="86" spans="1:4" x14ac:dyDescent="0.35">
      <c r="A86" t="str">
        <f t="shared" si="1"/>
        <v xml:space="preserve"> Mauritius</v>
      </c>
      <c r="B86" t="s">
        <v>207</v>
      </c>
      <c r="C86" t="s">
        <v>208</v>
      </c>
      <c r="D86" t="s">
        <v>67</v>
      </c>
    </row>
    <row r="87" spans="1:4" hidden="1" x14ac:dyDescent="0.35">
      <c r="A87" t="str">
        <f t="shared" si="1"/>
        <v xml:space="preserve"> Moldova</v>
      </c>
      <c r="B87" t="s">
        <v>209</v>
      </c>
      <c r="C87" t="s">
        <v>210</v>
      </c>
      <c r="D87" t="s">
        <v>44</v>
      </c>
    </row>
    <row r="88" spans="1:4" hidden="1" x14ac:dyDescent="0.35">
      <c r="A88" t="str">
        <f t="shared" si="1"/>
        <v xml:space="preserve"> Mongolia</v>
      </c>
      <c r="B88" t="s">
        <v>211</v>
      </c>
      <c r="C88" t="s">
        <v>212</v>
      </c>
      <c r="D88" t="s">
        <v>39</v>
      </c>
    </row>
    <row r="89" spans="1:4" hidden="1" x14ac:dyDescent="0.35">
      <c r="A89" t="str">
        <f t="shared" si="1"/>
        <v xml:space="preserve"> Montenegro</v>
      </c>
      <c r="B89" t="s">
        <v>213</v>
      </c>
      <c r="C89" t="s">
        <v>214</v>
      </c>
      <c r="D89" t="s">
        <v>44</v>
      </c>
    </row>
    <row r="90" spans="1:4" hidden="1" x14ac:dyDescent="0.35">
      <c r="A90" t="str">
        <f t="shared" si="1"/>
        <v xml:space="preserve"> Montserrat</v>
      </c>
      <c r="B90" s="113" t="s">
        <v>215</v>
      </c>
      <c r="C90" t="s">
        <v>216</v>
      </c>
      <c r="D90" t="s">
        <v>33</v>
      </c>
    </row>
    <row r="91" spans="1:4" x14ac:dyDescent="0.35">
      <c r="A91" t="str">
        <f t="shared" si="1"/>
        <v xml:space="preserve"> Mozambique</v>
      </c>
      <c r="B91" t="s">
        <v>217</v>
      </c>
      <c r="C91" t="s">
        <v>218</v>
      </c>
      <c r="D91" t="s">
        <v>60</v>
      </c>
    </row>
    <row r="92" spans="1:4" hidden="1" x14ac:dyDescent="0.35">
      <c r="A92" t="str">
        <f t="shared" si="1"/>
        <v xml:space="preserve"> Myanmar</v>
      </c>
      <c r="B92" t="s">
        <v>219</v>
      </c>
      <c r="C92" t="s">
        <v>220</v>
      </c>
      <c r="D92" t="s">
        <v>39</v>
      </c>
    </row>
    <row r="93" spans="1:4" x14ac:dyDescent="0.35">
      <c r="A93" t="str">
        <f t="shared" si="1"/>
        <v xml:space="preserve"> Namibia</v>
      </c>
      <c r="B93" t="s">
        <v>221</v>
      </c>
      <c r="C93" t="s">
        <v>222</v>
      </c>
      <c r="D93" t="s">
        <v>60</v>
      </c>
    </row>
    <row r="94" spans="1:4" hidden="1" x14ac:dyDescent="0.35">
      <c r="A94" t="str">
        <f t="shared" si="1"/>
        <v xml:space="preserve"> Nepal</v>
      </c>
      <c r="B94" t="s">
        <v>223</v>
      </c>
      <c r="C94" t="s">
        <v>224</v>
      </c>
      <c r="D94" t="s">
        <v>39</v>
      </c>
    </row>
    <row r="95" spans="1:4" hidden="1" x14ac:dyDescent="0.35">
      <c r="A95" t="str">
        <f t="shared" si="1"/>
        <v xml:space="preserve"> Netherlands</v>
      </c>
      <c r="B95" t="s">
        <v>225</v>
      </c>
      <c r="C95" t="s">
        <v>226</v>
      </c>
      <c r="D95" t="s">
        <v>47</v>
      </c>
    </row>
    <row r="96" spans="1:4" hidden="1" x14ac:dyDescent="0.35">
      <c r="A96" t="str">
        <f t="shared" si="1"/>
        <v xml:space="preserve"> New Caledonia</v>
      </c>
      <c r="B96" t="s">
        <v>227</v>
      </c>
      <c r="C96" t="s">
        <v>228</v>
      </c>
      <c r="D96" t="s">
        <v>39</v>
      </c>
    </row>
    <row r="97" spans="1:4" hidden="1" x14ac:dyDescent="0.35">
      <c r="A97" t="str">
        <f t="shared" si="1"/>
        <v xml:space="preserve"> Nicaragua</v>
      </c>
      <c r="B97" s="113" t="s">
        <v>229</v>
      </c>
      <c r="C97" t="s">
        <v>230</v>
      </c>
      <c r="D97" t="s">
        <v>33</v>
      </c>
    </row>
    <row r="98" spans="1:4" hidden="1" x14ac:dyDescent="0.35">
      <c r="A98" t="str">
        <f t="shared" si="1"/>
        <v xml:space="preserve"> Pakistan</v>
      </c>
      <c r="B98" t="s">
        <v>231</v>
      </c>
      <c r="C98" t="s">
        <v>232</v>
      </c>
      <c r="D98" t="s">
        <v>39</v>
      </c>
    </row>
    <row r="99" spans="1:4" hidden="1" x14ac:dyDescent="0.35">
      <c r="A99" t="str">
        <f t="shared" si="1"/>
        <v xml:space="preserve"> Palau</v>
      </c>
      <c r="B99" t="s">
        <v>233</v>
      </c>
      <c r="C99" t="s">
        <v>234</v>
      </c>
      <c r="D99" t="s">
        <v>39</v>
      </c>
    </row>
    <row r="100" spans="1:4" x14ac:dyDescent="0.35">
      <c r="A100" t="str">
        <f t="shared" si="1"/>
        <v xml:space="preserve"> Palestine</v>
      </c>
      <c r="B100" t="s">
        <v>235</v>
      </c>
      <c r="C100" t="s">
        <v>236</v>
      </c>
      <c r="D100" t="s">
        <v>67</v>
      </c>
    </row>
    <row r="101" spans="1:4" hidden="1" x14ac:dyDescent="0.35">
      <c r="A101" t="str">
        <f t="shared" si="1"/>
        <v xml:space="preserve"> Panama</v>
      </c>
      <c r="B101" s="113" t="s">
        <v>237</v>
      </c>
      <c r="C101" t="s">
        <v>238</v>
      </c>
      <c r="D101" t="s">
        <v>33</v>
      </c>
    </row>
    <row r="102" spans="1:4" hidden="1" x14ac:dyDescent="0.35">
      <c r="A102" t="str">
        <f t="shared" si="1"/>
        <v xml:space="preserve"> Papua New Guinea</v>
      </c>
      <c r="B102" t="s">
        <v>239</v>
      </c>
      <c r="C102" t="s">
        <v>240</v>
      </c>
      <c r="D102" t="s">
        <v>39</v>
      </c>
    </row>
    <row r="103" spans="1:4" hidden="1" x14ac:dyDescent="0.35">
      <c r="A103" t="str">
        <f t="shared" si="1"/>
        <v xml:space="preserve"> Paraguay</v>
      </c>
      <c r="B103" t="s">
        <v>241</v>
      </c>
      <c r="C103" t="s">
        <v>242</v>
      </c>
      <c r="D103" t="s">
        <v>33</v>
      </c>
    </row>
    <row r="104" spans="1:4" hidden="1" x14ac:dyDescent="0.35">
      <c r="A104" t="str">
        <f t="shared" si="1"/>
        <v xml:space="preserve"> Peru</v>
      </c>
      <c r="B104" t="s">
        <v>243</v>
      </c>
      <c r="C104" t="s">
        <v>244</v>
      </c>
      <c r="D104" t="s">
        <v>33</v>
      </c>
    </row>
    <row r="105" spans="1:4" hidden="1" x14ac:dyDescent="0.35">
      <c r="A105" t="str">
        <f t="shared" si="1"/>
        <v xml:space="preserve"> Philippines</v>
      </c>
      <c r="B105" t="s">
        <v>245</v>
      </c>
      <c r="C105" t="s">
        <v>246</v>
      </c>
      <c r="D105" t="s">
        <v>39</v>
      </c>
    </row>
    <row r="106" spans="1:4" hidden="1" x14ac:dyDescent="0.35">
      <c r="A106" t="str">
        <f t="shared" si="1"/>
        <v xml:space="preserve"> Poland</v>
      </c>
      <c r="B106" t="s">
        <v>247</v>
      </c>
      <c r="C106" t="s">
        <v>248</v>
      </c>
      <c r="D106" t="s">
        <v>47</v>
      </c>
    </row>
    <row r="107" spans="1:4" hidden="1" x14ac:dyDescent="0.35">
      <c r="A107" t="str">
        <f t="shared" si="1"/>
        <v xml:space="preserve"> Portugal</v>
      </c>
      <c r="B107" t="s">
        <v>249</v>
      </c>
      <c r="C107" t="s">
        <v>250</v>
      </c>
      <c r="D107" t="s">
        <v>47</v>
      </c>
    </row>
    <row r="108" spans="1:4" hidden="1" x14ac:dyDescent="0.35">
      <c r="A108" t="str">
        <f t="shared" si="1"/>
        <v xml:space="preserve"> Puerto Rico</v>
      </c>
      <c r="B108" s="113" t="s">
        <v>251</v>
      </c>
      <c r="C108" t="s">
        <v>252</v>
      </c>
      <c r="D108" t="s">
        <v>33</v>
      </c>
    </row>
    <row r="109" spans="1:4" x14ac:dyDescent="0.35">
      <c r="A109" t="str">
        <f t="shared" si="1"/>
        <v xml:space="preserve"> Republic of Congo</v>
      </c>
      <c r="B109" t="s">
        <v>253</v>
      </c>
      <c r="C109" t="s">
        <v>254</v>
      </c>
      <c r="D109" t="s">
        <v>67</v>
      </c>
    </row>
    <row r="110" spans="1:4" hidden="1" x14ac:dyDescent="0.35">
      <c r="A110" t="str">
        <f t="shared" si="1"/>
        <v xml:space="preserve"> Romania</v>
      </c>
      <c r="B110" t="s">
        <v>255</v>
      </c>
      <c r="C110" t="s">
        <v>256</v>
      </c>
      <c r="D110" t="s">
        <v>47</v>
      </c>
    </row>
    <row r="111" spans="1:4" x14ac:dyDescent="0.35">
      <c r="A111" t="str">
        <f t="shared" si="1"/>
        <v xml:space="preserve"> Rwanda</v>
      </c>
      <c r="B111" t="s">
        <v>257</v>
      </c>
      <c r="C111" t="s">
        <v>258</v>
      </c>
      <c r="D111" t="s">
        <v>67</v>
      </c>
    </row>
    <row r="112" spans="1:4" hidden="1" x14ac:dyDescent="0.35">
      <c r="A112" t="str">
        <f t="shared" si="1"/>
        <v xml:space="preserve"> Samoa</v>
      </c>
      <c r="B112" t="s">
        <v>259</v>
      </c>
      <c r="C112" t="s">
        <v>260</v>
      </c>
      <c r="D112" t="s">
        <v>39</v>
      </c>
    </row>
    <row r="113" spans="1:4" hidden="1" x14ac:dyDescent="0.35">
      <c r="A113" t="str">
        <f t="shared" si="1"/>
        <v xml:space="preserve"> San Marino</v>
      </c>
      <c r="B113" t="s">
        <v>261</v>
      </c>
      <c r="C113" t="s">
        <v>262</v>
      </c>
      <c r="D113" t="s">
        <v>47</v>
      </c>
    </row>
    <row r="114" spans="1:4" x14ac:dyDescent="0.35">
      <c r="A114" t="str">
        <f t="shared" si="1"/>
        <v xml:space="preserve"> Sao Tome and Principe</v>
      </c>
      <c r="B114" t="s">
        <v>263</v>
      </c>
      <c r="C114" t="s">
        <v>264</v>
      </c>
      <c r="D114" t="s">
        <v>67</v>
      </c>
    </row>
    <row r="115" spans="1:4" hidden="1" x14ac:dyDescent="0.35">
      <c r="A115" t="str">
        <f t="shared" si="1"/>
        <v xml:space="preserve"> Serbia</v>
      </c>
      <c r="B115" t="s">
        <v>265</v>
      </c>
      <c r="C115" t="s">
        <v>266</v>
      </c>
      <c r="D115" t="s">
        <v>44</v>
      </c>
    </row>
    <row r="116" spans="1:4" x14ac:dyDescent="0.35">
      <c r="A116" t="str">
        <f t="shared" si="1"/>
        <v xml:space="preserve"> Seychelles</v>
      </c>
      <c r="B116" t="s">
        <v>267</v>
      </c>
      <c r="C116" t="s">
        <v>268</v>
      </c>
      <c r="D116" t="s">
        <v>67</v>
      </c>
    </row>
    <row r="117" spans="1:4" x14ac:dyDescent="0.35">
      <c r="A117" t="str">
        <f t="shared" si="1"/>
        <v xml:space="preserve"> Sierra Leone</v>
      </c>
      <c r="B117" t="s">
        <v>269</v>
      </c>
      <c r="C117" t="s">
        <v>270</v>
      </c>
      <c r="D117" t="s">
        <v>67</v>
      </c>
    </row>
    <row r="118" spans="1:4" hidden="1" x14ac:dyDescent="0.35">
      <c r="A118" t="str">
        <f t="shared" si="1"/>
        <v xml:space="preserve"> Sint Maarten (Dutch part)</v>
      </c>
      <c r="B118" s="113" t="s">
        <v>271</v>
      </c>
      <c r="C118" t="s">
        <v>272</v>
      </c>
      <c r="D118" t="s">
        <v>33</v>
      </c>
    </row>
    <row r="119" spans="1:4" hidden="1" x14ac:dyDescent="0.35">
      <c r="A119" t="str">
        <f t="shared" si="1"/>
        <v xml:space="preserve"> Slovak Republic</v>
      </c>
      <c r="B119" t="s">
        <v>273</v>
      </c>
      <c r="C119" t="s">
        <v>274</v>
      </c>
      <c r="D119" t="s">
        <v>47</v>
      </c>
    </row>
    <row r="120" spans="1:4" hidden="1" x14ac:dyDescent="0.35">
      <c r="A120" t="str">
        <f t="shared" si="1"/>
        <v xml:space="preserve"> Slovenia</v>
      </c>
      <c r="B120" t="s">
        <v>275</v>
      </c>
      <c r="C120" t="s">
        <v>276</v>
      </c>
      <c r="D120" t="s">
        <v>47</v>
      </c>
    </row>
    <row r="121" spans="1:4" hidden="1" x14ac:dyDescent="0.35">
      <c r="A121" t="str">
        <f t="shared" si="1"/>
        <v xml:space="preserve"> Solomon Islands</v>
      </c>
      <c r="B121" t="s">
        <v>277</v>
      </c>
      <c r="C121" t="s">
        <v>278</v>
      </c>
      <c r="D121" t="s">
        <v>39</v>
      </c>
    </row>
    <row r="122" spans="1:4" x14ac:dyDescent="0.35">
      <c r="A122" t="str">
        <f t="shared" si="1"/>
        <v xml:space="preserve"> Somalia</v>
      </c>
      <c r="B122" t="s">
        <v>279</v>
      </c>
      <c r="C122" t="s">
        <v>280</v>
      </c>
      <c r="D122" t="s">
        <v>67</v>
      </c>
    </row>
    <row r="123" spans="1:4" x14ac:dyDescent="0.35">
      <c r="A123" t="str">
        <f t="shared" si="1"/>
        <v xml:space="preserve"> South Sudan</v>
      </c>
      <c r="B123" t="s">
        <v>281</v>
      </c>
      <c r="C123" t="s">
        <v>282</v>
      </c>
      <c r="D123" t="s">
        <v>67</v>
      </c>
    </row>
    <row r="124" spans="1:4" hidden="1" x14ac:dyDescent="0.35">
      <c r="A124" t="str">
        <f t="shared" si="1"/>
        <v xml:space="preserve"> Spain</v>
      </c>
      <c r="B124" t="s">
        <v>283</v>
      </c>
      <c r="C124" t="s">
        <v>284</v>
      </c>
      <c r="D124" t="s">
        <v>47</v>
      </c>
    </row>
    <row r="125" spans="1:4" hidden="1" x14ac:dyDescent="0.35">
      <c r="A125" t="str">
        <f t="shared" si="1"/>
        <v xml:space="preserve"> Sri Lanka</v>
      </c>
      <c r="B125" t="s">
        <v>285</v>
      </c>
      <c r="C125" t="s">
        <v>286</v>
      </c>
      <c r="D125" t="s">
        <v>39</v>
      </c>
    </row>
    <row r="126" spans="1:4" hidden="1" x14ac:dyDescent="0.35">
      <c r="A126" t="str">
        <f t="shared" si="1"/>
        <v xml:space="preserve"> St. Kitts and Nevis</v>
      </c>
      <c r="B126" s="113" t="s">
        <v>287</v>
      </c>
      <c r="C126" t="s">
        <v>288</v>
      </c>
      <c r="D126" t="s">
        <v>33</v>
      </c>
    </row>
    <row r="127" spans="1:4" hidden="1" x14ac:dyDescent="0.35">
      <c r="A127" t="str">
        <f t="shared" si="1"/>
        <v xml:space="preserve"> St. Lucia</v>
      </c>
      <c r="B127" s="113" t="s">
        <v>289</v>
      </c>
      <c r="C127" t="s">
        <v>290</v>
      </c>
      <c r="D127" t="s">
        <v>33</v>
      </c>
    </row>
    <row r="128" spans="1:4" hidden="1" x14ac:dyDescent="0.35">
      <c r="A128" t="str">
        <f t="shared" si="1"/>
        <v xml:space="preserve"> St. Vincent and the Grenadines</v>
      </c>
      <c r="B128" s="113" t="s">
        <v>291</v>
      </c>
      <c r="C128" t="s">
        <v>292</v>
      </c>
      <c r="D128" t="s">
        <v>33</v>
      </c>
    </row>
    <row r="129" spans="1:4" hidden="1" x14ac:dyDescent="0.35">
      <c r="A129" t="str">
        <f t="shared" si="1"/>
        <v xml:space="preserve"> Suriname</v>
      </c>
      <c r="B129" t="s">
        <v>293</v>
      </c>
      <c r="C129" t="s">
        <v>294</v>
      </c>
      <c r="D129" t="s">
        <v>33</v>
      </c>
    </row>
    <row r="130" spans="1:4" x14ac:dyDescent="0.35">
      <c r="A130" t="str">
        <f t="shared" si="1"/>
        <v xml:space="preserve"> Swaziland</v>
      </c>
      <c r="B130" t="s">
        <v>295</v>
      </c>
      <c r="C130" t="s">
        <v>296</v>
      </c>
      <c r="D130" t="s">
        <v>67</v>
      </c>
    </row>
    <row r="131" spans="1:4" hidden="1" x14ac:dyDescent="0.35">
      <c r="A131" t="str">
        <f t="shared" ref="A131:A194" si="2">C131</f>
        <v xml:space="preserve"> Sweden</v>
      </c>
      <c r="B131" t="s">
        <v>297</v>
      </c>
      <c r="C131" t="s">
        <v>298</v>
      </c>
      <c r="D131" t="s">
        <v>47</v>
      </c>
    </row>
    <row r="132" spans="1:4" hidden="1" x14ac:dyDescent="0.35">
      <c r="A132" t="str">
        <f t="shared" si="2"/>
        <v xml:space="preserve"> Tajikistan</v>
      </c>
      <c r="B132" t="s">
        <v>299</v>
      </c>
      <c r="C132" t="s">
        <v>300</v>
      </c>
      <c r="D132" t="s">
        <v>36</v>
      </c>
    </row>
    <row r="133" spans="1:4" x14ac:dyDescent="0.35">
      <c r="A133" t="str">
        <f t="shared" si="2"/>
        <v xml:space="preserve"> Tanzania</v>
      </c>
      <c r="B133" t="s">
        <v>301</v>
      </c>
      <c r="C133" t="s">
        <v>302</v>
      </c>
      <c r="D133" t="s">
        <v>60</v>
      </c>
    </row>
    <row r="134" spans="1:4" hidden="1" x14ac:dyDescent="0.35">
      <c r="A134" t="str">
        <f t="shared" si="2"/>
        <v xml:space="preserve"> Thailand</v>
      </c>
      <c r="B134" t="s">
        <v>303</v>
      </c>
      <c r="C134" t="s">
        <v>304</v>
      </c>
      <c r="D134" t="s">
        <v>39</v>
      </c>
    </row>
    <row r="135" spans="1:4" hidden="1" x14ac:dyDescent="0.35">
      <c r="A135" t="str">
        <f t="shared" si="2"/>
        <v xml:space="preserve"> The Bahamas</v>
      </c>
      <c r="B135" s="113" t="s">
        <v>305</v>
      </c>
      <c r="C135" t="s">
        <v>306</v>
      </c>
      <c r="D135" t="s">
        <v>33</v>
      </c>
    </row>
    <row r="136" spans="1:4" x14ac:dyDescent="0.35">
      <c r="A136" t="str">
        <f t="shared" si="2"/>
        <v xml:space="preserve"> The Gambia</v>
      </c>
      <c r="B136" t="s">
        <v>307</v>
      </c>
      <c r="C136" t="s">
        <v>308</v>
      </c>
      <c r="D136" t="s">
        <v>67</v>
      </c>
    </row>
    <row r="137" spans="1:4" hidden="1" x14ac:dyDescent="0.35">
      <c r="A137" t="str">
        <f t="shared" si="2"/>
        <v xml:space="preserve"> Tonga</v>
      </c>
      <c r="B137" t="s">
        <v>309</v>
      </c>
      <c r="C137" t="s">
        <v>310</v>
      </c>
      <c r="D137" t="s">
        <v>39</v>
      </c>
    </row>
    <row r="138" spans="1:4" hidden="1" x14ac:dyDescent="0.35">
      <c r="A138" t="str">
        <f t="shared" si="2"/>
        <v xml:space="preserve"> Trinidad and Tobago</v>
      </c>
      <c r="B138" s="113" t="s">
        <v>311</v>
      </c>
      <c r="C138" t="s">
        <v>312</v>
      </c>
      <c r="D138" t="s">
        <v>33</v>
      </c>
    </row>
    <row r="139" spans="1:4" hidden="1" x14ac:dyDescent="0.35">
      <c r="A139" t="str">
        <f t="shared" si="2"/>
        <v xml:space="preserve"> Turkey</v>
      </c>
      <c r="B139" t="s">
        <v>313</v>
      </c>
      <c r="C139" t="s">
        <v>314</v>
      </c>
      <c r="D139" t="s">
        <v>44</v>
      </c>
    </row>
    <row r="140" spans="1:4" hidden="1" x14ac:dyDescent="0.35">
      <c r="A140" t="str">
        <f t="shared" si="2"/>
        <v xml:space="preserve"> Turkmenistan</v>
      </c>
      <c r="B140" t="s">
        <v>315</v>
      </c>
      <c r="C140" t="s">
        <v>316</v>
      </c>
      <c r="D140" t="s">
        <v>36</v>
      </c>
    </row>
    <row r="141" spans="1:4" hidden="1" x14ac:dyDescent="0.35">
      <c r="A141" t="str">
        <f t="shared" si="2"/>
        <v xml:space="preserve"> Turks and Caicos Islands</v>
      </c>
      <c r="B141" s="113" t="s">
        <v>317</v>
      </c>
      <c r="C141" t="s">
        <v>318</v>
      </c>
      <c r="D141" t="s">
        <v>33</v>
      </c>
    </row>
    <row r="142" spans="1:4" x14ac:dyDescent="0.35">
      <c r="A142" t="str">
        <f t="shared" si="2"/>
        <v xml:space="preserve"> Uganda</v>
      </c>
      <c r="B142" t="s">
        <v>319</v>
      </c>
      <c r="C142" t="s">
        <v>320</v>
      </c>
      <c r="D142" t="s">
        <v>67</v>
      </c>
    </row>
    <row r="143" spans="1:4" hidden="1" x14ac:dyDescent="0.35">
      <c r="A143" t="str">
        <f t="shared" si="2"/>
        <v xml:space="preserve"> Ukraine</v>
      </c>
      <c r="B143" t="s">
        <v>321</v>
      </c>
      <c r="C143" t="s">
        <v>322</v>
      </c>
      <c r="D143" t="s">
        <v>44</v>
      </c>
    </row>
    <row r="144" spans="1:4" hidden="1" x14ac:dyDescent="0.35">
      <c r="A144" t="str">
        <f t="shared" si="2"/>
        <v xml:space="preserve"> Uruguay</v>
      </c>
      <c r="B144" t="s">
        <v>323</v>
      </c>
      <c r="C144" t="s">
        <v>324</v>
      </c>
      <c r="D144" t="s">
        <v>33</v>
      </c>
    </row>
    <row r="145" spans="1:4" hidden="1" x14ac:dyDescent="0.35">
      <c r="A145" t="str">
        <f t="shared" si="2"/>
        <v xml:space="preserve"> Uzbekistan</v>
      </c>
      <c r="B145" t="s">
        <v>325</v>
      </c>
      <c r="C145" t="s">
        <v>326</v>
      </c>
      <c r="D145" t="s">
        <v>36</v>
      </c>
    </row>
    <row r="146" spans="1:4" hidden="1" x14ac:dyDescent="0.35">
      <c r="A146" t="str">
        <f t="shared" si="2"/>
        <v xml:space="preserve"> Vanuatu</v>
      </c>
      <c r="B146" t="s">
        <v>327</v>
      </c>
      <c r="C146" t="s">
        <v>328</v>
      </c>
      <c r="D146" t="s">
        <v>39</v>
      </c>
    </row>
    <row r="147" spans="1:4" hidden="1" x14ac:dyDescent="0.35">
      <c r="A147" t="str">
        <f t="shared" si="2"/>
        <v xml:space="preserve"> Venezuela</v>
      </c>
      <c r="B147" t="s">
        <v>329</v>
      </c>
      <c r="C147" t="s">
        <v>330</v>
      </c>
      <c r="D147" t="s">
        <v>33</v>
      </c>
    </row>
    <row r="148" spans="1:4" hidden="1" x14ac:dyDescent="0.35">
      <c r="A148" t="str">
        <f t="shared" si="2"/>
        <v xml:space="preserve"> Vietnam</v>
      </c>
      <c r="B148" t="s">
        <v>331</v>
      </c>
      <c r="C148" t="s">
        <v>332</v>
      </c>
      <c r="D148" t="s">
        <v>39</v>
      </c>
    </row>
    <row r="149" spans="1:4" hidden="1" x14ac:dyDescent="0.35">
      <c r="A149" t="str">
        <f t="shared" si="2"/>
        <v xml:space="preserve"> Virgin Islands</v>
      </c>
      <c r="B149" s="113" t="s">
        <v>333</v>
      </c>
      <c r="C149" t="s">
        <v>334</v>
      </c>
      <c r="D149" t="s">
        <v>33</v>
      </c>
    </row>
    <row r="150" spans="1:4" x14ac:dyDescent="0.35">
      <c r="A150" t="str">
        <f t="shared" si="2"/>
        <v xml:space="preserve"> Zambia</v>
      </c>
      <c r="B150" t="s">
        <v>335</v>
      </c>
      <c r="C150" t="s">
        <v>336</v>
      </c>
      <c r="D150" t="s">
        <v>60</v>
      </c>
    </row>
    <row r="151" spans="1:4" x14ac:dyDescent="0.35">
      <c r="A151" t="str">
        <f t="shared" si="2"/>
        <v xml:space="preserve"> Zimbabwe</v>
      </c>
      <c r="B151" t="s">
        <v>337</v>
      </c>
      <c r="C151" t="s">
        <v>338</v>
      </c>
      <c r="D151" t="s">
        <v>60</v>
      </c>
    </row>
    <row r="152" spans="1:4" hidden="1" x14ac:dyDescent="0.35">
      <c r="A152" t="str">
        <f t="shared" si="2"/>
        <v>Afghanistan</v>
      </c>
      <c r="B152" t="s">
        <v>339</v>
      </c>
      <c r="C152" s="2" t="s">
        <v>340</v>
      </c>
      <c r="D152" t="s">
        <v>39</v>
      </c>
    </row>
    <row r="153" spans="1:4" hidden="1" x14ac:dyDescent="0.35">
      <c r="A153" t="str">
        <f t="shared" si="2"/>
        <v>Albania</v>
      </c>
      <c r="B153" t="s">
        <v>341</v>
      </c>
      <c r="C153" s="1" t="s">
        <v>342</v>
      </c>
      <c r="D153" t="s">
        <v>44</v>
      </c>
    </row>
    <row r="154" spans="1:4" ht="15" thickBot="1" x14ac:dyDescent="0.4">
      <c r="A154" t="str">
        <f t="shared" si="2"/>
        <v>Algeria</v>
      </c>
      <c r="B154" t="s">
        <v>343</v>
      </c>
      <c r="C154" s="58" t="s">
        <v>344</v>
      </c>
      <c r="D154" t="s">
        <v>345</v>
      </c>
    </row>
    <row r="155" spans="1:4" ht="15" thickTop="1" x14ac:dyDescent="0.35">
      <c r="A155" t="str">
        <f t="shared" si="2"/>
        <v>Angola</v>
      </c>
      <c r="B155" t="s">
        <v>346</v>
      </c>
      <c r="C155" s="1" t="s">
        <v>347</v>
      </c>
      <c r="D155" t="s">
        <v>60</v>
      </c>
    </row>
    <row r="156" spans="1:4" hidden="1" x14ac:dyDescent="0.35">
      <c r="A156" t="str">
        <f t="shared" si="2"/>
        <v>Antigua and Barbuda</v>
      </c>
      <c r="B156" s="113" t="s">
        <v>348</v>
      </c>
      <c r="C156" s="57" t="s">
        <v>349</v>
      </c>
      <c r="D156" t="s">
        <v>33</v>
      </c>
    </row>
    <row r="157" spans="1:4" hidden="1" x14ac:dyDescent="0.35">
      <c r="A157" t="str">
        <f t="shared" si="2"/>
        <v>Argentina</v>
      </c>
      <c r="B157" t="s">
        <v>350</v>
      </c>
      <c r="C157" t="s">
        <v>351</v>
      </c>
      <c r="D157" t="s">
        <v>351</v>
      </c>
    </row>
    <row r="158" spans="1:4" hidden="1" x14ac:dyDescent="0.35">
      <c r="A158" t="str">
        <f t="shared" si="2"/>
        <v>Armenia</v>
      </c>
      <c r="B158" t="s">
        <v>352</v>
      </c>
      <c r="C158" s="1" t="s">
        <v>353</v>
      </c>
      <c r="D158" t="s">
        <v>36</v>
      </c>
    </row>
    <row r="159" spans="1:4" hidden="1" x14ac:dyDescent="0.35">
      <c r="A159" t="str">
        <f t="shared" si="2"/>
        <v>Australia</v>
      </c>
      <c r="B159" t="s">
        <v>354</v>
      </c>
      <c r="C159" t="s">
        <v>24</v>
      </c>
      <c r="D159" t="s">
        <v>24</v>
      </c>
    </row>
    <row r="160" spans="1:4" hidden="1" x14ac:dyDescent="0.35">
      <c r="A160" t="str">
        <f t="shared" si="2"/>
        <v>Austria</v>
      </c>
      <c r="B160" t="s">
        <v>355</v>
      </c>
      <c r="C160" s="1" t="s">
        <v>356</v>
      </c>
      <c r="D160" t="s">
        <v>47</v>
      </c>
    </row>
    <row r="161" spans="1:4" hidden="1" x14ac:dyDescent="0.35">
      <c r="A161" t="str">
        <f t="shared" si="2"/>
        <v>Bahrain</v>
      </c>
      <c r="B161" t="s">
        <v>357</v>
      </c>
      <c r="C161" t="s">
        <v>358</v>
      </c>
      <c r="D161" t="s">
        <v>359</v>
      </c>
    </row>
    <row r="162" spans="1:4" x14ac:dyDescent="0.35">
      <c r="A162" t="str">
        <f t="shared" si="2"/>
        <v>Benin</v>
      </c>
      <c r="B162" t="s">
        <v>360</v>
      </c>
      <c r="C162" t="s">
        <v>361</v>
      </c>
      <c r="D162" t="s">
        <v>362</v>
      </c>
    </row>
    <row r="163" spans="1:4" hidden="1" x14ac:dyDescent="0.35">
      <c r="A163" t="str">
        <f t="shared" si="2"/>
        <v>Brazil</v>
      </c>
      <c r="B163" t="s">
        <v>363</v>
      </c>
      <c r="C163" t="s">
        <v>364</v>
      </c>
      <c r="D163" t="s">
        <v>364</v>
      </c>
    </row>
    <row r="164" spans="1:4" x14ac:dyDescent="0.35">
      <c r="A164" t="str">
        <f t="shared" si="2"/>
        <v>Burkina Faso</v>
      </c>
      <c r="B164" t="s">
        <v>365</v>
      </c>
      <c r="C164" s="1" t="s">
        <v>366</v>
      </c>
      <c r="D164" t="s">
        <v>67</v>
      </c>
    </row>
    <row r="165" spans="1:4" hidden="1" x14ac:dyDescent="0.35">
      <c r="A165" t="str">
        <f t="shared" si="2"/>
        <v>Canada</v>
      </c>
      <c r="B165" s="113" t="s">
        <v>367</v>
      </c>
      <c r="C165" t="s">
        <v>368</v>
      </c>
      <c r="D165" t="s">
        <v>368</v>
      </c>
    </row>
    <row r="166" spans="1:4" hidden="1" x14ac:dyDescent="0.35">
      <c r="A166" t="str">
        <f t="shared" si="2"/>
        <v>Egypt</v>
      </c>
      <c r="B166" t="s">
        <v>369</v>
      </c>
      <c r="C166" t="s">
        <v>370</v>
      </c>
      <c r="D166" t="s">
        <v>370</v>
      </c>
    </row>
    <row r="167" spans="1:4" x14ac:dyDescent="0.35">
      <c r="A167" t="s">
        <v>371</v>
      </c>
      <c r="B167" t="s">
        <v>372</v>
      </c>
      <c r="C167" t="s">
        <v>373</v>
      </c>
      <c r="D167" t="s">
        <v>362</v>
      </c>
    </row>
    <row r="168" spans="1:4" hidden="1" x14ac:dyDescent="0.35">
      <c r="A168" t="str">
        <f t="shared" si="2"/>
        <v>Gibraltar</v>
      </c>
      <c r="B168" t="s">
        <v>374</v>
      </c>
      <c r="C168" t="s">
        <v>375</v>
      </c>
      <c r="D168" t="s">
        <v>376</v>
      </c>
    </row>
    <row r="169" spans="1:4" hidden="1" x14ac:dyDescent="0.35">
      <c r="A169" t="str">
        <f t="shared" si="2"/>
        <v>Hong Kong SAR</v>
      </c>
      <c r="B169" t="s">
        <v>377</v>
      </c>
      <c r="C169" t="s">
        <v>378</v>
      </c>
      <c r="D169" t="s">
        <v>379</v>
      </c>
    </row>
    <row r="170" spans="1:4" hidden="1" x14ac:dyDescent="0.35">
      <c r="A170" t="str">
        <f t="shared" si="2"/>
        <v>Iceland</v>
      </c>
      <c r="B170" t="s">
        <v>380</v>
      </c>
      <c r="C170" t="s">
        <v>381</v>
      </c>
      <c r="D170" t="s">
        <v>376</v>
      </c>
    </row>
    <row r="171" spans="1:4" hidden="1" x14ac:dyDescent="0.35">
      <c r="A171" t="str">
        <f t="shared" si="2"/>
        <v>India</v>
      </c>
      <c r="B171" t="s">
        <v>382</v>
      </c>
      <c r="C171" t="s">
        <v>383</v>
      </c>
      <c r="D171" t="s">
        <v>383</v>
      </c>
    </row>
    <row r="172" spans="1:4" hidden="1" x14ac:dyDescent="0.35">
      <c r="A172" t="str">
        <f t="shared" si="2"/>
        <v>Indonesia</v>
      </c>
      <c r="B172" t="s">
        <v>384</v>
      </c>
      <c r="C172" t="s">
        <v>385</v>
      </c>
      <c r="D172" t="s">
        <v>385</v>
      </c>
    </row>
    <row r="173" spans="1:4" hidden="1" x14ac:dyDescent="0.35">
      <c r="A173" t="str">
        <f t="shared" si="2"/>
        <v>Iran</v>
      </c>
      <c r="B173" t="s">
        <v>386</v>
      </c>
      <c r="C173" t="s">
        <v>387</v>
      </c>
      <c r="D173" t="s">
        <v>388</v>
      </c>
    </row>
    <row r="174" spans="1:4" hidden="1" x14ac:dyDescent="0.35">
      <c r="A174" t="str">
        <f t="shared" si="2"/>
        <v>Iraq</v>
      </c>
      <c r="B174" t="s">
        <v>389</v>
      </c>
      <c r="C174" t="s">
        <v>390</v>
      </c>
      <c r="D174" t="s">
        <v>388</v>
      </c>
    </row>
    <row r="175" spans="1:4" hidden="1" x14ac:dyDescent="0.35">
      <c r="A175" t="str">
        <f t="shared" si="2"/>
        <v>Israel</v>
      </c>
      <c r="B175" t="s">
        <v>391</v>
      </c>
      <c r="C175" t="s">
        <v>392</v>
      </c>
      <c r="D175" t="s">
        <v>388</v>
      </c>
    </row>
    <row r="176" spans="1:4" x14ac:dyDescent="0.35">
      <c r="A176" t="str">
        <f t="shared" si="2"/>
        <v>Ivory Coast</v>
      </c>
      <c r="B176" t="s">
        <v>393</v>
      </c>
      <c r="C176" t="s">
        <v>394</v>
      </c>
      <c r="D176" t="s">
        <v>362</v>
      </c>
    </row>
    <row r="177" spans="1:4" hidden="1" x14ac:dyDescent="0.35">
      <c r="A177" t="str">
        <f t="shared" si="2"/>
        <v>Japan</v>
      </c>
      <c r="B177" t="s">
        <v>395</v>
      </c>
      <c r="C177" t="s">
        <v>396</v>
      </c>
      <c r="D177" t="s">
        <v>396</v>
      </c>
    </row>
    <row r="178" spans="1:4" hidden="1" x14ac:dyDescent="0.35">
      <c r="A178" t="str">
        <f t="shared" si="2"/>
        <v>Jordan</v>
      </c>
      <c r="B178" t="s">
        <v>397</v>
      </c>
      <c r="C178" t="s">
        <v>398</v>
      </c>
      <c r="D178" t="s">
        <v>388</v>
      </c>
    </row>
    <row r="179" spans="1:4" hidden="1" x14ac:dyDescent="0.35">
      <c r="A179" t="str">
        <f t="shared" si="2"/>
        <v>Kuwait</v>
      </c>
      <c r="B179" t="s">
        <v>399</v>
      </c>
      <c r="C179" t="s">
        <v>400</v>
      </c>
      <c r="D179" t="s">
        <v>359</v>
      </c>
    </row>
    <row r="180" spans="1:4" hidden="1" x14ac:dyDescent="0.35">
      <c r="A180" t="str">
        <f t="shared" si="2"/>
        <v>Lebanon</v>
      </c>
      <c r="B180" t="s">
        <v>401</v>
      </c>
      <c r="C180" t="s">
        <v>402</v>
      </c>
      <c r="D180" t="s">
        <v>388</v>
      </c>
    </row>
    <row r="181" spans="1:4" x14ac:dyDescent="0.35">
      <c r="A181" t="str">
        <f t="shared" si="2"/>
        <v>Libya</v>
      </c>
      <c r="B181" t="s">
        <v>403</v>
      </c>
      <c r="C181" t="s">
        <v>404</v>
      </c>
      <c r="D181" t="s">
        <v>345</v>
      </c>
    </row>
    <row r="182" spans="1:4" hidden="1" x14ac:dyDescent="0.35">
      <c r="A182" t="str">
        <f t="shared" si="2"/>
        <v>Mexico</v>
      </c>
      <c r="B182" s="113" t="s">
        <v>405</v>
      </c>
      <c r="C182" t="s">
        <v>406</v>
      </c>
      <c r="D182" t="s">
        <v>406</v>
      </c>
    </row>
    <row r="183" spans="1:4" x14ac:dyDescent="0.35">
      <c r="A183" t="str">
        <f t="shared" si="2"/>
        <v>Morocco</v>
      </c>
      <c r="B183" t="s">
        <v>407</v>
      </c>
      <c r="C183" t="s">
        <v>408</v>
      </c>
      <c r="D183" t="s">
        <v>345</v>
      </c>
    </row>
    <row r="184" spans="1:4" hidden="1" x14ac:dyDescent="0.35">
      <c r="A184" t="str">
        <f t="shared" si="2"/>
        <v>New Zealand</v>
      </c>
      <c r="B184" t="s">
        <v>409</v>
      </c>
      <c r="C184" t="s">
        <v>410</v>
      </c>
      <c r="D184" t="s">
        <v>379</v>
      </c>
    </row>
    <row r="185" spans="1:4" x14ac:dyDescent="0.35">
      <c r="A185" t="str">
        <f t="shared" si="2"/>
        <v>Niger</v>
      </c>
      <c r="B185" t="s">
        <v>411</v>
      </c>
      <c r="C185" t="s">
        <v>412</v>
      </c>
      <c r="D185" t="s">
        <v>362</v>
      </c>
    </row>
    <row r="186" spans="1:4" x14ac:dyDescent="0.35">
      <c r="A186" t="str">
        <f t="shared" si="2"/>
        <v>Nigeria</v>
      </c>
      <c r="B186" t="s">
        <v>413</v>
      </c>
      <c r="C186" t="s">
        <v>414</v>
      </c>
      <c r="D186" t="s">
        <v>362</v>
      </c>
    </row>
    <row r="187" spans="1:4" hidden="1" x14ac:dyDescent="0.35">
      <c r="A187" t="str">
        <f t="shared" si="2"/>
        <v>Norway</v>
      </c>
      <c r="B187" t="s">
        <v>415</v>
      </c>
      <c r="C187" t="s">
        <v>416</v>
      </c>
      <c r="D187" t="s">
        <v>376</v>
      </c>
    </row>
    <row r="188" spans="1:4" hidden="1" x14ac:dyDescent="0.35">
      <c r="A188" t="str">
        <f t="shared" si="2"/>
        <v>Oman</v>
      </c>
      <c r="B188" t="s">
        <v>417</v>
      </c>
      <c r="C188" t="s">
        <v>418</v>
      </c>
      <c r="D188" t="s">
        <v>359</v>
      </c>
    </row>
    <row r="189" spans="1:4" hidden="1" x14ac:dyDescent="0.35">
      <c r="A189" t="str">
        <f t="shared" si="2"/>
        <v>Qatar</v>
      </c>
      <c r="B189" t="s">
        <v>419</v>
      </c>
      <c r="C189" t="s">
        <v>420</v>
      </c>
      <c r="D189" t="s">
        <v>359</v>
      </c>
    </row>
    <row r="190" spans="1:4" hidden="1" x14ac:dyDescent="0.35">
      <c r="A190" t="str">
        <f t="shared" si="2"/>
        <v>Rusia</v>
      </c>
      <c r="B190" t="s">
        <v>421</v>
      </c>
      <c r="C190" t="s">
        <v>422</v>
      </c>
      <c r="D190" t="s">
        <v>423</v>
      </c>
    </row>
    <row r="191" spans="1:4" hidden="1" x14ac:dyDescent="0.35">
      <c r="A191" t="str">
        <f t="shared" si="2"/>
        <v>Saudi Arabia</v>
      </c>
      <c r="B191" t="s">
        <v>424</v>
      </c>
      <c r="C191" t="s">
        <v>425</v>
      </c>
      <c r="D191" t="s">
        <v>425</v>
      </c>
    </row>
    <row r="192" spans="1:4" x14ac:dyDescent="0.35">
      <c r="A192" t="str">
        <f t="shared" si="2"/>
        <v>Senegal</v>
      </c>
      <c r="B192" t="s">
        <v>426</v>
      </c>
      <c r="C192" t="s">
        <v>427</v>
      </c>
      <c r="D192" t="s">
        <v>362</v>
      </c>
    </row>
    <row r="193" spans="1:4" hidden="1" x14ac:dyDescent="0.35">
      <c r="A193" t="str">
        <f t="shared" si="2"/>
        <v>Singapore</v>
      </c>
      <c r="B193" t="s">
        <v>428</v>
      </c>
      <c r="C193" t="s">
        <v>429</v>
      </c>
      <c r="D193" t="s">
        <v>379</v>
      </c>
    </row>
    <row r="194" spans="1:4" hidden="1" x14ac:dyDescent="0.35">
      <c r="A194" t="str">
        <f t="shared" si="2"/>
        <v>South Africa</v>
      </c>
      <c r="B194" t="s">
        <v>430</v>
      </c>
      <c r="C194" t="s">
        <v>431</v>
      </c>
      <c r="D194" t="s">
        <v>431</v>
      </c>
    </row>
    <row r="195" spans="1:4" hidden="1" x14ac:dyDescent="0.35">
      <c r="A195" t="str">
        <f t="shared" ref="A195:A205" si="3">C195</f>
        <v>South Korea</v>
      </c>
      <c r="B195" t="s">
        <v>432</v>
      </c>
      <c r="C195" t="s">
        <v>433</v>
      </c>
      <c r="D195" t="s">
        <v>379</v>
      </c>
    </row>
    <row r="196" spans="1:4" x14ac:dyDescent="0.35">
      <c r="A196" t="str">
        <f t="shared" si="3"/>
        <v>Sudan</v>
      </c>
      <c r="B196" t="s">
        <v>434</v>
      </c>
      <c r="C196" t="s">
        <v>435</v>
      </c>
      <c r="D196" t="s">
        <v>345</v>
      </c>
    </row>
    <row r="197" spans="1:4" hidden="1" x14ac:dyDescent="0.35">
      <c r="A197" t="str">
        <f t="shared" si="3"/>
        <v>Switzerland</v>
      </c>
      <c r="B197" t="s">
        <v>436</v>
      </c>
      <c r="C197" t="s">
        <v>437</v>
      </c>
      <c r="D197" t="s">
        <v>376</v>
      </c>
    </row>
    <row r="198" spans="1:4" hidden="1" x14ac:dyDescent="0.35">
      <c r="A198" t="str">
        <f t="shared" si="3"/>
        <v>Syria</v>
      </c>
      <c r="B198" t="s">
        <v>438</v>
      </c>
      <c r="C198" t="s">
        <v>439</v>
      </c>
      <c r="D198" t="s">
        <v>388</v>
      </c>
    </row>
    <row r="199" spans="1:4" hidden="1" x14ac:dyDescent="0.35">
      <c r="A199" t="str">
        <f t="shared" si="3"/>
        <v>Taiwan</v>
      </c>
      <c r="B199" t="s">
        <v>440</v>
      </c>
      <c r="C199" t="s">
        <v>441</v>
      </c>
      <c r="D199" t="s">
        <v>379</v>
      </c>
    </row>
    <row r="200" spans="1:4" x14ac:dyDescent="0.35">
      <c r="A200" t="str">
        <f t="shared" si="3"/>
        <v>Togo</v>
      </c>
      <c r="B200" t="s">
        <v>442</v>
      </c>
      <c r="C200" t="s">
        <v>443</v>
      </c>
      <c r="D200" t="s">
        <v>362</v>
      </c>
    </row>
    <row r="201" spans="1:4" x14ac:dyDescent="0.35">
      <c r="A201" t="str">
        <f t="shared" si="3"/>
        <v>Tunisia</v>
      </c>
      <c r="B201" t="s">
        <v>444</v>
      </c>
      <c r="C201" t="s">
        <v>445</v>
      </c>
      <c r="D201" t="s">
        <v>345</v>
      </c>
    </row>
    <row r="202" spans="1:4" hidden="1" x14ac:dyDescent="0.35">
      <c r="A202" t="str">
        <f t="shared" si="3"/>
        <v>United Arab Emirates</v>
      </c>
      <c r="B202" t="s">
        <v>446</v>
      </c>
      <c r="C202" t="s">
        <v>447</v>
      </c>
      <c r="D202" t="s">
        <v>359</v>
      </c>
    </row>
    <row r="203" spans="1:4" hidden="1" x14ac:dyDescent="0.35">
      <c r="A203" t="str">
        <f t="shared" si="3"/>
        <v>United Kingdom</v>
      </c>
      <c r="B203" t="s">
        <v>448</v>
      </c>
      <c r="C203" t="s">
        <v>449</v>
      </c>
      <c r="D203" t="s">
        <v>376</v>
      </c>
    </row>
    <row r="204" spans="1:4" hidden="1" x14ac:dyDescent="0.35">
      <c r="A204" t="str">
        <f t="shared" si="3"/>
        <v>United States</v>
      </c>
      <c r="B204" s="113" t="s">
        <v>450</v>
      </c>
      <c r="C204" t="s">
        <v>451</v>
      </c>
      <c r="D204" t="s">
        <v>451</v>
      </c>
    </row>
    <row r="205" spans="1:4" hidden="1" x14ac:dyDescent="0.35">
      <c r="A205" t="str">
        <f t="shared" si="3"/>
        <v>Yemen</v>
      </c>
      <c r="B205" t="s">
        <v>452</v>
      </c>
      <c r="C205" t="s">
        <v>453</v>
      </c>
      <c r="D205" t="s">
        <v>388</v>
      </c>
    </row>
  </sheetData>
  <autoFilter ref="A1:D205" xr:uid="{77EE07AF-C924-4BBA-8D37-8380A3A488BC}">
    <filterColumn colId="3">
      <filters>
        <filter val="Africa North"/>
        <filter val="Africa Other"/>
        <filter val="Africa South"/>
        <filter val="Africa West"/>
      </filters>
    </filterColumn>
  </autoFilter>
  <sortState xmlns:xlrd2="http://schemas.microsoft.com/office/spreadsheetml/2017/richdata2" ref="B2:D205">
    <sortCondition ref="C205"/>
  </sortState>
  <phoneticPr fontId="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6890E-7124-48F1-8034-F15685493921}">
  <dimension ref="A1:O1370"/>
  <sheetViews>
    <sheetView zoomScale="70" zoomScaleNormal="70" workbookViewId="0">
      <pane ySplit="1" topLeftCell="A299" activePane="bottomLeft" state="frozen"/>
      <selection pane="bottomLeft" activeCell="D458" sqref="D458"/>
    </sheetView>
  </sheetViews>
  <sheetFormatPr defaultRowHeight="14.5" x14ac:dyDescent="0.35"/>
  <cols>
    <col min="2" max="2" width="16.26953125" customWidth="1"/>
    <col min="3" max="3" width="13.81640625" customWidth="1"/>
    <col min="4" max="4" width="25.1796875" customWidth="1"/>
    <col min="5" max="5" width="23.453125" customWidth="1"/>
    <col min="6" max="7" width="16.1796875" customWidth="1"/>
    <col min="8" max="8" width="28.26953125" customWidth="1"/>
    <col min="9" max="9" width="15.26953125" customWidth="1"/>
    <col min="10" max="10" width="23.1796875" customWidth="1"/>
    <col min="11" max="11" width="11.54296875" customWidth="1"/>
    <col min="12" max="13" width="10.453125" customWidth="1"/>
    <col min="14" max="14" width="44.1796875" customWidth="1"/>
  </cols>
  <sheetData>
    <row r="1" spans="1:15" x14ac:dyDescent="0.35">
      <c r="A1" t="s">
        <v>29</v>
      </c>
      <c r="B1" t="s">
        <v>454</v>
      </c>
      <c r="C1" t="s">
        <v>455</v>
      </c>
      <c r="D1" t="s">
        <v>456</v>
      </c>
      <c r="E1" t="s">
        <v>457</v>
      </c>
      <c r="F1" t="s">
        <v>458</v>
      </c>
      <c r="G1" t="s">
        <v>459</v>
      </c>
      <c r="H1" s="3" t="s">
        <v>460</v>
      </c>
      <c r="I1" t="s">
        <v>461</v>
      </c>
      <c r="J1" t="s">
        <v>462</v>
      </c>
      <c r="K1" t="s">
        <v>463</v>
      </c>
      <c r="L1" t="s">
        <v>464</v>
      </c>
      <c r="M1" t="s">
        <v>465</v>
      </c>
      <c r="N1" t="s">
        <v>466</v>
      </c>
    </row>
    <row r="2" spans="1:15" ht="29" hidden="1" x14ac:dyDescent="0.35">
      <c r="A2" t="e">
        <f>VLOOKUP("United States",Countries!#REF!,2,FALSE)</f>
        <v>#REF!</v>
      </c>
      <c r="B2" t="s">
        <v>467</v>
      </c>
      <c r="C2" t="s">
        <v>468</v>
      </c>
      <c r="D2" t="s">
        <v>469</v>
      </c>
      <c r="E2" s="3" t="s">
        <v>470</v>
      </c>
      <c r="F2">
        <v>2008</v>
      </c>
      <c r="H2" s="4">
        <f>6000*Conversion!$A$2</f>
        <v>539.28</v>
      </c>
      <c r="I2" t="s">
        <v>471</v>
      </c>
      <c r="J2" t="s">
        <v>472</v>
      </c>
      <c r="N2" t="s">
        <v>473</v>
      </c>
    </row>
    <row r="3" spans="1:15" hidden="1" x14ac:dyDescent="0.35">
      <c r="A3" t="s">
        <v>450</v>
      </c>
      <c r="B3" t="s">
        <v>474</v>
      </c>
      <c r="C3" t="s">
        <v>475</v>
      </c>
      <c r="D3" t="s">
        <v>469</v>
      </c>
      <c r="E3" t="s">
        <v>476</v>
      </c>
      <c r="H3" s="4">
        <f>4000*Conversion!$A$2</f>
        <v>359.52</v>
      </c>
      <c r="I3" t="s">
        <v>471</v>
      </c>
      <c r="J3" t="s">
        <v>472</v>
      </c>
      <c r="N3" t="s">
        <v>477</v>
      </c>
    </row>
    <row r="4" spans="1:15" hidden="1" x14ac:dyDescent="0.35">
      <c r="A4" t="s">
        <v>450</v>
      </c>
      <c r="B4" t="s">
        <v>478</v>
      </c>
      <c r="C4" t="s">
        <v>479</v>
      </c>
      <c r="D4" t="s">
        <v>469</v>
      </c>
      <c r="E4" t="s">
        <v>476</v>
      </c>
      <c r="H4" s="4">
        <f>5000*Conversion!$A$2</f>
        <v>449.40000000000003</v>
      </c>
      <c r="I4" t="s">
        <v>471</v>
      </c>
      <c r="J4" t="s">
        <v>472</v>
      </c>
      <c r="N4" t="s">
        <v>480</v>
      </c>
    </row>
    <row r="5" spans="1:15" hidden="1" x14ac:dyDescent="0.35">
      <c r="A5" t="s">
        <v>450</v>
      </c>
      <c r="B5" t="s">
        <v>481</v>
      </c>
      <c r="C5" t="s">
        <v>482</v>
      </c>
      <c r="D5" t="s">
        <v>469</v>
      </c>
      <c r="E5" t="s">
        <v>261</v>
      </c>
      <c r="F5">
        <v>2003</v>
      </c>
      <c r="H5" s="4">
        <f>198000*Conversion!$A$2</f>
        <v>17796.240000000002</v>
      </c>
      <c r="I5" t="s">
        <v>471</v>
      </c>
      <c r="J5" t="s">
        <v>472</v>
      </c>
      <c r="K5" t="s">
        <v>483</v>
      </c>
      <c r="N5" t="s">
        <v>484</v>
      </c>
    </row>
    <row r="6" spans="1:15" hidden="1" x14ac:dyDescent="0.35">
      <c r="A6" t="s">
        <v>450</v>
      </c>
      <c r="B6" t="s">
        <v>485</v>
      </c>
      <c r="C6" t="s">
        <v>486</v>
      </c>
      <c r="D6" t="s">
        <v>469</v>
      </c>
      <c r="E6" t="s">
        <v>261</v>
      </c>
      <c r="H6" s="4">
        <f>24000*Conversion!$A$2</f>
        <v>2157.12</v>
      </c>
      <c r="I6" t="s">
        <v>471</v>
      </c>
      <c r="J6" t="s">
        <v>472</v>
      </c>
      <c r="K6" t="s">
        <v>487</v>
      </c>
      <c r="N6" t="s">
        <v>488</v>
      </c>
    </row>
    <row r="7" spans="1:15" hidden="1" x14ac:dyDescent="0.35">
      <c r="A7" t="s">
        <v>450</v>
      </c>
      <c r="B7" t="s">
        <v>489</v>
      </c>
      <c r="C7" t="s">
        <v>490</v>
      </c>
      <c r="D7" t="s">
        <v>469</v>
      </c>
      <c r="E7" t="s">
        <v>261</v>
      </c>
      <c r="F7">
        <v>2004</v>
      </c>
      <c r="H7" s="4">
        <f>2549000*Conversion!$A$2</f>
        <v>229104.12</v>
      </c>
      <c r="I7" t="s">
        <v>471</v>
      </c>
      <c r="J7" t="s">
        <v>472</v>
      </c>
      <c r="K7" t="s">
        <v>483</v>
      </c>
      <c r="N7" t="s">
        <v>491</v>
      </c>
    </row>
    <row r="8" spans="1:15" hidden="1" x14ac:dyDescent="0.35">
      <c r="A8" t="s">
        <v>450</v>
      </c>
      <c r="B8" t="s">
        <v>492</v>
      </c>
      <c r="C8" t="s">
        <v>486</v>
      </c>
      <c r="D8" t="s">
        <v>469</v>
      </c>
      <c r="E8" t="s">
        <v>261</v>
      </c>
      <c r="F8">
        <v>1997</v>
      </c>
      <c r="H8" s="4">
        <f>3256000*Conversion!$A$2</f>
        <v>292649.28000000003</v>
      </c>
      <c r="I8" t="s">
        <v>471</v>
      </c>
      <c r="J8" s="3" t="s">
        <v>493</v>
      </c>
      <c r="K8" t="s">
        <v>494</v>
      </c>
      <c r="N8" t="s">
        <v>495</v>
      </c>
    </row>
    <row r="9" spans="1:15" hidden="1" x14ac:dyDescent="0.35">
      <c r="A9" t="s">
        <v>450</v>
      </c>
      <c r="B9" t="s">
        <v>496</v>
      </c>
      <c r="C9" t="s">
        <v>497</v>
      </c>
      <c r="D9" t="s">
        <v>469</v>
      </c>
      <c r="E9" t="s">
        <v>498</v>
      </c>
      <c r="F9">
        <v>2001</v>
      </c>
      <c r="H9" s="4">
        <f>197000*Conversion!$A$2</f>
        <v>17706.36</v>
      </c>
      <c r="I9" t="s">
        <v>471</v>
      </c>
      <c r="J9" t="s">
        <v>493</v>
      </c>
      <c r="K9" t="s">
        <v>494</v>
      </c>
      <c r="N9" t="s">
        <v>499</v>
      </c>
      <c r="O9" t="s">
        <v>500</v>
      </c>
    </row>
    <row r="10" spans="1:15" hidden="1" x14ac:dyDescent="0.35">
      <c r="A10" t="s">
        <v>450</v>
      </c>
      <c r="B10" t="s">
        <v>501</v>
      </c>
      <c r="C10" t="s">
        <v>482</v>
      </c>
      <c r="D10" t="s">
        <v>469</v>
      </c>
      <c r="E10" t="s">
        <v>502</v>
      </c>
      <c r="F10">
        <v>1997</v>
      </c>
      <c r="H10" s="4">
        <f>8000*Conversion!$A$2</f>
        <v>719.04</v>
      </c>
      <c r="I10" t="s">
        <v>471</v>
      </c>
      <c r="J10" t="s">
        <v>472</v>
      </c>
      <c r="K10" t="s">
        <v>503</v>
      </c>
      <c r="N10" t="s">
        <v>504</v>
      </c>
    </row>
    <row r="11" spans="1:15" ht="17.149999999999999" hidden="1" customHeight="1" x14ac:dyDescent="0.35">
      <c r="A11" t="s">
        <v>450</v>
      </c>
      <c r="B11" t="s">
        <v>505</v>
      </c>
      <c r="C11" t="s">
        <v>497</v>
      </c>
      <c r="D11" t="s">
        <v>469</v>
      </c>
      <c r="E11" t="s">
        <v>476</v>
      </c>
      <c r="H11" s="4">
        <f>1000*Conversion!$A$2</f>
        <v>89.88</v>
      </c>
      <c r="I11" t="s">
        <v>471</v>
      </c>
      <c r="J11" t="s">
        <v>472</v>
      </c>
      <c r="N11" s="5" t="s">
        <v>506</v>
      </c>
    </row>
    <row r="12" spans="1:15" hidden="1" x14ac:dyDescent="0.35">
      <c r="A12" t="s">
        <v>450</v>
      </c>
      <c r="B12" t="s">
        <v>507</v>
      </c>
      <c r="C12" t="s">
        <v>508</v>
      </c>
      <c r="D12" t="s">
        <v>469</v>
      </c>
      <c r="E12" t="s">
        <v>261</v>
      </c>
      <c r="F12">
        <v>1998</v>
      </c>
      <c r="H12" s="4">
        <f>20000*Conversion!$A$2</f>
        <v>1797.6000000000001</v>
      </c>
      <c r="I12" t="s">
        <v>471</v>
      </c>
      <c r="J12" t="s">
        <v>493</v>
      </c>
      <c r="K12" t="s">
        <v>503</v>
      </c>
      <c r="N12" s="5" t="s">
        <v>509</v>
      </c>
    </row>
    <row r="13" spans="1:15" hidden="1" x14ac:dyDescent="0.35">
      <c r="A13" t="s">
        <v>450</v>
      </c>
      <c r="B13" t="s">
        <v>510</v>
      </c>
      <c r="C13" t="s">
        <v>490</v>
      </c>
      <c r="D13" t="s">
        <v>469</v>
      </c>
      <c r="E13" t="s">
        <v>261</v>
      </c>
      <c r="F13">
        <v>2009</v>
      </c>
      <c r="H13" s="4">
        <f>3398000*Conversion!$A$2</f>
        <v>305412.24</v>
      </c>
      <c r="I13" t="s">
        <v>471</v>
      </c>
      <c r="J13" t="s">
        <v>472</v>
      </c>
      <c r="K13" t="s">
        <v>483</v>
      </c>
      <c r="N13" t="s">
        <v>511</v>
      </c>
    </row>
    <row r="14" spans="1:15" hidden="1" x14ac:dyDescent="0.35">
      <c r="A14" t="s">
        <v>450</v>
      </c>
      <c r="B14" t="s">
        <v>512</v>
      </c>
      <c r="C14" t="s">
        <v>513</v>
      </c>
      <c r="D14" t="s">
        <v>469</v>
      </c>
      <c r="E14" t="s">
        <v>502</v>
      </c>
      <c r="F14">
        <v>1995</v>
      </c>
      <c r="H14" s="4">
        <f>8000*Conversion!$A$2</f>
        <v>719.04</v>
      </c>
      <c r="I14" t="s">
        <v>471</v>
      </c>
      <c r="J14" t="s">
        <v>472</v>
      </c>
      <c r="K14" t="s">
        <v>503</v>
      </c>
      <c r="N14" s="5" t="s">
        <v>514</v>
      </c>
    </row>
    <row r="15" spans="1:15" hidden="1" x14ac:dyDescent="0.35">
      <c r="A15" t="s">
        <v>450</v>
      </c>
      <c r="B15" t="s">
        <v>515</v>
      </c>
      <c r="C15" t="s">
        <v>486</v>
      </c>
      <c r="D15" t="s">
        <v>469</v>
      </c>
      <c r="E15" t="s">
        <v>261</v>
      </c>
      <c r="F15">
        <v>2016</v>
      </c>
      <c r="H15" s="4">
        <f>2832000*Conversion!$A$2</f>
        <v>254540.16</v>
      </c>
      <c r="I15" t="s">
        <v>471</v>
      </c>
      <c r="J15" t="s">
        <v>472</v>
      </c>
      <c r="K15" t="s">
        <v>483</v>
      </c>
      <c r="N15" s="5" t="s">
        <v>516</v>
      </c>
    </row>
    <row r="16" spans="1:15" hidden="1" x14ac:dyDescent="0.35">
      <c r="A16" t="s">
        <v>450</v>
      </c>
      <c r="B16" t="s">
        <v>517</v>
      </c>
      <c r="C16" t="s">
        <v>486</v>
      </c>
      <c r="D16" t="s">
        <v>469</v>
      </c>
      <c r="E16" t="s">
        <v>261</v>
      </c>
      <c r="F16">
        <v>1998</v>
      </c>
      <c r="H16" s="4">
        <f>1416000*Conversion!$A$2</f>
        <v>127270.08</v>
      </c>
      <c r="I16" t="s">
        <v>471</v>
      </c>
      <c r="J16" t="s">
        <v>472</v>
      </c>
      <c r="K16" t="s">
        <v>483</v>
      </c>
    </row>
    <row r="17" spans="1:14" hidden="1" x14ac:dyDescent="0.35">
      <c r="A17" t="s">
        <v>450</v>
      </c>
      <c r="B17" t="s">
        <v>518</v>
      </c>
      <c r="C17" t="s">
        <v>486</v>
      </c>
      <c r="D17" t="s">
        <v>469</v>
      </c>
      <c r="E17" t="s">
        <v>476</v>
      </c>
      <c r="H17" s="4">
        <f>20000*Conversion!$A$2</f>
        <v>1797.6000000000001</v>
      </c>
      <c r="I17" t="s">
        <v>471</v>
      </c>
      <c r="J17" t="s">
        <v>472</v>
      </c>
    </row>
    <row r="18" spans="1:14" hidden="1" x14ac:dyDescent="0.35">
      <c r="A18" t="s">
        <v>450</v>
      </c>
      <c r="B18" t="s">
        <v>519</v>
      </c>
      <c r="C18" t="s">
        <v>486</v>
      </c>
      <c r="D18" t="s">
        <v>469</v>
      </c>
      <c r="E18" t="s">
        <v>261</v>
      </c>
      <c r="F18">
        <v>2021</v>
      </c>
      <c r="H18" s="4"/>
      <c r="I18" t="s">
        <v>471</v>
      </c>
      <c r="J18" t="s">
        <v>472</v>
      </c>
      <c r="K18" t="s">
        <v>483</v>
      </c>
      <c r="N18" s="5" t="s">
        <v>520</v>
      </c>
    </row>
    <row r="19" spans="1:14" hidden="1" x14ac:dyDescent="0.35">
      <c r="A19" t="s">
        <v>450</v>
      </c>
      <c r="B19" t="s">
        <v>521</v>
      </c>
      <c r="C19" t="s">
        <v>486</v>
      </c>
      <c r="D19" t="s">
        <v>469</v>
      </c>
      <c r="E19" t="s">
        <v>476</v>
      </c>
      <c r="H19" s="4">
        <f>28000*Conversion!$A$2</f>
        <v>2516.64</v>
      </c>
      <c r="I19" t="s">
        <v>471</v>
      </c>
      <c r="J19" t="s">
        <v>493</v>
      </c>
      <c r="K19" t="s">
        <v>494</v>
      </c>
      <c r="N19" s="5" t="s">
        <v>522</v>
      </c>
    </row>
    <row r="20" spans="1:14" hidden="1" x14ac:dyDescent="0.35">
      <c r="A20" t="s">
        <v>450</v>
      </c>
      <c r="B20" t="s">
        <v>521</v>
      </c>
      <c r="C20" t="s">
        <v>486</v>
      </c>
      <c r="D20" t="s">
        <v>469</v>
      </c>
      <c r="E20" t="s">
        <v>261</v>
      </c>
      <c r="F20">
        <v>2012</v>
      </c>
      <c r="H20" s="4">
        <f>3398000*Conversion!$A$2</f>
        <v>305412.24</v>
      </c>
      <c r="I20" t="s">
        <v>471</v>
      </c>
      <c r="J20" t="s">
        <v>472</v>
      </c>
      <c r="K20" t="s">
        <v>483</v>
      </c>
      <c r="N20" s="5" t="s">
        <v>523</v>
      </c>
    </row>
    <row r="21" spans="1:14" hidden="1" x14ac:dyDescent="0.35">
      <c r="A21" t="s">
        <v>450</v>
      </c>
      <c r="B21" t="s">
        <v>524</v>
      </c>
      <c r="C21" t="s">
        <v>508</v>
      </c>
      <c r="D21" t="s">
        <v>525</v>
      </c>
      <c r="E21" t="s">
        <v>261</v>
      </c>
      <c r="F21">
        <v>1986</v>
      </c>
      <c r="H21" s="4">
        <f>51000*Conversion!$A$2</f>
        <v>4583.88</v>
      </c>
      <c r="I21" t="s">
        <v>471</v>
      </c>
      <c r="J21" t="s">
        <v>472</v>
      </c>
      <c r="K21" t="s">
        <v>503</v>
      </c>
      <c r="N21" s="5" t="s">
        <v>526</v>
      </c>
    </row>
    <row r="22" spans="1:14" hidden="1" x14ac:dyDescent="0.35">
      <c r="A22" t="s">
        <v>450</v>
      </c>
      <c r="B22" t="s">
        <v>527</v>
      </c>
      <c r="C22" t="s">
        <v>490</v>
      </c>
      <c r="D22" t="s">
        <v>525</v>
      </c>
      <c r="E22" t="s">
        <v>261</v>
      </c>
      <c r="F22">
        <v>2000</v>
      </c>
      <c r="H22" s="4">
        <f>2832000*Conversion!$A$2</f>
        <v>254540.16</v>
      </c>
      <c r="I22" t="s">
        <v>471</v>
      </c>
      <c r="J22" t="s">
        <v>472</v>
      </c>
      <c r="K22" t="s">
        <v>483</v>
      </c>
      <c r="N22" s="5" t="s">
        <v>528</v>
      </c>
    </row>
    <row r="23" spans="1:14" hidden="1" x14ac:dyDescent="0.35">
      <c r="A23" t="s">
        <v>450</v>
      </c>
      <c r="B23" t="s">
        <v>529</v>
      </c>
      <c r="C23" t="s">
        <v>530</v>
      </c>
      <c r="D23" t="s">
        <v>525</v>
      </c>
      <c r="E23" t="s">
        <v>261</v>
      </c>
      <c r="F23">
        <v>2003</v>
      </c>
      <c r="H23" s="4">
        <f>963000*Conversion!$A$2</f>
        <v>86554.44</v>
      </c>
      <c r="I23" t="s">
        <v>471</v>
      </c>
      <c r="J23" t="s">
        <v>472</v>
      </c>
      <c r="K23" t="s">
        <v>483</v>
      </c>
      <c r="N23" s="7" t="s">
        <v>531</v>
      </c>
    </row>
    <row r="24" spans="1:14" hidden="1" x14ac:dyDescent="0.35">
      <c r="A24" t="s">
        <v>450</v>
      </c>
      <c r="B24" t="s">
        <v>532</v>
      </c>
      <c r="C24" t="s">
        <v>533</v>
      </c>
      <c r="D24" t="s">
        <v>525</v>
      </c>
      <c r="E24" t="s">
        <v>261</v>
      </c>
      <c r="F24">
        <v>1992</v>
      </c>
      <c r="H24" s="4">
        <f>65000*Conversion!$A$2</f>
        <v>5842.2</v>
      </c>
      <c r="I24" t="s">
        <v>471</v>
      </c>
      <c r="J24" t="s">
        <v>472</v>
      </c>
      <c r="K24" t="s">
        <v>534</v>
      </c>
      <c r="N24" s="7" t="s">
        <v>535</v>
      </c>
    </row>
    <row r="25" spans="1:14" hidden="1" x14ac:dyDescent="0.35">
      <c r="A25" t="s">
        <v>450</v>
      </c>
      <c r="B25" t="s">
        <v>536</v>
      </c>
      <c r="C25" t="s">
        <v>537</v>
      </c>
      <c r="D25" t="s">
        <v>525</v>
      </c>
      <c r="E25" t="s">
        <v>261</v>
      </c>
      <c r="H25" s="4">
        <f>5601000*Conversion!$A$2</f>
        <v>503417.88</v>
      </c>
      <c r="I25" t="s">
        <v>471</v>
      </c>
      <c r="J25" t="s">
        <v>472</v>
      </c>
      <c r="K25" t="s">
        <v>483</v>
      </c>
      <c r="N25" s="7" t="s">
        <v>538</v>
      </c>
    </row>
    <row r="26" spans="1:14" hidden="1" x14ac:dyDescent="0.35">
      <c r="A26" t="s">
        <v>450</v>
      </c>
      <c r="B26" t="s">
        <v>539</v>
      </c>
      <c r="C26" t="s">
        <v>540</v>
      </c>
      <c r="D26" t="s">
        <v>525</v>
      </c>
      <c r="E26" t="s">
        <v>261</v>
      </c>
      <c r="F26">
        <v>1999</v>
      </c>
      <c r="H26" s="4">
        <f>42000*Conversion!$A$2</f>
        <v>3774.96</v>
      </c>
      <c r="I26" t="s">
        <v>471</v>
      </c>
      <c r="J26" t="s">
        <v>472</v>
      </c>
      <c r="K26" t="s">
        <v>503</v>
      </c>
      <c r="N26" s="7" t="s">
        <v>541</v>
      </c>
    </row>
    <row r="27" spans="1:14" hidden="1" x14ac:dyDescent="0.35">
      <c r="A27" t="s">
        <v>450</v>
      </c>
      <c r="B27" t="s">
        <v>542</v>
      </c>
      <c r="C27" t="s">
        <v>543</v>
      </c>
      <c r="D27" t="s">
        <v>525</v>
      </c>
      <c r="E27" t="s">
        <v>261</v>
      </c>
      <c r="F27">
        <v>1992</v>
      </c>
      <c r="H27" s="4">
        <f>27000*Conversion!$A$2</f>
        <v>2426.7600000000002</v>
      </c>
      <c r="I27" t="s">
        <v>471</v>
      </c>
      <c r="J27" t="s">
        <v>472</v>
      </c>
      <c r="K27" t="s">
        <v>494</v>
      </c>
      <c r="N27" s="7" t="s">
        <v>544</v>
      </c>
    </row>
    <row r="28" spans="1:14" hidden="1" x14ac:dyDescent="0.35">
      <c r="A28" t="s">
        <v>450</v>
      </c>
      <c r="B28" t="s">
        <v>545</v>
      </c>
      <c r="C28" t="s">
        <v>475</v>
      </c>
      <c r="D28" t="s">
        <v>525</v>
      </c>
      <c r="E28" t="s">
        <v>261</v>
      </c>
      <c r="F28">
        <v>2006</v>
      </c>
      <c r="H28" s="4">
        <f>510000*Conversion!$A$2</f>
        <v>45838.8</v>
      </c>
      <c r="I28" t="s">
        <v>471</v>
      </c>
      <c r="J28" t="s">
        <v>472</v>
      </c>
      <c r="K28" t="s">
        <v>483</v>
      </c>
      <c r="N28" s="7" t="s">
        <v>546</v>
      </c>
    </row>
    <row r="29" spans="1:14" hidden="1" x14ac:dyDescent="0.35">
      <c r="A29" t="s">
        <v>450</v>
      </c>
      <c r="B29" t="s">
        <v>547</v>
      </c>
      <c r="C29" t="s">
        <v>548</v>
      </c>
      <c r="D29" t="s">
        <v>525</v>
      </c>
      <c r="E29" t="s">
        <v>502</v>
      </c>
      <c r="F29">
        <v>2027</v>
      </c>
      <c r="H29" s="4"/>
      <c r="I29" t="s">
        <v>471</v>
      </c>
      <c r="J29" t="s">
        <v>472</v>
      </c>
      <c r="K29" t="s">
        <v>549</v>
      </c>
      <c r="N29" s="7" t="s">
        <v>550</v>
      </c>
    </row>
    <row r="30" spans="1:14" hidden="1" x14ac:dyDescent="0.35">
      <c r="A30" t="s">
        <v>450</v>
      </c>
      <c r="B30" t="s">
        <v>551</v>
      </c>
      <c r="C30" t="s">
        <v>490</v>
      </c>
      <c r="D30" t="s">
        <v>525</v>
      </c>
      <c r="E30" t="s">
        <v>261</v>
      </c>
      <c r="F30">
        <v>1995</v>
      </c>
      <c r="H30" s="4">
        <f>(991000+2549000)*Conversion!$A$2</f>
        <v>318175.2</v>
      </c>
      <c r="I30" t="s">
        <v>471</v>
      </c>
      <c r="J30" t="s">
        <v>472</v>
      </c>
      <c r="K30" t="s">
        <v>483</v>
      </c>
      <c r="N30" s="7" t="s">
        <v>552</v>
      </c>
    </row>
    <row r="31" spans="1:14" hidden="1" x14ac:dyDescent="0.35">
      <c r="A31" t="s">
        <v>450</v>
      </c>
      <c r="B31" t="s">
        <v>553</v>
      </c>
      <c r="C31" t="s">
        <v>533</v>
      </c>
      <c r="D31" t="s">
        <v>525</v>
      </c>
      <c r="E31" t="s">
        <v>261</v>
      </c>
      <c r="F31">
        <v>2012</v>
      </c>
      <c r="H31" s="4">
        <f>28000*Conversion!$A$2</f>
        <v>2516.64</v>
      </c>
      <c r="I31" t="s">
        <v>471</v>
      </c>
      <c r="J31" t="s">
        <v>472</v>
      </c>
      <c r="K31" t="s">
        <v>503</v>
      </c>
      <c r="N31" s="7" t="s">
        <v>554</v>
      </c>
    </row>
    <row r="32" spans="1:14" hidden="1" x14ac:dyDescent="0.35">
      <c r="A32" t="s">
        <v>450</v>
      </c>
      <c r="B32" t="s">
        <v>555</v>
      </c>
      <c r="C32" t="s">
        <v>556</v>
      </c>
      <c r="D32" t="s">
        <v>525</v>
      </c>
      <c r="E32" t="s">
        <v>261</v>
      </c>
      <c r="F32">
        <v>2000</v>
      </c>
      <c r="H32" s="4">
        <f>21000*Conversion!$A$2</f>
        <v>1887.48</v>
      </c>
      <c r="I32" t="s">
        <v>471</v>
      </c>
      <c r="J32" t="s">
        <v>472</v>
      </c>
      <c r="K32" t="s">
        <v>494</v>
      </c>
      <c r="N32" s="7" t="s">
        <v>557</v>
      </c>
    </row>
    <row r="33" spans="1:14" hidden="1" x14ac:dyDescent="0.35">
      <c r="A33" t="s">
        <v>450</v>
      </c>
      <c r="B33" t="s">
        <v>558</v>
      </c>
      <c r="C33" t="s">
        <v>486</v>
      </c>
      <c r="D33" t="s">
        <v>525</v>
      </c>
      <c r="E33" t="s">
        <v>559</v>
      </c>
      <c r="F33">
        <v>2016</v>
      </c>
      <c r="H33" s="4">
        <f>1133000*Conversion!$A$2</f>
        <v>101834.04000000001</v>
      </c>
      <c r="I33" t="s">
        <v>471</v>
      </c>
      <c r="J33" t="s">
        <v>472</v>
      </c>
      <c r="K33" t="s">
        <v>483</v>
      </c>
      <c r="N33" s="7" t="s">
        <v>560</v>
      </c>
    </row>
    <row r="34" spans="1:14" hidden="1" x14ac:dyDescent="0.35">
      <c r="A34" t="s">
        <v>450</v>
      </c>
      <c r="B34" t="s">
        <v>561</v>
      </c>
      <c r="C34" t="s">
        <v>497</v>
      </c>
      <c r="D34" t="s">
        <v>525</v>
      </c>
      <c r="E34" t="s">
        <v>261</v>
      </c>
      <c r="F34">
        <v>1994</v>
      </c>
      <c r="H34" s="4">
        <f>1699000*Conversion!$A$2</f>
        <v>152706.12</v>
      </c>
      <c r="I34" t="s">
        <v>471</v>
      </c>
      <c r="J34" t="s">
        <v>472</v>
      </c>
      <c r="K34" t="s">
        <v>483</v>
      </c>
      <c r="N34" s="7" t="s">
        <v>562</v>
      </c>
    </row>
    <row r="35" spans="1:14" hidden="1" x14ac:dyDescent="0.35">
      <c r="A35" t="s">
        <v>450</v>
      </c>
      <c r="B35" t="s">
        <v>563</v>
      </c>
      <c r="C35" t="s">
        <v>564</v>
      </c>
      <c r="D35" t="s">
        <v>525</v>
      </c>
      <c r="E35" t="s">
        <v>261</v>
      </c>
      <c r="F35">
        <v>2016</v>
      </c>
      <c r="H35" s="4"/>
      <c r="I35" t="s">
        <v>471</v>
      </c>
      <c r="J35" t="s">
        <v>472</v>
      </c>
      <c r="K35" t="s">
        <v>503</v>
      </c>
      <c r="N35" s="7" t="s">
        <v>565</v>
      </c>
    </row>
    <row r="36" spans="1:14" hidden="1" x14ac:dyDescent="0.35">
      <c r="A36" t="s">
        <v>450</v>
      </c>
      <c r="B36" t="s">
        <v>566</v>
      </c>
      <c r="C36" t="s">
        <v>486</v>
      </c>
      <c r="D36" t="s">
        <v>525</v>
      </c>
      <c r="E36" t="s">
        <v>261</v>
      </c>
      <c r="H36" s="4">
        <f>3000*Conversion!$A$2</f>
        <v>269.64</v>
      </c>
      <c r="I36" t="s">
        <v>471</v>
      </c>
      <c r="J36" t="s">
        <v>472</v>
      </c>
      <c r="K36" t="s">
        <v>483</v>
      </c>
      <c r="N36" s="7" t="s">
        <v>567</v>
      </c>
    </row>
    <row r="37" spans="1:14" hidden="1" x14ac:dyDescent="0.35">
      <c r="A37" t="s">
        <v>450</v>
      </c>
      <c r="B37" t="s">
        <v>568</v>
      </c>
      <c r="C37" t="s">
        <v>490</v>
      </c>
      <c r="D37" t="s">
        <v>525</v>
      </c>
      <c r="E37" t="s">
        <v>261</v>
      </c>
      <c r="F37">
        <v>1986</v>
      </c>
      <c r="H37" s="8">
        <v>5542</v>
      </c>
      <c r="I37" t="s">
        <v>471</v>
      </c>
      <c r="J37" t="s">
        <v>569</v>
      </c>
      <c r="N37" s="7" t="s">
        <v>570</v>
      </c>
    </row>
    <row r="38" spans="1:14" hidden="1" x14ac:dyDescent="0.35">
      <c r="A38" t="s">
        <v>450</v>
      </c>
      <c r="B38" t="s">
        <v>571</v>
      </c>
      <c r="C38" t="s">
        <v>572</v>
      </c>
      <c r="D38" t="s">
        <v>525</v>
      </c>
      <c r="E38" t="s">
        <v>261</v>
      </c>
      <c r="F38">
        <v>1998</v>
      </c>
      <c r="H38" s="8">
        <f>28000*Conversion!$A$2</f>
        <v>2516.64</v>
      </c>
      <c r="I38" t="s">
        <v>471</v>
      </c>
      <c r="J38" t="s">
        <v>472</v>
      </c>
      <c r="K38" t="s">
        <v>494</v>
      </c>
      <c r="N38" s="6" t="s">
        <v>573</v>
      </c>
    </row>
    <row r="39" spans="1:14" hidden="1" x14ac:dyDescent="0.35">
      <c r="A39" t="s">
        <v>450</v>
      </c>
      <c r="B39" t="s">
        <v>574</v>
      </c>
      <c r="C39" t="s">
        <v>497</v>
      </c>
      <c r="D39" t="s">
        <v>525</v>
      </c>
      <c r="E39" t="s">
        <v>261</v>
      </c>
      <c r="F39">
        <v>2015</v>
      </c>
      <c r="H39" s="4">
        <f>100000000*0.002363</f>
        <v>236300</v>
      </c>
      <c r="I39" t="s">
        <v>471</v>
      </c>
      <c r="J39" t="s">
        <v>472</v>
      </c>
      <c r="K39" t="s">
        <v>483</v>
      </c>
      <c r="N39" s="7" t="s">
        <v>575</v>
      </c>
    </row>
    <row r="40" spans="1:14" hidden="1" x14ac:dyDescent="0.35">
      <c r="A40" t="s">
        <v>450</v>
      </c>
      <c r="B40" t="s">
        <v>576</v>
      </c>
      <c r="C40" t="s">
        <v>475</v>
      </c>
      <c r="D40" t="s">
        <v>525</v>
      </c>
      <c r="E40" t="s">
        <v>261</v>
      </c>
      <c r="F40">
        <v>1993</v>
      </c>
      <c r="H40" s="8">
        <f>21000*Conversion!$A$2</f>
        <v>1887.48</v>
      </c>
      <c r="I40" t="s">
        <v>471</v>
      </c>
      <c r="J40" t="s">
        <v>472</v>
      </c>
      <c r="K40" t="s">
        <v>494</v>
      </c>
      <c r="N40" s="7" t="s">
        <v>577</v>
      </c>
    </row>
    <row r="41" spans="1:14" hidden="1" x14ac:dyDescent="0.35">
      <c r="A41" t="s">
        <v>450</v>
      </c>
      <c r="B41" t="s">
        <v>578</v>
      </c>
      <c r="C41" t="s">
        <v>497</v>
      </c>
      <c r="D41" t="s">
        <v>525</v>
      </c>
      <c r="E41" t="s">
        <v>261</v>
      </c>
      <c r="F41">
        <v>2004</v>
      </c>
      <c r="H41" s="8">
        <f>2973000*Conversion!$A$2</f>
        <v>267213.24</v>
      </c>
      <c r="I41" t="s">
        <v>471</v>
      </c>
      <c r="J41" t="s">
        <v>472</v>
      </c>
      <c r="K41" t="s">
        <v>483</v>
      </c>
      <c r="N41" s="7" t="s">
        <v>579</v>
      </c>
    </row>
    <row r="42" spans="1:14" hidden="1" x14ac:dyDescent="0.35">
      <c r="A42" t="s">
        <v>450</v>
      </c>
      <c r="B42" t="s">
        <v>580</v>
      </c>
      <c r="C42" t="s">
        <v>490</v>
      </c>
      <c r="D42" t="s">
        <v>525</v>
      </c>
      <c r="E42" t="s">
        <v>261</v>
      </c>
      <c r="F42">
        <v>1996</v>
      </c>
      <c r="H42" s="8">
        <f>2265000*Conversion!$A$2</f>
        <v>203578.2</v>
      </c>
      <c r="I42" t="s">
        <v>471</v>
      </c>
      <c r="J42" t="s">
        <v>472</v>
      </c>
      <c r="K42" t="s">
        <v>483</v>
      </c>
      <c r="N42" s="7" t="s">
        <v>581</v>
      </c>
    </row>
    <row r="43" spans="1:14" hidden="1" x14ac:dyDescent="0.35">
      <c r="A43" t="s">
        <v>450</v>
      </c>
      <c r="B43" t="s">
        <v>582</v>
      </c>
      <c r="C43" t="s">
        <v>497</v>
      </c>
      <c r="D43" t="s">
        <v>525</v>
      </c>
      <c r="E43" t="s">
        <v>261</v>
      </c>
      <c r="F43">
        <v>2026</v>
      </c>
      <c r="H43" s="8"/>
      <c r="I43" t="s">
        <v>471</v>
      </c>
      <c r="J43" t="s">
        <v>472</v>
      </c>
      <c r="K43" t="s">
        <v>583</v>
      </c>
      <c r="N43" s="7" t="s">
        <v>584</v>
      </c>
    </row>
    <row r="44" spans="1:14" hidden="1" x14ac:dyDescent="0.35">
      <c r="A44" t="s">
        <v>450</v>
      </c>
      <c r="B44" t="s">
        <v>585</v>
      </c>
      <c r="C44" t="s">
        <v>497</v>
      </c>
      <c r="D44" t="s">
        <v>525</v>
      </c>
      <c r="E44" t="s">
        <v>261</v>
      </c>
      <c r="F44">
        <v>2010</v>
      </c>
      <c r="H44" s="8">
        <f>2265000*Conversion!$A$2</f>
        <v>203578.2</v>
      </c>
      <c r="I44" t="s">
        <v>471</v>
      </c>
      <c r="J44" t="s">
        <v>472</v>
      </c>
      <c r="K44" t="s">
        <v>483</v>
      </c>
      <c r="N44" s="7" t="s">
        <v>586</v>
      </c>
    </row>
    <row r="45" spans="1:14" hidden="1" x14ac:dyDescent="0.35">
      <c r="A45" t="s">
        <v>450</v>
      </c>
      <c r="B45" t="s">
        <v>587</v>
      </c>
      <c r="C45" t="s">
        <v>497</v>
      </c>
      <c r="D45" t="s">
        <v>525</v>
      </c>
      <c r="E45" t="s">
        <v>261</v>
      </c>
      <c r="F45">
        <v>2006</v>
      </c>
      <c r="H45" s="8">
        <f>3115000*Conversion!$A$2</f>
        <v>279976.2</v>
      </c>
      <c r="I45" t="s">
        <v>471</v>
      </c>
      <c r="J45" t="s">
        <v>472</v>
      </c>
      <c r="K45" t="s">
        <v>483</v>
      </c>
      <c r="N45" s="7" t="s">
        <v>588</v>
      </c>
    </row>
    <row r="46" spans="1:14" hidden="1" x14ac:dyDescent="0.35">
      <c r="A46" t="s">
        <v>450</v>
      </c>
      <c r="B46" t="s">
        <v>517</v>
      </c>
      <c r="C46" t="s">
        <v>486</v>
      </c>
      <c r="D46" t="s">
        <v>525</v>
      </c>
      <c r="E46" t="s">
        <v>261</v>
      </c>
      <c r="F46">
        <v>2010</v>
      </c>
      <c r="H46" s="8">
        <f>850000*Conversion!$A$2</f>
        <v>76398</v>
      </c>
      <c r="I46" t="s">
        <v>471</v>
      </c>
      <c r="J46" t="s">
        <v>472</v>
      </c>
      <c r="K46" t="s">
        <v>483</v>
      </c>
      <c r="N46" s="7" t="s">
        <v>589</v>
      </c>
    </row>
    <row r="47" spans="1:14" hidden="1" x14ac:dyDescent="0.35">
      <c r="A47" t="s">
        <v>450</v>
      </c>
      <c r="B47" t="s">
        <v>590</v>
      </c>
      <c r="C47" t="s">
        <v>497</v>
      </c>
      <c r="D47" t="s">
        <v>525</v>
      </c>
      <c r="E47" t="s">
        <v>261</v>
      </c>
      <c r="F47">
        <v>2017</v>
      </c>
      <c r="H47" s="8">
        <f>(850000+3398000)*Conversion!$A$2</f>
        <v>381810.24</v>
      </c>
      <c r="I47" t="s">
        <v>471</v>
      </c>
      <c r="J47" t="s">
        <v>472</v>
      </c>
      <c r="K47" t="s">
        <v>483</v>
      </c>
      <c r="N47" s="7" t="s">
        <v>591</v>
      </c>
    </row>
    <row r="48" spans="1:14" hidden="1" x14ac:dyDescent="0.35">
      <c r="A48" t="s">
        <v>450</v>
      </c>
      <c r="B48" t="s">
        <v>592</v>
      </c>
      <c r="C48" t="s">
        <v>497</v>
      </c>
      <c r="D48" t="s">
        <v>525</v>
      </c>
      <c r="E48" t="s">
        <v>476</v>
      </c>
      <c r="F48">
        <v>1999</v>
      </c>
      <c r="H48" s="8">
        <f>1274000*Conversion!$A$2</f>
        <v>114507.12</v>
      </c>
      <c r="I48" t="s">
        <v>471</v>
      </c>
      <c r="J48" t="s">
        <v>493</v>
      </c>
      <c r="K48" t="s">
        <v>494</v>
      </c>
      <c r="N48" s="5" t="s">
        <v>593</v>
      </c>
    </row>
    <row r="49" spans="1:14" hidden="1" x14ac:dyDescent="0.35">
      <c r="A49" t="s">
        <v>450</v>
      </c>
      <c r="B49" t="s">
        <v>592</v>
      </c>
      <c r="C49" t="s">
        <v>497</v>
      </c>
      <c r="D49" t="s">
        <v>525</v>
      </c>
      <c r="E49" t="s">
        <v>476</v>
      </c>
      <c r="F49">
        <v>1991</v>
      </c>
      <c r="H49" s="8">
        <f>991000*Conversion!$A$2</f>
        <v>89071.08</v>
      </c>
      <c r="I49" t="s">
        <v>471</v>
      </c>
      <c r="J49" t="s">
        <v>493</v>
      </c>
      <c r="K49" t="s">
        <v>494</v>
      </c>
      <c r="N49" s="5" t="s">
        <v>594</v>
      </c>
    </row>
    <row r="50" spans="1:14" hidden="1" x14ac:dyDescent="0.35">
      <c r="A50" t="s">
        <v>450</v>
      </c>
      <c r="B50" t="s">
        <v>592</v>
      </c>
      <c r="C50" t="s">
        <v>497</v>
      </c>
      <c r="D50" t="s">
        <v>525</v>
      </c>
      <c r="E50" t="s">
        <v>261</v>
      </c>
      <c r="F50">
        <v>1984</v>
      </c>
      <c r="H50" s="8">
        <f>0.002363*50000000</f>
        <v>118150</v>
      </c>
      <c r="I50" t="s">
        <v>471</v>
      </c>
      <c r="J50" t="s">
        <v>472</v>
      </c>
      <c r="K50" t="s">
        <v>494</v>
      </c>
      <c r="N50" s="5" t="s">
        <v>595</v>
      </c>
    </row>
    <row r="51" spans="1:14" hidden="1" x14ac:dyDescent="0.35">
      <c r="A51" t="s">
        <v>450</v>
      </c>
      <c r="B51" t="s">
        <v>592</v>
      </c>
      <c r="C51" t="s">
        <v>497</v>
      </c>
      <c r="D51" t="s">
        <v>525</v>
      </c>
      <c r="E51" t="s">
        <v>261</v>
      </c>
      <c r="F51">
        <v>2020</v>
      </c>
      <c r="H51" s="8">
        <f>1274000*Conversion!$A$2</f>
        <v>114507.12</v>
      </c>
      <c r="I51" t="s">
        <v>471</v>
      </c>
      <c r="J51" t="s">
        <v>472</v>
      </c>
      <c r="K51" t="s">
        <v>494</v>
      </c>
      <c r="N51" s="5" t="s">
        <v>596</v>
      </c>
    </row>
    <row r="52" spans="1:14" hidden="1" x14ac:dyDescent="0.35">
      <c r="A52" t="s">
        <v>450</v>
      </c>
      <c r="B52" t="s">
        <v>561</v>
      </c>
      <c r="C52" t="s">
        <v>497</v>
      </c>
      <c r="D52" t="s">
        <v>525</v>
      </c>
      <c r="E52" t="s">
        <v>261</v>
      </c>
      <c r="F52">
        <v>2003</v>
      </c>
      <c r="H52" s="8">
        <f>1133000*Conversion!$A$2</f>
        <v>101834.04000000001</v>
      </c>
      <c r="I52" t="s">
        <v>471</v>
      </c>
      <c r="J52" t="s">
        <v>472</v>
      </c>
      <c r="K52" t="s">
        <v>483</v>
      </c>
      <c r="N52" s="7" t="s">
        <v>597</v>
      </c>
    </row>
    <row r="53" spans="1:14" hidden="1" x14ac:dyDescent="0.35">
      <c r="A53" t="s">
        <v>450</v>
      </c>
      <c r="B53" t="s">
        <v>496</v>
      </c>
      <c r="C53" t="s">
        <v>497</v>
      </c>
      <c r="D53" t="s">
        <v>525</v>
      </c>
      <c r="E53" t="s">
        <v>261</v>
      </c>
      <c r="F53">
        <v>2020</v>
      </c>
      <c r="H53" s="8">
        <f>1416000*Conversion!$A$2</f>
        <v>127270.08</v>
      </c>
      <c r="I53" t="s">
        <v>471</v>
      </c>
      <c r="J53" t="s">
        <v>472</v>
      </c>
      <c r="K53" t="s">
        <v>483</v>
      </c>
      <c r="N53" s="7" t="s">
        <v>598</v>
      </c>
    </row>
    <row r="54" spans="1:14" hidden="1" x14ac:dyDescent="0.35">
      <c r="A54" t="s">
        <v>450</v>
      </c>
      <c r="B54" t="s">
        <v>599</v>
      </c>
      <c r="C54" t="s">
        <v>497</v>
      </c>
      <c r="D54" t="s">
        <v>525</v>
      </c>
      <c r="E54" t="s">
        <v>476</v>
      </c>
      <c r="F54">
        <v>1983</v>
      </c>
      <c r="H54" s="8">
        <f>1416000*Conversion!$A$2</f>
        <v>127270.08</v>
      </c>
      <c r="I54" t="s">
        <v>471</v>
      </c>
      <c r="J54" t="s">
        <v>493</v>
      </c>
      <c r="K54" t="s">
        <v>494</v>
      </c>
      <c r="N54" s="7" t="s">
        <v>600</v>
      </c>
    </row>
    <row r="55" spans="1:14" hidden="1" x14ac:dyDescent="0.35">
      <c r="A55" t="s">
        <v>450</v>
      </c>
      <c r="B55" t="s">
        <v>574</v>
      </c>
      <c r="C55" t="s">
        <v>497</v>
      </c>
      <c r="D55" t="s">
        <v>525</v>
      </c>
      <c r="E55" t="s">
        <v>261</v>
      </c>
      <c r="F55">
        <v>2013</v>
      </c>
      <c r="H55" s="8">
        <f>5663000*Conversion!$A$2</f>
        <v>508990.44</v>
      </c>
      <c r="I55" t="s">
        <v>471</v>
      </c>
      <c r="J55" t="s">
        <v>472</v>
      </c>
      <c r="K55" t="s">
        <v>483</v>
      </c>
      <c r="N55" s="7" t="s">
        <v>601</v>
      </c>
    </row>
    <row r="56" spans="1:14" hidden="1" x14ac:dyDescent="0.35">
      <c r="A56" t="s">
        <v>450</v>
      </c>
      <c r="B56" t="s">
        <v>602</v>
      </c>
      <c r="C56" t="s">
        <v>497</v>
      </c>
      <c r="D56" t="s">
        <v>525</v>
      </c>
      <c r="E56" t="s">
        <v>476</v>
      </c>
      <c r="F56">
        <v>1996</v>
      </c>
      <c r="H56" s="8">
        <f>595000*Conversion!$A$2</f>
        <v>53478.6</v>
      </c>
      <c r="I56" t="s">
        <v>471</v>
      </c>
      <c r="J56" t="s">
        <v>493</v>
      </c>
      <c r="K56" t="s">
        <v>494</v>
      </c>
      <c r="N56" s="7" t="s">
        <v>603</v>
      </c>
    </row>
    <row r="57" spans="1:14" hidden="1" x14ac:dyDescent="0.35">
      <c r="A57" t="s">
        <v>450</v>
      </c>
      <c r="B57" t="s">
        <v>604</v>
      </c>
      <c r="C57" t="s">
        <v>486</v>
      </c>
      <c r="D57" t="s">
        <v>525</v>
      </c>
      <c r="E57" t="s">
        <v>261</v>
      </c>
      <c r="H57" s="8">
        <f>340000*Conversion!$A$2</f>
        <v>30559.200000000001</v>
      </c>
      <c r="I57" t="s">
        <v>471</v>
      </c>
      <c r="J57" t="s">
        <v>472</v>
      </c>
      <c r="K57" t="s">
        <v>483</v>
      </c>
      <c r="N57" s="7" t="s">
        <v>605</v>
      </c>
    </row>
    <row r="58" spans="1:14" hidden="1" x14ac:dyDescent="0.35">
      <c r="A58" t="s">
        <v>450</v>
      </c>
      <c r="B58" t="s">
        <v>604</v>
      </c>
      <c r="C58" t="s">
        <v>486</v>
      </c>
      <c r="D58" t="s">
        <v>525</v>
      </c>
      <c r="E58" t="s">
        <v>261</v>
      </c>
      <c r="F58">
        <v>2006</v>
      </c>
      <c r="H58" s="8">
        <f>1982000*Conversion!$A$2</f>
        <v>178142.16</v>
      </c>
      <c r="I58" t="s">
        <v>471</v>
      </c>
      <c r="J58" t="s">
        <v>472</v>
      </c>
      <c r="K58" t="s">
        <v>483</v>
      </c>
      <c r="N58" s="5" t="s">
        <v>606</v>
      </c>
    </row>
    <row r="59" spans="1:14" hidden="1" x14ac:dyDescent="0.35">
      <c r="A59" t="s">
        <v>450</v>
      </c>
      <c r="B59" t="s">
        <v>604</v>
      </c>
      <c r="C59" t="s">
        <v>486</v>
      </c>
      <c r="D59" t="s">
        <v>525</v>
      </c>
      <c r="E59" t="s">
        <v>261</v>
      </c>
      <c r="F59">
        <v>2018</v>
      </c>
      <c r="H59" s="8">
        <f>3540000*Conversion!$A$2</f>
        <v>318175.2</v>
      </c>
      <c r="I59" t="s">
        <v>471</v>
      </c>
      <c r="J59" t="s">
        <v>472</v>
      </c>
      <c r="K59" t="s">
        <v>483</v>
      </c>
      <c r="N59" s="5" t="s">
        <v>607</v>
      </c>
    </row>
    <row r="60" spans="1:14" hidden="1" x14ac:dyDescent="0.35">
      <c r="A60" t="s">
        <v>450</v>
      </c>
      <c r="B60" t="s">
        <v>608</v>
      </c>
      <c r="C60" t="s">
        <v>556</v>
      </c>
      <c r="D60" t="s">
        <v>525</v>
      </c>
      <c r="E60" t="s">
        <v>261</v>
      </c>
      <c r="F60">
        <v>2012</v>
      </c>
      <c r="H60" s="8">
        <f>1699000*Conversion!$A$2</f>
        <v>152706.12</v>
      </c>
      <c r="I60" t="s">
        <v>471</v>
      </c>
      <c r="J60" t="s">
        <v>472</v>
      </c>
      <c r="K60" t="s">
        <v>483</v>
      </c>
      <c r="N60" s="5" t="s">
        <v>609</v>
      </c>
    </row>
    <row r="61" spans="1:14" hidden="1" x14ac:dyDescent="0.35">
      <c r="A61" t="s">
        <v>450</v>
      </c>
      <c r="B61" t="s">
        <v>610</v>
      </c>
      <c r="C61" t="s">
        <v>497</v>
      </c>
      <c r="D61" t="s">
        <v>525</v>
      </c>
      <c r="E61" t="s">
        <v>261</v>
      </c>
      <c r="F61">
        <v>2004</v>
      </c>
      <c r="H61" s="8">
        <f>2832000*Conversion!$A$2</f>
        <v>254540.16</v>
      </c>
      <c r="I61" t="s">
        <v>471</v>
      </c>
      <c r="J61" t="s">
        <v>472</v>
      </c>
      <c r="K61" t="s">
        <v>483</v>
      </c>
      <c r="N61" s="7" t="s">
        <v>611</v>
      </c>
    </row>
    <row r="62" spans="1:14" hidden="1" x14ac:dyDescent="0.35">
      <c r="A62" t="s">
        <v>450</v>
      </c>
      <c r="B62" t="s">
        <v>521</v>
      </c>
      <c r="C62" t="s">
        <v>486</v>
      </c>
      <c r="D62" t="s">
        <v>525</v>
      </c>
      <c r="E62" t="s">
        <v>476</v>
      </c>
      <c r="H62" s="8">
        <f>283000*Conversion!$A$2</f>
        <v>25436.04</v>
      </c>
      <c r="I62" t="s">
        <v>471</v>
      </c>
      <c r="J62" t="s">
        <v>493</v>
      </c>
      <c r="K62" t="s">
        <v>494</v>
      </c>
      <c r="N62" s="5" t="s">
        <v>612</v>
      </c>
    </row>
    <row r="63" spans="1:14" hidden="1" x14ac:dyDescent="0.35">
      <c r="A63" t="s">
        <v>450</v>
      </c>
      <c r="B63" t="s">
        <v>521</v>
      </c>
      <c r="C63" t="s">
        <v>486</v>
      </c>
      <c r="D63" t="s">
        <v>525</v>
      </c>
      <c r="E63" t="s">
        <v>613</v>
      </c>
      <c r="F63">
        <v>1996</v>
      </c>
      <c r="H63" s="8">
        <f>1175000*Conversion!$A$2</f>
        <v>105609</v>
      </c>
      <c r="I63" t="s">
        <v>471</v>
      </c>
      <c r="J63" t="s">
        <v>472</v>
      </c>
      <c r="K63" t="s">
        <v>483</v>
      </c>
      <c r="N63" s="5" t="s">
        <v>614</v>
      </c>
    </row>
    <row r="64" spans="1:14" hidden="1" x14ac:dyDescent="0.35">
      <c r="A64" t="s">
        <v>450</v>
      </c>
      <c r="B64" t="s">
        <v>615</v>
      </c>
      <c r="C64" t="s">
        <v>497</v>
      </c>
      <c r="D64" t="s">
        <v>525</v>
      </c>
      <c r="E64" t="s">
        <v>261</v>
      </c>
      <c r="F64">
        <v>2012</v>
      </c>
      <c r="H64" s="8">
        <f>2832000*Conversion!$A$2</f>
        <v>254540.16</v>
      </c>
      <c r="I64" t="s">
        <v>471</v>
      </c>
      <c r="J64" t="s">
        <v>472</v>
      </c>
      <c r="K64" t="s">
        <v>483</v>
      </c>
      <c r="N64" s="5" t="s">
        <v>616</v>
      </c>
    </row>
    <row r="65" spans="1:14" hidden="1" x14ac:dyDescent="0.35">
      <c r="A65" t="s">
        <v>450</v>
      </c>
      <c r="B65" t="s">
        <v>617</v>
      </c>
      <c r="C65" t="s">
        <v>486</v>
      </c>
      <c r="D65" t="s">
        <v>525</v>
      </c>
      <c r="E65" t="s">
        <v>261</v>
      </c>
      <c r="F65">
        <v>1996</v>
      </c>
      <c r="H65" s="8">
        <f>2102000*Conversion!$A$2</f>
        <v>188927.76</v>
      </c>
      <c r="I65" t="s">
        <v>471</v>
      </c>
      <c r="J65" t="s">
        <v>472</v>
      </c>
      <c r="K65" t="s">
        <v>483</v>
      </c>
      <c r="N65" s="5" t="s">
        <v>618</v>
      </c>
    </row>
    <row r="66" spans="1:14" hidden="1" x14ac:dyDescent="0.35">
      <c r="A66" t="s">
        <v>450</v>
      </c>
      <c r="B66" t="s">
        <v>566</v>
      </c>
      <c r="C66" t="s">
        <v>486</v>
      </c>
      <c r="D66" t="s">
        <v>525</v>
      </c>
      <c r="E66" t="s">
        <v>261</v>
      </c>
      <c r="F66">
        <v>2001</v>
      </c>
      <c r="H66" s="8">
        <f>2973000*Conversion!$A$2</f>
        <v>267213.24</v>
      </c>
      <c r="I66" t="s">
        <v>471</v>
      </c>
      <c r="J66" t="s">
        <v>472</v>
      </c>
      <c r="K66" t="s">
        <v>483</v>
      </c>
      <c r="N66" s="5" t="s">
        <v>619</v>
      </c>
    </row>
    <row r="67" spans="1:14" hidden="1" x14ac:dyDescent="0.35">
      <c r="A67" t="s">
        <v>450</v>
      </c>
      <c r="B67" t="s">
        <v>566</v>
      </c>
      <c r="C67" t="s">
        <v>486</v>
      </c>
      <c r="D67" t="s">
        <v>525</v>
      </c>
      <c r="E67" t="s">
        <v>261</v>
      </c>
      <c r="F67">
        <v>2006</v>
      </c>
      <c r="H67" s="8">
        <f>3115000*Conversion!$A$2</f>
        <v>279976.2</v>
      </c>
      <c r="I67" t="s">
        <v>471</v>
      </c>
      <c r="J67" t="s">
        <v>472</v>
      </c>
      <c r="K67" t="s">
        <v>483</v>
      </c>
      <c r="N67" s="5" t="s">
        <v>619</v>
      </c>
    </row>
    <row r="68" spans="1:14" hidden="1" x14ac:dyDescent="0.35">
      <c r="A68" t="s">
        <v>450</v>
      </c>
      <c r="B68" t="s">
        <v>620</v>
      </c>
      <c r="C68" t="s">
        <v>486</v>
      </c>
      <c r="D68" t="s">
        <v>525</v>
      </c>
      <c r="E68" t="s">
        <v>476</v>
      </c>
      <c r="H68" s="8"/>
      <c r="I68" t="s">
        <v>471</v>
      </c>
      <c r="J68" t="s">
        <v>493</v>
      </c>
      <c r="K68" t="s">
        <v>483</v>
      </c>
      <c r="N68" s="7" t="s">
        <v>621</v>
      </c>
    </row>
    <row r="69" spans="1:14" hidden="1" x14ac:dyDescent="0.35">
      <c r="A69" t="s">
        <v>450</v>
      </c>
      <c r="B69" t="s">
        <v>622</v>
      </c>
      <c r="C69" t="s">
        <v>486</v>
      </c>
      <c r="D69" t="s">
        <v>525</v>
      </c>
      <c r="E69" t="s">
        <v>502</v>
      </c>
      <c r="F69">
        <v>2027</v>
      </c>
      <c r="I69" t="s">
        <v>471</v>
      </c>
      <c r="J69" t="s">
        <v>472</v>
      </c>
      <c r="K69" t="s">
        <v>483</v>
      </c>
      <c r="N69" s="7" t="s">
        <v>623</v>
      </c>
    </row>
    <row r="70" spans="1:14" hidden="1" x14ac:dyDescent="0.35">
      <c r="A70" t="s">
        <v>450</v>
      </c>
      <c r="B70" t="s">
        <v>517</v>
      </c>
      <c r="C70" t="s">
        <v>486</v>
      </c>
      <c r="D70" t="s">
        <v>525</v>
      </c>
      <c r="E70" t="s">
        <v>476</v>
      </c>
      <c r="F70">
        <v>1991</v>
      </c>
      <c r="H70" s="4">
        <f>991000*Conversion!$A$2</f>
        <v>89071.08</v>
      </c>
      <c r="I70" t="s">
        <v>471</v>
      </c>
      <c r="J70" t="s">
        <v>493</v>
      </c>
      <c r="K70" t="s">
        <v>483</v>
      </c>
      <c r="N70" s="7" t="s">
        <v>624</v>
      </c>
    </row>
    <row r="71" spans="1:14" hidden="1" x14ac:dyDescent="0.35">
      <c r="A71" t="s">
        <v>450</v>
      </c>
      <c r="B71" t="s">
        <v>536</v>
      </c>
      <c r="C71" t="s">
        <v>537</v>
      </c>
      <c r="D71" t="s">
        <v>525</v>
      </c>
      <c r="E71" t="s">
        <v>261</v>
      </c>
      <c r="F71">
        <v>2016</v>
      </c>
      <c r="I71" t="s">
        <v>471</v>
      </c>
      <c r="J71" t="s">
        <v>472</v>
      </c>
      <c r="K71" t="s">
        <v>483</v>
      </c>
      <c r="N71" s="7" t="s">
        <v>625</v>
      </c>
    </row>
    <row r="72" spans="1:14" hidden="1" x14ac:dyDescent="0.35">
      <c r="A72" t="s">
        <v>450</v>
      </c>
      <c r="B72" t="s">
        <v>626</v>
      </c>
      <c r="C72" t="s">
        <v>486</v>
      </c>
      <c r="D72" t="s">
        <v>525</v>
      </c>
      <c r="E72" t="s">
        <v>613</v>
      </c>
      <c r="H72" s="4"/>
      <c r="I72" t="s">
        <v>471</v>
      </c>
      <c r="J72" t="s">
        <v>493</v>
      </c>
      <c r="K72" t="s">
        <v>483</v>
      </c>
    </row>
    <row r="73" spans="1:14" hidden="1" x14ac:dyDescent="0.35">
      <c r="A73" t="s">
        <v>450</v>
      </c>
      <c r="B73" t="s">
        <v>627</v>
      </c>
      <c r="C73" t="s">
        <v>479</v>
      </c>
      <c r="D73" t="s">
        <v>628</v>
      </c>
      <c r="E73" t="s">
        <v>261</v>
      </c>
      <c r="F73">
        <v>2017</v>
      </c>
      <c r="H73" s="4">
        <f>623000*Conversion!$A$2</f>
        <v>55995.24</v>
      </c>
      <c r="I73" t="s">
        <v>471</v>
      </c>
      <c r="J73" t="s">
        <v>472</v>
      </c>
      <c r="K73" t="s">
        <v>483</v>
      </c>
      <c r="N73" s="5" t="s">
        <v>629</v>
      </c>
    </row>
    <row r="74" spans="1:14" hidden="1" x14ac:dyDescent="0.35">
      <c r="A74" t="s">
        <v>450</v>
      </c>
      <c r="B74" t="s">
        <v>630</v>
      </c>
      <c r="C74" t="s">
        <v>540</v>
      </c>
      <c r="D74" t="s">
        <v>631</v>
      </c>
      <c r="E74" t="s">
        <v>261</v>
      </c>
      <c r="F74">
        <v>2008</v>
      </c>
      <c r="I74" t="s">
        <v>471</v>
      </c>
      <c r="J74" t="s">
        <v>472</v>
      </c>
      <c r="K74" t="s">
        <v>483</v>
      </c>
      <c r="N74" s="7" t="s">
        <v>632</v>
      </c>
    </row>
    <row r="75" spans="1:14" hidden="1" x14ac:dyDescent="0.35">
      <c r="A75" t="s">
        <v>450</v>
      </c>
      <c r="B75" t="s">
        <v>633</v>
      </c>
      <c r="C75" t="s">
        <v>634</v>
      </c>
      <c r="D75" t="s">
        <v>631</v>
      </c>
      <c r="E75" t="s">
        <v>476</v>
      </c>
      <c r="F75">
        <v>1984</v>
      </c>
      <c r="H75" s="4">
        <f>14000*Conversion!$A$2</f>
        <v>1258.32</v>
      </c>
      <c r="I75" t="s">
        <v>471</v>
      </c>
      <c r="J75" t="s">
        <v>493</v>
      </c>
      <c r="K75" t="s">
        <v>494</v>
      </c>
      <c r="N75" s="10" t="s">
        <v>635</v>
      </c>
    </row>
    <row r="76" spans="1:14" hidden="1" x14ac:dyDescent="0.35">
      <c r="A76" t="s">
        <v>450</v>
      </c>
      <c r="B76" t="s">
        <v>636</v>
      </c>
      <c r="C76" t="s">
        <v>475</v>
      </c>
      <c r="D76" t="s">
        <v>637</v>
      </c>
      <c r="E76" t="s">
        <v>261</v>
      </c>
      <c r="H76" s="4">
        <f>42000*Conversion!$A$2</f>
        <v>3774.96</v>
      </c>
      <c r="I76" t="s">
        <v>471</v>
      </c>
      <c r="J76" t="s">
        <v>472</v>
      </c>
      <c r="K76" t="s">
        <v>503</v>
      </c>
    </row>
    <row r="77" spans="1:14" hidden="1" x14ac:dyDescent="0.35">
      <c r="A77" t="s">
        <v>450</v>
      </c>
      <c r="B77" t="s">
        <v>638</v>
      </c>
      <c r="C77" t="s">
        <v>508</v>
      </c>
      <c r="D77" t="s">
        <v>639</v>
      </c>
      <c r="E77" t="s">
        <v>261</v>
      </c>
      <c r="F77">
        <v>1996</v>
      </c>
      <c r="H77" s="4">
        <f>31000*Conversion!$A$2</f>
        <v>2786.28</v>
      </c>
      <c r="I77" t="s">
        <v>471</v>
      </c>
      <c r="J77" t="s">
        <v>472</v>
      </c>
      <c r="K77" t="s">
        <v>503</v>
      </c>
      <c r="N77" s="5" t="s">
        <v>640</v>
      </c>
    </row>
    <row r="78" spans="1:14" hidden="1" x14ac:dyDescent="0.35">
      <c r="A78" t="s">
        <v>450</v>
      </c>
      <c r="B78" t="s">
        <v>638</v>
      </c>
      <c r="C78" t="s">
        <v>508</v>
      </c>
      <c r="D78" t="s">
        <v>639</v>
      </c>
      <c r="E78" t="s">
        <v>261</v>
      </c>
      <c r="F78">
        <v>2007</v>
      </c>
      <c r="H78" s="4">
        <f>566000*Conversion!$A$2</f>
        <v>50872.08</v>
      </c>
      <c r="I78" t="s">
        <v>471</v>
      </c>
      <c r="J78" t="s">
        <v>472</v>
      </c>
      <c r="K78" t="s">
        <v>483</v>
      </c>
      <c r="N78" s="5" t="s">
        <v>641</v>
      </c>
    </row>
    <row r="79" spans="1:14" hidden="1" x14ac:dyDescent="0.35">
      <c r="A79" t="s">
        <v>450</v>
      </c>
      <c r="B79" t="s">
        <v>642</v>
      </c>
      <c r="C79" t="s">
        <v>643</v>
      </c>
      <c r="D79" t="s">
        <v>639</v>
      </c>
      <c r="E79" t="s">
        <v>261</v>
      </c>
      <c r="F79">
        <v>1998</v>
      </c>
      <c r="H79" s="4">
        <f>142000*Conversion!$A$2</f>
        <v>12762.960000000001</v>
      </c>
      <c r="I79" t="s">
        <v>471</v>
      </c>
      <c r="J79" t="s">
        <v>472</v>
      </c>
      <c r="K79" t="s">
        <v>644</v>
      </c>
      <c r="N79" s="5" t="s">
        <v>645</v>
      </c>
    </row>
    <row r="80" spans="1:14" hidden="1" x14ac:dyDescent="0.35">
      <c r="A80" t="s">
        <v>450</v>
      </c>
      <c r="B80" t="s">
        <v>620</v>
      </c>
      <c r="C80" t="s">
        <v>486</v>
      </c>
      <c r="D80" t="s">
        <v>639</v>
      </c>
      <c r="E80" t="s">
        <v>261</v>
      </c>
      <c r="F80">
        <v>2010</v>
      </c>
      <c r="I80" t="s">
        <v>471</v>
      </c>
      <c r="J80" t="s">
        <v>472</v>
      </c>
      <c r="K80" t="s">
        <v>483</v>
      </c>
      <c r="N80" s="5" t="s">
        <v>646</v>
      </c>
    </row>
    <row r="81" spans="1:14" hidden="1" x14ac:dyDescent="0.35">
      <c r="A81" t="s">
        <v>450</v>
      </c>
      <c r="B81" t="s">
        <v>647</v>
      </c>
      <c r="C81" t="s">
        <v>475</v>
      </c>
      <c r="D81" t="s">
        <v>639</v>
      </c>
      <c r="E81" t="s">
        <v>261</v>
      </c>
      <c r="F81">
        <v>2003</v>
      </c>
      <c r="H81" s="4">
        <v>36146</v>
      </c>
      <c r="I81" t="s">
        <v>471</v>
      </c>
      <c r="J81" t="s">
        <v>472</v>
      </c>
      <c r="K81" t="s">
        <v>483</v>
      </c>
      <c r="N81" s="7" t="s">
        <v>648</v>
      </c>
    </row>
    <row r="82" spans="1:14" hidden="1" x14ac:dyDescent="0.35">
      <c r="A82" t="s">
        <v>450</v>
      </c>
      <c r="B82" t="s">
        <v>647</v>
      </c>
      <c r="C82" t="s">
        <v>475</v>
      </c>
      <c r="D82" t="s">
        <v>639</v>
      </c>
      <c r="E82" t="s">
        <v>261</v>
      </c>
      <c r="F82">
        <v>2010</v>
      </c>
      <c r="H82" s="4">
        <v>108439</v>
      </c>
      <c r="I82" t="s">
        <v>471</v>
      </c>
      <c r="J82" t="s">
        <v>472</v>
      </c>
      <c r="K82" t="s">
        <v>483</v>
      </c>
      <c r="N82" s="7" t="s">
        <v>649</v>
      </c>
    </row>
    <row r="83" spans="1:14" hidden="1" x14ac:dyDescent="0.35">
      <c r="A83" t="s">
        <v>450</v>
      </c>
      <c r="B83" t="s">
        <v>650</v>
      </c>
      <c r="C83" t="s">
        <v>643</v>
      </c>
      <c r="D83" t="s">
        <v>639</v>
      </c>
      <c r="E83" t="s">
        <v>261</v>
      </c>
      <c r="F83">
        <v>2007</v>
      </c>
      <c r="H83" s="4">
        <f>283000*Conversion!$A$2</f>
        <v>25436.04</v>
      </c>
      <c r="I83" t="s">
        <v>471</v>
      </c>
      <c r="J83" t="s">
        <v>472</v>
      </c>
      <c r="K83" t="s">
        <v>483</v>
      </c>
      <c r="N83" s="7" t="s">
        <v>651</v>
      </c>
    </row>
    <row r="84" spans="1:14" hidden="1" x14ac:dyDescent="0.35">
      <c r="A84" t="s">
        <v>450</v>
      </c>
      <c r="B84" t="s">
        <v>652</v>
      </c>
      <c r="C84" t="s">
        <v>653</v>
      </c>
      <c r="D84" t="s">
        <v>639</v>
      </c>
      <c r="E84" t="s">
        <v>261</v>
      </c>
      <c r="F84">
        <v>2006</v>
      </c>
      <c r="H84" s="4">
        <f>736000*Conversion!$A$2</f>
        <v>66151.680000000008</v>
      </c>
      <c r="I84" t="s">
        <v>471</v>
      </c>
      <c r="J84" t="s">
        <v>472</v>
      </c>
      <c r="K84" t="s">
        <v>483</v>
      </c>
      <c r="N84" s="7" t="s">
        <v>654</v>
      </c>
    </row>
    <row r="85" spans="1:14" hidden="1" x14ac:dyDescent="0.35">
      <c r="A85" t="s">
        <v>450</v>
      </c>
      <c r="B85" t="s">
        <v>655</v>
      </c>
      <c r="C85" t="s">
        <v>643</v>
      </c>
      <c r="D85" t="s">
        <v>639</v>
      </c>
      <c r="E85" t="s">
        <v>261</v>
      </c>
      <c r="F85">
        <v>2007</v>
      </c>
      <c r="H85" s="4">
        <f>283000*Conversion!$A$2</f>
        <v>25436.04</v>
      </c>
      <c r="I85" t="s">
        <v>471</v>
      </c>
      <c r="J85" t="s">
        <v>472</v>
      </c>
      <c r="K85" t="s">
        <v>483</v>
      </c>
      <c r="N85" s="7" t="s">
        <v>656</v>
      </c>
    </row>
    <row r="86" spans="1:14" hidden="1" x14ac:dyDescent="0.35">
      <c r="A86" t="s">
        <v>450</v>
      </c>
      <c r="B86" t="s">
        <v>657</v>
      </c>
      <c r="C86" t="s">
        <v>533</v>
      </c>
      <c r="D86" t="s">
        <v>639</v>
      </c>
      <c r="E86" t="s">
        <v>261</v>
      </c>
      <c r="F86">
        <v>2006</v>
      </c>
      <c r="H86" s="4">
        <f>3398000*Conversion!$A$2</f>
        <v>305412.24</v>
      </c>
      <c r="I86" t="s">
        <v>471</v>
      </c>
      <c r="J86" t="s">
        <v>472</v>
      </c>
      <c r="K86" t="s">
        <v>483</v>
      </c>
      <c r="N86" s="7" t="s">
        <v>658</v>
      </c>
    </row>
    <row r="87" spans="1:14" hidden="1" x14ac:dyDescent="0.35">
      <c r="A87" t="s">
        <v>450</v>
      </c>
      <c r="B87" t="s">
        <v>659</v>
      </c>
      <c r="C87" t="s">
        <v>634</v>
      </c>
      <c r="D87" t="s">
        <v>639</v>
      </c>
      <c r="E87" t="s">
        <v>261</v>
      </c>
      <c r="F87">
        <v>1996</v>
      </c>
      <c r="H87" s="4">
        <f>31000*Conversion!$A$2</f>
        <v>2786.28</v>
      </c>
      <c r="I87" t="s">
        <v>471</v>
      </c>
      <c r="J87" t="s">
        <v>472</v>
      </c>
      <c r="K87" t="s">
        <v>503</v>
      </c>
      <c r="N87" s="7" t="s">
        <v>660</v>
      </c>
    </row>
    <row r="88" spans="1:14" hidden="1" x14ac:dyDescent="0.35">
      <c r="A88" t="s">
        <v>450</v>
      </c>
      <c r="B88" t="s">
        <v>661</v>
      </c>
      <c r="C88" t="s">
        <v>634</v>
      </c>
      <c r="D88" t="s">
        <v>639</v>
      </c>
      <c r="E88" t="s">
        <v>261</v>
      </c>
      <c r="H88" s="4">
        <f>85000*Conversion!$A$2</f>
        <v>7639.8</v>
      </c>
      <c r="I88" t="s">
        <v>471</v>
      </c>
      <c r="J88" t="s">
        <v>472</v>
      </c>
      <c r="K88" t="s">
        <v>494</v>
      </c>
      <c r="N88" s="6" t="s">
        <v>662</v>
      </c>
    </row>
    <row r="89" spans="1:14" hidden="1" x14ac:dyDescent="0.35">
      <c r="A89" t="s">
        <v>450</v>
      </c>
      <c r="B89" t="s">
        <v>663</v>
      </c>
      <c r="C89" t="s">
        <v>664</v>
      </c>
      <c r="D89" t="s">
        <v>639</v>
      </c>
      <c r="E89" t="s">
        <v>261</v>
      </c>
      <c r="F89">
        <v>1998</v>
      </c>
      <c r="H89" s="4">
        <f>12000*Conversion!$A$2</f>
        <v>1078.56</v>
      </c>
      <c r="I89" t="s">
        <v>471</v>
      </c>
      <c r="J89" t="s">
        <v>472</v>
      </c>
      <c r="K89" t="s">
        <v>494</v>
      </c>
      <c r="N89" s="6" t="s">
        <v>665</v>
      </c>
    </row>
    <row r="90" spans="1:14" hidden="1" x14ac:dyDescent="0.35">
      <c r="A90" t="s">
        <v>450</v>
      </c>
      <c r="B90" t="s">
        <v>666</v>
      </c>
      <c r="C90" t="s">
        <v>667</v>
      </c>
      <c r="D90" t="s">
        <v>639</v>
      </c>
      <c r="E90" t="s">
        <v>261</v>
      </c>
      <c r="F90">
        <v>1997</v>
      </c>
      <c r="H90" s="4">
        <f>8000*Conversion!$A$2</f>
        <v>719.04</v>
      </c>
      <c r="I90" t="s">
        <v>471</v>
      </c>
      <c r="J90" t="s">
        <v>472</v>
      </c>
      <c r="K90" t="s">
        <v>494</v>
      </c>
      <c r="N90" s="7" t="s">
        <v>668</v>
      </c>
    </row>
    <row r="91" spans="1:14" hidden="1" x14ac:dyDescent="0.35">
      <c r="A91" t="s">
        <v>450</v>
      </c>
      <c r="B91" t="s">
        <v>669</v>
      </c>
      <c r="C91" t="s">
        <v>664</v>
      </c>
      <c r="D91" t="s">
        <v>639</v>
      </c>
      <c r="E91" t="s">
        <v>261</v>
      </c>
      <c r="F91">
        <v>1985</v>
      </c>
      <c r="H91" s="4">
        <f>170000*Conversion!$A$2</f>
        <v>15279.6</v>
      </c>
      <c r="I91" t="s">
        <v>471</v>
      </c>
      <c r="J91" t="s">
        <v>472</v>
      </c>
      <c r="K91" t="s">
        <v>494</v>
      </c>
      <c r="N91" s="6" t="s">
        <v>662</v>
      </c>
    </row>
    <row r="92" spans="1:14" hidden="1" x14ac:dyDescent="0.35">
      <c r="A92" t="s">
        <v>450</v>
      </c>
      <c r="B92" t="s">
        <v>670</v>
      </c>
      <c r="C92" t="s">
        <v>556</v>
      </c>
      <c r="D92" t="s">
        <v>639</v>
      </c>
      <c r="E92" t="s">
        <v>261</v>
      </c>
      <c r="F92">
        <v>1997</v>
      </c>
      <c r="H92" s="4">
        <f>41000*Conversion!$A$2</f>
        <v>3685.08</v>
      </c>
      <c r="I92" t="s">
        <v>471</v>
      </c>
      <c r="J92" t="s">
        <v>472</v>
      </c>
      <c r="K92" t="s">
        <v>503</v>
      </c>
      <c r="N92" s="7" t="s">
        <v>671</v>
      </c>
    </row>
    <row r="93" spans="1:14" hidden="1" x14ac:dyDescent="0.35">
      <c r="A93" t="s">
        <v>450</v>
      </c>
      <c r="B93" t="s">
        <v>672</v>
      </c>
      <c r="C93" t="s">
        <v>513</v>
      </c>
      <c r="D93" t="s">
        <v>639</v>
      </c>
      <c r="E93" t="s">
        <v>261</v>
      </c>
      <c r="F93">
        <v>1999</v>
      </c>
      <c r="H93" s="4">
        <f>54000*Conversion!$A$2</f>
        <v>4853.5200000000004</v>
      </c>
      <c r="I93" t="s">
        <v>471</v>
      </c>
      <c r="J93" t="s">
        <v>472</v>
      </c>
      <c r="K93" t="s">
        <v>494</v>
      </c>
      <c r="N93" s="7" t="s">
        <v>673</v>
      </c>
    </row>
    <row r="94" spans="1:14" hidden="1" x14ac:dyDescent="0.35">
      <c r="A94" t="s">
        <v>450</v>
      </c>
      <c r="B94" t="s">
        <v>590</v>
      </c>
      <c r="C94" t="s">
        <v>497</v>
      </c>
      <c r="D94" t="s">
        <v>639</v>
      </c>
      <c r="E94" t="s">
        <v>261</v>
      </c>
      <c r="F94">
        <v>2018</v>
      </c>
      <c r="H94" s="4"/>
      <c r="I94" t="s">
        <v>471</v>
      </c>
      <c r="J94" t="s">
        <v>472</v>
      </c>
      <c r="K94" t="s">
        <v>483</v>
      </c>
      <c r="N94" s="7" t="s">
        <v>674</v>
      </c>
    </row>
    <row r="95" spans="1:14" hidden="1" x14ac:dyDescent="0.35">
      <c r="A95" t="s">
        <v>450</v>
      </c>
      <c r="B95" t="s">
        <v>592</v>
      </c>
      <c r="C95" t="s">
        <v>497</v>
      </c>
      <c r="D95" t="s">
        <v>639</v>
      </c>
      <c r="E95" t="s">
        <v>261</v>
      </c>
      <c r="F95">
        <v>2019</v>
      </c>
      <c r="H95" s="4">
        <f>708000*Conversion!$A$2</f>
        <v>63635.040000000001</v>
      </c>
      <c r="I95" t="s">
        <v>471</v>
      </c>
      <c r="J95" t="s">
        <v>472</v>
      </c>
      <c r="K95" t="s">
        <v>483</v>
      </c>
      <c r="N95" s="5" t="s">
        <v>675</v>
      </c>
    </row>
    <row r="96" spans="1:14" hidden="1" x14ac:dyDescent="0.35">
      <c r="A96" t="s">
        <v>450</v>
      </c>
      <c r="B96" t="s">
        <v>592</v>
      </c>
      <c r="C96" t="s">
        <v>497</v>
      </c>
      <c r="D96" t="s">
        <v>639</v>
      </c>
      <c r="E96" t="s">
        <v>261</v>
      </c>
      <c r="F96">
        <v>1997</v>
      </c>
      <c r="H96" s="4">
        <f>1982000*Conversion!$A$2</f>
        <v>178142.16</v>
      </c>
      <c r="I96" t="s">
        <v>471</v>
      </c>
      <c r="J96" t="s">
        <v>472</v>
      </c>
      <c r="K96" t="s">
        <v>483</v>
      </c>
      <c r="N96" s="5" t="s">
        <v>676</v>
      </c>
    </row>
    <row r="97" spans="1:14" hidden="1" x14ac:dyDescent="0.35">
      <c r="A97" t="s">
        <v>450</v>
      </c>
      <c r="B97" t="s">
        <v>592</v>
      </c>
      <c r="C97" t="s">
        <v>497</v>
      </c>
      <c r="D97" t="s">
        <v>639</v>
      </c>
      <c r="E97" t="s">
        <v>261</v>
      </c>
      <c r="F97">
        <v>2019</v>
      </c>
      <c r="H97" s="4"/>
      <c r="I97" t="s">
        <v>471</v>
      </c>
      <c r="J97" t="s">
        <v>472</v>
      </c>
      <c r="K97" t="s">
        <v>483</v>
      </c>
      <c r="N97" s="5" t="s">
        <v>677</v>
      </c>
    </row>
    <row r="98" spans="1:14" hidden="1" x14ac:dyDescent="0.35">
      <c r="A98" t="s">
        <v>450</v>
      </c>
      <c r="B98" t="s">
        <v>678</v>
      </c>
      <c r="C98" t="s">
        <v>634</v>
      </c>
      <c r="D98" t="s">
        <v>639</v>
      </c>
      <c r="E98" t="s">
        <v>261</v>
      </c>
      <c r="F98">
        <v>2000</v>
      </c>
      <c r="H98" s="4">
        <f>238000*Conversion!$A$2</f>
        <v>21391.439999999999</v>
      </c>
      <c r="I98" t="s">
        <v>471</v>
      </c>
      <c r="J98" t="s">
        <v>472</v>
      </c>
      <c r="K98" t="s">
        <v>494</v>
      </c>
      <c r="N98" s="5" t="s">
        <v>679</v>
      </c>
    </row>
    <row r="99" spans="1:14" hidden="1" x14ac:dyDescent="0.35">
      <c r="A99" t="s">
        <v>450</v>
      </c>
      <c r="B99" t="s">
        <v>505</v>
      </c>
      <c r="C99" t="s">
        <v>497</v>
      </c>
      <c r="D99" t="s">
        <v>639</v>
      </c>
      <c r="E99" t="s">
        <v>261</v>
      </c>
      <c r="F99">
        <v>1995</v>
      </c>
      <c r="H99" s="4">
        <f>453000*Conversion!$A$2</f>
        <v>40715.64</v>
      </c>
      <c r="I99" t="s">
        <v>471</v>
      </c>
      <c r="J99" t="s">
        <v>472</v>
      </c>
      <c r="K99" t="s">
        <v>483</v>
      </c>
      <c r="N99" s="5" t="s">
        <v>680</v>
      </c>
    </row>
    <row r="100" spans="1:14" hidden="1" x14ac:dyDescent="0.35">
      <c r="A100" t="s">
        <v>450</v>
      </c>
      <c r="B100" t="s">
        <v>505</v>
      </c>
      <c r="C100" t="s">
        <v>497</v>
      </c>
      <c r="D100" t="s">
        <v>639</v>
      </c>
      <c r="E100" t="s">
        <v>261</v>
      </c>
      <c r="F100">
        <v>1996</v>
      </c>
      <c r="H100" s="4">
        <f>(1982+1133)*1000*Conversion!$A$2</f>
        <v>279976.2</v>
      </c>
      <c r="I100" t="s">
        <v>471</v>
      </c>
      <c r="J100" t="s">
        <v>472</v>
      </c>
      <c r="K100" t="s">
        <v>483</v>
      </c>
      <c r="N100" s="5" t="s">
        <v>681</v>
      </c>
    </row>
    <row r="101" spans="1:14" hidden="1" x14ac:dyDescent="0.35">
      <c r="A101" t="s">
        <v>450</v>
      </c>
      <c r="B101" t="s">
        <v>682</v>
      </c>
      <c r="C101" t="s">
        <v>683</v>
      </c>
      <c r="D101" t="s">
        <v>639</v>
      </c>
      <c r="E101" t="s">
        <v>261</v>
      </c>
      <c r="F101">
        <v>1998</v>
      </c>
      <c r="H101" s="4">
        <f>24000*Conversion!$A$2</f>
        <v>2157.12</v>
      </c>
      <c r="I101" t="s">
        <v>471</v>
      </c>
      <c r="J101" t="s">
        <v>472</v>
      </c>
      <c r="K101" t="s">
        <v>487</v>
      </c>
      <c r="N101" s="5" t="s">
        <v>684</v>
      </c>
    </row>
    <row r="102" spans="1:14" hidden="1" x14ac:dyDescent="0.35">
      <c r="A102" t="s">
        <v>450</v>
      </c>
      <c r="B102" t="s">
        <v>682</v>
      </c>
      <c r="C102" t="s">
        <v>683</v>
      </c>
      <c r="D102" t="s">
        <v>639</v>
      </c>
      <c r="E102" t="s">
        <v>261</v>
      </c>
      <c r="F102">
        <v>1998</v>
      </c>
      <c r="H102" s="4">
        <f>89000*Conversion!$A$2</f>
        <v>7999.32</v>
      </c>
      <c r="I102" t="s">
        <v>471</v>
      </c>
      <c r="J102" t="s">
        <v>472</v>
      </c>
      <c r="K102" t="s">
        <v>487</v>
      </c>
      <c r="N102" s="5" t="s">
        <v>685</v>
      </c>
    </row>
    <row r="103" spans="1:14" hidden="1" x14ac:dyDescent="0.35">
      <c r="A103" t="s">
        <v>450</v>
      </c>
      <c r="B103" t="s">
        <v>566</v>
      </c>
      <c r="C103" t="s">
        <v>486</v>
      </c>
      <c r="D103" t="s">
        <v>639</v>
      </c>
      <c r="E103" t="s">
        <v>261</v>
      </c>
      <c r="F103">
        <v>2004</v>
      </c>
      <c r="H103" s="4">
        <f>2628000*Conversion!$A$2</f>
        <v>236204.64</v>
      </c>
      <c r="I103" t="s">
        <v>471</v>
      </c>
      <c r="J103" t="s">
        <v>472</v>
      </c>
      <c r="K103" t="s">
        <v>483</v>
      </c>
      <c r="N103" s="5" t="s">
        <v>686</v>
      </c>
    </row>
    <row r="104" spans="1:14" hidden="1" x14ac:dyDescent="0.35">
      <c r="A104" t="s">
        <v>450</v>
      </c>
      <c r="B104" t="s">
        <v>566</v>
      </c>
      <c r="C104" t="s">
        <v>486</v>
      </c>
      <c r="D104" t="s">
        <v>639</v>
      </c>
      <c r="E104" t="s">
        <v>261</v>
      </c>
      <c r="F104">
        <v>2013</v>
      </c>
      <c r="H104" s="4">
        <f>3823000*Conversion!$A$2</f>
        <v>343611.24</v>
      </c>
      <c r="I104" t="s">
        <v>471</v>
      </c>
      <c r="J104" t="s">
        <v>472</v>
      </c>
      <c r="K104" t="s">
        <v>483</v>
      </c>
      <c r="N104" s="5" t="s">
        <v>687</v>
      </c>
    </row>
    <row r="105" spans="1:14" hidden="1" x14ac:dyDescent="0.35">
      <c r="A105" t="s">
        <v>450</v>
      </c>
      <c r="B105" t="s">
        <v>688</v>
      </c>
      <c r="C105" t="s">
        <v>490</v>
      </c>
      <c r="D105" t="s">
        <v>639</v>
      </c>
      <c r="E105" t="s">
        <v>261</v>
      </c>
      <c r="F105">
        <v>2008</v>
      </c>
      <c r="H105" s="4">
        <f>7362000*Conversion!$A$2</f>
        <v>661696.56000000006</v>
      </c>
      <c r="I105" t="s">
        <v>471</v>
      </c>
      <c r="J105" t="s">
        <v>472</v>
      </c>
      <c r="K105" t="s">
        <v>483</v>
      </c>
      <c r="N105" s="5" t="s">
        <v>689</v>
      </c>
    </row>
    <row r="106" spans="1:14" hidden="1" x14ac:dyDescent="0.35">
      <c r="A106" t="s">
        <v>450</v>
      </c>
      <c r="B106" t="s">
        <v>690</v>
      </c>
      <c r="C106" t="s">
        <v>508</v>
      </c>
      <c r="D106" t="s">
        <v>639</v>
      </c>
      <c r="E106" t="s">
        <v>261</v>
      </c>
      <c r="F106">
        <v>1998</v>
      </c>
      <c r="H106" s="4">
        <f>22000*Conversion!$A$2</f>
        <v>1977.3600000000001</v>
      </c>
      <c r="I106" t="s">
        <v>471</v>
      </c>
      <c r="J106" t="s">
        <v>472</v>
      </c>
      <c r="K106" t="s">
        <v>503</v>
      </c>
      <c r="N106" s="7" t="s">
        <v>691</v>
      </c>
    </row>
    <row r="107" spans="1:14" hidden="1" x14ac:dyDescent="0.35">
      <c r="A107" t="s">
        <v>450</v>
      </c>
      <c r="B107" t="s">
        <v>574</v>
      </c>
      <c r="C107" t="s">
        <v>497</v>
      </c>
      <c r="D107" t="s">
        <v>639</v>
      </c>
      <c r="E107" t="s">
        <v>261</v>
      </c>
      <c r="F107">
        <v>2013</v>
      </c>
      <c r="H107" s="4">
        <f>3823000*Conversion!$A$2</f>
        <v>343611.24</v>
      </c>
      <c r="I107" t="s">
        <v>471</v>
      </c>
      <c r="J107" t="s">
        <v>472</v>
      </c>
      <c r="K107" t="s">
        <v>483</v>
      </c>
      <c r="N107" s="5" t="s">
        <v>692</v>
      </c>
    </row>
    <row r="108" spans="1:14" hidden="1" x14ac:dyDescent="0.35">
      <c r="A108" t="s">
        <v>450</v>
      </c>
      <c r="B108" t="s">
        <v>693</v>
      </c>
      <c r="C108" t="s">
        <v>486</v>
      </c>
      <c r="D108" t="s">
        <v>639</v>
      </c>
      <c r="E108" t="s">
        <v>261</v>
      </c>
      <c r="F108">
        <v>2000</v>
      </c>
      <c r="H108" s="4">
        <f>1954000*Conversion!$A$2</f>
        <v>175625.52</v>
      </c>
      <c r="I108" t="s">
        <v>471</v>
      </c>
      <c r="J108" t="s">
        <v>472</v>
      </c>
      <c r="K108" t="s">
        <v>483</v>
      </c>
      <c r="N108" s="5" t="s">
        <v>694</v>
      </c>
    </row>
    <row r="109" spans="1:14" hidden="1" x14ac:dyDescent="0.35">
      <c r="A109" t="s">
        <v>450</v>
      </c>
      <c r="B109" t="s">
        <v>693</v>
      </c>
      <c r="C109" t="s">
        <v>486</v>
      </c>
      <c r="D109" t="s">
        <v>639</v>
      </c>
      <c r="E109" t="s">
        <v>261</v>
      </c>
      <c r="F109">
        <v>2006</v>
      </c>
      <c r="H109" s="4">
        <f>2832000*Conversion!$A$2</f>
        <v>254540.16</v>
      </c>
      <c r="I109" t="s">
        <v>471</v>
      </c>
      <c r="J109" t="s">
        <v>472</v>
      </c>
      <c r="K109" t="s">
        <v>483</v>
      </c>
      <c r="N109" s="5" t="s">
        <v>695</v>
      </c>
    </row>
    <row r="110" spans="1:14" hidden="1" x14ac:dyDescent="0.35">
      <c r="A110" t="s">
        <v>450</v>
      </c>
      <c r="B110" t="s">
        <v>693</v>
      </c>
      <c r="C110" t="s">
        <v>486</v>
      </c>
      <c r="D110" t="s">
        <v>639</v>
      </c>
      <c r="E110" t="s">
        <v>261</v>
      </c>
      <c r="F110">
        <v>2004</v>
      </c>
      <c r="H110" s="4">
        <f>2832000*Conversion!$A$2</f>
        <v>254540.16</v>
      </c>
      <c r="I110" t="s">
        <v>471</v>
      </c>
      <c r="J110" t="s">
        <v>472</v>
      </c>
      <c r="K110" t="s">
        <v>483</v>
      </c>
      <c r="N110" s="5" t="s">
        <v>696</v>
      </c>
    </row>
    <row r="111" spans="1:14" hidden="1" x14ac:dyDescent="0.35">
      <c r="A111" t="s">
        <v>450</v>
      </c>
      <c r="B111" t="s">
        <v>578</v>
      </c>
      <c r="C111" t="s">
        <v>497</v>
      </c>
      <c r="D111" t="s">
        <v>639</v>
      </c>
      <c r="E111" t="s">
        <v>476</v>
      </c>
      <c r="H111" s="4">
        <f>991000*Conversion!$A$2</f>
        <v>89071.08</v>
      </c>
      <c r="I111" t="s">
        <v>471</v>
      </c>
      <c r="J111" t="s">
        <v>493</v>
      </c>
      <c r="K111" t="s">
        <v>483</v>
      </c>
      <c r="N111" s="10" t="s">
        <v>697</v>
      </c>
    </row>
    <row r="112" spans="1:14" hidden="1" x14ac:dyDescent="0.35">
      <c r="A112" t="s">
        <v>450</v>
      </c>
      <c r="B112" t="s">
        <v>698</v>
      </c>
      <c r="C112" t="s">
        <v>513</v>
      </c>
      <c r="D112" t="s">
        <v>639</v>
      </c>
      <c r="E112" t="s">
        <v>261</v>
      </c>
      <c r="F112">
        <v>1995</v>
      </c>
      <c r="H112" s="4">
        <f>54000*Conversion!$A$2</f>
        <v>4853.5200000000004</v>
      </c>
      <c r="I112" t="s">
        <v>471</v>
      </c>
      <c r="J112" t="s">
        <v>472</v>
      </c>
      <c r="K112" t="s">
        <v>503</v>
      </c>
      <c r="N112" s="5" t="s">
        <v>699</v>
      </c>
    </row>
    <row r="113" spans="1:14" hidden="1" x14ac:dyDescent="0.35">
      <c r="A113" t="s">
        <v>450</v>
      </c>
      <c r="B113" t="s">
        <v>700</v>
      </c>
      <c r="C113" t="s">
        <v>486</v>
      </c>
      <c r="D113" t="s">
        <v>639</v>
      </c>
      <c r="E113" t="s">
        <v>476</v>
      </c>
      <c r="F113">
        <v>1992</v>
      </c>
      <c r="H113" s="4">
        <f>1133000*Conversion!$A$2</f>
        <v>101834.04000000001</v>
      </c>
      <c r="I113" t="s">
        <v>471</v>
      </c>
      <c r="J113" t="s">
        <v>493</v>
      </c>
      <c r="K113" t="s">
        <v>494</v>
      </c>
      <c r="N113" s="5" t="s">
        <v>701</v>
      </c>
    </row>
    <row r="114" spans="1:14" hidden="1" x14ac:dyDescent="0.35">
      <c r="A114" t="s">
        <v>450</v>
      </c>
      <c r="B114" t="s">
        <v>521</v>
      </c>
      <c r="C114" t="s">
        <v>486</v>
      </c>
      <c r="D114" t="s">
        <v>639</v>
      </c>
      <c r="E114" t="s">
        <v>476</v>
      </c>
      <c r="F114">
        <v>1991</v>
      </c>
      <c r="H114" s="4">
        <f>708000*Conversion!$A$2</f>
        <v>63635.040000000001</v>
      </c>
      <c r="I114" t="s">
        <v>471</v>
      </c>
      <c r="J114" t="s">
        <v>493</v>
      </c>
      <c r="K114" t="s">
        <v>494</v>
      </c>
      <c r="N114" s="5" t="s">
        <v>702</v>
      </c>
    </row>
    <row r="115" spans="1:14" hidden="1" x14ac:dyDescent="0.35">
      <c r="A115" t="s">
        <v>450</v>
      </c>
      <c r="B115" t="s">
        <v>703</v>
      </c>
      <c r="C115" t="s">
        <v>486</v>
      </c>
      <c r="D115" t="s">
        <v>639</v>
      </c>
      <c r="E115" t="s">
        <v>476</v>
      </c>
      <c r="F115">
        <v>1994</v>
      </c>
      <c r="H115" s="4">
        <f>821000*Conversion!$A$2</f>
        <v>73791.48</v>
      </c>
      <c r="I115" t="s">
        <v>471</v>
      </c>
      <c r="J115" t="s">
        <v>493</v>
      </c>
      <c r="K115" t="s">
        <v>483</v>
      </c>
      <c r="N115" s="5" t="s">
        <v>704</v>
      </c>
    </row>
    <row r="116" spans="1:14" hidden="1" x14ac:dyDescent="0.35">
      <c r="A116" t="s">
        <v>450</v>
      </c>
      <c r="B116" t="s">
        <v>693</v>
      </c>
      <c r="C116" t="s">
        <v>486</v>
      </c>
      <c r="D116" t="s">
        <v>639</v>
      </c>
      <c r="E116" t="s">
        <v>476</v>
      </c>
      <c r="H116" s="4">
        <f>1019000*Conversion!$A$2</f>
        <v>91587.72</v>
      </c>
      <c r="I116" t="s">
        <v>471</v>
      </c>
      <c r="J116" t="s">
        <v>493</v>
      </c>
      <c r="K116" t="s">
        <v>483</v>
      </c>
      <c r="N116" s="5" t="s">
        <v>705</v>
      </c>
    </row>
    <row r="117" spans="1:14" hidden="1" x14ac:dyDescent="0.35">
      <c r="A117" t="s">
        <v>450</v>
      </c>
      <c r="B117" t="s">
        <v>693</v>
      </c>
      <c r="C117" t="s">
        <v>486</v>
      </c>
      <c r="D117" t="s">
        <v>639</v>
      </c>
      <c r="E117" t="s">
        <v>498</v>
      </c>
      <c r="F117">
        <v>2017</v>
      </c>
      <c r="H117" s="4">
        <f>4814000*Conversion!$A$2</f>
        <v>432682.32</v>
      </c>
      <c r="I117" t="s">
        <v>471</v>
      </c>
      <c r="J117" t="s">
        <v>493</v>
      </c>
      <c r="K117" t="s">
        <v>494</v>
      </c>
      <c r="N117" s="5" t="s">
        <v>706</v>
      </c>
    </row>
    <row r="118" spans="1:14" hidden="1" x14ac:dyDescent="0.35">
      <c r="A118" t="s">
        <v>450</v>
      </c>
      <c r="B118" t="s">
        <v>693</v>
      </c>
      <c r="C118" t="s">
        <v>486</v>
      </c>
      <c r="D118" t="s">
        <v>639</v>
      </c>
      <c r="E118" t="s">
        <v>476</v>
      </c>
      <c r="H118" s="4">
        <f>198000*Conversion!$A$2</f>
        <v>17796.240000000002</v>
      </c>
      <c r="I118" t="s">
        <v>471</v>
      </c>
      <c r="J118" t="s">
        <v>493</v>
      </c>
      <c r="K118" t="s">
        <v>483</v>
      </c>
    </row>
    <row r="119" spans="1:14" hidden="1" x14ac:dyDescent="0.35">
      <c r="A119" t="s">
        <v>450</v>
      </c>
      <c r="B119" t="s">
        <v>693</v>
      </c>
      <c r="C119" t="s">
        <v>486</v>
      </c>
      <c r="D119" t="s">
        <v>639</v>
      </c>
      <c r="E119" t="s">
        <v>476</v>
      </c>
      <c r="F119">
        <v>2000</v>
      </c>
      <c r="H119" s="4">
        <f>917000*Conversion!$A$2</f>
        <v>82419.960000000006</v>
      </c>
      <c r="I119" t="s">
        <v>471</v>
      </c>
      <c r="J119" t="s">
        <v>493</v>
      </c>
      <c r="K119" t="s">
        <v>494</v>
      </c>
      <c r="N119" s="10" t="s">
        <v>707</v>
      </c>
    </row>
    <row r="120" spans="1:14" hidden="1" x14ac:dyDescent="0.35">
      <c r="A120" t="s">
        <v>450</v>
      </c>
      <c r="B120" t="s">
        <v>708</v>
      </c>
      <c r="C120" t="s">
        <v>508</v>
      </c>
      <c r="D120" t="s">
        <v>639</v>
      </c>
      <c r="E120" t="s">
        <v>261</v>
      </c>
      <c r="F120">
        <v>1991</v>
      </c>
      <c r="H120" s="4">
        <f>702000*Conversion!$A$2</f>
        <v>63095.76</v>
      </c>
      <c r="I120" t="s">
        <v>471</v>
      </c>
      <c r="J120" t="s">
        <v>472</v>
      </c>
      <c r="K120" t="s">
        <v>503</v>
      </c>
      <c r="N120" s="5" t="s">
        <v>709</v>
      </c>
    </row>
    <row r="121" spans="1:14" hidden="1" x14ac:dyDescent="0.35">
      <c r="A121" t="s">
        <v>450</v>
      </c>
      <c r="B121" t="s">
        <v>708</v>
      </c>
      <c r="C121" t="s">
        <v>508</v>
      </c>
      <c r="D121" t="s">
        <v>639</v>
      </c>
      <c r="E121" t="s">
        <v>261</v>
      </c>
      <c r="F121">
        <v>2006</v>
      </c>
      <c r="H121" s="4">
        <f>566000*Conversion!$A$2</f>
        <v>50872.08</v>
      </c>
      <c r="I121" t="s">
        <v>471</v>
      </c>
      <c r="J121" t="s">
        <v>472</v>
      </c>
      <c r="K121" t="s">
        <v>483</v>
      </c>
      <c r="N121" s="5" t="s">
        <v>710</v>
      </c>
    </row>
    <row r="122" spans="1:14" hidden="1" x14ac:dyDescent="0.35">
      <c r="A122" t="s">
        <v>450</v>
      </c>
      <c r="B122" t="s">
        <v>708</v>
      </c>
      <c r="C122" t="s">
        <v>508</v>
      </c>
      <c r="D122" t="s">
        <v>639</v>
      </c>
      <c r="E122" t="s">
        <v>261</v>
      </c>
      <c r="F122">
        <v>2010</v>
      </c>
      <c r="H122" s="4">
        <f>5663000*Conversion!$A$2</f>
        <v>508990.44</v>
      </c>
      <c r="I122" t="s">
        <v>471</v>
      </c>
      <c r="J122" t="s">
        <v>472</v>
      </c>
      <c r="K122" t="s">
        <v>483</v>
      </c>
      <c r="N122" s="7" t="s">
        <v>711</v>
      </c>
    </row>
    <row r="123" spans="1:14" hidden="1" x14ac:dyDescent="0.35">
      <c r="A123" t="s">
        <v>450</v>
      </c>
      <c r="B123" t="s">
        <v>712</v>
      </c>
      <c r="C123" t="s">
        <v>533</v>
      </c>
      <c r="D123" t="s">
        <v>639</v>
      </c>
      <c r="E123" t="s">
        <v>261</v>
      </c>
      <c r="F123">
        <v>2000</v>
      </c>
      <c r="H123" s="4">
        <f>368000*Conversion!$A$2</f>
        <v>33075.840000000004</v>
      </c>
      <c r="I123" t="s">
        <v>471</v>
      </c>
      <c r="J123" t="s">
        <v>472</v>
      </c>
      <c r="K123" t="s">
        <v>483</v>
      </c>
      <c r="N123" s="7" t="s">
        <v>713</v>
      </c>
    </row>
    <row r="124" spans="1:14" hidden="1" x14ac:dyDescent="0.35">
      <c r="A124" t="s">
        <v>450</v>
      </c>
      <c r="B124" t="s">
        <v>712</v>
      </c>
      <c r="C124" t="s">
        <v>533</v>
      </c>
      <c r="D124" t="s">
        <v>639</v>
      </c>
      <c r="E124" t="s">
        <v>261</v>
      </c>
      <c r="F124">
        <v>2006</v>
      </c>
      <c r="H124" s="4">
        <f>623000*Conversion!$A$2</f>
        <v>55995.24</v>
      </c>
      <c r="I124" t="s">
        <v>471</v>
      </c>
      <c r="J124" t="s">
        <v>472</v>
      </c>
      <c r="K124" t="s">
        <v>483</v>
      </c>
      <c r="N124" s="7" t="s">
        <v>714</v>
      </c>
    </row>
    <row r="125" spans="1:14" hidden="1" x14ac:dyDescent="0.35">
      <c r="A125" t="s">
        <v>450</v>
      </c>
      <c r="B125" t="s">
        <v>712</v>
      </c>
      <c r="C125" t="s">
        <v>533</v>
      </c>
      <c r="D125" t="s">
        <v>639</v>
      </c>
      <c r="E125" t="s">
        <v>261</v>
      </c>
      <c r="F125">
        <v>2016</v>
      </c>
      <c r="H125" s="4">
        <f>708000*Conversion!$A$2</f>
        <v>63635.040000000001</v>
      </c>
      <c r="I125" t="s">
        <v>471</v>
      </c>
      <c r="J125" t="s">
        <v>472</v>
      </c>
      <c r="K125" t="s">
        <v>483</v>
      </c>
      <c r="N125" s="7" t="s">
        <v>715</v>
      </c>
    </row>
    <row r="126" spans="1:14" hidden="1" x14ac:dyDescent="0.35">
      <c r="A126" t="s">
        <v>450</v>
      </c>
      <c r="B126" t="s">
        <v>716</v>
      </c>
      <c r="C126" t="s">
        <v>643</v>
      </c>
      <c r="D126" t="s">
        <v>639</v>
      </c>
      <c r="E126" t="s">
        <v>498</v>
      </c>
      <c r="F126">
        <v>2023</v>
      </c>
      <c r="H126" s="4">
        <f>850000*Conversion!$A$2</f>
        <v>76398</v>
      </c>
      <c r="I126" t="s">
        <v>471</v>
      </c>
      <c r="J126" t="s">
        <v>472</v>
      </c>
      <c r="K126" t="s">
        <v>483</v>
      </c>
      <c r="N126" s="7" t="s">
        <v>717</v>
      </c>
    </row>
    <row r="127" spans="1:14" hidden="1" x14ac:dyDescent="0.35">
      <c r="A127" t="s">
        <v>450</v>
      </c>
      <c r="B127" t="s">
        <v>718</v>
      </c>
      <c r="C127" t="s">
        <v>486</v>
      </c>
      <c r="D127" t="s">
        <v>719</v>
      </c>
      <c r="E127" t="s">
        <v>502</v>
      </c>
      <c r="F127">
        <v>2024</v>
      </c>
      <c r="H127" s="4">
        <f>612000*Conversion!$A$2</f>
        <v>55006.559999999998</v>
      </c>
      <c r="I127" t="s">
        <v>471</v>
      </c>
      <c r="J127" t="s">
        <v>472</v>
      </c>
      <c r="N127" s="7" t="s">
        <v>720</v>
      </c>
    </row>
    <row r="128" spans="1:14" hidden="1" x14ac:dyDescent="0.35">
      <c r="A128" t="s">
        <v>450</v>
      </c>
      <c r="B128" t="s">
        <v>721</v>
      </c>
      <c r="C128" t="s">
        <v>486</v>
      </c>
      <c r="D128" t="s">
        <v>722</v>
      </c>
      <c r="E128" t="s">
        <v>502</v>
      </c>
      <c r="F128">
        <v>2024</v>
      </c>
      <c r="H128" s="8">
        <v>50000</v>
      </c>
      <c r="I128" t="s">
        <v>471</v>
      </c>
      <c r="J128" t="s">
        <v>472</v>
      </c>
      <c r="N128" s="7" t="s">
        <v>723</v>
      </c>
    </row>
    <row r="129" spans="1:14" hidden="1" x14ac:dyDescent="0.35">
      <c r="A129" t="s">
        <v>450</v>
      </c>
      <c r="B129" t="s">
        <v>630</v>
      </c>
      <c r="C129" t="s">
        <v>540</v>
      </c>
      <c r="D129" t="s">
        <v>724</v>
      </c>
      <c r="E129" t="s">
        <v>502</v>
      </c>
      <c r="F129">
        <v>2024</v>
      </c>
      <c r="H129" s="4">
        <f>111000*Conversion!$A$2</f>
        <v>9976.68</v>
      </c>
      <c r="I129" t="s">
        <v>471</v>
      </c>
      <c r="J129" t="s">
        <v>472</v>
      </c>
      <c r="N129" s="7" t="s">
        <v>725</v>
      </c>
    </row>
    <row r="130" spans="1:14" hidden="1" x14ac:dyDescent="0.35">
      <c r="A130" t="s">
        <v>450</v>
      </c>
      <c r="B130" t="s">
        <v>536</v>
      </c>
      <c r="C130" t="s">
        <v>537</v>
      </c>
      <c r="D130" t="s">
        <v>726</v>
      </c>
      <c r="E130" t="s">
        <v>476</v>
      </c>
      <c r="F130">
        <v>2024</v>
      </c>
      <c r="H130" s="4">
        <f>6000*Conversion!$A$2</f>
        <v>539.28</v>
      </c>
      <c r="I130" t="s">
        <v>471</v>
      </c>
      <c r="J130" t="s">
        <v>493</v>
      </c>
    </row>
    <row r="131" spans="1:14" hidden="1" x14ac:dyDescent="0.35">
      <c r="A131" t="s">
        <v>450</v>
      </c>
      <c r="B131" t="s">
        <v>693</v>
      </c>
      <c r="C131" t="s">
        <v>486</v>
      </c>
      <c r="D131" t="s">
        <v>727</v>
      </c>
      <c r="E131" t="s">
        <v>261</v>
      </c>
      <c r="F131">
        <v>1996</v>
      </c>
      <c r="H131" s="4">
        <f>917000*Conversion!$A$2</f>
        <v>82419.960000000006</v>
      </c>
      <c r="I131" t="s">
        <v>471</v>
      </c>
      <c r="J131" t="s">
        <v>472</v>
      </c>
      <c r="K131" t="s">
        <v>494</v>
      </c>
      <c r="N131" s="7" t="s">
        <v>728</v>
      </c>
    </row>
    <row r="132" spans="1:14" hidden="1" x14ac:dyDescent="0.35">
      <c r="A132" t="s">
        <v>450</v>
      </c>
      <c r="B132" t="s">
        <v>729</v>
      </c>
      <c r="C132" t="s">
        <v>530</v>
      </c>
      <c r="D132" t="s">
        <v>730</v>
      </c>
      <c r="E132" t="s">
        <v>261</v>
      </c>
      <c r="F132">
        <v>1983</v>
      </c>
      <c r="H132" s="4">
        <f>19000*Conversion!$A$2</f>
        <v>1707.72</v>
      </c>
      <c r="I132" t="s">
        <v>731</v>
      </c>
      <c r="J132" t="s">
        <v>472</v>
      </c>
      <c r="K132" t="s">
        <v>732</v>
      </c>
      <c r="N132" s="7" t="s">
        <v>733</v>
      </c>
    </row>
    <row r="133" spans="1:14" hidden="1" x14ac:dyDescent="0.35">
      <c r="A133" t="s">
        <v>450</v>
      </c>
      <c r="B133" t="s">
        <v>734</v>
      </c>
      <c r="C133" t="s">
        <v>475</v>
      </c>
      <c r="D133" t="s">
        <v>735</v>
      </c>
      <c r="E133" t="s">
        <v>261</v>
      </c>
      <c r="H133" s="4">
        <f>25000*Conversion!$A$2</f>
        <v>2247</v>
      </c>
      <c r="I133" t="s">
        <v>731</v>
      </c>
      <c r="J133" t="s">
        <v>472</v>
      </c>
      <c r="K133" t="s">
        <v>732</v>
      </c>
      <c r="N133" s="7" t="s">
        <v>736</v>
      </c>
    </row>
    <row r="134" spans="1:14" hidden="1" x14ac:dyDescent="0.35">
      <c r="A134" t="s">
        <v>450</v>
      </c>
      <c r="B134" t="s">
        <v>678</v>
      </c>
      <c r="C134" t="s">
        <v>634</v>
      </c>
      <c r="D134" t="s">
        <v>737</v>
      </c>
      <c r="E134" t="s">
        <v>261</v>
      </c>
      <c r="H134" s="11"/>
      <c r="I134" t="s">
        <v>731</v>
      </c>
      <c r="J134" t="s">
        <v>472</v>
      </c>
      <c r="K134" t="s">
        <v>494</v>
      </c>
      <c r="N134" s="7" t="s">
        <v>738</v>
      </c>
    </row>
    <row r="135" spans="1:14" hidden="1" x14ac:dyDescent="0.35">
      <c r="A135" t="s">
        <v>450</v>
      </c>
      <c r="B135" t="s">
        <v>739</v>
      </c>
      <c r="C135" t="s">
        <v>543</v>
      </c>
      <c r="D135" t="s">
        <v>740</v>
      </c>
      <c r="E135" t="s">
        <v>261</v>
      </c>
      <c r="F135">
        <v>1998</v>
      </c>
      <c r="H135" s="4">
        <f>32000*Conversion!$A$2</f>
        <v>2876.16</v>
      </c>
      <c r="I135" t="s">
        <v>731</v>
      </c>
      <c r="J135" t="s">
        <v>472</v>
      </c>
      <c r="K135" t="s">
        <v>732</v>
      </c>
      <c r="N135" s="7" t="s">
        <v>741</v>
      </c>
    </row>
    <row r="136" spans="1:14" hidden="1" x14ac:dyDescent="0.35">
      <c r="A136" t="s">
        <v>450</v>
      </c>
      <c r="B136" t="s">
        <v>536</v>
      </c>
      <c r="C136" t="s">
        <v>537</v>
      </c>
      <c r="D136" t="s">
        <v>525</v>
      </c>
      <c r="E136" t="s">
        <v>261</v>
      </c>
      <c r="F136">
        <v>1971</v>
      </c>
      <c r="H136" s="4">
        <f>1051000*Conversion!$A$2</f>
        <v>94463.88</v>
      </c>
      <c r="I136" t="s">
        <v>731</v>
      </c>
      <c r="J136" t="s">
        <v>472</v>
      </c>
      <c r="K136" t="s">
        <v>483</v>
      </c>
      <c r="N136" s="7" t="s">
        <v>742</v>
      </c>
    </row>
    <row r="137" spans="1:14" hidden="1" x14ac:dyDescent="0.35">
      <c r="A137" t="s">
        <v>450</v>
      </c>
      <c r="B137" t="s">
        <v>551</v>
      </c>
      <c r="C137" t="s">
        <v>490</v>
      </c>
      <c r="D137" t="s">
        <v>525</v>
      </c>
      <c r="E137" t="s">
        <v>261</v>
      </c>
      <c r="H137" s="4">
        <f>2654000*Conversion!$A$2</f>
        <v>238541.52000000002</v>
      </c>
      <c r="I137" t="s">
        <v>731</v>
      </c>
      <c r="J137" t="s">
        <v>472</v>
      </c>
      <c r="K137" t="s">
        <v>483</v>
      </c>
    </row>
    <row r="138" spans="1:14" hidden="1" x14ac:dyDescent="0.35">
      <c r="A138" t="s">
        <v>450</v>
      </c>
      <c r="B138" t="s">
        <v>743</v>
      </c>
      <c r="C138" t="s">
        <v>643</v>
      </c>
      <c r="D138" t="s">
        <v>744</v>
      </c>
      <c r="E138" t="s">
        <v>261</v>
      </c>
      <c r="H138" s="4">
        <f>13000*Conversion!$A$2</f>
        <v>1168.44</v>
      </c>
      <c r="I138" t="s">
        <v>731</v>
      </c>
      <c r="J138" t="s">
        <v>472</v>
      </c>
      <c r="K138" t="s">
        <v>503</v>
      </c>
      <c r="N138" s="7" t="s">
        <v>745</v>
      </c>
    </row>
    <row r="139" spans="1:14" hidden="1" x14ac:dyDescent="0.35">
      <c r="A139" t="s">
        <v>450</v>
      </c>
      <c r="B139" t="s">
        <v>746</v>
      </c>
      <c r="C139" t="s">
        <v>490</v>
      </c>
      <c r="D139" t="s">
        <v>525</v>
      </c>
      <c r="E139" t="s">
        <v>261</v>
      </c>
      <c r="F139">
        <v>1988</v>
      </c>
      <c r="H139" s="4">
        <f>4205000*Conversion!$A$2</f>
        <v>377945.4</v>
      </c>
      <c r="I139" t="s">
        <v>731</v>
      </c>
      <c r="J139" t="s">
        <v>472</v>
      </c>
      <c r="K139" t="s">
        <v>483</v>
      </c>
    </row>
    <row r="140" spans="1:14" hidden="1" x14ac:dyDescent="0.35">
      <c r="A140" t="s">
        <v>450</v>
      </c>
      <c r="B140" t="s">
        <v>747</v>
      </c>
      <c r="C140" t="s">
        <v>490</v>
      </c>
      <c r="D140" t="s">
        <v>748</v>
      </c>
      <c r="E140" t="s">
        <v>261</v>
      </c>
      <c r="H140" s="4">
        <f>649000*Conversion!$A$2</f>
        <v>58332.12</v>
      </c>
      <c r="I140" t="s">
        <v>731</v>
      </c>
      <c r="J140" t="s">
        <v>472</v>
      </c>
      <c r="K140" t="s">
        <v>483</v>
      </c>
      <c r="N140" s="7" t="s">
        <v>749</v>
      </c>
    </row>
    <row r="141" spans="1:14" hidden="1" x14ac:dyDescent="0.35">
      <c r="A141" t="s">
        <v>450</v>
      </c>
      <c r="B141" t="s">
        <v>750</v>
      </c>
      <c r="C141" t="s">
        <v>751</v>
      </c>
      <c r="D141" t="s">
        <v>752</v>
      </c>
      <c r="E141" t="s">
        <v>261</v>
      </c>
      <c r="F141">
        <v>1989</v>
      </c>
      <c r="H141" s="4">
        <f>6000*Conversion!$A$2</f>
        <v>539.28</v>
      </c>
      <c r="I141" t="s">
        <v>731</v>
      </c>
      <c r="J141" t="s">
        <v>472</v>
      </c>
      <c r="K141" t="s">
        <v>483</v>
      </c>
    </row>
    <row r="142" spans="1:14" hidden="1" x14ac:dyDescent="0.35">
      <c r="A142" t="s">
        <v>450</v>
      </c>
      <c r="B142" t="s">
        <v>642</v>
      </c>
      <c r="C142" t="s">
        <v>475</v>
      </c>
      <c r="D142" t="s">
        <v>753</v>
      </c>
      <c r="E142" t="s">
        <v>261</v>
      </c>
      <c r="F142">
        <v>1979</v>
      </c>
      <c r="H142" s="4">
        <f>57000*Conversion!$A$2</f>
        <v>5123.16</v>
      </c>
      <c r="I142" t="s">
        <v>731</v>
      </c>
      <c r="J142" t="s">
        <v>472</v>
      </c>
      <c r="K142" t="s">
        <v>732</v>
      </c>
    </row>
    <row r="143" spans="1:14" hidden="1" x14ac:dyDescent="0.35">
      <c r="A143" t="s">
        <v>450</v>
      </c>
      <c r="B143" t="s">
        <v>754</v>
      </c>
      <c r="C143" t="s">
        <v>755</v>
      </c>
      <c r="D143" t="s">
        <v>753</v>
      </c>
      <c r="E143" t="s">
        <v>261</v>
      </c>
      <c r="F143">
        <v>1981</v>
      </c>
      <c r="H143" s="4">
        <f>39000*Conversion!$A$2</f>
        <v>3505.32</v>
      </c>
      <c r="I143" t="s">
        <v>731</v>
      </c>
      <c r="J143" t="s">
        <v>472</v>
      </c>
      <c r="K143" t="s">
        <v>732</v>
      </c>
    </row>
    <row r="144" spans="1:14" hidden="1" x14ac:dyDescent="0.35">
      <c r="A144" t="s">
        <v>450</v>
      </c>
      <c r="B144" t="s">
        <v>756</v>
      </c>
      <c r="C144" t="s">
        <v>757</v>
      </c>
      <c r="D144" t="s">
        <v>753</v>
      </c>
      <c r="E144" t="s">
        <v>261</v>
      </c>
      <c r="F144">
        <v>1979</v>
      </c>
      <c r="H144" s="4">
        <f>57000*Conversion!$A$2</f>
        <v>5123.16</v>
      </c>
      <c r="I144" t="s">
        <v>731</v>
      </c>
      <c r="J144" t="s">
        <v>472</v>
      </c>
      <c r="K144" t="s">
        <v>732</v>
      </c>
    </row>
    <row r="145" spans="1:14" hidden="1" x14ac:dyDescent="0.35">
      <c r="A145" t="s">
        <v>450</v>
      </c>
      <c r="B145" t="s">
        <v>758</v>
      </c>
      <c r="C145" t="s">
        <v>759</v>
      </c>
      <c r="D145" t="s">
        <v>753</v>
      </c>
      <c r="E145" t="s">
        <v>261</v>
      </c>
      <c r="F145">
        <v>1998</v>
      </c>
      <c r="H145" s="4">
        <f>34000*Conversion!$A$2</f>
        <v>3055.92</v>
      </c>
      <c r="I145" t="s">
        <v>731</v>
      </c>
      <c r="J145" t="s">
        <v>472</v>
      </c>
      <c r="K145" t="s">
        <v>732</v>
      </c>
    </row>
    <row r="146" spans="1:14" hidden="1" x14ac:dyDescent="0.35">
      <c r="A146" t="s">
        <v>450</v>
      </c>
      <c r="B146" t="s">
        <v>760</v>
      </c>
      <c r="C146" t="s">
        <v>540</v>
      </c>
      <c r="D146" t="s">
        <v>761</v>
      </c>
      <c r="E146" t="s">
        <v>261</v>
      </c>
      <c r="F146">
        <v>1983</v>
      </c>
      <c r="H146" s="4">
        <f>158000*Conversion!$A$2</f>
        <v>14201.04</v>
      </c>
      <c r="I146" t="s">
        <v>731</v>
      </c>
      <c r="J146" t="s">
        <v>472</v>
      </c>
      <c r="K146" t="s">
        <v>494</v>
      </c>
      <c r="N146" s="7" t="s">
        <v>762</v>
      </c>
    </row>
    <row r="147" spans="1:14" hidden="1" x14ac:dyDescent="0.35">
      <c r="A147" t="s">
        <v>450</v>
      </c>
      <c r="B147" t="s">
        <v>763</v>
      </c>
      <c r="C147" t="s">
        <v>764</v>
      </c>
      <c r="D147" t="s">
        <v>765</v>
      </c>
      <c r="E147" t="s">
        <v>261</v>
      </c>
      <c r="F147">
        <v>1980</v>
      </c>
      <c r="H147" s="4">
        <f>392000*Conversion!$A$2</f>
        <v>35232.959999999999</v>
      </c>
      <c r="I147" t="s">
        <v>731</v>
      </c>
      <c r="J147" t="s">
        <v>472</v>
      </c>
      <c r="K147" t="s">
        <v>494</v>
      </c>
    </row>
    <row r="148" spans="1:14" hidden="1" x14ac:dyDescent="0.35">
      <c r="A148" t="s">
        <v>450</v>
      </c>
      <c r="B148" t="s">
        <v>642</v>
      </c>
      <c r="C148" t="s">
        <v>643</v>
      </c>
      <c r="D148" t="s">
        <v>765</v>
      </c>
      <c r="E148" t="s">
        <v>261</v>
      </c>
      <c r="H148" s="4">
        <f>17000*Conversion!$A$2</f>
        <v>1527.96</v>
      </c>
      <c r="I148" t="s">
        <v>731</v>
      </c>
      <c r="J148" t="s">
        <v>472</v>
      </c>
      <c r="K148" t="s">
        <v>494</v>
      </c>
    </row>
    <row r="149" spans="1:14" hidden="1" x14ac:dyDescent="0.35">
      <c r="A149" t="s">
        <v>450</v>
      </c>
      <c r="B149" t="s">
        <v>492</v>
      </c>
      <c r="C149" t="s">
        <v>486</v>
      </c>
      <c r="D149" t="s">
        <v>766</v>
      </c>
      <c r="E149" t="s">
        <v>261</v>
      </c>
      <c r="H149" s="4">
        <f>205000*Conversion!$A$2</f>
        <v>18425.400000000001</v>
      </c>
      <c r="I149" t="s">
        <v>731</v>
      </c>
      <c r="J149" t="s">
        <v>472</v>
      </c>
      <c r="K149" t="s">
        <v>494</v>
      </c>
      <c r="N149" s="7" t="s">
        <v>767</v>
      </c>
    </row>
    <row r="150" spans="1:14" hidden="1" x14ac:dyDescent="0.35">
      <c r="A150" t="s">
        <v>450</v>
      </c>
      <c r="B150" t="s">
        <v>768</v>
      </c>
      <c r="C150" t="s">
        <v>482</v>
      </c>
      <c r="D150" t="s">
        <v>769</v>
      </c>
      <c r="E150" t="s">
        <v>261</v>
      </c>
      <c r="H150" s="4">
        <f>4888000*Conversion!$A$2</f>
        <v>439333.44</v>
      </c>
      <c r="I150" t="s">
        <v>731</v>
      </c>
      <c r="J150" t="s">
        <v>472</v>
      </c>
      <c r="K150" t="s">
        <v>483</v>
      </c>
    </row>
    <row r="151" spans="1:14" hidden="1" x14ac:dyDescent="0.35">
      <c r="A151" t="s">
        <v>450</v>
      </c>
      <c r="B151" t="s">
        <v>768</v>
      </c>
      <c r="C151" t="s">
        <v>482</v>
      </c>
      <c r="D151" t="s">
        <v>769</v>
      </c>
      <c r="E151" t="s">
        <v>261</v>
      </c>
      <c r="H151" s="4">
        <f>4888000*Conversion!$A$2</f>
        <v>439333.44</v>
      </c>
      <c r="I151" t="s">
        <v>731</v>
      </c>
      <c r="J151" t="s">
        <v>472</v>
      </c>
      <c r="K151" t="s">
        <v>483</v>
      </c>
    </row>
    <row r="152" spans="1:14" hidden="1" x14ac:dyDescent="0.35">
      <c r="A152" t="s">
        <v>450</v>
      </c>
      <c r="B152" t="s">
        <v>768</v>
      </c>
      <c r="C152" t="s">
        <v>482</v>
      </c>
      <c r="D152" t="s">
        <v>769</v>
      </c>
      <c r="E152" t="s">
        <v>261</v>
      </c>
      <c r="F152">
        <v>2015</v>
      </c>
      <c r="H152" s="4">
        <f>1156000*Conversion!$A$2</f>
        <v>103901.28</v>
      </c>
      <c r="I152" t="s">
        <v>731</v>
      </c>
      <c r="J152" t="s">
        <v>472</v>
      </c>
      <c r="K152" t="s">
        <v>483</v>
      </c>
    </row>
    <row r="153" spans="1:14" hidden="1" x14ac:dyDescent="0.35">
      <c r="A153" t="s">
        <v>450</v>
      </c>
      <c r="B153" t="s">
        <v>770</v>
      </c>
      <c r="C153" t="s">
        <v>533</v>
      </c>
      <c r="D153" t="s">
        <v>769</v>
      </c>
      <c r="E153" t="s">
        <v>261</v>
      </c>
      <c r="H153" s="4">
        <f>867000*Conversion!$A$2</f>
        <v>77925.960000000006</v>
      </c>
      <c r="I153" t="s">
        <v>731</v>
      </c>
      <c r="J153" t="s">
        <v>472</v>
      </c>
      <c r="K153" t="s">
        <v>483</v>
      </c>
    </row>
    <row r="154" spans="1:14" hidden="1" x14ac:dyDescent="0.35">
      <c r="A154" t="s">
        <v>450</v>
      </c>
      <c r="B154" t="s">
        <v>657</v>
      </c>
      <c r="C154" t="s">
        <v>533</v>
      </c>
      <c r="D154" t="s">
        <v>769</v>
      </c>
      <c r="E154" t="s">
        <v>261</v>
      </c>
      <c r="H154" s="4">
        <f>604000*Conversion!$A$2</f>
        <v>54287.520000000004</v>
      </c>
      <c r="I154" t="s">
        <v>731</v>
      </c>
      <c r="J154" t="s">
        <v>472</v>
      </c>
      <c r="K154" t="s">
        <v>483</v>
      </c>
    </row>
    <row r="155" spans="1:14" hidden="1" x14ac:dyDescent="0.35">
      <c r="A155" t="s">
        <v>450</v>
      </c>
      <c r="B155" t="s">
        <v>708</v>
      </c>
      <c r="C155" t="s">
        <v>508</v>
      </c>
      <c r="D155" t="s">
        <v>769</v>
      </c>
      <c r="E155" t="s">
        <v>261</v>
      </c>
      <c r="F155">
        <v>1993</v>
      </c>
      <c r="H155" s="4">
        <f>1564000*Conversion!$A$2</f>
        <v>140572.32</v>
      </c>
      <c r="I155" t="s">
        <v>731</v>
      </c>
      <c r="J155" t="s">
        <v>472</v>
      </c>
      <c r="K155" t="s">
        <v>483</v>
      </c>
    </row>
    <row r="156" spans="1:14" hidden="1" x14ac:dyDescent="0.35">
      <c r="A156" t="s">
        <v>450</v>
      </c>
      <c r="B156" t="s">
        <v>474</v>
      </c>
      <c r="C156" t="s">
        <v>475</v>
      </c>
      <c r="D156" t="s">
        <v>771</v>
      </c>
      <c r="E156" t="s">
        <v>261</v>
      </c>
      <c r="F156">
        <v>1981</v>
      </c>
      <c r="H156" s="4">
        <f>25000*Conversion!$A$2</f>
        <v>2247</v>
      </c>
      <c r="I156" t="s">
        <v>731</v>
      </c>
      <c r="J156" t="s">
        <v>472</v>
      </c>
      <c r="K156" t="s">
        <v>732</v>
      </c>
    </row>
    <row r="157" spans="1:14" hidden="1" x14ac:dyDescent="0.35">
      <c r="A157" t="s">
        <v>450</v>
      </c>
      <c r="B157" t="s">
        <v>772</v>
      </c>
      <c r="C157" t="s">
        <v>540</v>
      </c>
      <c r="D157" t="s">
        <v>771</v>
      </c>
      <c r="E157" t="s">
        <v>261</v>
      </c>
      <c r="F157">
        <v>1980</v>
      </c>
      <c r="H157" s="4">
        <f>19000*Conversion!$A$2</f>
        <v>1707.72</v>
      </c>
      <c r="I157" t="s">
        <v>731</v>
      </c>
      <c r="J157" t="s">
        <v>472</v>
      </c>
      <c r="K157" t="s">
        <v>732</v>
      </c>
    </row>
    <row r="158" spans="1:14" hidden="1" x14ac:dyDescent="0.35">
      <c r="A158" t="s">
        <v>450</v>
      </c>
      <c r="B158" t="s">
        <v>773</v>
      </c>
      <c r="C158" t="s">
        <v>755</v>
      </c>
      <c r="D158" t="s">
        <v>771</v>
      </c>
      <c r="E158" t="s">
        <v>261</v>
      </c>
      <c r="F158">
        <v>1998</v>
      </c>
      <c r="H158" s="4"/>
      <c r="I158" t="s">
        <v>731</v>
      </c>
      <c r="J158" t="s">
        <v>472</v>
      </c>
      <c r="K158" t="s">
        <v>732</v>
      </c>
    </row>
    <row r="159" spans="1:14" hidden="1" x14ac:dyDescent="0.35">
      <c r="A159" t="s">
        <v>450</v>
      </c>
      <c r="B159" t="s">
        <v>642</v>
      </c>
      <c r="C159" t="s">
        <v>508</v>
      </c>
      <c r="D159" t="s">
        <v>771</v>
      </c>
      <c r="E159" t="s">
        <v>261</v>
      </c>
      <c r="H159" s="4">
        <f>53000*Conversion!$A$2</f>
        <v>4763.6400000000003</v>
      </c>
      <c r="I159" t="s">
        <v>731</v>
      </c>
      <c r="J159" t="s">
        <v>472</v>
      </c>
      <c r="K159" t="s">
        <v>732</v>
      </c>
    </row>
    <row r="160" spans="1:14" hidden="1" x14ac:dyDescent="0.35">
      <c r="A160" t="s">
        <v>450</v>
      </c>
      <c r="B160" t="s">
        <v>774</v>
      </c>
      <c r="C160" t="s">
        <v>486</v>
      </c>
      <c r="D160" t="s">
        <v>771</v>
      </c>
      <c r="E160" t="s">
        <v>261</v>
      </c>
      <c r="F160">
        <v>1981</v>
      </c>
      <c r="H160" s="4">
        <f>19000*Conversion!$A$2</f>
        <v>1707.72</v>
      </c>
      <c r="I160" t="s">
        <v>731</v>
      </c>
      <c r="J160" t="s">
        <v>472</v>
      </c>
      <c r="K160" t="s">
        <v>732</v>
      </c>
    </row>
    <row r="161" spans="1:14" hidden="1" x14ac:dyDescent="0.35">
      <c r="A161" t="s">
        <v>450</v>
      </c>
      <c r="B161" t="s">
        <v>775</v>
      </c>
      <c r="C161" t="s">
        <v>497</v>
      </c>
      <c r="D161" t="s">
        <v>776</v>
      </c>
      <c r="E161" t="s">
        <v>261</v>
      </c>
      <c r="H161" s="4">
        <f>106000*Conversion!$A$2</f>
        <v>9527.2800000000007</v>
      </c>
      <c r="I161" t="s">
        <v>731</v>
      </c>
      <c r="J161" t="s">
        <v>472</v>
      </c>
      <c r="K161" t="s">
        <v>483</v>
      </c>
    </row>
    <row r="162" spans="1:14" hidden="1" x14ac:dyDescent="0.35">
      <c r="A162" t="s">
        <v>450</v>
      </c>
      <c r="B162" t="s">
        <v>777</v>
      </c>
      <c r="C162" t="s">
        <v>497</v>
      </c>
      <c r="D162" t="s">
        <v>776</v>
      </c>
      <c r="E162" t="s">
        <v>261</v>
      </c>
      <c r="H162" s="4">
        <f>210000*Conversion!$A$2</f>
        <v>18874.8</v>
      </c>
      <c r="I162" t="s">
        <v>731</v>
      </c>
      <c r="J162" t="s">
        <v>472</v>
      </c>
      <c r="K162" t="s">
        <v>483</v>
      </c>
    </row>
    <row r="163" spans="1:14" hidden="1" x14ac:dyDescent="0.35">
      <c r="A163" t="s">
        <v>450</v>
      </c>
      <c r="B163" t="s">
        <v>778</v>
      </c>
      <c r="C163" t="s">
        <v>497</v>
      </c>
      <c r="D163" t="s">
        <v>776</v>
      </c>
      <c r="E163" t="s">
        <v>261</v>
      </c>
      <c r="H163" s="4">
        <f>315000*Conversion!$A$2</f>
        <v>28312.2</v>
      </c>
      <c r="I163" t="s">
        <v>731</v>
      </c>
      <c r="J163" t="s">
        <v>472</v>
      </c>
      <c r="K163" t="s">
        <v>483</v>
      </c>
    </row>
    <row r="164" spans="1:14" hidden="1" x14ac:dyDescent="0.35">
      <c r="A164" t="s">
        <v>450</v>
      </c>
      <c r="B164" t="s">
        <v>779</v>
      </c>
      <c r="C164" t="s">
        <v>667</v>
      </c>
      <c r="D164" t="s">
        <v>780</v>
      </c>
      <c r="E164" t="s">
        <v>261</v>
      </c>
      <c r="H164" s="4">
        <f>526000*Conversion!$A$2</f>
        <v>47276.88</v>
      </c>
      <c r="I164" t="s">
        <v>731</v>
      </c>
      <c r="J164" t="s">
        <v>472</v>
      </c>
      <c r="K164" t="s">
        <v>483</v>
      </c>
    </row>
    <row r="165" spans="1:14" hidden="1" x14ac:dyDescent="0.35">
      <c r="A165" t="s">
        <v>450</v>
      </c>
      <c r="B165" t="s">
        <v>781</v>
      </c>
      <c r="C165" t="s">
        <v>513</v>
      </c>
      <c r="D165" t="s">
        <v>782</v>
      </c>
      <c r="E165" t="s">
        <v>261</v>
      </c>
      <c r="H165" s="4">
        <f>16000*Conversion!$A$2</f>
        <v>1438.08</v>
      </c>
      <c r="I165" t="s">
        <v>731</v>
      </c>
      <c r="J165" t="s">
        <v>472</v>
      </c>
      <c r="K165" t="s">
        <v>483</v>
      </c>
      <c r="N165" s="7" t="s">
        <v>783</v>
      </c>
    </row>
    <row r="166" spans="1:14" hidden="1" x14ac:dyDescent="0.35">
      <c r="A166" t="s">
        <v>450</v>
      </c>
      <c r="B166" t="s">
        <v>784</v>
      </c>
      <c r="C166" t="s">
        <v>785</v>
      </c>
      <c r="D166" t="s">
        <v>786</v>
      </c>
      <c r="E166" t="s">
        <v>261</v>
      </c>
      <c r="H166" s="4">
        <f>13000*Conversion!$A$2</f>
        <v>1168.44</v>
      </c>
      <c r="I166" t="s">
        <v>731</v>
      </c>
      <c r="J166" t="s">
        <v>472</v>
      </c>
      <c r="K166" t="s">
        <v>732</v>
      </c>
    </row>
    <row r="167" spans="1:14" hidden="1" x14ac:dyDescent="0.35">
      <c r="A167" t="s">
        <v>450</v>
      </c>
      <c r="B167" t="s">
        <v>787</v>
      </c>
      <c r="C167" t="s">
        <v>683</v>
      </c>
      <c r="D167" t="s">
        <v>786</v>
      </c>
      <c r="E167" t="s">
        <v>261</v>
      </c>
      <c r="H167" s="4">
        <f>21000*Conversion!$A$2</f>
        <v>1887.48</v>
      </c>
      <c r="I167" t="s">
        <v>731</v>
      </c>
      <c r="J167" t="s">
        <v>472</v>
      </c>
      <c r="K167" t="s">
        <v>732</v>
      </c>
    </row>
    <row r="168" spans="1:14" hidden="1" x14ac:dyDescent="0.35">
      <c r="A168" t="s">
        <v>450</v>
      </c>
      <c r="B168" t="s">
        <v>788</v>
      </c>
      <c r="C168" t="s">
        <v>533</v>
      </c>
      <c r="D168" t="s">
        <v>786</v>
      </c>
      <c r="E168" t="s">
        <v>261</v>
      </c>
      <c r="H168" s="4">
        <f>39000*Conversion!$A$2</f>
        <v>3505.32</v>
      </c>
      <c r="I168" t="s">
        <v>731</v>
      </c>
      <c r="J168" t="s">
        <v>472</v>
      </c>
      <c r="K168" t="s">
        <v>732</v>
      </c>
    </row>
    <row r="169" spans="1:14" hidden="1" x14ac:dyDescent="0.35">
      <c r="A169" t="s">
        <v>450</v>
      </c>
      <c r="B169" t="s">
        <v>789</v>
      </c>
      <c r="C169" t="s">
        <v>755</v>
      </c>
      <c r="D169" t="s">
        <v>786</v>
      </c>
      <c r="E169" t="s">
        <v>261</v>
      </c>
      <c r="H169" s="4">
        <f>22000*Conversion!$A$2</f>
        <v>1977.3600000000001</v>
      </c>
      <c r="I169" t="s">
        <v>731</v>
      </c>
      <c r="J169" t="s">
        <v>472</v>
      </c>
      <c r="K169" t="s">
        <v>732</v>
      </c>
    </row>
    <row r="170" spans="1:14" hidden="1" x14ac:dyDescent="0.35">
      <c r="A170" t="s">
        <v>450</v>
      </c>
      <c r="B170" t="s">
        <v>790</v>
      </c>
      <c r="C170" t="s">
        <v>479</v>
      </c>
      <c r="D170" t="s">
        <v>786</v>
      </c>
      <c r="E170" t="s">
        <v>261</v>
      </c>
      <c r="H170" s="4">
        <f>16000*Conversion!$A$2</f>
        <v>1438.08</v>
      </c>
      <c r="I170" t="s">
        <v>731</v>
      </c>
      <c r="J170" t="s">
        <v>472</v>
      </c>
      <c r="K170" t="s">
        <v>732</v>
      </c>
    </row>
    <row r="171" spans="1:14" hidden="1" x14ac:dyDescent="0.35">
      <c r="A171" t="s">
        <v>251</v>
      </c>
      <c r="B171" t="s">
        <v>791</v>
      </c>
      <c r="C171" t="s">
        <v>792</v>
      </c>
      <c r="D171" t="s">
        <v>793</v>
      </c>
      <c r="E171" t="s">
        <v>261</v>
      </c>
      <c r="H171" s="4">
        <f>92000*Conversion!$A$2</f>
        <v>8268.9600000000009</v>
      </c>
      <c r="I171" t="s">
        <v>731</v>
      </c>
      <c r="J171" t="s">
        <v>472</v>
      </c>
      <c r="K171" t="s">
        <v>483</v>
      </c>
    </row>
    <row r="172" spans="1:14" hidden="1" x14ac:dyDescent="0.35">
      <c r="A172" t="s">
        <v>450</v>
      </c>
      <c r="B172" t="s">
        <v>794</v>
      </c>
      <c r="C172" t="s">
        <v>486</v>
      </c>
      <c r="D172" t="s">
        <v>795</v>
      </c>
      <c r="E172" t="s">
        <v>261</v>
      </c>
      <c r="H172" s="4">
        <f>237000*Conversion!$A$2</f>
        <v>21301.56</v>
      </c>
      <c r="I172" t="s">
        <v>731</v>
      </c>
      <c r="J172" t="s">
        <v>472</v>
      </c>
      <c r="K172" t="s">
        <v>494</v>
      </c>
      <c r="N172" t="s">
        <v>796</v>
      </c>
    </row>
    <row r="173" spans="1:14" hidden="1" x14ac:dyDescent="0.35">
      <c r="A173" t="s">
        <v>450</v>
      </c>
      <c r="B173" t="s">
        <v>489</v>
      </c>
      <c r="C173" t="s">
        <v>490</v>
      </c>
      <c r="D173" t="s">
        <v>797</v>
      </c>
      <c r="E173" t="s">
        <v>261</v>
      </c>
      <c r="H173" s="4">
        <f>1945000*Conversion!$A$2</f>
        <v>174816.6</v>
      </c>
      <c r="I173" t="s">
        <v>731</v>
      </c>
      <c r="J173" t="s">
        <v>472</v>
      </c>
      <c r="K173" t="s">
        <v>483</v>
      </c>
    </row>
    <row r="174" spans="1:14" hidden="1" x14ac:dyDescent="0.35">
      <c r="A174" t="s">
        <v>450</v>
      </c>
      <c r="B174" t="s">
        <v>798</v>
      </c>
      <c r="C174" t="s">
        <v>799</v>
      </c>
      <c r="D174" t="s">
        <v>797</v>
      </c>
      <c r="E174" t="s">
        <v>261</v>
      </c>
      <c r="F174">
        <v>1983</v>
      </c>
      <c r="H174" s="4">
        <f>6018000*Conversion!$A$2</f>
        <v>540897.84</v>
      </c>
      <c r="I174" t="s">
        <v>731</v>
      </c>
      <c r="J174" t="s">
        <v>472</v>
      </c>
      <c r="K174" t="s">
        <v>483</v>
      </c>
    </row>
    <row r="175" spans="1:14" hidden="1" x14ac:dyDescent="0.35">
      <c r="A175" t="s">
        <v>450</v>
      </c>
      <c r="B175" t="s">
        <v>688</v>
      </c>
      <c r="C175" t="s">
        <v>490</v>
      </c>
      <c r="D175" t="s">
        <v>797</v>
      </c>
      <c r="E175" t="s">
        <v>261</v>
      </c>
      <c r="H175" s="4">
        <f>8672000*Conversion!$A$2</f>
        <v>779439.36</v>
      </c>
      <c r="I175" t="s">
        <v>731</v>
      </c>
      <c r="J175" t="s">
        <v>472</v>
      </c>
      <c r="K175" t="s">
        <v>483</v>
      </c>
      <c r="N175" s="7" t="s">
        <v>800</v>
      </c>
    </row>
    <row r="176" spans="1:14" hidden="1" x14ac:dyDescent="0.35">
      <c r="A176" t="s">
        <v>450</v>
      </c>
      <c r="B176" t="s">
        <v>801</v>
      </c>
      <c r="C176" t="s">
        <v>486</v>
      </c>
      <c r="D176" t="s">
        <v>797</v>
      </c>
      <c r="E176" t="s">
        <v>261</v>
      </c>
      <c r="H176" s="4">
        <f>1235000*Conversion!$A$2</f>
        <v>111001.8</v>
      </c>
      <c r="I176" t="s">
        <v>731</v>
      </c>
      <c r="J176" t="s">
        <v>472</v>
      </c>
      <c r="K176" t="s">
        <v>483</v>
      </c>
    </row>
    <row r="177" spans="1:14" hidden="1" x14ac:dyDescent="0.35">
      <c r="A177" t="s">
        <v>450</v>
      </c>
      <c r="B177" t="s">
        <v>802</v>
      </c>
      <c r="C177" t="s">
        <v>667</v>
      </c>
      <c r="D177" t="s">
        <v>803</v>
      </c>
      <c r="E177" t="s">
        <v>261</v>
      </c>
      <c r="F177">
        <v>2017</v>
      </c>
      <c r="H177" s="4">
        <f>1840000*Conversion!$A$2</f>
        <v>165379.20000000001</v>
      </c>
      <c r="I177" t="s">
        <v>731</v>
      </c>
      <c r="J177" t="s">
        <v>472</v>
      </c>
      <c r="K177" t="s">
        <v>483</v>
      </c>
      <c r="N177" s="7" t="s">
        <v>804</v>
      </c>
    </row>
    <row r="178" spans="1:14" hidden="1" x14ac:dyDescent="0.35">
      <c r="A178" t="s">
        <v>450</v>
      </c>
      <c r="B178" t="s">
        <v>758</v>
      </c>
      <c r="C178" t="s">
        <v>759</v>
      </c>
      <c r="D178" t="s">
        <v>803</v>
      </c>
      <c r="E178" t="s">
        <v>261</v>
      </c>
      <c r="H178" s="4">
        <f>39000*Conversion!$A$2</f>
        <v>3505.32</v>
      </c>
      <c r="I178" t="s">
        <v>731</v>
      </c>
      <c r="J178" t="s">
        <v>472</v>
      </c>
      <c r="K178" t="s">
        <v>732</v>
      </c>
    </row>
    <row r="179" spans="1:14" hidden="1" x14ac:dyDescent="0.35">
      <c r="A179" t="s">
        <v>450</v>
      </c>
      <c r="B179" t="s">
        <v>505</v>
      </c>
      <c r="C179" t="s">
        <v>497</v>
      </c>
      <c r="D179" t="s">
        <v>805</v>
      </c>
      <c r="E179" t="s">
        <v>261</v>
      </c>
      <c r="F179">
        <v>1994</v>
      </c>
      <c r="H179" s="4">
        <f>(284000+1254000)*Conversion!$A$2</f>
        <v>138235.44</v>
      </c>
      <c r="I179" t="s">
        <v>731</v>
      </c>
      <c r="J179" t="s">
        <v>472</v>
      </c>
      <c r="K179" t="s">
        <v>483</v>
      </c>
    </row>
    <row r="180" spans="1:14" hidden="1" x14ac:dyDescent="0.35">
      <c r="A180" t="s">
        <v>450</v>
      </c>
      <c r="B180" t="s">
        <v>647</v>
      </c>
      <c r="C180" t="s">
        <v>475</v>
      </c>
      <c r="D180" t="s">
        <v>805</v>
      </c>
      <c r="E180" t="s">
        <v>261</v>
      </c>
      <c r="F180">
        <v>2010</v>
      </c>
      <c r="H180" s="4">
        <f>315000*Conversion!$A$2</f>
        <v>28312.2</v>
      </c>
      <c r="I180" t="s">
        <v>731</v>
      </c>
      <c r="J180" t="s">
        <v>472</v>
      </c>
      <c r="K180" t="s">
        <v>483</v>
      </c>
      <c r="N180" s="7" t="s">
        <v>806</v>
      </c>
    </row>
    <row r="181" spans="1:14" hidden="1" x14ac:dyDescent="0.35">
      <c r="A181" t="s">
        <v>450</v>
      </c>
      <c r="B181" t="s">
        <v>604</v>
      </c>
      <c r="C181" t="s">
        <v>486</v>
      </c>
      <c r="D181" t="s">
        <v>807</v>
      </c>
      <c r="E181" t="s">
        <v>261</v>
      </c>
      <c r="H181" s="4">
        <f>867000*Conversion!$A$2</f>
        <v>77925.960000000006</v>
      </c>
      <c r="I181" t="s">
        <v>731</v>
      </c>
      <c r="J181" t="s">
        <v>472</v>
      </c>
      <c r="K181" t="s">
        <v>494</v>
      </c>
      <c r="N181" s="7" t="s">
        <v>808</v>
      </c>
    </row>
    <row r="182" spans="1:14" hidden="1" x14ac:dyDescent="0.35">
      <c r="A182" t="s">
        <v>450</v>
      </c>
      <c r="B182" t="s">
        <v>809</v>
      </c>
      <c r="C182" t="s">
        <v>564</v>
      </c>
      <c r="D182" t="s">
        <v>810</v>
      </c>
      <c r="E182" t="s">
        <v>261</v>
      </c>
      <c r="H182" s="4">
        <f>79000*Conversion!$A$2</f>
        <v>7100.52</v>
      </c>
      <c r="I182" t="s">
        <v>731</v>
      </c>
      <c r="J182" t="s">
        <v>472</v>
      </c>
      <c r="K182" t="s">
        <v>483</v>
      </c>
    </row>
    <row r="183" spans="1:14" hidden="1" x14ac:dyDescent="0.35">
      <c r="A183" t="s">
        <v>450</v>
      </c>
      <c r="B183" t="s">
        <v>811</v>
      </c>
      <c r="C183" t="s">
        <v>812</v>
      </c>
      <c r="D183" t="s">
        <v>813</v>
      </c>
      <c r="E183" t="s">
        <v>261</v>
      </c>
      <c r="H183" s="4">
        <f>263000*Conversion!$A$2</f>
        <v>23638.44</v>
      </c>
      <c r="I183" t="s">
        <v>731</v>
      </c>
      <c r="J183" t="s">
        <v>472</v>
      </c>
      <c r="K183" t="s">
        <v>483</v>
      </c>
      <c r="N183" s="7" t="s">
        <v>814</v>
      </c>
    </row>
    <row r="184" spans="1:14" hidden="1" x14ac:dyDescent="0.35">
      <c r="A184" t="s">
        <v>450</v>
      </c>
      <c r="B184" t="s">
        <v>815</v>
      </c>
      <c r="C184" t="s">
        <v>643</v>
      </c>
      <c r="D184" t="s">
        <v>816</v>
      </c>
      <c r="E184" t="s">
        <v>261</v>
      </c>
      <c r="F184">
        <v>1982</v>
      </c>
      <c r="H184" s="4">
        <f>17000*Conversion!$A$2</f>
        <v>1527.96</v>
      </c>
      <c r="I184" t="s">
        <v>731</v>
      </c>
      <c r="J184" t="s">
        <v>472</v>
      </c>
      <c r="K184" t="s">
        <v>494</v>
      </c>
      <c r="N184" s="7" t="s">
        <v>817</v>
      </c>
    </row>
    <row r="185" spans="1:14" hidden="1" x14ac:dyDescent="0.35">
      <c r="A185" t="s">
        <v>450</v>
      </c>
      <c r="B185" t="s">
        <v>818</v>
      </c>
      <c r="C185" t="s">
        <v>540</v>
      </c>
      <c r="D185" t="s">
        <v>816</v>
      </c>
      <c r="E185" t="s">
        <v>261</v>
      </c>
      <c r="F185">
        <v>1988</v>
      </c>
      <c r="H185" s="4">
        <f>131000*Conversion!$A$2</f>
        <v>11774.28</v>
      </c>
      <c r="I185" t="s">
        <v>731</v>
      </c>
      <c r="J185" t="s">
        <v>472</v>
      </c>
      <c r="K185" t="s">
        <v>494</v>
      </c>
      <c r="N185" s="7" t="s">
        <v>819</v>
      </c>
    </row>
    <row r="186" spans="1:14" hidden="1" x14ac:dyDescent="0.35">
      <c r="A186" t="s">
        <v>450</v>
      </c>
      <c r="B186" t="s">
        <v>820</v>
      </c>
      <c r="C186" t="s">
        <v>486</v>
      </c>
      <c r="D186" t="s">
        <v>816</v>
      </c>
      <c r="E186" t="s">
        <v>261</v>
      </c>
      <c r="F186">
        <v>1988</v>
      </c>
      <c r="H186" s="4">
        <f>1000*Conversion!$A$2</f>
        <v>89.88</v>
      </c>
      <c r="I186" t="s">
        <v>731</v>
      </c>
      <c r="J186" t="s">
        <v>472</v>
      </c>
      <c r="K186" t="s">
        <v>494</v>
      </c>
    </row>
    <row r="187" spans="1:14" hidden="1" x14ac:dyDescent="0.35">
      <c r="A187" t="s">
        <v>450</v>
      </c>
      <c r="B187" t="s">
        <v>821</v>
      </c>
      <c r="C187" t="s">
        <v>799</v>
      </c>
      <c r="D187" t="s">
        <v>822</v>
      </c>
      <c r="E187" t="s">
        <v>261</v>
      </c>
      <c r="H187" s="4">
        <f>342000*Conversion!$A$2</f>
        <v>30738.959999999999</v>
      </c>
      <c r="I187" t="s">
        <v>731</v>
      </c>
      <c r="J187" t="s">
        <v>472</v>
      </c>
      <c r="K187" t="s">
        <v>483</v>
      </c>
    </row>
    <row r="188" spans="1:14" hidden="1" x14ac:dyDescent="0.35">
      <c r="A188" t="s">
        <v>450</v>
      </c>
      <c r="B188" t="s">
        <v>823</v>
      </c>
      <c r="C188" t="s">
        <v>634</v>
      </c>
      <c r="D188" t="s">
        <v>822</v>
      </c>
      <c r="E188" t="s">
        <v>261</v>
      </c>
      <c r="H188" s="4">
        <f>79000*Conversion!$A$2</f>
        <v>7100.52</v>
      </c>
      <c r="I188" t="s">
        <v>731</v>
      </c>
      <c r="J188" t="s">
        <v>472</v>
      </c>
      <c r="K188" t="s">
        <v>483</v>
      </c>
    </row>
    <row r="189" spans="1:14" hidden="1" x14ac:dyDescent="0.35">
      <c r="A189" t="s">
        <v>450</v>
      </c>
      <c r="B189" t="s">
        <v>824</v>
      </c>
      <c r="C189" t="s">
        <v>475</v>
      </c>
      <c r="D189" t="s">
        <v>825</v>
      </c>
      <c r="E189" t="s">
        <v>261</v>
      </c>
      <c r="F189">
        <v>1987</v>
      </c>
      <c r="H189" s="4">
        <f>101000*Conversion!$A$2</f>
        <v>9077.880000000001</v>
      </c>
      <c r="I189" t="s">
        <v>731</v>
      </c>
      <c r="J189" t="s">
        <v>472</v>
      </c>
      <c r="K189" t="s">
        <v>732</v>
      </c>
    </row>
    <row r="190" spans="1:14" hidden="1" x14ac:dyDescent="0.35">
      <c r="A190" t="s">
        <v>450</v>
      </c>
      <c r="B190" t="s">
        <v>826</v>
      </c>
      <c r="C190" t="s">
        <v>643</v>
      </c>
      <c r="D190" t="s">
        <v>825</v>
      </c>
      <c r="E190" t="s">
        <v>261</v>
      </c>
      <c r="H190" s="4">
        <f>184000*Conversion!$A$2</f>
        <v>16537.920000000002</v>
      </c>
      <c r="I190" t="s">
        <v>731</v>
      </c>
      <c r="J190" t="s">
        <v>472</v>
      </c>
      <c r="K190" t="s">
        <v>494</v>
      </c>
    </row>
    <row r="191" spans="1:14" hidden="1" x14ac:dyDescent="0.35">
      <c r="A191" t="s">
        <v>450</v>
      </c>
      <c r="B191" t="s">
        <v>585</v>
      </c>
      <c r="C191" t="s">
        <v>497</v>
      </c>
      <c r="D191" t="s">
        <v>827</v>
      </c>
      <c r="E191" t="s">
        <v>261</v>
      </c>
      <c r="H191" s="4">
        <f>315000*Conversion!$A$2</f>
        <v>28312.2</v>
      </c>
      <c r="I191" t="s">
        <v>731</v>
      </c>
      <c r="J191" t="s">
        <v>472</v>
      </c>
      <c r="K191" t="s">
        <v>483</v>
      </c>
    </row>
    <row r="192" spans="1:14" hidden="1" x14ac:dyDescent="0.35">
      <c r="A192" t="s">
        <v>450</v>
      </c>
      <c r="B192" t="s">
        <v>604</v>
      </c>
      <c r="C192" t="s">
        <v>486</v>
      </c>
      <c r="D192" t="s">
        <v>827</v>
      </c>
      <c r="E192" t="s">
        <v>261</v>
      </c>
      <c r="H192" s="4">
        <f>986000*Conversion!$A$2</f>
        <v>88621.680000000008</v>
      </c>
      <c r="I192" t="s">
        <v>731</v>
      </c>
      <c r="J192" t="s">
        <v>472</v>
      </c>
      <c r="K192" t="s">
        <v>483</v>
      </c>
    </row>
    <row r="193" spans="1:14" hidden="1" x14ac:dyDescent="0.35">
      <c r="A193" t="s">
        <v>450</v>
      </c>
      <c r="B193" t="s">
        <v>794</v>
      </c>
      <c r="C193" t="s">
        <v>486</v>
      </c>
      <c r="D193" t="s">
        <v>827</v>
      </c>
      <c r="E193" t="s">
        <v>261</v>
      </c>
      <c r="H193" s="4">
        <f>1301000*Conversion!$A$2</f>
        <v>116933.88</v>
      </c>
      <c r="I193" t="s">
        <v>731</v>
      </c>
      <c r="J193" t="s">
        <v>472</v>
      </c>
      <c r="K193" t="s">
        <v>483</v>
      </c>
    </row>
    <row r="194" spans="1:14" hidden="1" x14ac:dyDescent="0.35">
      <c r="A194" t="s">
        <v>450</v>
      </c>
      <c r="B194" t="s">
        <v>828</v>
      </c>
      <c r="C194" t="s">
        <v>667</v>
      </c>
      <c r="D194" t="s">
        <v>827</v>
      </c>
      <c r="E194" t="s">
        <v>261</v>
      </c>
      <c r="H194" s="4">
        <f>604000*Conversion!$A$2</f>
        <v>54287.520000000004</v>
      </c>
      <c r="I194" t="s">
        <v>731</v>
      </c>
      <c r="J194" t="s">
        <v>472</v>
      </c>
      <c r="K194" t="s">
        <v>483</v>
      </c>
    </row>
    <row r="195" spans="1:14" hidden="1" x14ac:dyDescent="0.35">
      <c r="A195" t="s">
        <v>450</v>
      </c>
      <c r="B195" t="s">
        <v>545</v>
      </c>
      <c r="C195" t="s">
        <v>475</v>
      </c>
      <c r="D195" t="s">
        <v>827</v>
      </c>
      <c r="E195" t="s">
        <v>261</v>
      </c>
      <c r="F195">
        <v>2006</v>
      </c>
      <c r="H195" s="4">
        <f>473000*Conversion!$A$2</f>
        <v>42513.24</v>
      </c>
      <c r="I195" t="s">
        <v>731</v>
      </c>
      <c r="J195" t="s">
        <v>472</v>
      </c>
      <c r="K195" t="s">
        <v>483</v>
      </c>
    </row>
    <row r="196" spans="1:14" hidden="1" x14ac:dyDescent="0.35">
      <c r="A196" t="s">
        <v>450</v>
      </c>
      <c r="B196" t="s">
        <v>829</v>
      </c>
      <c r="C196" t="s">
        <v>751</v>
      </c>
      <c r="D196" t="s">
        <v>827</v>
      </c>
      <c r="E196" t="s">
        <v>830</v>
      </c>
      <c r="F196">
        <v>2003</v>
      </c>
      <c r="H196" s="4">
        <f>394000*Conversion!$A$2</f>
        <v>35412.720000000001</v>
      </c>
      <c r="I196" t="s">
        <v>731</v>
      </c>
      <c r="J196" t="s">
        <v>472</v>
      </c>
      <c r="K196" t="s">
        <v>483</v>
      </c>
    </row>
    <row r="197" spans="1:14" hidden="1" x14ac:dyDescent="0.35">
      <c r="A197" t="s">
        <v>450</v>
      </c>
      <c r="B197" t="s">
        <v>831</v>
      </c>
      <c r="C197" t="s">
        <v>759</v>
      </c>
      <c r="D197" t="s">
        <v>832</v>
      </c>
      <c r="E197" t="s">
        <v>261</v>
      </c>
      <c r="F197">
        <v>1995</v>
      </c>
      <c r="H197" s="4">
        <f>5230000*Conversion!$A$2</f>
        <v>470072.4</v>
      </c>
      <c r="I197" t="s">
        <v>731</v>
      </c>
      <c r="J197" t="s">
        <v>472</v>
      </c>
      <c r="K197" t="s">
        <v>483</v>
      </c>
    </row>
    <row r="198" spans="1:14" hidden="1" x14ac:dyDescent="0.35">
      <c r="A198" t="s">
        <v>450</v>
      </c>
      <c r="B198" t="s">
        <v>833</v>
      </c>
      <c r="C198" t="s">
        <v>533</v>
      </c>
      <c r="D198" t="s">
        <v>834</v>
      </c>
      <c r="E198" t="s">
        <v>261</v>
      </c>
      <c r="H198" s="4">
        <f>39000*Conversion!$A$2</f>
        <v>3505.32</v>
      </c>
      <c r="I198" t="s">
        <v>731</v>
      </c>
      <c r="J198" t="s">
        <v>472</v>
      </c>
      <c r="K198" t="s">
        <v>503</v>
      </c>
      <c r="N198" s="7" t="s">
        <v>835</v>
      </c>
    </row>
    <row r="199" spans="1:14" hidden="1" x14ac:dyDescent="0.35">
      <c r="A199" t="s">
        <v>450</v>
      </c>
      <c r="B199" t="s">
        <v>836</v>
      </c>
      <c r="C199" t="s">
        <v>837</v>
      </c>
      <c r="D199" t="s">
        <v>838</v>
      </c>
      <c r="E199" t="s">
        <v>261</v>
      </c>
      <c r="H199" s="4">
        <f>999000*Conversion!$A$2</f>
        <v>89790.12</v>
      </c>
      <c r="I199" t="s">
        <v>731</v>
      </c>
      <c r="J199" t="s">
        <v>472</v>
      </c>
      <c r="K199" t="s">
        <v>483</v>
      </c>
    </row>
    <row r="200" spans="1:14" hidden="1" x14ac:dyDescent="0.35">
      <c r="A200" t="s">
        <v>450</v>
      </c>
      <c r="B200" t="s">
        <v>839</v>
      </c>
      <c r="C200" t="s">
        <v>479</v>
      </c>
      <c r="D200" t="s">
        <v>838</v>
      </c>
      <c r="E200" t="s">
        <v>261</v>
      </c>
      <c r="F200">
        <v>1993</v>
      </c>
      <c r="H200" s="4">
        <f>1472000*Conversion!$A$2</f>
        <v>132303.36000000002</v>
      </c>
      <c r="I200" t="s">
        <v>731</v>
      </c>
      <c r="J200" t="s">
        <v>472</v>
      </c>
      <c r="K200" t="s">
        <v>483</v>
      </c>
    </row>
    <row r="201" spans="1:14" hidden="1" x14ac:dyDescent="0.35">
      <c r="A201" t="s">
        <v>450</v>
      </c>
      <c r="B201" t="s">
        <v>839</v>
      </c>
      <c r="C201" t="s">
        <v>479</v>
      </c>
      <c r="D201" t="s">
        <v>838</v>
      </c>
      <c r="E201" t="s">
        <v>261</v>
      </c>
      <c r="F201">
        <v>2006</v>
      </c>
      <c r="H201" s="4">
        <f>1472000*Conversion!$A$2</f>
        <v>132303.36000000002</v>
      </c>
      <c r="I201" t="s">
        <v>731</v>
      </c>
      <c r="J201" t="s">
        <v>472</v>
      </c>
      <c r="K201" t="s">
        <v>483</v>
      </c>
    </row>
    <row r="202" spans="1:14" hidden="1" x14ac:dyDescent="0.35">
      <c r="A202" t="s">
        <v>450</v>
      </c>
      <c r="B202" t="s">
        <v>840</v>
      </c>
      <c r="C202" t="s">
        <v>751</v>
      </c>
      <c r="D202" t="s">
        <v>838</v>
      </c>
      <c r="E202" t="s">
        <v>261</v>
      </c>
      <c r="F202">
        <v>1993</v>
      </c>
      <c r="H202" s="4">
        <f>263000*Conversion!$A$2</f>
        <v>23638.44</v>
      </c>
      <c r="I202" t="s">
        <v>731</v>
      </c>
      <c r="J202" t="s">
        <v>472</v>
      </c>
      <c r="K202" t="s">
        <v>483</v>
      </c>
    </row>
    <row r="203" spans="1:14" hidden="1" x14ac:dyDescent="0.35">
      <c r="A203" t="s">
        <v>450</v>
      </c>
      <c r="B203" t="s">
        <v>841</v>
      </c>
      <c r="C203" t="s">
        <v>643</v>
      </c>
      <c r="D203" t="s">
        <v>842</v>
      </c>
      <c r="E203" t="s">
        <v>261</v>
      </c>
      <c r="H203" s="4">
        <f>1051000*Conversion!$A$2</f>
        <v>94463.88</v>
      </c>
      <c r="I203" t="s">
        <v>731</v>
      </c>
      <c r="J203" t="s">
        <v>472</v>
      </c>
      <c r="K203" t="s">
        <v>483</v>
      </c>
    </row>
    <row r="204" spans="1:14" hidden="1" x14ac:dyDescent="0.35">
      <c r="A204" t="s">
        <v>450</v>
      </c>
      <c r="B204" t="s">
        <v>712</v>
      </c>
      <c r="C204" t="s">
        <v>533</v>
      </c>
      <c r="D204" t="s">
        <v>843</v>
      </c>
      <c r="E204" t="s">
        <v>261</v>
      </c>
      <c r="H204" s="4">
        <f>273000*Conversion!$A$2</f>
        <v>24537.24</v>
      </c>
      <c r="I204" t="s">
        <v>731</v>
      </c>
      <c r="J204" t="s">
        <v>472</v>
      </c>
      <c r="K204" t="s">
        <v>483</v>
      </c>
    </row>
    <row r="205" spans="1:14" hidden="1" x14ac:dyDescent="0.35">
      <c r="A205" t="s">
        <v>450</v>
      </c>
      <c r="B205" t="s">
        <v>642</v>
      </c>
      <c r="C205" t="s">
        <v>643</v>
      </c>
      <c r="D205" t="s">
        <v>844</v>
      </c>
      <c r="E205" t="s">
        <v>261</v>
      </c>
      <c r="F205">
        <v>1978</v>
      </c>
      <c r="H205" s="4">
        <f>273000*Conversion!$A$2</f>
        <v>24537.24</v>
      </c>
      <c r="I205" t="s">
        <v>731</v>
      </c>
      <c r="J205" t="s">
        <v>472</v>
      </c>
      <c r="K205" t="s">
        <v>494</v>
      </c>
    </row>
    <row r="206" spans="1:14" hidden="1" x14ac:dyDescent="0.35">
      <c r="A206" t="s">
        <v>450</v>
      </c>
      <c r="B206" t="s">
        <v>845</v>
      </c>
      <c r="C206" t="s">
        <v>537</v>
      </c>
      <c r="D206" t="s">
        <v>846</v>
      </c>
      <c r="E206" t="s">
        <v>261</v>
      </c>
      <c r="H206" s="4">
        <f>76000*Conversion!$A$2</f>
        <v>6830.88</v>
      </c>
      <c r="I206" t="s">
        <v>731</v>
      </c>
      <c r="J206" t="s">
        <v>472</v>
      </c>
      <c r="K206" t="s">
        <v>494</v>
      </c>
      <c r="N206" t="s">
        <v>847</v>
      </c>
    </row>
    <row r="207" spans="1:14" hidden="1" x14ac:dyDescent="0.35">
      <c r="A207" t="s">
        <v>450</v>
      </c>
      <c r="B207" t="s">
        <v>467</v>
      </c>
      <c r="C207" t="s">
        <v>468</v>
      </c>
      <c r="D207" t="s">
        <v>848</v>
      </c>
      <c r="E207" t="s">
        <v>261</v>
      </c>
      <c r="H207" s="4">
        <f>53000*Conversion!$A$2</f>
        <v>4763.6400000000003</v>
      </c>
      <c r="I207" t="s">
        <v>731</v>
      </c>
      <c r="J207" t="s">
        <v>472</v>
      </c>
      <c r="K207" t="s">
        <v>483</v>
      </c>
    </row>
    <row r="208" spans="1:14" hidden="1" x14ac:dyDescent="0.35">
      <c r="A208" t="s">
        <v>450</v>
      </c>
      <c r="B208" t="s">
        <v>839</v>
      </c>
      <c r="C208" t="s">
        <v>564</v>
      </c>
      <c r="D208" t="s">
        <v>849</v>
      </c>
      <c r="E208" t="s">
        <v>261</v>
      </c>
      <c r="H208" s="4">
        <f>263000*Conversion!$A$2</f>
        <v>23638.44</v>
      </c>
      <c r="I208" t="s">
        <v>731</v>
      </c>
      <c r="J208" t="s">
        <v>472</v>
      </c>
      <c r="K208" t="s">
        <v>483</v>
      </c>
    </row>
    <row r="209" spans="1:14" hidden="1" x14ac:dyDescent="0.35">
      <c r="A209" t="s">
        <v>450</v>
      </c>
      <c r="B209" t="s">
        <v>693</v>
      </c>
      <c r="C209" t="s">
        <v>486</v>
      </c>
      <c r="D209" t="s">
        <v>850</v>
      </c>
      <c r="E209" t="s">
        <v>261</v>
      </c>
      <c r="F209">
        <v>1984</v>
      </c>
      <c r="H209" s="4">
        <f>181000*Conversion!$A$2</f>
        <v>16268.28</v>
      </c>
      <c r="I209" t="s">
        <v>731</v>
      </c>
      <c r="J209" t="s">
        <v>472</v>
      </c>
      <c r="K209" t="s">
        <v>483</v>
      </c>
    </row>
    <row r="210" spans="1:14" hidden="1" x14ac:dyDescent="0.35">
      <c r="A210" t="s">
        <v>450</v>
      </c>
      <c r="B210" t="s">
        <v>615</v>
      </c>
      <c r="C210" t="s">
        <v>497</v>
      </c>
      <c r="D210" t="s">
        <v>851</v>
      </c>
      <c r="E210" t="s">
        <v>261</v>
      </c>
      <c r="F210">
        <v>1983</v>
      </c>
      <c r="H210" s="4">
        <f>657000*Conversion!$A$2</f>
        <v>59051.16</v>
      </c>
      <c r="I210" t="s">
        <v>731</v>
      </c>
      <c r="J210" t="s">
        <v>472</v>
      </c>
      <c r="K210" t="s">
        <v>494</v>
      </c>
    </row>
    <row r="211" spans="1:14" hidden="1" x14ac:dyDescent="0.35">
      <c r="A211" t="s">
        <v>450</v>
      </c>
      <c r="B211" t="s">
        <v>587</v>
      </c>
      <c r="C211" t="s">
        <v>497</v>
      </c>
      <c r="D211" t="s">
        <v>852</v>
      </c>
      <c r="E211" t="s">
        <v>261</v>
      </c>
      <c r="F211">
        <v>1985</v>
      </c>
      <c r="H211" s="4">
        <f>1524000*Conversion!$A$2</f>
        <v>136977.12</v>
      </c>
      <c r="I211" t="s">
        <v>731</v>
      </c>
      <c r="J211" t="s">
        <v>472</v>
      </c>
      <c r="K211" t="s">
        <v>483</v>
      </c>
    </row>
    <row r="212" spans="1:14" hidden="1" x14ac:dyDescent="0.35">
      <c r="A212" t="s">
        <v>450</v>
      </c>
      <c r="B212" t="s">
        <v>853</v>
      </c>
      <c r="C212" t="s">
        <v>497</v>
      </c>
      <c r="D212" t="s">
        <v>852</v>
      </c>
      <c r="E212" t="s">
        <v>261</v>
      </c>
      <c r="H212" s="4">
        <f>1314000*Conversion!$A$2</f>
        <v>118102.32</v>
      </c>
      <c r="I212" t="s">
        <v>731</v>
      </c>
      <c r="J212" t="s">
        <v>472</v>
      </c>
      <c r="K212" t="s">
        <v>483</v>
      </c>
    </row>
    <row r="213" spans="1:14" hidden="1" x14ac:dyDescent="0.35">
      <c r="A213" t="s">
        <v>450</v>
      </c>
      <c r="B213" t="s">
        <v>854</v>
      </c>
      <c r="C213" t="s">
        <v>479</v>
      </c>
      <c r="D213" t="s">
        <v>855</v>
      </c>
      <c r="E213" t="s">
        <v>261</v>
      </c>
      <c r="H213" s="4">
        <f>1104000*Conversion!$A$2</f>
        <v>99227.520000000004</v>
      </c>
      <c r="I213" t="s">
        <v>731</v>
      </c>
      <c r="J213" t="s">
        <v>472</v>
      </c>
      <c r="K213" t="s">
        <v>483</v>
      </c>
    </row>
    <row r="214" spans="1:14" hidden="1" x14ac:dyDescent="0.35">
      <c r="A214" t="s">
        <v>450</v>
      </c>
      <c r="B214" t="s">
        <v>856</v>
      </c>
      <c r="C214" t="s">
        <v>759</v>
      </c>
      <c r="D214" t="s">
        <v>857</v>
      </c>
      <c r="E214" t="s">
        <v>261</v>
      </c>
      <c r="F214">
        <v>1993</v>
      </c>
      <c r="H214" s="4">
        <f>263000*Conversion!$A$2</f>
        <v>23638.44</v>
      </c>
      <c r="I214" t="s">
        <v>731</v>
      </c>
      <c r="J214" t="s">
        <v>472</v>
      </c>
      <c r="K214" t="s">
        <v>483</v>
      </c>
    </row>
    <row r="215" spans="1:14" hidden="1" x14ac:dyDescent="0.35">
      <c r="A215" t="s">
        <v>450</v>
      </c>
      <c r="B215" t="s">
        <v>858</v>
      </c>
      <c r="C215" t="s">
        <v>486</v>
      </c>
      <c r="D215" t="s">
        <v>859</v>
      </c>
      <c r="E215" t="s">
        <v>261</v>
      </c>
      <c r="H215" s="4">
        <f>420000*Conversion!$A$2</f>
        <v>37749.599999999999</v>
      </c>
      <c r="I215" t="s">
        <v>731</v>
      </c>
      <c r="J215" t="s">
        <v>472</v>
      </c>
      <c r="K215" t="s">
        <v>494</v>
      </c>
    </row>
    <row r="216" spans="1:14" hidden="1" x14ac:dyDescent="0.35">
      <c r="A216" t="s">
        <v>450</v>
      </c>
      <c r="B216" t="s">
        <v>527</v>
      </c>
      <c r="C216" t="s">
        <v>490</v>
      </c>
      <c r="D216" t="s">
        <v>860</v>
      </c>
      <c r="E216" t="s">
        <v>261</v>
      </c>
      <c r="F216">
        <v>1996</v>
      </c>
      <c r="H216" s="4">
        <f>(3154000+2759000)*Conversion!$A$2</f>
        <v>531460.44000000006</v>
      </c>
      <c r="I216" t="s">
        <v>731</v>
      </c>
      <c r="J216" t="s">
        <v>472</v>
      </c>
      <c r="K216" t="s">
        <v>483</v>
      </c>
    </row>
    <row r="217" spans="1:14" hidden="1" x14ac:dyDescent="0.35">
      <c r="A217" t="s">
        <v>450</v>
      </c>
      <c r="B217" t="s">
        <v>551</v>
      </c>
      <c r="C217" t="s">
        <v>490</v>
      </c>
      <c r="D217" t="s">
        <v>860</v>
      </c>
      <c r="E217" t="s">
        <v>261</v>
      </c>
      <c r="F217">
        <v>2020</v>
      </c>
      <c r="H217" s="4">
        <f>815000*Conversion!$A$2</f>
        <v>73252.2</v>
      </c>
      <c r="I217" t="s">
        <v>731</v>
      </c>
      <c r="J217" t="s">
        <v>472</v>
      </c>
      <c r="K217" t="s">
        <v>483</v>
      </c>
    </row>
    <row r="218" spans="1:14" hidden="1" x14ac:dyDescent="0.35">
      <c r="A218" t="s">
        <v>450</v>
      </c>
      <c r="B218" t="s">
        <v>580</v>
      </c>
      <c r="C218" t="s">
        <v>490</v>
      </c>
      <c r="D218" t="s">
        <v>860</v>
      </c>
      <c r="E218" t="s">
        <v>261</v>
      </c>
      <c r="F218">
        <v>2007</v>
      </c>
      <c r="H218" s="4">
        <f>(1445000+1445000)*Conversion!$A$2</f>
        <v>259753.2</v>
      </c>
      <c r="I218" t="s">
        <v>731</v>
      </c>
      <c r="J218" t="s">
        <v>472</v>
      </c>
      <c r="K218" t="s">
        <v>483</v>
      </c>
    </row>
    <row r="219" spans="1:14" hidden="1" x14ac:dyDescent="0.35">
      <c r="A219" t="s">
        <v>450</v>
      </c>
      <c r="B219" t="s">
        <v>861</v>
      </c>
      <c r="C219" t="s">
        <v>664</v>
      </c>
      <c r="D219" t="s">
        <v>862</v>
      </c>
      <c r="E219" t="s">
        <v>261</v>
      </c>
      <c r="F219">
        <v>1984</v>
      </c>
      <c r="H219" s="4">
        <f>355000*Conversion!$A$2</f>
        <v>31907.4</v>
      </c>
      <c r="I219" t="s">
        <v>731</v>
      </c>
      <c r="J219" t="s">
        <v>472</v>
      </c>
      <c r="K219" t="s">
        <v>483</v>
      </c>
    </row>
    <row r="220" spans="1:14" hidden="1" x14ac:dyDescent="0.35">
      <c r="A220" t="s">
        <v>450</v>
      </c>
      <c r="B220" t="s">
        <v>657</v>
      </c>
      <c r="C220" t="s">
        <v>533</v>
      </c>
      <c r="D220" t="s">
        <v>862</v>
      </c>
      <c r="E220" t="s">
        <v>261</v>
      </c>
      <c r="H220" s="4">
        <f>1367000*Conversion!$A$2</f>
        <v>122865.96</v>
      </c>
      <c r="I220" t="s">
        <v>731</v>
      </c>
      <c r="J220" t="s">
        <v>472</v>
      </c>
      <c r="K220" t="s">
        <v>483</v>
      </c>
    </row>
    <row r="221" spans="1:14" hidden="1" x14ac:dyDescent="0.35">
      <c r="A221" t="s">
        <v>450</v>
      </c>
      <c r="B221" t="s">
        <v>760</v>
      </c>
      <c r="C221" t="s">
        <v>540</v>
      </c>
      <c r="D221" t="s">
        <v>863</v>
      </c>
      <c r="E221" t="s">
        <v>261</v>
      </c>
      <c r="F221">
        <v>1980</v>
      </c>
      <c r="H221" s="4">
        <f>35000*Conversion!$A$2</f>
        <v>3145.8</v>
      </c>
      <c r="I221" t="s">
        <v>731</v>
      </c>
      <c r="J221" t="s">
        <v>472</v>
      </c>
      <c r="K221" t="s">
        <v>494</v>
      </c>
      <c r="N221" t="s">
        <v>864</v>
      </c>
    </row>
    <row r="222" spans="1:14" hidden="1" x14ac:dyDescent="0.35">
      <c r="A222" t="s">
        <v>450</v>
      </c>
      <c r="B222" t="s">
        <v>865</v>
      </c>
      <c r="C222" t="s">
        <v>497</v>
      </c>
      <c r="D222" t="s">
        <v>866</v>
      </c>
      <c r="E222" t="s">
        <v>261</v>
      </c>
      <c r="H222" s="4">
        <f>273000*Conversion!$A$2</f>
        <v>24537.24</v>
      </c>
      <c r="I222" t="s">
        <v>731</v>
      </c>
      <c r="J222" t="s">
        <v>472</v>
      </c>
      <c r="K222" t="s">
        <v>483</v>
      </c>
    </row>
    <row r="223" spans="1:14" hidden="1" x14ac:dyDescent="0.35">
      <c r="A223" t="s">
        <v>450</v>
      </c>
      <c r="B223" t="s">
        <v>828</v>
      </c>
      <c r="C223" t="s">
        <v>667</v>
      </c>
      <c r="D223" t="s">
        <v>866</v>
      </c>
      <c r="E223" t="s">
        <v>261</v>
      </c>
      <c r="F223">
        <v>2005</v>
      </c>
      <c r="H223" s="4">
        <f>(920000*3)*Conversion!$A$2</f>
        <v>248068.80000000002</v>
      </c>
      <c r="I223" t="s">
        <v>731</v>
      </c>
      <c r="J223" t="s">
        <v>472</v>
      </c>
      <c r="K223" t="s">
        <v>483</v>
      </c>
    </row>
    <row r="224" spans="1:14" hidden="1" x14ac:dyDescent="0.35">
      <c r="A224" t="s">
        <v>450</v>
      </c>
      <c r="B224" t="s">
        <v>867</v>
      </c>
      <c r="C224" t="s">
        <v>490</v>
      </c>
      <c r="D224" t="s">
        <v>868</v>
      </c>
      <c r="E224" t="s">
        <v>261</v>
      </c>
      <c r="F224">
        <v>1992</v>
      </c>
      <c r="H224" s="4">
        <f>2759000*Conversion!$A$2</f>
        <v>247978.92</v>
      </c>
      <c r="I224" t="s">
        <v>731</v>
      </c>
      <c r="J224" t="s">
        <v>472</v>
      </c>
      <c r="K224" t="s">
        <v>483</v>
      </c>
    </row>
    <row r="225" spans="1:14" hidden="1" x14ac:dyDescent="0.35">
      <c r="A225" t="s">
        <v>450</v>
      </c>
      <c r="B225" t="s">
        <v>869</v>
      </c>
      <c r="C225" t="s">
        <v>475</v>
      </c>
      <c r="D225" t="s">
        <v>868</v>
      </c>
      <c r="E225" t="s">
        <v>261</v>
      </c>
      <c r="F225">
        <v>2005</v>
      </c>
      <c r="H225" s="4">
        <f>4993000*Conversion!$A$2</f>
        <v>448770.84</v>
      </c>
      <c r="I225" t="s">
        <v>731</v>
      </c>
      <c r="J225" t="s">
        <v>472</v>
      </c>
      <c r="K225" t="s">
        <v>483</v>
      </c>
    </row>
    <row r="226" spans="1:14" hidden="1" x14ac:dyDescent="0.35">
      <c r="A226" t="s">
        <v>450</v>
      </c>
      <c r="B226" t="s">
        <v>870</v>
      </c>
      <c r="C226" t="s">
        <v>664</v>
      </c>
      <c r="D226" t="s">
        <v>868</v>
      </c>
      <c r="E226" t="s">
        <v>261</v>
      </c>
      <c r="F226">
        <v>2005</v>
      </c>
      <c r="H226" s="4">
        <f>578000*Conversion!$A$2</f>
        <v>51950.64</v>
      </c>
      <c r="I226" t="s">
        <v>731</v>
      </c>
      <c r="J226" t="s">
        <v>472</v>
      </c>
      <c r="K226" t="s">
        <v>483</v>
      </c>
    </row>
    <row r="227" spans="1:14" hidden="1" x14ac:dyDescent="0.35">
      <c r="A227" t="s">
        <v>450</v>
      </c>
      <c r="B227" t="s">
        <v>871</v>
      </c>
      <c r="C227" t="s">
        <v>812</v>
      </c>
      <c r="D227" t="s">
        <v>868</v>
      </c>
      <c r="E227" t="s">
        <v>261</v>
      </c>
      <c r="F227">
        <v>2005</v>
      </c>
      <c r="H227" s="4">
        <f>(920000*2)*Conversion!$A$2</f>
        <v>165379.20000000001</v>
      </c>
      <c r="I227" t="s">
        <v>731</v>
      </c>
      <c r="J227" t="s">
        <v>472</v>
      </c>
      <c r="K227" t="s">
        <v>483</v>
      </c>
    </row>
    <row r="228" spans="1:14" hidden="1" x14ac:dyDescent="0.35">
      <c r="A228" t="s">
        <v>450</v>
      </c>
      <c r="B228" t="s">
        <v>747</v>
      </c>
      <c r="C228" t="s">
        <v>490</v>
      </c>
      <c r="D228" t="s">
        <v>872</v>
      </c>
      <c r="E228" t="s">
        <v>261</v>
      </c>
      <c r="F228">
        <v>1989</v>
      </c>
      <c r="H228" s="4">
        <f>21000*Conversion!$A$2</f>
        <v>1887.48</v>
      </c>
      <c r="I228" t="s">
        <v>731</v>
      </c>
      <c r="J228" t="s">
        <v>472</v>
      </c>
      <c r="K228" t="s">
        <v>494</v>
      </c>
      <c r="N228" t="s">
        <v>873</v>
      </c>
    </row>
    <row r="229" spans="1:14" hidden="1" x14ac:dyDescent="0.35">
      <c r="A229" t="s">
        <v>450</v>
      </c>
      <c r="B229" t="s">
        <v>760</v>
      </c>
      <c r="C229" t="s">
        <v>540</v>
      </c>
      <c r="D229" t="s">
        <v>874</v>
      </c>
      <c r="E229" t="s">
        <v>261</v>
      </c>
      <c r="H229" s="4">
        <f>26000*Conversion!$A$2</f>
        <v>2336.88</v>
      </c>
      <c r="I229" t="s">
        <v>731</v>
      </c>
      <c r="J229" t="s">
        <v>472</v>
      </c>
      <c r="K229" t="s">
        <v>732</v>
      </c>
    </row>
    <row r="230" spans="1:14" hidden="1" x14ac:dyDescent="0.35">
      <c r="A230" t="s">
        <v>450</v>
      </c>
      <c r="B230" t="s">
        <v>875</v>
      </c>
      <c r="C230" t="s">
        <v>564</v>
      </c>
      <c r="D230" t="s">
        <v>876</v>
      </c>
      <c r="E230" t="s">
        <v>261</v>
      </c>
      <c r="F230">
        <v>1987</v>
      </c>
      <c r="H230" s="4">
        <f>26000*Conversion!$A$2</f>
        <v>2336.88</v>
      </c>
      <c r="I230" t="s">
        <v>731</v>
      </c>
      <c r="J230" t="s">
        <v>472</v>
      </c>
      <c r="K230" t="s">
        <v>732</v>
      </c>
    </row>
    <row r="231" spans="1:14" hidden="1" x14ac:dyDescent="0.35">
      <c r="A231" t="s">
        <v>450</v>
      </c>
      <c r="B231" t="s">
        <v>760</v>
      </c>
      <c r="C231" t="s">
        <v>540</v>
      </c>
      <c r="D231" t="s">
        <v>877</v>
      </c>
      <c r="E231" t="s">
        <v>261</v>
      </c>
      <c r="F231">
        <v>1976</v>
      </c>
      <c r="H231" s="4">
        <f>11000*Conversion!$A$2</f>
        <v>988.68000000000006</v>
      </c>
      <c r="I231" t="s">
        <v>731</v>
      </c>
      <c r="J231" t="s">
        <v>472</v>
      </c>
      <c r="K231" t="s">
        <v>732</v>
      </c>
    </row>
    <row r="232" spans="1:14" hidden="1" x14ac:dyDescent="0.35">
      <c r="A232" t="s">
        <v>450</v>
      </c>
      <c r="B232" t="s">
        <v>747</v>
      </c>
      <c r="C232" t="s">
        <v>490</v>
      </c>
      <c r="D232" t="s">
        <v>878</v>
      </c>
      <c r="E232" t="s">
        <v>261</v>
      </c>
      <c r="F232">
        <v>1997</v>
      </c>
      <c r="H232" s="4">
        <f>105000*Conversion!$A$2</f>
        <v>9437.4</v>
      </c>
      <c r="I232" t="s">
        <v>731</v>
      </c>
      <c r="J232" t="s">
        <v>472</v>
      </c>
      <c r="K232" t="s">
        <v>483</v>
      </c>
    </row>
    <row r="233" spans="1:14" hidden="1" x14ac:dyDescent="0.35">
      <c r="A233" t="s">
        <v>450</v>
      </c>
      <c r="B233" t="s">
        <v>505</v>
      </c>
      <c r="C233" t="s">
        <v>497</v>
      </c>
      <c r="D233" t="s">
        <v>879</v>
      </c>
      <c r="E233" t="s">
        <v>261</v>
      </c>
      <c r="H233" s="4">
        <f>746000*Conversion!$A$2</f>
        <v>67050.48</v>
      </c>
      <c r="I233" t="s">
        <v>731</v>
      </c>
      <c r="J233" t="s">
        <v>472</v>
      </c>
      <c r="K233" t="s">
        <v>494</v>
      </c>
    </row>
    <row r="234" spans="1:14" hidden="1" x14ac:dyDescent="0.35">
      <c r="A234" t="s">
        <v>450</v>
      </c>
      <c r="B234" t="s">
        <v>655</v>
      </c>
      <c r="C234" t="s">
        <v>643</v>
      </c>
      <c r="D234" t="s">
        <v>880</v>
      </c>
      <c r="E234" t="s">
        <v>261</v>
      </c>
      <c r="H234" s="4">
        <f>158000*Conversion!$A$2</f>
        <v>14201.04</v>
      </c>
      <c r="I234" t="s">
        <v>731</v>
      </c>
      <c r="J234" t="s">
        <v>472</v>
      </c>
      <c r="K234" t="s">
        <v>483</v>
      </c>
    </row>
    <row r="235" spans="1:14" hidden="1" x14ac:dyDescent="0.35">
      <c r="A235" t="s">
        <v>251</v>
      </c>
      <c r="B235" t="s">
        <v>881</v>
      </c>
      <c r="C235" t="s">
        <v>792</v>
      </c>
      <c r="D235" t="s">
        <v>880</v>
      </c>
      <c r="E235" t="s">
        <v>261</v>
      </c>
      <c r="H235" s="4">
        <f>499000*Conversion!$A$2</f>
        <v>44850.12</v>
      </c>
      <c r="I235" t="s">
        <v>731</v>
      </c>
      <c r="J235" t="s">
        <v>472</v>
      </c>
      <c r="K235" t="s">
        <v>483</v>
      </c>
    </row>
    <row r="236" spans="1:14" hidden="1" x14ac:dyDescent="0.35">
      <c r="A236" t="s">
        <v>450</v>
      </c>
      <c r="B236" t="s">
        <v>620</v>
      </c>
      <c r="C236" t="s">
        <v>486</v>
      </c>
      <c r="D236" t="s">
        <v>880</v>
      </c>
      <c r="E236" t="s">
        <v>261</v>
      </c>
      <c r="H236" s="4">
        <f>(1440000+928)*Conversion!$A$2</f>
        <v>129510.60864000001</v>
      </c>
      <c r="I236" t="s">
        <v>731</v>
      </c>
      <c r="J236" t="s">
        <v>472</v>
      </c>
      <c r="K236" t="s">
        <v>483</v>
      </c>
    </row>
    <row r="237" spans="1:14" hidden="1" x14ac:dyDescent="0.35">
      <c r="A237" t="s">
        <v>450</v>
      </c>
      <c r="B237" t="s">
        <v>496</v>
      </c>
      <c r="C237" t="s">
        <v>497</v>
      </c>
      <c r="D237" t="s">
        <v>880</v>
      </c>
      <c r="E237" t="s">
        <v>261</v>
      </c>
      <c r="H237" s="4">
        <f>32000*Conversion!$A$2</f>
        <v>2876.16</v>
      </c>
      <c r="I237" t="s">
        <v>731</v>
      </c>
      <c r="J237" t="s">
        <v>472</v>
      </c>
      <c r="K237" t="s">
        <v>494</v>
      </c>
      <c r="N237" t="s">
        <v>882</v>
      </c>
    </row>
    <row r="238" spans="1:14" hidden="1" x14ac:dyDescent="0.35">
      <c r="A238" t="s">
        <v>450</v>
      </c>
      <c r="B238" t="s">
        <v>820</v>
      </c>
      <c r="C238" t="s">
        <v>482</v>
      </c>
      <c r="D238" t="s">
        <v>883</v>
      </c>
      <c r="E238" t="s">
        <v>261</v>
      </c>
      <c r="F238">
        <v>1993</v>
      </c>
      <c r="H238" s="4">
        <f>126000*Conversion!$A$2</f>
        <v>11324.880000000001</v>
      </c>
      <c r="I238" t="s">
        <v>731</v>
      </c>
      <c r="J238" t="s">
        <v>472</v>
      </c>
      <c r="K238" t="s">
        <v>494</v>
      </c>
      <c r="N238" t="s">
        <v>884</v>
      </c>
    </row>
    <row r="239" spans="1:14" hidden="1" x14ac:dyDescent="0.35">
      <c r="A239" t="s">
        <v>450</v>
      </c>
      <c r="B239" t="s">
        <v>885</v>
      </c>
      <c r="C239" t="s">
        <v>513</v>
      </c>
      <c r="D239" t="s">
        <v>886</v>
      </c>
      <c r="E239" t="s">
        <v>261</v>
      </c>
      <c r="H239" s="4">
        <f>39000*Conversion!$A$2</f>
        <v>3505.32</v>
      </c>
      <c r="I239" t="s">
        <v>731</v>
      </c>
      <c r="J239" t="s">
        <v>472</v>
      </c>
      <c r="K239" t="s">
        <v>483</v>
      </c>
    </row>
    <row r="240" spans="1:14" hidden="1" x14ac:dyDescent="0.35">
      <c r="A240" t="s">
        <v>450</v>
      </c>
      <c r="B240" t="s">
        <v>887</v>
      </c>
      <c r="C240" t="s">
        <v>486</v>
      </c>
      <c r="D240" t="s">
        <v>888</v>
      </c>
      <c r="E240" t="s">
        <v>261</v>
      </c>
      <c r="F240">
        <v>2000</v>
      </c>
      <c r="H240" s="4">
        <f>8000*Conversion!$A$2</f>
        <v>719.04</v>
      </c>
      <c r="I240" t="s">
        <v>731</v>
      </c>
      <c r="J240" t="s">
        <v>472</v>
      </c>
      <c r="K240" t="s">
        <v>494</v>
      </c>
      <c r="N240" t="s">
        <v>889</v>
      </c>
    </row>
    <row r="241" spans="1:14" hidden="1" x14ac:dyDescent="0.35">
      <c r="A241" t="s">
        <v>450</v>
      </c>
      <c r="B241" t="s">
        <v>890</v>
      </c>
      <c r="C241" t="s">
        <v>891</v>
      </c>
      <c r="D241" t="s">
        <v>892</v>
      </c>
      <c r="E241" t="s">
        <v>261</v>
      </c>
      <c r="F241">
        <v>2005</v>
      </c>
      <c r="H241" s="4">
        <f>683000*Conversion!$A$2</f>
        <v>61388.04</v>
      </c>
      <c r="I241" t="s">
        <v>731</v>
      </c>
      <c r="J241" t="s">
        <v>472</v>
      </c>
      <c r="K241" t="s">
        <v>483</v>
      </c>
    </row>
    <row r="242" spans="1:14" hidden="1" x14ac:dyDescent="0.35">
      <c r="A242" t="s">
        <v>450</v>
      </c>
      <c r="B242" t="s">
        <v>893</v>
      </c>
      <c r="C242" t="s">
        <v>513</v>
      </c>
      <c r="D242" t="s">
        <v>894</v>
      </c>
      <c r="E242" t="s">
        <v>261</v>
      </c>
      <c r="H242" s="4">
        <f>158000*Conversion!$A$2</f>
        <v>14201.04</v>
      </c>
      <c r="I242" t="s">
        <v>731</v>
      </c>
      <c r="J242" t="s">
        <v>472</v>
      </c>
      <c r="K242" t="s">
        <v>483</v>
      </c>
    </row>
    <row r="243" spans="1:14" hidden="1" x14ac:dyDescent="0.35">
      <c r="A243" t="s">
        <v>450</v>
      </c>
      <c r="B243" t="s">
        <v>895</v>
      </c>
      <c r="C243" t="s">
        <v>896</v>
      </c>
      <c r="D243" t="s">
        <v>897</v>
      </c>
      <c r="E243" t="s">
        <v>261</v>
      </c>
      <c r="F243">
        <v>1984</v>
      </c>
      <c r="H243" s="4">
        <f>342000*Conversion!$A$2</f>
        <v>30738.959999999999</v>
      </c>
      <c r="I243" t="s">
        <v>731</v>
      </c>
      <c r="J243" t="s">
        <v>472</v>
      </c>
      <c r="K243" t="s">
        <v>483</v>
      </c>
    </row>
    <row r="244" spans="1:14" hidden="1" x14ac:dyDescent="0.35">
      <c r="A244" t="s">
        <v>450</v>
      </c>
      <c r="B244" t="s">
        <v>467</v>
      </c>
      <c r="C244" t="s">
        <v>468</v>
      </c>
      <c r="D244" t="s">
        <v>898</v>
      </c>
      <c r="E244" t="s">
        <v>261</v>
      </c>
      <c r="H244" s="4">
        <f>473000*Conversion!$A$2</f>
        <v>42513.24</v>
      </c>
      <c r="I244" t="s">
        <v>731</v>
      </c>
      <c r="J244" t="s">
        <v>472</v>
      </c>
      <c r="K244" t="s">
        <v>483</v>
      </c>
    </row>
    <row r="245" spans="1:14" hidden="1" x14ac:dyDescent="0.35">
      <c r="A245" t="s">
        <v>450</v>
      </c>
      <c r="B245" t="s">
        <v>899</v>
      </c>
      <c r="C245" t="s">
        <v>785</v>
      </c>
      <c r="D245" t="s">
        <v>900</v>
      </c>
      <c r="E245" t="s">
        <v>261</v>
      </c>
      <c r="F245">
        <v>1986</v>
      </c>
      <c r="H245" s="4">
        <f>21000*Conversion!$A$2</f>
        <v>1887.48</v>
      </c>
      <c r="I245" t="s">
        <v>731</v>
      </c>
      <c r="J245" t="s">
        <v>472</v>
      </c>
      <c r="K245" t="s">
        <v>901</v>
      </c>
    </row>
    <row r="246" spans="1:14" hidden="1" x14ac:dyDescent="0.35">
      <c r="A246" t="s">
        <v>450</v>
      </c>
      <c r="B246" t="s">
        <v>902</v>
      </c>
      <c r="C246" t="s">
        <v>812</v>
      </c>
      <c r="D246" t="s">
        <v>903</v>
      </c>
      <c r="E246" t="s">
        <v>261</v>
      </c>
      <c r="F246">
        <v>1993</v>
      </c>
      <c r="H246" s="4">
        <f>710000*Conversion!$A$2</f>
        <v>63814.8</v>
      </c>
      <c r="I246" t="s">
        <v>731</v>
      </c>
      <c r="J246" t="s">
        <v>472</v>
      </c>
      <c r="K246" t="s">
        <v>483</v>
      </c>
    </row>
    <row r="247" spans="1:14" hidden="1" x14ac:dyDescent="0.35">
      <c r="A247" t="s">
        <v>450</v>
      </c>
      <c r="B247" t="s">
        <v>904</v>
      </c>
      <c r="C247" t="s">
        <v>490</v>
      </c>
      <c r="D247" t="s">
        <v>903</v>
      </c>
      <c r="E247" t="s">
        <v>261</v>
      </c>
      <c r="F247">
        <v>1968</v>
      </c>
      <c r="H247" s="4">
        <f>3548000*Conversion!$A$2</f>
        <v>318894.24</v>
      </c>
      <c r="I247" t="s">
        <v>731</v>
      </c>
      <c r="J247" t="s">
        <v>472</v>
      </c>
      <c r="K247" t="s">
        <v>483</v>
      </c>
    </row>
    <row r="248" spans="1:14" hidden="1" x14ac:dyDescent="0.35">
      <c r="A248" t="s">
        <v>450</v>
      </c>
      <c r="B248" t="s">
        <v>517</v>
      </c>
      <c r="C248" t="s">
        <v>486</v>
      </c>
      <c r="D248" t="s">
        <v>903</v>
      </c>
      <c r="E248" t="s">
        <v>261</v>
      </c>
      <c r="F248">
        <v>1983</v>
      </c>
      <c r="H248" s="4">
        <f>5098000*Conversion!$A$2</f>
        <v>458208.24</v>
      </c>
      <c r="I248" t="s">
        <v>731</v>
      </c>
      <c r="J248" t="s">
        <v>472</v>
      </c>
      <c r="K248" t="s">
        <v>483</v>
      </c>
    </row>
    <row r="249" spans="1:14" hidden="1" x14ac:dyDescent="0.35">
      <c r="A249" t="s">
        <v>450</v>
      </c>
      <c r="B249" t="s">
        <v>760</v>
      </c>
      <c r="C249" t="s">
        <v>540</v>
      </c>
      <c r="D249" t="s">
        <v>903</v>
      </c>
      <c r="E249" t="s">
        <v>261</v>
      </c>
      <c r="F249">
        <v>2005</v>
      </c>
      <c r="H249" s="4">
        <f>1945000*Conversion!$A$2</f>
        <v>174816.6</v>
      </c>
      <c r="I249" t="s">
        <v>731</v>
      </c>
      <c r="J249" t="s">
        <v>472</v>
      </c>
      <c r="K249" t="s">
        <v>483</v>
      </c>
    </row>
    <row r="250" spans="1:14" hidden="1" x14ac:dyDescent="0.35">
      <c r="A250" t="s">
        <v>450</v>
      </c>
      <c r="B250" t="s">
        <v>566</v>
      </c>
      <c r="C250" t="s">
        <v>486</v>
      </c>
      <c r="D250" t="s">
        <v>903</v>
      </c>
      <c r="E250" t="s">
        <v>261</v>
      </c>
      <c r="F250">
        <v>2006</v>
      </c>
      <c r="H250" s="4">
        <f>788000*Conversion!$A$2</f>
        <v>70825.440000000002</v>
      </c>
      <c r="I250" t="s">
        <v>731</v>
      </c>
      <c r="J250" t="s">
        <v>472</v>
      </c>
      <c r="K250" t="s">
        <v>483</v>
      </c>
    </row>
    <row r="251" spans="1:14" hidden="1" x14ac:dyDescent="0.35">
      <c r="A251" t="s">
        <v>450</v>
      </c>
      <c r="B251" t="s">
        <v>693</v>
      </c>
      <c r="C251" t="s">
        <v>486</v>
      </c>
      <c r="D251" t="s">
        <v>903</v>
      </c>
      <c r="E251" t="s">
        <v>261</v>
      </c>
      <c r="F251">
        <v>1951</v>
      </c>
      <c r="H251" s="4">
        <f>2759000*Conversion!$A$2</f>
        <v>247978.92</v>
      </c>
      <c r="I251" t="s">
        <v>731</v>
      </c>
      <c r="J251" t="s">
        <v>472</v>
      </c>
      <c r="K251" t="s">
        <v>483</v>
      </c>
    </row>
    <row r="252" spans="1:14" hidden="1" x14ac:dyDescent="0.35">
      <c r="A252" t="s">
        <v>450</v>
      </c>
      <c r="B252" t="s">
        <v>905</v>
      </c>
      <c r="C252" t="s">
        <v>486</v>
      </c>
      <c r="D252" t="s">
        <v>903</v>
      </c>
      <c r="E252" t="s">
        <v>261</v>
      </c>
      <c r="F252">
        <v>1996</v>
      </c>
      <c r="H252" s="4">
        <f>263000*Conversion!$A$2</f>
        <v>23638.44</v>
      </c>
      <c r="I252" t="s">
        <v>731</v>
      </c>
      <c r="J252" t="s">
        <v>472</v>
      </c>
      <c r="K252" t="s">
        <v>483</v>
      </c>
    </row>
    <row r="253" spans="1:14" hidden="1" x14ac:dyDescent="0.35">
      <c r="A253" t="s">
        <v>450</v>
      </c>
      <c r="B253" t="s">
        <v>580</v>
      </c>
      <c r="C253" t="s">
        <v>490</v>
      </c>
      <c r="D253" t="s">
        <v>903</v>
      </c>
      <c r="E253" t="s">
        <v>261</v>
      </c>
      <c r="F253">
        <v>1979</v>
      </c>
      <c r="H253" s="4">
        <f>1314000*Conversion!$A$2</f>
        <v>118102.32</v>
      </c>
      <c r="I253" t="s">
        <v>731</v>
      </c>
      <c r="J253" t="s">
        <v>472</v>
      </c>
      <c r="K253" t="s">
        <v>483</v>
      </c>
    </row>
    <row r="254" spans="1:14" hidden="1" x14ac:dyDescent="0.35">
      <c r="A254" t="s">
        <v>450</v>
      </c>
      <c r="B254" t="s">
        <v>906</v>
      </c>
      <c r="C254" t="s">
        <v>482</v>
      </c>
      <c r="D254" t="s">
        <v>907</v>
      </c>
      <c r="E254" t="s">
        <v>261</v>
      </c>
      <c r="H254" s="4"/>
      <c r="I254" t="s">
        <v>731</v>
      </c>
      <c r="J254" t="s">
        <v>472</v>
      </c>
      <c r="K254" t="s">
        <v>503</v>
      </c>
      <c r="N254" t="s">
        <v>908</v>
      </c>
    </row>
    <row r="255" spans="1:14" hidden="1" x14ac:dyDescent="0.35">
      <c r="A255" t="s">
        <v>450</v>
      </c>
      <c r="B255" t="s">
        <v>801</v>
      </c>
      <c r="C255" t="s">
        <v>486</v>
      </c>
      <c r="D255" t="s">
        <v>909</v>
      </c>
      <c r="E255" t="s">
        <v>261</v>
      </c>
      <c r="F255">
        <v>2005</v>
      </c>
      <c r="H255" s="4">
        <f>(263000+2365000)*Conversion!$A$2</f>
        <v>236204.64</v>
      </c>
      <c r="I255" t="s">
        <v>731</v>
      </c>
      <c r="J255" t="s">
        <v>472</v>
      </c>
      <c r="K255" t="s">
        <v>483</v>
      </c>
    </row>
    <row r="256" spans="1:14" hidden="1" x14ac:dyDescent="0.35">
      <c r="A256" t="s">
        <v>450</v>
      </c>
      <c r="B256" t="s">
        <v>910</v>
      </c>
      <c r="C256" t="s">
        <v>475</v>
      </c>
      <c r="D256" t="s">
        <v>909</v>
      </c>
      <c r="E256" t="s">
        <v>261</v>
      </c>
      <c r="F256">
        <v>2005</v>
      </c>
      <c r="H256" s="4">
        <f>(4993000+1183000)*Conversion!$A$2</f>
        <v>555098.88</v>
      </c>
      <c r="I256" t="s">
        <v>731</v>
      </c>
      <c r="J256" t="s">
        <v>472</v>
      </c>
      <c r="K256" t="s">
        <v>483</v>
      </c>
    </row>
    <row r="257" spans="1:14" hidden="1" x14ac:dyDescent="0.35">
      <c r="A257" t="s">
        <v>450</v>
      </c>
      <c r="B257" t="s">
        <v>911</v>
      </c>
      <c r="C257" t="s">
        <v>533</v>
      </c>
      <c r="D257" t="s">
        <v>912</v>
      </c>
      <c r="E257" t="s">
        <v>498</v>
      </c>
      <c r="H257" s="4"/>
      <c r="I257" t="s">
        <v>471</v>
      </c>
      <c r="J257" t="s">
        <v>472</v>
      </c>
      <c r="K257" t="s">
        <v>913</v>
      </c>
    </row>
    <row r="258" spans="1:14" hidden="1" x14ac:dyDescent="0.35">
      <c r="A258" t="s">
        <v>450</v>
      </c>
      <c r="B258" t="s">
        <v>496</v>
      </c>
      <c r="C258" t="s">
        <v>497</v>
      </c>
      <c r="D258" t="s">
        <v>914</v>
      </c>
      <c r="E258" t="s">
        <v>498</v>
      </c>
      <c r="H258" s="4"/>
      <c r="I258" t="s">
        <v>471</v>
      </c>
      <c r="J258" t="s">
        <v>472</v>
      </c>
      <c r="K258" t="s">
        <v>494</v>
      </c>
      <c r="N258" s="7" t="s">
        <v>915</v>
      </c>
    </row>
    <row r="259" spans="1:14" hidden="1" x14ac:dyDescent="0.35">
      <c r="A259" t="s">
        <v>450</v>
      </c>
      <c r="B259" t="s">
        <v>604</v>
      </c>
      <c r="C259" t="s">
        <v>486</v>
      </c>
      <c r="D259" t="s">
        <v>807</v>
      </c>
      <c r="E259" t="s">
        <v>498</v>
      </c>
      <c r="H259" s="4">
        <f>286000*Conversion!$A$2</f>
        <v>25705.68</v>
      </c>
      <c r="I259" t="s">
        <v>471</v>
      </c>
      <c r="J259" t="s">
        <v>472</v>
      </c>
      <c r="K259" t="s">
        <v>483</v>
      </c>
    </row>
    <row r="260" spans="1:14" hidden="1" x14ac:dyDescent="0.35">
      <c r="A260" t="s">
        <v>450</v>
      </c>
      <c r="B260" t="s">
        <v>599</v>
      </c>
      <c r="C260" t="s">
        <v>497</v>
      </c>
      <c r="D260" t="s">
        <v>916</v>
      </c>
      <c r="E260" t="s">
        <v>498</v>
      </c>
      <c r="H260" s="4">
        <f>1079000*Conversion!$A$2</f>
        <v>96980.52</v>
      </c>
      <c r="I260" t="s">
        <v>471</v>
      </c>
      <c r="J260" t="s">
        <v>472</v>
      </c>
      <c r="K260" t="s">
        <v>483</v>
      </c>
      <c r="N260" s="7" t="s">
        <v>917</v>
      </c>
    </row>
    <row r="261" spans="1:14" hidden="1" x14ac:dyDescent="0.35">
      <c r="A261" t="s">
        <v>450</v>
      </c>
      <c r="B261" t="s">
        <v>693</v>
      </c>
      <c r="C261" t="s">
        <v>486</v>
      </c>
      <c r="D261" t="s">
        <v>916</v>
      </c>
      <c r="E261" t="s">
        <v>498</v>
      </c>
      <c r="H261" s="4"/>
      <c r="I261" t="s">
        <v>471</v>
      </c>
      <c r="J261" t="s">
        <v>472</v>
      </c>
      <c r="K261" t="s">
        <v>483</v>
      </c>
      <c r="N261" s="7" t="s">
        <v>918</v>
      </c>
    </row>
    <row r="262" spans="1:14" hidden="1" x14ac:dyDescent="0.35">
      <c r="A262" t="s">
        <v>450</v>
      </c>
      <c r="B262" t="s">
        <v>693</v>
      </c>
      <c r="C262" t="s">
        <v>486</v>
      </c>
      <c r="D262" t="s">
        <v>916</v>
      </c>
      <c r="E262" t="s">
        <v>498</v>
      </c>
      <c r="H262" s="4"/>
      <c r="I262" t="s">
        <v>471</v>
      </c>
      <c r="J262" t="s">
        <v>472</v>
      </c>
      <c r="N262" s="7" t="s">
        <v>919</v>
      </c>
    </row>
    <row r="263" spans="1:14" hidden="1" x14ac:dyDescent="0.35">
      <c r="A263" t="s">
        <v>450</v>
      </c>
      <c r="B263" t="s">
        <v>920</v>
      </c>
      <c r="C263" t="s">
        <v>486</v>
      </c>
      <c r="D263" t="s">
        <v>921</v>
      </c>
      <c r="E263" t="s">
        <v>498</v>
      </c>
      <c r="I263" t="s">
        <v>471</v>
      </c>
      <c r="J263" t="s">
        <v>472</v>
      </c>
      <c r="K263" t="s">
        <v>494</v>
      </c>
      <c r="N263" s="7" t="s">
        <v>922</v>
      </c>
    </row>
    <row r="264" spans="1:14" hidden="1" x14ac:dyDescent="0.35">
      <c r="A264" t="s">
        <v>450</v>
      </c>
      <c r="B264" t="s">
        <v>923</v>
      </c>
      <c r="C264" t="s">
        <v>799</v>
      </c>
      <c r="D264" t="s">
        <v>924</v>
      </c>
      <c r="E264" t="s">
        <v>498</v>
      </c>
      <c r="H264" s="4">
        <f>365000*Conversion!$A$2</f>
        <v>32806.199999999997</v>
      </c>
      <c r="I264" t="s">
        <v>471</v>
      </c>
      <c r="J264" t="s">
        <v>472</v>
      </c>
      <c r="K264" t="s">
        <v>494</v>
      </c>
      <c r="N264" s="7" t="s">
        <v>925</v>
      </c>
    </row>
    <row r="265" spans="1:14" hidden="1" x14ac:dyDescent="0.35">
      <c r="A265" t="s">
        <v>450</v>
      </c>
      <c r="B265" t="s">
        <v>926</v>
      </c>
      <c r="C265" t="s">
        <v>482</v>
      </c>
      <c r="D265" t="s">
        <v>924</v>
      </c>
      <c r="E265" t="s">
        <v>498</v>
      </c>
      <c r="H265" s="4">
        <f>108000*Conversion!$A$2</f>
        <v>9707.0400000000009</v>
      </c>
      <c r="I265" t="s">
        <v>471</v>
      </c>
      <c r="J265" t="s">
        <v>472</v>
      </c>
      <c r="K265" t="s">
        <v>913</v>
      </c>
      <c r="N265" s="7" t="s">
        <v>927</v>
      </c>
    </row>
    <row r="266" spans="1:14" hidden="1" x14ac:dyDescent="0.35">
      <c r="A266" t="s">
        <v>450</v>
      </c>
      <c r="B266" t="s">
        <v>700</v>
      </c>
      <c r="C266" t="s">
        <v>486</v>
      </c>
      <c r="D266" t="s">
        <v>928</v>
      </c>
      <c r="E266" t="s">
        <v>498</v>
      </c>
      <c r="H266" s="4">
        <f>2265000*Conversion!$A$2</f>
        <v>203578.2</v>
      </c>
      <c r="I266" t="s">
        <v>471</v>
      </c>
      <c r="J266" t="s">
        <v>472</v>
      </c>
      <c r="K266" t="s">
        <v>494</v>
      </c>
      <c r="N266" s="7" t="s">
        <v>929</v>
      </c>
    </row>
    <row r="267" spans="1:14" hidden="1" x14ac:dyDescent="0.35">
      <c r="A267" t="s">
        <v>450</v>
      </c>
      <c r="B267" t="s">
        <v>930</v>
      </c>
      <c r="C267" t="s">
        <v>931</v>
      </c>
      <c r="D267" t="s">
        <v>928</v>
      </c>
      <c r="E267" t="s">
        <v>498</v>
      </c>
      <c r="H267" s="4">
        <f>59000*Conversion!$A$2</f>
        <v>5302.92</v>
      </c>
      <c r="I267" t="s">
        <v>471</v>
      </c>
      <c r="J267" t="s">
        <v>472</v>
      </c>
      <c r="K267" t="s">
        <v>494</v>
      </c>
      <c r="N267" s="7" t="s">
        <v>932</v>
      </c>
    </row>
    <row r="268" spans="1:14" hidden="1" x14ac:dyDescent="0.35">
      <c r="A268" t="s">
        <v>450</v>
      </c>
      <c r="B268" t="s">
        <v>933</v>
      </c>
      <c r="C268" t="s">
        <v>683</v>
      </c>
      <c r="D268" t="s">
        <v>928</v>
      </c>
      <c r="E268" t="s">
        <v>498</v>
      </c>
      <c r="H268" s="4">
        <f>184000*Conversion!$A$2</f>
        <v>16537.920000000002</v>
      </c>
      <c r="I268" t="s">
        <v>471</v>
      </c>
      <c r="J268" t="s">
        <v>472</v>
      </c>
      <c r="N268" s="7" t="s">
        <v>934</v>
      </c>
    </row>
    <row r="269" spans="1:14" hidden="1" x14ac:dyDescent="0.35">
      <c r="A269" t="s">
        <v>450</v>
      </c>
      <c r="B269" t="s">
        <v>585</v>
      </c>
      <c r="C269" t="s">
        <v>497</v>
      </c>
      <c r="D269" t="s">
        <v>935</v>
      </c>
      <c r="E269" t="s">
        <v>498</v>
      </c>
      <c r="H269" s="4">
        <f>156000*Conversion!$A$2</f>
        <v>14021.28</v>
      </c>
      <c r="I269" t="s">
        <v>471</v>
      </c>
      <c r="J269" t="s">
        <v>472</v>
      </c>
      <c r="K269" t="s">
        <v>913</v>
      </c>
    </row>
    <row r="270" spans="1:14" hidden="1" x14ac:dyDescent="0.35">
      <c r="A270" t="s">
        <v>450</v>
      </c>
      <c r="B270" t="s">
        <v>936</v>
      </c>
      <c r="C270" t="s">
        <v>486</v>
      </c>
      <c r="D270" t="s">
        <v>935</v>
      </c>
      <c r="E270" t="s">
        <v>498</v>
      </c>
      <c r="H270" s="4">
        <f>720000*Conversion!$A$2</f>
        <v>64713.599999999999</v>
      </c>
      <c r="I270" t="s">
        <v>471</v>
      </c>
      <c r="J270" t="s">
        <v>472</v>
      </c>
      <c r="K270" t="s">
        <v>494</v>
      </c>
      <c r="N270" s="7" t="s">
        <v>937</v>
      </c>
    </row>
    <row r="271" spans="1:14" hidden="1" x14ac:dyDescent="0.35">
      <c r="A271" t="s">
        <v>450</v>
      </c>
      <c r="B271" t="s">
        <v>938</v>
      </c>
      <c r="C271" t="s">
        <v>683</v>
      </c>
      <c r="D271" t="s">
        <v>939</v>
      </c>
      <c r="E271" t="s">
        <v>498</v>
      </c>
      <c r="H271" s="4">
        <f>238000*Conversion!$A$2</f>
        <v>21391.439999999999</v>
      </c>
      <c r="I271" t="s">
        <v>471</v>
      </c>
      <c r="J271" t="s">
        <v>472</v>
      </c>
    </row>
    <row r="272" spans="1:14" hidden="1" x14ac:dyDescent="0.35">
      <c r="A272" t="s">
        <v>450</v>
      </c>
      <c r="B272" t="s">
        <v>940</v>
      </c>
      <c r="C272" t="s">
        <v>941</v>
      </c>
      <c r="D272" t="s">
        <v>939</v>
      </c>
      <c r="E272" t="s">
        <v>498</v>
      </c>
      <c r="H272" s="4">
        <f>150000*Conversion!$A$2</f>
        <v>13482</v>
      </c>
      <c r="I272" t="s">
        <v>471</v>
      </c>
      <c r="J272" t="s">
        <v>472</v>
      </c>
    </row>
    <row r="273" spans="1:14" hidden="1" x14ac:dyDescent="0.35">
      <c r="A273" t="s">
        <v>450</v>
      </c>
      <c r="B273" t="s">
        <v>517</v>
      </c>
      <c r="C273" t="s">
        <v>486</v>
      </c>
      <c r="D273" t="s">
        <v>942</v>
      </c>
      <c r="E273" t="s">
        <v>498</v>
      </c>
      <c r="H273" s="4">
        <f>991000*Conversion!$A$2</f>
        <v>89071.08</v>
      </c>
      <c r="I273" t="s">
        <v>471</v>
      </c>
      <c r="J273" t="s">
        <v>472</v>
      </c>
      <c r="K273" t="s">
        <v>494</v>
      </c>
    </row>
    <row r="274" spans="1:14" hidden="1" x14ac:dyDescent="0.35">
      <c r="A274" t="s">
        <v>450</v>
      </c>
      <c r="B274" t="s">
        <v>587</v>
      </c>
      <c r="C274" t="s">
        <v>497</v>
      </c>
      <c r="D274" t="s">
        <v>943</v>
      </c>
      <c r="E274" t="s">
        <v>498</v>
      </c>
      <c r="H274" s="4">
        <f>300000*Conversion!$A$2</f>
        <v>26964</v>
      </c>
      <c r="I274" t="s">
        <v>471</v>
      </c>
      <c r="J274" t="s">
        <v>472</v>
      </c>
      <c r="K274" t="s">
        <v>913</v>
      </c>
      <c r="N274" s="7" t="s">
        <v>944</v>
      </c>
    </row>
    <row r="275" spans="1:14" hidden="1" x14ac:dyDescent="0.35">
      <c r="A275" t="s">
        <v>450</v>
      </c>
      <c r="B275" t="s">
        <v>517</v>
      </c>
      <c r="C275" t="s">
        <v>486</v>
      </c>
      <c r="D275" t="s">
        <v>943</v>
      </c>
      <c r="E275" t="s">
        <v>498</v>
      </c>
      <c r="H275" s="4">
        <f>456000*Conversion!$A$2</f>
        <v>40985.279999999999</v>
      </c>
      <c r="I275" t="s">
        <v>471</v>
      </c>
      <c r="J275" t="s">
        <v>472</v>
      </c>
      <c r="K275" t="s">
        <v>913</v>
      </c>
      <c r="N275" s="7" t="s">
        <v>945</v>
      </c>
    </row>
    <row r="276" spans="1:14" hidden="1" x14ac:dyDescent="0.35">
      <c r="A276" t="s">
        <v>450</v>
      </c>
      <c r="B276" t="s">
        <v>620</v>
      </c>
      <c r="C276" t="s">
        <v>486</v>
      </c>
      <c r="D276" t="s">
        <v>943</v>
      </c>
      <c r="E276" t="s">
        <v>498</v>
      </c>
      <c r="H276" s="4">
        <f>286000*Conversion!$A$2</f>
        <v>25705.68</v>
      </c>
      <c r="I276" t="s">
        <v>471</v>
      </c>
      <c r="J276" t="s">
        <v>472</v>
      </c>
      <c r="K276" t="s">
        <v>913</v>
      </c>
      <c r="N276" s="7" t="s">
        <v>946</v>
      </c>
    </row>
    <row r="277" spans="1:14" hidden="1" x14ac:dyDescent="0.35">
      <c r="A277" t="s">
        <v>450</v>
      </c>
      <c r="B277" t="s">
        <v>496</v>
      </c>
      <c r="C277" t="s">
        <v>497</v>
      </c>
      <c r="D277" t="s">
        <v>943</v>
      </c>
      <c r="E277" t="s">
        <v>498</v>
      </c>
      <c r="H277" s="4">
        <f>212000*Conversion!$A$2</f>
        <v>19054.560000000001</v>
      </c>
      <c r="I277" t="s">
        <v>471</v>
      </c>
      <c r="J277" t="s">
        <v>472</v>
      </c>
      <c r="K277" t="s">
        <v>913</v>
      </c>
      <c r="N277" s="7" t="s">
        <v>947</v>
      </c>
    </row>
    <row r="278" spans="1:14" hidden="1" x14ac:dyDescent="0.35">
      <c r="A278" t="s">
        <v>450</v>
      </c>
      <c r="B278" t="s">
        <v>521</v>
      </c>
      <c r="C278" t="s">
        <v>486</v>
      </c>
      <c r="D278" t="s">
        <v>943</v>
      </c>
      <c r="E278" t="s">
        <v>498</v>
      </c>
      <c r="H278" s="4">
        <f>413000*Conversion!$A$2</f>
        <v>37120.44</v>
      </c>
      <c r="I278" t="s">
        <v>471</v>
      </c>
      <c r="J278" t="s">
        <v>472</v>
      </c>
      <c r="K278" t="s">
        <v>913</v>
      </c>
      <c r="N278" s="7" t="s">
        <v>948</v>
      </c>
    </row>
    <row r="279" spans="1:14" hidden="1" x14ac:dyDescent="0.35">
      <c r="A279" t="s">
        <v>450</v>
      </c>
      <c r="B279" t="s">
        <v>716</v>
      </c>
      <c r="C279" t="s">
        <v>643</v>
      </c>
      <c r="D279" t="s">
        <v>943</v>
      </c>
      <c r="E279" t="s">
        <v>498</v>
      </c>
      <c r="H279" s="4">
        <f>37000*Conversion!$A$2</f>
        <v>3325.56</v>
      </c>
      <c r="I279" t="s">
        <v>471</v>
      </c>
      <c r="J279" t="s">
        <v>472</v>
      </c>
      <c r="K279" t="s">
        <v>913</v>
      </c>
      <c r="N279" s="7" t="s">
        <v>949</v>
      </c>
    </row>
    <row r="280" spans="1:14" hidden="1" x14ac:dyDescent="0.35">
      <c r="A280" t="s">
        <v>450</v>
      </c>
      <c r="B280" t="s">
        <v>950</v>
      </c>
      <c r="C280" t="s">
        <v>548</v>
      </c>
      <c r="D280" t="s">
        <v>943</v>
      </c>
      <c r="E280" t="s">
        <v>498</v>
      </c>
      <c r="H280" s="4">
        <f>266000*Conversion!$A$2</f>
        <v>23908.080000000002</v>
      </c>
      <c r="I280" t="s">
        <v>471</v>
      </c>
      <c r="J280" t="s">
        <v>472</v>
      </c>
      <c r="K280" t="s">
        <v>913</v>
      </c>
      <c r="N280" s="7" t="s">
        <v>951</v>
      </c>
    </row>
    <row r="281" spans="1:14" hidden="1" x14ac:dyDescent="0.35">
      <c r="A281" t="s">
        <v>450</v>
      </c>
      <c r="B281" t="s">
        <v>602</v>
      </c>
      <c r="C281" t="s">
        <v>497</v>
      </c>
      <c r="D281" t="s">
        <v>943</v>
      </c>
      <c r="E281" t="s">
        <v>498</v>
      </c>
      <c r="H281" s="4">
        <f>620000*Conversion!$A$2</f>
        <v>55725.599999999999</v>
      </c>
      <c r="I281" t="s">
        <v>471</v>
      </c>
      <c r="J281" t="s">
        <v>472</v>
      </c>
      <c r="K281" t="s">
        <v>913</v>
      </c>
      <c r="N281" s="7" t="s">
        <v>952</v>
      </c>
    </row>
    <row r="282" spans="1:14" hidden="1" x14ac:dyDescent="0.35">
      <c r="A282" t="s">
        <v>450</v>
      </c>
      <c r="B282" t="s">
        <v>790</v>
      </c>
      <c r="C282" t="s">
        <v>479</v>
      </c>
      <c r="D282" t="s">
        <v>943</v>
      </c>
      <c r="E282" t="s">
        <v>498</v>
      </c>
      <c r="H282" s="4">
        <f>207000*Conversion!$A$2</f>
        <v>18605.16</v>
      </c>
      <c r="I282" t="s">
        <v>471</v>
      </c>
      <c r="J282" t="s">
        <v>472</v>
      </c>
      <c r="K282" t="s">
        <v>494</v>
      </c>
      <c r="N282" s="7" t="s">
        <v>953</v>
      </c>
    </row>
    <row r="283" spans="1:14" hidden="1" x14ac:dyDescent="0.35">
      <c r="A283" t="s">
        <v>450</v>
      </c>
      <c r="B283" t="s">
        <v>938</v>
      </c>
      <c r="C283" t="s">
        <v>683</v>
      </c>
      <c r="D283" t="s">
        <v>954</v>
      </c>
      <c r="E283" t="s">
        <v>498</v>
      </c>
      <c r="H283" s="4">
        <f>88000*Conversion!$A$2</f>
        <v>7909.4400000000005</v>
      </c>
      <c r="I283" t="s">
        <v>471</v>
      </c>
      <c r="J283" t="s">
        <v>472</v>
      </c>
      <c r="K283" t="s">
        <v>913</v>
      </c>
      <c r="N283" s="7" t="s">
        <v>955</v>
      </c>
    </row>
    <row r="284" spans="1:14" hidden="1" x14ac:dyDescent="0.35">
      <c r="A284" t="s">
        <v>450</v>
      </c>
      <c r="B284" t="s">
        <v>630</v>
      </c>
      <c r="C284" t="s">
        <v>540</v>
      </c>
      <c r="D284" t="s">
        <v>954</v>
      </c>
      <c r="E284" t="s">
        <v>498</v>
      </c>
      <c r="H284" s="4">
        <f>207000*Conversion!$A$2</f>
        <v>18605.16</v>
      </c>
      <c r="I284" t="s">
        <v>471</v>
      </c>
      <c r="J284" t="s">
        <v>472</v>
      </c>
      <c r="K284" t="s">
        <v>913</v>
      </c>
      <c r="N284" s="7" t="s">
        <v>956</v>
      </c>
    </row>
    <row r="285" spans="1:14" hidden="1" x14ac:dyDescent="0.35">
      <c r="A285" t="s">
        <v>450</v>
      </c>
      <c r="B285" t="s">
        <v>957</v>
      </c>
      <c r="C285" t="s">
        <v>958</v>
      </c>
      <c r="D285" t="s">
        <v>954</v>
      </c>
      <c r="E285" t="s">
        <v>498</v>
      </c>
      <c r="H285" s="4">
        <f>97000*Conversion!$A$2</f>
        <v>8718.36</v>
      </c>
      <c r="I285" t="s">
        <v>471</v>
      </c>
      <c r="J285" t="s">
        <v>472</v>
      </c>
      <c r="K285" t="s">
        <v>913</v>
      </c>
      <c r="N285" s="7" t="s">
        <v>959</v>
      </c>
    </row>
    <row r="286" spans="1:14" hidden="1" x14ac:dyDescent="0.35">
      <c r="A286" t="s">
        <v>450</v>
      </c>
      <c r="B286" t="s">
        <v>650</v>
      </c>
      <c r="C286" t="s">
        <v>643</v>
      </c>
      <c r="D286" t="s">
        <v>954</v>
      </c>
      <c r="E286" t="s">
        <v>498</v>
      </c>
      <c r="H286" s="4">
        <f>496000*Conversion!$A$2</f>
        <v>44580.480000000003</v>
      </c>
      <c r="I286" t="s">
        <v>471</v>
      </c>
      <c r="J286" t="s">
        <v>472</v>
      </c>
      <c r="N286" s="7" t="s">
        <v>960</v>
      </c>
    </row>
    <row r="287" spans="1:14" hidden="1" x14ac:dyDescent="0.35">
      <c r="A287" t="s">
        <v>450</v>
      </c>
      <c r="B287" t="s">
        <v>950</v>
      </c>
      <c r="C287" t="s">
        <v>548</v>
      </c>
      <c r="D287" t="s">
        <v>954</v>
      </c>
      <c r="E287" t="s">
        <v>498</v>
      </c>
      <c r="H287" s="4">
        <f>198000*Conversion!$A$2</f>
        <v>17796.240000000002</v>
      </c>
      <c r="I287" t="s">
        <v>471</v>
      </c>
      <c r="J287" t="s">
        <v>472</v>
      </c>
      <c r="N287" s="7" t="s">
        <v>961</v>
      </c>
    </row>
    <row r="288" spans="1:14" hidden="1" x14ac:dyDescent="0.35">
      <c r="A288" t="s">
        <v>450</v>
      </c>
      <c r="B288" t="s">
        <v>962</v>
      </c>
      <c r="C288" t="s">
        <v>497</v>
      </c>
      <c r="D288" t="s">
        <v>954</v>
      </c>
      <c r="E288" t="s">
        <v>498</v>
      </c>
      <c r="H288" s="4">
        <f>193000*Conversion!$A$2</f>
        <v>17346.84</v>
      </c>
      <c r="I288" t="s">
        <v>471</v>
      </c>
      <c r="J288" t="s">
        <v>472</v>
      </c>
      <c r="K288" t="s">
        <v>913</v>
      </c>
      <c r="N288" s="7" t="s">
        <v>963</v>
      </c>
    </row>
    <row r="289" spans="1:14" hidden="1" x14ac:dyDescent="0.35">
      <c r="A289" t="s">
        <v>450</v>
      </c>
      <c r="B289" t="s">
        <v>964</v>
      </c>
      <c r="C289" t="s">
        <v>643</v>
      </c>
      <c r="D289" t="s">
        <v>965</v>
      </c>
      <c r="E289" t="s">
        <v>498</v>
      </c>
      <c r="H289" s="4">
        <f>71000*Conversion!$A$2</f>
        <v>6381.4800000000005</v>
      </c>
      <c r="I289" t="s">
        <v>471</v>
      </c>
      <c r="J289" t="s">
        <v>472</v>
      </c>
      <c r="K289" t="s">
        <v>494</v>
      </c>
    </row>
    <row r="290" spans="1:14" hidden="1" x14ac:dyDescent="0.35">
      <c r="A290" t="s">
        <v>450</v>
      </c>
      <c r="B290" t="s">
        <v>966</v>
      </c>
      <c r="C290" t="s">
        <v>508</v>
      </c>
      <c r="D290" t="s">
        <v>965</v>
      </c>
      <c r="E290" t="s">
        <v>498</v>
      </c>
      <c r="H290" s="4">
        <f>76000*Conversion!$A$2</f>
        <v>6830.88</v>
      </c>
      <c r="I290" t="s">
        <v>471</v>
      </c>
      <c r="J290" t="s">
        <v>472</v>
      </c>
      <c r="K290" t="s">
        <v>494</v>
      </c>
    </row>
    <row r="291" spans="1:14" hidden="1" x14ac:dyDescent="0.35">
      <c r="A291" t="s">
        <v>450</v>
      </c>
      <c r="B291" t="s">
        <v>967</v>
      </c>
      <c r="C291" t="s">
        <v>799</v>
      </c>
      <c r="D291" t="s">
        <v>968</v>
      </c>
      <c r="E291" t="s">
        <v>498</v>
      </c>
      <c r="H291" s="4">
        <f>238000*Conversion!$A$2</f>
        <v>21391.439999999999</v>
      </c>
      <c r="I291" t="s">
        <v>471</v>
      </c>
      <c r="J291" t="s">
        <v>472</v>
      </c>
      <c r="K291" t="s">
        <v>913</v>
      </c>
    </row>
    <row r="292" spans="1:14" hidden="1" x14ac:dyDescent="0.35">
      <c r="A292" t="s">
        <v>450</v>
      </c>
      <c r="B292" t="s">
        <v>505</v>
      </c>
      <c r="C292" t="s">
        <v>497</v>
      </c>
      <c r="D292" t="s">
        <v>969</v>
      </c>
      <c r="E292" t="s">
        <v>498</v>
      </c>
      <c r="H292" s="4">
        <f>1036000*Conversion!$A$2</f>
        <v>93115.680000000008</v>
      </c>
      <c r="I292" t="s">
        <v>471</v>
      </c>
      <c r="J292" t="s">
        <v>472</v>
      </c>
    </row>
    <row r="293" spans="1:14" hidden="1" x14ac:dyDescent="0.35">
      <c r="A293" t="s">
        <v>450</v>
      </c>
      <c r="B293" t="s">
        <v>599</v>
      </c>
      <c r="C293" t="s">
        <v>497</v>
      </c>
      <c r="D293" t="s">
        <v>969</v>
      </c>
      <c r="E293" t="s">
        <v>498</v>
      </c>
      <c r="H293" s="4">
        <f>402000*Conversion!$A$2</f>
        <v>36131.760000000002</v>
      </c>
      <c r="I293" t="s">
        <v>471</v>
      </c>
      <c r="J293" t="s">
        <v>472</v>
      </c>
      <c r="K293" t="s">
        <v>913</v>
      </c>
    </row>
    <row r="294" spans="1:14" hidden="1" x14ac:dyDescent="0.35">
      <c r="A294" t="s">
        <v>450</v>
      </c>
      <c r="B294" t="s">
        <v>970</v>
      </c>
      <c r="C294" t="s">
        <v>530</v>
      </c>
      <c r="D294" t="s">
        <v>969</v>
      </c>
      <c r="E294" t="s">
        <v>498</v>
      </c>
      <c r="H294" s="4">
        <f>198000*Conversion!$A$2</f>
        <v>17796.240000000002</v>
      </c>
      <c r="I294" t="s">
        <v>471</v>
      </c>
      <c r="J294" t="s">
        <v>472</v>
      </c>
      <c r="K294" t="s">
        <v>913</v>
      </c>
    </row>
    <row r="295" spans="1:14" hidden="1" x14ac:dyDescent="0.35">
      <c r="A295" t="s">
        <v>450</v>
      </c>
      <c r="B295" t="s">
        <v>970</v>
      </c>
      <c r="C295" t="s">
        <v>530</v>
      </c>
      <c r="D295" t="s">
        <v>469</v>
      </c>
      <c r="E295" t="s">
        <v>261</v>
      </c>
      <c r="F295">
        <v>2017</v>
      </c>
      <c r="H295" s="4">
        <f>108000*Conversion!$A$2</f>
        <v>9707.0400000000009</v>
      </c>
      <c r="I295" t="s">
        <v>471</v>
      </c>
      <c r="J295" t="s">
        <v>569</v>
      </c>
      <c r="K295" t="s">
        <v>971</v>
      </c>
      <c r="N295" s="7" t="s">
        <v>972</v>
      </c>
    </row>
    <row r="296" spans="1:14" hidden="1" x14ac:dyDescent="0.35">
      <c r="A296" t="s">
        <v>450</v>
      </c>
      <c r="B296" t="s">
        <v>973</v>
      </c>
      <c r="C296" t="s">
        <v>958</v>
      </c>
      <c r="D296" t="s">
        <v>469</v>
      </c>
      <c r="E296" t="s">
        <v>261</v>
      </c>
      <c r="F296">
        <v>2021</v>
      </c>
      <c r="H296" s="4">
        <f>326000*Conversion!$A$2</f>
        <v>29300.880000000001</v>
      </c>
      <c r="I296" t="s">
        <v>471</v>
      </c>
      <c r="J296" t="s">
        <v>569</v>
      </c>
      <c r="K296" t="s">
        <v>583</v>
      </c>
      <c r="N296" s="7" t="s">
        <v>974</v>
      </c>
    </row>
    <row r="297" spans="1:14" hidden="1" x14ac:dyDescent="0.35">
      <c r="A297" t="s">
        <v>450</v>
      </c>
      <c r="B297" t="s">
        <v>521</v>
      </c>
      <c r="C297" t="s">
        <v>486</v>
      </c>
      <c r="D297" t="s">
        <v>525</v>
      </c>
      <c r="E297" t="s">
        <v>261</v>
      </c>
      <c r="F297">
        <v>2021</v>
      </c>
      <c r="H297" s="4">
        <f>326000*Conversion!$A$2</f>
        <v>29300.880000000001</v>
      </c>
      <c r="I297" t="s">
        <v>471</v>
      </c>
      <c r="J297" t="s">
        <v>569</v>
      </c>
      <c r="K297" t="s">
        <v>483</v>
      </c>
    </row>
    <row r="298" spans="1:14" hidden="1" x14ac:dyDescent="0.35">
      <c r="A298" t="s">
        <v>450</v>
      </c>
      <c r="B298" t="s">
        <v>975</v>
      </c>
      <c r="C298" t="s">
        <v>976</v>
      </c>
      <c r="D298" t="s">
        <v>525</v>
      </c>
      <c r="E298" t="s">
        <v>261</v>
      </c>
      <c r="F298">
        <v>2023</v>
      </c>
      <c r="H298" s="4">
        <f>111000*Conversion!$A$2</f>
        <v>9976.68</v>
      </c>
      <c r="I298" t="s">
        <v>471</v>
      </c>
      <c r="J298" t="s">
        <v>569</v>
      </c>
      <c r="K298" t="s">
        <v>583</v>
      </c>
      <c r="N298" s="7" t="s">
        <v>977</v>
      </c>
    </row>
    <row r="299" spans="1:14" x14ac:dyDescent="0.35">
      <c r="A299" t="s">
        <v>450</v>
      </c>
      <c r="B299" t="s">
        <v>547</v>
      </c>
      <c r="C299" t="s">
        <v>548</v>
      </c>
      <c r="D299" t="s">
        <v>525</v>
      </c>
      <c r="E299" t="s">
        <v>261</v>
      </c>
      <c r="F299">
        <v>2027</v>
      </c>
      <c r="H299" s="4">
        <f>389000*Conversion!$A$2</f>
        <v>34963.32</v>
      </c>
      <c r="I299" t="s">
        <v>471</v>
      </c>
      <c r="J299" t="s">
        <v>569</v>
      </c>
    </row>
    <row r="300" spans="1:14" hidden="1" x14ac:dyDescent="0.35">
      <c r="A300" t="s">
        <v>450</v>
      </c>
      <c r="B300" t="s">
        <v>978</v>
      </c>
      <c r="C300" t="s">
        <v>508</v>
      </c>
      <c r="D300" t="s">
        <v>639</v>
      </c>
      <c r="E300" t="s">
        <v>476</v>
      </c>
      <c r="F300">
        <v>1997</v>
      </c>
      <c r="H300" s="4">
        <f>389000*Conversion!$A$2</f>
        <v>34963.32</v>
      </c>
      <c r="I300" t="s">
        <v>471</v>
      </c>
      <c r="J300" t="s">
        <v>569</v>
      </c>
      <c r="N300" s="7" t="s">
        <v>979</v>
      </c>
    </row>
    <row r="301" spans="1:14" hidden="1" x14ac:dyDescent="0.35">
      <c r="A301" t="s">
        <v>450</v>
      </c>
      <c r="B301" t="s">
        <v>521</v>
      </c>
      <c r="C301" t="s">
        <v>486</v>
      </c>
      <c r="D301" t="s">
        <v>639</v>
      </c>
      <c r="E301" t="s">
        <v>476</v>
      </c>
      <c r="F301">
        <v>2021</v>
      </c>
      <c r="H301" s="4">
        <f>326000*Conversion!$A$2</f>
        <v>29300.880000000001</v>
      </c>
      <c r="I301" t="s">
        <v>471</v>
      </c>
      <c r="J301" t="s">
        <v>569</v>
      </c>
      <c r="N301" s="7" t="s">
        <v>980</v>
      </c>
    </row>
    <row r="302" spans="1:14" hidden="1" x14ac:dyDescent="0.35">
      <c r="A302" t="s">
        <v>450</v>
      </c>
      <c r="B302" t="s">
        <v>650</v>
      </c>
      <c r="C302" t="s">
        <v>643</v>
      </c>
      <c r="D302" t="s">
        <v>639</v>
      </c>
      <c r="E302" t="s">
        <v>476</v>
      </c>
      <c r="F302">
        <v>1995</v>
      </c>
      <c r="H302" s="4">
        <f>314000*Conversion!$A$2</f>
        <v>28222.32</v>
      </c>
      <c r="I302" t="s">
        <v>471</v>
      </c>
      <c r="J302" t="s">
        <v>569</v>
      </c>
      <c r="N302" s="7" t="s">
        <v>981</v>
      </c>
    </row>
    <row r="303" spans="1:14" hidden="1" x14ac:dyDescent="0.35">
      <c r="A303" t="s">
        <v>450</v>
      </c>
      <c r="B303" t="s">
        <v>950</v>
      </c>
      <c r="C303" t="s">
        <v>548</v>
      </c>
      <c r="D303" t="s">
        <v>639</v>
      </c>
      <c r="E303" t="s">
        <v>476</v>
      </c>
      <c r="F303">
        <v>1982</v>
      </c>
      <c r="H303" s="4">
        <f>637000*Conversion!$A$2</f>
        <v>57253.56</v>
      </c>
      <c r="I303" t="s">
        <v>471</v>
      </c>
      <c r="J303" t="s">
        <v>569</v>
      </c>
      <c r="N303" s="7" t="s">
        <v>982</v>
      </c>
    </row>
    <row r="304" spans="1:14" hidden="1" x14ac:dyDescent="0.35">
      <c r="A304" t="s">
        <v>450</v>
      </c>
      <c r="B304" t="s">
        <v>983</v>
      </c>
      <c r="C304" t="s">
        <v>490</v>
      </c>
      <c r="D304" t="s">
        <v>639</v>
      </c>
      <c r="E304" t="s">
        <v>476</v>
      </c>
      <c r="F304">
        <v>1962</v>
      </c>
      <c r="H304" s="4">
        <f>272000*Conversion!$A$2</f>
        <v>24447.360000000001</v>
      </c>
      <c r="I304" t="s">
        <v>471</v>
      </c>
      <c r="J304" t="s">
        <v>569</v>
      </c>
      <c r="K304" t="s">
        <v>503</v>
      </c>
      <c r="N304" s="7" t="s">
        <v>984</v>
      </c>
    </row>
    <row r="305" spans="1:14" hidden="1" x14ac:dyDescent="0.35">
      <c r="A305" t="s">
        <v>367</v>
      </c>
      <c r="B305" t="s">
        <v>985</v>
      </c>
      <c r="C305" t="s">
        <v>986</v>
      </c>
      <c r="D305" t="s">
        <v>469</v>
      </c>
      <c r="E305" t="s">
        <v>502</v>
      </c>
      <c r="F305">
        <v>2021</v>
      </c>
      <c r="H305" s="4">
        <f>97000*Conversion!$A$2</f>
        <v>8718.36</v>
      </c>
      <c r="I305" t="s">
        <v>471</v>
      </c>
      <c r="J305" t="s">
        <v>569</v>
      </c>
      <c r="K305" t="s">
        <v>583</v>
      </c>
      <c r="N305" s="7" t="s">
        <v>987</v>
      </c>
    </row>
    <row r="306" spans="1:14" hidden="1" x14ac:dyDescent="0.35">
      <c r="A306" t="s">
        <v>367</v>
      </c>
      <c r="B306" t="s">
        <v>988</v>
      </c>
      <c r="C306" t="s">
        <v>989</v>
      </c>
      <c r="D306" t="s">
        <v>525</v>
      </c>
      <c r="E306" t="s">
        <v>990</v>
      </c>
      <c r="F306">
        <v>2024</v>
      </c>
      <c r="H306" s="4">
        <f>326000*Conversion!$A$2</f>
        <v>29300.880000000001</v>
      </c>
      <c r="I306" t="s">
        <v>471</v>
      </c>
      <c r="J306" t="s">
        <v>569</v>
      </c>
      <c r="K306" t="s">
        <v>583</v>
      </c>
    </row>
    <row r="307" spans="1:14" hidden="1" x14ac:dyDescent="0.35">
      <c r="A307" t="s">
        <v>367</v>
      </c>
      <c r="B307" t="s">
        <v>991</v>
      </c>
      <c r="C307" t="s">
        <v>983</v>
      </c>
      <c r="D307" t="s">
        <v>525</v>
      </c>
      <c r="E307" t="s">
        <v>261</v>
      </c>
      <c r="F307">
        <v>1982</v>
      </c>
      <c r="H307" s="4">
        <f>326000*Conversion!$A$2</f>
        <v>29300.880000000001</v>
      </c>
      <c r="I307" t="s">
        <v>471</v>
      </c>
      <c r="J307" t="s">
        <v>569</v>
      </c>
      <c r="K307" t="s">
        <v>494</v>
      </c>
    </row>
    <row r="308" spans="1:14" hidden="1" x14ac:dyDescent="0.35">
      <c r="A308" t="s">
        <v>367</v>
      </c>
      <c r="B308" t="s">
        <v>985</v>
      </c>
      <c r="C308" t="s">
        <v>986</v>
      </c>
      <c r="D308" t="s">
        <v>992</v>
      </c>
      <c r="E308" t="s">
        <v>261</v>
      </c>
      <c r="F308">
        <v>1988</v>
      </c>
      <c r="H308" s="4">
        <f>119000*Conversion!$A$2</f>
        <v>10695.72</v>
      </c>
      <c r="I308" t="s">
        <v>471</v>
      </c>
      <c r="J308" t="s">
        <v>569</v>
      </c>
      <c r="N308" s="12" t="s">
        <v>993</v>
      </c>
    </row>
    <row r="309" spans="1:14" hidden="1" x14ac:dyDescent="0.35">
      <c r="A309" t="s">
        <v>367</v>
      </c>
      <c r="B309" t="s">
        <v>994</v>
      </c>
      <c r="C309" t="s">
        <v>986</v>
      </c>
      <c r="D309" t="s">
        <v>639</v>
      </c>
      <c r="E309" t="s">
        <v>476</v>
      </c>
      <c r="F309">
        <v>1990</v>
      </c>
      <c r="H309" s="4">
        <f>167000*Conversion!$A$2</f>
        <v>15009.960000000001</v>
      </c>
      <c r="I309" t="s">
        <v>471</v>
      </c>
      <c r="J309" t="s">
        <v>569</v>
      </c>
      <c r="N309" s="12" t="s">
        <v>995</v>
      </c>
    </row>
    <row r="310" spans="1:14" hidden="1" x14ac:dyDescent="0.35">
      <c r="A310" t="s">
        <v>367</v>
      </c>
      <c r="B310" t="s">
        <v>967</v>
      </c>
      <c r="C310" t="s">
        <v>983</v>
      </c>
      <c r="D310" t="s">
        <v>469</v>
      </c>
      <c r="E310" t="s">
        <v>261</v>
      </c>
      <c r="H310" s="4">
        <f>58000*Conversion!$A$2</f>
        <v>5213.04</v>
      </c>
      <c r="I310" t="s">
        <v>471</v>
      </c>
      <c r="J310" t="s">
        <v>472</v>
      </c>
      <c r="K310" t="s">
        <v>503</v>
      </c>
    </row>
    <row r="311" spans="1:14" hidden="1" x14ac:dyDescent="0.35">
      <c r="A311" t="s">
        <v>367</v>
      </c>
      <c r="B311" t="s">
        <v>988</v>
      </c>
      <c r="C311" t="s">
        <v>989</v>
      </c>
      <c r="D311" t="s">
        <v>525</v>
      </c>
      <c r="E311" t="s">
        <v>261</v>
      </c>
      <c r="F311">
        <v>2006</v>
      </c>
      <c r="H311" s="4">
        <f>2102000*Conversion!$A$2</f>
        <v>188927.76</v>
      </c>
      <c r="I311" t="s">
        <v>471</v>
      </c>
      <c r="J311" t="s">
        <v>472</v>
      </c>
      <c r="K311" t="s">
        <v>483</v>
      </c>
      <c r="N311" s="7" t="s">
        <v>996</v>
      </c>
    </row>
    <row r="312" spans="1:14" hidden="1" x14ac:dyDescent="0.35">
      <c r="A312" t="s">
        <v>367</v>
      </c>
      <c r="B312" t="s">
        <v>988</v>
      </c>
      <c r="C312" t="s">
        <v>989</v>
      </c>
      <c r="D312" t="s">
        <v>525</v>
      </c>
      <c r="E312" t="s">
        <v>261</v>
      </c>
      <c r="F312">
        <v>2008</v>
      </c>
      <c r="H312" s="4">
        <f>2759000*Conversion!$A$2</f>
        <v>247978.92</v>
      </c>
      <c r="I312" t="s">
        <v>471</v>
      </c>
      <c r="J312" t="s">
        <v>472</v>
      </c>
      <c r="K312" t="s">
        <v>483</v>
      </c>
      <c r="N312" s="7" t="s">
        <v>997</v>
      </c>
    </row>
    <row r="313" spans="1:14" hidden="1" x14ac:dyDescent="0.35">
      <c r="A313" t="s">
        <v>367</v>
      </c>
      <c r="B313" t="s">
        <v>998</v>
      </c>
      <c r="C313" t="s">
        <v>989</v>
      </c>
      <c r="D313" t="s">
        <v>525</v>
      </c>
      <c r="E313" t="s">
        <v>261</v>
      </c>
      <c r="F313">
        <v>2016</v>
      </c>
      <c r="H313" s="4">
        <f>3942000*Conversion!$A$2</f>
        <v>354306.96</v>
      </c>
      <c r="I313" t="s">
        <v>471</v>
      </c>
      <c r="J313" t="s">
        <v>472</v>
      </c>
      <c r="K313" t="s">
        <v>483</v>
      </c>
      <c r="N313" s="7" t="s">
        <v>999</v>
      </c>
    </row>
    <row r="314" spans="1:14" hidden="1" x14ac:dyDescent="0.35">
      <c r="A314" t="s">
        <v>367</v>
      </c>
      <c r="B314" t="s">
        <v>991</v>
      </c>
      <c r="C314" t="s">
        <v>983</v>
      </c>
      <c r="D314" t="s">
        <v>525</v>
      </c>
      <c r="E314" t="s">
        <v>261</v>
      </c>
      <c r="F314">
        <v>2006</v>
      </c>
      <c r="H314" s="4">
        <f>2102000*Conversion!$A$2</f>
        <v>188927.76</v>
      </c>
      <c r="I314" t="s">
        <v>471</v>
      </c>
      <c r="J314" t="s">
        <v>472</v>
      </c>
      <c r="K314" t="s">
        <v>483</v>
      </c>
      <c r="N314" s="7" t="s">
        <v>1000</v>
      </c>
    </row>
    <row r="315" spans="1:14" hidden="1" x14ac:dyDescent="0.35">
      <c r="A315" t="s">
        <v>367</v>
      </c>
      <c r="B315" t="s">
        <v>1001</v>
      </c>
      <c r="C315" t="s">
        <v>989</v>
      </c>
      <c r="D315" t="s">
        <v>525</v>
      </c>
      <c r="E315" t="s">
        <v>261</v>
      </c>
      <c r="F315">
        <v>2016</v>
      </c>
      <c r="H315" s="4">
        <f>3942000*Conversion!$A$2</f>
        <v>354306.96</v>
      </c>
      <c r="I315" t="s">
        <v>471</v>
      </c>
      <c r="J315" t="s">
        <v>472</v>
      </c>
      <c r="K315" t="s">
        <v>483</v>
      </c>
      <c r="N315" s="7" t="s">
        <v>1002</v>
      </c>
    </row>
    <row r="316" spans="1:14" hidden="1" x14ac:dyDescent="0.35">
      <c r="A316" t="s">
        <v>367</v>
      </c>
      <c r="B316" t="s">
        <v>985</v>
      </c>
      <c r="C316" t="s">
        <v>986</v>
      </c>
      <c r="D316" t="s">
        <v>992</v>
      </c>
      <c r="E316" t="s">
        <v>261</v>
      </c>
      <c r="F316">
        <v>1990</v>
      </c>
      <c r="H316" s="4">
        <f>92000*Conversion!$A$2</f>
        <v>8268.9600000000009</v>
      </c>
      <c r="I316" t="s">
        <v>471</v>
      </c>
      <c r="J316" t="s">
        <v>472</v>
      </c>
      <c r="K316" t="s">
        <v>494</v>
      </c>
      <c r="N316" s="7" t="s">
        <v>1003</v>
      </c>
    </row>
    <row r="317" spans="1:14" hidden="1" x14ac:dyDescent="0.35">
      <c r="A317" t="s">
        <v>367</v>
      </c>
      <c r="B317" t="s">
        <v>985</v>
      </c>
      <c r="C317" t="s">
        <v>986</v>
      </c>
      <c r="D317" t="s">
        <v>992</v>
      </c>
      <c r="E317" t="s">
        <v>261</v>
      </c>
      <c r="F317">
        <v>1989</v>
      </c>
      <c r="H317" s="4">
        <f>92000*Conversion!$A$2</f>
        <v>8268.9600000000009</v>
      </c>
      <c r="I317" t="s">
        <v>471</v>
      </c>
      <c r="J317" t="s">
        <v>472</v>
      </c>
      <c r="K317" t="s">
        <v>494</v>
      </c>
    </row>
    <row r="318" spans="1:14" hidden="1" x14ac:dyDescent="0.35">
      <c r="A318" t="s">
        <v>367</v>
      </c>
      <c r="B318" t="s">
        <v>1004</v>
      </c>
      <c r="C318" t="s">
        <v>986</v>
      </c>
      <c r="D318" t="s">
        <v>1005</v>
      </c>
      <c r="E318" t="s">
        <v>502</v>
      </c>
      <c r="F318">
        <v>2022</v>
      </c>
      <c r="H318" s="4">
        <f>123000*Conversion!$A$2</f>
        <v>11055.24</v>
      </c>
      <c r="I318" t="s">
        <v>471</v>
      </c>
      <c r="J318" t="s">
        <v>472</v>
      </c>
      <c r="K318" t="s">
        <v>494</v>
      </c>
      <c r="N318" s="7" t="s">
        <v>1006</v>
      </c>
    </row>
    <row r="319" spans="1:14" hidden="1" x14ac:dyDescent="0.35">
      <c r="A319" t="s">
        <v>367</v>
      </c>
      <c r="B319" t="s">
        <v>991</v>
      </c>
      <c r="C319" t="s">
        <v>983</v>
      </c>
      <c r="D319" t="s">
        <v>639</v>
      </c>
      <c r="E319" t="s">
        <v>476</v>
      </c>
      <c r="H319" s="4">
        <f>50000*Conversion!$A$2</f>
        <v>4494</v>
      </c>
      <c r="I319" t="s">
        <v>471</v>
      </c>
      <c r="J319" t="s">
        <v>472</v>
      </c>
      <c r="K319" t="s">
        <v>483</v>
      </c>
      <c r="N319" s="7" t="s">
        <v>1007</v>
      </c>
    </row>
    <row r="320" spans="1:14" hidden="1" x14ac:dyDescent="0.35">
      <c r="A320" t="s">
        <v>367</v>
      </c>
      <c r="B320" t="s">
        <v>1008</v>
      </c>
      <c r="C320" t="s">
        <v>983</v>
      </c>
      <c r="D320" t="s">
        <v>1009</v>
      </c>
      <c r="E320" t="s">
        <v>261</v>
      </c>
      <c r="H320" s="4">
        <f>394000*Conversion!$A$2</f>
        <v>35412.720000000001</v>
      </c>
      <c r="I320" t="s">
        <v>471</v>
      </c>
      <c r="J320" t="s">
        <v>472</v>
      </c>
    </row>
    <row r="321" spans="1:14" hidden="1" x14ac:dyDescent="0.35">
      <c r="A321" t="s">
        <v>367</v>
      </c>
      <c r="B321" t="s">
        <v>1010</v>
      </c>
      <c r="C321" t="s">
        <v>986</v>
      </c>
      <c r="D321" t="s">
        <v>1011</v>
      </c>
      <c r="E321" t="s">
        <v>261</v>
      </c>
      <c r="H321" s="4">
        <f>263000*Conversion!$A$2</f>
        <v>23638.44</v>
      </c>
      <c r="I321" t="s">
        <v>471</v>
      </c>
      <c r="J321" t="s">
        <v>472</v>
      </c>
      <c r="K321" t="s">
        <v>483</v>
      </c>
    </row>
    <row r="322" spans="1:14" hidden="1" x14ac:dyDescent="0.35">
      <c r="A322" t="s">
        <v>367</v>
      </c>
      <c r="B322" t="s">
        <v>1012</v>
      </c>
      <c r="C322" t="s">
        <v>983</v>
      </c>
      <c r="D322" t="s">
        <v>753</v>
      </c>
      <c r="E322" t="s">
        <v>261</v>
      </c>
      <c r="F322">
        <v>1995</v>
      </c>
      <c r="H322" s="4">
        <f>34000*Conversion!$A$2</f>
        <v>3055.92</v>
      </c>
      <c r="I322" t="s">
        <v>731</v>
      </c>
      <c r="J322" t="s">
        <v>472</v>
      </c>
      <c r="K322" t="s">
        <v>732</v>
      </c>
    </row>
    <row r="323" spans="1:14" hidden="1" x14ac:dyDescent="0.35">
      <c r="A323" t="s">
        <v>367</v>
      </c>
      <c r="B323" t="s">
        <v>1013</v>
      </c>
      <c r="C323" t="s">
        <v>1014</v>
      </c>
      <c r="D323" t="s">
        <v>1015</v>
      </c>
      <c r="E323" t="s">
        <v>261</v>
      </c>
      <c r="F323">
        <v>1988</v>
      </c>
      <c r="H323" s="4">
        <f>3416000*Conversion!$A$2</f>
        <v>307030.08</v>
      </c>
      <c r="I323" t="s">
        <v>731</v>
      </c>
      <c r="J323" t="s">
        <v>472</v>
      </c>
      <c r="K323" t="s">
        <v>483</v>
      </c>
    </row>
    <row r="324" spans="1:14" hidden="1" x14ac:dyDescent="0.35">
      <c r="A324" t="s">
        <v>367</v>
      </c>
      <c r="B324" t="s">
        <v>1016</v>
      </c>
      <c r="C324" t="s">
        <v>989</v>
      </c>
      <c r="D324" t="s">
        <v>1017</v>
      </c>
      <c r="E324" t="s">
        <v>261</v>
      </c>
      <c r="H324" s="4">
        <f>79000*Conversion!$A$2</f>
        <v>7100.52</v>
      </c>
      <c r="I324" t="s">
        <v>731</v>
      </c>
      <c r="J324" t="s">
        <v>472</v>
      </c>
      <c r="K324" t="s">
        <v>494</v>
      </c>
      <c r="N324" t="s">
        <v>1018</v>
      </c>
    </row>
    <row r="325" spans="1:14" hidden="1" x14ac:dyDescent="0.35">
      <c r="A325" t="s">
        <v>367</v>
      </c>
      <c r="B325" t="s">
        <v>1019</v>
      </c>
      <c r="C325" t="s">
        <v>1020</v>
      </c>
      <c r="D325" t="s">
        <v>1017</v>
      </c>
      <c r="E325" t="s">
        <v>261</v>
      </c>
      <c r="H325" s="4">
        <f>87000*Conversion!$A$2</f>
        <v>7819.56</v>
      </c>
      <c r="I325" t="s">
        <v>731</v>
      </c>
      <c r="J325" t="s">
        <v>472</v>
      </c>
      <c r="K325" t="s">
        <v>494</v>
      </c>
      <c r="N325" t="s">
        <v>1018</v>
      </c>
    </row>
    <row r="326" spans="1:14" hidden="1" x14ac:dyDescent="0.35">
      <c r="A326" t="s">
        <v>367</v>
      </c>
      <c r="B326" t="s">
        <v>1021</v>
      </c>
      <c r="C326" t="s">
        <v>1014</v>
      </c>
      <c r="D326" t="s">
        <v>843</v>
      </c>
      <c r="E326" t="s">
        <v>261</v>
      </c>
      <c r="F326">
        <v>1992</v>
      </c>
      <c r="H326" s="4">
        <f>1997000*Conversion!$A$2</f>
        <v>179490.36000000002</v>
      </c>
      <c r="I326" t="s">
        <v>731</v>
      </c>
      <c r="J326" t="s">
        <v>472</v>
      </c>
      <c r="K326" t="s">
        <v>483</v>
      </c>
    </row>
    <row r="327" spans="1:14" hidden="1" x14ac:dyDescent="0.35">
      <c r="A327" t="s">
        <v>367</v>
      </c>
      <c r="B327" t="s">
        <v>1022</v>
      </c>
      <c r="C327" t="s">
        <v>1023</v>
      </c>
      <c r="D327" t="s">
        <v>1024</v>
      </c>
      <c r="E327" t="s">
        <v>261</v>
      </c>
      <c r="H327" s="4">
        <f>315000*Conversion!$A$2</f>
        <v>28312.2</v>
      </c>
      <c r="I327" t="s">
        <v>731</v>
      </c>
      <c r="J327" t="s">
        <v>472</v>
      </c>
      <c r="K327" t="s">
        <v>483</v>
      </c>
    </row>
    <row r="328" spans="1:14" hidden="1" x14ac:dyDescent="0.35">
      <c r="A328" t="s">
        <v>367</v>
      </c>
      <c r="B328" t="s">
        <v>988</v>
      </c>
      <c r="C328" t="s">
        <v>989</v>
      </c>
      <c r="D328" t="s">
        <v>1024</v>
      </c>
      <c r="E328" t="s">
        <v>261</v>
      </c>
      <c r="H328" s="4">
        <f>526000*Conversion!$A$2</f>
        <v>47276.88</v>
      </c>
      <c r="I328" t="s">
        <v>731</v>
      </c>
      <c r="J328" t="s">
        <v>472</v>
      </c>
      <c r="K328" t="s">
        <v>483</v>
      </c>
    </row>
    <row r="329" spans="1:14" hidden="1" x14ac:dyDescent="0.35">
      <c r="A329" t="s">
        <v>367</v>
      </c>
      <c r="B329" t="s">
        <v>1025</v>
      </c>
      <c r="D329" t="s">
        <v>1024</v>
      </c>
      <c r="E329" t="s">
        <v>261</v>
      </c>
      <c r="H329" s="4">
        <f>657000*Conversion!$A$2</f>
        <v>59051.16</v>
      </c>
      <c r="I329" t="s">
        <v>731</v>
      </c>
      <c r="J329" t="s">
        <v>472</v>
      </c>
      <c r="K329" t="s">
        <v>483</v>
      </c>
    </row>
    <row r="330" spans="1:14" hidden="1" x14ac:dyDescent="0.35">
      <c r="A330" t="s">
        <v>367</v>
      </c>
      <c r="B330" t="s">
        <v>991</v>
      </c>
      <c r="C330" t="s">
        <v>983</v>
      </c>
      <c r="D330" t="s">
        <v>1024</v>
      </c>
      <c r="E330" t="s">
        <v>261</v>
      </c>
      <c r="H330" s="4">
        <f>1025000*Conversion!$A$2</f>
        <v>92127</v>
      </c>
      <c r="I330" t="s">
        <v>731</v>
      </c>
      <c r="J330" t="s">
        <v>472</v>
      </c>
      <c r="K330" t="s">
        <v>483</v>
      </c>
    </row>
    <row r="331" spans="1:14" hidden="1" x14ac:dyDescent="0.35">
      <c r="A331" t="s">
        <v>367</v>
      </c>
      <c r="B331" t="s">
        <v>1026</v>
      </c>
      <c r="C331" t="s">
        <v>1027</v>
      </c>
      <c r="D331" t="s">
        <v>1028</v>
      </c>
      <c r="E331" t="s">
        <v>261</v>
      </c>
      <c r="H331" s="4">
        <f>1235000*Conversion!$A$2</f>
        <v>111001.8</v>
      </c>
      <c r="I331" t="s">
        <v>731</v>
      </c>
      <c r="J331" t="s">
        <v>472</v>
      </c>
      <c r="K331" t="s">
        <v>483</v>
      </c>
    </row>
    <row r="332" spans="1:14" hidden="1" x14ac:dyDescent="0.35">
      <c r="A332" t="s">
        <v>367</v>
      </c>
      <c r="B332" t="s">
        <v>1029</v>
      </c>
      <c r="C332" t="s">
        <v>983</v>
      </c>
      <c r="D332" t="s">
        <v>825</v>
      </c>
      <c r="E332" t="s">
        <v>261</v>
      </c>
      <c r="F332">
        <v>1985</v>
      </c>
      <c r="H332" s="4">
        <f>237000*Conversion!$A$2</f>
        <v>21301.56</v>
      </c>
      <c r="I332" t="s">
        <v>731</v>
      </c>
      <c r="J332" t="s">
        <v>472</v>
      </c>
      <c r="K332" t="s">
        <v>494</v>
      </c>
      <c r="N332" t="s">
        <v>1018</v>
      </c>
    </row>
    <row r="333" spans="1:14" hidden="1" x14ac:dyDescent="0.35">
      <c r="A333" t="s">
        <v>367</v>
      </c>
      <c r="B333" t="s">
        <v>1030</v>
      </c>
      <c r="C333" t="s">
        <v>1031</v>
      </c>
      <c r="D333" t="s">
        <v>1032</v>
      </c>
      <c r="E333" t="s">
        <v>261</v>
      </c>
      <c r="H333" s="4">
        <f>2891000*Conversion!$A$2</f>
        <v>259843.08000000002</v>
      </c>
      <c r="I333" t="s">
        <v>731</v>
      </c>
      <c r="J333" t="s">
        <v>472</v>
      </c>
      <c r="K333" t="s">
        <v>483</v>
      </c>
    </row>
    <row r="334" spans="1:14" hidden="1" x14ac:dyDescent="0.35">
      <c r="A334" t="s">
        <v>367</v>
      </c>
      <c r="B334" t="s">
        <v>1010</v>
      </c>
      <c r="C334" t="s">
        <v>986</v>
      </c>
      <c r="D334" t="s">
        <v>1033</v>
      </c>
      <c r="E334" t="s">
        <v>261</v>
      </c>
      <c r="H334" s="4">
        <f>263000*Conversion!$A$2</f>
        <v>23638.44</v>
      </c>
      <c r="I334" t="s">
        <v>731</v>
      </c>
      <c r="J334" t="s">
        <v>472</v>
      </c>
      <c r="K334" t="s">
        <v>483</v>
      </c>
    </row>
    <row r="335" spans="1:14" hidden="1" x14ac:dyDescent="0.35">
      <c r="A335" t="s">
        <v>367</v>
      </c>
      <c r="B335" t="s">
        <v>1034</v>
      </c>
      <c r="C335" t="s">
        <v>1020</v>
      </c>
      <c r="D335" t="s">
        <v>1035</v>
      </c>
      <c r="E335" t="s">
        <v>261</v>
      </c>
      <c r="H335" s="4">
        <f>271000*Conversion!$A$2</f>
        <v>24357.48</v>
      </c>
      <c r="I335" t="s">
        <v>731</v>
      </c>
      <c r="J335" t="s">
        <v>472</v>
      </c>
      <c r="K335" t="s">
        <v>483</v>
      </c>
    </row>
    <row r="336" spans="1:14" hidden="1" x14ac:dyDescent="0.35">
      <c r="A336" t="s">
        <v>367</v>
      </c>
      <c r="B336" t="s">
        <v>998</v>
      </c>
      <c r="C336" t="s">
        <v>989</v>
      </c>
      <c r="D336" t="s">
        <v>880</v>
      </c>
      <c r="E336" t="s">
        <v>261</v>
      </c>
      <c r="F336">
        <v>2010</v>
      </c>
      <c r="H336" s="4">
        <f>3548000*Conversion!$A$2</f>
        <v>318894.24</v>
      </c>
      <c r="I336" t="s">
        <v>731</v>
      </c>
      <c r="J336" t="s">
        <v>472</v>
      </c>
      <c r="K336" t="s">
        <v>483</v>
      </c>
    </row>
    <row r="337" spans="1:14" hidden="1" x14ac:dyDescent="0.35">
      <c r="A337" t="s">
        <v>367</v>
      </c>
      <c r="B337" t="s">
        <v>991</v>
      </c>
      <c r="C337" t="s">
        <v>983</v>
      </c>
      <c r="D337" t="s">
        <v>880</v>
      </c>
      <c r="E337" t="s">
        <v>261</v>
      </c>
      <c r="H337" s="4">
        <f>447000*Conversion!$A$2</f>
        <v>40176.36</v>
      </c>
      <c r="I337" t="s">
        <v>731</v>
      </c>
      <c r="J337" t="s">
        <v>472</v>
      </c>
      <c r="K337" t="s">
        <v>483</v>
      </c>
    </row>
    <row r="338" spans="1:14" hidden="1" x14ac:dyDescent="0.35">
      <c r="A338" t="s">
        <v>367</v>
      </c>
      <c r="B338" t="s">
        <v>1001</v>
      </c>
      <c r="C338" t="s">
        <v>989</v>
      </c>
      <c r="D338" t="s">
        <v>880</v>
      </c>
      <c r="E338" t="s">
        <v>261</v>
      </c>
      <c r="F338">
        <v>1984</v>
      </c>
      <c r="H338" s="4">
        <f>1629000*Conversion!$A$2</f>
        <v>146414.51999999999</v>
      </c>
      <c r="I338" t="s">
        <v>731</v>
      </c>
      <c r="J338" t="s">
        <v>472</v>
      </c>
      <c r="K338" t="s">
        <v>483</v>
      </c>
    </row>
    <row r="339" spans="1:14" hidden="1" x14ac:dyDescent="0.35">
      <c r="A339" t="s">
        <v>367</v>
      </c>
      <c r="B339" t="s">
        <v>1001</v>
      </c>
      <c r="C339" t="s">
        <v>989</v>
      </c>
      <c r="D339" t="s">
        <v>880</v>
      </c>
      <c r="E339" t="s">
        <v>261</v>
      </c>
      <c r="F339">
        <v>2002</v>
      </c>
      <c r="H339" s="4">
        <f>4993000*Conversion!$A$2</f>
        <v>448770.84</v>
      </c>
      <c r="I339" t="s">
        <v>731</v>
      </c>
      <c r="J339" t="s">
        <v>472</v>
      </c>
      <c r="K339" t="s">
        <v>483</v>
      </c>
      <c r="N339" s="7" t="s">
        <v>1036</v>
      </c>
    </row>
    <row r="340" spans="1:14" hidden="1" x14ac:dyDescent="0.35">
      <c r="A340" t="s">
        <v>367</v>
      </c>
      <c r="B340" t="s">
        <v>988</v>
      </c>
      <c r="C340" t="s">
        <v>989</v>
      </c>
      <c r="D340" t="s">
        <v>1037</v>
      </c>
      <c r="E340" t="s">
        <v>261</v>
      </c>
      <c r="F340">
        <v>1992</v>
      </c>
      <c r="H340" s="4">
        <f>999000*Conversion!$A$2</f>
        <v>89790.12</v>
      </c>
      <c r="I340" t="s">
        <v>731</v>
      </c>
      <c r="J340" t="s">
        <v>472</v>
      </c>
      <c r="K340" t="s">
        <v>483</v>
      </c>
    </row>
    <row r="341" spans="1:14" hidden="1" x14ac:dyDescent="0.35">
      <c r="A341" t="s">
        <v>367</v>
      </c>
      <c r="B341" t="s">
        <v>988</v>
      </c>
      <c r="C341" t="s">
        <v>989</v>
      </c>
      <c r="D341" t="s">
        <v>1037</v>
      </c>
      <c r="E341" t="s">
        <v>261</v>
      </c>
      <c r="F341">
        <v>2006</v>
      </c>
      <c r="H341" s="4">
        <f>1866000*Conversion!$A$2</f>
        <v>167716.08000000002</v>
      </c>
      <c r="I341" t="s">
        <v>731</v>
      </c>
      <c r="J341" t="s">
        <v>472</v>
      </c>
      <c r="K341" t="s">
        <v>483</v>
      </c>
    </row>
    <row r="342" spans="1:14" hidden="1" x14ac:dyDescent="0.35">
      <c r="A342" t="s">
        <v>367</v>
      </c>
      <c r="B342" t="s">
        <v>988</v>
      </c>
      <c r="C342" t="s">
        <v>989</v>
      </c>
      <c r="D342" t="s">
        <v>1037</v>
      </c>
      <c r="E342" t="s">
        <v>261</v>
      </c>
      <c r="H342" s="4">
        <f>2759000*Conversion!$A$2</f>
        <v>247978.92</v>
      </c>
      <c r="I342" t="s">
        <v>731</v>
      </c>
      <c r="J342" t="s">
        <v>472</v>
      </c>
      <c r="K342" t="s">
        <v>483</v>
      </c>
    </row>
    <row r="343" spans="1:14" hidden="1" x14ac:dyDescent="0.35">
      <c r="A343" t="s">
        <v>367</v>
      </c>
      <c r="B343" t="s">
        <v>1038</v>
      </c>
      <c r="C343" t="s">
        <v>983</v>
      </c>
      <c r="D343" t="s">
        <v>1039</v>
      </c>
      <c r="E343" t="s">
        <v>261</v>
      </c>
      <c r="H343" s="4">
        <f>350000*Conversion!$A$2</f>
        <v>31458</v>
      </c>
      <c r="I343" t="s">
        <v>731</v>
      </c>
      <c r="J343" t="s">
        <v>472</v>
      </c>
      <c r="K343" t="s">
        <v>483</v>
      </c>
    </row>
    <row r="344" spans="1:14" hidden="1" x14ac:dyDescent="0.35">
      <c r="A344" t="s">
        <v>367</v>
      </c>
      <c r="B344" t="s">
        <v>1040</v>
      </c>
      <c r="C344" t="s">
        <v>986</v>
      </c>
      <c r="D344" t="s">
        <v>1039</v>
      </c>
      <c r="E344" t="s">
        <v>261</v>
      </c>
      <c r="H344" s="4">
        <f>3285000*Conversion!$A$2</f>
        <v>295255.8</v>
      </c>
      <c r="I344" t="s">
        <v>731</v>
      </c>
      <c r="J344" t="s">
        <v>472</v>
      </c>
      <c r="K344" t="s">
        <v>483</v>
      </c>
    </row>
    <row r="345" spans="1:14" hidden="1" x14ac:dyDescent="0.35">
      <c r="A345" t="s">
        <v>367</v>
      </c>
      <c r="B345" t="s">
        <v>1041</v>
      </c>
      <c r="C345" t="s">
        <v>989</v>
      </c>
      <c r="D345" t="s">
        <v>1039</v>
      </c>
      <c r="E345" t="s">
        <v>261</v>
      </c>
      <c r="H345" s="4">
        <f>3942000*Conversion!$A$2</f>
        <v>354306.96</v>
      </c>
      <c r="I345" t="s">
        <v>731</v>
      </c>
      <c r="J345" t="s">
        <v>472</v>
      </c>
      <c r="K345" t="s">
        <v>483</v>
      </c>
    </row>
    <row r="346" spans="1:14" hidden="1" x14ac:dyDescent="0.35">
      <c r="A346" t="s">
        <v>367</v>
      </c>
      <c r="B346" t="s">
        <v>991</v>
      </c>
      <c r="C346" t="s">
        <v>983</v>
      </c>
      <c r="D346" t="s">
        <v>1039</v>
      </c>
      <c r="E346" t="s">
        <v>261</v>
      </c>
      <c r="F346">
        <v>1984</v>
      </c>
      <c r="H346" s="4">
        <f>2602000*Conversion!$A$2</f>
        <v>233867.76</v>
      </c>
      <c r="I346" t="s">
        <v>731</v>
      </c>
      <c r="J346" t="s">
        <v>472</v>
      </c>
      <c r="K346" t="s">
        <v>483</v>
      </c>
    </row>
    <row r="347" spans="1:14" hidden="1" x14ac:dyDescent="0.35">
      <c r="A347" t="s">
        <v>367</v>
      </c>
      <c r="B347" t="s">
        <v>1038</v>
      </c>
      <c r="C347" t="s">
        <v>983</v>
      </c>
      <c r="D347" t="s">
        <v>1039</v>
      </c>
      <c r="E347" t="s">
        <v>261</v>
      </c>
      <c r="H347" s="4">
        <f>350000*Conversion!$A$2</f>
        <v>31458</v>
      </c>
      <c r="I347" t="s">
        <v>731</v>
      </c>
      <c r="J347" t="s">
        <v>472</v>
      </c>
      <c r="K347" t="s">
        <v>483</v>
      </c>
    </row>
    <row r="348" spans="1:14" hidden="1" x14ac:dyDescent="0.35">
      <c r="A348" t="s">
        <v>367</v>
      </c>
      <c r="B348" t="s">
        <v>1042</v>
      </c>
      <c r="C348" t="s">
        <v>989</v>
      </c>
      <c r="D348" t="s">
        <v>1039</v>
      </c>
      <c r="E348" t="s">
        <v>261</v>
      </c>
      <c r="H348" s="4">
        <f>3285000*Conversion!$A$2</f>
        <v>295255.8</v>
      </c>
      <c r="I348" t="s">
        <v>731</v>
      </c>
      <c r="J348" t="s">
        <v>472</v>
      </c>
      <c r="K348" t="s">
        <v>483</v>
      </c>
    </row>
    <row r="349" spans="1:14" hidden="1" x14ac:dyDescent="0.35">
      <c r="A349" t="s">
        <v>367</v>
      </c>
      <c r="B349" t="s">
        <v>1041</v>
      </c>
      <c r="C349" t="s">
        <v>989</v>
      </c>
      <c r="D349" t="s">
        <v>1043</v>
      </c>
      <c r="E349" t="s">
        <v>261</v>
      </c>
      <c r="F349">
        <v>1988</v>
      </c>
      <c r="H349" s="4">
        <f>9592000*Conversion!$A$2</f>
        <v>862128.96</v>
      </c>
      <c r="I349" t="s">
        <v>731</v>
      </c>
      <c r="J349" t="s">
        <v>472</v>
      </c>
      <c r="K349" t="s">
        <v>483</v>
      </c>
      <c r="N349" s="7" t="s">
        <v>1044</v>
      </c>
    </row>
    <row r="350" spans="1:14" hidden="1" x14ac:dyDescent="0.35">
      <c r="A350" t="s">
        <v>367</v>
      </c>
      <c r="B350" t="s">
        <v>1045</v>
      </c>
      <c r="C350" t="s">
        <v>986</v>
      </c>
      <c r="D350" t="s">
        <v>903</v>
      </c>
      <c r="E350" t="s">
        <v>261</v>
      </c>
      <c r="H350" s="4">
        <f>2628000*Conversion!$A$2</f>
        <v>236204.64</v>
      </c>
      <c r="I350" t="s">
        <v>731</v>
      </c>
      <c r="J350" t="s">
        <v>472</v>
      </c>
      <c r="K350" t="s">
        <v>483</v>
      </c>
    </row>
    <row r="351" spans="1:14" hidden="1" x14ac:dyDescent="0.35">
      <c r="A351" t="s">
        <v>367</v>
      </c>
      <c r="B351" t="s">
        <v>967</v>
      </c>
      <c r="C351" t="s">
        <v>983</v>
      </c>
      <c r="D351" t="s">
        <v>1046</v>
      </c>
      <c r="E351" t="s">
        <v>498</v>
      </c>
      <c r="F351">
        <v>1992</v>
      </c>
      <c r="H351" s="4">
        <f>63000*Conversion!$A$2</f>
        <v>5662.4400000000005</v>
      </c>
      <c r="I351" t="s">
        <v>471</v>
      </c>
      <c r="J351" t="s">
        <v>472</v>
      </c>
      <c r="K351" t="s">
        <v>503</v>
      </c>
      <c r="N351" s="7" t="s">
        <v>1047</v>
      </c>
    </row>
    <row r="352" spans="1:14" hidden="1" x14ac:dyDescent="0.35">
      <c r="A352" t="s">
        <v>367</v>
      </c>
      <c r="B352" t="s">
        <v>1048</v>
      </c>
      <c r="C352" t="s">
        <v>1027</v>
      </c>
      <c r="D352" t="s">
        <v>1049</v>
      </c>
      <c r="E352" t="s">
        <v>498</v>
      </c>
      <c r="F352">
        <v>2006</v>
      </c>
      <c r="H352" s="4">
        <f>18000*Conversion!$A$2</f>
        <v>1617.84</v>
      </c>
      <c r="I352" t="s">
        <v>471</v>
      </c>
      <c r="J352" t="s">
        <v>472</v>
      </c>
      <c r="K352" t="s">
        <v>494</v>
      </c>
      <c r="N352" s="7" t="s">
        <v>1050</v>
      </c>
    </row>
    <row r="353" spans="1:14" hidden="1" x14ac:dyDescent="0.35">
      <c r="A353" t="s">
        <v>367</v>
      </c>
      <c r="B353" t="s">
        <v>1019</v>
      </c>
      <c r="C353" t="s">
        <v>1020</v>
      </c>
      <c r="D353" t="s">
        <v>1051</v>
      </c>
      <c r="E353" t="s">
        <v>498</v>
      </c>
      <c r="F353">
        <v>2017</v>
      </c>
      <c r="H353" s="4">
        <f>118000*Conversion!$A$2</f>
        <v>10605.84</v>
      </c>
      <c r="I353" t="s">
        <v>471</v>
      </c>
      <c r="J353" t="s">
        <v>472</v>
      </c>
      <c r="K353" t="s">
        <v>494</v>
      </c>
      <c r="N353" s="7" t="s">
        <v>1018</v>
      </c>
    </row>
    <row r="354" spans="1:14" hidden="1" x14ac:dyDescent="0.35">
      <c r="A354" t="s">
        <v>367</v>
      </c>
      <c r="B354" t="s">
        <v>1052</v>
      </c>
      <c r="C354" t="s">
        <v>986</v>
      </c>
      <c r="D354" t="s">
        <v>1051</v>
      </c>
      <c r="E354" t="s">
        <v>498</v>
      </c>
      <c r="H354" s="4">
        <f>79000*Conversion!$A$2</f>
        <v>7100.52</v>
      </c>
      <c r="I354" t="s">
        <v>471</v>
      </c>
      <c r="J354" t="s">
        <v>472</v>
      </c>
      <c r="K354" t="s">
        <v>913</v>
      </c>
      <c r="N354" s="7" t="s">
        <v>1053</v>
      </c>
    </row>
    <row r="355" spans="1:14" hidden="1" x14ac:dyDescent="0.35">
      <c r="A355" t="s">
        <v>367</v>
      </c>
      <c r="B355" t="s">
        <v>1054</v>
      </c>
      <c r="C355" t="s">
        <v>1055</v>
      </c>
      <c r="D355" t="s">
        <v>1051</v>
      </c>
      <c r="E355" t="s">
        <v>498</v>
      </c>
      <c r="H355" s="4">
        <f>342000*Conversion!$A$2</f>
        <v>30738.959999999999</v>
      </c>
      <c r="I355" t="s">
        <v>471</v>
      </c>
      <c r="J355" t="s">
        <v>472</v>
      </c>
      <c r="K355" t="s">
        <v>913</v>
      </c>
      <c r="N355" s="7" t="s">
        <v>1056</v>
      </c>
    </row>
    <row r="356" spans="1:14" hidden="1" x14ac:dyDescent="0.35">
      <c r="A356" t="s">
        <v>367</v>
      </c>
      <c r="B356" t="s">
        <v>1057</v>
      </c>
      <c r="C356" t="s">
        <v>989</v>
      </c>
      <c r="D356" t="s">
        <v>1051</v>
      </c>
      <c r="E356" t="s">
        <v>498</v>
      </c>
      <c r="H356" s="4">
        <f>76000*Conversion!$A$2</f>
        <v>6830.88</v>
      </c>
      <c r="I356" t="s">
        <v>471</v>
      </c>
      <c r="J356" t="s">
        <v>472</v>
      </c>
      <c r="K356" t="s">
        <v>913</v>
      </c>
      <c r="N356" s="7" t="s">
        <v>1058</v>
      </c>
    </row>
    <row r="357" spans="1:14" hidden="1" x14ac:dyDescent="0.35">
      <c r="A357" t="s">
        <v>367</v>
      </c>
      <c r="B357" t="s">
        <v>1059</v>
      </c>
      <c r="C357" t="s">
        <v>1020</v>
      </c>
      <c r="D357" t="s">
        <v>1051</v>
      </c>
      <c r="E357" t="s">
        <v>498</v>
      </c>
      <c r="H357" s="4">
        <f>39000*Conversion!$A$2</f>
        <v>3505.32</v>
      </c>
      <c r="I357" t="s">
        <v>471</v>
      </c>
      <c r="J357" t="s">
        <v>472</v>
      </c>
      <c r="K357" t="s">
        <v>913</v>
      </c>
      <c r="N357" s="7" t="s">
        <v>949</v>
      </c>
    </row>
    <row r="358" spans="1:14" hidden="1" x14ac:dyDescent="0.35">
      <c r="A358" t="s">
        <v>367</v>
      </c>
      <c r="B358" t="s">
        <v>1060</v>
      </c>
      <c r="C358" t="s">
        <v>1020</v>
      </c>
      <c r="D358" t="s">
        <v>1051</v>
      </c>
      <c r="E358" t="s">
        <v>498</v>
      </c>
      <c r="H358" s="4">
        <f>108000*Conversion!$A$2</f>
        <v>9707.0400000000009</v>
      </c>
      <c r="I358" t="s">
        <v>471</v>
      </c>
      <c r="J358" t="s">
        <v>472</v>
      </c>
      <c r="K358" t="s">
        <v>913</v>
      </c>
      <c r="N358" s="7" t="s">
        <v>1061</v>
      </c>
    </row>
    <row r="359" spans="1:14" hidden="1" x14ac:dyDescent="0.35">
      <c r="A359" t="s">
        <v>367</v>
      </c>
      <c r="B359" t="s">
        <v>1013</v>
      </c>
      <c r="C359" t="s">
        <v>1014</v>
      </c>
      <c r="D359" t="s">
        <v>1015</v>
      </c>
      <c r="E359" t="s">
        <v>498</v>
      </c>
      <c r="H359" s="4">
        <f>2121000*Conversion!$A$2</f>
        <v>190635.48</v>
      </c>
      <c r="I359" t="s">
        <v>471</v>
      </c>
      <c r="J359" t="s">
        <v>472</v>
      </c>
      <c r="K359" t="s">
        <v>483</v>
      </c>
    </row>
    <row r="360" spans="1:14" hidden="1" x14ac:dyDescent="0.35">
      <c r="A360" t="s">
        <v>367</v>
      </c>
      <c r="B360" t="s">
        <v>1062</v>
      </c>
      <c r="C360" t="s">
        <v>986</v>
      </c>
      <c r="D360" t="s">
        <v>1063</v>
      </c>
      <c r="E360" t="s">
        <v>498</v>
      </c>
      <c r="H360" s="4">
        <f>187000*Conversion!$A$2</f>
        <v>16807.560000000001</v>
      </c>
      <c r="I360" t="s">
        <v>471</v>
      </c>
      <c r="J360" t="s">
        <v>472</v>
      </c>
    </row>
    <row r="361" spans="1:14" hidden="1" x14ac:dyDescent="0.35">
      <c r="A361" t="s">
        <v>367</v>
      </c>
      <c r="B361" t="s">
        <v>1064</v>
      </c>
      <c r="C361" t="s">
        <v>989</v>
      </c>
      <c r="D361" t="s">
        <v>1063</v>
      </c>
      <c r="E361" t="s">
        <v>498</v>
      </c>
      <c r="H361" s="4">
        <f>105000*Conversion!$A$2</f>
        <v>9437.4</v>
      </c>
      <c r="I361" t="s">
        <v>471</v>
      </c>
      <c r="J361" t="s">
        <v>472</v>
      </c>
    </row>
    <row r="362" spans="1:14" hidden="1" x14ac:dyDescent="0.35">
      <c r="A362" t="s">
        <v>367</v>
      </c>
      <c r="B362" t="s">
        <v>1065</v>
      </c>
      <c r="C362" t="s">
        <v>1055</v>
      </c>
      <c r="D362" t="s">
        <v>1063</v>
      </c>
      <c r="E362" t="s">
        <v>498</v>
      </c>
      <c r="H362" s="4">
        <f>66000*Conversion!$A$2</f>
        <v>5932.08</v>
      </c>
      <c r="I362" t="s">
        <v>471</v>
      </c>
      <c r="J362" t="s">
        <v>472</v>
      </c>
    </row>
    <row r="363" spans="1:14" hidden="1" x14ac:dyDescent="0.35">
      <c r="A363" t="s">
        <v>367</v>
      </c>
      <c r="B363" t="s">
        <v>1066</v>
      </c>
      <c r="C363" t="s">
        <v>1014</v>
      </c>
      <c r="D363" t="s">
        <v>1063</v>
      </c>
      <c r="E363" t="s">
        <v>498</v>
      </c>
      <c r="H363" s="4">
        <f>24000*Conversion!$A$2</f>
        <v>2157.12</v>
      </c>
      <c r="I363" t="s">
        <v>471</v>
      </c>
      <c r="J363" t="s">
        <v>472</v>
      </c>
    </row>
    <row r="364" spans="1:14" hidden="1" x14ac:dyDescent="0.35">
      <c r="A364" t="s">
        <v>367</v>
      </c>
      <c r="B364" t="s">
        <v>1067</v>
      </c>
      <c r="C364" t="s">
        <v>1020</v>
      </c>
      <c r="D364" t="s">
        <v>1063</v>
      </c>
      <c r="E364" t="s">
        <v>498</v>
      </c>
      <c r="H364" s="4">
        <f>142000*Conversion!$A$2</f>
        <v>12762.960000000001</v>
      </c>
      <c r="I364" t="s">
        <v>471</v>
      </c>
      <c r="J364" t="s">
        <v>472</v>
      </c>
    </row>
    <row r="365" spans="1:14" hidden="1" x14ac:dyDescent="0.35">
      <c r="A365" t="s">
        <v>367</v>
      </c>
      <c r="B365" t="s">
        <v>1019</v>
      </c>
      <c r="C365" t="s">
        <v>1020</v>
      </c>
      <c r="D365" t="s">
        <v>843</v>
      </c>
      <c r="E365" t="s">
        <v>498</v>
      </c>
      <c r="H365" s="4">
        <f>394000*Conversion!$A$2</f>
        <v>35412.720000000001</v>
      </c>
      <c r="I365" t="s">
        <v>471</v>
      </c>
      <c r="J365" t="s">
        <v>472</v>
      </c>
    </row>
    <row r="366" spans="1:14" hidden="1" x14ac:dyDescent="0.35">
      <c r="A366" t="s">
        <v>367</v>
      </c>
      <c r="B366" t="s">
        <v>988</v>
      </c>
      <c r="C366" t="s">
        <v>989</v>
      </c>
      <c r="D366" t="s">
        <v>1024</v>
      </c>
      <c r="E366" t="s">
        <v>498</v>
      </c>
      <c r="H366" s="4">
        <f>552000*Conversion!$A$2</f>
        <v>49613.760000000002</v>
      </c>
      <c r="I366" t="s">
        <v>471</v>
      </c>
      <c r="J366" t="s">
        <v>472</v>
      </c>
      <c r="K366" t="s">
        <v>483</v>
      </c>
    </row>
    <row r="367" spans="1:14" hidden="1" x14ac:dyDescent="0.35">
      <c r="A367" t="s">
        <v>367</v>
      </c>
      <c r="B367" t="s">
        <v>1025</v>
      </c>
      <c r="C367" t="s">
        <v>983</v>
      </c>
      <c r="D367" t="s">
        <v>1024</v>
      </c>
      <c r="E367" t="s">
        <v>498</v>
      </c>
      <c r="H367" s="4">
        <f>1656000*Conversion!$A$2</f>
        <v>148841.28</v>
      </c>
      <c r="I367" t="s">
        <v>471</v>
      </c>
      <c r="J367" t="s">
        <v>472</v>
      </c>
      <c r="K367" t="s">
        <v>483</v>
      </c>
    </row>
    <row r="368" spans="1:14" hidden="1" x14ac:dyDescent="0.35">
      <c r="A368" t="s">
        <v>367</v>
      </c>
      <c r="B368" t="s">
        <v>991</v>
      </c>
      <c r="C368" t="s">
        <v>983</v>
      </c>
      <c r="D368" t="s">
        <v>1024</v>
      </c>
      <c r="E368" t="s">
        <v>498</v>
      </c>
      <c r="H368" s="4">
        <f>1248000*Conversion!$A$2</f>
        <v>112170.24000000001</v>
      </c>
      <c r="I368" t="s">
        <v>471</v>
      </c>
      <c r="J368" t="s">
        <v>472</v>
      </c>
      <c r="K368" t="s">
        <v>483</v>
      </c>
    </row>
    <row r="369" spans="1:14" hidden="1" x14ac:dyDescent="0.35">
      <c r="A369" t="s">
        <v>367</v>
      </c>
      <c r="B369" t="s">
        <v>991</v>
      </c>
      <c r="C369" t="s">
        <v>983</v>
      </c>
      <c r="D369" t="s">
        <v>1068</v>
      </c>
      <c r="E369" t="s">
        <v>498</v>
      </c>
      <c r="H369" s="4">
        <f>192000*Conversion!$A$2</f>
        <v>17256.96</v>
      </c>
      <c r="I369" t="s">
        <v>471</v>
      </c>
      <c r="J369" t="s">
        <v>472</v>
      </c>
      <c r="K369" t="s">
        <v>494</v>
      </c>
      <c r="N369" s="7" t="s">
        <v>1069</v>
      </c>
    </row>
    <row r="370" spans="1:14" hidden="1" x14ac:dyDescent="0.35">
      <c r="A370" t="s">
        <v>367</v>
      </c>
      <c r="B370" t="s">
        <v>988</v>
      </c>
      <c r="C370" t="s">
        <v>989</v>
      </c>
      <c r="D370" t="s">
        <v>1070</v>
      </c>
      <c r="E370" t="s">
        <v>498</v>
      </c>
      <c r="H370" s="4">
        <f>184000*Conversion!$A$2</f>
        <v>16537.920000000002</v>
      </c>
      <c r="I370" t="s">
        <v>471</v>
      </c>
      <c r="J370" t="s">
        <v>472</v>
      </c>
      <c r="K370" t="s">
        <v>494</v>
      </c>
      <c r="N370" s="7" t="s">
        <v>1071</v>
      </c>
    </row>
    <row r="371" spans="1:14" hidden="1" x14ac:dyDescent="0.35">
      <c r="A371" t="s">
        <v>367</v>
      </c>
      <c r="B371" t="s">
        <v>994</v>
      </c>
      <c r="C371" t="s">
        <v>986</v>
      </c>
      <c r="D371" t="s">
        <v>1072</v>
      </c>
      <c r="E371" t="s">
        <v>498</v>
      </c>
      <c r="H371" s="4">
        <f>171000*Conversion!$A$2</f>
        <v>15369.48</v>
      </c>
      <c r="I371" t="s">
        <v>471</v>
      </c>
      <c r="J371" t="s">
        <v>472</v>
      </c>
      <c r="K371" t="s">
        <v>494</v>
      </c>
    </row>
    <row r="372" spans="1:14" hidden="1" x14ac:dyDescent="0.35">
      <c r="A372" t="s">
        <v>367</v>
      </c>
      <c r="B372" t="s">
        <v>1008</v>
      </c>
      <c r="C372" t="s">
        <v>983</v>
      </c>
      <c r="D372" t="s">
        <v>1009</v>
      </c>
      <c r="E372" t="s">
        <v>498</v>
      </c>
      <c r="H372" s="4">
        <f>415000*Conversion!$A$2</f>
        <v>37300.199999999997</v>
      </c>
      <c r="I372" t="s">
        <v>471</v>
      </c>
      <c r="J372" t="s">
        <v>472</v>
      </c>
      <c r="K372" t="s">
        <v>483</v>
      </c>
    </row>
    <row r="373" spans="1:14" hidden="1" x14ac:dyDescent="0.35">
      <c r="A373" t="s">
        <v>367</v>
      </c>
      <c r="B373" t="s">
        <v>1073</v>
      </c>
      <c r="C373" t="s">
        <v>989</v>
      </c>
      <c r="D373" t="s">
        <v>1009</v>
      </c>
      <c r="E373" t="s">
        <v>498</v>
      </c>
      <c r="H373" s="4">
        <f>6307000*Conversion!$A$2</f>
        <v>566873.16</v>
      </c>
      <c r="I373" t="s">
        <v>471</v>
      </c>
      <c r="J373" t="s">
        <v>472</v>
      </c>
      <c r="K373" t="s">
        <v>1074</v>
      </c>
      <c r="N373" s="7" t="s">
        <v>1075</v>
      </c>
    </row>
    <row r="374" spans="1:14" hidden="1" x14ac:dyDescent="0.35">
      <c r="A374" t="s">
        <v>367</v>
      </c>
      <c r="B374" t="s">
        <v>985</v>
      </c>
      <c r="C374" t="s">
        <v>986</v>
      </c>
      <c r="D374" t="s">
        <v>954</v>
      </c>
      <c r="E374" t="s">
        <v>498</v>
      </c>
      <c r="H374" s="4">
        <f>250000*Conversion!$A$2</f>
        <v>22470</v>
      </c>
      <c r="I374" t="s">
        <v>471</v>
      </c>
      <c r="J374" t="s">
        <v>472</v>
      </c>
      <c r="K374" t="s">
        <v>494</v>
      </c>
      <c r="N374" s="7" t="s">
        <v>1076</v>
      </c>
    </row>
    <row r="375" spans="1:14" hidden="1" x14ac:dyDescent="0.35">
      <c r="A375" t="s">
        <v>367</v>
      </c>
      <c r="B375" t="s">
        <v>1010</v>
      </c>
      <c r="C375" t="s">
        <v>986</v>
      </c>
      <c r="D375" t="s">
        <v>1011</v>
      </c>
      <c r="E375" t="s">
        <v>498</v>
      </c>
      <c r="H375" s="4">
        <f>237000*Conversion!$A$2</f>
        <v>21301.56</v>
      </c>
      <c r="I375" t="s">
        <v>471</v>
      </c>
      <c r="J375" t="s">
        <v>472</v>
      </c>
      <c r="K375" t="s">
        <v>494</v>
      </c>
      <c r="N375" s="6" t="s">
        <v>1077</v>
      </c>
    </row>
    <row r="376" spans="1:14" hidden="1" x14ac:dyDescent="0.35">
      <c r="A376" t="s">
        <v>367</v>
      </c>
      <c r="B376" t="s">
        <v>1052</v>
      </c>
      <c r="C376" t="s">
        <v>986</v>
      </c>
      <c r="D376" t="s">
        <v>1078</v>
      </c>
      <c r="E376" t="s">
        <v>498</v>
      </c>
      <c r="H376" s="4">
        <f>58000*Conversion!$A$2</f>
        <v>5213.04</v>
      </c>
      <c r="I376" t="s">
        <v>471</v>
      </c>
      <c r="J376" t="s">
        <v>472</v>
      </c>
      <c r="K376" t="s">
        <v>494</v>
      </c>
      <c r="N376" s="7" t="s">
        <v>1079</v>
      </c>
    </row>
    <row r="377" spans="1:14" hidden="1" x14ac:dyDescent="0.35">
      <c r="A377" t="s">
        <v>354</v>
      </c>
      <c r="B377" t="s">
        <v>1080</v>
      </c>
      <c r="C377" t="s">
        <v>24</v>
      </c>
      <c r="D377" t="s">
        <v>1081</v>
      </c>
      <c r="E377" t="s">
        <v>261</v>
      </c>
      <c r="F377">
        <v>2000</v>
      </c>
      <c r="I377" t="s">
        <v>471</v>
      </c>
      <c r="J377" t="s">
        <v>472</v>
      </c>
      <c r="K377" t="s">
        <v>483</v>
      </c>
      <c r="L377" t="s">
        <v>1082</v>
      </c>
    </row>
    <row r="378" spans="1:14" hidden="1" x14ac:dyDescent="0.35">
      <c r="A378" t="s">
        <v>354</v>
      </c>
      <c r="B378" t="s">
        <v>1083</v>
      </c>
      <c r="C378" t="s">
        <v>24</v>
      </c>
      <c r="D378" t="s">
        <v>1084</v>
      </c>
      <c r="E378" t="s">
        <v>1085</v>
      </c>
      <c r="F378">
        <v>2008</v>
      </c>
      <c r="H378" s="4">
        <f>980000*Conversion!$A$2</f>
        <v>88082.400000000009</v>
      </c>
      <c r="I378" t="s">
        <v>471</v>
      </c>
      <c r="J378" t="s">
        <v>472</v>
      </c>
      <c r="L378" t="s">
        <v>1086</v>
      </c>
    </row>
    <row r="379" spans="1:14" hidden="1" x14ac:dyDescent="0.35">
      <c r="A379" t="s">
        <v>354</v>
      </c>
      <c r="B379" t="s">
        <v>1087</v>
      </c>
      <c r="C379" t="s">
        <v>1088</v>
      </c>
      <c r="D379" t="s">
        <v>1081</v>
      </c>
      <c r="E379" t="s">
        <v>261</v>
      </c>
      <c r="H379" s="4">
        <f>17000*Conversion!$A$2</f>
        <v>1527.96</v>
      </c>
      <c r="I379" t="s">
        <v>471</v>
      </c>
      <c r="J379" t="s">
        <v>472</v>
      </c>
      <c r="L379" t="s">
        <v>1089</v>
      </c>
      <c r="N379" t="s">
        <v>1090</v>
      </c>
    </row>
    <row r="380" spans="1:14" hidden="1" x14ac:dyDescent="0.35">
      <c r="A380" t="s">
        <v>354</v>
      </c>
      <c r="B380" t="s">
        <v>1091</v>
      </c>
      <c r="C380" t="s">
        <v>24</v>
      </c>
      <c r="D380" t="s">
        <v>1081</v>
      </c>
      <c r="E380" t="s">
        <v>261</v>
      </c>
      <c r="H380" s="4">
        <f>245000*Conversion!$A$2</f>
        <v>22020.600000000002</v>
      </c>
      <c r="I380" t="s">
        <v>471</v>
      </c>
      <c r="J380" t="s">
        <v>472</v>
      </c>
      <c r="L380" t="s">
        <v>1092</v>
      </c>
    </row>
    <row r="381" spans="1:14" hidden="1" x14ac:dyDescent="0.35">
      <c r="A381" t="s">
        <v>354</v>
      </c>
      <c r="B381" t="s">
        <v>1093</v>
      </c>
      <c r="C381" t="s">
        <v>24</v>
      </c>
      <c r="D381" t="s">
        <v>1094</v>
      </c>
      <c r="E381" t="s">
        <v>261</v>
      </c>
      <c r="H381" s="4">
        <f>36000*Conversion!$A$2</f>
        <v>3235.68</v>
      </c>
      <c r="I381" t="s">
        <v>471</v>
      </c>
      <c r="J381" t="s">
        <v>472</v>
      </c>
      <c r="K381" t="s">
        <v>494</v>
      </c>
      <c r="L381" t="s">
        <v>1095</v>
      </c>
      <c r="N381" t="s">
        <v>1096</v>
      </c>
    </row>
    <row r="382" spans="1:14" hidden="1" x14ac:dyDescent="0.35">
      <c r="A382" t="s">
        <v>354</v>
      </c>
      <c r="B382" t="s">
        <v>1097</v>
      </c>
      <c r="C382" t="s">
        <v>24</v>
      </c>
      <c r="D382" t="s">
        <v>1098</v>
      </c>
      <c r="E382" t="s">
        <v>261</v>
      </c>
      <c r="H382" s="4">
        <f>1499000*Conversion!$A$2</f>
        <v>134730.12</v>
      </c>
      <c r="I382" t="s">
        <v>471</v>
      </c>
      <c r="J382" t="s">
        <v>472</v>
      </c>
      <c r="K382" t="s">
        <v>1074</v>
      </c>
      <c r="L382" t="s">
        <v>1099</v>
      </c>
    </row>
    <row r="383" spans="1:14" hidden="1" x14ac:dyDescent="0.35">
      <c r="A383" t="s">
        <v>354</v>
      </c>
      <c r="B383" t="s">
        <v>1100</v>
      </c>
      <c r="C383" t="s">
        <v>24</v>
      </c>
      <c r="D383" t="s">
        <v>1101</v>
      </c>
      <c r="E383" t="s">
        <v>261</v>
      </c>
      <c r="H383" s="4">
        <f>1867000*Conversion!$A$2</f>
        <v>167805.96</v>
      </c>
      <c r="I383" t="s">
        <v>471</v>
      </c>
      <c r="J383" t="s">
        <v>472</v>
      </c>
      <c r="K383" t="s">
        <v>1074</v>
      </c>
      <c r="L383" t="s">
        <v>1102</v>
      </c>
    </row>
    <row r="384" spans="1:14" hidden="1" x14ac:dyDescent="0.35">
      <c r="A384" t="s">
        <v>354</v>
      </c>
      <c r="B384" t="s">
        <v>1103</v>
      </c>
      <c r="C384" t="s">
        <v>24</v>
      </c>
      <c r="D384" t="s">
        <v>1104</v>
      </c>
      <c r="E384" t="s">
        <v>261</v>
      </c>
      <c r="H384" s="4">
        <f>3929000*Conversion!$A$2</f>
        <v>353138.52</v>
      </c>
      <c r="I384" t="s">
        <v>471</v>
      </c>
      <c r="J384" t="s">
        <v>472</v>
      </c>
      <c r="K384" t="s">
        <v>1074</v>
      </c>
      <c r="L384" t="s">
        <v>1105</v>
      </c>
    </row>
    <row r="385" spans="1:12" hidden="1" x14ac:dyDescent="0.35">
      <c r="A385" t="s">
        <v>354</v>
      </c>
      <c r="B385" t="s">
        <v>1093</v>
      </c>
      <c r="C385" t="s">
        <v>24</v>
      </c>
      <c r="D385" t="s">
        <v>1106</v>
      </c>
      <c r="E385" t="s">
        <v>261</v>
      </c>
      <c r="H385" s="4">
        <f>1164000*Conversion!$A$2</f>
        <v>104620.32</v>
      </c>
      <c r="I385" t="s">
        <v>471</v>
      </c>
      <c r="J385" t="s">
        <v>472</v>
      </c>
      <c r="K385" t="s">
        <v>1074</v>
      </c>
      <c r="L385" t="s">
        <v>1107</v>
      </c>
    </row>
    <row r="386" spans="1:12" hidden="1" x14ac:dyDescent="0.35">
      <c r="A386" t="s">
        <v>395</v>
      </c>
      <c r="B386" t="s">
        <v>1108</v>
      </c>
      <c r="C386" t="s">
        <v>396</v>
      </c>
      <c r="D386" t="s">
        <v>1109</v>
      </c>
      <c r="E386" t="s">
        <v>1110</v>
      </c>
      <c r="H386" s="4">
        <f>2408000*Conversion!$A$2</f>
        <v>216431.04</v>
      </c>
      <c r="I386" t="s">
        <v>731</v>
      </c>
      <c r="J386" t="s">
        <v>472</v>
      </c>
      <c r="K386" t="s">
        <v>483</v>
      </c>
    </row>
    <row r="387" spans="1:12" hidden="1" x14ac:dyDescent="0.35">
      <c r="A387" t="s">
        <v>395</v>
      </c>
      <c r="B387" t="s">
        <v>1111</v>
      </c>
      <c r="C387" t="s">
        <v>396</v>
      </c>
      <c r="D387" t="s">
        <v>1109</v>
      </c>
      <c r="E387" t="s">
        <v>1112</v>
      </c>
      <c r="H387" s="4">
        <f>1550000*Conversion!$A$2</f>
        <v>139314</v>
      </c>
      <c r="I387" t="s">
        <v>731</v>
      </c>
      <c r="J387" t="s">
        <v>472</v>
      </c>
      <c r="K387" t="s">
        <v>483</v>
      </c>
    </row>
    <row r="388" spans="1:12" hidden="1" x14ac:dyDescent="0.35">
      <c r="A388" t="s">
        <v>395</v>
      </c>
      <c r="B388" t="s">
        <v>1113</v>
      </c>
      <c r="C388" t="s">
        <v>396</v>
      </c>
      <c r="D388" t="s">
        <v>1109</v>
      </c>
      <c r="E388" t="s">
        <v>1112</v>
      </c>
      <c r="H388" s="4">
        <f>320000*Conversion!$A$2</f>
        <v>28761.600000000002</v>
      </c>
      <c r="I388" t="s">
        <v>731</v>
      </c>
      <c r="J388" t="s">
        <v>472</v>
      </c>
      <c r="K388" t="s">
        <v>483</v>
      </c>
    </row>
    <row r="389" spans="1:12" hidden="1" x14ac:dyDescent="0.35">
      <c r="A389" t="s">
        <v>395</v>
      </c>
      <c r="B389" t="s">
        <v>1114</v>
      </c>
      <c r="C389" t="s">
        <v>396</v>
      </c>
      <c r="D389" t="s">
        <v>1115</v>
      </c>
      <c r="E389" t="s">
        <v>261</v>
      </c>
      <c r="H389" s="4">
        <f>1325000*Conversion!$A$2</f>
        <v>119091</v>
      </c>
      <c r="I389" t="s">
        <v>731</v>
      </c>
      <c r="J389" t="s">
        <v>472</v>
      </c>
      <c r="K389" t="s">
        <v>483</v>
      </c>
    </row>
    <row r="390" spans="1:12" hidden="1" x14ac:dyDescent="0.35">
      <c r="A390" t="s">
        <v>395</v>
      </c>
      <c r="B390" t="s">
        <v>1108</v>
      </c>
      <c r="C390" t="s">
        <v>396</v>
      </c>
      <c r="D390" t="s">
        <v>1116</v>
      </c>
      <c r="E390" t="s">
        <v>261</v>
      </c>
      <c r="F390">
        <v>1983</v>
      </c>
      <c r="H390" s="4">
        <f>749000*Conversion!$A$2</f>
        <v>67320.12</v>
      </c>
      <c r="I390" t="s">
        <v>731</v>
      </c>
      <c r="J390" t="s">
        <v>472</v>
      </c>
      <c r="K390" t="s">
        <v>483</v>
      </c>
    </row>
    <row r="391" spans="1:12" hidden="1" x14ac:dyDescent="0.35">
      <c r="A391" t="s">
        <v>395</v>
      </c>
      <c r="B391" t="s">
        <v>1117</v>
      </c>
      <c r="C391" t="s">
        <v>396</v>
      </c>
      <c r="D391" t="s">
        <v>1116</v>
      </c>
      <c r="E391" t="s">
        <v>1110</v>
      </c>
      <c r="H391" s="4">
        <f>900000*Conversion!$A$2</f>
        <v>80892</v>
      </c>
      <c r="I391" t="s">
        <v>731</v>
      </c>
      <c r="J391" t="s">
        <v>472</v>
      </c>
      <c r="K391" t="s">
        <v>483</v>
      </c>
    </row>
    <row r="392" spans="1:12" hidden="1" x14ac:dyDescent="0.35">
      <c r="A392" t="s">
        <v>395</v>
      </c>
      <c r="B392" t="s">
        <v>1118</v>
      </c>
      <c r="C392" t="s">
        <v>396</v>
      </c>
      <c r="D392" t="s">
        <v>1116</v>
      </c>
      <c r="E392" t="s">
        <v>1119</v>
      </c>
      <c r="F392">
        <v>1997</v>
      </c>
      <c r="H392" s="4">
        <f>1209000*Conversion!$A$2</f>
        <v>108664.92</v>
      </c>
      <c r="I392" t="s">
        <v>731</v>
      </c>
      <c r="J392" t="s">
        <v>472</v>
      </c>
      <c r="K392" t="s">
        <v>483</v>
      </c>
    </row>
    <row r="393" spans="1:12" hidden="1" x14ac:dyDescent="0.35">
      <c r="A393" t="s">
        <v>395</v>
      </c>
      <c r="B393" t="s">
        <v>1120</v>
      </c>
      <c r="C393" t="s">
        <v>396</v>
      </c>
      <c r="D393" t="s">
        <v>1116</v>
      </c>
      <c r="E393" t="s">
        <v>1119</v>
      </c>
      <c r="F393">
        <v>1970</v>
      </c>
      <c r="H393" s="4">
        <f>268000*Conversion!$A$2</f>
        <v>24087.84</v>
      </c>
      <c r="I393" t="s">
        <v>731</v>
      </c>
      <c r="J393" t="s">
        <v>472</v>
      </c>
      <c r="K393" t="s">
        <v>483</v>
      </c>
    </row>
    <row r="394" spans="1:12" hidden="1" x14ac:dyDescent="0.35">
      <c r="A394" t="s">
        <v>395</v>
      </c>
      <c r="B394" t="s">
        <v>1121</v>
      </c>
      <c r="C394" t="s">
        <v>396</v>
      </c>
      <c r="D394" t="s">
        <v>1116</v>
      </c>
      <c r="E394" t="s">
        <v>1119</v>
      </c>
      <c r="F394">
        <v>1970</v>
      </c>
      <c r="H394" s="4">
        <f>1522000*Conversion!$A$2</f>
        <v>136797.36000000002</v>
      </c>
      <c r="I394" t="s">
        <v>731</v>
      </c>
      <c r="J394" t="s">
        <v>472</v>
      </c>
      <c r="K394" t="s">
        <v>483</v>
      </c>
    </row>
    <row r="395" spans="1:12" hidden="1" x14ac:dyDescent="0.35">
      <c r="A395" t="s">
        <v>395</v>
      </c>
      <c r="B395" t="s">
        <v>1122</v>
      </c>
      <c r="C395" t="s">
        <v>396</v>
      </c>
      <c r="D395" t="s">
        <v>1116</v>
      </c>
      <c r="E395" t="s">
        <v>1119</v>
      </c>
      <c r="F395">
        <v>1970</v>
      </c>
      <c r="H395" s="4">
        <f>4292000*Conversion!$A$2</f>
        <v>385764.96</v>
      </c>
      <c r="I395" t="s">
        <v>731</v>
      </c>
      <c r="J395" t="s">
        <v>472</v>
      </c>
      <c r="K395" t="s">
        <v>483</v>
      </c>
    </row>
    <row r="396" spans="1:12" hidden="1" x14ac:dyDescent="0.35">
      <c r="A396" t="s">
        <v>395</v>
      </c>
      <c r="B396" t="s">
        <v>1123</v>
      </c>
      <c r="C396" t="s">
        <v>396</v>
      </c>
      <c r="D396" t="s">
        <v>1116</v>
      </c>
      <c r="E396" t="s">
        <v>1119</v>
      </c>
      <c r="H396" s="4">
        <f>1343000*Conversion!$A$2</f>
        <v>120708.84</v>
      </c>
      <c r="I396" t="s">
        <v>731</v>
      </c>
      <c r="J396" t="s">
        <v>472</v>
      </c>
      <c r="K396" t="s">
        <v>483</v>
      </c>
    </row>
    <row r="397" spans="1:12" hidden="1" x14ac:dyDescent="0.35">
      <c r="A397" t="s">
        <v>395</v>
      </c>
      <c r="B397" t="s">
        <v>1124</v>
      </c>
      <c r="C397" t="s">
        <v>396</v>
      </c>
      <c r="D397" t="s">
        <v>1116</v>
      </c>
      <c r="E397" t="s">
        <v>1125</v>
      </c>
      <c r="F397">
        <v>1972</v>
      </c>
      <c r="H397" s="4">
        <f>392000*Conversion!$A$2</f>
        <v>35232.959999999999</v>
      </c>
      <c r="I397" t="s">
        <v>731</v>
      </c>
      <c r="J397" t="s">
        <v>472</v>
      </c>
      <c r="K397" t="s">
        <v>483</v>
      </c>
    </row>
    <row r="398" spans="1:12" hidden="1" x14ac:dyDescent="0.35">
      <c r="A398" t="s">
        <v>395</v>
      </c>
      <c r="B398" t="s">
        <v>1111</v>
      </c>
      <c r="C398" t="s">
        <v>396</v>
      </c>
      <c r="D398" t="s">
        <v>1116</v>
      </c>
      <c r="E398" t="s">
        <v>1110</v>
      </c>
      <c r="H398" s="4">
        <f>828000*Conversion!$A$2</f>
        <v>74420.639999999999</v>
      </c>
      <c r="I398" t="s">
        <v>731</v>
      </c>
      <c r="J398" t="s">
        <v>472</v>
      </c>
      <c r="K398" t="s">
        <v>483</v>
      </c>
    </row>
    <row r="399" spans="1:12" hidden="1" x14ac:dyDescent="0.35">
      <c r="A399" t="s">
        <v>395</v>
      </c>
      <c r="B399" t="s">
        <v>1126</v>
      </c>
      <c r="C399" t="s">
        <v>396</v>
      </c>
      <c r="D399" t="s">
        <v>1116</v>
      </c>
      <c r="E399" t="s">
        <v>1127</v>
      </c>
      <c r="F399">
        <v>1996</v>
      </c>
      <c r="H399" s="4">
        <f>1635000*Conversion!$A$2</f>
        <v>146953.79999999999</v>
      </c>
      <c r="I399" t="s">
        <v>731</v>
      </c>
      <c r="J399" t="s">
        <v>472</v>
      </c>
      <c r="K399" t="s">
        <v>483</v>
      </c>
    </row>
    <row r="400" spans="1:12" hidden="1" x14ac:dyDescent="0.35">
      <c r="A400" t="s">
        <v>395</v>
      </c>
      <c r="B400" t="s">
        <v>1128</v>
      </c>
      <c r="C400" t="s">
        <v>396</v>
      </c>
      <c r="D400" t="s">
        <v>1116</v>
      </c>
      <c r="E400" t="s">
        <v>1129</v>
      </c>
      <c r="F400">
        <v>1968</v>
      </c>
      <c r="H400" s="4">
        <f>802000*Conversion!$A$2</f>
        <v>72083.759999999995</v>
      </c>
      <c r="I400" t="s">
        <v>731</v>
      </c>
      <c r="J400" t="s">
        <v>472</v>
      </c>
      <c r="K400" t="s">
        <v>483</v>
      </c>
    </row>
    <row r="401" spans="1:11" hidden="1" x14ac:dyDescent="0.35">
      <c r="A401" t="s">
        <v>395</v>
      </c>
      <c r="B401" t="s">
        <v>1130</v>
      </c>
      <c r="C401" t="s">
        <v>396</v>
      </c>
      <c r="D401" t="s">
        <v>1131</v>
      </c>
      <c r="E401" t="s">
        <v>1119</v>
      </c>
      <c r="F401">
        <v>1975</v>
      </c>
      <c r="H401" s="4">
        <f>1587000*Conversion!$A$2</f>
        <v>142639.56</v>
      </c>
      <c r="I401" t="s">
        <v>731</v>
      </c>
      <c r="J401" t="s">
        <v>472</v>
      </c>
      <c r="K401" t="s">
        <v>483</v>
      </c>
    </row>
    <row r="402" spans="1:11" hidden="1" x14ac:dyDescent="0.35">
      <c r="A402" t="s">
        <v>395</v>
      </c>
      <c r="B402" t="s">
        <v>1108</v>
      </c>
      <c r="C402" t="s">
        <v>396</v>
      </c>
      <c r="D402" t="s">
        <v>1131</v>
      </c>
      <c r="E402" t="s">
        <v>1119</v>
      </c>
      <c r="H402" s="4">
        <f>1960000*Conversion!$A$2</f>
        <v>176164.80000000002</v>
      </c>
      <c r="I402" t="s">
        <v>731</v>
      </c>
      <c r="J402" t="s">
        <v>472</v>
      </c>
      <c r="K402" t="s">
        <v>483</v>
      </c>
    </row>
    <row r="403" spans="1:11" hidden="1" x14ac:dyDescent="0.35">
      <c r="A403" t="s">
        <v>395</v>
      </c>
      <c r="B403" t="s">
        <v>1132</v>
      </c>
      <c r="C403" t="s">
        <v>396</v>
      </c>
      <c r="D403" t="s">
        <v>1131</v>
      </c>
      <c r="E403" t="s">
        <v>1119</v>
      </c>
      <c r="F403">
        <v>1994</v>
      </c>
      <c r="H403" s="4">
        <f>1411000*Conversion!$A$2</f>
        <v>126820.68000000001</v>
      </c>
      <c r="I403" t="s">
        <v>731</v>
      </c>
      <c r="J403" t="s">
        <v>472</v>
      </c>
      <c r="K403" t="s">
        <v>483</v>
      </c>
    </row>
    <row r="404" spans="1:11" hidden="1" x14ac:dyDescent="0.35">
      <c r="A404" t="s">
        <v>395</v>
      </c>
      <c r="B404" t="s">
        <v>1113</v>
      </c>
      <c r="C404" t="s">
        <v>396</v>
      </c>
      <c r="D404" t="s">
        <v>1133</v>
      </c>
      <c r="E404" t="s">
        <v>1134</v>
      </c>
      <c r="H404" s="4">
        <f>200000*Conversion!$A$2</f>
        <v>17976</v>
      </c>
      <c r="I404" t="s">
        <v>731</v>
      </c>
      <c r="J404" t="s">
        <v>472</v>
      </c>
      <c r="K404" t="s">
        <v>494</v>
      </c>
    </row>
    <row r="405" spans="1:11" hidden="1" x14ac:dyDescent="0.35">
      <c r="A405" t="s">
        <v>395</v>
      </c>
      <c r="B405" t="s">
        <v>1135</v>
      </c>
      <c r="C405" t="s">
        <v>396</v>
      </c>
      <c r="D405" t="s">
        <v>1136</v>
      </c>
      <c r="E405" t="s">
        <v>1137</v>
      </c>
      <c r="H405" s="4">
        <f>1050000*Conversion!$A$2</f>
        <v>94374</v>
      </c>
      <c r="I405" t="s">
        <v>731</v>
      </c>
      <c r="J405" t="s">
        <v>472</v>
      </c>
      <c r="K405" t="s">
        <v>503</v>
      </c>
    </row>
    <row r="406" spans="1:11" hidden="1" x14ac:dyDescent="0.35">
      <c r="A406" t="s">
        <v>395</v>
      </c>
      <c r="B406" t="s">
        <v>1113</v>
      </c>
      <c r="C406" t="s">
        <v>396</v>
      </c>
      <c r="D406" t="s">
        <v>1138</v>
      </c>
      <c r="E406" t="s">
        <v>1125</v>
      </c>
      <c r="H406" s="4">
        <f>336000*Conversion!$A$2</f>
        <v>30199.68</v>
      </c>
      <c r="I406" t="s">
        <v>731</v>
      </c>
      <c r="J406" t="s">
        <v>472</v>
      </c>
      <c r="K406" t="s">
        <v>494</v>
      </c>
    </row>
    <row r="407" spans="1:11" hidden="1" x14ac:dyDescent="0.35">
      <c r="A407" t="s">
        <v>395</v>
      </c>
      <c r="B407" t="s">
        <v>1139</v>
      </c>
      <c r="C407" t="s">
        <v>396</v>
      </c>
      <c r="D407" t="s">
        <v>1140</v>
      </c>
      <c r="E407" t="s">
        <v>261</v>
      </c>
      <c r="H407" s="4">
        <f>1820000*Conversion!$A$2</f>
        <v>163581.6</v>
      </c>
      <c r="I407" t="s">
        <v>731</v>
      </c>
      <c r="J407" t="s">
        <v>472</v>
      </c>
      <c r="K407" t="s">
        <v>1074</v>
      </c>
    </row>
    <row r="408" spans="1:11" hidden="1" x14ac:dyDescent="0.35">
      <c r="A408" t="s">
        <v>395</v>
      </c>
      <c r="B408" t="s">
        <v>1141</v>
      </c>
      <c r="C408" t="s">
        <v>396</v>
      </c>
      <c r="D408" t="s">
        <v>1142</v>
      </c>
      <c r="E408" t="s">
        <v>1143</v>
      </c>
      <c r="H408" s="4">
        <f>144000*Conversion!$A$2</f>
        <v>12942.72</v>
      </c>
      <c r="I408" t="s">
        <v>731</v>
      </c>
      <c r="J408" t="s">
        <v>472</v>
      </c>
      <c r="K408" t="s">
        <v>503</v>
      </c>
    </row>
    <row r="409" spans="1:11" hidden="1" x14ac:dyDescent="0.35">
      <c r="A409" t="s">
        <v>395</v>
      </c>
      <c r="B409" t="s">
        <v>1144</v>
      </c>
      <c r="C409" t="s">
        <v>396</v>
      </c>
      <c r="D409" t="s">
        <v>1142</v>
      </c>
      <c r="E409" t="s">
        <v>1143</v>
      </c>
      <c r="H409" s="4">
        <f>360000*Conversion!$A$2</f>
        <v>32356.799999999999</v>
      </c>
      <c r="I409" t="s">
        <v>731</v>
      </c>
      <c r="J409" t="s">
        <v>472</v>
      </c>
      <c r="K409" t="s">
        <v>503</v>
      </c>
    </row>
    <row r="410" spans="1:11" hidden="1" x14ac:dyDescent="0.35">
      <c r="A410" t="s">
        <v>395</v>
      </c>
      <c r="B410" t="s">
        <v>1145</v>
      </c>
      <c r="C410" t="s">
        <v>396</v>
      </c>
      <c r="D410" t="s">
        <v>1142</v>
      </c>
      <c r="E410" t="s">
        <v>1143</v>
      </c>
      <c r="H410" s="4">
        <f>930000*Conversion!$A$2</f>
        <v>83588.399999999994</v>
      </c>
      <c r="I410" t="s">
        <v>731</v>
      </c>
      <c r="J410" t="s">
        <v>472</v>
      </c>
      <c r="K410" t="s">
        <v>503</v>
      </c>
    </row>
    <row r="411" spans="1:11" hidden="1" x14ac:dyDescent="0.35">
      <c r="A411" t="s">
        <v>395</v>
      </c>
      <c r="B411" t="s">
        <v>1124</v>
      </c>
      <c r="C411" t="s">
        <v>396</v>
      </c>
      <c r="D411" t="s">
        <v>1142</v>
      </c>
      <c r="E411" t="s">
        <v>1143</v>
      </c>
      <c r="H411" s="4">
        <f>1100000*Conversion!$A$2</f>
        <v>98868</v>
      </c>
      <c r="I411" t="s">
        <v>731</v>
      </c>
      <c r="J411" t="s">
        <v>472</v>
      </c>
      <c r="K411" t="s">
        <v>503</v>
      </c>
    </row>
    <row r="412" spans="1:11" hidden="1" x14ac:dyDescent="0.35">
      <c r="A412" t="s">
        <v>395</v>
      </c>
      <c r="B412" t="s">
        <v>1146</v>
      </c>
      <c r="C412" t="s">
        <v>396</v>
      </c>
      <c r="D412" t="s">
        <v>1147</v>
      </c>
      <c r="E412" t="s">
        <v>261</v>
      </c>
      <c r="H412" s="4">
        <f>627000*Conversion!$A$2</f>
        <v>56354.76</v>
      </c>
      <c r="I412" t="s">
        <v>731</v>
      </c>
      <c r="J412" t="s">
        <v>472</v>
      </c>
      <c r="K412" t="s">
        <v>1074</v>
      </c>
    </row>
    <row r="413" spans="1:11" hidden="1" x14ac:dyDescent="0.35">
      <c r="A413" t="s">
        <v>395</v>
      </c>
      <c r="B413" t="s">
        <v>1118</v>
      </c>
      <c r="C413" t="s">
        <v>396</v>
      </c>
      <c r="D413" t="s">
        <v>1148</v>
      </c>
      <c r="E413" t="s">
        <v>261</v>
      </c>
      <c r="H413" s="4">
        <f>1074000*Conversion!$A$2</f>
        <v>96531.12</v>
      </c>
      <c r="I413" t="s">
        <v>731</v>
      </c>
      <c r="J413" t="s">
        <v>472</v>
      </c>
      <c r="K413" t="s">
        <v>1074</v>
      </c>
    </row>
    <row r="414" spans="1:11" hidden="1" x14ac:dyDescent="0.35">
      <c r="A414" t="s">
        <v>395</v>
      </c>
      <c r="B414" t="s">
        <v>1149</v>
      </c>
      <c r="C414" t="s">
        <v>396</v>
      </c>
      <c r="D414" t="s">
        <v>1150</v>
      </c>
      <c r="E414" t="s">
        <v>1110</v>
      </c>
      <c r="H414" s="4">
        <f>473000*Conversion!$A$2</f>
        <v>42513.24</v>
      </c>
      <c r="I414" t="s">
        <v>731</v>
      </c>
      <c r="J414" t="s">
        <v>472</v>
      </c>
      <c r="K414" t="s">
        <v>483</v>
      </c>
    </row>
    <row r="415" spans="1:11" hidden="1" x14ac:dyDescent="0.35">
      <c r="A415" t="s">
        <v>395</v>
      </c>
      <c r="B415" t="s">
        <v>1113</v>
      </c>
      <c r="C415" t="s">
        <v>396</v>
      </c>
      <c r="D415" t="s">
        <v>1151</v>
      </c>
      <c r="E415" t="s">
        <v>1110</v>
      </c>
      <c r="F415">
        <v>2003</v>
      </c>
      <c r="H415" s="4">
        <f>744000*Conversion!$A$2</f>
        <v>66870.720000000001</v>
      </c>
      <c r="I415" t="s">
        <v>731</v>
      </c>
      <c r="J415" t="s">
        <v>472</v>
      </c>
      <c r="K415" t="s">
        <v>483</v>
      </c>
    </row>
    <row r="416" spans="1:11" hidden="1" x14ac:dyDescent="0.35">
      <c r="A416" t="s">
        <v>395</v>
      </c>
      <c r="B416" t="s">
        <v>1152</v>
      </c>
      <c r="C416" t="s">
        <v>396</v>
      </c>
      <c r="D416" t="s">
        <v>1153</v>
      </c>
      <c r="E416" t="s">
        <v>1127</v>
      </c>
      <c r="F416">
        <v>1998</v>
      </c>
      <c r="H416" s="4">
        <f>3311000*Conversion!$A$2</f>
        <v>297592.68</v>
      </c>
      <c r="I416" t="s">
        <v>731</v>
      </c>
      <c r="J416" t="s">
        <v>472</v>
      </c>
      <c r="K416" t="s">
        <v>483</v>
      </c>
    </row>
    <row r="417" spans="1:11" hidden="1" x14ac:dyDescent="0.35">
      <c r="A417" t="s">
        <v>395</v>
      </c>
      <c r="B417" t="s">
        <v>1154</v>
      </c>
      <c r="C417" t="s">
        <v>396</v>
      </c>
      <c r="D417" t="s">
        <v>1155</v>
      </c>
      <c r="E417" t="s">
        <v>261</v>
      </c>
      <c r="H417" s="4">
        <f>2045000*Conversion!$A$2</f>
        <v>183804.6</v>
      </c>
      <c r="I417" t="s">
        <v>731</v>
      </c>
      <c r="J417" t="s">
        <v>472</v>
      </c>
      <c r="K417" t="s">
        <v>1074</v>
      </c>
    </row>
    <row r="418" spans="1:11" hidden="1" x14ac:dyDescent="0.35">
      <c r="A418" t="s">
        <v>395</v>
      </c>
      <c r="B418" t="s">
        <v>1111</v>
      </c>
      <c r="C418" t="s">
        <v>396</v>
      </c>
      <c r="D418" t="s">
        <v>1156</v>
      </c>
      <c r="E418" t="s">
        <v>261</v>
      </c>
      <c r="F418">
        <v>2006</v>
      </c>
      <c r="H418" s="4">
        <f>170000*Conversion!$A$2</f>
        <v>15279.6</v>
      </c>
      <c r="I418" t="s">
        <v>471</v>
      </c>
      <c r="J418" t="s">
        <v>569</v>
      </c>
    </row>
    <row r="419" spans="1:11" hidden="1" x14ac:dyDescent="0.35">
      <c r="A419" t="s">
        <v>395</v>
      </c>
      <c r="B419" t="s">
        <v>1108</v>
      </c>
      <c r="C419" t="s">
        <v>396</v>
      </c>
      <c r="D419" t="s">
        <v>1157</v>
      </c>
      <c r="E419" t="s">
        <v>498</v>
      </c>
      <c r="F419">
        <v>2009</v>
      </c>
      <c r="H419" s="4">
        <f>57000*Conversion!$A$2</f>
        <v>5123.16</v>
      </c>
      <c r="I419" t="s">
        <v>471</v>
      </c>
      <c r="J419" t="s">
        <v>569</v>
      </c>
    </row>
    <row r="420" spans="1:11" hidden="1" x14ac:dyDescent="0.35">
      <c r="A420" t="s">
        <v>395</v>
      </c>
      <c r="B420" t="s">
        <v>1158</v>
      </c>
      <c r="C420" t="s">
        <v>396</v>
      </c>
      <c r="D420" t="s">
        <v>1159</v>
      </c>
      <c r="E420" t="s">
        <v>498</v>
      </c>
      <c r="F420">
        <v>2013</v>
      </c>
      <c r="H420" s="4">
        <f>113000*Conversion!$A$2</f>
        <v>10156.44</v>
      </c>
      <c r="I420" t="s">
        <v>471</v>
      </c>
      <c r="J420" t="s">
        <v>569</v>
      </c>
    </row>
    <row r="421" spans="1:11" hidden="1" x14ac:dyDescent="0.35">
      <c r="A421" t="s">
        <v>395</v>
      </c>
      <c r="B421" t="s">
        <v>1160</v>
      </c>
      <c r="C421" t="s">
        <v>396</v>
      </c>
      <c r="D421" t="s">
        <v>1161</v>
      </c>
      <c r="E421" t="s">
        <v>1162</v>
      </c>
      <c r="F421">
        <v>1986</v>
      </c>
      <c r="H421" s="4">
        <f>6000*Conversion!$A$2</f>
        <v>539.28</v>
      </c>
      <c r="I421" t="s">
        <v>471</v>
      </c>
      <c r="J421" t="s">
        <v>472</v>
      </c>
    </row>
    <row r="422" spans="1:11" hidden="1" x14ac:dyDescent="0.35">
      <c r="A422" t="s">
        <v>395</v>
      </c>
      <c r="B422" t="s">
        <v>1163</v>
      </c>
      <c r="C422" t="s">
        <v>396</v>
      </c>
      <c r="D422" t="s">
        <v>1161</v>
      </c>
      <c r="E422" t="s">
        <v>1162</v>
      </c>
      <c r="F422">
        <v>1991</v>
      </c>
      <c r="H422" s="4">
        <f>12000*Conversion!$A$2</f>
        <v>1078.56</v>
      </c>
      <c r="I422" t="s">
        <v>471</v>
      </c>
      <c r="J422" t="s">
        <v>472</v>
      </c>
    </row>
    <row r="423" spans="1:11" hidden="1" x14ac:dyDescent="0.35">
      <c r="A423" t="s">
        <v>395</v>
      </c>
      <c r="B423" t="s">
        <v>1164</v>
      </c>
      <c r="C423" t="s">
        <v>396</v>
      </c>
      <c r="D423" t="s">
        <v>1165</v>
      </c>
      <c r="E423" t="s">
        <v>1166</v>
      </c>
      <c r="F423">
        <v>1991</v>
      </c>
      <c r="H423" s="4">
        <f>14000*Conversion!$A$2</f>
        <v>1258.32</v>
      </c>
      <c r="I423" t="s">
        <v>471</v>
      </c>
      <c r="J423" t="s">
        <v>472</v>
      </c>
    </row>
    <row r="424" spans="1:11" hidden="1" x14ac:dyDescent="0.35">
      <c r="A424" t="s">
        <v>395</v>
      </c>
      <c r="B424" t="s">
        <v>1117</v>
      </c>
      <c r="C424" t="s">
        <v>396</v>
      </c>
      <c r="D424" t="s">
        <v>1165</v>
      </c>
      <c r="E424" t="s">
        <v>1137</v>
      </c>
      <c r="F424">
        <v>1984</v>
      </c>
      <c r="H424" s="4">
        <f>24000*Conversion!$A$2</f>
        <v>2157.12</v>
      </c>
      <c r="I424" t="s">
        <v>471</v>
      </c>
      <c r="J424" t="s">
        <v>472</v>
      </c>
    </row>
    <row r="425" spans="1:11" hidden="1" x14ac:dyDescent="0.35">
      <c r="A425" t="s">
        <v>395</v>
      </c>
      <c r="B425" t="s">
        <v>1132</v>
      </c>
      <c r="C425" t="s">
        <v>396</v>
      </c>
      <c r="D425" t="s">
        <v>1165</v>
      </c>
      <c r="E425" t="s">
        <v>1167</v>
      </c>
      <c r="H425" s="4">
        <f>21000*Conversion!$A$2</f>
        <v>1887.48</v>
      </c>
      <c r="I425" t="s">
        <v>471</v>
      </c>
      <c r="J425" t="s">
        <v>472</v>
      </c>
    </row>
    <row r="426" spans="1:11" hidden="1" x14ac:dyDescent="0.35">
      <c r="A426" t="s">
        <v>395</v>
      </c>
      <c r="B426" t="s">
        <v>1128</v>
      </c>
      <c r="C426" t="s">
        <v>396</v>
      </c>
      <c r="D426" t="s">
        <v>1165</v>
      </c>
      <c r="E426" t="s">
        <v>1137</v>
      </c>
      <c r="H426" s="4">
        <f>16000*Conversion!$A$2</f>
        <v>1438.08</v>
      </c>
      <c r="I426" t="s">
        <v>471</v>
      </c>
      <c r="J426" t="s">
        <v>472</v>
      </c>
    </row>
    <row r="427" spans="1:11" hidden="1" x14ac:dyDescent="0.35">
      <c r="A427" t="s">
        <v>395</v>
      </c>
      <c r="B427" t="s">
        <v>1168</v>
      </c>
      <c r="C427" t="s">
        <v>396</v>
      </c>
      <c r="D427" t="s">
        <v>1169</v>
      </c>
      <c r="E427" t="s">
        <v>1167</v>
      </c>
      <c r="F427">
        <v>1962</v>
      </c>
      <c r="H427" s="4">
        <f>12000*Conversion!$A$2</f>
        <v>1078.56</v>
      </c>
      <c r="I427" t="s">
        <v>471</v>
      </c>
      <c r="J427" t="s">
        <v>472</v>
      </c>
    </row>
    <row r="428" spans="1:11" hidden="1" x14ac:dyDescent="0.35">
      <c r="A428" t="s">
        <v>395</v>
      </c>
      <c r="B428" t="s">
        <v>1114</v>
      </c>
      <c r="C428" t="s">
        <v>396</v>
      </c>
      <c r="D428" t="s">
        <v>1169</v>
      </c>
      <c r="E428" t="s">
        <v>498</v>
      </c>
      <c r="F428">
        <v>1982</v>
      </c>
      <c r="H428" s="4">
        <f>24000*Conversion!$A$2</f>
        <v>2157.12</v>
      </c>
      <c r="I428" t="s">
        <v>471</v>
      </c>
      <c r="J428" t="s">
        <v>472</v>
      </c>
    </row>
    <row r="429" spans="1:11" hidden="1" x14ac:dyDescent="0.35">
      <c r="A429" t="s">
        <v>395</v>
      </c>
      <c r="B429" t="s">
        <v>1164</v>
      </c>
      <c r="C429" t="s">
        <v>396</v>
      </c>
      <c r="D429" t="s">
        <v>1170</v>
      </c>
      <c r="E429" t="s">
        <v>1166</v>
      </c>
      <c r="F429">
        <v>1983</v>
      </c>
      <c r="H429" s="4">
        <f>30000*Conversion!$A$2</f>
        <v>2696.4</v>
      </c>
      <c r="I429" t="s">
        <v>471</v>
      </c>
      <c r="J429" t="s">
        <v>472</v>
      </c>
    </row>
    <row r="430" spans="1:11" hidden="1" x14ac:dyDescent="0.35">
      <c r="A430" t="s">
        <v>395</v>
      </c>
      <c r="B430" t="s">
        <v>1108</v>
      </c>
      <c r="C430" t="s">
        <v>396</v>
      </c>
      <c r="D430" t="s">
        <v>1171</v>
      </c>
      <c r="E430" t="s">
        <v>1167</v>
      </c>
      <c r="F430">
        <v>1995</v>
      </c>
      <c r="H430" s="4">
        <f>14000*Conversion!$A$2</f>
        <v>1258.32</v>
      </c>
      <c r="I430" t="s">
        <v>471</v>
      </c>
      <c r="J430" t="s">
        <v>472</v>
      </c>
    </row>
    <row r="431" spans="1:11" hidden="1" x14ac:dyDescent="0.35">
      <c r="A431" t="s">
        <v>395</v>
      </c>
      <c r="B431" t="s">
        <v>1172</v>
      </c>
      <c r="C431" t="s">
        <v>396</v>
      </c>
      <c r="D431" t="s">
        <v>1173</v>
      </c>
      <c r="E431" t="s">
        <v>1167</v>
      </c>
      <c r="H431" s="4">
        <f>5000*Conversion!$A$2</f>
        <v>449.40000000000003</v>
      </c>
      <c r="I431" t="s">
        <v>471</v>
      </c>
      <c r="J431" t="s">
        <v>472</v>
      </c>
    </row>
    <row r="432" spans="1:11" ht="29" hidden="1" x14ac:dyDescent="0.35">
      <c r="A432" t="s">
        <v>395</v>
      </c>
      <c r="B432" t="s">
        <v>1174</v>
      </c>
      <c r="C432" t="s">
        <v>396</v>
      </c>
      <c r="D432" s="3" t="s">
        <v>1175</v>
      </c>
      <c r="E432" t="s">
        <v>502</v>
      </c>
      <c r="F432">
        <v>2020</v>
      </c>
      <c r="H432" s="4">
        <f>29000*Conversion!$A$2</f>
        <v>2606.52</v>
      </c>
      <c r="I432" t="s">
        <v>471</v>
      </c>
      <c r="J432" t="s">
        <v>472</v>
      </c>
    </row>
    <row r="433" spans="1:10" hidden="1" x14ac:dyDescent="0.35">
      <c r="A433" t="s">
        <v>395</v>
      </c>
      <c r="B433" t="s">
        <v>1176</v>
      </c>
      <c r="C433" t="s">
        <v>396</v>
      </c>
      <c r="D433" t="s">
        <v>1177</v>
      </c>
      <c r="E433" t="s">
        <v>1167</v>
      </c>
      <c r="F433">
        <v>1983</v>
      </c>
      <c r="H433" s="4">
        <f>24000*Conversion!$A$2</f>
        <v>2157.12</v>
      </c>
      <c r="I433" t="s">
        <v>471</v>
      </c>
      <c r="J433" t="s">
        <v>472</v>
      </c>
    </row>
    <row r="434" spans="1:10" hidden="1" x14ac:dyDescent="0.35">
      <c r="A434" t="s">
        <v>395</v>
      </c>
      <c r="B434" t="s">
        <v>1178</v>
      </c>
      <c r="C434" t="s">
        <v>396</v>
      </c>
      <c r="D434" t="s">
        <v>1179</v>
      </c>
      <c r="E434" t="s">
        <v>1167</v>
      </c>
      <c r="F434">
        <v>1962</v>
      </c>
      <c r="H434" s="4">
        <f>26000*Conversion!$A$2</f>
        <v>2336.88</v>
      </c>
      <c r="I434" t="s">
        <v>471</v>
      </c>
      <c r="J434" t="s">
        <v>472</v>
      </c>
    </row>
    <row r="435" spans="1:10" hidden="1" x14ac:dyDescent="0.35">
      <c r="A435" t="s">
        <v>395</v>
      </c>
      <c r="B435" t="s">
        <v>1111</v>
      </c>
      <c r="C435" t="s">
        <v>396</v>
      </c>
      <c r="D435" t="s">
        <v>1156</v>
      </c>
      <c r="E435" t="s">
        <v>1166</v>
      </c>
      <c r="F435">
        <v>2006</v>
      </c>
      <c r="H435" s="4">
        <f>29000*Conversion!$A$2</f>
        <v>2606.52</v>
      </c>
      <c r="I435" t="s">
        <v>471</v>
      </c>
      <c r="J435" t="s">
        <v>472</v>
      </c>
    </row>
    <row r="436" spans="1:10" hidden="1" x14ac:dyDescent="0.35">
      <c r="A436" t="s">
        <v>395</v>
      </c>
      <c r="B436" t="s">
        <v>1164</v>
      </c>
      <c r="C436" t="s">
        <v>396</v>
      </c>
      <c r="D436" t="s">
        <v>1157</v>
      </c>
      <c r="E436" t="s">
        <v>1167</v>
      </c>
      <c r="F436">
        <v>1958</v>
      </c>
      <c r="H436" s="4">
        <f>36000*Conversion!$A$2</f>
        <v>3235.68</v>
      </c>
      <c r="I436" t="s">
        <v>471</v>
      </c>
      <c r="J436" t="s">
        <v>472</v>
      </c>
    </row>
    <row r="437" spans="1:10" hidden="1" x14ac:dyDescent="0.35">
      <c r="A437" t="s">
        <v>395</v>
      </c>
      <c r="B437" t="s">
        <v>1108</v>
      </c>
      <c r="C437" t="s">
        <v>396</v>
      </c>
      <c r="D437" t="s">
        <v>1157</v>
      </c>
      <c r="E437" t="s">
        <v>1167</v>
      </c>
      <c r="F437">
        <v>1985</v>
      </c>
      <c r="H437" s="4">
        <f>14000*Conversion!$A$2</f>
        <v>1258.32</v>
      </c>
      <c r="I437" t="s">
        <v>471</v>
      </c>
      <c r="J437" t="s">
        <v>472</v>
      </c>
    </row>
    <row r="438" spans="1:10" hidden="1" x14ac:dyDescent="0.35">
      <c r="A438" t="s">
        <v>395</v>
      </c>
      <c r="B438" t="s">
        <v>1180</v>
      </c>
      <c r="C438" t="s">
        <v>396</v>
      </c>
      <c r="D438" t="s">
        <v>1157</v>
      </c>
      <c r="E438" t="s">
        <v>1167</v>
      </c>
      <c r="F438">
        <v>1961</v>
      </c>
      <c r="H438" s="4">
        <f>19000*Conversion!$A$2</f>
        <v>1707.72</v>
      </c>
      <c r="I438" t="s">
        <v>471</v>
      </c>
      <c r="J438" t="s">
        <v>472</v>
      </c>
    </row>
    <row r="439" spans="1:10" hidden="1" x14ac:dyDescent="0.35">
      <c r="A439" t="s">
        <v>395</v>
      </c>
      <c r="B439" t="s">
        <v>1145</v>
      </c>
      <c r="C439" t="s">
        <v>396</v>
      </c>
      <c r="D439" t="s">
        <v>1157</v>
      </c>
      <c r="E439" t="s">
        <v>1167</v>
      </c>
      <c r="F439">
        <v>1970</v>
      </c>
      <c r="H439" s="4">
        <f>22000*Conversion!$A$2</f>
        <v>1977.3600000000001</v>
      </c>
      <c r="I439" t="s">
        <v>471</v>
      </c>
      <c r="J439" t="s">
        <v>472</v>
      </c>
    </row>
    <row r="440" spans="1:10" hidden="1" x14ac:dyDescent="0.35">
      <c r="A440" t="s">
        <v>395</v>
      </c>
      <c r="B440" t="s">
        <v>1181</v>
      </c>
      <c r="C440" t="s">
        <v>396</v>
      </c>
      <c r="D440" t="s">
        <v>1157</v>
      </c>
      <c r="E440" t="s">
        <v>1162</v>
      </c>
      <c r="H440" s="4">
        <f>24000*Conversion!$A$2</f>
        <v>2157.12</v>
      </c>
      <c r="I440" t="s">
        <v>471</v>
      </c>
      <c r="J440" t="s">
        <v>472</v>
      </c>
    </row>
    <row r="441" spans="1:10" hidden="1" x14ac:dyDescent="0.35">
      <c r="A441" t="s">
        <v>395</v>
      </c>
      <c r="B441" t="s">
        <v>1182</v>
      </c>
      <c r="C441" t="s">
        <v>396</v>
      </c>
      <c r="D441" t="s">
        <v>1157</v>
      </c>
      <c r="E441" t="s">
        <v>1167</v>
      </c>
      <c r="H441" s="4">
        <f>26000*Conversion!$A$2</f>
        <v>2336.88</v>
      </c>
      <c r="I441" t="s">
        <v>471</v>
      </c>
      <c r="J441" t="s">
        <v>472</v>
      </c>
    </row>
    <row r="442" spans="1:10" hidden="1" x14ac:dyDescent="0.35">
      <c r="A442" t="s">
        <v>395</v>
      </c>
      <c r="B442" t="s">
        <v>1183</v>
      </c>
      <c r="C442" t="s">
        <v>396</v>
      </c>
      <c r="D442" t="s">
        <v>1157</v>
      </c>
      <c r="E442" t="s">
        <v>1137</v>
      </c>
      <c r="H442" s="4">
        <f>17000*Conversion!$A$2</f>
        <v>1527.96</v>
      </c>
      <c r="I442" t="s">
        <v>471</v>
      </c>
      <c r="J442" t="s">
        <v>472</v>
      </c>
    </row>
    <row r="443" spans="1:10" hidden="1" x14ac:dyDescent="0.35">
      <c r="A443" t="s">
        <v>395</v>
      </c>
      <c r="B443" t="s">
        <v>1108</v>
      </c>
      <c r="C443" t="s">
        <v>396</v>
      </c>
      <c r="D443" t="s">
        <v>1184</v>
      </c>
      <c r="E443" t="s">
        <v>1185</v>
      </c>
      <c r="F443">
        <v>2007</v>
      </c>
      <c r="H443" s="4">
        <f>24000*Conversion!$A$2</f>
        <v>2157.12</v>
      </c>
      <c r="I443" t="s">
        <v>471</v>
      </c>
      <c r="J443" t="s">
        <v>472</v>
      </c>
    </row>
    <row r="444" spans="1:10" hidden="1" x14ac:dyDescent="0.35">
      <c r="A444" t="s">
        <v>395</v>
      </c>
      <c r="B444" t="s">
        <v>1186</v>
      </c>
      <c r="C444" t="s">
        <v>396</v>
      </c>
      <c r="D444" t="s">
        <v>1187</v>
      </c>
      <c r="E444" t="s">
        <v>1166</v>
      </c>
      <c r="H444" s="4">
        <f>24000*Conversion!$A$2</f>
        <v>2157.12</v>
      </c>
      <c r="I444" t="s">
        <v>471</v>
      </c>
      <c r="J444" t="s">
        <v>472</v>
      </c>
    </row>
    <row r="445" spans="1:10" hidden="1" x14ac:dyDescent="0.35">
      <c r="A445" t="s">
        <v>395</v>
      </c>
      <c r="B445" t="s">
        <v>1188</v>
      </c>
      <c r="C445" t="s">
        <v>396</v>
      </c>
      <c r="D445" t="s">
        <v>1189</v>
      </c>
      <c r="E445" t="s">
        <v>1167</v>
      </c>
      <c r="F445">
        <v>1977</v>
      </c>
      <c r="H445" s="4">
        <f>14000*Conversion!$A$2</f>
        <v>1258.32</v>
      </c>
      <c r="I445" t="s">
        <v>471</v>
      </c>
      <c r="J445" t="s">
        <v>472</v>
      </c>
    </row>
    <row r="446" spans="1:10" hidden="1" x14ac:dyDescent="0.35">
      <c r="A446" t="s">
        <v>395</v>
      </c>
      <c r="B446" t="s">
        <v>1190</v>
      </c>
      <c r="C446" t="s">
        <v>396</v>
      </c>
      <c r="D446" t="s">
        <v>1191</v>
      </c>
      <c r="E446" t="s">
        <v>1167</v>
      </c>
      <c r="H446" s="4">
        <f>22000*Conversion!$A$2</f>
        <v>1977.3600000000001</v>
      </c>
      <c r="I446" t="s">
        <v>471</v>
      </c>
      <c r="J446" t="s">
        <v>472</v>
      </c>
    </row>
    <row r="447" spans="1:10" hidden="1" x14ac:dyDescent="0.35">
      <c r="A447" t="s">
        <v>395</v>
      </c>
      <c r="B447" t="s">
        <v>1192</v>
      </c>
      <c r="C447" t="s">
        <v>396</v>
      </c>
      <c r="D447" t="s">
        <v>1142</v>
      </c>
      <c r="E447" t="s">
        <v>1162</v>
      </c>
      <c r="F447">
        <v>2001</v>
      </c>
      <c r="H447" s="4">
        <f>5000*Conversion!$A$2</f>
        <v>449.40000000000003</v>
      </c>
      <c r="I447" t="s">
        <v>471</v>
      </c>
      <c r="J447" t="s">
        <v>472</v>
      </c>
    </row>
    <row r="448" spans="1:10" hidden="1" x14ac:dyDescent="0.35">
      <c r="A448" t="s">
        <v>395</v>
      </c>
      <c r="B448" t="s">
        <v>1141</v>
      </c>
      <c r="C448" t="s">
        <v>396</v>
      </c>
      <c r="D448" t="s">
        <v>1142</v>
      </c>
      <c r="F448">
        <v>1983</v>
      </c>
      <c r="H448" s="4">
        <f>22000*Conversion!$A$2</f>
        <v>1977.3600000000001</v>
      </c>
      <c r="I448" t="s">
        <v>471</v>
      </c>
      <c r="J448" t="s">
        <v>472</v>
      </c>
    </row>
    <row r="449" spans="1:14" hidden="1" x14ac:dyDescent="0.35">
      <c r="A449" t="s">
        <v>395</v>
      </c>
      <c r="B449" t="s">
        <v>1118</v>
      </c>
      <c r="C449" t="s">
        <v>396</v>
      </c>
      <c r="D449" t="s">
        <v>1148</v>
      </c>
      <c r="E449" t="s">
        <v>1167</v>
      </c>
      <c r="H449" s="4">
        <f>216000*Conversion!$A$2</f>
        <v>19414.080000000002</v>
      </c>
      <c r="I449" t="s">
        <v>471</v>
      </c>
      <c r="J449" t="s">
        <v>472</v>
      </c>
    </row>
    <row r="450" spans="1:14" hidden="1" x14ac:dyDescent="0.35">
      <c r="A450" t="s">
        <v>395</v>
      </c>
      <c r="B450" t="s">
        <v>1124</v>
      </c>
      <c r="C450" t="s">
        <v>396</v>
      </c>
      <c r="D450" t="s">
        <v>1148</v>
      </c>
      <c r="E450" t="s">
        <v>498</v>
      </c>
      <c r="F450">
        <v>1980</v>
      </c>
      <c r="H450" s="4">
        <f>20000*Conversion!$A$2</f>
        <v>1797.6000000000001</v>
      </c>
      <c r="I450" t="s">
        <v>471</v>
      </c>
      <c r="J450" t="s">
        <v>472</v>
      </c>
    </row>
    <row r="451" spans="1:14" hidden="1" x14ac:dyDescent="0.35">
      <c r="A451" t="s">
        <v>395</v>
      </c>
      <c r="B451" t="s">
        <v>1193</v>
      </c>
      <c r="C451" t="s">
        <v>396</v>
      </c>
      <c r="D451" t="s">
        <v>1194</v>
      </c>
      <c r="E451" t="s">
        <v>1167</v>
      </c>
      <c r="F451">
        <v>1975</v>
      </c>
      <c r="H451" s="4">
        <f>216000*Conversion!$A$2</f>
        <v>19414.080000000002</v>
      </c>
      <c r="I451" t="s">
        <v>471</v>
      </c>
      <c r="J451" t="s">
        <v>472</v>
      </c>
    </row>
    <row r="452" spans="1:14" hidden="1" x14ac:dyDescent="0.35">
      <c r="A452" t="s">
        <v>395</v>
      </c>
      <c r="B452" t="s">
        <v>1113</v>
      </c>
      <c r="C452" t="s">
        <v>396</v>
      </c>
      <c r="D452" t="s">
        <v>1195</v>
      </c>
      <c r="E452" t="s">
        <v>1167</v>
      </c>
      <c r="F452">
        <v>1992</v>
      </c>
      <c r="H452" s="4">
        <f>28000*Conversion!$A$2</f>
        <v>2516.64</v>
      </c>
      <c r="I452" t="s">
        <v>471</v>
      </c>
      <c r="J452" t="s">
        <v>472</v>
      </c>
    </row>
    <row r="453" spans="1:14" hidden="1" x14ac:dyDescent="0.35">
      <c r="A453" t="s">
        <v>395</v>
      </c>
      <c r="B453" t="s">
        <v>1158</v>
      </c>
      <c r="C453" t="s">
        <v>396</v>
      </c>
      <c r="D453" t="s">
        <v>1159</v>
      </c>
      <c r="E453" t="s">
        <v>1167</v>
      </c>
      <c r="F453">
        <v>2013</v>
      </c>
      <c r="H453" s="4">
        <f>29000*Conversion!$A$2</f>
        <v>2606.52</v>
      </c>
      <c r="I453" t="s">
        <v>471</v>
      </c>
      <c r="J453" t="s">
        <v>472</v>
      </c>
    </row>
    <row r="454" spans="1:14" hidden="1" x14ac:dyDescent="0.35">
      <c r="A454" t="s">
        <v>395</v>
      </c>
      <c r="B454" t="s">
        <v>1113</v>
      </c>
      <c r="C454" t="s">
        <v>396</v>
      </c>
      <c r="D454" t="s">
        <v>1196</v>
      </c>
      <c r="E454" t="s">
        <v>498</v>
      </c>
      <c r="H454" s="4">
        <f>10000*Conversion!$A$2</f>
        <v>898.80000000000007</v>
      </c>
      <c r="I454" t="s">
        <v>471</v>
      </c>
      <c r="J454" t="s">
        <v>472</v>
      </c>
    </row>
    <row r="455" spans="1:14" ht="29" x14ac:dyDescent="0.35">
      <c r="A455" t="str">
        <f>VLOOKUP(Table4[[#Totals],[State]],Countries!$A$1:$D$205,2,FALSE)</f>
        <v>AUT</v>
      </c>
      <c r="B455" t="s">
        <v>1197</v>
      </c>
      <c r="C455" t="s">
        <v>356</v>
      </c>
      <c r="D455" t="s">
        <v>639</v>
      </c>
      <c r="E455" t="s">
        <v>502</v>
      </c>
      <c r="F455" s="69" t="s">
        <v>1198</v>
      </c>
      <c r="G455" s="69"/>
      <c r="H455" s="11">
        <f>11000*Conversion!$A$2</f>
        <v>988.68000000000006</v>
      </c>
      <c r="I455" t="s">
        <v>731</v>
      </c>
      <c r="J455" t="s">
        <v>472</v>
      </c>
      <c r="K455" t="s">
        <v>487</v>
      </c>
      <c r="N455" s="73" t="s">
        <v>1199</v>
      </c>
    </row>
    <row r="456" spans="1:14" x14ac:dyDescent="0.35">
      <c r="A456" t="str">
        <f>VLOOKUP(Table4[[#Totals],[State]],Countries!$A$1:$D$205,2,FALSE)</f>
        <v>AUT</v>
      </c>
      <c r="B456" t="s">
        <v>1200</v>
      </c>
      <c r="C456" t="s">
        <v>356</v>
      </c>
      <c r="D456" s="72" t="s">
        <v>1201</v>
      </c>
      <c r="E456" t="s">
        <v>261</v>
      </c>
      <c r="F456">
        <v>2003</v>
      </c>
      <c r="H456" s="66">
        <f>11000*Conversion!$A$2</f>
        <v>988.68000000000006</v>
      </c>
      <c r="I456" t="s">
        <v>731</v>
      </c>
      <c r="J456" t="s">
        <v>472</v>
      </c>
      <c r="K456" t="s">
        <v>483</v>
      </c>
    </row>
    <row r="457" spans="1:14" ht="29" x14ac:dyDescent="0.35">
      <c r="A457" t="str">
        <f>VLOOKUP(Table4[[#Totals],[State]],Countries!$A$1:$D$205,2,FALSE)</f>
        <v>AUT</v>
      </c>
      <c r="B457" t="s">
        <v>1200</v>
      </c>
      <c r="C457" t="s">
        <v>356</v>
      </c>
      <c r="D457" s="72" t="s">
        <v>1201</v>
      </c>
      <c r="E457" t="s">
        <v>502</v>
      </c>
      <c r="F457">
        <v>2023</v>
      </c>
      <c r="H457" s="66">
        <f>53000*Conversion!$A$2</f>
        <v>4763.6400000000003</v>
      </c>
      <c r="I457" t="s">
        <v>731</v>
      </c>
      <c r="J457" t="s">
        <v>472</v>
      </c>
      <c r="K457" t="s">
        <v>1202</v>
      </c>
      <c r="N457" s="71" t="s">
        <v>1203</v>
      </c>
    </row>
    <row r="458" spans="1:14" x14ac:dyDescent="0.35">
      <c r="A458" t="str">
        <f>VLOOKUP(Table4[[#Totals],[State]],Countries!$A$1:$D$205,2,FALSE)</f>
        <v>AUT</v>
      </c>
      <c r="B458" t="s">
        <v>1200</v>
      </c>
      <c r="C458" t="s">
        <v>356</v>
      </c>
      <c r="D458" s="72" t="s">
        <v>1201</v>
      </c>
      <c r="E458" t="s">
        <v>261</v>
      </c>
      <c r="F458">
        <v>2022</v>
      </c>
      <c r="H458" s="66">
        <f>76000*Conversion!$A$2</f>
        <v>6830.88</v>
      </c>
      <c r="I458" t="s">
        <v>731</v>
      </c>
      <c r="J458" t="s">
        <v>472</v>
      </c>
      <c r="K458" t="s">
        <v>732</v>
      </c>
      <c r="N458" s="71" t="s">
        <v>1204</v>
      </c>
    </row>
    <row r="459" spans="1:14" x14ac:dyDescent="0.35">
      <c r="A459" t="str">
        <f>VLOOKUP(Table4[[#Totals],[State]],Countries!$A$1:$D$205,2,FALSE)</f>
        <v>AUT</v>
      </c>
      <c r="B459" t="s">
        <v>1205</v>
      </c>
      <c r="C459" t="s">
        <v>356</v>
      </c>
      <c r="D459" t="s">
        <v>1206</v>
      </c>
      <c r="E459" t="s">
        <v>502</v>
      </c>
      <c r="F459">
        <v>2019</v>
      </c>
      <c r="H459" s="66">
        <f>32000*Conversion!$A$2</f>
        <v>2876.16</v>
      </c>
      <c r="I459" t="s">
        <v>731</v>
      </c>
      <c r="J459" t="s">
        <v>472</v>
      </c>
      <c r="K459" t="s">
        <v>503</v>
      </c>
      <c r="N459" s="72" t="s">
        <v>1207</v>
      </c>
    </row>
    <row r="460" spans="1:14" ht="29" x14ac:dyDescent="0.35">
      <c r="A460" t="str">
        <f>VLOOKUP(Table4[[#Totals],[State]],Countries!$A$1:$D$205,2,FALSE)</f>
        <v>AUT</v>
      </c>
      <c r="B460" t="s">
        <v>1205</v>
      </c>
      <c r="C460" t="s">
        <v>356</v>
      </c>
      <c r="D460" s="71" t="s">
        <v>1206</v>
      </c>
      <c r="E460" t="s">
        <v>253</v>
      </c>
      <c r="H460" s="66">
        <f>1763000*Conversion!$A$2</f>
        <v>158458.44</v>
      </c>
      <c r="I460" t="s">
        <v>731</v>
      </c>
      <c r="J460" t="s">
        <v>472</v>
      </c>
      <c r="K460" t="s">
        <v>503</v>
      </c>
    </row>
    <row r="461" spans="1:14" ht="29" x14ac:dyDescent="0.35">
      <c r="A461" t="str">
        <f>VLOOKUP(C461,Countries!$A$1:$D$205,2,FALSE)</f>
        <v>BEL</v>
      </c>
      <c r="B461" s="71" t="s">
        <v>1208</v>
      </c>
      <c r="C461" t="s">
        <v>46</v>
      </c>
      <c r="D461" s="71" t="s">
        <v>1209</v>
      </c>
      <c r="E461" t="s">
        <v>261</v>
      </c>
      <c r="F461" s="74">
        <v>2011</v>
      </c>
      <c r="G461" s="74"/>
      <c r="H461" s="66">
        <f>1614000*Conversion!$A$2</f>
        <v>145066.32</v>
      </c>
      <c r="I461" t="s">
        <v>731</v>
      </c>
      <c r="J461" t="s">
        <v>472</v>
      </c>
      <c r="K461" t="s">
        <v>483</v>
      </c>
      <c r="N461" s="71" t="s">
        <v>1210</v>
      </c>
    </row>
    <row r="462" spans="1:14" ht="84.75" customHeight="1" x14ac:dyDescent="0.35">
      <c r="A462" t="str">
        <f>VLOOKUP(C462,Countries!$A$1:$D$205,2,FALSE)</f>
        <v>BEL</v>
      </c>
      <c r="B462" s="71" t="s">
        <v>1211</v>
      </c>
      <c r="C462" t="s">
        <v>46</v>
      </c>
      <c r="D462" s="71" t="s">
        <v>1212</v>
      </c>
      <c r="E462" t="s">
        <v>502</v>
      </c>
      <c r="F462">
        <v>2030</v>
      </c>
      <c r="H462" s="66">
        <f>3200000*Conversion!$A$2</f>
        <v>287616</v>
      </c>
      <c r="I462" t="s">
        <v>731</v>
      </c>
      <c r="J462" t="s">
        <v>472</v>
      </c>
      <c r="K462" t="s">
        <v>1162</v>
      </c>
      <c r="N462" s="71" t="s">
        <v>1213</v>
      </c>
    </row>
    <row r="463" spans="1:14" ht="72.5" x14ac:dyDescent="0.35">
      <c r="A463" t="str">
        <f>VLOOKUP(C463,Countries!$A$1:$D$205,2,FALSE)</f>
        <v>BEL</v>
      </c>
      <c r="B463" s="71" t="s">
        <v>1214</v>
      </c>
      <c r="C463" t="s">
        <v>46</v>
      </c>
      <c r="D463" s="71" t="s">
        <v>1215</v>
      </c>
      <c r="E463" t="s">
        <v>502</v>
      </c>
      <c r="F463">
        <v>2028</v>
      </c>
      <c r="H463" s="66">
        <f>533000*Conversion!$A$2</f>
        <v>47906.04</v>
      </c>
      <c r="I463" t="s">
        <v>731</v>
      </c>
      <c r="J463" t="s">
        <v>472</v>
      </c>
      <c r="K463" t="s">
        <v>1162</v>
      </c>
      <c r="N463" s="71" t="s">
        <v>1216</v>
      </c>
    </row>
    <row r="464" spans="1:14" ht="29" x14ac:dyDescent="0.35">
      <c r="A464" t="str">
        <f>VLOOKUP(C464,Countries!$A$1:$D$205,2,FALSE)</f>
        <v>BEL</v>
      </c>
      <c r="B464" s="71" t="s">
        <v>1208</v>
      </c>
      <c r="C464" t="s">
        <v>46</v>
      </c>
      <c r="D464" s="71" t="s">
        <v>1217</v>
      </c>
      <c r="E464" t="s">
        <v>261</v>
      </c>
      <c r="H464" s="66">
        <f>337000*Conversion!$A$2</f>
        <v>30289.56</v>
      </c>
      <c r="I464" t="s">
        <v>731</v>
      </c>
      <c r="J464" t="s">
        <v>472</v>
      </c>
      <c r="K464" t="s">
        <v>483</v>
      </c>
      <c r="N464" s="71" t="s">
        <v>1218</v>
      </c>
    </row>
    <row r="465" spans="1:14" ht="29" x14ac:dyDescent="0.35">
      <c r="A465" t="str">
        <f>VLOOKUP(C465,Countries!$A$1:$D$205,2,FALSE)</f>
        <v>DNK</v>
      </c>
      <c r="B465" s="71" t="s">
        <v>1219</v>
      </c>
      <c r="C465" t="s">
        <v>108</v>
      </c>
      <c r="D465" s="71" t="s">
        <v>1220</v>
      </c>
      <c r="E465" t="s">
        <v>502</v>
      </c>
      <c r="F465">
        <v>2025</v>
      </c>
      <c r="H465" s="66">
        <f>267000*Conversion!$A$2</f>
        <v>23997.96</v>
      </c>
      <c r="I465" t="s">
        <v>731</v>
      </c>
      <c r="J465" t="s">
        <v>472</v>
      </c>
      <c r="K465" t="s">
        <v>1162</v>
      </c>
      <c r="N465" s="71" t="s">
        <v>1221</v>
      </c>
    </row>
    <row r="466" spans="1:14" ht="43.5" x14ac:dyDescent="0.35">
      <c r="A466" t="str">
        <f>VLOOKUP(C466,Countries!$A$1:$D$205,2,FALSE)</f>
        <v>DNK</v>
      </c>
      <c r="B466" s="71" t="s">
        <v>1222</v>
      </c>
      <c r="C466" t="s">
        <v>108</v>
      </c>
      <c r="D466" s="71" t="s">
        <v>1223</v>
      </c>
      <c r="E466" t="s">
        <v>502</v>
      </c>
      <c r="F466">
        <v>2028</v>
      </c>
      <c r="H466" s="66">
        <f>267000*Conversion!$A$2</f>
        <v>23997.96</v>
      </c>
      <c r="I466" t="s">
        <v>731</v>
      </c>
      <c r="J466" t="s">
        <v>472</v>
      </c>
      <c r="K466" t="s">
        <v>1162</v>
      </c>
      <c r="N466" s="71" t="s">
        <v>1224</v>
      </c>
    </row>
    <row r="467" spans="1:14" ht="101.5" x14ac:dyDescent="0.35">
      <c r="A467" t="str">
        <f>VLOOKUP(C467,Countries!$A$1:$D$205,2,FALSE)</f>
        <v>DNK</v>
      </c>
      <c r="B467" s="71" t="s">
        <v>1225</v>
      </c>
      <c r="C467" t="s">
        <v>108</v>
      </c>
      <c r="D467" s="71" t="s">
        <v>1226</v>
      </c>
      <c r="E467" t="s">
        <v>502</v>
      </c>
      <c r="F467">
        <v>2025</v>
      </c>
      <c r="H467" s="66">
        <f>533000*Conversion!$A$2</f>
        <v>47906.04</v>
      </c>
      <c r="I467" t="s">
        <v>731</v>
      </c>
      <c r="J467" t="s">
        <v>472</v>
      </c>
      <c r="K467" t="s">
        <v>1162</v>
      </c>
      <c r="N467" s="71" t="s">
        <v>1227</v>
      </c>
    </row>
    <row r="468" spans="1:14" ht="101.5" x14ac:dyDescent="0.35">
      <c r="A468" t="str">
        <f>VLOOKUP(C468,Countries!$A$1:$D$205,2,FALSE)</f>
        <v>DNK</v>
      </c>
      <c r="B468" s="71" t="s">
        <v>1228</v>
      </c>
      <c r="C468" t="s">
        <v>108</v>
      </c>
      <c r="D468" s="71" t="s">
        <v>1229</v>
      </c>
      <c r="E468" t="s">
        <v>502</v>
      </c>
      <c r="F468">
        <v>2030</v>
      </c>
      <c r="H468" s="66">
        <f>53000*Conversion!$A$2</f>
        <v>4763.6400000000003</v>
      </c>
      <c r="I468" t="s">
        <v>731</v>
      </c>
      <c r="J468" t="s">
        <v>472</v>
      </c>
      <c r="K468" t="s">
        <v>1162</v>
      </c>
      <c r="N468" s="71" t="s">
        <v>1230</v>
      </c>
    </row>
    <row r="469" spans="1:14" ht="29" x14ac:dyDescent="0.35">
      <c r="A469" t="str">
        <f>VLOOKUP(C469,Countries!$A$1:$D$205,2,FALSE)</f>
        <v>DNK</v>
      </c>
      <c r="B469" s="71" t="s">
        <v>1231</v>
      </c>
      <c r="C469" t="s">
        <v>108</v>
      </c>
      <c r="D469" s="71" t="s">
        <v>1232</v>
      </c>
      <c r="E469" t="s">
        <v>502</v>
      </c>
      <c r="F469">
        <v>2027</v>
      </c>
      <c r="H469" s="66">
        <f>1333000*Conversion!$A$2</f>
        <v>119810.04000000001</v>
      </c>
      <c r="I469" t="s">
        <v>731</v>
      </c>
      <c r="J469" t="s">
        <v>472</v>
      </c>
      <c r="K469" t="s">
        <v>1162</v>
      </c>
      <c r="N469" s="71" t="s">
        <v>1233</v>
      </c>
    </row>
    <row r="470" spans="1:14" ht="58" x14ac:dyDescent="0.35">
      <c r="A470" t="str">
        <f>VLOOKUP(C470,Countries!$A$1:$D$205,2,FALSE)</f>
        <v>DNK</v>
      </c>
      <c r="B470" s="71" t="s">
        <v>1234</v>
      </c>
      <c r="C470" t="s">
        <v>108</v>
      </c>
      <c r="D470" s="71" t="s">
        <v>1235</v>
      </c>
      <c r="E470" t="s">
        <v>502</v>
      </c>
      <c r="F470">
        <v>2022</v>
      </c>
      <c r="H470" s="66">
        <f>1000*Conversion!$A$2</f>
        <v>89.88</v>
      </c>
      <c r="I470" t="s">
        <v>731</v>
      </c>
      <c r="J470" t="s">
        <v>472</v>
      </c>
      <c r="K470" t="s">
        <v>1162</v>
      </c>
      <c r="N470" s="71" t="s">
        <v>1236</v>
      </c>
    </row>
    <row r="471" spans="1:14" x14ac:dyDescent="0.35">
      <c r="A471" t="str">
        <f>VLOOKUP(C471,Countries!$A$1:$D$205,2,FALSE)</f>
        <v>DNK</v>
      </c>
      <c r="B471" s="71" t="s">
        <v>1237</v>
      </c>
      <c r="C471" t="s">
        <v>108</v>
      </c>
      <c r="D471" s="71" t="s">
        <v>1238</v>
      </c>
      <c r="E471" t="s">
        <v>261</v>
      </c>
      <c r="F471">
        <v>1984</v>
      </c>
      <c r="H471" s="66">
        <f>5000*Conversion!$A$2</f>
        <v>449.40000000000003</v>
      </c>
      <c r="I471" t="s">
        <v>731</v>
      </c>
      <c r="J471" t="s">
        <v>472</v>
      </c>
      <c r="K471" t="s">
        <v>483</v>
      </c>
      <c r="N471" s="71" t="s">
        <v>1239</v>
      </c>
    </row>
    <row r="472" spans="1:14" ht="43.5" x14ac:dyDescent="0.35">
      <c r="A472" t="str">
        <f>VLOOKUP(C472,Countries!$A$1:$D$205,2,FALSE)</f>
        <v>DNK</v>
      </c>
      <c r="B472" s="71" t="s">
        <v>1240</v>
      </c>
      <c r="C472" t="s">
        <v>108</v>
      </c>
      <c r="D472" s="71" t="s">
        <v>1238</v>
      </c>
      <c r="E472" t="s">
        <v>502</v>
      </c>
      <c r="F472">
        <v>2023</v>
      </c>
      <c r="H472" s="66">
        <f>27000*Conversion!$A$2</f>
        <v>2426.7600000000002</v>
      </c>
      <c r="I472" t="s">
        <v>731</v>
      </c>
      <c r="J472" t="s">
        <v>472</v>
      </c>
      <c r="K472" t="s">
        <v>1074</v>
      </c>
      <c r="N472" s="71" t="s">
        <v>1241</v>
      </c>
    </row>
    <row r="473" spans="1:14" ht="43.5" x14ac:dyDescent="0.35">
      <c r="A473" t="str">
        <f>VLOOKUP(C473,Countries!$A$1:$D$205,2,FALSE)</f>
        <v>DNK</v>
      </c>
      <c r="B473" s="71" t="s">
        <v>1242</v>
      </c>
      <c r="C473" t="s">
        <v>108</v>
      </c>
      <c r="D473" s="71" t="s">
        <v>1243</v>
      </c>
      <c r="E473" t="s">
        <v>502</v>
      </c>
      <c r="F473">
        <v>2026</v>
      </c>
      <c r="H473" s="66">
        <f>4492000*Conversion!$A$2</f>
        <v>403740.96</v>
      </c>
      <c r="I473" t="s">
        <v>731</v>
      </c>
      <c r="J473" t="s">
        <v>472</v>
      </c>
      <c r="K473" t="s">
        <v>1074</v>
      </c>
      <c r="N473" s="71" t="s">
        <v>1244</v>
      </c>
    </row>
    <row r="474" spans="1:14" ht="43.5" x14ac:dyDescent="0.35">
      <c r="A474" t="str">
        <f>VLOOKUP(C474,Countries!$A$1:$D$205,2,FALSE)</f>
        <v>DNK</v>
      </c>
      <c r="B474" s="71" t="s">
        <v>1245</v>
      </c>
      <c r="C474" t="s">
        <v>108</v>
      </c>
      <c r="D474" s="71" t="s">
        <v>1246</v>
      </c>
      <c r="E474" t="s">
        <v>502</v>
      </c>
      <c r="F474">
        <v>2028</v>
      </c>
      <c r="H474" s="66">
        <f>541000*Conversion!$A$2</f>
        <v>48625.08</v>
      </c>
      <c r="I474" t="s">
        <v>731</v>
      </c>
      <c r="J474" t="s">
        <v>472</v>
      </c>
      <c r="K474" t="s">
        <v>1074</v>
      </c>
      <c r="N474" s="71" t="s">
        <v>1247</v>
      </c>
    </row>
    <row r="475" spans="1:14" x14ac:dyDescent="0.35">
      <c r="A475" t="str">
        <f>VLOOKUP(C475,Countries!$A$1:$D$205,2,FALSE)</f>
        <v>DNK</v>
      </c>
      <c r="B475" s="71" t="s">
        <v>1248</v>
      </c>
      <c r="C475" t="s">
        <v>108</v>
      </c>
      <c r="D475" s="71" t="s">
        <v>1249</v>
      </c>
      <c r="E475" t="s">
        <v>1250</v>
      </c>
      <c r="F475">
        <v>2001</v>
      </c>
      <c r="H475" s="66">
        <f>473000*Conversion!$A$2</f>
        <v>42513.24</v>
      </c>
      <c r="I475" t="s">
        <v>731</v>
      </c>
      <c r="J475" t="s">
        <v>472</v>
      </c>
      <c r="K475" t="s">
        <v>483</v>
      </c>
      <c r="N475" s="71" t="s">
        <v>1251</v>
      </c>
    </row>
    <row r="476" spans="1:14" x14ac:dyDescent="0.35">
      <c r="A476" t="str">
        <f>VLOOKUP(C476,Countries!$A$1:$D$205,2,FALSE)</f>
        <v>DNK</v>
      </c>
      <c r="B476" s="71" t="s">
        <v>1252</v>
      </c>
      <c r="C476" t="s">
        <v>108</v>
      </c>
      <c r="D476" s="71" t="s">
        <v>1253</v>
      </c>
      <c r="E476" t="s">
        <v>502</v>
      </c>
      <c r="F476">
        <v>2025</v>
      </c>
      <c r="H476" s="66">
        <f>587000*Conversion!$A$2</f>
        <v>52759.56</v>
      </c>
      <c r="I476" t="s">
        <v>731</v>
      </c>
      <c r="J476" t="s">
        <v>472</v>
      </c>
      <c r="K476" t="s">
        <v>1162</v>
      </c>
      <c r="N476" s="71" t="s">
        <v>1254</v>
      </c>
    </row>
    <row r="477" spans="1:14" ht="43.5" x14ac:dyDescent="0.35">
      <c r="A477" t="str">
        <f>VLOOKUP(C477,Countries!$A$1:$D$205,2,FALSE)</f>
        <v>FRA</v>
      </c>
      <c r="B477" s="71" t="s">
        <v>1255</v>
      </c>
      <c r="C477" t="s">
        <v>132</v>
      </c>
      <c r="D477" s="71" t="s">
        <v>1256</v>
      </c>
      <c r="E477" t="s">
        <v>261</v>
      </c>
      <c r="F477" s="75">
        <v>1997</v>
      </c>
      <c r="G477" s="75"/>
      <c r="H477" s="66">
        <f>227000*Conversion!$A$2</f>
        <v>20402.760000000002</v>
      </c>
      <c r="I477" t="s">
        <v>731</v>
      </c>
      <c r="J477" t="s">
        <v>472</v>
      </c>
      <c r="K477" t="s">
        <v>483</v>
      </c>
      <c r="N477" s="71"/>
    </row>
    <row r="478" spans="1:14" ht="58" x14ac:dyDescent="0.35">
      <c r="A478" t="str">
        <f>VLOOKUP(C478,Countries!$A$1:$D$205,2,FALSE)</f>
        <v>FRA</v>
      </c>
      <c r="B478" s="71" t="s">
        <v>1257</v>
      </c>
      <c r="C478" t="s">
        <v>132</v>
      </c>
      <c r="D478" s="71" t="s">
        <v>1258</v>
      </c>
      <c r="E478" t="s">
        <v>502</v>
      </c>
      <c r="F478" s="75">
        <v>2027</v>
      </c>
      <c r="G478" s="75"/>
      <c r="H478" s="66">
        <f>3467000*Conversion!$A$2</f>
        <v>311613.96000000002</v>
      </c>
      <c r="I478" t="s">
        <v>731</v>
      </c>
      <c r="J478" t="s">
        <v>472</v>
      </c>
      <c r="K478" t="s">
        <v>503</v>
      </c>
      <c r="N478" s="71" t="s">
        <v>1259</v>
      </c>
    </row>
    <row r="479" spans="1:14" ht="72.5" x14ac:dyDescent="0.35">
      <c r="A479" t="str">
        <f>VLOOKUP(C479,Countries!$A$1:$D$205,2,FALSE)</f>
        <v>FRA</v>
      </c>
      <c r="B479" s="71" t="s">
        <v>1260</v>
      </c>
      <c r="C479" t="s">
        <v>132</v>
      </c>
      <c r="D479" s="71" t="s">
        <v>1261</v>
      </c>
      <c r="E479" t="s">
        <v>502</v>
      </c>
      <c r="F479" s="75">
        <v>2027</v>
      </c>
      <c r="G479" s="75"/>
      <c r="H479" s="66">
        <f>453000*Conversion!$A$2</f>
        <v>40715.64</v>
      </c>
      <c r="I479" t="s">
        <v>731</v>
      </c>
      <c r="J479" t="s">
        <v>472</v>
      </c>
      <c r="K479" t="s">
        <v>1262</v>
      </c>
      <c r="N479" s="71" t="s">
        <v>1263</v>
      </c>
    </row>
    <row r="480" spans="1:14" ht="43.5" x14ac:dyDescent="0.35">
      <c r="A480" t="str">
        <f>VLOOKUP(C480,Countries!$A$1:$D$205,2,FALSE)</f>
        <v>FRA</v>
      </c>
      <c r="B480" s="71" t="s">
        <v>1264</v>
      </c>
      <c r="C480" t="s">
        <v>132</v>
      </c>
      <c r="D480" s="71" t="s">
        <v>1265</v>
      </c>
      <c r="E480" t="s">
        <v>502</v>
      </c>
      <c r="F480" s="75">
        <v>2025</v>
      </c>
      <c r="G480" s="75"/>
      <c r="H480" s="66">
        <f>1760000*Conversion!$A$2</f>
        <v>158188.79999999999</v>
      </c>
      <c r="I480" t="s">
        <v>731</v>
      </c>
      <c r="J480" t="s">
        <v>472</v>
      </c>
      <c r="K480" t="s">
        <v>1162</v>
      </c>
      <c r="N480" s="71" t="s">
        <v>1266</v>
      </c>
    </row>
    <row r="481" spans="1:14" ht="72.5" x14ac:dyDescent="0.35">
      <c r="A481" t="str">
        <f>VLOOKUP(C481,Countries!$A$1:$D$205,2,FALSE)</f>
        <v>FRA</v>
      </c>
      <c r="B481" s="71" t="s">
        <v>1267</v>
      </c>
      <c r="C481" t="s">
        <v>132</v>
      </c>
      <c r="D481" s="71" t="s">
        <v>1268</v>
      </c>
      <c r="E481" t="s">
        <v>502</v>
      </c>
      <c r="F481" s="75">
        <v>2021</v>
      </c>
      <c r="G481" s="75"/>
      <c r="H481" s="66">
        <f>1867000*Conversion!$A$2</f>
        <v>167805.96</v>
      </c>
      <c r="I481" t="s">
        <v>731</v>
      </c>
      <c r="J481" t="s">
        <v>472</v>
      </c>
      <c r="K481" t="s">
        <v>503</v>
      </c>
      <c r="N481" s="71" t="s">
        <v>1269</v>
      </c>
    </row>
    <row r="482" spans="1:14" ht="58" x14ac:dyDescent="0.35">
      <c r="A482" t="str">
        <f>VLOOKUP(C482,Countries!$A$1:$D$205,2,FALSE)</f>
        <v>FRA</v>
      </c>
      <c r="B482" s="71" t="s">
        <v>1270</v>
      </c>
      <c r="C482" t="s">
        <v>132</v>
      </c>
      <c r="D482" s="71" t="s">
        <v>1271</v>
      </c>
      <c r="E482" t="s">
        <v>502</v>
      </c>
      <c r="F482" s="75">
        <v>2030</v>
      </c>
      <c r="G482" s="75"/>
      <c r="H482" s="66">
        <f>5333000*Conversion!$A$2</f>
        <v>479330.04000000004</v>
      </c>
      <c r="I482" t="s">
        <v>731</v>
      </c>
      <c r="J482" t="s">
        <v>472</v>
      </c>
      <c r="K482" t="s">
        <v>503</v>
      </c>
      <c r="N482" s="71" t="s">
        <v>1272</v>
      </c>
    </row>
    <row r="483" spans="1:14" ht="29" x14ac:dyDescent="0.35">
      <c r="A483" t="str">
        <f>VLOOKUP(C483,Countries!$A$1:$D$205,2,FALSE)</f>
        <v>FRA</v>
      </c>
      <c r="B483" s="71" t="s">
        <v>1273</v>
      </c>
      <c r="C483" t="s">
        <v>132</v>
      </c>
      <c r="D483" s="71" t="s">
        <v>1274</v>
      </c>
      <c r="E483" t="s">
        <v>261</v>
      </c>
      <c r="F483" s="75"/>
      <c r="G483" s="75"/>
      <c r="H483" s="66">
        <f>850000*Conversion!$A$2</f>
        <v>76398</v>
      </c>
      <c r="I483" t="s">
        <v>731</v>
      </c>
      <c r="J483" t="s">
        <v>472</v>
      </c>
      <c r="K483" t="s">
        <v>483</v>
      </c>
      <c r="N483" s="71" t="s">
        <v>1275</v>
      </c>
    </row>
    <row r="484" spans="1:14" ht="43.5" x14ac:dyDescent="0.35">
      <c r="A484" t="str">
        <f>VLOOKUP(C484,Countries!$A$1:$D$205,2,FALSE)</f>
        <v>FRA</v>
      </c>
      <c r="B484" s="71" t="s">
        <v>1276</v>
      </c>
      <c r="C484" t="s">
        <v>132</v>
      </c>
      <c r="D484" s="71" t="s">
        <v>1277</v>
      </c>
      <c r="E484" t="s">
        <v>502</v>
      </c>
      <c r="F484" s="75">
        <v>2019</v>
      </c>
      <c r="G484" s="75"/>
      <c r="H484" s="66">
        <f>213000*Conversion!$A$2</f>
        <v>19144.439999999999</v>
      </c>
      <c r="I484" t="s">
        <v>731</v>
      </c>
      <c r="J484" t="s">
        <v>472</v>
      </c>
      <c r="K484" t="s">
        <v>732</v>
      </c>
      <c r="N484" s="71" t="s">
        <v>1278</v>
      </c>
    </row>
    <row r="485" spans="1:14" ht="29" x14ac:dyDescent="0.35">
      <c r="A485" t="str">
        <f>VLOOKUP(C485,Countries!$A$1:$D$205,2,FALSE)</f>
        <v>FRA</v>
      </c>
      <c r="B485" s="71" t="s">
        <v>1279</v>
      </c>
      <c r="C485" t="s">
        <v>132</v>
      </c>
      <c r="D485" s="71" t="s">
        <v>1280</v>
      </c>
      <c r="E485" t="s">
        <v>261</v>
      </c>
      <c r="F485" s="75">
        <v>2008</v>
      </c>
      <c r="G485" s="75"/>
      <c r="H485" s="66">
        <f>2804000*Conversion!$A$2</f>
        <v>252023.52000000002</v>
      </c>
      <c r="I485" t="s">
        <v>731</v>
      </c>
      <c r="J485" t="s">
        <v>472</v>
      </c>
      <c r="K485" t="s">
        <v>483</v>
      </c>
      <c r="N485" s="71" t="s">
        <v>1251</v>
      </c>
    </row>
    <row r="486" spans="1:14" ht="29" x14ac:dyDescent="0.35">
      <c r="A486" t="str">
        <f>VLOOKUP(C486,Countries!$A$1:$D$205,2,FALSE)</f>
        <v>FRA</v>
      </c>
      <c r="B486" s="71" t="s">
        <v>1281</v>
      </c>
      <c r="C486" t="s">
        <v>132</v>
      </c>
      <c r="D486" s="71" t="s">
        <v>1282</v>
      </c>
      <c r="E486" t="s">
        <v>261</v>
      </c>
      <c r="F486" s="75">
        <v>2023</v>
      </c>
      <c r="G486" s="75"/>
      <c r="H486" s="66">
        <f>1333000*Conversion!$A$2</f>
        <v>119810.04000000001</v>
      </c>
      <c r="I486" t="s">
        <v>731</v>
      </c>
      <c r="J486" t="s">
        <v>472</v>
      </c>
      <c r="K486" t="s">
        <v>483</v>
      </c>
      <c r="N486" s="71"/>
    </row>
    <row r="487" spans="1:14" ht="29" x14ac:dyDescent="0.35">
      <c r="A487" t="str">
        <f>VLOOKUP(C487,Countries!$A$1:$D$205,2,FALSE)</f>
        <v>FRA</v>
      </c>
      <c r="B487" s="71" t="s">
        <v>1283</v>
      </c>
      <c r="C487" t="s">
        <v>132</v>
      </c>
      <c r="D487" s="71" t="s">
        <v>1284</v>
      </c>
      <c r="E487" t="s">
        <v>261</v>
      </c>
      <c r="F487" s="75">
        <v>2024</v>
      </c>
      <c r="G487" s="75"/>
      <c r="H487" s="66">
        <f>610000*Conversion!$A$2</f>
        <v>54826.8</v>
      </c>
      <c r="I487" t="s">
        <v>731</v>
      </c>
      <c r="J487" t="s">
        <v>472</v>
      </c>
      <c r="K487" t="s">
        <v>1285</v>
      </c>
      <c r="N487" s="71" t="s">
        <v>1286</v>
      </c>
    </row>
    <row r="488" spans="1:14" ht="29" x14ac:dyDescent="0.35">
      <c r="A488" t="str">
        <f>VLOOKUP(C488,Countries!$A$1:$D$205,2,FALSE)</f>
        <v>FRA</v>
      </c>
      <c r="B488" s="71" t="s">
        <v>1270</v>
      </c>
      <c r="C488" t="s">
        <v>132</v>
      </c>
      <c r="D488" s="71" t="s">
        <v>1287</v>
      </c>
      <c r="E488" t="s">
        <v>261</v>
      </c>
      <c r="F488" s="75">
        <v>2023</v>
      </c>
      <c r="G488" s="75"/>
      <c r="H488" s="66">
        <f>20000*Conversion!$A$2</f>
        <v>1797.6000000000001</v>
      </c>
      <c r="I488" t="s">
        <v>731</v>
      </c>
      <c r="J488" t="s">
        <v>472</v>
      </c>
      <c r="K488" t="s">
        <v>732</v>
      </c>
      <c r="N488" s="71" t="s">
        <v>1288</v>
      </c>
    </row>
    <row r="489" spans="1:14" x14ac:dyDescent="0.35">
      <c r="A489" t="str">
        <f>VLOOKUP(C489,Countries!$A$1:$D$205,2,FALSE)</f>
        <v>FIN</v>
      </c>
      <c r="B489" s="71" t="s">
        <v>1289</v>
      </c>
      <c r="C489" t="s">
        <v>130</v>
      </c>
      <c r="D489" s="71" t="s">
        <v>1290</v>
      </c>
      <c r="E489" t="s">
        <v>261</v>
      </c>
      <c r="F489" s="75">
        <v>2015</v>
      </c>
      <c r="G489" s="75"/>
      <c r="I489" t="s">
        <v>731</v>
      </c>
      <c r="J489" t="s">
        <v>472</v>
      </c>
      <c r="K489" t="s">
        <v>494</v>
      </c>
      <c r="N489" s="71" t="s">
        <v>1291</v>
      </c>
    </row>
    <row r="490" spans="1:14" ht="29" x14ac:dyDescent="0.35">
      <c r="A490" t="str">
        <f>VLOOKUP(C490,Countries!$A$1:$D$205,2,FALSE)</f>
        <v>FIN</v>
      </c>
      <c r="B490" s="71" t="s">
        <v>1292</v>
      </c>
      <c r="C490" t="s">
        <v>130</v>
      </c>
      <c r="D490" s="71" t="s">
        <v>1293</v>
      </c>
      <c r="E490" t="s">
        <v>261</v>
      </c>
      <c r="F490" s="75">
        <v>2016</v>
      </c>
      <c r="G490" s="75"/>
      <c r="H490" s="66">
        <f>2749000*Conversion!$A$2</f>
        <v>247080.12</v>
      </c>
      <c r="I490" t="s">
        <v>731</v>
      </c>
      <c r="J490" t="s">
        <v>472</v>
      </c>
      <c r="K490" t="s">
        <v>483</v>
      </c>
      <c r="N490" s="71" t="s">
        <v>1294</v>
      </c>
    </row>
    <row r="491" spans="1:14" ht="43.5" x14ac:dyDescent="0.35">
      <c r="A491" t="str">
        <f>VLOOKUP(C491,Countries!$A$1:$D$205,2,FALSE)</f>
        <v>FIN</v>
      </c>
      <c r="B491" s="71" t="s">
        <v>1292</v>
      </c>
      <c r="C491" t="s">
        <v>130</v>
      </c>
      <c r="D491" s="71" t="s">
        <v>1293</v>
      </c>
      <c r="E491" t="s">
        <v>261</v>
      </c>
      <c r="F491" s="75">
        <v>2021</v>
      </c>
      <c r="G491" s="75"/>
      <c r="H491" s="66">
        <f>2737000*Conversion!$A$2</f>
        <v>246001.56</v>
      </c>
      <c r="I491" t="s">
        <v>731</v>
      </c>
      <c r="J491" t="s">
        <v>472</v>
      </c>
      <c r="K491" t="s">
        <v>732</v>
      </c>
      <c r="N491" s="71" t="s">
        <v>1295</v>
      </c>
    </row>
    <row r="492" spans="1:14" ht="29" x14ac:dyDescent="0.35">
      <c r="A492" t="str">
        <f>VLOOKUP(C492,Countries!$A$1:$D$205,2,FALSE)</f>
        <v>FIN</v>
      </c>
      <c r="B492" s="71" t="s">
        <v>1296</v>
      </c>
      <c r="C492" t="s">
        <v>130</v>
      </c>
      <c r="D492" s="71" t="s">
        <v>1297</v>
      </c>
      <c r="E492" t="s">
        <v>1250</v>
      </c>
      <c r="F492" s="75">
        <v>1996</v>
      </c>
      <c r="G492" s="75"/>
      <c r="H492" s="66">
        <f>60000*Conversion!$A$2</f>
        <v>5392.8</v>
      </c>
      <c r="I492" t="s">
        <v>731</v>
      </c>
      <c r="J492" t="s">
        <v>472</v>
      </c>
      <c r="K492" t="s">
        <v>503</v>
      </c>
      <c r="N492" s="71" t="s">
        <v>1298</v>
      </c>
    </row>
    <row r="493" spans="1:14" ht="29" x14ac:dyDescent="0.35">
      <c r="A493" t="str">
        <f>VLOOKUP(C493,Countries!$A$1:$D$205,2,FALSE)</f>
        <v>FIN</v>
      </c>
      <c r="B493" s="71" t="s">
        <v>1296</v>
      </c>
      <c r="C493" t="s">
        <v>130</v>
      </c>
      <c r="D493" s="71" t="s">
        <v>1299</v>
      </c>
      <c r="E493" t="s">
        <v>502</v>
      </c>
      <c r="F493" s="75">
        <v>2024</v>
      </c>
      <c r="G493" s="75"/>
      <c r="H493" s="66">
        <f>107000*Conversion!$A$2</f>
        <v>9617.16</v>
      </c>
      <c r="I493" t="s">
        <v>731</v>
      </c>
      <c r="J493" t="s">
        <v>472</v>
      </c>
      <c r="K493" t="s">
        <v>1285</v>
      </c>
      <c r="N493" s="71" t="s">
        <v>1300</v>
      </c>
    </row>
    <row r="494" spans="1:14" x14ac:dyDescent="0.35">
      <c r="A494" t="str">
        <f>VLOOKUP(C494,Countries!$A$1:$D$205,2,FALSE)</f>
        <v>FIN</v>
      </c>
      <c r="B494" s="71" t="s">
        <v>1301</v>
      </c>
      <c r="C494" t="s">
        <v>130</v>
      </c>
      <c r="D494" s="71" t="s">
        <v>1302</v>
      </c>
      <c r="E494" t="s">
        <v>261</v>
      </c>
      <c r="I494" t="s">
        <v>731</v>
      </c>
      <c r="J494" t="s">
        <v>472</v>
      </c>
      <c r="K494" t="s">
        <v>494</v>
      </c>
      <c r="N494" s="71" t="s">
        <v>1251</v>
      </c>
    </row>
    <row r="495" spans="1:14" ht="29" x14ac:dyDescent="0.35">
      <c r="A495" t="str">
        <f>VLOOKUP(C495,Countries!$A$1:$D$205,2,FALSE)</f>
        <v>FIN</v>
      </c>
      <c r="B495" s="71" t="s">
        <v>1303</v>
      </c>
      <c r="C495" t="s">
        <v>130</v>
      </c>
      <c r="D495" s="71" t="s">
        <v>1304</v>
      </c>
      <c r="E495" t="s">
        <v>502</v>
      </c>
      <c r="F495" s="75">
        <v>2015</v>
      </c>
      <c r="G495" s="75"/>
      <c r="H495" s="66">
        <f>187000*Conversion!$A$2</f>
        <v>16807.560000000001</v>
      </c>
      <c r="I495" t="s">
        <v>731</v>
      </c>
      <c r="J495" t="s">
        <v>472</v>
      </c>
      <c r="K495" t="s">
        <v>732</v>
      </c>
      <c r="N495" s="71" t="s">
        <v>1305</v>
      </c>
    </row>
    <row r="496" spans="1:14" ht="43.5" x14ac:dyDescent="0.35">
      <c r="A496" t="str">
        <f>VLOOKUP(C496,Countries!$A$1:$D$205,2,FALSE)</f>
        <v>DEU</v>
      </c>
      <c r="B496" s="71" t="s">
        <v>1306</v>
      </c>
      <c r="C496" t="s">
        <v>142</v>
      </c>
      <c r="D496" s="71" t="s">
        <v>1307</v>
      </c>
      <c r="E496" t="s">
        <v>502</v>
      </c>
      <c r="F496" s="75">
        <v>2027</v>
      </c>
      <c r="G496" s="75"/>
      <c r="H496" s="66">
        <f>533000*Conversion!$A$2</f>
        <v>47906.04</v>
      </c>
      <c r="I496" t="s">
        <v>731</v>
      </c>
      <c r="J496" t="s">
        <v>472</v>
      </c>
      <c r="K496" t="s">
        <v>1162</v>
      </c>
      <c r="N496" s="71" t="s">
        <v>1308</v>
      </c>
    </row>
    <row r="497" spans="1:14" ht="43.5" x14ac:dyDescent="0.35">
      <c r="A497" t="str">
        <f>VLOOKUP(C497,Countries!$A$1:$D$205,2,FALSE)</f>
        <v>DEU</v>
      </c>
      <c r="B497" s="71" t="s">
        <v>1309</v>
      </c>
      <c r="C497" t="s">
        <v>142</v>
      </c>
      <c r="D497" s="71" t="s">
        <v>1310</v>
      </c>
      <c r="E497" t="s">
        <v>502</v>
      </c>
      <c r="F497" s="75">
        <v>2030</v>
      </c>
      <c r="G497" s="75"/>
      <c r="H497" s="66">
        <f>1600000*Conversion!$A$2</f>
        <v>143808</v>
      </c>
      <c r="I497" t="s">
        <v>731</v>
      </c>
      <c r="J497" t="s">
        <v>472</v>
      </c>
      <c r="K497" t="s">
        <v>503</v>
      </c>
      <c r="N497" s="71" t="s">
        <v>1311</v>
      </c>
    </row>
    <row r="498" spans="1:14" ht="58" x14ac:dyDescent="0.35">
      <c r="A498" t="str">
        <f>VLOOKUP(C498,Countries!$A$1:$D$205,2,FALSE)</f>
        <v>DEU</v>
      </c>
      <c r="B498" s="71" t="s">
        <v>1312</v>
      </c>
      <c r="C498" t="s">
        <v>142</v>
      </c>
      <c r="D498" s="71" t="s">
        <v>1313</v>
      </c>
      <c r="E498" t="s">
        <v>502</v>
      </c>
      <c r="F498" s="75">
        <v>2032</v>
      </c>
      <c r="G498" s="75"/>
      <c r="H498" s="66">
        <f>5300000*Conversion!$A$2</f>
        <v>476364</v>
      </c>
      <c r="I498" t="s">
        <v>731</v>
      </c>
      <c r="J498" t="s">
        <v>472</v>
      </c>
      <c r="K498" t="s">
        <v>503</v>
      </c>
      <c r="N498" s="71" t="s">
        <v>1314</v>
      </c>
    </row>
    <row r="499" spans="1:14" x14ac:dyDescent="0.35">
      <c r="A499" t="str">
        <f>VLOOKUP(C499,Countries!$A$1:$D$205,2,FALSE)</f>
        <v>DEU</v>
      </c>
      <c r="B499" s="71" t="s">
        <v>1315</v>
      </c>
      <c r="C499" t="s">
        <v>142</v>
      </c>
      <c r="D499" s="71" t="s">
        <v>1316</v>
      </c>
      <c r="E499" t="s">
        <v>613</v>
      </c>
      <c r="F499" s="75">
        <v>1974</v>
      </c>
      <c r="G499" s="75"/>
      <c r="H499" s="66">
        <f>1300000*Conversion!$A$2</f>
        <v>116844</v>
      </c>
      <c r="I499" t="s">
        <v>731</v>
      </c>
      <c r="J499" t="s">
        <v>472</v>
      </c>
      <c r="K499" t="s">
        <v>494</v>
      </c>
      <c r="N499" s="71" t="s">
        <v>1317</v>
      </c>
    </row>
    <row r="500" spans="1:14" x14ac:dyDescent="0.35">
      <c r="A500" t="str">
        <f>VLOOKUP(C500,Countries!$A$1:$D$205,2,FALSE)</f>
        <v>DEU</v>
      </c>
      <c r="B500" s="71" t="s">
        <v>1318</v>
      </c>
      <c r="C500" t="s">
        <v>142</v>
      </c>
      <c r="D500" s="71" t="s">
        <v>1316</v>
      </c>
      <c r="E500" t="s">
        <v>261</v>
      </c>
      <c r="F500" s="75">
        <v>1991</v>
      </c>
      <c r="G500" s="75"/>
      <c r="H500" s="66">
        <f>200000*Conversion!$A$2</f>
        <v>17976</v>
      </c>
      <c r="I500" t="s">
        <v>731</v>
      </c>
      <c r="J500" t="s">
        <v>472</v>
      </c>
      <c r="K500" t="s">
        <v>494</v>
      </c>
      <c r="N500" s="71" t="s">
        <v>1317</v>
      </c>
    </row>
    <row r="501" spans="1:14" ht="43.5" x14ac:dyDescent="0.35">
      <c r="A501" t="str">
        <f>VLOOKUP(C501,Countries!$A$1:$D$205,2,FALSE)</f>
        <v>DEU</v>
      </c>
      <c r="B501" s="71" t="s">
        <v>1315</v>
      </c>
      <c r="C501" t="s">
        <v>142</v>
      </c>
      <c r="D501" s="71" t="s">
        <v>1319</v>
      </c>
      <c r="E501" t="s">
        <v>502</v>
      </c>
      <c r="F501" s="75">
        <v>2024</v>
      </c>
      <c r="G501" s="75"/>
      <c r="H501" s="66">
        <f>267000*Conversion!$A$2</f>
        <v>23997.96</v>
      </c>
      <c r="I501" t="s">
        <v>731</v>
      </c>
      <c r="J501" t="s">
        <v>472</v>
      </c>
      <c r="K501" t="s">
        <v>494</v>
      </c>
      <c r="N501" s="71" t="s">
        <v>1320</v>
      </c>
    </row>
    <row r="502" spans="1:14" ht="43.5" x14ac:dyDescent="0.35">
      <c r="A502" t="str">
        <f>VLOOKUP(C502,Countries!$A$1:$D$205,2,FALSE)</f>
        <v>DEU</v>
      </c>
      <c r="B502" s="71" t="s">
        <v>1315</v>
      </c>
      <c r="C502" t="s">
        <v>142</v>
      </c>
      <c r="D502" s="71" t="s">
        <v>1319</v>
      </c>
      <c r="E502" t="s">
        <v>1321</v>
      </c>
      <c r="F502" s="75">
        <v>2030</v>
      </c>
      <c r="G502" s="75"/>
      <c r="H502" s="66">
        <f>0*Conversion!$A$2</f>
        <v>0</v>
      </c>
      <c r="I502" t="s">
        <v>731</v>
      </c>
      <c r="J502" t="s">
        <v>472</v>
      </c>
      <c r="K502" t="s">
        <v>494</v>
      </c>
      <c r="N502" s="71" t="s">
        <v>1322</v>
      </c>
    </row>
    <row r="503" spans="1:14" ht="43.5" x14ac:dyDescent="0.35">
      <c r="A503" t="str">
        <f>VLOOKUP(C503,Countries!$A$1:$D$205,2,FALSE)</f>
        <v>DEU</v>
      </c>
      <c r="B503" s="71" t="s">
        <v>1323</v>
      </c>
      <c r="C503" t="s">
        <v>142</v>
      </c>
      <c r="D503" s="71" t="s">
        <v>1324</v>
      </c>
      <c r="E503" t="s">
        <v>261</v>
      </c>
      <c r="F503" s="75">
        <v>2008</v>
      </c>
      <c r="G503" s="75"/>
      <c r="H503" s="66">
        <f>2323000*Conversion!$A$2</f>
        <v>208791.24</v>
      </c>
      <c r="I503" t="s">
        <v>731</v>
      </c>
      <c r="J503" t="s">
        <v>472</v>
      </c>
      <c r="K503" t="s">
        <v>483</v>
      </c>
      <c r="N503" s="71" t="s">
        <v>1325</v>
      </c>
    </row>
    <row r="504" spans="1:14" ht="43.5" x14ac:dyDescent="0.35">
      <c r="A504" t="str">
        <f>VLOOKUP(C504,Countries!$A$1:$D$205,2,FALSE)</f>
        <v>DEU</v>
      </c>
      <c r="B504" s="71" t="s">
        <v>1326</v>
      </c>
      <c r="C504" t="s">
        <v>142</v>
      </c>
      <c r="D504" s="71" t="s">
        <v>1324</v>
      </c>
      <c r="E504" t="s">
        <v>1327</v>
      </c>
      <c r="F504" s="75">
        <v>1999</v>
      </c>
      <c r="G504" s="75"/>
      <c r="H504" s="66">
        <f>2379000*Conversion!$A$2</f>
        <v>213824.52</v>
      </c>
      <c r="I504" t="s">
        <v>731</v>
      </c>
      <c r="J504" t="s">
        <v>472</v>
      </c>
      <c r="K504" t="s">
        <v>483</v>
      </c>
      <c r="N504" s="71" t="s">
        <v>1325</v>
      </c>
    </row>
    <row r="505" spans="1:14" ht="43.5" x14ac:dyDescent="0.35">
      <c r="A505" t="str">
        <f>VLOOKUP(C505,Countries!$A$1:$D$205,2,FALSE)</f>
        <v>DEU</v>
      </c>
      <c r="B505" s="71" t="s">
        <v>1328</v>
      </c>
      <c r="C505" t="s">
        <v>142</v>
      </c>
      <c r="D505" s="71" t="s">
        <v>1329</v>
      </c>
      <c r="E505" t="s">
        <v>990</v>
      </c>
      <c r="F505" s="75">
        <v>2028</v>
      </c>
      <c r="G505" s="75"/>
      <c r="H505" s="66">
        <f>3409000*Conversion!$A$2</f>
        <v>306400.92</v>
      </c>
      <c r="I505" t="s">
        <v>731</v>
      </c>
      <c r="J505" t="s">
        <v>472</v>
      </c>
      <c r="K505" t="s">
        <v>549</v>
      </c>
      <c r="N505" s="71" t="s">
        <v>1330</v>
      </c>
    </row>
    <row r="506" spans="1:14" x14ac:dyDescent="0.35">
      <c r="A506" t="str">
        <f>VLOOKUP(C506,Countries!$A$1:$D$205,2,FALSE)</f>
        <v>DEU</v>
      </c>
      <c r="B506" s="71" t="s">
        <v>1331</v>
      </c>
      <c r="C506" t="s">
        <v>142</v>
      </c>
      <c r="D506" s="71" t="s">
        <v>1332</v>
      </c>
      <c r="E506" t="s">
        <v>1327</v>
      </c>
      <c r="H506" s="66">
        <f>1416000*Conversion!$A$2</f>
        <v>127270.08</v>
      </c>
      <c r="I506" t="s">
        <v>731</v>
      </c>
      <c r="J506" t="s">
        <v>472</v>
      </c>
      <c r="K506" t="s">
        <v>483</v>
      </c>
      <c r="N506" s="71" t="s">
        <v>1251</v>
      </c>
    </row>
    <row r="507" spans="1:14" x14ac:dyDescent="0.35">
      <c r="A507" t="str">
        <f>VLOOKUP(C507,Countries!$A$1:$D$205,2,FALSE)</f>
        <v>DEU</v>
      </c>
      <c r="B507" s="71" t="s">
        <v>1331</v>
      </c>
      <c r="C507" t="s">
        <v>142</v>
      </c>
      <c r="D507" s="71" t="s">
        <v>1332</v>
      </c>
      <c r="E507" t="s">
        <v>261</v>
      </c>
      <c r="H507" s="66">
        <f>1246000*Conversion!$A$2</f>
        <v>111990.48</v>
      </c>
      <c r="I507" t="s">
        <v>731</v>
      </c>
      <c r="J507" t="s">
        <v>472</v>
      </c>
      <c r="K507" t="s">
        <v>483</v>
      </c>
      <c r="N507" s="71" t="s">
        <v>1251</v>
      </c>
    </row>
    <row r="508" spans="1:14" ht="43.5" x14ac:dyDescent="0.35">
      <c r="A508" t="str">
        <f>VLOOKUP(C508,Countries!$A$1:$D$205,2,FALSE)</f>
        <v>DEU</v>
      </c>
      <c r="B508" s="71" t="s">
        <v>1331</v>
      </c>
      <c r="C508" t="s">
        <v>142</v>
      </c>
      <c r="D508" s="71" t="s">
        <v>1333</v>
      </c>
      <c r="E508" t="s">
        <v>502</v>
      </c>
      <c r="F508" s="75">
        <v>2029</v>
      </c>
      <c r="G508" s="75"/>
      <c r="H508" s="66">
        <f>2667000*Conversion!$A$2</f>
        <v>239709.96</v>
      </c>
      <c r="I508" t="s">
        <v>731</v>
      </c>
      <c r="J508" t="s">
        <v>472</v>
      </c>
      <c r="K508" t="s">
        <v>483</v>
      </c>
      <c r="N508" s="71" t="s">
        <v>1334</v>
      </c>
    </row>
    <row r="509" spans="1:14" ht="29" x14ac:dyDescent="0.35">
      <c r="A509" t="str">
        <f>VLOOKUP(C509,Countries!$A$1:$D$205,2,FALSE)</f>
        <v>DEU</v>
      </c>
      <c r="B509" s="71" t="s">
        <v>1331</v>
      </c>
      <c r="C509" t="s">
        <v>142</v>
      </c>
      <c r="D509" s="71" t="s">
        <v>1335</v>
      </c>
      <c r="E509" t="s">
        <v>502</v>
      </c>
      <c r="F509" s="75">
        <v>2023</v>
      </c>
      <c r="G509" s="75"/>
      <c r="H509" s="66">
        <f>80000*Conversion!$A$2</f>
        <v>7190.4000000000005</v>
      </c>
      <c r="I509" t="s">
        <v>731</v>
      </c>
      <c r="J509" t="s">
        <v>472</v>
      </c>
      <c r="K509" t="s">
        <v>483</v>
      </c>
      <c r="N509" s="71" t="s">
        <v>1336</v>
      </c>
    </row>
    <row r="510" spans="1:14" ht="43.5" x14ac:dyDescent="0.35">
      <c r="A510" t="str">
        <f>VLOOKUP(C510,Countries!$A$1:$D$205,2,FALSE)</f>
        <v>DEU</v>
      </c>
      <c r="B510" s="71" t="s">
        <v>1337</v>
      </c>
      <c r="C510" t="s">
        <v>142</v>
      </c>
      <c r="D510" s="71" t="s">
        <v>1338</v>
      </c>
      <c r="E510" t="s">
        <v>502</v>
      </c>
      <c r="F510" s="75">
        <v>2018</v>
      </c>
      <c r="G510" s="75"/>
      <c r="H510" s="66">
        <f>11000*Conversion!$A$2</f>
        <v>988.68000000000006</v>
      </c>
      <c r="I510" t="s">
        <v>731</v>
      </c>
      <c r="J510" t="s">
        <v>472</v>
      </c>
      <c r="K510" t="s">
        <v>1162</v>
      </c>
      <c r="N510" s="71" t="s">
        <v>1339</v>
      </c>
    </row>
    <row r="511" spans="1:14" ht="43.5" x14ac:dyDescent="0.35">
      <c r="A511" t="str">
        <f>VLOOKUP(C511,Countries!$A$1:$D$205,2,FALSE)</f>
        <v>DEU</v>
      </c>
      <c r="B511" s="71" t="s">
        <v>1340</v>
      </c>
      <c r="C511" t="s">
        <v>142</v>
      </c>
      <c r="D511" s="71" t="s">
        <v>1341</v>
      </c>
      <c r="E511" t="s">
        <v>502</v>
      </c>
      <c r="F511" s="75">
        <v>2027</v>
      </c>
      <c r="G511" s="75"/>
      <c r="H511" s="66">
        <f>123000*Conversion!$A$2</f>
        <v>11055.24</v>
      </c>
      <c r="I511" t="s">
        <v>731</v>
      </c>
      <c r="J511" t="s">
        <v>472</v>
      </c>
      <c r="K511" t="s">
        <v>1162</v>
      </c>
      <c r="N511" s="71" t="s">
        <v>1342</v>
      </c>
    </row>
    <row r="512" spans="1:14" ht="29" x14ac:dyDescent="0.35">
      <c r="A512" t="str">
        <f>VLOOKUP(C512,Countries!$A$1:$D$205,2,FALSE)</f>
        <v>DEU</v>
      </c>
      <c r="B512" s="71" t="s">
        <v>1343</v>
      </c>
      <c r="C512" t="s">
        <v>142</v>
      </c>
      <c r="D512" s="71" t="s">
        <v>1344</v>
      </c>
      <c r="E512" t="s">
        <v>502</v>
      </c>
      <c r="F512" s="75">
        <v>2027</v>
      </c>
      <c r="G512" s="75"/>
      <c r="H512" s="66">
        <f>1173000*Conversion!$A$2</f>
        <v>105429.24</v>
      </c>
      <c r="I512" t="s">
        <v>731</v>
      </c>
      <c r="J512" t="s">
        <v>472</v>
      </c>
      <c r="K512" t="s">
        <v>1345</v>
      </c>
      <c r="N512" s="71" t="s">
        <v>1346</v>
      </c>
    </row>
    <row r="513" spans="1:14" ht="87" x14ac:dyDescent="0.35">
      <c r="A513" t="str">
        <f>VLOOKUP(C513,Countries!$A$1:$D$205,2,FALSE)</f>
        <v>DEU</v>
      </c>
      <c r="B513" s="71" t="s">
        <v>1347</v>
      </c>
      <c r="C513" t="s">
        <v>142</v>
      </c>
      <c r="D513" s="71" t="s">
        <v>1348</v>
      </c>
      <c r="E513" t="s">
        <v>502</v>
      </c>
      <c r="F513" s="75">
        <v>2022</v>
      </c>
      <c r="G513" s="75"/>
      <c r="H513" s="66">
        <f>5000*Conversion!$A$2</f>
        <v>449.40000000000003</v>
      </c>
      <c r="I513" t="s">
        <v>731</v>
      </c>
      <c r="J513" t="s">
        <v>472</v>
      </c>
      <c r="K513" t="s">
        <v>1349</v>
      </c>
      <c r="N513" s="71" t="s">
        <v>1350</v>
      </c>
    </row>
    <row r="514" spans="1:14" ht="29" x14ac:dyDescent="0.35">
      <c r="A514" t="str">
        <f>VLOOKUP(C514,Countries!$A$1:$D$205,2,FALSE)</f>
        <v>DEU</v>
      </c>
      <c r="B514" s="71" t="s">
        <v>1351</v>
      </c>
      <c r="C514" t="s">
        <v>142</v>
      </c>
      <c r="D514" s="71" t="s">
        <v>1352</v>
      </c>
      <c r="E514" t="s">
        <v>261</v>
      </c>
      <c r="H514" s="66">
        <f>312000*Conversion!$A$2</f>
        <v>28042.560000000001</v>
      </c>
      <c r="I514" t="s">
        <v>731</v>
      </c>
      <c r="J514" t="s">
        <v>472</v>
      </c>
      <c r="K514" t="s">
        <v>483</v>
      </c>
      <c r="N514" s="71" t="s">
        <v>1353</v>
      </c>
    </row>
    <row r="515" spans="1:14" ht="29" x14ac:dyDescent="0.35">
      <c r="A515" t="str">
        <f>VLOOKUP(C515,Countries!$A$1:$D$205,2,FALSE)</f>
        <v>DEU</v>
      </c>
      <c r="B515" s="71" t="s">
        <v>1354</v>
      </c>
      <c r="C515" t="s">
        <v>142</v>
      </c>
      <c r="D515" s="71" t="s">
        <v>1355</v>
      </c>
      <c r="E515" t="s">
        <v>502</v>
      </c>
      <c r="F515" s="75">
        <v>2017</v>
      </c>
      <c r="G515" s="75"/>
      <c r="H515" s="66">
        <f>27000*Conversion!$A$2</f>
        <v>2426.7600000000002</v>
      </c>
      <c r="I515" t="s">
        <v>731</v>
      </c>
      <c r="J515" t="s">
        <v>472</v>
      </c>
      <c r="K515" t="s">
        <v>732</v>
      </c>
      <c r="N515" s="71" t="s">
        <v>1356</v>
      </c>
    </row>
    <row r="516" spans="1:14" ht="58" x14ac:dyDescent="0.35">
      <c r="A516" t="str">
        <f>VLOOKUP(C516,Countries!$A$1:$D$205,2,FALSE)</f>
        <v>DEU</v>
      </c>
      <c r="B516" s="71" t="s">
        <v>1357</v>
      </c>
      <c r="C516" t="s">
        <v>142</v>
      </c>
      <c r="D516" s="71" t="s">
        <v>1358</v>
      </c>
      <c r="E516" t="s">
        <v>502</v>
      </c>
      <c r="F516" s="75">
        <v>2024</v>
      </c>
      <c r="G516" s="75"/>
      <c r="H516" s="66">
        <f>593000*Conversion!$A$2</f>
        <v>53298.840000000004</v>
      </c>
      <c r="I516" t="s">
        <v>731</v>
      </c>
      <c r="J516" t="s">
        <v>472</v>
      </c>
      <c r="K516" t="s">
        <v>1074</v>
      </c>
      <c r="N516" s="71" t="s">
        <v>1359</v>
      </c>
    </row>
    <row r="517" spans="1:14" ht="29" x14ac:dyDescent="0.35">
      <c r="A517" t="str">
        <f>VLOOKUP(C517,Countries!$A$1:$D$205,2,FALSE)</f>
        <v>DEU</v>
      </c>
      <c r="B517" s="71" t="s">
        <v>1360</v>
      </c>
      <c r="C517" t="s">
        <v>142</v>
      </c>
      <c r="D517" s="71" t="s">
        <v>1361</v>
      </c>
      <c r="E517" t="s">
        <v>502</v>
      </c>
      <c r="F517" s="75">
        <v>1988</v>
      </c>
      <c r="G517" s="75"/>
      <c r="H517" s="66">
        <f>850000*Conversion!$A$2</f>
        <v>76398</v>
      </c>
      <c r="I517" t="s">
        <v>731</v>
      </c>
      <c r="J517" t="s">
        <v>472</v>
      </c>
      <c r="K517" t="s">
        <v>483</v>
      </c>
      <c r="N517" s="71" t="s">
        <v>1362</v>
      </c>
    </row>
    <row r="518" spans="1:14" ht="29" x14ac:dyDescent="0.35">
      <c r="A518" t="str">
        <f>VLOOKUP(C518,Countries!$A$1:$D$205,2,FALSE)</f>
        <v>DEU</v>
      </c>
      <c r="B518" s="71" t="s">
        <v>1363</v>
      </c>
      <c r="C518" t="s">
        <v>142</v>
      </c>
      <c r="D518" s="71" t="s">
        <v>1364</v>
      </c>
      <c r="E518" t="s">
        <v>502</v>
      </c>
      <c r="F518" s="75">
        <v>2026</v>
      </c>
      <c r="G518" s="75"/>
      <c r="H518" s="66">
        <f>373000*Conversion!$A$2</f>
        <v>33525.24</v>
      </c>
      <c r="I518" t="s">
        <v>731</v>
      </c>
      <c r="J518" t="s">
        <v>472</v>
      </c>
      <c r="K518" t="s">
        <v>1162</v>
      </c>
      <c r="N518" s="71" t="s">
        <v>1365</v>
      </c>
    </row>
    <row r="519" spans="1:14" x14ac:dyDescent="0.35">
      <c r="A519" t="str">
        <f>VLOOKUP(C519,Countries!$A$1:$D$205,2,FALSE)</f>
        <v>DEU</v>
      </c>
      <c r="B519" s="71" t="s">
        <v>1366</v>
      </c>
      <c r="C519" t="s">
        <v>142</v>
      </c>
      <c r="D519" s="71" t="s">
        <v>1367</v>
      </c>
      <c r="E519" t="s">
        <v>502</v>
      </c>
      <c r="F519" s="75">
        <v>2030</v>
      </c>
      <c r="G519" s="75"/>
      <c r="H519" s="66">
        <f>800000*Conversion!$A$2</f>
        <v>71904</v>
      </c>
      <c r="I519" t="s">
        <v>731</v>
      </c>
      <c r="J519" t="s">
        <v>472</v>
      </c>
      <c r="K519" t="s">
        <v>1162</v>
      </c>
      <c r="N519" s="71" t="s">
        <v>1254</v>
      </c>
    </row>
    <row r="520" spans="1:14" ht="43.5" x14ac:dyDescent="0.35">
      <c r="A520" t="str">
        <f>VLOOKUP(C520,Countries!$A$1:$D$205,2,FALSE)</f>
        <v>DEU</v>
      </c>
      <c r="B520" s="71" t="s">
        <v>1368</v>
      </c>
      <c r="C520" t="s">
        <v>142</v>
      </c>
      <c r="D520" s="71" t="s">
        <v>1369</v>
      </c>
      <c r="E520" t="s">
        <v>502</v>
      </c>
      <c r="F520" s="75">
        <v>2025</v>
      </c>
      <c r="G520" s="75"/>
      <c r="H520" s="66">
        <f>11000*Conversion!$A$2</f>
        <v>988.68000000000006</v>
      </c>
      <c r="I520" t="s">
        <v>731</v>
      </c>
      <c r="J520" t="s">
        <v>472</v>
      </c>
      <c r="K520" t="s">
        <v>1162</v>
      </c>
      <c r="N520" s="71" t="s">
        <v>1370</v>
      </c>
    </row>
    <row r="521" spans="1:14" ht="29" x14ac:dyDescent="0.35">
      <c r="A521" t="str">
        <f>VLOOKUP(C521,Countries!$A$1:$D$205,2,FALSE)</f>
        <v>DEU</v>
      </c>
      <c r="B521" s="71" t="s">
        <v>1371</v>
      </c>
      <c r="C521" t="s">
        <v>142</v>
      </c>
      <c r="D521" s="71" t="s">
        <v>1372</v>
      </c>
      <c r="E521" t="s">
        <v>502</v>
      </c>
      <c r="F521" s="75">
        <v>2027</v>
      </c>
      <c r="G521" s="75"/>
      <c r="H521" s="66">
        <f>536000*Conversion!$A$2</f>
        <v>48175.68</v>
      </c>
      <c r="I521" t="s">
        <v>731</v>
      </c>
      <c r="J521" t="s">
        <v>472</v>
      </c>
      <c r="K521" t="s">
        <v>1074</v>
      </c>
      <c r="N521" s="71" t="s">
        <v>1373</v>
      </c>
    </row>
    <row r="522" spans="1:14" ht="29" x14ac:dyDescent="0.35">
      <c r="A522" t="str">
        <f>VLOOKUP(C522,Countries!$A$1:$D$205,2,FALSE)</f>
        <v>DEU</v>
      </c>
      <c r="B522" s="71" t="s">
        <v>1374</v>
      </c>
      <c r="C522" t="s">
        <v>142</v>
      </c>
      <c r="D522" s="71" t="s">
        <v>1375</v>
      </c>
      <c r="E522" t="s">
        <v>261</v>
      </c>
      <c r="F522" s="75">
        <v>1996</v>
      </c>
      <c r="G522" s="75"/>
      <c r="H522" s="66">
        <f>510000*Conversion!$A$2</f>
        <v>45838.8</v>
      </c>
      <c r="I522" t="s">
        <v>731</v>
      </c>
      <c r="J522" t="s">
        <v>472</v>
      </c>
      <c r="K522" t="s">
        <v>483</v>
      </c>
      <c r="N522" s="71" t="s">
        <v>1376</v>
      </c>
    </row>
    <row r="523" spans="1:14" ht="29" x14ac:dyDescent="0.35">
      <c r="A523" t="str">
        <f>VLOOKUP(C523,Countries!$A$1:$D$205,2,FALSE)</f>
        <v>DEU</v>
      </c>
      <c r="B523" s="71" t="s">
        <v>1377</v>
      </c>
      <c r="C523" t="s">
        <v>142</v>
      </c>
      <c r="D523" s="71" t="s">
        <v>1378</v>
      </c>
      <c r="E523" t="s">
        <v>261</v>
      </c>
      <c r="H523" s="66">
        <f>2549000*Conversion!$A$2</f>
        <v>229104.12</v>
      </c>
      <c r="I523" t="s">
        <v>731</v>
      </c>
      <c r="J523" t="s">
        <v>472</v>
      </c>
      <c r="K523" t="s">
        <v>483</v>
      </c>
      <c r="N523" s="71" t="s">
        <v>1251</v>
      </c>
    </row>
    <row r="524" spans="1:14" ht="58" x14ac:dyDescent="0.35">
      <c r="A524" t="str">
        <f>VLOOKUP(C524,Countries!$A$1:$D$205,2,FALSE)</f>
        <v>DEU</v>
      </c>
      <c r="B524" s="71" t="s">
        <v>1379</v>
      </c>
      <c r="C524" t="s">
        <v>142</v>
      </c>
      <c r="D524" s="71" t="s">
        <v>1380</v>
      </c>
      <c r="E524" t="s">
        <v>261</v>
      </c>
      <c r="F524" s="75">
        <v>2002</v>
      </c>
      <c r="G524" s="75"/>
      <c r="H524" s="66">
        <f>1133000*Conversion!$A$2</f>
        <v>101834.04000000001</v>
      </c>
      <c r="I524" t="s">
        <v>731</v>
      </c>
      <c r="J524" t="s">
        <v>472</v>
      </c>
      <c r="K524" t="s">
        <v>483</v>
      </c>
      <c r="N524" s="71" t="s">
        <v>1381</v>
      </c>
    </row>
    <row r="525" spans="1:14" ht="29" x14ac:dyDescent="0.35">
      <c r="A525" t="str">
        <f>VLOOKUP(C525,Countries!$A$1:$D$205,2,FALSE)</f>
        <v>DEU</v>
      </c>
      <c r="B525" s="71" t="s">
        <v>1382</v>
      </c>
      <c r="C525" t="s">
        <v>142</v>
      </c>
      <c r="D525" s="71" t="s">
        <v>1383</v>
      </c>
      <c r="E525" t="s">
        <v>261</v>
      </c>
      <c r="F525" s="75">
        <v>2003</v>
      </c>
      <c r="G525" s="75"/>
      <c r="H525" s="66">
        <f>793000*Conversion!$A$2</f>
        <v>71274.84</v>
      </c>
      <c r="I525" t="s">
        <v>731</v>
      </c>
      <c r="J525" t="s">
        <v>472</v>
      </c>
      <c r="K525" t="s">
        <v>483</v>
      </c>
      <c r="N525" s="71" t="s">
        <v>1376</v>
      </c>
    </row>
    <row r="526" spans="1:14" ht="58" x14ac:dyDescent="0.35">
      <c r="A526" t="str">
        <f>VLOOKUP(C526,Countries!$A$1:$D$205,2,FALSE)</f>
        <v>DEU</v>
      </c>
      <c r="B526" s="71" t="s">
        <v>1377</v>
      </c>
      <c r="C526" t="s">
        <v>142</v>
      </c>
      <c r="D526" s="71" t="s">
        <v>1384</v>
      </c>
      <c r="E526" t="s">
        <v>502</v>
      </c>
      <c r="F526" s="75">
        <v>2024</v>
      </c>
      <c r="G526" s="75"/>
      <c r="H526" s="66">
        <f>107000*Conversion!$A$2</f>
        <v>9617.16</v>
      </c>
      <c r="I526" t="s">
        <v>731</v>
      </c>
      <c r="J526" t="s">
        <v>472</v>
      </c>
      <c r="K526" t="s">
        <v>1162</v>
      </c>
      <c r="N526" s="71" t="s">
        <v>1385</v>
      </c>
    </row>
    <row r="527" spans="1:14" ht="29" x14ac:dyDescent="0.35">
      <c r="A527" t="str">
        <f>VLOOKUP(C527,Countries!$A$1:$D$205,2,FALSE)</f>
        <v>DEU</v>
      </c>
      <c r="B527" s="71" t="s">
        <v>1386</v>
      </c>
      <c r="C527" t="s">
        <v>142</v>
      </c>
      <c r="D527" s="71" t="s">
        <v>1387</v>
      </c>
      <c r="E527" t="s">
        <v>261</v>
      </c>
      <c r="F527" s="75">
        <v>2006</v>
      </c>
      <c r="G527" s="75"/>
      <c r="H527" s="66">
        <f>680000*Conversion!$A$2</f>
        <v>61118.400000000001</v>
      </c>
      <c r="I527" t="s">
        <v>731</v>
      </c>
      <c r="J527" t="s">
        <v>472</v>
      </c>
      <c r="K527" t="s">
        <v>483</v>
      </c>
      <c r="N527" s="71" t="s">
        <v>1388</v>
      </c>
    </row>
    <row r="528" spans="1:14" ht="29" x14ac:dyDescent="0.35">
      <c r="A528" t="str">
        <f>VLOOKUP(C528,Countries!$A$1:$D$205,2,FALSE)</f>
        <v>DEU</v>
      </c>
      <c r="B528" s="71" t="s">
        <v>1386</v>
      </c>
      <c r="C528" t="s">
        <v>142</v>
      </c>
      <c r="D528" s="71" t="s">
        <v>1387</v>
      </c>
      <c r="E528" t="s">
        <v>613</v>
      </c>
      <c r="F528" s="75"/>
      <c r="G528" s="75"/>
      <c r="H528" s="66">
        <f>991000*Conversion!$A$2</f>
        <v>89071.08</v>
      </c>
      <c r="I528" t="s">
        <v>731</v>
      </c>
      <c r="J528" t="s">
        <v>472</v>
      </c>
      <c r="K528" t="s">
        <v>483</v>
      </c>
      <c r="N528" s="71" t="s">
        <v>1388</v>
      </c>
    </row>
    <row r="529" spans="1:14" ht="43.5" x14ac:dyDescent="0.35">
      <c r="A529" t="str">
        <f>VLOOKUP(C529,Countries!$A$1:$D$205,2,FALSE)</f>
        <v>DEU</v>
      </c>
      <c r="B529" s="71" t="s">
        <v>1315</v>
      </c>
      <c r="C529" t="s">
        <v>142</v>
      </c>
      <c r="D529" s="71" t="s">
        <v>1389</v>
      </c>
      <c r="E529" t="s">
        <v>502</v>
      </c>
      <c r="F529" s="75">
        <v>2030</v>
      </c>
      <c r="G529" s="75"/>
      <c r="H529" s="66">
        <f>1600000*Conversion!$A$2</f>
        <v>143808</v>
      </c>
      <c r="I529" t="s">
        <v>731</v>
      </c>
      <c r="J529" t="s">
        <v>472</v>
      </c>
      <c r="K529" t="s">
        <v>494</v>
      </c>
      <c r="N529" s="71" t="s">
        <v>1390</v>
      </c>
    </row>
    <row r="530" spans="1:14" ht="43.5" x14ac:dyDescent="0.35">
      <c r="A530" t="str">
        <f>VLOOKUP(C530,Countries!$A$1:$D$205,2,FALSE)</f>
        <v>DEU</v>
      </c>
      <c r="B530" s="71" t="s">
        <v>1391</v>
      </c>
      <c r="C530" t="s">
        <v>142</v>
      </c>
      <c r="D530" s="71" t="s">
        <v>1392</v>
      </c>
      <c r="E530" t="s">
        <v>502</v>
      </c>
      <c r="F530" s="75">
        <v>2022</v>
      </c>
      <c r="G530" s="75"/>
      <c r="H530" s="66">
        <f>4000*Conversion!$A$2</f>
        <v>359.52</v>
      </c>
      <c r="I530" t="s">
        <v>731</v>
      </c>
      <c r="J530" t="s">
        <v>472</v>
      </c>
      <c r="K530" t="s">
        <v>503</v>
      </c>
      <c r="N530" s="71" t="s">
        <v>1393</v>
      </c>
    </row>
    <row r="531" spans="1:14" ht="29" x14ac:dyDescent="0.35">
      <c r="A531" t="str">
        <f>VLOOKUP(C531,Countries!$A$1:$D$205,2,FALSE)</f>
        <v>DEU</v>
      </c>
      <c r="B531" s="71" t="s">
        <v>1360</v>
      </c>
      <c r="C531" t="s">
        <v>142</v>
      </c>
      <c r="D531" s="71" t="s">
        <v>1394</v>
      </c>
      <c r="E531" t="s">
        <v>1250</v>
      </c>
      <c r="F531" s="75">
        <v>1981</v>
      </c>
      <c r="G531" s="75"/>
      <c r="H531" s="66">
        <f>14000*Conversion!$A$2</f>
        <v>1258.32</v>
      </c>
      <c r="I531" t="s">
        <v>731</v>
      </c>
      <c r="J531" t="s">
        <v>472</v>
      </c>
      <c r="K531" t="s">
        <v>494</v>
      </c>
      <c r="N531" s="71" t="s">
        <v>1251</v>
      </c>
    </row>
    <row r="532" spans="1:14" ht="29" x14ac:dyDescent="0.35">
      <c r="A532" t="str">
        <f>VLOOKUP(C532,Countries!$A$1:$D$205,2,FALSE)</f>
        <v>DEU</v>
      </c>
      <c r="B532" s="71" t="s">
        <v>1395</v>
      </c>
      <c r="C532" t="s">
        <v>142</v>
      </c>
      <c r="D532" s="71" t="s">
        <v>1396</v>
      </c>
      <c r="E532" t="s">
        <v>613</v>
      </c>
      <c r="F532" s="75">
        <v>1980</v>
      </c>
      <c r="G532" s="75"/>
      <c r="H532" s="66">
        <f>2181000*Conversion!$A$2</f>
        <v>196028.28</v>
      </c>
      <c r="I532" t="s">
        <v>731</v>
      </c>
      <c r="J532" t="s">
        <v>472</v>
      </c>
      <c r="K532" t="s">
        <v>483</v>
      </c>
      <c r="N532" s="71" t="s">
        <v>1251</v>
      </c>
    </row>
    <row r="533" spans="1:14" ht="29" x14ac:dyDescent="0.35">
      <c r="A533" t="str">
        <f>VLOOKUP(C533,Countries!$A$1:$D$205,2,FALSE)</f>
        <v>DEU</v>
      </c>
      <c r="B533" s="71" t="s">
        <v>1395</v>
      </c>
      <c r="C533" t="s">
        <v>142</v>
      </c>
      <c r="D533" s="71" t="s">
        <v>1396</v>
      </c>
      <c r="E533" t="s">
        <v>261</v>
      </c>
      <c r="F533" s="75">
        <v>1980</v>
      </c>
      <c r="G533" s="75"/>
      <c r="H533" s="66">
        <f>1133000*Conversion!$A$2</f>
        <v>101834.04000000001</v>
      </c>
      <c r="I533" t="s">
        <v>731</v>
      </c>
      <c r="J533" t="s">
        <v>472</v>
      </c>
      <c r="K533" t="s">
        <v>483</v>
      </c>
      <c r="N533" s="71" t="s">
        <v>1251</v>
      </c>
    </row>
    <row r="534" spans="1:14" ht="43.5" x14ac:dyDescent="0.35">
      <c r="A534" t="str">
        <f>VLOOKUP(C534,Countries!$A$1:$D$205,2,FALSE)</f>
        <v>DEU</v>
      </c>
      <c r="B534" s="71" t="s">
        <v>1397</v>
      </c>
      <c r="C534" t="s">
        <v>142</v>
      </c>
      <c r="D534" s="71" t="s">
        <v>1398</v>
      </c>
      <c r="E534" t="s">
        <v>502</v>
      </c>
      <c r="F534" s="75">
        <v>2045</v>
      </c>
      <c r="G534" s="75"/>
      <c r="H534" s="66">
        <f>26624000*Conversion!$A$2</f>
        <v>2392965.1200000001</v>
      </c>
      <c r="I534" t="s">
        <v>731</v>
      </c>
      <c r="J534" t="s">
        <v>472</v>
      </c>
      <c r="K534" t="s">
        <v>503</v>
      </c>
      <c r="N534" s="71" t="s">
        <v>1399</v>
      </c>
    </row>
    <row r="535" spans="1:14" ht="29" x14ac:dyDescent="0.35">
      <c r="A535" t="str">
        <f>VLOOKUP(C535,Countries!$A$1:$D$205,2,FALSE)</f>
        <v>DEU</v>
      </c>
      <c r="B535" s="71" t="s">
        <v>1347</v>
      </c>
      <c r="C535" t="s">
        <v>142</v>
      </c>
      <c r="D535" s="71" t="s">
        <v>1400</v>
      </c>
      <c r="E535" t="s">
        <v>613</v>
      </c>
      <c r="F535" s="75">
        <v>1997</v>
      </c>
      <c r="G535" s="75"/>
      <c r="H535" s="66">
        <f>3909000*Conversion!$A$2</f>
        <v>351340.92</v>
      </c>
      <c r="I535" t="s">
        <v>731</v>
      </c>
      <c r="J535" t="s">
        <v>472</v>
      </c>
      <c r="K535" t="s">
        <v>483</v>
      </c>
      <c r="N535" s="71" t="s">
        <v>1251</v>
      </c>
    </row>
    <row r="536" spans="1:14" ht="43.5" x14ac:dyDescent="0.35">
      <c r="A536" t="str">
        <f>VLOOKUP(C536,Countries!$A$1:$D$205,2,FALSE)</f>
        <v>DEU</v>
      </c>
      <c r="B536" s="71" t="s">
        <v>1328</v>
      </c>
      <c r="C536" t="s">
        <v>142</v>
      </c>
      <c r="D536" s="71" t="s">
        <v>1401</v>
      </c>
      <c r="E536" t="s">
        <v>1074</v>
      </c>
      <c r="F536" s="75">
        <v>2027</v>
      </c>
      <c r="G536" s="75"/>
      <c r="H536" s="66">
        <f>2219000*Conversion!$A$2</f>
        <v>199443.72</v>
      </c>
      <c r="I536" t="s">
        <v>731</v>
      </c>
      <c r="J536" t="s">
        <v>472</v>
      </c>
      <c r="K536" t="s">
        <v>1074</v>
      </c>
      <c r="N536" s="71" t="s">
        <v>1402</v>
      </c>
    </row>
    <row r="537" spans="1:14" x14ac:dyDescent="0.35">
      <c r="A537" t="str">
        <f>VLOOKUP(C537,Countries!$A$1:$D$205,2,FALSE)</f>
        <v>DEU</v>
      </c>
      <c r="B537" s="71" t="s">
        <v>1377</v>
      </c>
      <c r="C537" t="s">
        <v>142</v>
      </c>
      <c r="D537" s="71" t="s">
        <v>1403</v>
      </c>
      <c r="E537" t="s">
        <v>502</v>
      </c>
      <c r="F537" s="75">
        <v>2000</v>
      </c>
      <c r="G537" s="75"/>
      <c r="H537" s="66">
        <f>80000*Conversion!$A$2</f>
        <v>7190.4000000000005</v>
      </c>
      <c r="I537" t="s">
        <v>731</v>
      </c>
      <c r="J537" t="s">
        <v>472</v>
      </c>
      <c r="K537" t="s">
        <v>494</v>
      </c>
      <c r="N537" s="71" t="s">
        <v>1404</v>
      </c>
    </row>
    <row r="538" spans="1:14" ht="87" x14ac:dyDescent="0.35">
      <c r="A538" t="str">
        <f>VLOOKUP(C538,Countries!$A$1:$D$205,2,FALSE)</f>
        <v>DEU</v>
      </c>
      <c r="B538" s="71" t="s">
        <v>1405</v>
      </c>
      <c r="C538" t="s">
        <v>142</v>
      </c>
      <c r="D538" s="71" t="s">
        <v>1406</v>
      </c>
      <c r="E538" t="s">
        <v>502</v>
      </c>
      <c r="F538" s="75">
        <v>2032</v>
      </c>
      <c r="G538" s="75"/>
      <c r="H538" s="66">
        <f>320000*Conversion!$A$2</f>
        <v>28761.600000000002</v>
      </c>
      <c r="I538" t="s">
        <v>731</v>
      </c>
      <c r="J538" t="s">
        <v>472</v>
      </c>
      <c r="K538" t="s">
        <v>1162</v>
      </c>
      <c r="N538" s="71" t="s">
        <v>1407</v>
      </c>
    </row>
    <row r="539" spans="1:14" ht="43.5" x14ac:dyDescent="0.35">
      <c r="A539" t="str">
        <f>VLOOKUP(C539,Countries!$A$1:$D$205,2,FALSE)</f>
        <v>DEU</v>
      </c>
      <c r="B539" s="71" t="s">
        <v>1408</v>
      </c>
      <c r="C539" t="s">
        <v>142</v>
      </c>
      <c r="D539" s="71" t="s">
        <v>1409</v>
      </c>
      <c r="E539" t="s">
        <v>502</v>
      </c>
      <c r="F539" s="75">
        <v>2023</v>
      </c>
      <c r="G539" s="75"/>
      <c r="H539" s="66">
        <f>53000*Conversion!$A$2</f>
        <v>4763.6400000000003</v>
      </c>
      <c r="I539" t="s">
        <v>731</v>
      </c>
      <c r="J539" t="s">
        <v>472</v>
      </c>
      <c r="K539" t="s">
        <v>1162</v>
      </c>
      <c r="N539" s="71" t="s">
        <v>1410</v>
      </c>
    </row>
    <row r="540" spans="1:14" x14ac:dyDescent="0.35">
      <c r="A540" t="str">
        <f>VLOOKUP(C540,Countries!$A$1:$D$205,2,FALSE)</f>
        <v>GRC</v>
      </c>
      <c r="B540" s="71" t="s">
        <v>1411</v>
      </c>
      <c r="C540" t="s">
        <v>144</v>
      </c>
      <c r="D540" s="71" t="s">
        <v>1412</v>
      </c>
      <c r="E540" t="s">
        <v>261</v>
      </c>
      <c r="F540" s="75">
        <v>1987</v>
      </c>
      <c r="G540" s="75"/>
      <c r="H540" s="66">
        <f>255000*Conversion!$A$2</f>
        <v>22919.4</v>
      </c>
      <c r="I540" t="s">
        <v>731</v>
      </c>
      <c r="J540" t="s">
        <v>472</v>
      </c>
      <c r="K540" t="s">
        <v>483</v>
      </c>
      <c r="N540" s="76"/>
    </row>
    <row r="541" spans="1:14" x14ac:dyDescent="0.35">
      <c r="A541" t="str">
        <f>VLOOKUP(C541,Countries!$A$1:$D$205,2,FALSE)</f>
        <v>GRC</v>
      </c>
      <c r="B541" s="71" t="s">
        <v>1413</v>
      </c>
      <c r="C541" t="s">
        <v>144</v>
      </c>
      <c r="D541" s="71" t="s">
        <v>1412</v>
      </c>
      <c r="E541" t="s">
        <v>1250</v>
      </c>
      <c r="F541" s="75">
        <v>2012</v>
      </c>
      <c r="G541" s="75"/>
      <c r="H541" s="66">
        <f>2719000*Conversion!$A$2</f>
        <v>244383.72</v>
      </c>
      <c r="I541" t="s">
        <v>731</v>
      </c>
      <c r="J541" t="s">
        <v>472</v>
      </c>
      <c r="K541" t="s">
        <v>483</v>
      </c>
      <c r="N541" s="71" t="s">
        <v>1251</v>
      </c>
    </row>
    <row r="542" spans="1:14" x14ac:dyDescent="0.35">
      <c r="A542" t="str">
        <f>VLOOKUP(C542,Countries!$A$1:$D$205,2,FALSE)</f>
        <v>GRC</v>
      </c>
      <c r="B542" s="71" t="s">
        <v>1413</v>
      </c>
      <c r="C542" t="s">
        <v>144</v>
      </c>
      <c r="D542" s="71" t="s">
        <v>1412</v>
      </c>
      <c r="E542" t="s">
        <v>261</v>
      </c>
      <c r="H542" s="66">
        <f>113000*Conversion!$A$2</f>
        <v>10156.44</v>
      </c>
      <c r="I542" t="s">
        <v>731</v>
      </c>
      <c r="J542" t="s">
        <v>472</v>
      </c>
      <c r="K542" t="s">
        <v>483</v>
      </c>
      <c r="N542" s="71" t="s">
        <v>1251</v>
      </c>
    </row>
    <row r="543" spans="1:14" x14ac:dyDescent="0.35">
      <c r="A543" t="str">
        <f>VLOOKUP(C543,Countries!$A$1:$D$205,2,FALSE)</f>
        <v>GRC</v>
      </c>
      <c r="B543" s="71" t="s">
        <v>1414</v>
      </c>
      <c r="C543" t="s">
        <v>144</v>
      </c>
      <c r="D543" s="71" t="s">
        <v>1412</v>
      </c>
      <c r="E543" t="s">
        <v>261</v>
      </c>
      <c r="H543" s="66">
        <f>170000*Conversion!$A$2</f>
        <v>15279.6</v>
      </c>
      <c r="I543" t="s">
        <v>731</v>
      </c>
      <c r="J543" t="s">
        <v>472</v>
      </c>
      <c r="K543" t="s">
        <v>483</v>
      </c>
      <c r="N543" s="71" t="s">
        <v>1251</v>
      </c>
    </row>
    <row r="544" spans="1:14" ht="29" x14ac:dyDescent="0.35">
      <c r="A544" t="str">
        <f>VLOOKUP(C544,Countries!$A$1:$D$205,2,FALSE)</f>
        <v>GRC</v>
      </c>
      <c r="B544" s="71" t="s">
        <v>1415</v>
      </c>
      <c r="C544" t="s">
        <v>144</v>
      </c>
      <c r="D544" s="71" t="s">
        <v>1416</v>
      </c>
      <c r="E544" t="s">
        <v>261</v>
      </c>
      <c r="F544" s="75">
        <v>2005</v>
      </c>
      <c r="G544" s="75"/>
      <c r="H544" s="66">
        <f>142000*Conversion!$A$2</f>
        <v>12762.960000000001</v>
      </c>
      <c r="I544" t="s">
        <v>731</v>
      </c>
      <c r="J544" t="s">
        <v>472</v>
      </c>
      <c r="K544" t="s">
        <v>483</v>
      </c>
      <c r="N544" s="71" t="s">
        <v>1251</v>
      </c>
    </row>
    <row r="545" spans="1:14" ht="87" x14ac:dyDescent="0.35">
      <c r="A545" t="str">
        <f>VLOOKUP(C545,Countries!$A$1:$D$205,2,FALSE)</f>
        <v>GRC</v>
      </c>
      <c r="B545" s="71" t="s">
        <v>1417</v>
      </c>
      <c r="C545" t="s">
        <v>144</v>
      </c>
      <c r="D545" s="71" t="s">
        <v>1418</v>
      </c>
      <c r="E545" t="s">
        <v>502</v>
      </c>
      <c r="F545" s="75">
        <v>2029</v>
      </c>
      <c r="G545" s="75"/>
      <c r="H545" s="66">
        <f>1333000*Conversion!$A$2</f>
        <v>119810.04000000001</v>
      </c>
      <c r="I545" t="s">
        <v>731</v>
      </c>
      <c r="J545" t="s">
        <v>472</v>
      </c>
      <c r="K545" t="s">
        <v>549</v>
      </c>
      <c r="N545" s="71" t="s">
        <v>1419</v>
      </c>
    </row>
    <row r="546" spans="1:14" ht="72.5" x14ac:dyDescent="0.35">
      <c r="A546" t="str">
        <f>VLOOKUP(C546,Countries!$A$1:$D$205,2,FALSE)</f>
        <v>ISL</v>
      </c>
      <c r="B546" s="71" t="s">
        <v>1420</v>
      </c>
      <c r="C546" t="s">
        <v>381</v>
      </c>
      <c r="D546" s="71" t="s">
        <v>1421</v>
      </c>
      <c r="E546" t="s">
        <v>502</v>
      </c>
      <c r="F546" s="75">
        <v>2011</v>
      </c>
      <c r="G546" s="75"/>
      <c r="H546" s="66">
        <f>32000*Conversion!$A$2</f>
        <v>2876.16</v>
      </c>
      <c r="I546" t="s">
        <v>731</v>
      </c>
      <c r="J546" t="s">
        <v>472</v>
      </c>
      <c r="K546" t="s">
        <v>1162</v>
      </c>
      <c r="N546" s="71" t="s">
        <v>1422</v>
      </c>
    </row>
    <row r="547" spans="1:14" ht="58" x14ac:dyDescent="0.35">
      <c r="A547" t="str">
        <f>VLOOKUP(C547,Countries!$A$1:$D$205,2,FALSE)</f>
        <v>ISL</v>
      </c>
      <c r="B547" s="71" t="s">
        <v>1423</v>
      </c>
      <c r="C547" t="s">
        <v>381</v>
      </c>
      <c r="D547" s="71" t="s">
        <v>1424</v>
      </c>
      <c r="E547" t="s">
        <v>502</v>
      </c>
      <c r="F547" s="75">
        <v>2031</v>
      </c>
      <c r="G547" s="75"/>
      <c r="H547" s="66">
        <f>320000*Conversion!$A$2</f>
        <v>28761.600000000002</v>
      </c>
      <c r="I547" t="s">
        <v>731</v>
      </c>
      <c r="J547" t="s">
        <v>472</v>
      </c>
      <c r="K547" t="s">
        <v>1162</v>
      </c>
      <c r="N547" s="71" t="s">
        <v>1425</v>
      </c>
    </row>
    <row r="548" spans="1:14" ht="29" x14ac:dyDescent="0.35">
      <c r="A548" t="str">
        <f>VLOOKUP(C548,Countries!$A$1:$D$205,2,FALSE)</f>
        <v>IRL</v>
      </c>
      <c r="B548" s="71" t="s">
        <v>1426</v>
      </c>
      <c r="C548" t="s">
        <v>162</v>
      </c>
      <c r="D548" s="71" t="s">
        <v>1427</v>
      </c>
      <c r="E548" t="s">
        <v>502</v>
      </c>
      <c r="F548" s="75">
        <v>2005</v>
      </c>
      <c r="G548" s="75"/>
      <c r="H548" s="66">
        <f>283000*Conversion!$A$2</f>
        <v>25436.04</v>
      </c>
      <c r="I548" t="s">
        <v>731</v>
      </c>
      <c r="J548" t="s">
        <v>472</v>
      </c>
      <c r="K548" t="s">
        <v>483</v>
      </c>
      <c r="N548" s="71" t="s">
        <v>1428</v>
      </c>
    </row>
    <row r="549" spans="1:14" ht="43.5" x14ac:dyDescent="0.35">
      <c r="A549" t="str">
        <f>VLOOKUP(C549,Countries!$A$1:$D$205,2,FALSE)</f>
        <v>IRL</v>
      </c>
      <c r="B549" s="71" t="s">
        <v>1429</v>
      </c>
      <c r="C549" t="s">
        <v>162</v>
      </c>
      <c r="D549" s="71" t="s">
        <v>1430</v>
      </c>
      <c r="E549" t="s">
        <v>502</v>
      </c>
      <c r="F549" s="75">
        <v>2028</v>
      </c>
      <c r="G549" s="75"/>
      <c r="H549" s="66">
        <f>2706000*Conversion!$A$2</f>
        <v>243215.28</v>
      </c>
      <c r="I549" t="s">
        <v>731</v>
      </c>
      <c r="J549" t="s">
        <v>472</v>
      </c>
      <c r="K549" t="s">
        <v>1074</v>
      </c>
      <c r="N549" s="71" t="s">
        <v>1431</v>
      </c>
    </row>
    <row r="550" spans="1:14" ht="29" x14ac:dyDescent="0.35">
      <c r="A550" t="str">
        <f>VLOOKUP(C550,Countries!$A$1:$D$205,2,FALSE)</f>
        <v>ITA</v>
      </c>
      <c r="B550" s="71" t="s">
        <v>1432</v>
      </c>
      <c r="C550" t="s">
        <v>164</v>
      </c>
      <c r="D550" s="71" t="s">
        <v>1433</v>
      </c>
      <c r="E550" t="s">
        <v>502</v>
      </c>
      <c r="F550" s="75">
        <v>2024</v>
      </c>
      <c r="G550" s="75"/>
      <c r="H550" s="66">
        <f>720000*Conversion!$A$2</f>
        <v>64713.599999999999</v>
      </c>
      <c r="I550" t="s">
        <v>731</v>
      </c>
      <c r="J550" t="s">
        <v>472</v>
      </c>
      <c r="K550" t="s">
        <v>1162</v>
      </c>
      <c r="N550" s="71" t="s">
        <v>1434</v>
      </c>
    </row>
    <row r="551" spans="1:14" ht="43.5" x14ac:dyDescent="0.35">
      <c r="A551" t="str">
        <f>VLOOKUP(C551,Countries!$A$1:$D$205,2,FALSE)</f>
        <v>ITA</v>
      </c>
      <c r="B551" s="71" t="s">
        <v>1435</v>
      </c>
      <c r="C551" t="s">
        <v>164</v>
      </c>
      <c r="D551" s="71" t="s">
        <v>1436</v>
      </c>
      <c r="E551" t="s">
        <v>261</v>
      </c>
      <c r="F551" s="75">
        <v>1985</v>
      </c>
      <c r="G551" s="75"/>
      <c r="H551" s="66">
        <f>227000*Conversion!$A$2</f>
        <v>20402.760000000002</v>
      </c>
      <c r="I551" t="s">
        <v>731</v>
      </c>
      <c r="J551" t="s">
        <v>472</v>
      </c>
      <c r="K551" t="s">
        <v>483</v>
      </c>
      <c r="N551" s="71" t="s">
        <v>1251</v>
      </c>
    </row>
    <row r="552" spans="1:14" ht="29" x14ac:dyDescent="0.35">
      <c r="A552" t="str">
        <f>VLOOKUP(C552,Countries!$A$1:$D$205,2,FALSE)</f>
        <v>ITA</v>
      </c>
      <c r="B552" s="71" t="s">
        <v>1437</v>
      </c>
      <c r="C552" t="s">
        <v>164</v>
      </c>
      <c r="D552" s="71" t="s">
        <v>1438</v>
      </c>
      <c r="E552" t="s">
        <v>261</v>
      </c>
      <c r="F552" s="75">
        <v>2019</v>
      </c>
      <c r="G552" s="75"/>
      <c r="H552" s="66">
        <f>1094000*Conversion!$A$2</f>
        <v>98328.72</v>
      </c>
      <c r="I552" t="s">
        <v>731</v>
      </c>
      <c r="J552" t="s">
        <v>472</v>
      </c>
      <c r="K552" t="s">
        <v>732</v>
      </c>
      <c r="N552" s="71" t="s">
        <v>1439</v>
      </c>
    </row>
    <row r="553" spans="1:14" ht="29" x14ac:dyDescent="0.35">
      <c r="A553" t="str">
        <f>VLOOKUP(C553,Countries!$A$1:$D$205,2,FALSE)</f>
        <v>ITA</v>
      </c>
      <c r="B553" s="71" t="s">
        <v>1440</v>
      </c>
      <c r="C553" t="s">
        <v>164</v>
      </c>
      <c r="D553" s="71" t="s">
        <v>1441</v>
      </c>
      <c r="E553" t="s">
        <v>261</v>
      </c>
      <c r="F553" s="75">
        <v>1993</v>
      </c>
      <c r="G553" s="75"/>
      <c r="H553" s="66">
        <f>708000*Conversion!$A$2</f>
        <v>63635.040000000001</v>
      </c>
      <c r="I553" t="s">
        <v>731</v>
      </c>
      <c r="J553" t="s">
        <v>472</v>
      </c>
      <c r="K553" t="s">
        <v>483</v>
      </c>
      <c r="N553" s="71" t="s">
        <v>1251</v>
      </c>
    </row>
    <row r="554" spans="1:14" ht="29" x14ac:dyDescent="0.35">
      <c r="A554" t="str">
        <f>VLOOKUP(C554,Countries!$A$1:$D$205,2,FALSE)</f>
        <v>ITA</v>
      </c>
      <c r="B554" s="71" t="s">
        <v>1442</v>
      </c>
      <c r="C554" t="s">
        <v>164</v>
      </c>
      <c r="D554" s="71" t="s">
        <v>1443</v>
      </c>
      <c r="E554" t="s">
        <v>1250</v>
      </c>
      <c r="F554" s="75">
        <v>1993</v>
      </c>
      <c r="G554" s="75"/>
      <c r="H554" s="66">
        <f>1105000*Conversion!$A$2</f>
        <v>99317.400000000009</v>
      </c>
      <c r="I554" t="s">
        <v>731</v>
      </c>
      <c r="J554" t="s">
        <v>472</v>
      </c>
      <c r="K554" t="s">
        <v>483</v>
      </c>
      <c r="N554" s="71" t="s">
        <v>1251</v>
      </c>
    </row>
    <row r="555" spans="1:14" ht="29" x14ac:dyDescent="0.35">
      <c r="A555" t="str">
        <f>VLOOKUP(C555,Countries!$A$1:$D$205,2,FALSE)</f>
        <v>ITA</v>
      </c>
      <c r="B555" s="71" t="s">
        <v>1442</v>
      </c>
      <c r="C555" t="s">
        <v>164</v>
      </c>
      <c r="D555" s="71" t="s">
        <v>1443</v>
      </c>
      <c r="E555" t="s">
        <v>1250</v>
      </c>
      <c r="F555" s="75">
        <v>2010</v>
      </c>
      <c r="G555" s="75"/>
      <c r="H555" s="66">
        <f>1699000*Conversion!$A$2</f>
        <v>152706.12</v>
      </c>
      <c r="I555" t="s">
        <v>731</v>
      </c>
      <c r="J555" t="s">
        <v>472</v>
      </c>
      <c r="K555" t="s">
        <v>483</v>
      </c>
      <c r="N555" s="71" t="s">
        <v>1251</v>
      </c>
    </row>
    <row r="556" spans="1:14" ht="29" x14ac:dyDescent="0.35">
      <c r="A556" t="str">
        <f>VLOOKUP(C556,Countries!$A$1:$D$205,2,FALSE)</f>
        <v>ITA</v>
      </c>
      <c r="B556" s="71" t="s">
        <v>1444</v>
      </c>
      <c r="C556" t="s">
        <v>164</v>
      </c>
      <c r="D556" s="71" t="s">
        <v>1445</v>
      </c>
      <c r="E556" t="s">
        <v>261</v>
      </c>
      <c r="F556" s="75">
        <v>2014</v>
      </c>
      <c r="G556" s="75"/>
      <c r="H556" s="66">
        <f>547000*Conversion!$A$2</f>
        <v>49164.36</v>
      </c>
      <c r="I556" t="s">
        <v>731</v>
      </c>
      <c r="J556" t="s">
        <v>472</v>
      </c>
      <c r="K556" t="s">
        <v>732</v>
      </c>
      <c r="N556" s="71" t="s">
        <v>1446</v>
      </c>
    </row>
    <row r="557" spans="1:14" x14ac:dyDescent="0.35">
      <c r="A557" t="str">
        <f>VLOOKUP(C557,Countries!$A$1:$D$205,2,FALSE)</f>
        <v>ITA</v>
      </c>
      <c r="B557" s="71" t="s">
        <v>1447</v>
      </c>
      <c r="C557" t="s">
        <v>164</v>
      </c>
      <c r="D557" s="71" t="s">
        <v>1448</v>
      </c>
      <c r="E557" t="s">
        <v>1250</v>
      </c>
      <c r="H557" s="66">
        <f>450000*Conversion!$A$2</f>
        <v>40446</v>
      </c>
      <c r="I557" t="s">
        <v>731</v>
      </c>
      <c r="J557" t="s">
        <v>472</v>
      </c>
      <c r="K557" t="s">
        <v>483</v>
      </c>
      <c r="N557" s="71" t="s">
        <v>1251</v>
      </c>
    </row>
    <row r="558" spans="1:14" x14ac:dyDescent="0.35">
      <c r="A558" t="str">
        <f>VLOOKUP(C558,Countries!$A$1:$D$205,2,FALSE)</f>
        <v>ITA</v>
      </c>
      <c r="B558" s="71" t="s">
        <v>1449</v>
      </c>
      <c r="C558" t="s">
        <v>164</v>
      </c>
      <c r="D558" s="71" t="s">
        <v>1450</v>
      </c>
      <c r="E558" t="s">
        <v>261</v>
      </c>
      <c r="H558" s="66">
        <f>198000*Conversion!$A$2</f>
        <v>17796.240000000002</v>
      </c>
      <c r="I558" t="s">
        <v>731</v>
      </c>
      <c r="J558" t="s">
        <v>472</v>
      </c>
      <c r="K558" t="s">
        <v>483</v>
      </c>
      <c r="N558" s="71" t="s">
        <v>1251</v>
      </c>
    </row>
    <row r="559" spans="1:14" ht="29" x14ac:dyDescent="0.35">
      <c r="A559" t="str">
        <f>VLOOKUP(C559,Countries!$A$1:$D$205,2,FALSE)</f>
        <v>ITA</v>
      </c>
      <c r="B559" s="71" t="s">
        <v>1451</v>
      </c>
      <c r="C559" t="s">
        <v>164</v>
      </c>
      <c r="D559" s="71" t="s">
        <v>1452</v>
      </c>
      <c r="E559" t="s">
        <v>1250</v>
      </c>
      <c r="F559" s="75">
        <v>2007</v>
      </c>
      <c r="G559" s="75"/>
      <c r="H559" s="66">
        <f>482000*Conversion!$A$2</f>
        <v>43322.16</v>
      </c>
      <c r="I559" t="s">
        <v>731</v>
      </c>
      <c r="J559" t="s">
        <v>472</v>
      </c>
      <c r="K559" t="s">
        <v>483</v>
      </c>
      <c r="N559" s="71" t="s">
        <v>1453</v>
      </c>
    </row>
    <row r="560" spans="1:14" ht="29" x14ac:dyDescent="0.35">
      <c r="A560" t="str">
        <f>VLOOKUP(C560,Countries!$A$1:$D$205,2,FALSE)</f>
        <v>ITA</v>
      </c>
      <c r="B560" s="71" t="s">
        <v>1451</v>
      </c>
      <c r="C560" t="s">
        <v>164</v>
      </c>
      <c r="D560" s="71" t="s">
        <v>1452</v>
      </c>
      <c r="E560" t="s">
        <v>261</v>
      </c>
      <c r="F560" s="75">
        <v>2010</v>
      </c>
      <c r="G560" s="75"/>
      <c r="H560" s="66">
        <f>482000*Conversion!$A$2</f>
        <v>43322.16</v>
      </c>
      <c r="I560" t="s">
        <v>731</v>
      </c>
      <c r="J560" t="s">
        <v>472</v>
      </c>
      <c r="K560" t="s">
        <v>483</v>
      </c>
      <c r="N560" s="71" t="s">
        <v>1453</v>
      </c>
    </row>
    <row r="561" spans="1:14" x14ac:dyDescent="0.35">
      <c r="A561" t="str">
        <f>VLOOKUP(C561,Countries!$A$1:$D$205,2,FALSE)</f>
        <v>ITA</v>
      </c>
      <c r="B561" s="71" t="s">
        <v>1454</v>
      </c>
      <c r="C561" t="s">
        <v>164</v>
      </c>
      <c r="D561" s="71" t="s">
        <v>1455</v>
      </c>
      <c r="E561" t="s">
        <v>261</v>
      </c>
      <c r="F561" s="75">
        <v>1991</v>
      </c>
      <c r="G561" s="75"/>
      <c r="H561" s="66">
        <f>88000*Conversion!$A$2</f>
        <v>7909.4400000000005</v>
      </c>
      <c r="I561" t="s">
        <v>731</v>
      </c>
      <c r="J561" t="s">
        <v>472</v>
      </c>
      <c r="K561" t="s">
        <v>494</v>
      </c>
      <c r="N561" s="71" t="s">
        <v>1456</v>
      </c>
    </row>
    <row r="562" spans="1:14" ht="29" x14ac:dyDescent="0.35">
      <c r="A562" t="str">
        <f>VLOOKUP(C562,Countries!$A$1:$D$205,2,FALSE)</f>
        <v>ITA</v>
      </c>
      <c r="B562" s="71" t="s">
        <v>1457</v>
      </c>
      <c r="C562" t="s">
        <v>164</v>
      </c>
      <c r="D562" s="71" t="s">
        <v>1458</v>
      </c>
      <c r="E562" t="s">
        <v>261</v>
      </c>
      <c r="F562" s="75">
        <v>2002</v>
      </c>
      <c r="G562" s="75"/>
      <c r="H562" s="66">
        <f>28000*Conversion!$A$2</f>
        <v>2516.64</v>
      </c>
      <c r="I562" t="s">
        <v>731</v>
      </c>
      <c r="J562" t="s">
        <v>472</v>
      </c>
      <c r="K562" t="s">
        <v>483</v>
      </c>
      <c r="N562" s="71" t="s">
        <v>1459</v>
      </c>
    </row>
    <row r="563" spans="1:14" ht="29" x14ac:dyDescent="0.35">
      <c r="A563" t="str">
        <f>VLOOKUP(C563,Countries!$A$1:$D$205,2,FALSE)</f>
        <v>ITA</v>
      </c>
      <c r="B563" s="71" t="s">
        <v>1457</v>
      </c>
      <c r="C563" t="s">
        <v>164</v>
      </c>
      <c r="D563" s="71" t="s">
        <v>1458</v>
      </c>
      <c r="E563" t="s">
        <v>261</v>
      </c>
      <c r="F563" s="75">
        <v>2002</v>
      </c>
      <c r="G563" s="75"/>
      <c r="H563" s="66">
        <f>963000*Conversion!$A$2</f>
        <v>86554.44</v>
      </c>
      <c r="I563" t="s">
        <v>731</v>
      </c>
      <c r="J563" t="s">
        <v>472</v>
      </c>
      <c r="K563" t="s">
        <v>483</v>
      </c>
      <c r="N563" s="71" t="s">
        <v>1459</v>
      </c>
    </row>
    <row r="564" spans="1:14" x14ac:dyDescent="0.35">
      <c r="A564" t="str">
        <f>VLOOKUP(C564,Countries!$A$1:$D$205,2,FALSE)</f>
        <v>ITA</v>
      </c>
      <c r="B564" s="71" t="s">
        <v>1460</v>
      </c>
      <c r="C564" t="s">
        <v>164</v>
      </c>
      <c r="D564" s="71" t="s">
        <v>1461</v>
      </c>
      <c r="E564" t="s">
        <v>261</v>
      </c>
      <c r="F564" s="75">
        <v>2002</v>
      </c>
      <c r="G564" s="75"/>
      <c r="H564" s="66">
        <f>736000*Conversion!$A$2</f>
        <v>66151.680000000008</v>
      </c>
      <c r="I564" t="s">
        <v>731</v>
      </c>
      <c r="J564" t="s">
        <v>472</v>
      </c>
      <c r="K564" t="s">
        <v>483</v>
      </c>
      <c r="N564" s="71" t="s">
        <v>1462</v>
      </c>
    </row>
    <row r="565" spans="1:14" x14ac:dyDescent="0.35">
      <c r="A565" t="str">
        <f>VLOOKUP(C565,Countries!$A$1:$D$205,2,FALSE)</f>
        <v>ITA</v>
      </c>
      <c r="B565" s="71" t="s">
        <v>1460</v>
      </c>
      <c r="C565" t="s">
        <v>164</v>
      </c>
      <c r="D565" s="71" t="s">
        <v>1461</v>
      </c>
      <c r="E565" t="s">
        <v>261</v>
      </c>
      <c r="F565" s="75">
        <v>2021</v>
      </c>
      <c r="G565" s="75"/>
      <c r="H565" s="66">
        <f>152000*Conversion!$A$2</f>
        <v>13661.76</v>
      </c>
      <c r="I565" t="s">
        <v>731</v>
      </c>
      <c r="J565" t="s">
        <v>472</v>
      </c>
      <c r="K565" t="s">
        <v>732</v>
      </c>
      <c r="N565" s="71" t="s">
        <v>1463</v>
      </c>
    </row>
    <row r="566" spans="1:14" x14ac:dyDescent="0.35">
      <c r="A566" t="str">
        <f>VLOOKUP(C566,Countries!$A$1:$D$205,2,FALSE)</f>
        <v>ITA</v>
      </c>
      <c r="B566" s="71" t="s">
        <v>1460</v>
      </c>
      <c r="C566" t="s">
        <v>164</v>
      </c>
      <c r="D566" s="71" t="s">
        <v>1461</v>
      </c>
      <c r="E566" t="s">
        <v>613</v>
      </c>
      <c r="F566" s="75">
        <v>2006</v>
      </c>
      <c r="G566" s="75"/>
      <c r="H566" s="66">
        <f>1020000*Conversion!$A$2</f>
        <v>91677.6</v>
      </c>
      <c r="I566" t="s">
        <v>731</v>
      </c>
      <c r="J566" t="s">
        <v>472</v>
      </c>
      <c r="K566" t="s">
        <v>483</v>
      </c>
      <c r="N566" s="71" t="s">
        <v>1251</v>
      </c>
    </row>
    <row r="567" spans="1:14" ht="29" x14ac:dyDescent="0.35">
      <c r="A567" t="str">
        <f>VLOOKUP(C567,Countries!$A$1:$D$205,2,FALSE)</f>
        <v>ITA</v>
      </c>
      <c r="B567" s="71" t="s">
        <v>1464</v>
      </c>
      <c r="C567" t="s">
        <v>164</v>
      </c>
      <c r="D567" s="71" t="s">
        <v>1465</v>
      </c>
      <c r="E567" t="s">
        <v>502</v>
      </c>
      <c r="F567" s="75">
        <v>2026</v>
      </c>
      <c r="G567" s="75"/>
      <c r="H567" s="66">
        <f>107000*Conversion!$A$2</f>
        <v>9617.16</v>
      </c>
      <c r="I567" t="s">
        <v>731</v>
      </c>
      <c r="J567" t="s">
        <v>472</v>
      </c>
      <c r="K567" t="s">
        <v>483</v>
      </c>
      <c r="N567" s="71" t="s">
        <v>1466</v>
      </c>
    </row>
    <row r="568" spans="1:14" ht="58" x14ac:dyDescent="0.35">
      <c r="A568" t="str">
        <f>VLOOKUP(C568,Countries!$A$1:$D$205,2,FALSE)</f>
        <v>ITA</v>
      </c>
      <c r="B568" s="71" t="s">
        <v>1467</v>
      </c>
      <c r="C568" t="s">
        <v>164</v>
      </c>
      <c r="D568" s="71" t="s">
        <v>1468</v>
      </c>
      <c r="E568" t="s">
        <v>261</v>
      </c>
      <c r="F568" s="75">
        <v>2005</v>
      </c>
      <c r="G568" s="75"/>
      <c r="H568" s="66">
        <f>368000*Conversion!$A$2</f>
        <v>33075.840000000004</v>
      </c>
      <c r="I568" t="s">
        <v>731</v>
      </c>
      <c r="J568" t="s">
        <v>472</v>
      </c>
      <c r="K568" t="s">
        <v>483</v>
      </c>
      <c r="N568" s="71" t="s">
        <v>1469</v>
      </c>
    </row>
    <row r="569" spans="1:14" x14ac:dyDescent="0.35">
      <c r="A569" t="str">
        <f>VLOOKUP(C569,Countries!$A$1:$D$205,2,FALSE)</f>
        <v>ITA</v>
      </c>
      <c r="B569" s="71" t="s">
        <v>1470</v>
      </c>
      <c r="C569" t="s">
        <v>164</v>
      </c>
      <c r="D569" s="71" t="s">
        <v>1471</v>
      </c>
      <c r="E569" t="s">
        <v>261</v>
      </c>
      <c r="F569" s="75">
        <v>1973</v>
      </c>
      <c r="G569" s="75"/>
      <c r="H569" s="66">
        <f>3000*Conversion!$A$2</f>
        <v>269.64</v>
      </c>
      <c r="I569" t="s">
        <v>731</v>
      </c>
      <c r="J569" t="s">
        <v>472</v>
      </c>
      <c r="K569" t="s">
        <v>1472</v>
      </c>
      <c r="N569" s="71" t="s">
        <v>1251</v>
      </c>
    </row>
    <row r="570" spans="1:14" ht="43.5" x14ac:dyDescent="0.35">
      <c r="A570" t="str">
        <f>VLOOKUP(C570,Countries!$A$1:$D$205,2,FALSE)</f>
        <v>ITA</v>
      </c>
      <c r="B570" s="71" t="s">
        <v>1437</v>
      </c>
      <c r="C570" t="s">
        <v>164</v>
      </c>
      <c r="D570" s="71" t="s">
        <v>1473</v>
      </c>
      <c r="E570" t="s">
        <v>502</v>
      </c>
      <c r="F570" s="75">
        <v>2026</v>
      </c>
      <c r="G570" s="75"/>
      <c r="H570" s="66">
        <f>107000*Conversion!$A$2</f>
        <v>9617.16</v>
      </c>
      <c r="I570" t="s">
        <v>731</v>
      </c>
      <c r="J570" t="s">
        <v>472</v>
      </c>
      <c r="K570" t="s">
        <v>732</v>
      </c>
      <c r="N570" s="71" t="s">
        <v>1474</v>
      </c>
    </row>
    <row r="571" spans="1:14" ht="43.5" x14ac:dyDescent="0.35">
      <c r="A571" t="str">
        <f>VLOOKUP(C571,Countries!$A$1:$D$205,2,FALSE)</f>
        <v>ITA</v>
      </c>
      <c r="B571" s="71" t="s">
        <v>1442</v>
      </c>
      <c r="C571" t="s">
        <v>164</v>
      </c>
      <c r="D571" s="71" t="s">
        <v>1473</v>
      </c>
      <c r="E571" t="s">
        <v>502</v>
      </c>
      <c r="F571" s="75">
        <v>2026</v>
      </c>
      <c r="G571" s="75"/>
      <c r="H571" s="66">
        <f>53000*Conversion!$A$2</f>
        <v>4763.6400000000003</v>
      </c>
      <c r="I571" t="s">
        <v>731</v>
      </c>
      <c r="J571" t="s">
        <v>472</v>
      </c>
      <c r="K571" t="s">
        <v>483</v>
      </c>
      <c r="N571" s="71" t="s">
        <v>1475</v>
      </c>
    </row>
    <row r="572" spans="1:14" ht="29" x14ac:dyDescent="0.35">
      <c r="A572" t="str">
        <f>VLOOKUP(C572,Countries!$A$1:$D$205,2,FALSE)</f>
        <v>NLD</v>
      </c>
      <c r="B572" s="71" t="s">
        <v>1476</v>
      </c>
      <c r="C572" t="s">
        <v>226</v>
      </c>
      <c r="D572" s="71" t="s">
        <v>1477</v>
      </c>
      <c r="E572" t="s">
        <v>261</v>
      </c>
      <c r="F572" s="75">
        <v>2002</v>
      </c>
      <c r="G572" s="75"/>
      <c r="H572" s="66">
        <f>566000*Conversion!$A$2</f>
        <v>50872.08</v>
      </c>
      <c r="I572" t="s">
        <v>731</v>
      </c>
      <c r="J572" t="s">
        <v>472</v>
      </c>
      <c r="K572" t="s">
        <v>483</v>
      </c>
      <c r="N572" s="71"/>
    </row>
    <row r="573" spans="1:14" ht="72.5" x14ac:dyDescent="0.35">
      <c r="A573" t="str">
        <f>VLOOKUP(C573,Countries!$A$1:$D$205,2,FALSE)</f>
        <v>NLD</v>
      </c>
      <c r="B573" s="71" t="s">
        <v>1478</v>
      </c>
      <c r="C573" t="s">
        <v>226</v>
      </c>
      <c r="D573" s="71" t="s">
        <v>1479</v>
      </c>
      <c r="E573" t="s">
        <v>502</v>
      </c>
      <c r="F573" s="75">
        <v>2026</v>
      </c>
      <c r="G573" s="75"/>
      <c r="H573" s="66">
        <f>107000*Conversion!$A$2</f>
        <v>9617.16</v>
      </c>
      <c r="I573" t="s">
        <v>731</v>
      </c>
      <c r="J573" t="s">
        <v>472</v>
      </c>
      <c r="K573" t="s">
        <v>1162</v>
      </c>
      <c r="N573" s="71" t="s">
        <v>1480</v>
      </c>
    </row>
    <row r="574" spans="1:14" ht="29" x14ac:dyDescent="0.35">
      <c r="A574" t="str">
        <f>VLOOKUP(C574,Countries!$A$1:$D$205,2,FALSE)</f>
        <v>NLD</v>
      </c>
      <c r="B574" s="71" t="s">
        <v>1481</v>
      </c>
      <c r="C574" t="s">
        <v>226</v>
      </c>
      <c r="D574" s="71" t="s">
        <v>1482</v>
      </c>
      <c r="E574" t="s">
        <v>1250</v>
      </c>
      <c r="F574" s="75">
        <v>2008</v>
      </c>
      <c r="G574" s="75"/>
      <c r="H574" s="66">
        <f>94000*Conversion!$A$2</f>
        <v>8448.7199999999993</v>
      </c>
      <c r="I574" t="s">
        <v>731</v>
      </c>
      <c r="J574" t="s">
        <v>472</v>
      </c>
      <c r="K574" t="s">
        <v>1483</v>
      </c>
      <c r="N574" s="71" t="s">
        <v>1484</v>
      </c>
    </row>
    <row r="575" spans="1:14" ht="29" x14ac:dyDescent="0.35">
      <c r="A575" t="str">
        <f>VLOOKUP(C575,Countries!$A$1:$D$205,2,FALSE)</f>
        <v>NLD</v>
      </c>
      <c r="B575" s="71" t="s">
        <v>1476</v>
      </c>
      <c r="C575" t="s">
        <v>226</v>
      </c>
      <c r="D575" s="71" t="s">
        <v>1485</v>
      </c>
      <c r="E575" t="s">
        <v>1486</v>
      </c>
      <c r="F575" s="75">
        <v>2007</v>
      </c>
      <c r="G575" s="75"/>
      <c r="H575" s="66">
        <f>1586000*Conversion!$A$2</f>
        <v>142549.68</v>
      </c>
      <c r="I575" t="s">
        <v>731</v>
      </c>
      <c r="J575" t="s">
        <v>472</v>
      </c>
      <c r="K575" t="s">
        <v>483</v>
      </c>
      <c r="N575" s="71" t="s">
        <v>1210</v>
      </c>
    </row>
    <row r="576" spans="1:14" ht="29" x14ac:dyDescent="0.35">
      <c r="A576" t="str">
        <f>VLOOKUP(C576,Countries!$A$1:$D$205,2,FALSE)</f>
        <v>NLD</v>
      </c>
      <c r="B576" s="71" t="s">
        <v>1476</v>
      </c>
      <c r="C576" t="s">
        <v>226</v>
      </c>
      <c r="D576" s="71" t="s">
        <v>1485</v>
      </c>
      <c r="E576" t="s">
        <v>261</v>
      </c>
      <c r="H576" s="66">
        <f>708000*Conversion!$A$2</f>
        <v>63635.040000000001</v>
      </c>
      <c r="I576" t="s">
        <v>731</v>
      </c>
      <c r="J576" t="s">
        <v>472</v>
      </c>
      <c r="K576" t="s">
        <v>483</v>
      </c>
      <c r="N576" s="71" t="s">
        <v>1210</v>
      </c>
    </row>
    <row r="577" spans="1:14" ht="29" x14ac:dyDescent="0.35">
      <c r="A577" t="str">
        <f>VLOOKUP(C577,Countries!$A$1:$D$205,2,FALSE)</f>
        <v>NLD</v>
      </c>
      <c r="B577" s="71" t="s">
        <v>1476</v>
      </c>
      <c r="C577" t="s">
        <v>226</v>
      </c>
      <c r="D577" s="71" t="s">
        <v>1487</v>
      </c>
      <c r="E577" t="s">
        <v>502</v>
      </c>
      <c r="F577" s="75">
        <v>1989</v>
      </c>
      <c r="G577" s="75"/>
      <c r="H577" s="66">
        <f>57000*Conversion!$A$2</f>
        <v>5123.16</v>
      </c>
      <c r="I577" t="s">
        <v>731</v>
      </c>
      <c r="J577" t="s">
        <v>472</v>
      </c>
      <c r="K577" t="s">
        <v>483</v>
      </c>
      <c r="N577" s="71" t="s">
        <v>1488</v>
      </c>
    </row>
    <row r="578" spans="1:14" ht="72.5" x14ac:dyDescent="0.35">
      <c r="A578" t="str">
        <f>VLOOKUP(C578,Countries!$A$1:$D$205,2,FALSE)</f>
        <v>NLD</v>
      </c>
      <c r="B578" s="71" t="s">
        <v>1489</v>
      </c>
      <c r="C578" t="s">
        <v>226</v>
      </c>
      <c r="D578" s="71" t="s">
        <v>1490</v>
      </c>
      <c r="E578" t="s">
        <v>502</v>
      </c>
      <c r="F578" s="75">
        <v>2026</v>
      </c>
      <c r="G578" s="75"/>
      <c r="H578" s="66">
        <f>533000*Conversion!$A$2</f>
        <v>47906.04</v>
      </c>
      <c r="I578" t="s">
        <v>731</v>
      </c>
      <c r="J578" t="s">
        <v>472</v>
      </c>
      <c r="K578" t="s">
        <v>503</v>
      </c>
      <c r="N578" s="71" t="s">
        <v>1491</v>
      </c>
    </row>
    <row r="579" spans="1:14" ht="43.5" x14ac:dyDescent="0.35">
      <c r="A579" t="str">
        <f>VLOOKUP(C579,Countries!$A$1:$D$205,2,FALSE)</f>
        <v>NLD</v>
      </c>
      <c r="B579" s="71" t="s">
        <v>1492</v>
      </c>
      <c r="C579" t="s">
        <v>226</v>
      </c>
      <c r="D579" s="71" t="s">
        <v>1493</v>
      </c>
      <c r="E579" t="s">
        <v>502</v>
      </c>
      <c r="F579" s="75">
        <v>2025</v>
      </c>
      <c r="G579" s="75"/>
      <c r="H579" s="66">
        <f>213000*Conversion!$A$2</f>
        <v>19144.439999999999</v>
      </c>
      <c r="I579" t="s">
        <v>731</v>
      </c>
      <c r="J579" t="s">
        <v>472</v>
      </c>
      <c r="K579" t="s">
        <v>1285</v>
      </c>
      <c r="N579" s="71" t="s">
        <v>1494</v>
      </c>
    </row>
    <row r="580" spans="1:14" ht="58" x14ac:dyDescent="0.35">
      <c r="A580" t="str">
        <f>VLOOKUP(C580,Countries!$A$1:$D$205,2,FALSE)</f>
        <v>NLD</v>
      </c>
      <c r="B580" s="71" t="s">
        <v>1495</v>
      </c>
      <c r="C580" t="s">
        <v>226</v>
      </c>
      <c r="D580" s="71" t="s">
        <v>1496</v>
      </c>
      <c r="E580" t="s">
        <v>502</v>
      </c>
      <c r="F580" s="75">
        <v>2027</v>
      </c>
      <c r="G580" s="75"/>
      <c r="H580" s="66">
        <f>1333000*Conversion!$A$2</f>
        <v>119810.04000000001</v>
      </c>
      <c r="I580" t="s">
        <v>731</v>
      </c>
      <c r="J580" t="s">
        <v>472</v>
      </c>
      <c r="K580" t="s">
        <v>483</v>
      </c>
      <c r="N580" s="71" t="s">
        <v>1497</v>
      </c>
    </row>
    <row r="581" spans="1:14" ht="87" x14ac:dyDescent="0.35">
      <c r="A581" t="str">
        <f>VLOOKUP(C581,Countries!$A$1:$D$205,2,FALSE)</f>
        <v>NLD</v>
      </c>
      <c r="B581" s="71" t="s">
        <v>1498</v>
      </c>
      <c r="C581" t="s">
        <v>226</v>
      </c>
      <c r="D581" s="71" t="s">
        <v>1499</v>
      </c>
      <c r="E581" t="s">
        <v>502</v>
      </c>
      <c r="F581" s="75">
        <v>2033</v>
      </c>
      <c r="G581" s="75"/>
      <c r="H581" s="66">
        <f>9867000*Conversion!$A$2</f>
        <v>886845.96</v>
      </c>
      <c r="I581" t="s">
        <v>731</v>
      </c>
      <c r="J581" t="s">
        <v>472</v>
      </c>
      <c r="K581" t="s">
        <v>1162</v>
      </c>
      <c r="N581" s="71" t="s">
        <v>1500</v>
      </c>
    </row>
    <row r="582" spans="1:14" ht="29" x14ac:dyDescent="0.35">
      <c r="A582" t="str">
        <f>VLOOKUP(C582,Countries!$A$1:$D$205,2,FALSE)</f>
        <v>NLD</v>
      </c>
      <c r="B582" s="71" t="s">
        <v>1501</v>
      </c>
      <c r="C582" t="s">
        <v>226</v>
      </c>
      <c r="D582" s="71" t="s">
        <v>1502</v>
      </c>
      <c r="E582" t="s">
        <v>261</v>
      </c>
      <c r="F582" s="75">
        <v>2020</v>
      </c>
      <c r="G582" s="75"/>
      <c r="H582" s="66">
        <f>4015000*Conversion!$A$2</f>
        <v>360868.2</v>
      </c>
      <c r="I582" t="s">
        <v>731</v>
      </c>
      <c r="J582" t="s">
        <v>472</v>
      </c>
      <c r="K582" t="s">
        <v>732</v>
      </c>
      <c r="N582" s="71" t="s">
        <v>1503</v>
      </c>
    </row>
    <row r="583" spans="1:14" ht="43.5" x14ac:dyDescent="0.35">
      <c r="A583" t="str">
        <f>VLOOKUP(C583,Countries!$A$1:$D$205,2,FALSE)</f>
        <v>NLD</v>
      </c>
      <c r="B583" s="71" t="s">
        <v>1504</v>
      </c>
      <c r="C583" t="s">
        <v>226</v>
      </c>
      <c r="D583" s="71" t="s">
        <v>1505</v>
      </c>
      <c r="E583" t="s">
        <v>502</v>
      </c>
      <c r="F583" s="75">
        <v>2021</v>
      </c>
      <c r="G583" s="75"/>
      <c r="H583" s="66">
        <f>108000*Conversion!$A$2</f>
        <v>9707.0400000000009</v>
      </c>
      <c r="I583" t="s">
        <v>731</v>
      </c>
      <c r="J583" t="s">
        <v>472</v>
      </c>
      <c r="K583" t="s">
        <v>1074</v>
      </c>
      <c r="N583" s="71" t="s">
        <v>1506</v>
      </c>
    </row>
    <row r="584" spans="1:14" ht="29" x14ac:dyDescent="0.35">
      <c r="A584" t="str">
        <f>VLOOKUP(C584,Countries!$A$1:$D$205,2,FALSE)</f>
        <v>NLD</v>
      </c>
      <c r="B584" s="71" t="s">
        <v>1507</v>
      </c>
      <c r="C584" t="s">
        <v>226</v>
      </c>
      <c r="D584" s="71" t="s">
        <v>1508</v>
      </c>
      <c r="E584" t="s">
        <v>261</v>
      </c>
      <c r="F584" s="75">
        <v>1995</v>
      </c>
      <c r="G584" s="75"/>
      <c r="H584" s="66">
        <f>20000*Conversion!$A$2</f>
        <v>1797.6000000000001</v>
      </c>
      <c r="I584" t="s">
        <v>731</v>
      </c>
      <c r="J584" t="s">
        <v>472</v>
      </c>
      <c r="K584" t="s">
        <v>494</v>
      </c>
      <c r="N584" s="71" t="s">
        <v>1509</v>
      </c>
    </row>
    <row r="585" spans="1:14" ht="43.5" x14ac:dyDescent="0.35">
      <c r="A585" t="str">
        <f>VLOOKUP(C585,Countries!$A$1:$D$205,2,FALSE)</f>
        <v>NLD</v>
      </c>
      <c r="B585" s="71" t="s">
        <v>1495</v>
      </c>
      <c r="C585" t="s">
        <v>226</v>
      </c>
      <c r="D585" s="71" t="s">
        <v>880</v>
      </c>
      <c r="E585" t="s">
        <v>502</v>
      </c>
      <c r="F585" s="75">
        <v>2025</v>
      </c>
      <c r="G585" s="75"/>
      <c r="H585" s="66">
        <f>1067000*Conversion!$A$2</f>
        <v>95901.96</v>
      </c>
      <c r="I585" t="s">
        <v>731</v>
      </c>
      <c r="J585" t="s">
        <v>472</v>
      </c>
      <c r="K585" t="s">
        <v>483</v>
      </c>
      <c r="N585" s="71" t="s">
        <v>1510</v>
      </c>
    </row>
    <row r="586" spans="1:14" ht="29" x14ac:dyDescent="0.35">
      <c r="A586" t="str">
        <f>VLOOKUP(C586,Countries!$A$1:$D$205,2,FALSE)</f>
        <v>NLD</v>
      </c>
      <c r="B586" s="71" t="s">
        <v>1501</v>
      </c>
      <c r="C586" t="s">
        <v>226</v>
      </c>
      <c r="D586" s="71" t="s">
        <v>1511</v>
      </c>
      <c r="E586" t="s">
        <v>261</v>
      </c>
      <c r="F586" s="75">
        <v>1989</v>
      </c>
      <c r="G586" s="75"/>
      <c r="H586" s="66">
        <f>1473000*Conversion!$A$2</f>
        <v>132393.24</v>
      </c>
      <c r="I586" t="s">
        <v>731</v>
      </c>
      <c r="J586" t="s">
        <v>472</v>
      </c>
      <c r="K586" t="s">
        <v>483</v>
      </c>
      <c r="N586" s="71" t="s">
        <v>1251</v>
      </c>
    </row>
    <row r="587" spans="1:14" ht="29" x14ac:dyDescent="0.35">
      <c r="A587" t="str">
        <f>VLOOKUP(C587,Countries!$A$1:$D$205,2,FALSE)</f>
        <v>NLD</v>
      </c>
      <c r="B587" s="71" t="s">
        <v>1501</v>
      </c>
      <c r="C587" t="s">
        <v>226</v>
      </c>
      <c r="D587" s="71" t="s">
        <v>1511</v>
      </c>
      <c r="E587" t="s">
        <v>613</v>
      </c>
      <c r="F587" s="75">
        <v>2005</v>
      </c>
      <c r="G587" s="75"/>
      <c r="H587" s="66">
        <f>3087000*Conversion!$A$2</f>
        <v>277459.56</v>
      </c>
      <c r="I587" t="s">
        <v>731</v>
      </c>
      <c r="J587" t="s">
        <v>472</v>
      </c>
      <c r="K587" t="s">
        <v>483</v>
      </c>
      <c r="N587" s="71" t="s">
        <v>1251</v>
      </c>
    </row>
    <row r="588" spans="1:14" ht="43.5" x14ac:dyDescent="0.35">
      <c r="A588" t="str">
        <f>VLOOKUP(C588,Countries!$A$1:$D$205,2,FALSE)</f>
        <v>NLD</v>
      </c>
      <c r="B588" s="71" t="s">
        <v>1512</v>
      </c>
      <c r="C588" t="s">
        <v>226</v>
      </c>
      <c r="D588" s="71" t="s">
        <v>1513</v>
      </c>
      <c r="E588" t="s">
        <v>502</v>
      </c>
      <c r="F588" s="75">
        <v>2022</v>
      </c>
      <c r="G588" s="75"/>
      <c r="H588" s="66">
        <f>133000*Conversion!$A$2</f>
        <v>11954.04</v>
      </c>
      <c r="I588" t="s">
        <v>731</v>
      </c>
      <c r="J588" t="s">
        <v>472</v>
      </c>
      <c r="K588" t="s">
        <v>1285</v>
      </c>
      <c r="N588" s="71" t="s">
        <v>1514</v>
      </c>
    </row>
    <row r="589" spans="1:14" ht="43.5" x14ac:dyDescent="0.35">
      <c r="A589" t="str">
        <f>VLOOKUP(C589,Countries!$A$1:$D$205,2,FALSE)</f>
        <v>NLD</v>
      </c>
      <c r="B589" s="71" t="s">
        <v>1515</v>
      </c>
      <c r="C589" t="s">
        <v>226</v>
      </c>
      <c r="D589" s="71" t="s">
        <v>1516</v>
      </c>
      <c r="E589" t="s">
        <v>502</v>
      </c>
      <c r="F589" s="75">
        <v>2024</v>
      </c>
      <c r="G589" s="75"/>
      <c r="H589" s="66">
        <f>406000*Conversion!$A$2</f>
        <v>36491.279999999999</v>
      </c>
      <c r="I589" t="s">
        <v>731</v>
      </c>
      <c r="J589" t="s">
        <v>472</v>
      </c>
      <c r="K589" t="s">
        <v>1074</v>
      </c>
      <c r="N589" s="71" t="s">
        <v>1517</v>
      </c>
    </row>
    <row r="590" spans="1:14" ht="29" x14ac:dyDescent="0.35">
      <c r="A590" t="str">
        <f>VLOOKUP(C590,Countries!$A$1:$D$205,2,FALSE)</f>
        <v>NLD</v>
      </c>
      <c r="B590" s="71" t="s">
        <v>1518</v>
      </c>
      <c r="C590" t="s">
        <v>226</v>
      </c>
      <c r="D590" s="71" t="s">
        <v>1519</v>
      </c>
      <c r="E590" t="s">
        <v>261</v>
      </c>
      <c r="F590" s="75">
        <v>1984</v>
      </c>
      <c r="G590" s="75"/>
      <c r="H590" s="66">
        <f>1983000*Conversion!$A$2</f>
        <v>178232.04</v>
      </c>
      <c r="I590" t="s">
        <v>731</v>
      </c>
      <c r="J590" t="s">
        <v>472</v>
      </c>
      <c r="K590" t="s">
        <v>483</v>
      </c>
      <c r="N590" s="71" t="s">
        <v>1520</v>
      </c>
    </row>
    <row r="591" spans="1:14" ht="58" x14ac:dyDescent="0.35">
      <c r="A591" t="str">
        <f>VLOOKUP(C591,Countries!$A$1:$D$205,2,FALSE)</f>
        <v>NOR</v>
      </c>
      <c r="B591" s="71" t="s">
        <v>1521</v>
      </c>
      <c r="C591" t="s">
        <v>416</v>
      </c>
      <c r="D591" s="71" t="s">
        <v>1522</v>
      </c>
      <c r="E591" t="s">
        <v>990</v>
      </c>
      <c r="F591" s="75">
        <v>2025</v>
      </c>
      <c r="G591" s="75"/>
      <c r="H591" s="66">
        <f>5412000*Conversion!$A$2</f>
        <v>486430.56</v>
      </c>
      <c r="I591" t="s">
        <v>731</v>
      </c>
      <c r="J591" t="s">
        <v>472</v>
      </c>
      <c r="K591" t="s">
        <v>1074</v>
      </c>
      <c r="N591" s="71" t="s">
        <v>1523</v>
      </c>
    </row>
    <row r="592" spans="1:14" ht="58" x14ac:dyDescent="0.35">
      <c r="A592" t="str">
        <f>VLOOKUP(C592,Countries!$A$1:$D$205,2,FALSE)</f>
        <v>NOR</v>
      </c>
      <c r="B592" s="71" t="s">
        <v>1524</v>
      </c>
      <c r="C592" t="s">
        <v>416</v>
      </c>
      <c r="D592" s="71" t="s">
        <v>1525</v>
      </c>
      <c r="E592" t="s">
        <v>502</v>
      </c>
      <c r="F592" s="75">
        <v>2028</v>
      </c>
      <c r="G592" s="75"/>
      <c r="H592" s="66">
        <f>541000*Conversion!$A$2</f>
        <v>48625.08</v>
      </c>
      <c r="I592" t="s">
        <v>731</v>
      </c>
      <c r="J592" t="s">
        <v>472</v>
      </c>
      <c r="K592" t="s">
        <v>1074</v>
      </c>
      <c r="N592" s="71" t="s">
        <v>1526</v>
      </c>
    </row>
    <row r="593" spans="1:14" ht="29" x14ac:dyDescent="0.35">
      <c r="A593" t="str">
        <f>VLOOKUP(C593,Countries!$A$1:$D$205,2,FALSE)</f>
        <v>NOR</v>
      </c>
      <c r="B593" s="71" t="s">
        <v>1527</v>
      </c>
      <c r="C593" t="s">
        <v>416</v>
      </c>
      <c r="D593" s="71" t="s">
        <v>1528</v>
      </c>
      <c r="E593" t="s">
        <v>502</v>
      </c>
      <c r="F593" s="75">
        <v>2023</v>
      </c>
      <c r="G593" s="75"/>
      <c r="H593" s="66"/>
      <c r="I593" t="s">
        <v>731</v>
      </c>
      <c r="J593" t="s">
        <v>472</v>
      </c>
      <c r="K593" t="s">
        <v>494</v>
      </c>
      <c r="N593" s="71" t="s">
        <v>1529</v>
      </c>
    </row>
    <row r="594" spans="1:14" ht="29" x14ac:dyDescent="0.35">
      <c r="A594" t="str">
        <f>VLOOKUP(C594,Countries!$A$1:$D$205,2,FALSE)</f>
        <v>NOR</v>
      </c>
      <c r="B594" s="71" t="s">
        <v>1530</v>
      </c>
      <c r="C594" t="s">
        <v>416</v>
      </c>
      <c r="D594" s="71" t="s">
        <v>1531</v>
      </c>
      <c r="E594" t="s">
        <v>502</v>
      </c>
      <c r="F594" s="75">
        <v>2030</v>
      </c>
      <c r="G594" s="75"/>
      <c r="H594" s="66">
        <f>839000*Conversion!$A$2</f>
        <v>75409.320000000007</v>
      </c>
      <c r="I594" t="s">
        <v>731</v>
      </c>
      <c r="J594" t="s">
        <v>472</v>
      </c>
      <c r="K594" t="s">
        <v>1074</v>
      </c>
      <c r="N594" s="71" t="s">
        <v>1532</v>
      </c>
    </row>
    <row r="595" spans="1:14" ht="43.5" x14ac:dyDescent="0.35">
      <c r="A595" t="str">
        <f>VLOOKUP(C595,Countries!$A$1:$D$205,2,FALSE)</f>
        <v>NOR</v>
      </c>
      <c r="B595" s="71" t="s">
        <v>1533</v>
      </c>
      <c r="C595" t="s">
        <v>416</v>
      </c>
      <c r="D595" s="71" t="s">
        <v>1534</v>
      </c>
      <c r="E595" t="s">
        <v>502</v>
      </c>
      <c r="F595" s="75">
        <v>2027</v>
      </c>
      <c r="G595" s="75"/>
      <c r="H595" s="66">
        <f>2165000*Conversion!$A$2</f>
        <v>194590.2</v>
      </c>
      <c r="I595" t="s">
        <v>731</v>
      </c>
      <c r="J595" t="s">
        <v>472</v>
      </c>
      <c r="K595" t="s">
        <v>1074</v>
      </c>
      <c r="N595" s="71" t="s">
        <v>1535</v>
      </c>
    </row>
    <row r="596" spans="1:14" ht="29" x14ac:dyDescent="0.35">
      <c r="A596" t="str">
        <f>VLOOKUP(C596,Countries!$A$1:$D$205,2,FALSE)</f>
        <v>NOR</v>
      </c>
      <c r="B596" s="71" t="s">
        <v>1536</v>
      </c>
      <c r="C596" t="s">
        <v>416</v>
      </c>
      <c r="D596" s="71" t="s">
        <v>1537</v>
      </c>
      <c r="E596" t="s">
        <v>502</v>
      </c>
      <c r="F596" s="75">
        <v>2025</v>
      </c>
      <c r="G596" s="75"/>
      <c r="H596" s="66">
        <f>107000*Conversion!$A$2</f>
        <v>9617.16</v>
      </c>
      <c r="I596" t="s">
        <v>731</v>
      </c>
      <c r="J596" t="s">
        <v>472</v>
      </c>
      <c r="K596" t="s">
        <v>494</v>
      </c>
      <c r="N596" s="71" t="s">
        <v>1538</v>
      </c>
    </row>
    <row r="597" spans="1:14" ht="58" x14ac:dyDescent="0.35">
      <c r="A597" t="str">
        <f>VLOOKUP(C597,Countries!$A$1:$D$205,2,FALSE)</f>
        <v>NOR</v>
      </c>
      <c r="B597" s="71" t="s">
        <v>1539</v>
      </c>
      <c r="C597" t="s">
        <v>416</v>
      </c>
      <c r="D597" s="71" t="s">
        <v>1540</v>
      </c>
      <c r="E597" t="s">
        <v>502</v>
      </c>
      <c r="F597" s="75">
        <v>2035</v>
      </c>
      <c r="G597" s="75"/>
      <c r="H597" s="66">
        <f>2706000*Conversion!$A$2</f>
        <v>243215.28</v>
      </c>
      <c r="I597" t="s">
        <v>731</v>
      </c>
      <c r="J597" t="s">
        <v>472</v>
      </c>
      <c r="K597" t="s">
        <v>1074</v>
      </c>
      <c r="N597" s="71" t="s">
        <v>1541</v>
      </c>
    </row>
    <row r="598" spans="1:14" ht="43.5" x14ac:dyDescent="0.35">
      <c r="A598" t="str">
        <f>VLOOKUP(C598,Countries!$A$1:$D$205,2,FALSE)</f>
        <v>NOR</v>
      </c>
      <c r="B598" s="71" t="s">
        <v>1542</v>
      </c>
      <c r="C598" t="s">
        <v>416</v>
      </c>
      <c r="D598" s="71" t="s">
        <v>1543</v>
      </c>
      <c r="E598" t="s">
        <v>502</v>
      </c>
      <c r="F598" s="75">
        <v>2025</v>
      </c>
      <c r="G598" s="75"/>
      <c r="H598" s="66">
        <f>541000*Conversion!$A$2</f>
        <v>48625.08</v>
      </c>
      <c r="I598" t="s">
        <v>731</v>
      </c>
      <c r="J598" t="s">
        <v>472</v>
      </c>
      <c r="K598" t="s">
        <v>1074</v>
      </c>
      <c r="N598" s="71" t="s">
        <v>1544</v>
      </c>
    </row>
    <row r="599" spans="1:14" ht="58" x14ac:dyDescent="0.35">
      <c r="A599" t="str">
        <f>VLOOKUP(C599,Countries!$A$1:$D$205,2,FALSE)</f>
        <v>NOR</v>
      </c>
      <c r="B599" s="71" t="s">
        <v>1545</v>
      </c>
      <c r="C599" t="s">
        <v>416</v>
      </c>
      <c r="D599" s="71" t="s">
        <v>1546</v>
      </c>
      <c r="E599" t="s">
        <v>502</v>
      </c>
      <c r="F599" s="75">
        <v>2025</v>
      </c>
      <c r="G599" s="75"/>
      <c r="H599" s="66">
        <f>502000*Conversion!$A$2</f>
        <v>45119.76</v>
      </c>
      <c r="I599" t="s">
        <v>731</v>
      </c>
      <c r="J599" t="s">
        <v>472</v>
      </c>
      <c r="K599" t="s">
        <v>1162</v>
      </c>
      <c r="N599" s="71" t="s">
        <v>1547</v>
      </c>
    </row>
    <row r="600" spans="1:14" ht="58" x14ac:dyDescent="0.35">
      <c r="A600" t="str">
        <f>VLOOKUP(C600,Countries!$A$1:$D$205,2,FALSE)</f>
        <v>NOR</v>
      </c>
      <c r="B600" s="71" t="s">
        <v>1545</v>
      </c>
      <c r="C600" t="s">
        <v>416</v>
      </c>
      <c r="D600" s="71" t="s">
        <v>1548</v>
      </c>
      <c r="E600" t="s">
        <v>502</v>
      </c>
      <c r="F600" s="75">
        <v>2025</v>
      </c>
      <c r="G600" s="75"/>
      <c r="H600" s="66">
        <f>267000*Conversion!$A$2</f>
        <v>23997.96</v>
      </c>
      <c r="I600" t="s">
        <v>731</v>
      </c>
      <c r="J600" t="s">
        <v>472</v>
      </c>
      <c r="K600" t="s">
        <v>503</v>
      </c>
      <c r="N600" s="71" t="s">
        <v>1549</v>
      </c>
    </row>
    <row r="601" spans="1:14" ht="29" x14ac:dyDescent="0.35">
      <c r="A601" t="str">
        <f>VLOOKUP(C601,Countries!$A$1:$D$205,2,FALSE)</f>
        <v>NOR</v>
      </c>
      <c r="B601" s="71" t="s">
        <v>1550</v>
      </c>
      <c r="C601" t="s">
        <v>416</v>
      </c>
      <c r="D601" s="71" t="s">
        <v>1551</v>
      </c>
      <c r="E601" t="s">
        <v>502</v>
      </c>
      <c r="F601" s="75">
        <v>2025</v>
      </c>
      <c r="G601" s="75"/>
      <c r="H601" s="66">
        <f>128000*Conversion!$A$2</f>
        <v>11504.64</v>
      </c>
      <c r="I601" t="s">
        <v>731</v>
      </c>
      <c r="J601" t="s">
        <v>472</v>
      </c>
      <c r="K601" t="s">
        <v>732</v>
      </c>
      <c r="N601" s="71" t="s">
        <v>1552</v>
      </c>
    </row>
    <row r="602" spans="1:14" ht="58" x14ac:dyDescent="0.35">
      <c r="A602" t="str">
        <f>VLOOKUP(C602,Countries!$A$1:$D$205,2,FALSE)</f>
        <v>NOR</v>
      </c>
      <c r="B602" s="71" t="s">
        <v>1553</v>
      </c>
      <c r="C602" t="s">
        <v>416</v>
      </c>
      <c r="D602" s="71" t="s">
        <v>1554</v>
      </c>
      <c r="E602" t="s">
        <v>502</v>
      </c>
      <c r="F602" s="75">
        <v>2025</v>
      </c>
      <c r="G602" s="75"/>
      <c r="H602" s="66">
        <f>587000*Conversion!$A$2</f>
        <v>52759.56</v>
      </c>
      <c r="I602" t="s">
        <v>731</v>
      </c>
      <c r="J602" t="s">
        <v>472</v>
      </c>
      <c r="K602" t="s">
        <v>1162</v>
      </c>
      <c r="N602" s="71" t="s">
        <v>1555</v>
      </c>
    </row>
    <row r="603" spans="1:14" ht="43.5" x14ac:dyDescent="0.35">
      <c r="A603" t="str">
        <f>VLOOKUP(C603,Countries!$A$1:$D$205,2,FALSE)</f>
        <v>NOR</v>
      </c>
      <c r="B603" s="71" t="s">
        <v>1556</v>
      </c>
      <c r="C603" t="s">
        <v>416</v>
      </c>
      <c r="D603" s="71" t="s">
        <v>1557</v>
      </c>
      <c r="E603" t="s">
        <v>502</v>
      </c>
      <c r="F603" s="75">
        <v>2029</v>
      </c>
      <c r="G603" s="75"/>
      <c r="H603" s="66">
        <f>14000*Conversion!$A$2</f>
        <v>1258.32</v>
      </c>
      <c r="I603" t="s">
        <v>731</v>
      </c>
      <c r="J603" t="s">
        <v>472</v>
      </c>
      <c r="K603" t="s">
        <v>1074</v>
      </c>
      <c r="N603" s="71" t="s">
        <v>1558</v>
      </c>
    </row>
    <row r="604" spans="1:14" ht="29" x14ac:dyDescent="0.35">
      <c r="A604" t="str">
        <f>VLOOKUP(C604,Countries!$A$1:$D$205,2,FALSE)</f>
        <v>PRT</v>
      </c>
      <c r="B604" s="71" t="s">
        <v>1559</v>
      </c>
      <c r="C604" t="s">
        <v>250</v>
      </c>
      <c r="D604" s="71" t="s">
        <v>1560</v>
      </c>
      <c r="E604" t="s">
        <v>1486</v>
      </c>
      <c r="F604" s="75">
        <v>2004</v>
      </c>
      <c r="G604" s="75"/>
      <c r="H604" s="66">
        <f>850000*Conversion!$A$2</f>
        <v>76398</v>
      </c>
      <c r="I604" t="s">
        <v>731</v>
      </c>
      <c r="J604" t="s">
        <v>472</v>
      </c>
      <c r="K604" t="s">
        <v>483</v>
      </c>
    </row>
    <row r="605" spans="1:14" ht="29" x14ac:dyDescent="0.35">
      <c r="A605" t="str">
        <f>VLOOKUP(C605,Countries!$A$1:$D$205,2,FALSE)</f>
        <v>PRT</v>
      </c>
      <c r="B605" s="71" t="s">
        <v>1561</v>
      </c>
      <c r="C605" t="s">
        <v>250</v>
      </c>
      <c r="D605" s="71" t="s">
        <v>1562</v>
      </c>
      <c r="E605" t="s">
        <v>1486</v>
      </c>
      <c r="F605" s="75">
        <v>2002</v>
      </c>
      <c r="G605" s="75"/>
      <c r="H605" s="66">
        <f>708000*Conversion!$A$2</f>
        <v>63635.040000000001</v>
      </c>
      <c r="I605" t="s">
        <v>731</v>
      </c>
      <c r="J605" t="s">
        <v>472</v>
      </c>
      <c r="K605" t="s">
        <v>483</v>
      </c>
    </row>
    <row r="606" spans="1:14" ht="29" x14ac:dyDescent="0.35">
      <c r="A606" t="str">
        <f>VLOOKUP(C606,Countries!$A$1:$D$205,2,FALSE)</f>
        <v>PRT</v>
      </c>
      <c r="B606" s="71" t="s">
        <v>1561</v>
      </c>
      <c r="C606" t="s">
        <v>250</v>
      </c>
      <c r="D606" s="71" t="s">
        <v>1562</v>
      </c>
      <c r="E606" t="s">
        <v>1250</v>
      </c>
      <c r="F606" s="75">
        <v>2002</v>
      </c>
      <c r="G606" s="75"/>
      <c r="H606" s="66">
        <f>850000*Conversion!$A$2</f>
        <v>76398</v>
      </c>
      <c r="I606" t="s">
        <v>731</v>
      </c>
      <c r="J606" t="s">
        <v>472</v>
      </c>
      <c r="K606" t="s">
        <v>483</v>
      </c>
    </row>
    <row r="607" spans="1:14" ht="29" x14ac:dyDescent="0.35">
      <c r="A607" t="str">
        <f>VLOOKUP(C607,Countries!$A$1:$D$205,2,FALSE)</f>
        <v>PRT</v>
      </c>
      <c r="B607" s="71" t="s">
        <v>1561</v>
      </c>
      <c r="C607" t="s">
        <v>250</v>
      </c>
      <c r="D607" s="71" t="s">
        <v>1562</v>
      </c>
      <c r="E607" t="s">
        <v>261</v>
      </c>
      <c r="F607" s="75">
        <v>2013</v>
      </c>
      <c r="G607" s="75"/>
      <c r="H607" s="66">
        <f>2294000*Conversion!$A$2</f>
        <v>206184.72</v>
      </c>
      <c r="I607" t="s">
        <v>731</v>
      </c>
      <c r="J607" t="s">
        <v>472</v>
      </c>
      <c r="K607" t="s">
        <v>483</v>
      </c>
    </row>
    <row r="608" spans="1:14" ht="58" x14ac:dyDescent="0.35">
      <c r="A608" t="str">
        <f>VLOOKUP(C608,Countries!$A$1:$D$205,2,FALSE)</f>
        <v>PRT</v>
      </c>
      <c r="B608" s="71" t="s">
        <v>1561</v>
      </c>
      <c r="C608" t="s">
        <v>250</v>
      </c>
      <c r="D608" s="71" t="s">
        <v>1563</v>
      </c>
      <c r="E608" t="s">
        <v>502</v>
      </c>
      <c r="F608" s="75">
        <v>2026</v>
      </c>
      <c r="G608" s="75"/>
      <c r="H608" s="66">
        <f>2706000*Conversion!$A$2</f>
        <v>243215.28</v>
      </c>
      <c r="I608" t="s">
        <v>731</v>
      </c>
      <c r="J608" t="s">
        <v>472</v>
      </c>
      <c r="K608" t="s">
        <v>1074</v>
      </c>
      <c r="N608" s="71" t="s">
        <v>1564</v>
      </c>
    </row>
    <row r="609" spans="1:14" ht="43.5" x14ac:dyDescent="0.35">
      <c r="A609" t="str">
        <f>VLOOKUP(C609,Countries!$A$1:$D$205,2,FALSE)</f>
        <v>PRT</v>
      </c>
      <c r="B609" s="71" t="s">
        <v>1565</v>
      </c>
      <c r="C609" t="s">
        <v>250</v>
      </c>
      <c r="D609" s="71" t="s">
        <v>1566</v>
      </c>
      <c r="E609" t="s">
        <v>502</v>
      </c>
      <c r="F609" s="75">
        <v>2024</v>
      </c>
      <c r="G609" s="75"/>
      <c r="H609" s="66">
        <f>507000*Conversion!$A$2</f>
        <v>45569.16</v>
      </c>
      <c r="I609" t="s">
        <v>731</v>
      </c>
      <c r="J609" t="s">
        <v>472</v>
      </c>
      <c r="K609" t="s">
        <v>1285</v>
      </c>
      <c r="N609" s="71" t="s">
        <v>1567</v>
      </c>
    </row>
    <row r="610" spans="1:14" x14ac:dyDescent="0.35">
      <c r="A610" t="str">
        <f>VLOOKUP(C610,Countries!$A$1:$D$205,2,FALSE)</f>
        <v>ESP</v>
      </c>
      <c r="B610" s="71" t="s">
        <v>1568</v>
      </c>
      <c r="C610" t="s">
        <v>284</v>
      </c>
      <c r="D610" s="71" t="s">
        <v>1569</v>
      </c>
      <c r="E610" t="s">
        <v>261</v>
      </c>
      <c r="F610" s="75">
        <v>1970</v>
      </c>
      <c r="G610" s="75"/>
      <c r="H610" s="66">
        <f>72000*Conversion!$A$2</f>
        <v>6471.36</v>
      </c>
      <c r="I610" t="s">
        <v>731</v>
      </c>
      <c r="J610" t="s">
        <v>472</v>
      </c>
      <c r="K610" t="s">
        <v>494</v>
      </c>
      <c r="N610" s="71" t="s">
        <v>1317</v>
      </c>
    </row>
    <row r="611" spans="1:14" ht="29" x14ac:dyDescent="0.35">
      <c r="A611" t="str">
        <f>VLOOKUP(C611,Countries!$A$1:$D$205,2,FALSE)</f>
        <v>ESP</v>
      </c>
      <c r="B611" s="71" t="s">
        <v>1570</v>
      </c>
      <c r="C611" t="s">
        <v>284</v>
      </c>
      <c r="D611" s="71" t="s">
        <v>1571</v>
      </c>
      <c r="E611" t="s">
        <v>261</v>
      </c>
      <c r="F611" s="75">
        <v>2005</v>
      </c>
      <c r="G611" s="75"/>
      <c r="H611" s="66">
        <f>1303000*Conversion!$A$2</f>
        <v>117113.64</v>
      </c>
      <c r="I611" t="s">
        <v>731</v>
      </c>
      <c r="J611" t="s">
        <v>472</v>
      </c>
      <c r="K611" t="s">
        <v>483</v>
      </c>
      <c r="N611" s="71" t="s">
        <v>1251</v>
      </c>
    </row>
    <row r="612" spans="1:14" ht="29" x14ac:dyDescent="0.35">
      <c r="A612" t="str">
        <f>VLOOKUP(C612,Countries!$A$1:$D$205,2,FALSE)</f>
        <v>ESP</v>
      </c>
      <c r="B612" s="71" t="s">
        <v>1570</v>
      </c>
      <c r="C612" t="s">
        <v>284</v>
      </c>
      <c r="D612" s="71" t="s">
        <v>1571</v>
      </c>
      <c r="E612" t="s">
        <v>261</v>
      </c>
      <c r="F612" s="75">
        <v>2020</v>
      </c>
      <c r="G612" s="75"/>
      <c r="H612" s="66">
        <f>71000*Conversion!$A$2</f>
        <v>6381.4800000000005</v>
      </c>
      <c r="I612" t="s">
        <v>731</v>
      </c>
      <c r="J612" t="s">
        <v>472</v>
      </c>
      <c r="K612" t="s">
        <v>732</v>
      </c>
      <c r="N612" s="71" t="s">
        <v>1463</v>
      </c>
    </row>
    <row r="613" spans="1:14" ht="29" x14ac:dyDescent="0.35">
      <c r="A613" t="str">
        <f>VLOOKUP(C613,Countries!$A$1:$D$205,2,FALSE)</f>
        <v>ESP</v>
      </c>
      <c r="B613" s="71" t="s">
        <v>1572</v>
      </c>
      <c r="C613" t="s">
        <v>284</v>
      </c>
      <c r="D613" s="71" t="s">
        <v>1573</v>
      </c>
      <c r="E613" t="s">
        <v>502</v>
      </c>
      <c r="F613" s="75">
        <v>2011</v>
      </c>
      <c r="G613" s="75"/>
      <c r="H613" s="66">
        <f>107000*Conversion!$A$2</f>
        <v>9617.16</v>
      </c>
      <c r="I613" t="s">
        <v>731</v>
      </c>
      <c r="J613" t="s">
        <v>472</v>
      </c>
      <c r="K613" t="s">
        <v>732</v>
      </c>
      <c r="N613" s="71" t="s">
        <v>1463</v>
      </c>
    </row>
    <row r="614" spans="1:14" ht="29" x14ac:dyDescent="0.35">
      <c r="A614" t="str">
        <f>VLOOKUP(C614,Countries!$A$1:$D$205,2,FALSE)</f>
        <v>ESP</v>
      </c>
      <c r="B614" s="71" t="s">
        <v>1572</v>
      </c>
      <c r="C614" t="s">
        <v>284</v>
      </c>
      <c r="D614" s="71" t="s">
        <v>1573</v>
      </c>
      <c r="E614" t="s">
        <v>261</v>
      </c>
      <c r="F614" s="75">
        <v>2010</v>
      </c>
      <c r="G614" s="75"/>
      <c r="H614" s="66">
        <f>3810000*Conversion!$A$2</f>
        <v>342442.8</v>
      </c>
      <c r="I614" t="s">
        <v>731</v>
      </c>
      <c r="J614" t="s">
        <v>472</v>
      </c>
      <c r="K614" t="s">
        <v>483</v>
      </c>
      <c r="N614" s="71" t="s">
        <v>1574</v>
      </c>
    </row>
    <row r="615" spans="1:14" ht="29" x14ac:dyDescent="0.35">
      <c r="A615" t="str">
        <f>VLOOKUP(C615,Countries!$A$1:$D$205,2,FALSE)</f>
        <v>ESP</v>
      </c>
      <c r="B615" s="71" t="s">
        <v>1575</v>
      </c>
      <c r="C615" t="s">
        <v>284</v>
      </c>
      <c r="D615" s="71" t="s">
        <v>1573</v>
      </c>
      <c r="E615" t="s">
        <v>1486</v>
      </c>
      <c r="F615" s="75">
        <v>2003</v>
      </c>
      <c r="G615" s="75"/>
      <c r="H615" s="66">
        <f>142000*Conversion!$A$2</f>
        <v>12762.960000000001</v>
      </c>
      <c r="I615" t="s">
        <v>731</v>
      </c>
      <c r="J615" t="s">
        <v>472</v>
      </c>
      <c r="K615" t="s">
        <v>483</v>
      </c>
      <c r="N615" s="71" t="s">
        <v>1251</v>
      </c>
    </row>
    <row r="616" spans="1:14" ht="29" x14ac:dyDescent="0.35">
      <c r="A616" t="str">
        <f>VLOOKUP(C616,Countries!$A$1:$D$205,2,FALSE)</f>
        <v>ESP</v>
      </c>
      <c r="B616" s="71" t="s">
        <v>1575</v>
      </c>
      <c r="C616" t="s">
        <v>284</v>
      </c>
      <c r="D616" s="71" t="s">
        <v>1573</v>
      </c>
      <c r="E616" t="s">
        <v>261</v>
      </c>
      <c r="F616" s="75">
        <v>2010</v>
      </c>
      <c r="G616" s="75"/>
      <c r="H616" s="66">
        <f>255000*Conversion!$A$2</f>
        <v>22919.4</v>
      </c>
      <c r="I616" t="s">
        <v>731</v>
      </c>
      <c r="J616" t="s">
        <v>472</v>
      </c>
      <c r="K616" t="s">
        <v>483</v>
      </c>
      <c r="N616" s="71" t="s">
        <v>1251</v>
      </c>
    </row>
    <row r="617" spans="1:14" ht="29" x14ac:dyDescent="0.35">
      <c r="A617" t="str">
        <f>VLOOKUP(C617,Countries!$A$1:$D$205,2,FALSE)</f>
        <v>ESP</v>
      </c>
      <c r="B617" s="71" t="s">
        <v>1575</v>
      </c>
      <c r="C617" t="s">
        <v>284</v>
      </c>
      <c r="D617" s="71" t="s">
        <v>1573</v>
      </c>
      <c r="E617" t="s">
        <v>502</v>
      </c>
      <c r="F617" s="75">
        <v>2011</v>
      </c>
      <c r="G617" s="75"/>
      <c r="H617" s="66">
        <f>107000*Conversion!$A$2</f>
        <v>9617.16</v>
      </c>
      <c r="I617" t="s">
        <v>731</v>
      </c>
      <c r="J617" t="s">
        <v>472</v>
      </c>
      <c r="K617" t="s">
        <v>732</v>
      </c>
      <c r="N617" s="71" t="s">
        <v>1463</v>
      </c>
    </row>
    <row r="618" spans="1:14" ht="29" x14ac:dyDescent="0.35">
      <c r="A618" t="str">
        <f>VLOOKUP(C618,Countries!$A$1:$D$205,2,FALSE)</f>
        <v>ESP</v>
      </c>
      <c r="B618" s="71" t="s">
        <v>1576</v>
      </c>
      <c r="C618" t="s">
        <v>284</v>
      </c>
      <c r="D618" s="71" t="s">
        <v>1577</v>
      </c>
      <c r="E618" t="s">
        <v>1486</v>
      </c>
      <c r="F618" s="75">
        <v>1973</v>
      </c>
      <c r="G618" s="75"/>
      <c r="H618" s="66">
        <f>54000*Conversion!$A$2</f>
        <v>4853.5200000000004</v>
      </c>
      <c r="I618" t="s">
        <v>731</v>
      </c>
      <c r="J618" t="s">
        <v>472</v>
      </c>
      <c r="K618" t="s">
        <v>494</v>
      </c>
      <c r="N618" s="71" t="s">
        <v>1578</v>
      </c>
    </row>
    <row r="619" spans="1:14" ht="29" x14ac:dyDescent="0.35">
      <c r="A619" t="str">
        <f>VLOOKUP(C619,Countries!$A$1:$D$205,2,FALSE)</f>
        <v>ESP</v>
      </c>
      <c r="B619" s="71" t="s">
        <v>1579</v>
      </c>
      <c r="C619" t="s">
        <v>284</v>
      </c>
      <c r="D619" s="71" t="s">
        <v>1580</v>
      </c>
      <c r="E619" t="s">
        <v>502</v>
      </c>
      <c r="F619" s="75">
        <v>2025</v>
      </c>
      <c r="G619" s="75"/>
      <c r="H619" s="66">
        <f>96000*Conversion!$A$2</f>
        <v>8628.48</v>
      </c>
      <c r="I619" t="s">
        <v>731</v>
      </c>
      <c r="J619" t="s">
        <v>472</v>
      </c>
      <c r="K619" t="s">
        <v>1162</v>
      </c>
      <c r="N619" s="71" t="s">
        <v>1581</v>
      </c>
    </row>
    <row r="620" spans="1:14" ht="43.5" x14ac:dyDescent="0.35">
      <c r="A620" t="str">
        <f>VLOOKUP(C620,Countries!$A$1:$D$205,2,FALSE)</f>
        <v>ESP</v>
      </c>
      <c r="B620" s="71" t="s">
        <v>1582</v>
      </c>
      <c r="C620" t="s">
        <v>284</v>
      </c>
      <c r="D620" s="71" t="s">
        <v>1583</v>
      </c>
      <c r="E620" t="s">
        <v>502</v>
      </c>
      <c r="F620" s="75">
        <v>2026</v>
      </c>
      <c r="G620" s="75"/>
      <c r="H620" s="66">
        <f>5333000*Conversion!$A$2</f>
        <v>479330.04000000004</v>
      </c>
      <c r="I620" t="s">
        <v>731</v>
      </c>
      <c r="J620" t="s">
        <v>472</v>
      </c>
      <c r="K620" t="s">
        <v>503</v>
      </c>
      <c r="N620" s="71" t="s">
        <v>1584</v>
      </c>
    </row>
    <row r="621" spans="1:14" ht="43.5" x14ac:dyDescent="0.35">
      <c r="A621" t="str">
        <f>VLOOKUP(C621,Countries!$A$1:$D$205,2,FALSE)</f>
        <v>ESP</v>
      </c>
      <c r="B621" s="71" t="s">
        <v>1585</v>
      </c>
      <c r="C621" t="s">
        <v>284</v>
      </c>
      <c r="D621" s="71" t="s">
        <v>1586</v>
      </c>
      <c r="E621" t="s">
        <v>502</v>
      </c>
      <c r="F621" s="75">
        <v>2024</v>
      </c>
      <c r="G621" s="75"/>
      <c r="H621" s="66">
        <f>13000*Conversion!$A$2</f>
        <v>1168.44</v>
      </c>
      <c r="I621" t="s">
        <v>731</v>
      </c>
      <c r="J621" t="s">
        <v>472</v>
      </c>
      <c r="K621" t="s">
        <v>732</v>
      </c>
      <c r="N621" s="71" t="s">
        <v>1587</v>
      </c>
    </row>
    <row r="622" spans="1:14" ht="43.5" x14ac:dyDescent="0.35">
      <c r="A622" t="str">
        <f>VLOOKUP(C622,Countries!$A$1:$D$205,2,FALSE)</f>
        <v>ESP</v>
      </c>
      <c r="B622" s="71" t="s">
        <v>1588</v>
      </c>
      <c r="C622" t="s">
        <v>284</v>
      </c>
      <c r="D622" s="71" t="s">
        <v>1589</v>
      </c>
      <c r="E622" t="s">
        <v>502</v>
      </c>
      <c r="F622" s="75">
        <v>2027</v>
      </c>
      <c r="G622" s="75"/>
      <c r="H622" s="66">
        <f>1624000*Conversion!$A$2</f>
        <v>145965.12</v>
      </c>
      <c r="I622" t="s">
        <v>731</v>
      </c>
      <c r="J622" t="s">
        <v>472</v>
      </c>
      <c r="K622" t="s">
        <v>1074</v>
      </c>
      <c r="N622" s="71" t="s">
        <v>1590</v>
      </c>
    </row>
    <row r="623" spans="1:14" ht="43.5" x14ac:dyDescent="0.35">
      <c r="A623" t="str">
        <f>VLOOKUP(C623,Countries!$A$1:$D$205,2,FALSE)</f>
        <v>ESP</v>
      </c>
      <c r="B623" s="71" t="s">
        <v>1591</v>
      </c>
      <c r="C623" t="s">
        <v>284</v>
      </c>
      <c r="D623" s="71" t="s">
        <v>1589</v>
      </c>
      <c r="E623" t="s">
        <v>502</v>
      </c>
      <c r="F623" s="75">
        <v>2025</v>
      </c>
      <c r="G623" s="75"/>
      <c r="H623" s="66">
        <f>108000*Conversion!$A$2</f>
        <v>9707.0400000000009</v>
      </c>
      <c r="I623" t="s">
        <v>731</v>
      </c>
      <c r="J623" t="s">
        <v>472</v>
      </c>
      <c r="K623" t="s">
        <v>1074</v>
      </c>
      <c r="N623" s="71" t="s">
        <v>1590</v>
      </c>
    </row>
    <row r="624" spans="1:14" ht="29" x14ac:dyDescent="0.35">
      <c r="A624" t="str">
        <f>VLOOKUP(C624,Countries!$A$1:$D$205,2,FALSE)</f>
        <v>ESP</v>
      </c>
      <c r="B624" s="71" t="s">
        <v>1592</v>
      </c>
      <c r="C624" t="s">
        <v>284</v>
      </c>
      <c r="D624" s="71" t="s">
        <v>1593</v>
      </c>
      <c r="E624" t="s">
        <v>502</v>
      </c>
      <c r="F624" s="75">
        <v>2026</v>
      </c>
      <c r="G624" s="75"/>
      <c r="H624" s="66">
        <f>107000*Conversion!$A$2</f>
        <v>9617.16</v>
      </c>
      <c r="I624" t="s">
        <v>731</v>
      </c>
      <c r="J624" t="s">
        <v>472</v>
      </c>
      <c r="K624" t="s">
        <v>1162</v>
      </c>
      <c r="N624" s="71" t="s">
        <v>1594</v>
      </c>
    </row>
    <row r="625" spans="1:14" x14ac:dyDescent="0.35">
      <c r="A625" t="str">
        <f>VLOOKUP(C625,Countries!$A$1:$D$205,2,FALSE)</f>
        <v>ESP</v>
      </c>
      <c r="B625" s="71" t="s">
        <v>1595</v>
      </c>
      <c r="C625" t="s">
        <v>284</v>
      </c>
      <c r="D625" s="71" t="s">
        <v>1596</v>
      </c>
      <c r="E625" t="s">
        <v>1486</v>
      </c>
      <c r="F625" s="75">
        <v>1986</v>
      </c>
      <c r="G625" s="75"/>
      <c r="H625" s="66">
        <f>48000*Conversion!$A$2</f>
        <v>4314.24</v>
      </c>
      <c r="I625" t="s">
        <v>731</v>
      </c>
      <c r="J625" t="s">
        <v>472</v>
      </c>
      <c r="K625" t="s">
        <v>494</v>
      </c>
      <c r="N625" s="71" t="s">
        <v>1597</v>
      </c>
    </row>
    <row r="626" spans="1:14" x14ac:dyDescent="0.35">
      <c r="A626" t="str">
        <f>VLOOKUP(C626,Countries!$A$1:$D$205,2,FALSE)</f>
        <v>ESP</v>
      </c>
      <c r="B626" s="71" t="s">
        <v>1595</v>
      </c>
      <c r="C626" t="s">
        <v>284</v>
      </c>
      <c r="D626" s="71" t="s">
        <v>1596</v>
      </c>
      <c r="E626" t="s">
        <v>261</v>
      </c>
      <c r="F626" s="75">
        <v>1988</v>
      </c>
      <c r="G626" s="75"/>
      <c r="H626" s="66">
        <f>36000*Conversion!$A$2</f>
        <v>3235.68</v>
      </c>
      <c r="I626" t="s">
        <v>731</v>
      </c>
      <c r="J626" t="s">
        <v>472</v>
      </c>
      <c r="K626" t="s">
        <v>494</v>
      </c>
      <c r="N626" s="71" t="s">
        <v>1597</v>
      </c>
    </row>
    <row r="627" spans="1:14" ht="29" x14ac:dyDescent="0.35">
      <c r="A627" t="str">
        <f>VLOOKUP(C627,Countries!$A$1:$D$205,2,FALSE)</f>
        <v>ESP</v>
      </c>
      <c r="B627" s="71" t="s">
        <v>1598</v>
      </c>
      <c r="C627" t="s">
        <v>284</v>
      </c>
      <c r="D627" s="71" t="s">
        <v>1599</v>
      </c>
      <c r="E627" t="s">
        <v>261</v>
      </c>
      <c r="F627" s="75">
        <v>1984</v>
      </c>
      <c r="G627" s="75"/>
      <c r="H627" s="66">
        <f>1105000*Conversion!$A$2</f>
        <v>99317.400000000009</v>
      </c>
      <c r="I627" t="s">
        <v>731</v>
      </c>
      <c r="J627" t="s">
        <v>472</v>
      </c>
      <c r="K627" t="s">
        <v>483</v>
      </c>
      <c r="N627" s="71" t="s">
        <v>1600</v>
      </c>
    </row>
    <row r="628" spans="1:14" ht="29" x14ac:dyDescent="0.35">
      <c r="A628" t="str">
        <f>VLOOKUP(C628,Countries!$A$1:$D$205,2,FALSE)</f>
        <v>ESP</v>
      </c>
      <c r="B628" s="71" t="s">
        <v>1598</v>
      </c>
      <c r="C628" t="s">
        <v>284</v>
      </c>
      <c r="D628" s="71" t="s">
        <v>1599</v>
      </c>
      <c r="E628" t="s">
        <v>502</v>
      </c>
      <c r="F628" s="75">
        <v>2022</v>
      </c>
      <c r="G628" s="75"/>
      <c r="H628" s="66">
        <f>13000*Conversion!$A$2</f>
        <v>1168.44</v>
      </c>
      <c r="I628" t="s">
        <v>731</v>
      </c>
      <c r="J628" t="s">
        <v>472</v>
      </c>
      <c r="K628" t="s">
        <v>483</v>
      </c>
      <c r="N628" s="71" t="s">
        <v>1601</v>
      </c>
    </row>
    <row r="629" spans="1:14" x14ac:dyDescent="0.35">
      <c r="A629" t="str">
        <f>VLOOKUP(C629,Countries!$A$1:$D$205,2,FALSE)</f>
        <v>ESP</v>
      </c>
      <c r="B629" s="71" t="s">
        <v>1602</v>
      </c>
      <c r="C629" t="s">
        <v>284</v>
      </c>
      <c r="D629" s="71" t="s">
        <v>1603</v>
      </c>
      <c r="E629" t="s">
        <v>261</v>
      </c>
      <c r="F629" s="75">
        <v>2018</v>
      </c>
      <c r="G629" s="75"/>
      <c r="H629" s="66">
        <f>71000*Conversion!$A$2</f>
        <v>6381.4800000000005</v>
      </c>
      <c r="I629" t="s">
        <v>731</v>
      </c>
      <c r="J629" t="s">
        <v>472</v>
      </c>
      <c r="K629" t="s">
        <v>732</v>
      </c>
      <c r="N629" s="71" t="s">
        <v>1604</v>
      </c>
    </row>
    <row r="630" spans="1:14" x14ac:dyDescent="0.35">
      <c r="A630" t="str">
        <f>VLOOKUP(C630,Countries!$A$1:$D$205,2,FALSE)</f>
        <v>ESP</v>
      </c>
      <c r="B630" s="71" t="s">
        <v>1602</v>
      </c>
      <c r="C630" t="s">
        <v>284</v>
      </c>
      <c r="D630" s="71" t="s">
        <v>1603</v>
      </c>
      <c r="E630" t="s">
        <v>261</v>
      </c>
      <c r="F630" s="75">
        <v>2005</v>
      </c>
      <c r="G630" s="75"/>
      <c r="H630" s="66">
        <f>1218000*Conversion!$A$2</f>
        <v>109473.84</v>
      </c>
      <c r="I630" t="s">
        <v>731</v>
      </c>
      <c r="J630" t="s">
        <v>472</v>
      </c>
      <c r="K630" t="s">
        <v>483</v>
      </c>
      <c r="N630" s="71" t="s">
        <v>1251</v>
      </c>
    </row>
    <row r="631" spans="1:14" x14ac:dyDescent="0.35">
      <c r="A631" t="str">
        <f>VLOOKUP(C631,Countries!$A$1:$D$205,2,FALSE)</f>
        <v>ESP</v>
      </c>
      <c r="B631" s="71" t="s">
        <v>1605</v>
      </c>
      <c r="C631" t="s">
        <v>284</v>
      </c>
      <c r="D631" s="71" t="s">
        <v>1603</v>
      </c>
      <c r="E631" t="s">
        <v>261</v>
      </c>
      <c r="F631" s="75">
        <v>2011</v>
      </c>
      <c r="G631" s="75"/>
      <c r="H631" s="66">
        <f>4588000*Conversion!$A$2</f>
        <v>412369.44</v>
      </c>
      <c r="I631" t="s">
        <v>731</v>
      </c>
      <c r="J631" t="s">
        <v>472</v>
      </c>
      <c r="K631" t="s">
        <v>483</v>
      </c>
      <c r="N631" s="71" t="s">
        <v>1251</v>
      </c>
    </row>
    <row r="632" spans="1:14" x14ac:dyDescent="0.35">
      <c r="A632" t="str">
        <f>VLOOKUP(C632,Countries!$A$1:$D$205,2,FALSE)</f>
        <v>ESP</v>
      </c>
      <c r="B632" s="71" t="s">
        <v>1591</v>
      </c>
      <c r="C632" t="s">
        <v>284</v>
      </c>
      <c r="D632" s="71" t="s">
        <v>1603</v>
      </c>
      <c r="E632" t="s">
        <v>261</v>
      </c>
      <c r="F632" s="75">
        <v>1990</v>
      </c>
      <c r="G632" s="75"/>
      <c r="H632" s="66">
        <f>1614000*Conversion!$A$2</f>
        <v>145066.32</v>
      </c>
      <c r="I632" t="s">
        <v>731</v>
      </c>
      <c r="J632" t="s">
        <v>472</v>
      </c>
      <c r="K632" t="s">
        <v>483</v>
      </c>
      <c r="N632" s="71" t="s">
        <v>1251</v>
      </c>
    </row>
    <row r="633" spans="1:14" ht="29" x14ac:dyDescent="0.35">
      <c r="A633" t="str">
        <f>VLOOKUP(C633,Countries!$A$1:$D$205,2,FALSE)</f>
        <v>ESP</v>
      </c>
      <c r="B633" s="71" t="s">
        <v>1591</v>
      </c>
      <c r="C633" t="s">
        <v>284</v>
      </c>
      <c r="D633" s="71" t="s">
        <v>1603</v>
      </c>
      <c r="E633" t="s">
        <v>261</v>
      </c>
      <c r="F633" s="75">
        <v>2020</v>
      </c>
      <c r="G633" s="75"/>
      <c r="H633" s="66">
        <f>85000*Conversion!$A$2</f>
        <v>7639.8</v>
      </c>
      <c r="I633" t="s">
        <v>731</v>
      </c>
      <c r="J633" t="s">
        <v>472</v>
      </c>
      <c r="K633" t="s">
        <v>732</v>
      </c>
      <c r="N633" s="71" t="s">
        <v>1606</v>
      </c>
    </row>
    <row r="634" spans="1:14" x14ac:dyDescent="0.35">
      <c r="A634" t="str">
        <f>VLOOKUP(C634,Countries!$A$1:$D$205,2,FALSE)</f>
        <v>ESP</v>
      </c>
      <c r="B634" s="71" t="s">
        <v>1568</v>
      </c>
      <c r="C634" t="s">
        <v>284</v>
      </c>
      <c r="D634" s="71" t="s">
        <v>1603</v>
      </c>
      <c r="E634" t="s">
        <v>261</v>
      </c>
      <c r="F634" s="75">
        <v>2018</v>
      </c>
      <c r="G634" s="75"/>
      <c r="H634" s="66">
        <f>83000*Conversion!$A$2</f>
        <v>7460.04</v>
      </c>
      <c r="I634" t="s">
        <v>731</v>
      </c>
      <c r="J634" t="s">
        <v>472</v>
      </c>
      <c r="K634" t="s">
        <v>732</v>
      </c>
      <c r="N634" s="71" t="s">
        <v>1604</v>
      </c>
    </row>
    <row r="635" spans="1:14" ht="58" x14ac:dyDescent="0.35">
      <c r="A635" t="str">
        <f>VLOOKUP(C635,Countries!$A$1:$D$205,2,FALSE)</f>
        <v>SWE</v>
      </c>
      <c r="B635" s="71" t="s">
        <v>1607</v>
      </c>
      <c r="C635" t="s">
        <v>298</v>
      </c>
      <c r="D635" s="71" t="s">
        <v>1608</v>
      </c>
      <c r="E635" t="s">
        <v>502</v>
      </c>
      <c r="F635" s="75">
        <v>2024</v>
      </c>
      <c r="G635" s="75"/>
      <c r="H635" s="66">
        <f>373000*Conversion!$A$2</f>
        <v>33525.24</v>
      </c>
      <c r="I635" t="s">
        <v>731</v>
      </c>
      <c r="J635" t="s">
        <v>472</v>
      </c>
      <c r="K635" t="s">
        <v>1162</v>
      </c>
      <c r="N635" s="71" t="s">
        <v>1609</v>
      </c>
    </row>
    <row r="636" spans="1:14" ht="29" x14ac:dyDescent="0.35">
      <c r="A636" t="str">
        <f>VLOOKUP(C636,Countries!$A$1:$D$205,2,FALSE)</f>
        <v>SWE</v>
      </c>
      <c r="B636" s="71" t="s">
        <v>1610</v>
      </c>
      <c r="C636" t="s">
        <v>298</v>
      </c>
      <c r="D636" s="71" t="s">
        <v>1611</v>
      </c>
      <c r="E636" t="s">
        <v>502</v>
      </c>
      <c r="F636" s="75">
        <v>2030</v>
      </c>
      <c r="G636" s="75"/>
      <c r="H636" s="66">
        <f>373000*Conversion!$A$2</f>
        <v>33525.24</v>
      </c>
      <c r="I636" t="s">
        <v>731</v>
      </c>
      <c r="J636" t="s">
        <v>472</v>
      </c>
      <c r="K636" t="s">
        <v>1162</v>
      </c>
      <c r="N636" s="71" t="s">
        <v>1612</v>
      </c>
    </row>
    <row r="637" spans="1:14" ht="43.5" x14ac:dyDescent="0.35">
      <c r="A637" t="str">
        <f>VLOOKUP(C637,Countries!$A$1:$D$205,2,FALSE)</f>
        <v>SWE</v>
      </c>
      <c r="B637" s="71" t="s">
        <v>1613</v>
      </c>
      <c r="C637" t="s">
        <v>298</v>
      </c>
      <c r="D637" s="71" t="s">
        <v>1614</v>
      </c>
      <c r="E637" t="s">
        <v>502</v>
      </c>
      <c r="F637" s="75">
        <v>2032</v>
      </c>
      <c r="G637" s="75"/>
      <c r="H637" s="66">
        <f>8533000*Conversion!$A$2</f>
        <v>766946.04</v>
      </c>
      <c r="I637" t="s">
        <v>731</v>
      </c>
      <c r="J637" t="s">
        <v>472</v>
      </c>
      <c r="K637" t="s">
        <v>503</v>
      </c>
      <c r="N637" s="71" t="s">
        <v>1615</v>
      </c>
    </row>
    <row r="638" spans="1:14" x14ac:dyDescent="0.35">
      <c r="A638" t="str">
        <f>VLOOKUP(C638,Countries!$A$1:$D$205,2,FALSE)</f>
        <v>SWE</v>
      </c>
      <c r="B638" s="71" t="s">
        <v>1616</v>
      </c>
      <c r="C638" t="s">
        <v>298</v>
      </c>
      <c r="D638" s="71" t="s">
        <v>1617</v>
      </c>
      <c r="E638" t="s">
        <v>261</v>
      </c>
      <c r="F638" s="75">
        <v>2010</v>
      </c>
      <c r="G638" s="75"/>
      <c r="H638" s="66">
        <f>36000*Conversion!$A$2</f>
        <v>3235.68</v>
      </c>
      <c r="I638" t="s">
        <v>731</v>
      </c>
      <c r="J638" t="s">
        <v>472</v>
      </c>
      <c r="K638" t="s">
        <v>503</v>
      </c>
      <c r="N638" s="71" t="s">
        <v>1251</v>
      </c>
    </row>
    <row r="639" spans="1:14" ht="43.5" x14ac:dyDescent="0.35">
      <c r="A639" t="str">
        <f>VLOOKUP(C639,Countries!$A$1:$D$205,2,FALSE)</f>
        <v>SWE</v>
      </c>
      <c r="B639" s="71" t="s">
        <v>1618</v>
      </c>
      <c r="C639" t="s">
        <v>298</v>
      </c>
      <c r="D639" s="71" t="s">
        <v>1619</v>
      </c>
      <c r="E639" t="s">
        <v>502</v>
      </c>
      <c r="F639" s="75">
        <v>2031</v>
      </c>
      <c r="G639" s="75"/>
      <c r="H639" s="66">
        <f>9067000*Conversion!$A$2</f>
        <v>814941.96</v>
      </c>
      <c r="I639" t="s">
        <v>731</v>
      </c>
      <c r="J639" t="s">
        <v>472</v>
      </c>
      <c r="K639" t="s">
        <v>503</v>
      </c>
      <c r="N639" s="71" t="s">
        <v>1620</v>
      </c>
    </row>
    <row r="640" spans="1:14" ht="58" x14ac:dyDescent="0.35">
      <c r="A640" t="str">
        <f>VLOOKUP(C640,Countries!$A$1:$D$205,2,FALSE)</f>
        <v>SWE</v>
      </c>
      <c r="B640" s="71" t="s">
        <v>1621</v>
      </c>
      <c r="C640" t="s">
        <v>298</v>
      </c>
      <c r="D640" s="71" t="s">
        <v>1619</v>
      </c>
      <c r="E640" t="s">
        <v>502</v>
      </c>
      <c r="F640" s="75">
        <v>2021</v>
      </c>
      <c r="G640" s="75"/>
      <c r="H640" s="66">
        <f>24000*Conversion!$A$2</f>
        <v>2157.12</v>
      </c>
      <c r="I640" t="s">
        <v>731</v>
      </c>
      <c r="J640" t="s">
        <v>472</v>
      </c>
      <c r="K640" t="s">
        <v>503</v>
      </c>
      <c r="N640" s="71" t="s">
        <v>1622</v>
      </c>
    </row>
    <row r="641" spans="1:14" ht="58" x14ac:dyDescent="0.35">
      <c r="A641" t="str">
        <f>VLOOKUP(C641,Countries!$A$1:$D$205,2,FALSE)</f>
        <v>SWE</v>
      </c>
      <c r="B641" s="71" t="s">
        <v>1623</v>
      </c>
      <c r="C641" t="s">
        <v>298</v>
      </c>
      <c r="D641" s="71" t="s">
        <v>1624</v>
      </c>
      <c r="E641" t="s">
        <v>502</v>
      </c>
      <c r="F641" s="75">
        <v>2026</v>
      </c>
      <c r="G641" s="75"/>
      <c r="H641" s="66">
        <f>24000*Conversion!$A$2</f>
        <v>2157.12</v>
      </c>
      <c r="I641" t="s">
        <v>731</v>
      </c>
      <c r="J641" t="s">
        <v>472</v>
      </c>
      <c r="K641" t="s">
        <v>1162</v>
      </c>
      <c r="N641" s="71" t="s">
        <v>1625</v>
      </c>
    </row>
    <row r="642" spans="1:14" x14ac:dyDescent="0.35">
      <c r="A642" t="str">
        <f>VLOOKUP(C642,Countries!$A$1:$D$205,2,FALSE)</f>
        <v>SWE</v>
      </c>
      <c r="B642" s="71" t="s">
        <v>1626</v>
      </c>
      <c r="C642" t="s">
        <v>298</v>
      </c>
      <c r="D642" s="71" t="s">
        <v>1627</v>
      </c>
      <c r="E642" t="s">
        <v>261</v>
      </c>
      <c r="F642" s="75">
        <v>1998</v>
      </c>
      <c r="G642" s="75"/>
      <c r="H642" s="66">
        <f>96000*Conversion!$A$2</f>
        <v>8628.48</v>
      </c>
      <c r="I642" t="s">
        <v>731</v>
      </c>
      <c r="J642" t="s">
        <v>472</v>
      </c>
      <c r="K642" t="s">
        <v>494</v>
      </c>
      <c r="N642" s="71" t="s">
        <v>1251</v>
      </c>
    </row>
    <row r="643" spans="1:14" x14ac:dyDescent="0.35">
      <c r="A643" t="str">
        <f>VLOOKUP(C643,Countries!$A$1:$D$205,2,FALSE)</f>
        <v>SWE</v>
      </c>
      <c r="B643" s="71" t="s">
        <v>1628</v>
      </c>
      <c r="C643" t="s">
        <v>298</v>
      </c>
      <c r="D643" s="71" t="s">
        <v>1629</v>
      </c>
      <c r="E643" t="s">
        <v>1486</v>
      </c>
      <c r="F643" s="75">
        <v>2001</v>
      </c>
      <c r="G643" s="75"/>
      <c r="H643" s="66">
        <f>227000*Conversion!$A$2</f>
        <v>20402.760000000002</v>
      </c>
      <c r="I643" t="s">
        <v>731</v>
      </c>
      <c r="J643" t="s">
        <v>472</v>
      </c>
      <c r="K643" t="s">
        <v>483</v>
      </c>
      <c r="N643" s="71" t="s">
        <v>1251</v>
      </c>
    </row>
    <row r="644" spans="1:14" ht="43.5" x14ac:dyDescent="0.35">
      <c r="A644" t="str">
        <f>VLOOKUP(C644,Countries!$A$1:$D$205,2,FALSE)</f>
        <v>SWE</v>
      </c>
      <c r="B644" s="71" t="s">
        <v>1630</v>
      </c>
      <c r="C644" t="s">
        <v>298</v>
      </c>
      <c r="D644" s="71" t="s">
        <v>1631</v>
      </c>
      <c r="E644" t="s">
        <v>502</v>
      </c>
      <c r="F644" s="75">
        <v>2022</v>
      </c>
      <c r="G644" s="75"/>
      <c r="H644" s="66">
        <f>107000*Conversion!$A$2</f>
        <v>9617.16</v>
      </c>
      <c r="I644" t="s">
        <v>731</v>
      </c>
      <c r="J644" t="s">
        <v>472</v>
      </c>
      <c r="K644" t="s">
        <v>503</v>
      </c>
      <c r="N644" s="71" t="s">
        <v>1632</v>
      </c>
    </row>
    <row r="645" spans="1:14" ht="43.5" x14ac:dyDescent="0.35">
      <c r="A645" t="str">
        <f>VLOOKUP(C645,Countries!$A$1:$D$205,2,FALSE)</f>
        <v>SWE</v>
      </c>
      <c r="B645" s="71" t="s">
        <v>1633</v>
      </c>
      <c r="C645" t="s">
        <v>298</v>
      </c>
      <c r="D645" s="71" t="s">
        <v>1634</v>
      </c>
      <c r="E645" t="s">
        <v>1327</v>
      </c>
      <c r="F645" s="75">
        <v>1996</v>
      </c>
      <c r="G645" s="75"/>
      <c r="H645" s="66">
        <f>1020000*Conversion!$A$2</f>
        <v>91677.6</v>
      </c>
      <c r="I645" t="s">
        <v>731</v>
      </c>
      <c r="J645" t="s">
        <v>472</v>
      </c>
      <c r="K645" t="s">
        <v>483</v>
      </c>
      <c r="N645" s="71" t="s">
        <v>1635</v>
      </c>
    </row>
    <row r="646" spans="1:14" ht="43.5" x14ac:dyDescent="0.35">
      <c r="A646" t="str">
        <f>VLOOKUP(C646,Countries!$A$1:$D$205,2,FALSE)</f>
        <v>SWE</v>
      </c>
      <c r="B646" s="71" t="s">
        <v>1633</v>
      </c>
      <c r="C646" t="s">
        <v>298</v>
      </c>
      <c r="D646" s="71" t="s">
        <v>1634</v>
      </c>
      <c r="E646" t="s">
        <v>261</v>
      </c>
      <c r="F646" s="75">
        <v>2019</v>
      </c>
      <c r="G646" s="75"/>
      <c r="H646" s="66">
        <f>425000*Conversion!$A$2</f>
        <v>38199</v>
      </c>
      <c r="I646" t="s">
        <v>731</v>
      </c>
      <c r="J646" t="s">
        <v>472</v>
      </c>
      <c r="K646" t="s">
        <v>483</v>
      </c>
      <c r="N646" s="71" t="s">
        <v>1635</v>
      </c>
    </row>
    <row r="647" spans="1:14" x14ac:dyDescent="0.35">
      <c r="A647" t="str">
        <f>VLOOKUP(C647,Countries!$A$1:$D$205,2,FALSE)</f>
        <v>SWE</v>
      </c>
      <c r="B647" s="71" t="s">
        <v>1633</v>
      </c>
      <c r="C647" t="s">
        <v>298</v>
      </c>
      <c r="D647" s="71" t="s">
        <v>1634</v>
      </c>
      <c r="E647" t="s">
        <v>502</v>
      </c>
      <c r="F647" s="75">
        <v>2021</v>
      </c>
      <c r="G647" s="75"/>
      <c r="H647" s="66">
        <f>267000*Conversion!$A$2</f>
        <v>23997.96</v>
      </c>
      <c r="I647" t="s">
        <v>731</v>
      </c>
      <c r="J647" t="s">
        <v>472</v>
      </c>
      <c r="K647" t="s">
        <v>732</v>
      </c>
      <c r="N647" s="71" t="s">
        <v>1463</v>
      </c>
    </row>
    <row r="648" spans="1:14" ht="43.5" x14ac:dyDescent="0.35">
      <c r="A648" t="str">
        <f>VLOOKUP(C648,Countries!$A$1:$D$205,2,FALSE)</f>
        <v>SWE</v>
      </c>
      <c r="B648" s="71" t="s">
        <v>1636</v>
      </c>
      <c r="C648" t="s">
        <v>298</v>
      </c>
      <c r="D648" s="71" t="s">
        <v>1637</v>
      </c>
      <c r="E648" t="s">
        <v>261</v>
      </c>
      <c r="F648" s="75">
        <v>1996</v>
      </c>
      <c r="G648" s="75"/>
      <c r="H648" s="66">
        <f>283000*Conversion!$A$2</f>
        <v>25436.04</v>
      </c>
      <c r="I648" t="s">
        <v>731</v>
      </c>
      <c r="J648" t="s">
        <v>472</v>
      </c>
      <c r="K648" t="s">
        <v>483</v>
      </c>
      <c r="N648" s="71" t="s">
        <v>1638</v>
      </c>
    </row>
    <row r="649" spans="1:14" ht="43.5" x14ac:dyDescent="0.35">
      <c r="A649" t="str">
        <f>VLOOKUP(C649,Countries!$A$1:$D$205,2,FALSE)</f>
        <v>SWE</v>
      </c>
      <c r="B649" s="71" t="s">
        <v>1636</v>
      </c>
      <c r="C649" t="s">
        <v>298</v>
      </c>
      <c r="D649" s="71" t="s">
        <v>1637</v>
      </c>
      <c r="E649" t="s">
        <v>502</v>
      </c>
      <c r="F649" s="75">
        <v>2024</v>
      </c>
      <c r="G649" s="75"/>
      <c r="H649" s="66">
        <f>1124000*Conversion!$A$2</f>
        <v>101025.12</v>
      </c>
      <c r="I649" t="s">
        <v>731</v>
      </c>
      <c r="J649" t="s">
        <v>472</v>
      </c>
      <c r="K649" t="s">
        <v>732</v>
      </c>
      <c r="N649" s="71" t="s">
        <v>1639</v>
      </c>
    </row>
    <row r="650" spans="1:14" ht="87" x14ac:dyDescent="0.35">
      <c r="A650" t="str">
        <f>VLOOKUP(C650,Countries!$A$1:$D$205,2,FALSE)</f>
        <v>SWE</v>
      </c>
      <c r="B650" s="71" t="s">
        <v>1636</v>
      </c>
      <c r="C650" t="s">
        <v>298</v>
      </c>
      <c r="D650" s="71" t="s">
        <v>1637</v>
      </c>
      <c r="E650" t="s">
        <v>502</v>
      </c>
      <c r="F650" s="75">
        <v>2030</v>
      </c>
      <c r="G650" s="75"/>
      <c r="H650" s="66">
        <f>2667000*Conversion!$A$2</f>
        <v>239709.96</v>
      </c>
      <c r="I650" t="s">
        <v>731</v>
      </c>
      <c r="J650" t="s">
        <v>472</v>
      </c>
      <c r="K650" t="s">
        <v>732</v>
      </c>
      <c r="N650" s="71" t="s">
        <v>1640</v>
      </c>
    </row>
    <row r="651" spans="1:14" ht="43.5" x14ac:dyDescent="0.35">
      <c r="A651" t="str">
        <f>VLOOKUP(C651,Countries!$A$1:$D$205,2,FALSE)</f>
        <v>SWE</v>
      </c>
      <c r="B651" s="71" t="s">
        <v>1641</v>
      </c>
      <c r="C651" t="s">
        <v>298</v>
      </c>
      <c r="D651" s="71" t="s">
        <v>1642</v>
      </c>
      <c r="E651" t="s">
        <v>502</v>
      </c>
      <c r="F651" s="75">
        <v>2026</v>
      </c>
      <c r="G651" s="75"/>
      <c r="H651" s="66">
        <f>1760000*Conversion!$A$2</f>
        <v>158188.79999999999</v>
      </c>
      <c r="I651" t="s">
        <v>731</v>
      </c>
      <c r="J651" t="s">
        <v>472</v>
      </c>
      <c r="K651" t="s">
        <v>1162</v>
      </c>
      <c r="N651" s="71" t="s">
        <v>1643</v>
      </c>
    </row>
    <row r="652" spans="1:14" ht="29" x14ac:dyDescent="0.35">
      <c r="A652" t="str">
        <f>VLOOKUP(C652,Countries!$A$1:$D$205,2,FALSE)</f>
        <v>SWE</v>
      </c>
      <c r="B652" s="71" t="s">
        <v>1633</v>
      </c>
      <c r="C652" t="s">
        <v>298</v>
      </c>
      <c r="D652" s="71" t="s">
        <v>1644</v>
      </c>
      <c r="E652" t="s">
        <v>502</v>
      </c>
      <c r="F652" s="75">
        <v>2022</v>
      </c>
      <c r="G652" s="75"/>
      <c r="H652" s="66">
        <f>267000*Conversion!$A$2</f>
        <v>23997.96</v>
      </c>
      <c r="I652" t="s">
        <v>731</v>
      </c>
      <c r="J652" t="s">
        <v>472</v>
      </c>
      <c r="K652" t="s">
        <v>732</v>
      </c>
      <c r="N652" s="71" t="s">
        <v>1645</v>
      </c>
    </row>
    <row r="653" spans="1:14" ht="29" x14ac:dyDescent="0.35">
      <c r="A653" t="str">
        <f>VLOOKUP(C653,Countries!$A$1:$D$205,2,FALSE)</f>
        <v>CHE</v>
      </c>
      <c r="B653" s="71" t="s">
        <v>1646</v>
      </c>
      <c r="C653" t="s">
        <v>437</v>
      </c>
      <c r="D653" s="71" t="s">
        <v>1647</v>
      </c>
      <c r="E653" t="s">
        <v>502</v>
      </c>
      <c r="F653" s="75">
        <v>1957</v>
      </c>
      <c r="G653" s="75"/>
      <c r="H653" s="66">
        <f>31000*Conversion!$A$2</f>
        <v>2786.28</v>
      </c>
      <c r="I653" t="s">
        <v>731</v>
      </c>
      <c r="J653" t="s">
        <v>472</v>
      </c>
      <c r="K653" t="s">
        <v>1648</v>
      </c>
      <c r="N653" s="71" t="s">
        <v>1649</v>
      </c>
    </row>
    <row r="654" spans="1:14" x14ac:dyDescent="0.35">
      <c r="A654" t="str">
        <f>VLOOKUP(C654,Countries!$A$1:$D$205,2,FALSE)</f>
        <v>CHE</v>
      </c>
      <c r="B654" s="71" t="s">
        <v>1650</v>
      </c>
      <c r="C654" t="s">
        <v>437</v>
      </c>
      <c r="D654" s="71" t="s">
        <v>1651</v>
      </c>
      <c r="E654" t="s">
        <v>1250</v>
      </c>
      <c r="H654" s="66">
        <f>256000*Conversion!$A$2</f>
        <v>23009.279999999999</v>
      </c>
      <c r="I654" t="s">
        <v>731</v>
      </c>
      <c r="J654" t="s">
        <v>472</v>
      </c>
      <c r="K654" t="s">
        <v>494</v>
      </c>
      <c r="N654" s="71" t="s">
        <v>1317</v>
      </c>
    </row>
    <row r="655" spans="1:14" ht="29" x14ac:dyDescent="0.35">
      <c r="A655" t="str">
        <f>VLOOKUP(C655,Countries!$A$1:$D$205,2,FALSE)</f>
        <v>CHE</v>
      </c>
      <c r="B655" s="71" t="s">
        <v>1652</v>
      </c>
      <c r="C655" t="s">
        <v>437</v>
      </c>
      <c r="D655" s="71" t="s">
        <v>1653</v>
      </c>
      <c r="E655" t="s">
        <v>1250</v>
      </c>
      <c r="F655" s="75">
        <v>2004</v>
      </c>
      <c r="G655" s="75"/>
      <c r="H655" s="66">
        <f>184000*Conversion!$A$2</f>
        <v>16537.920000000002</v>
      </c>
      <c r="I655" t="s">
        <v>731</v>
      </c>
      <c r="J655" t="s">
        <v>472</v>
      </c>
      <c r="K655" t="s">
        <v>483</v>
      </c>
      <c r="N655" s="71" t="s">
        <v>1654</v>
      </c>
    </row>
    <row r="656" spans="1:14" ht="29" x14ac:dyDescent="0.35">
      <c r="A656" t="str">
        <f>VLOOKUP(C656,Countries!$A$1:$D$205,2,FALSE)</f>
        <v>GBR</v>
      </c>
      <c r="B656" s="71" t="s">
        <v>1655</v>
      </c>
      <c r="C656" t="s">
        <v>449</v>
      </c>
      <c r="D656" s="71" t="s">
        <v>1656</v>
      </c>
      <c r="E656" t="s">
        <v>1657</v>
      </c>
      <c r="F656" s="75">
        <v>2027</v>
      </c>
      <c r="G656" s="75"/>
      <c r="H656" s="66"/>
      <c r="I656" t="s">
        <v>731</v>
      </c>
      <c r="J656" t="s">
        <v>472</v>
      </c>
      <c r="K656" t="s">
        <v>1074</v>
      </c>
      <c r="N656" s="71" t="s">
        <v>1658</v>
      </c>
    </row>
    <row r="657" spans="1:14" ht="43.5" x14ac:dyDescent="0.35">
      <c r="A657" t="str">
        <f>VLOOKUP(C657,Countries!$A$1:$D$205,2,FALSE)</f>
        <v>GBR</v>
      </c>
      <c r="B657" s="71" t="s">
        <v>1659</v>
      </c>
      <c r="C657" t="s">
        <v>449</v>
      </c>
      <c r="D657" s="71" t="s">
        <v>1660</v>
      </c>
      <c r="E657" t="s">
        <v>502</v>
      </c>
      <c r="F657" s="75">
        <v>2027</v>
      </c>
      <c r="G657" s="75"/>
      <c r="H657" s="66">
        <f>1600000*Conversion!$A$2</f>
        <v>143808</v>
      </c>
      <c r="I657" t="s">
        <v>731</v>
      </c>
      <c r="J657" t="s">
        <v>472</v>
      </c>
      <c r="K657" t="s">
        <v>1162</v>
      </c>
      <c r="N657" s="71" t="s">
        <v>1661</v>
      </c>
    </row>
    <row r="658" spans="1:14" ht="43.5" x14ac:dyDescent="0.35">
      <c r="A658" t="str">
        <f>VLOOKUP(C658,Countries!$A$1:$D$205,2,FALSE)</f>
        <v>GBR</v>
      </c>
      <c r="B658" s="71" t="s">
        <v>1662</v>
      </c>
      <c r="C658" t="s">
        <v>449</v>
      </c>
      <c r="D658" s="71" t="s">
        <v>1663</v>
      </c>
      <c r="E658" t="s">
        <v>261</v>
      </c>
      <c r="H658" s="66">
        <f>1416000*Conversion!$A$2</f>
        <v>127270.08</v>
      </c>
      <c r="I658" t="s">
        <v>731</v>
      </c>
      <c r="J658" t="s">
        <v>472</v>
      </c>
      <c r="K658" t="s">
        <v>483</v>
      </c>
      <c r="N658" s="71" t="s">
        <v>1251</v>
      </c>
    </row>
    <row r="659" spans="1:14" ht="43.5" x14ac:dyDescent="0.35">
      <c r="A659" t="str">
        <f>VLOOKUP(C659,Countries!$A$1:$D$205,2,FALSE)</f>
        <v>GBR</v>
      </c>
      <c r="B659" s="71" t="s">
        <v>1664</v>
      </c>
      <c r="C659" t="s">
        <v>449</v>
      </c>
      <c r="D659" s="71" t="s">
        <v>1531</v>
      </c>
      <c r="E659" t="s">
        <v>502</v>
      </c>
      <c r="F659" s="75">
        <v>2027</v>
      </c>
      <c r="G659" s="75"/>
      <c r="H659" s="66">
        <f>622000*Conversion!$A$2</f>
        <v>55905.36</v>
      </c>
      <c r="I659" t="s">
        <v>731</v>
      </c>
      <c r="J659" t="s">
        <v>472</v>
      </c>
      <c r="K659" t="s">
        <v>1074</v>
      </c>
      <c r="N659" s="71" t="s">
        <v>1665</v>
      </c>
    </row>
    <row r="660" spans="1:14" ht="43.5" x14ac:dyDescent="0.35">
      <c r="A660" t="str">
        <f>VLOOKUP(C660,Countries!$A$1:$D$205,2,FALSE)</f>
        <v>GBR</v>
      </c>
      <c r="B660" s="71" t="s">
        <v>1666</v>
      </c>
      <c r="C660" t="s">
        <v>449</v>
      </c>
      <c r="D660" s="71" t="s">
        <v>1667</v>
      </c>
      <c r="E660" t="s">
        <v>261</v>
      </c>
      <c r="F660" s="75">
        <v>1993</v>
      </c>
      <c r="G660" s="75"/>
      <c r="H660" s="66">
        <f>1388000*Conversion!$A$2</f>
        <v>124753.44</v>
      </c>
      <c r="I660" t="s">
        <v>731</v>
      </c>
      <c r="J660" t="s">
        <v>472</v>
      </c>
      <c r="K660" t="s">
        <v>483</v>
      </c>
      <c r="N660" s="71" t="s">
        <v>1668</v>
      </c>
    </row>
    <row r="661" spans="1:14" x14ac:dyDescent="0.35">
      <c r="A661" t="str">
        <f>VLOOKUP(C661,Countries!$A$1:$D$205,2,FALSE)</f>
        <v>GBR</v>
      </c>
      <c r="B661" s="71" t="s">
        <v>1669</v>
      </c>
      <c r="C661" t="s">
        <v>449</v>
      </c>
      <c r="D661" s="71" t="s">
        <v>1670</v>
      </c>
      <c r="E661" t="s">
        <v>1486</v>
      </c>
      <c r="F661" s="75">
        <v>2003</v>
      </c>
      <c r="G661" s="75"/>
      <c r="H661" s="66">
        <f>510000*Conversion!$A$2</f>
        <v>45838.8</v>
      </c>
      <c r="I661" t="s">
        <v>731</v>
      </c>
      <c r="J661" t="s">
        <v>472</v>
      </c>
      <c r="K661" t="s">
        <v>483</v>
      </c>
      <c r="N661" s="71" t="s">
        <v>1251</v>
      </c>
    </row>
    <row r="662" spans="1:14" x14ac:dyDescent="0.35">
      <c r="A662" t="str">
        <f>VLOOKUP(C662,Countries!$A$1:$D$205,2,FALSE)</f>
        <v>GBR</v>
      </c>
      <c r="B662" s="71" t="s">
        <v>1669</v>
      </c>
      <c r="C662" t="s">
        <v>449</v>
      </c>
      <c r="D662" s="71" t="s">
        <v>1670</v>
      </c>
      <c r="E662" t="s">
        <v>1486</v>
      </c>
      <c r="F662" s="75">
        <v>2020</v>
      </c>
      <c r="G662" s="75"/>
      <c r="H662" s="66">
        <f>380000*Conversion!$A$2</f>
        <v>34154.400000000001</v>
      </c>
      <c r="I662" t="s">
        <v>731</v>
      </c>
      <c r="J662" t="s">
        <v>472</v>
      </c>
      <c r="K662" t="s">
        <v>732</v>
      </c>
      <c r="N662" s="71" t="s">
        <v>1604</v>
      </c>
    </row>
    <row r="663" spans="1:14" ht="29" x14ac:dyDescent="0.35">
      <c r="A663" t="str">
        <f>VLOOKUP(C663,Countries!$A$1:$D$205,2,FALSE)</f>
        <v>GBR</v>
      </c>
      <c r="B663" s="71" t="s">
        <v>1669</v>
      </c>
      <c r="C663" t="s">
        <v>449</v>
      </c>
      <c r="D663" s="71" t="s">
        <v>1671</v>
      </c>
      <c r="E663" t="s">
        <v>261</v>
      </c>
      <c r="F663" s="75">
        <v>2010</v>
      </c>
      <c r="G663" s="75"/>
      <c r="H663" s="66">
        <f>595000*Conversion!$A$2</f>
        <v>53478.6</v>
      </c>
      <c r="I663" t="s">
        <v>731</v>
      </c>
      <c r="J663" t="s">
        <v>472</v>
      </c>
      <c r="K663" t="s">
        <v>483</v>
      </c>
      <c r="N663" s="71" t="s">
        <v>1672</v>
      </c>
    </row>
    <row r="664" spans="1:14" ht="29" x14ac:dyDescent="0.35">
      <c r="A664" t="str">
        <f>VLOOKUP(C664,Countries!$A$1:$D$205,2,FALSE)</f>
        <v>GBR</v>
      </c>
      <c r="B664" s="71" t="s">
        <v>1673</v>
      </c>
      <c r="C664" t="s">
        <v>449</v>
      </c>
      <c r="D664" s="71" t="s">
        <v>1674</v>
      </c>
      <c r="E664" t="s">
        <v>502</v>
      </c>
      <c r="F664" s="75">
        <v>2030</v>
      </c>
      <c r="G664" s="75"/>
      <c r="H664" s="66">
        <f>149000*Conversion!$A$2</f>
        <v>13392.12</v>
      </c>
      <c r="I664" t="s">
        <v>731</v>
      </c>
      <c r="J664" t="s">
        <v>472</v>
      </c>
      <c r="K664" t="s">
        <v>549</v>
      </c>
      <c r="N664" s="71" t="s">
        <v>1675</v>
      </c>
    </row>
    <row r="665" spans="1:14" ht="29" x14ac:dyDescent="0.35">
      <c r="A665" t="str">
        <f>VLOOKUP(C665,Countries!$A$1:$D$205,2,FALSE)</f>
        <v>GBR</v>
      </c>
      <c r="B665" s="71" t="s">
        <v>1676</v>
      </c>
      <c r="C665" t="s">
        <v>449</v>
      </c>
      <c r="D665" s="71" t="s">
        <v>1677</v>
      </c>
      <c r="E665" t="s">
        <v>1486</v>
      </c>
      <c r="F665" s="75">
        <v>1983</v>
      </c>
      <c r="G665" s="75"/>
      <c r="H665" s="66">
        <f>227000*Conversion!$A$2</f>
        <v>20402.760000000002</v>
      </c>
      <c r="I665" t="s">
        <v>731</v>
      </c>
      <c r="J665" t="s">
        <v>472</v>
      </c>
      <c r="K665" t="s">
        <v>483</v>
      </c>
      <c r="N665" s="71" t="s">
        <v>1251</v>
      </c>
    </row>
    <row r="666" spans="1:14" ht="29" x14ac:dyDescent="0.35">
      <c r="A666" t="str">
        <f>VLOOKUP(C666,Countries!$A$1:$D$205,2,FALSE)</f>
        <v>GBR</v>
      </c>
      <c r="B666" s="71" t="s">
        <v>1669</v>
      </c>
      <c r="C666" t="s">
        <v>449</v>
      </c>
      <c r="D666" s="71" t="s">
        <v>1678</v>
      </c>
      <c r="E666" t="s">
        <v>261</v>
      </c>
      <c r="F666" s="75">
        <v>2025</v>
      </c>
      <c r="G666" s="75"/>
      <c r="H666" s="66">
        <f>608000*Conversion!$A$2</f>
        <v>54647.040000000001</v>
      </c>
      <c r="I666" t="s">
        <v>731</v>
      </c>
      <c r="J666" t="s">
        <v>472</v>
      </c>
      <c r="K666" t="s">
        <v>732</v>
      </c>
      <c r="N666" s="71" t="s">
        <v>1679</v>
      </c>
    </row>
    <row r="667" spans="1:14" x14ac:dyDescent="0.35">
      <c r="A667" t="str">
        <f>VLOOKUP(C667,Countries!$A$1:$D$205,2,FALSE)</f>
        <v>AUT</v>
      </c>
      <c r="B667" s="71" t="s">
        <v>1680</v>
      </c>
      <c r="C667" t="s">
        <v>356</v>
      </c>
      <c r="D667" s="71" t="s">
        <v>1681</v>
      </c>
      <c r="E667" s="77" t="s">
        <v>261</v>
      </c>
      <c r="F667" s="75">
        <v>2005</v>
      </c>
      <c r="G667" s="75"/>
      <c r="I667" t="s">
        <v>471</v>
      </c>
      <c r="J667" t="s">
        <v>472</v>
      </c>
      <c r="K667" t="s">
        <v>503</v>
      </c>
      <c r="N667" s="71" t="s">
        <v>1682</v>
      </c>
    </row>
    <row r="668" spans="1:14" ht="29" x14ac:dyDescent="0.35">
      <c r="A668" t="str">
        <f>VLOOKUP(C668,Countries!$A$1:$D$205,2,FALSE)</f>
        <v>AUT</v>
      </c>
      <c r="B668" s="71" t="s">
        <v>1205</v>
      </c>
      <c r="C668" t="s">
        <v>356</v>
      </c>
      <c r="D668" s="71" t="s">
        <v>1681</v>
      </c>
      <c r="E668" s="77" t="s">
        <v>261</v>
      </c>
      <c r="F668" s="75">
        <v>2010</v>
      </c>
      <c r="G668" s="75"/>
      <c r="H668" s="66">
        <f>43000*Conversion!$A$2</f>
        <v>3864.84</v>
      </c>
      <c r="I668" t="s">
        <v>471</v>
      </c>
      <c r="J668" t="s">
        <v>472</v>
      </c>
      <c r="K668" t="s">
        <v>503</v>
      </c>
      <c r="N668" s="71" t="s">
        <v>1683</v>
      </c>
    </row>
    <row r="669" spans="1:14" ht="43.5" x14ac:dyDescent="0.35">
      <c r="A669" t="str">
        <f>VLOOKUP(C669,Countries!$A$1:$D$205,2,FALSE)</f>
        <v>AUT</v>
      </c>
      <c r="B669" s="71" t="s">
        <v>1205</v>
      </c>
      <c r="C669" t="s">
        <v>356</v>
      </c>
      <c r="D669" s="71" t="s">
        <v>1681</v>
      </c>
      <c r="E669" s="77" t="s">
        <v>261</v>
      </c>
      <c r="F669" s="75"/>
      <c r="G669" s="75"/>
      <c r="H669" s="66">
        <f>12000*Conversion!$A$2</f>
        <v>1078.56</v>
      </c>
      <c r="I669" t="s">
        <v>471</v>
      </c>
      <c r="J669" t="s">
        <v>472</v>
      </c>
      <c r="K669" t="s">
        <v>494</v>
      </c>
      <c r="N669" s="71" t="s">
        <v>1684</v>
      </c>
    </row>
    <row r="670" spans="1:14" ht="29" x14ac:dyDescent="0.35">
      <c r="A670" t="str">
        <f>VLOOKUP(C670,Countries!$A$1:$D$205,2,FALSE)</f>
        <v>AUT</v>
      </c>
      <c r="B670" s="71" t="s">
        <v>1685</v>
      </c>
      <c r="C670" t="s">
        <v>356</v>
      </c>
      <c r="D670" s="71" t="s">
        <v>1681</v>
      </c>
      <c r="E670" s="77" t="s">
        <v>261</v>
      </c>
      <c r="F670" s="75">
        <v>2006</v>
      </c>
      <c r="G670" s="75"/>
      <c r="H670" s="66"/>
      <c r="I670" t="s">
        <v>471</v>
      </c>
      <c r="J670" t="s">
        <v>472</v>
      </c>
      <c r="K670" t="s">
        <v>503</v>
      </c>
      <c r="N670" s="71" t="s">
        <v>1686</v>
      </c>
    </row>
    <row r="671" spans="1:14" x14ac:dyDescent="0.35">
      <c r="A671" t="str">
        <f>VLOOKUP(C671,Countries!$A$1:$D$205,2,FALSE)</f>
        <v>AUT</v>
      </c>
      <c r="B671" s="71" t="s">
        <v>1687</v>
      </c>
      <c r="C671" t="s">
        <v>356</v>
      </c>
      <c r="D671" s="71" t="s">
        <v>1688</v>
      </c>
      <c r="E671" s="77" t="s">
        <v>261</v>
      </c>
      <c r="F671" s="75"/>
      <c r="G671" s="75"/>
      <c r="I671" t="s">
        <v>471</v>
      </c>
      <c r="J671" t="s">
        <v>472</v>
      </c>
      <c r="K671" t="s">
        <v>1472</v>
      </c>
      <c r="N671" s="71" t="s">
        <v>1251</v>
      </c>
    </row>
    <row r="672" spans="1:14" x14ac:dyDescent="0.35">
      <c r="A672" t="str">
        <f>VLOOKUP(C672,Countries!$A$1:$D$205,2,FALSE)</f>
        <v>AUT</v>
      </c>
      <c r="B672" s="71" t="s">
        <v>1689</v>
      </c>
      <c r="C672" t="s">
        <v>356</v>
      </c>
      <c r="D672" s="71" t="s">
        <v>1688</v>
      </c>
      <c r="E672" s="77" t="s">
        <v>261</v>
      </c>
      <c r="F672" s="75"/>
      <c r="G672" s="75"/>
      <c r="I672" t="s">
        <v>471</v>
      </c>
      <c r="J672" t="s">
        <v>472</v>
      </c>
      <c r="K672" t="s">
        <v>1472</v>
      </c>
      <c r="N672" s="71" t="s">
        <v>1690</v>
      </c>
    </row>
    <row r="673" spans="1:14" ht="29" x14ac:dyDescent="0.35">
      <c r="A673" t="str">
        <f>VLOOKUP(C673,Countries!$A$1:$D$205,2,FALSE)</f>
        <v>AUT</v>
      </c>
      <c r="B673" s="71" t="s">
        <v>1691</v>
      </c>
      <c r="C673" t="s">
        <v>356</v>
      </c>
      <c r="D673" s="71" t="s">
        <v>1688</v>
      </c>
      <c r="E673" s="77" t="s">
        <v>261</v>
      </c>
      <c r="F673" s="75">
        <v>1991</v>
      </c>
      <c r="G673" s="75"/>
      <c r="I673" t="s">
        <v>471</v>
      </c>
      <c r="J673" t="s">
        <v>472</v>
      </c>
      <c r="K673" t="s">
        <v>494</v>
      </c>
      <c r="N673" s="71" t="s">
        <v>1692</v>
      </c>
    </row>
    <row r="674" spans="1:14" ht="58" x14ac:dyDescent="0.35">
      <c r="A674" t="str">
        <f>VLOOKUP(C674,Countries!$A$1:$D$205,2,FALSE)</f>
        <v>BEL</v>
      </c>
      <c r="B674" s="71" t="s">
        <v>1208</v>
      </c>
      <c r="C674" t="s">
        <v>46</v>
      </c>
      <c r="D674" s="71" t="s">
        <v>1693</v>
      </c>
      <c r="E674" s="77" t="s">
        <v>261</v>
      </c>
      <c r="F674">
        <v>2011</v>
      </c>
      <c r="H674" s="66">
        <f>5001000*Conversion!$A$2</f>
        <v>449489.88</v>
      </c>
      <c r="I674" t="s">
        <v>471</v>
      </c>
      <c r="J674" t="s">
        <v>472</v>
      </c>
      <c r="K674" t="s">
        <v>1694</v>
      </c>
      <c r="N674" s="71" t="s">
        <v>1695</v>
      </c>
    </row>
    <row r="675" spans="1:14" x14ac:dyDescent="0.35">
      <c r="A675" t="str">
        <f>VLOOKUP(C675,Countries!$A$1:$D$205,2,FALSE)</f>
        <v>BEL</v>
      </c>
      <c r="B675" s="71" t="s">
        <v>1696</v>
      </c>
      <c r="C675" t="s">
        <v>46</v>
      </c>
      <c r="D675" s="71" t="s">
        <v>1693</v>
      </c>
      <c r="E675" s="77" t="s">
        <v>1697</v>
      </c>
      <c r="F675" s="75">
        <v>1998</v>
      </c>
      <c r="G675" s="75"/>
      <c r="H675" s="66">
        <f>240000*Conversion!$A$2</f>
        <v>21571.200000000001</v>
      </c>
      <c r="I675" t="s">
        <v>471</v>
      </c>
      <c r="J675" t="s">
        <v>472</v>
      </c>
      <c r="K675" t="s">
        <v>1694</v>
      </c>
      <c r="N675" s="71" t="s">
        <v>1698</v>
      </c>
    </row>
    <row r="676" spans="1:14" ht="43.5" x14ac:dyDescent="0.35">
      <c r="A676" t="str">
        <f>VLOOKUP(C676,Countries!$A$1:$D$205,2,FALSE)</f>
        <v>BEL</v>
      </c>
      <c r="B676" s="71" t="s">
        <v>1699</v>
      </c>
      <c r="C676" t="s">
        <v>46</v>
      </c>
      <c r="D676" s="71" t="s">
        <v>1700</v>
      </c>
      <c r="E676" s="77" t="s">
        <v>1701</v>
      </c>
      <c r="F676" s="75">
        <v>2028</v>
      </c>
      <c r="G676" s="75"/>
      <c r="H676" s="66">
        <f>2667000*Conversion!$A$2</f>
        <v>239709.96</v>
      </c>
      <c r="I676" t="s">
        <v>471</v>
      </c>
      <c r="J676" t="s">
        <v>472</v>
      </c>
      <c r="K676" t="s">
        <v>549</v>
      </c>
      <c r="N676" s="71" t="s">
        <v>1702</v>
      </c>
    </row>
    <row r="677" spans="1:14" ht="43.5" x14ac:dyDescent="0.35">
      <c r="A677" t="str">
        <f>VLOOKUP(C677,Countries!$A$1:$D$205,2,FALSE)</f>
        <v>BEL</v>
      </c>
      <c r="B677" s="71" t="s">
        <v>1703</v>
      </c>
      <c r="C677" t="s">
        <v>46</v>
      </c>
      <c r="D677" s="71" t="s">
        <v>1704</v>
      </c>
      <c r="E677" s="77" t="s">
        <v>502</v>
      </c>
      <c r="F677" s="75">
        <v>2031</v>
      </c>
      <c r="G677" s="75"/>
      <c r="H677" s="66">
        <f>533000*Conversion!$A$2</f>
        <v>47906.04</v>
      </c>
      <c r="I677" t="s">
        <v>471</v>
      </c>
      <c r="J677" t="s">
        <v>472</v>
      </c>
      <c r="K677" t="s">
        <v>549</v>
      </c>
      <c r="N677" s="71" t="s">
        <v>1705</v>
      </c>
    </row>
    <row r="678" spans="1:14" ht="43.5" x14ac:dyDescent="0.35">
      <c r="A678" t="str">
        <f>VLOOKUP(C678,Countries!$A$1:$D$205,2,FALSE)</f>
        <v>DNK</v>
      </c>
      <c r="B678" s="71" t="s">
        <v>1706</v>
      </c>
      <c r="C678" t="s">
        <v>108</v>
      </c>
      <c r="D678" s="71" t="s">
        <v>1707</v>
      </c>
      <c r="E678" s="77" t="s">
        <v>502</v>
      </c>
      <c r="F678" s="75">
        <v>2035</v>
      </c>
      <c r="G678" s="75"/>
      <c r="H678" s="66">
        <f>53333000*Conversion!$A$2</f>
        <v>4793570.04</v>
      </c>
      <c r="I678" t="s">
        <v>471</v>
      </c>
      <c r="J678" t="s">
        <v>472</v>
      </c>
      <c r="K678" t="s">
        <v>549</v>
      </c>
      <c r="N678" s="71" t="s">
        <v>1708</v>
      </c>
    </row>
    <row r="679" spans="1:14" ht="43.5" x14ac:dyDescent="0.35">
      <c r="A679" t="str">
        <f>VLOOKUP(C679,Countries!$A$1:$D$205,2,FALSE)</f>
        <v>DNK</v>
      </c>
      <c r="B679" s="71" t="s">
        <v>1231</v>
      </c>
      <c r="C679" t="s">
        <v>108</v>
      </c>
      <c r="D679" s="71" t="s">
        <v>1709</v>
      </c>
      <c r="E679" s="77" t="s">
        <v>502</v>
      </c>
      <c r="F679" s="75">
        <v>2024</v>
      </c>
      <c r="G679" s="75"/>
      <c r="H679" s="66">
        <f>32000*Conversion!$A$2</f>
        <v>2876.16</v>
      </c>
      <c r="I679" t="s">
        <v>471</v>
      </c>
      <c r="J679" t="s">
        <v>472</v>
      </c>
      <c r="K679" t="s">
        <v>549</v>
      </c>
      <c r="N679" s="71" t="s">
        <v>1710</v>
      </c>
    </row>
    <row r="680" spans="1:14" x14ac:dyDescent="0.35">
      <c r="A680" t="str">
        <f>VLOOKUP(C680,Countries!$A$1:$D$205,2,FALSE)</f>
        <v>DNK</v>
      </c>
      <c r="B680" s="71" t="s">
        <v>1242</v>
      </c>
      <c r="C680" t="s">
        <v>108</v>
      </c>
      <c r="D680" s="71" t="s">
        <v>1711</v>
      </c>
      <c r="E680" s="77" t="s">
        <v>502</v>
      </c>
      <c r="F680" s="75">
        <v>2025</v>
      </c>
      <c r="G680" s="75"/>
      <c r="H680" s="66">
        <f>5333000*Conversion!$A$2</f>
        <v>479330.04000000004</v>
      </c>
      <c r="I680" t="s">
        <v>471</v>
      </c>
      <c r="J680" t="s">
        <v>472</v>
      </c>
      <c r="K680" t="s">
        <v>549</v>
      </c>
      <c r="N680" s="71" t="s">
        <v>1712</v>
      </c>
    </row>
    <row r="681" spans="1:14" ht="87" x14ac:dyDescent="0.35">
      <c r="A681" t="str">
        <f>VLOOKUP(C681,Countries!$A$1:$D$205,2,FALSE)</f>
        <v>DNK</v>
      </c>
      <c r="B681" s="71" t="s">
        <v>1713</v>
      </c>
      <c r="C681" t="s">
        <v>108</v>
      </c>
      <c r="D681" s="71" t="s">
        <v>1714</v>
      </c>
      <c r="E681" s="77" t="s">
        <v>502</v>
      </c>
      <c r="F681" s="75">
        <v>2030</v>
      </c>
      <c r="G681" s="75"/>
      <c r="H681" s="66">
        <f>107000*Conversion!$A$2</f>
        <v>9617.16</v>
      </c>
      <c r="I681" t="s">
        <v>471</v>
      </c>
      <c r="J681" t="s">
        <v>472</v>
      </c>
      <c r="K681" t="s">
        <v>1202</v>
      </c>
      <c r="N681" s="71" t="s">
        <v>1715</v>
      </c>
    </row>
    <row r="682" spans="1:14" x14ac:dyDescent="0.35">
      <c r="A682" t="str">
        <f>VLOOKUP(C682,Countries!$A$1:$D$205,2,FALSE)</f>
        <v>DNK</v>
      </c>
      <c r="B682" s="71" t="s">
        <v>1716</v>
      </c>
      <c r="C682" t="s">
        <v>108</v>
      </c>
      <c r="D682" s="71" t="s">
        <v>1717</v>
      </c>
      <c r="E682" s="77" t="s">
        <v>502</v>
      </c>
      <c r="F682" s="75">
        <v>2016</v>
      </c>
      <c r="G682" s="75"/>
      <c r="H682" s="66">
        <f>5000*Conversion!$A$2</f>
        <v>449.40000000000003</v>
      </c>
      <c r="I682" t="s">
        <v>471</v>
      </c>
      <c r="J682" t="s">
        <v>472</v>
      </c>
      <c r="K682" t="s">
        <v>1472</v>
      </c>
      <c r="N682" s="71" t="s">
        <v>1718</v>
      </c>
    </row>
    <row r="683" spans="1:14" x14ac:dyDescent="0.35">
      <c r="A683" t="str">
        <f>VLOOKUP(C683,Countries!$A$1:$D$205,2,FALSE)</f>
        <v>DNK</v>
      </c>
      <c r="B683" s="71" t="s">
        <v>1719</v>
      </c>
      <c r="C683" t="s">
        <v>108</v>
      </c>
      <c r="D683" s="71" t="s">
        <v>1720</v>
      </c>
      <c r="E683" s="77" t="s">
        <v>261</v>
      </c>
      <c r="F683" s="75">
        <v>2013</v>
      </c>
      <c r="G683" s="75"/>
      <c r="H683" s="66">
        <f>12000*Conversion!$A$2</f>
        <v>1078.56</v>
      </c>
      <c r="I683" t="s">
        <v>471</v>
      </c>
      <c r="J683" t="s">
        <v>472</v>
      </c>
      <c r="K683" t="s">
        <v>494</v>
      </c>
    </row>
    <row r="684" spans="1:14" x14ac:dyDescent="0.35">
      <c r="A684" t="str">
        <f>VLOOKUP(C684,Countries!$A$1:$D$205,2,FALSE)</f>
        <v>FIN</v>
      </c>
      <c r="B684" s="71" t="s">
        <v>1721</v>
      </c>
      <c r="C684" t="s">
        <v>130</v>
      </c>
      <c r="D684" s="71" t="s">
        <v>1722</v>
      </c>
      <c r="E684" s="77" t="s">
        <v>261</v>
      </c>
      <c r="F684" s="75"/>
      <c r="G684" s="75"/>
      <c r="H684" s="66"/>
      <c r="I684" t="s">
        <v>471</v>
      </c>
      <c r="J684" t="s">
        <v>472</v>
      </c>
      <c r="K684" t="s">
        <v>1472</v>
      </c>
      <c r="N684" s="71" t="s">
        <v>1723</v>
      </c>
    </row>
    <row r="685" spans="1:14" x14ac:dyDescent="0.35">
      <c r="A685" t="str">
        <f>VLOOKUP(C685,Countries!$A$1:$D$205,2,FALSE)</f>
        <v>FIN</v>
      </c>
      <c r="B685" s="71" t="s">
        <v>1724</v>
      </c>
      <c r="C685" t="s">
        <v>130</v>
      </c>
      <c r="D685" s="71" t="s">
        <v>1722</v>
      </c>
      <c r="E685" s="77" t="s">
        <v>261</v>
      </c>
      <c r="F685" s="75"/>
      <c r="G685" s="75"/>
      <c r="H685" s="66">
        <f>1075000*Conversion!$A$2</f>
        <v>96621</v>
      </c>
      <c r="I685" t="s">
        <v>471</v>
      </c>
      <c r="J685" t="s">
        <v>472</v>
      </c>
      <c r="K685" t="s">
        <v>483</v>
      </c>
      <c r="N685" s="71" t="s">
        <v>1725</v>
      </c>
    </row>
    <row r="686" spans="1:14" ht="29" x14ac:dyDescent="0.35">
      <c r="A686" t="str">
        <f>VLOOKUP(C686,Countries!$A$1:$D$205,2,FALSE)</f>
        <v>FIN</v>
      </c>
      <c r="B686" s="71" t="s">
        <v>1292</v>
      </c>
      <c r="C686" t="s">
        <v>130</v>
      </c>
      <c r="D686" s="71" t="s">
        <v>1722</v>
      </c>
      <c r="E686" s="77" t="s">
        <v>261</v>
      </c>
      <c r="F686" s="75">
        <v>2016</v>
      </c>
      <c r="G686" s="75"/>
      <c r="H686" s="66">
        <f>17000*Conversion!$A$2</f>
        <v>1527.96</v>
      </c>
      <c r="I686" t="s">
        <v>471</v>
      </c>
      <c r="J686" t="s">
        <v>472</v>
      </c>
      <c r="K686" t="s">
        <v>483</v>
      </c>
      <c r="N686" s="71" t="s">
        <v>1726</v>
      </c>
    </row>
    <row r="687" spans="1:14" x14ac:dyDescent="0.35">
      <c r="A687" t="str">
        <f>VLOOKUP(C687,Countries!$A$1:$D$205,2,FALSE)</f>
        <v>FIN</v>
      </c>
      <c r="B687" s="71" t="s">
        <v>1727</v>
      </c>
      <c r="C687" t="s">
        <v>130</v>
      </c>
      <c r="D687" s="71" t="s">
        <v>1722</v>
      </c>
      <c r="E687" s="77" t="s">
        <v>261</v>
      </c>
      <c r="F687" s="75"/>
      <c r="G687" s="75"/>
      <c r="H687" s="66"/>
      <c r="I687" t="s">
        <v>471</v>
      </c>
      <c r="J687" t="s">
        <v>472</v>
      </c>
      <c r="K687" t="s">
        <v>1472</v>
      </c>
      <c r="N687" s="71" t="s">
        <v>1723</v>
      </c>
    </row>
    <row r="688" spans="1:14" x14ac:dyDescent="0.35">
      <c r="A688" t="str">
        <f>VLOOKUP(C688,Countries!$A$1:$D$205,2,FALSE)</f>
        <v>FIN</v>
      </c>
      <c r="B688" s="71" t="s">
        <v>1728</v>
      </c>
      <c r="C688" t="s">
        <v>130</v>
      </c>
      <c r="D688" s="71" t="s">
        <v>1729</v>
      </c>
      <c r="E688" s="77" t="s">
        <v>261</v>
      </c>
      <c r="F688" s="75"/>
      <c r="G688" s="75"/>
      <c r="H688" s="66"/>
      <c r="I688" t="s">
        <v>471</v>
      </c>
      <c r="J688" t="s">
        <v>472</v>
      </c>
      <c r="K688" t="s">
        <v>1472</v>
      </c>
      <c r="N688" s="71"/>
    </row>
    <row r="689" spans="1:14" ht="29" x14ac:dyDescent="0.35">
      <c r="A689" t="str">
        <f>VLOOKUP(C689,Countries!$A$1:$D$205,2,FALSE)</f>
        <v>FIN</v>
      </c>
      <c r="B689" s="71" t="s">
        <v>1728</v>
      </c>
      <c r="C689" t="s">
        <v>130</v>
      </c>
      <c r="D689" s="71" t="s">
        <v>1729</v>
      </c>
      <c r="E689" s="77" t="s">
        <v>502</v>
      </c>
      <c r="F689" s="75">
        <v>2025</v>
      </c>
      <c r="G689" s="75"/>
      <c r="H689" s="66">
        <f>48000*Conversion!$A$2</f>
        <v>4314.24</v>
      </c>
      <c r="I689" t="s">
        <v>471</v>
      </c>
      <c r="J689" t="s">
        <v>472</v>
      </c>
      <c r="K689" t="s">
        <v>549</v>
      </c>
      <c r="N689" s="71" t="s">
        <v>1730</v>
      </c>
    </row>
    <row r="690" spans="1:14" x14ac:dyDescent="0.35">
      <c r="A690" t="str">
        <f>VLOOKUP(C690,Countries!$A$1:$D$205,2,FALSE)</f>
        <v>FIN</v>
      </c>
      <c r="B690" s="71" t="s">
        <v>1731</v>
      </c>
      <c r="C690" t="s">
        <v>130</v>
      </c>
      <c r="D690" s="71" t="s">
        <v>1729</v>
      </c>
      <c r="E690" s="77" t="s">
        <v>502</v>
      </c>
      <c r="F690" s="75">
        <v>2012</v>
      </c>
      <c r="G690" s="75"/>
      <c r="H690" s="66">
        <f>80000*Conversion!$A$2</f>
        <v>7190.4000000000005</v>
      </c>
      <c r="I690" t="s">
        <v>471</v>
      </c>
      <c r="J690" t="s">
        <v>472</v>
      </c>
      <c r="K690" t="s">
        <v>1472</v>
      </c>
      <c r="N690" s="71" t="s">
        <v>1732</v>
      </c>
    </row>
    <row r="691" spans="1:14" ht="29" x14ac:dyDescent="0.35">
      <c r="A691" t="str">
        <f>VLOOKUP(C691,Countries!$A$1:$D$205,2,FALSE)</f>
        <v>FRA</v>
      </c>
      <c r="B691" s="71" t="s">
        <v>1733</v>
      </c>
      <c r="C691" t="s">
        <v>132</v>
      </c>
      <c r="D691" s="71" t="s">
        <v>1734</v>
      </c>
      <c r="E691" s="77" t="s">
        <v>261</v>
      </c>
      <c r="F691" s="75">
        <v>1988</v>
      </c>
      <c r="G691" s="75"/>
      <c r="I691" t="s">
        <v>471</v>
      </c>
      <c r="J691" t="s">
        <v>472</v>
      </c>
      <c r="K691" s="77" t="s">
        <v>1735</v>
      </c>
      <c r="N691" s="71"/>
    </row>
    <row r="692" spans="1:14" ht="29" x14ac:dyDescent="0.35">
      <c r="A692" t="str">
        <f>VLOOKUP(C692,Countries!$A$1:$D$205,2,FALSE)</f>
        <v>FRA</v>
      </c>
      <c r="B692" s="71" t="s">
        <v>1270</v>
      </c>
      <c r="C692" t="s">
        <v>132</v>
      </c>
      <c r="D692" s="71" t="s">
        <v>1734</v>
      </c>
      <c r="E692" s="77" t="s">
        <v>498</v>
      </c>
      <c r="F692" s="75"/>
      <c r="G692" s="75"/>
      <c r="H692" s="66">
        <f>578000*Conversion!$A$2</f>
        <v>51950.64</v>
      </c>
      <c r="I692" t="s">
        <v>471</v>
      </c>
      <c r="J692" t="s">
        <v>493</v>
      </c>
      <c r="K692" s="77" t="s">
        <v>494</v>
      </c>
      <c r="N692" s="71" t="s">
        <v>1736</v>
      </c>
    </row>
    <row r="693" spans="1:14" ht="29" x14ac:dyDescent="0.35">
      <c r="A693" t="str">
        <f>VLOOKUP(C693,Countries!$A$1:$D$205,2,FALSE)</f>
        <v>FRA</v>
      </c>
      <c r="B693" s="71" t="s">
        <v>1737</v>
      </c>
      <c r="C693" t="s">
        <v>132</v>
      </c>
      <c r="D693" s="71" t="s">
        <v>1734</v>
      </c>
      <c r="E693" s="77" t="s">
        <v>261</v>
      </c>
      <c r="F693" s="75">
        <v>2001</v>
      </c>
      <c r="G693" s="75"/>
      <c r="H693" s="66">
        <f>19000*Conversion!$A$2</f>
        <v>1707.72</v>
      </c>
      <c r="I693" t="s">
        <v>471</v>
      </c>
      <c r="J693" t="s">
        <v>472</v>
      </c>
      <c r="K693" s="77" t="s">
        <v>503</v>
      </c>
      <c r="N693" s="71" t="s">
        <v>1738</v>
      </c>
    </row>
    <row r="694" spans="1:14" ht="29" x14ac:dyDescent="0.35">
      <c r="A694" t="str">
        <f>VLOOKUP(C694,Countries!$A$1:$D$205,2,FALSE)</f>
        <v>FRA</v>
      </c>
      <c r="B694" s="71" t="s">
        <v>1739</v>
      </c>
      <c r="C694" t="s">
        <v>132</v>
      </c>
      <c r="D694" s="71" t="s">
        <v>1734</v>
      </c>
      <c r="E694" s="77" t="s">
        <v>261</v>
      </c>
      <c r="F694" s="75"/>
      <c r="G694" s="75"/>
      <c r="H694" s="66">
        <f>43000*Conversion!$A$2</f>
        <v>3864.84</v>
      </c>
      <c r="I694" t="s">
        <v>471</v>
      </c>
      <c r="J694" t="s">
        <v>472</v>
      </c>
      <c r="K694" s="77" t="s">
        <v>494</v>
      </c>
      <c r="N694" s="71" t="s">
        <v>1740</v>
      </c>
    </row>
    <row r="695" spans="1:14" ht="29" x14ac:dyDescent="0.35">
      <c r="A695" t="str">
        <f>VLOOKUP(C695,Countries!$A$1:$D$205,2,FALSE)</f>
        <v>FRA</v>
      </c>
      <c r="B695" s="71" t="s">
        <v>1273</v>
      </c>
      <c r="C695" t="s">
        <v>132</v>
      </c>
      <c r="D695" s="71" t="s">
        <v>1734</v>
      </c>
      <c r="E695" s="77" t="s">
        <v>261</v>
      </c>
      <c r="F695" s="75">
        <v>2006</v>
      </c>
      <c r="G695" s="75"/>
      <c r="H695" s="66">
        <f>600000*Conversion!$A$2</f>
        <v>53928</v>
      </c>
      <c r="I695" t="s">
        <v>471</v>
      </c>
      <c r="J695" t="s">
        <v>472</v>
      </c>
      <c r="K695" s="77" t="s">
        <v>483</v>
      </c>
      <c r="N695" s="71" t="s">
        <v>1741</v>
      </c>
    </row>
    <row r="696" spans="1:14" ht="29" x14ac:dyDescent="0.35">
      <c r="A696" t="str">
        <f>VLOOKUP(C696,Countries!$A$1:$D$205,2,FALSE)</f>
        <v>FRA</v>
      </c>
      <c r="B696" s="71" t="s">
        <v>1273</v>
      </c>
      <c r="C696" t="s">
        <v>132</v>
      </c>
      <c r="D696" s="71" t="s">
        <v>1734</v>
      </c>
      <c r="E696" s="77" t="s">
        <v>498</v>
      </c>
      <c r="F696" s="75">
        <v>2016</v>
      </c>
      <c r="G696" s="75"/>
      <c r="H696" s="66">
        <f>296000*Conversion!$A$2</f>
        <v>26604.48</v>
      </c>
      <c r="I696" t="s">
        <v>471</v>
      </c>
      <c r="J696" t="s">
        <v>493</v>
      </c>
      <c r="K696" s="77" t="s">
        <v>1694</v>
      </c>
      <c r="N696" s="71" t="s">
        <v>1742</v>
      </c>
    </row>
    <row r="697" spans="1:14" ht="29" x14ac:dyDescent="0.35">
      <c r="A697" t="str">
        <f>VLOOKUP(C697,Countries!$A$1:$D$205,2,FALSE)</f>
        <v>FRA</v>
      </c>
      <c r="B697" s="71" t="s">
        <v>1743</v>
      </c>
      <c r="C697" t="s">
        <v>132</v>
      </c>
      <c r="D697" s="71" t="s">
        <v>1734</v>
      </c>
      <c r="E697" s="77" t="s">
        <v>261</v>
      </c>
      <c r="F697" s="75">
        <v>2010</v>
      </c>
      <c r="G697" s="75"/>
      <c r="H697" s="66">
        <f>122000*Conversion!$A$2</f>
        <v>10965.36</v>
      </c>
      <c r="I697" t="s">
        <v>471</v>
      </c>
      <c r="J697" t="s">
        <v>472</v>
      </c>
      <c r="K697" s="77" t="s">
        <v>1694</v>
      </c>
      <c r="N697" s="71" t="s">
        <v>1744</v>
      </c>
    </row>
    <row r="698" spans="1:14" ht="29" x14ac:dyDescent="0.35">
      <c r="A698" t="str">
        <f>VLOOKUP(C698,Countries!$A$1:$D$205,2,FALSE)</f>
        <v>FRA</v>
      </c>
      <c r="B698" s="71" t="s">
        <v>1745</v>
      </c>
      <c r="C698" t="s">
        <v>132</v>
      </c>
      <c r="D698" s="71" t="s">
        <v>1734</v>
      </c>
      <c r="E698" s="77" t="s">
        <v>613</v>
      </c>
      <c r="F698" s="75"/>
      <c r="G698" s="75"/>
      <c r="H698" s="66">
        <f>175000*Conversion!$A$2</f>
        <v>15729</v>
      </c>
      <c r="I698" t="s">
        <v>471</v>
      </c>
      <c r="J698" t="s">
        <v>472</v>
      </c>
      <c r="K698" s="77" t="s">
        <v>494</v>
      </c>
      <c r="N698" s="71" t="s">
        <v>1746</v>
      </c>
    </row>
    <row r="699" spans="1:14" ht="29" x14ac:dyDescent="0.35">
      <c r="A699" t="str">
        <f>VLOOKUP(C699,Countries!$A$1:$D$205,2,FALSE)</f>
        <v>FRA</v>
      </c>
      <c r="B699" s="71" t="s">
        <v>1745</v>
      </c>
      <c r="C699" t="s">
        <v>132</v>
      </c>
      <c r="D699" s="71" t="s">
        <v>1734</v>
      </c>
      <c r="E699" s="77" t="s">
        <v>261</v>
      </c>
      <c r="F699" s="75"/>
      <c r="G699" s="75"/>
      <c r="H699" s="66">
        <f>72000*Conversion!$A$2</f>
        <v>6471.36</v>
      </c>
      <c r="I699" t="s">
        <v>471</v>
      </c>
      <c r="J699" t="s">
        <v>472</v>
      </c>
      <c r="K699" s="77" t="s">
        <v>494</v>
      </c>
      <c r="N699" s="71"/>
    </row>
    <row r="700" spans="1:14" ht="43.5" x14ac:dyDescent="0.35">
      <c r="A700" t="str">
        <f>VLOOKUP(C700,Countries!$A$1:$D$205,2,FALSE)</f>
        <v>FRA</v>
      </c>
      <c r="B700" s="71" t="s">
        <v>1255</v>
      </c>
      <c r="C700" t="s">
        <v>132</v>
      </c>
      <c r="D700" s="71" t="s">
        <v>1734</v>
      </c>
      <c r="E700" s="77" t="s">
        <v>261</v>
      </c>
      <c r="F700" s="75">
        <v>2005</v>
      </c>
      <c r="G700" s="75"/>
      <c r="H700" s="66">
        <f>1200000*Conversion!$A$2</f>
        <v>107856</v>
      </c>
      <c r="I700" t="s">
        <v>471</v>
      </c>
      <c r="J700" t="s">
        <v>472</v>
      </c>
      <c r="K700" s="77" t="s">
        <v>483</v>
      </c>
      <c r="N700" s="71" t="s">
        <v>1747</v>
      </c>
    </row>
    <row r="701" spans="1:14" ht="29" x14ac:dyDescent="0.35">
      <c r="A701" t="str">
        <f>VLOOKUP(C701,Countries!$A$1:$D$205,2,FALSE)</f>
        <v>FRA</v>
      </c>
      <c r="B701" s="71" t="s">
        <v>1260</v>
      </c>
      <c r="C701" t="s">
        <v>132</v>
      </c>
      <c r="D701" s="71" t="s">
        <v>1734</v>
      </c>
      <c r="E701" s="77" t="s">
        <v>261</v>
      </c>
      <c r="F701" s="75">
        <v>2019</v>
      </c>
      <c r="G701" s="75"/>
      <c r="H701" s="66">
        <f>732000*Conversion!$A$2</f>
        <v>65792.160000000003</v>
      </c>
      <c r="I701" t="s">
        <v>471</v>
      </c>
      <c r="J701" t="s">
        <v>472</v>
      </c>
      <c r="K701" s="77" t="s">
        <v>494</v>
      </c>
      <c r="N701" s="71" t="s">
        <v>1748</v>
      </c>
    </row>
    <row r="702" spans="1:14" ht="58" x14ac:dyDescent="0.35">
      <c r="A702" t="str">
        <f>VLOOKUP(C702,Countries!$A$1:$D$205,2,FALSE)</f>
        <v>FRA</v>
      </c>
      <c r="B702" s="71" t="s">
        <v>1255</v>
      </c>
      <c r="C702" t="s">
        <v>132</v>
      </c>
      <c r="D702" s="71" t="s">
        <v>1749</v>
      </c>
      <c r="E702" s="77" t="s">
        <v>502</v>
      </c>
      <c r="F702" s="75">
        <v>2025</v>
      </c>
      <c r="G702" s="75"/>
      <c r="H702" s="66">
        <f>1067000*Conversion!$A$2</f>
        <v>95901.96</v>
      </c>
      <c r="I702" t="s">
        <v>471</v>
      </c>
      <c r="J702" t="s">
        <v>472</v>
      </c>
      <c r="K702" s="77" t="s">
        <v>483</v>
      </c>
      <c r="N702" s="71" t="s">
        <v>1750</v>
      </c>
    </row>
    <row r="703" spans="1:14" ht="43.5" x14ac:dyDescent="0.35">
      <c r="A703" t="str">
        <f>VLOOKUP(C703,Countries!$A$1:$D$205,2,FALSE)</f>
        <v>FRA</v>
      </c>
      <c r="B703" s="71" t="s">
        <v>1255</v>
      </c>
      <c r="C703" t="s">
        <v>132</v>
      </c>
      <c r="D703" s="71" t="s">
        <v>1751</v>
      </c>
      <c r="E703" s="77" t="s">
        <v>502</v>
      </c>
      <c r="F703" s="75">
        <v>2023</v>
      </c>
      <c r="G703" s="75"/>
      <c r="H703" s="66">
        <f>1067000*Conversion!$A$2</f>
        <v>95901.96</v>
      </c>
      <c r="I703" t="s">
        <v>471</v>
      </c>
      <c r="J703" t="s">
        <v>472</v>
      </c>
      <c r="K703" s="77" t="s">
        <v>549</v>
      </c>
      <c r="N703" s="71" t="s">
        <v>1752</v>
      </c>
    </row>
    <row r="704" spans="1:14" ht="43.5" x14ac:dyDescent="0.35">
      <c r="A704" t="str">
        <f>VLOOKUP(C704,Countries!$A$1:$D$205,2,FALSE)</f>
        <v>FRA</v>
      </c>
      <c r="B704" s="71" t="s">
        <v>1753</v>
      </c>
      <c r="C704" t="s">
        <v>132</v>
      </c>
      <c r="D704" s="71" t="s">
        <v>1754</v>
      </c>
      <c r="E704" s="77" t="s">
        <v>1250</v>
      </c>
      <c r="F704" s="75">
        <v>2024</v>
      </c>
      <c r="G704" s="75"/>
      <c r="H704" s="66">
        <f>500000*Conversion!$A$2</f>
        <v>44940</v>
      </c>
      <c r="I704" t="s">
        <v>471</v>
      </c>
      <c r="J704" t="s">
        <v>472</v>
      </c>
      <c r="K704" s="77" t="s">
        <v>1262</v>
      </c>
      <c r="N704" s="71" t="s">
        <v>1755</v>
      </c>
    </row>
    <row r="705" spans="1:14" ht="29" x14ac:dyDescent="0.35">
      <c r="A705" t="str">
        <f>VLOOKUP(C705,Countries!$A$1:$D$205,2,FALSE)</f>
        <v>FRA</v>
      </c>
      <c r="B705" s="71" t="s">
        <v>1753</v>
      </c>
      <c r="C705" t="s">
        <v>132</v>
      </c>
      <c r="D705" s="71" t="s">
        <v>1754</v>
      </c>
      <c r="E705" s="77" t="s">
        <v>1250</v>
      </c>
      <c r="F705" s="75"/>
      <c r="G705" s="75"/>
      <c r="H705" s="66">
        <f>533000*Conversion!$A$2</f>
        <v>47906.04</v>
      </c>
      <c r="I705" t="s">
        <v>471</v>
      </c>
      <c r="J705" t="s">
        <v>472</v>
      </c>
      <c r="K705" s="77" t="s">
        <v>494</v>
      </c>
      <c r="N705" s="71" t="s">
        <v>1756</v>
      </c>
    </row>
    <row r="706" spans="1:14" ht="43.5" x14ac:dyDescent="0.35">
      <c r="A706" t="str">
        <f>VLOOKUP(C706,Countries!$A$1:$D$205,2,FALSE)</f>
        <v>FRA</v>
      </c>
      <c r="B706" s="71" t="s">
        <v>1276</v>
      </c>
      <c r="C706" t="s">
        <v>132</v>
      </c>
      <c r="D706" s="71" t="s">
        <v>1757</v>
      </c>
      <c r="E706" s="77" t="s">
        <v>502</v>
      </c>
      <c r="F706" s="75">
        <v>2028</v>
      </c>
      <c r="G706" s="75"/>
      <c r="H706" s="66">
        <f>500000*Conversion!$A$2</f>
        <v>44940</v>
      </c>
      <c r="I706" t="s">
        <v>471</v>
      </c>
      <c r="J706" t="s">
        <v>472</v>
      </c>
      <c r="K706" s="77" t="s">
        <v>732</v>
      </c>
      <c r="N706" s="71" t="s">
        <v>1758</v>
      </c>
    </row>
    <row r="707" spans="1:14" ht="29" x14ac:dyDescent="0.35">
      <c r="A707" t="str">
        <f>VLOOKUP(C707,Countries!$A$1:$D$205,2,FALSE)</f>
        <v>FRA</v>
      </c>
      <c r="B707" s="71" t="s">
        <v>1759</v>
      </c>
      <c r="C707" t="s">
        <v>132</v>
      </c>
      <c r="D707" s="71" t="s">
        <v>1760</v>
      </c>
      <c r="E707" s="77" t="s">
        <v>1250</v>
      </c>
      <c r="F707" s="75"/>
      <c r="G707" s="75"/>
      <c r="H707" s="66"/>
      <c r="I707" t="s">
        <v>471</v>
      </c>
      <c r="J707" t="s">
        <v>472</v>
      </c>
      <c r="K707" s="77" t="s">
        <v>1694</v>
      </c>
      <c r="N707" s="71" t="s">
        <v>1761</v>
      </c>
    </row>
    <row r="708" spans="1:14" ht="29" x14ac:dyDescent="0.35">
      <c r="A708" t="str">
        <f>VLOOKUP(C708,Countries!$A$1:$D$205,2,FALSE)</f>
        <v>DEU</v>
      </c>
      <c r="B708" s="71" t="s">
        <v>1762</v>
      </c>
      <c r="C708" t="s">
        <v>142</v>
      </c>
      <c r="D708" s="71" t="s">
        <v>1763</v>
      </c>
      <c r="E708" s="77" t="s">
        <v>261</v>
      </c>
      <c r="H708" s="66">
        <f>6000*Conversion!$A$2</f>
        <v>539.28</v>
      </c>
      <c r="I708" t="s">
        <v>471</v>
      </c>
      <c r="J708" t="s">
        <v>472</v>
      </c>
      <c r="K708" s="77" t="s">
        <v>1472</v>
      </c>
      <c r="N708" s="71" t="s">
        <v>1764</v>
      </c>
    </row>
    <row r="709" spans="1:14" ht="29" x14ac:dyDescent="0.35">
      <c r="A709" t="str">
        <f>VLOOKUP(C709,Countries!$A$1:$D$205,2,FALSE)</f>
        <v>DEU</v>
      </c>
      <c r="B709" s="71" t="s">
        <v>1765</v>
      </c>
      <c r="C709" t="s">
        <v>142</v>
      </c>
      <c r="D709" s="71" t="s">
        <v>1763</v>
      </c>
      <c r="E709" s="77" t="s">
        <v>261</v>
      </c>
      <c r="F709">
        <v>1995</v>
      </c>
      <c r="H709" s="66">
        <f>170000*Conversion!$A$2</f>
        <v>15279.6</v>
      </c>
      <c r="I709" t="s">
        <v>471</v>
      </c>
      <c r="J709" t="s">
        <v>472</v>
      </c>
      <c r="K709" s="77" t="s">
        <v>494</v>
      </c>
      <c r="N709" s="71" t="s">
        <v>1766</v>
      </c>
    </row>
    <row r="710" spans="1:14" ht="29" x14ac:dyDescent="0.35">
      <c r="A710" t="str">
        <f>VLOOKUP(C710,Countries!$A$1:$D$205,2,FALSE)</f>
        <v>DEU</v>
      </c>
      <c r="B710" s="71" t="s">
        <v>1767</v>
      </c>
      <c r="C710" t="s">
        <v>142</v>
      </c>
      <c r="D710" s="71" t="s">
        <v>1763</v>
      </c>
      <c r="E710" s="77" t="s">
        <v>261</v>
      </c>
      <c r="F710">
        <v>2015</v>
      </c>
      <c r="H710" s="66">
        <f>600000*Conversion!$A$2</f>
        <v>53928</v>
      </c>
      <c r="I710" t="s">
        <v>471</v>
      </c>
      <c r="J710" t="s">
        <v>472</v>
      </c>
      <c r="K710" s="77" t="s">
        <v>1768</v>
      </c>
      <c r="N710" s="71" t="s">
        <v>1769</v>
      </c>
    </row>
    <row r="711" spans="1:14" ht="29" x14ac:dyDescent="0.35">
      <c r="A711" t="str">
        <f>VLOOKUP(C711,Countries!$A$1:$D$205,2,FALSE)</f>
        <v>DEU</v>
      </c>
      <c r="B711" s="71" t="s">
        <v>1770</v>
      </c>
      <c r="C711" t="s">
        <v>142</v>
      </c>
      <c r="D711" s="71" t="s">
        <v>1763</v>
      </c>
      <c r="E711" s="77" t="s">
        <v>261</v>
      </c>
      <c r="H711" s="66">
        <f>18000*Conversion!$A$2</f>
        <v>1617.84</v>
      </c>
      <c r="I711" t="s">
        <v>471</v>
      </c>
      <c r="J711" t="s">
        <v>472</v>
      </c>
      <c r="K711" s="77" t="s">
        <v>971</v>
      </c>
      <c r="N711" s="71" t="s">
        <v>1771</v>
      </c>
    </row>
    <row r="712" spans="1:14" ht="43.5" x14ac:dyDescent="0.35">
      <c r="A712" t="str">
        <f>VLOOKUP(C712,Countries!$A$1:$D$205,2,FALSE)</f>
        <v>DEU</v>
      </c>
      <c r="B712" s="71" t="s">
        <v>1772</v>
      </c>
      <c r="C712" t="s">
        <v>142</v>
      </c>
      <c r="D712" s="71" t="s">
        <v>1763</v>
      </c>
      <c r="E712" s="77" t="s">
        <v>1250</v>
      </c>
      <c r="F712">
        <v>1993</v>
      </c>
      <c r="H712" s="66">
        <f>326000*Conversion!$A$2</f>
        <v>29300.880000000001</v>
      </c>
      <c r="I712" t="s">
        <v>471</v>
      </c>
      <c r="J712" t="s">
        <v>472</v>
      </c>
      <c r="K712" s="77" t="s">
        <v>1694</v>
      </c>
      <c r="N712" s="71" t="s">
        <v>1773</v>
      </c>
    </row>
    <row r="713" spans="1:14" ht="29" x14ac:dyDescent="0.35">
      <c r="A713" t="str">
        <f>VLOOKUP(C713,Countries!$A$1:$D$205,2,FALSE)</f>
        <v>DEU</v>
      </c>
      <c r="B713" s="71" t="s">
        <v>1774</v>
      </c>
      <c r="C713" t="s">
        <v>142</v>
      </c>
      <c r="D713" s="71" t="s">
        <v>1763</v>
      </c>
      <c r="E713" s="77" t="s">
        <v>261</v>
      </c>
      <c r="H713" s="66">
        <f>7000*Conversion!$A$2</f>
        <v>629.16</v>
      </c>
      <c r="I713" t="s">
        <v>471</v>
      </c>
      <c r="J713" t="s">
        <v>472</v>
      </c>
      <c r="K713" s="77" t="s">
        <v>494</v>
      </c>
      <c r="N713" s="71" t="s">
        <v>1775</v>
      </c>
    </row>
    <row r="714" spans="1:14" ht="29" x14ac:dyDescent="0.35">
      <c r="A714" t="str">
        <f>VLOOKUP(C714,Countries!$A$1:$D$205,2,FALSE)</f>
        <v>DEU</v>
      </c>
      <c r="B714" s="71" t="s">
        <v>1776</v>
      </c>
      <c r="C714" t="s">
        <v>142</v>
      </c>
      <c r="D714" s="71" t="s">
        <v>1763</v>
      </c>
      <c r="E714" s="77" t="s">
        <v>261</v>
      </c>
      <c r="F714">
        <v>2003</v>
      </c>
      <c r="H714" s="66">
        <f>34000*Conversion!$A$2</f>
        <v>3055.92</v>
      </c>
      <c r="I714" t="s">
        <v>471</v>
      </c>
      <c r="J714" t="s">
        <v>472</v>
      </c>
      <c r="K714" s="77" t="s">
        <v>503</v>
      </c>
      <c r="N714" s="71" t="s">
        <v>1777</v>
      </c>
    </row>
    <row r="715" spans="1:14" ht="29" x14ac:dyDescent="0.35">
      <c r="A715" t="str">
        <f>VLOOKUP(C715,Countries!$A$1:$D$205,2,FALSE)</f>
        <v>DEU</v>
      </c>
      <c r="B715" s="71" t="s">
        <v>1778</v>
      </c>
      <c r="C715" t="s">
        <v>142</v>
      </c>
      <c r="D715" s="71" t="s">
        <v>1763</v>
      </c>
      <c r="E715" s="77" t="s">
        <v>502</v>
      </c>
      <c r="F715">
        <v>2025</v>
      </c>
      <c r="H715" s="66">
        <f>160000*Conversion!$A$2</f>
        <v>14380.800000000001</v>
      </c>
      <c r="I715" t="s">
        <v>471</v>
      </c>
      <c r="J715" t="s">
        <v>472</v>
      </c>
      <c r="K715" s="77" t="s">
        <v>1779</v>
      </c>
      <c r="N715" s="71" t="s">
        <v>1780</v>
      </c>
    </row>
    <row r="716" spans="1:14" ht="29" x14ac:dyDescent="0.35">
      <c r="A716" t="str">
        <f>VLOOKUP(C716,Countries!$A$1:$D$205,2,FALSE)</f>
        <v>DEU</v>
      </c>
      <c r="B716" s="71" t="s">
        <v>1781</v>
      </c>
      <c r="C716" t="s">
        <v>142</v>
      </c>
      <c r="D716" s="71" t="s">
        <v>1763</v>
      </c>
      <c r="E716" s="77" t="s">
        <v>261</v>
      </c>
      <c r="H716" s="66">
        <f>22000*Conversion!$A$2</f>
        <v>1977.3600000000001</v>
      </c>
      <c r="I716" t="s">
        <v>471</v>
      </c>
      <c r="J716" t="s">
        <v>472</v>
      </c>
      <c r="K716" s="77" t="s">
        <v>1472</v>
      </c>
      <c r="N716" s="71" t="s">
        <v>1782</v>
      </c>
    </row>
    <row r="717" spans="1:14" ht="29" x14ac:dyDescent="0.35">
      <c r="A717" t="str">
        <f>VLOOKUP(C717,Countries!$A$1:$D$205,2,FALSE)</f>
        <v>DEU</v>
      </c>
      <c r="B717" s="71" t="s">
        <v>1343</v>
      </c>
      <c r="C717" t="s">
        <v>142</v>
      </c>
      <c r="D717" s="71" t="s">
        <v>1783</v>
      </c>
      <c r="E717" s="77" t="s">
        <v>613</v>
      </c>
      <c r="F717">
        <v>1997</v>
      </c>
      <c r="H717" s="66">
        <f>700000*Conversion!$A$2</f>
        <v>62916</v>
      </c>
      <c r="I717" t="s">
        <v>471</v>
      </c>
      <c r="J717" t="s">
        <v>472</v>
      </c>
      <c r="K717" s="77" t="s">
        <v>494</v>
      </c>
      <c r="N717" s="71" t="s">
        <v>1784</v>
      </c>
    </row>
    <row r="718" spans="1:14" ht="29" x14ac:dyDescent="0.35">
      <c r="A718" t="str">
        <f>VLOOKUP(C718,Countries!$A$1:$D$205,2,FALSE)</f>
        <v>DEU</v>
      </c>
      <c r="B718" s="71" t="s">
        <v>1785</v>
      </c>
      <c r="C718" t="s">
        <v>142</v>
      </c>
      <c r="D718" s="71" t="s">
        <v>1786</v>
      </c>
      <c r="E718" s="77" t="s">
        <v>1787</v>
      </c>
      <c r="H718" s="66">
        <f>13000*Conversion!$A$2</f>
        <v>1168.44</v>
      </c>
      <c r="I718" t="s">
        <v>471</v>
      </c>
      <c r="J718" t="s">
        <v>472</v>
      </c>
      <c r="K718" s="77" t="s">
        <v>494</v>
      </c>
      <c r="N718" s="71" t="s">
        <v>1788</v>
      </c>
    </row>
    <row r="719" spans="1:14" ht="72.5" x14ac:dyDescent="0.35">
      <c r="A719" t="str">
        <f>VLOOKUP(C719,Countries!$A$1:$D$205,2,FALSE)</f>
        <v>DEU</v>
      </c>
      <c r="B719" s="71" t="s">
        <v>1789</v>
      </c>
      <c r="C719" t="s">
        <v>142</v>
      </c>
      <c r="D719" s="71" t="s">
        <v>1790</v>
      </c>
      <c r="E719" s="77" t="s">
        <v>502</v>
      </c>
      <c r="F719">
        <v>2024</v>
      </c>
      <c r="H719" s="66">
        <f>160000*Conversion!$A$2</f>
        <v>14380.800000000001</v>
      </c>
      <c r="I719" t="s">
        <v>471</v>
      </c>
      <c r="J719" t="s">
        <v>472</v>
      </c>
      <c r="K719" s="77" t="s">
        <v>1779</v>
      </c>
      <c r="N719" s="71" t="s">
        <v>1791</v>
      </c>
    </row>
    <row r="720" spans="1:14" ht="72.5" x14ac:dyDescent="0.35">
      <c r="A720" t="str">
        <f>VLOOKUP(C720,Countries!$A$1:$D$205,2,FALSE)</f>
        <v>DEU</v>
      </c>
      <c r="B720" s="71" t="s">
        <v>1792</v>
      </c>
      <c r="C720" t="s">
        <v>142</v>
      </c>
      <c r="D720" s="71" t="s">
        <v>1793</v>
      </c>
      <c r="E720" s="77" t="s">
        <v>502</v>
      </c>
      <c r="F720">
        <v>2025</v>
      </c>
      <c r="H720" s="66">
        <f>533000*Conversion!$A$2</f>
        <v>47906.04</v>
      </c>
      <c r="I720" t="s">
        <v>471</v>
      </c>
      <c r="J720" t="s">
        <v>472</v>
      </c>
      <c r="K720" s="77" t="s">
        <v>503</v>
      </c>
      <c r="N720" s="71" t="s">
        <v>1794</v>
      </c>
    </row>
    <row r="721" spans="1:14" ht="43.5" x14ac:dyDescent="0.35">
      <c r="A721" t="str">
        <f>VLOOKUP(C721,Countries!$A$1:$D$205,2,FALSE)</f>
        <v>DEU</v>
      </c>
      <c r="B721" s="71" t="s">
        <v>1795</v>
      </c>
      <c r="C721" t="s">
        <v>142</v>
      </c>
      <c r="D721" s="71" t="s">
        <v>1796</v>
      </c>
      <c r="E721" s="77" t="s">
        <v>502</v>
      </c>
      <c r="F721">
        <v>2030</v>
      </c>
      <c r="H721" s="66">
        <f>5333000*Conversion!$A$2</f>
        <v>479330.04000000004</v>
      </c>
      <c r="I721" t="s">
        <v>471</v>
      </c>
      <c r="J721" t="s">
        <v>472</v>
      </c>
      <c r="K721" s="77" t="s">
        <v>1779</v>
      </c>
      <c r="N721" s="71" t="s">
        <v>1797</v>
      </c>
    </row>
    <row r="722" spans="1:14" ht="29" x14ac:dyDescent="0.35">
      <c r="A722" t="str">
        <f>VLOOKUP(C722,Countries!$A$1:$D$205,2,FALSE)</f>
        <v>DEU</v>
      </c>
      <c r="B722" s="71" t="s">
        <v>1798</v>
      </c>
      <c r="C722" t="s">
        <v>142</v>
      </c>
      <c r="D722" s="71" t="s">
        <v>1799</v>
      </c>
      <c r="E722" s="77" t="s">
        <v>502</v>
      </c>
      <c r="F722">
        <v>2023</v>
      </c>
      <c r="H722" s="66">
        <f>533000*Conversion!$A$2</f>
        <v>47906.04</v>
      </c>
      <c r="I722" t="s">
        <v>471</v>
      </c>
      <c r="J722" t="s">
        <v>472</v>
      </c>
      <c r="K722" s="77" t="s">
        <v>1779</v>
      </c>
      <c r="N722" s="71" t="s">
        <v>1800</v>
      </c>
    </row>
    <row r="723" spans="1:14" ht="58" x14ac:dyDescent="0.35">
      <c r="A723" t="str">
        <f>VLOOKUP(C723,Countries!$A$1:$D$205,2,FALSE)</f>
        <v>DEU</v>
      </c>
      <c r="B723" s="71" t="s">
        <v>1331</v>
      </c>
      <c r="C723" t="s">
        <v>142</v>
      </c>
      <c r="D723" s="71" t="s">
        <v>1801</v>
      </c>
      <c r="E723" s="77" t="s">
        <v>502</v>
      </c>
      <c r="F723">
        <v>2030</v>
      </c>
      <c r="H723" s="66">
        <f>10667000*Conversion!$A$2</f>
        <v>958749.96</v>
      </c>
      <c r="I723" t="s">
        <v>471</v>
      </c>
      <c r="J723" t="s">
        <v>472</v>
      </c>
      <c r="K723" s="77" t="s">
        <v>1779</v>
      </c>
      <c r="N723" s="71" t="s">
        <v>1802</v>
      </c>
    </row>
    <row r="724" spans="1:14" ht="29" x14ac:dyDescent="0.35">
      <c r="A724" t="str">
        <f>VLOOKUP(C724,Countries!$A$1:$D$205,2,FALSE)</f>
        <v>DEU</v>
      </c>
      <c r="B724" s="71" t="s">
        <v>1803</v>
      </c>
      <c r="C724" t="s">
        <v>142</v>
      </c>
      <c r="D724" s="71" t="s">
        <v>1804</v>
      </c>
      <c r="E724" s="77" t="s">
        <v>502</v>
      </c>
      <c r="F724">
        <v>2001</v>
      </c>
      <c r="H724" s="66">
        <f>480000*Conversion!$A$2</f>
        <v>43142.400000000001</v>
      </c>
      <c r="I724" t="s">
        <v>471</v>
      </c>
      <c r="J724" t="s">
        <v>472</v>
      </c>
      <c r="K724" s="77" t="s">
        <v>494</v>
      </c>
      <c r="N724" s="71" t="s">
        <v>1805</v>
      </c>
    </row>
    <row r="725" spans="1:14" x14ac:dyDescent="0.35">
      <c r="A725" t="str">
        <f>VLOOKUP(C725,Countries!$A$1:$D$205,2,FALSE)</f>
        <v>DEU</v>
      </c>
      <c r="B725" s="71" t="s">
        <v>1767</v>
      </c>
      <c r="C725" t="s">
        <v>142</v>
      </c>
      <c r="D725" s="71" t="s">
        <v>1804</v>
      </c>
      <c r="E725" s="77" t="s">
        <v>261</v>
      </c>
      <c r="F725">
        <v>2005</v>
      </c>
      <c r="H725" s="66">
        <f>432000*Conversion!$A$2</f>
        <v>38828.160000000003</v>
      </c>
      <c r="I725" t="s">
        <v>471</v>
      </c>
      <c r="J725" t="s">
        <v>472</v>
      </c>
      <c r="K725" s="77" t="s">
        <v>1694</v>
      </c>
      <c r="N725" s="71" t="s">
        <v>1806</v>
      </c>
    </row>
    <row r="726" spans="1:14" ht="43.5" x14ac:dyDescent="0.35">
      <c r="A726" t="str">
        <f>VLOOKUP(C726,Countries!$A$1:$D$205,2,FALSE)</f>
        <v>DEU</v>
      </c>
      <c r="B726" s="71" t="s">
        <v>1360</v>
      </c>
      <c r="C726" t="s">
        <v>142</v>
      </c>
      <c r="D726" s="71" t="s">
        <v>1804</v>
      </c>
      <c r="E726" s="77" t="s">
        <v>261</v>
      </c>
      <c r="F726">
        <v>2015</v>
      </c>
      <c r="H726" s="66">
        <f>400000*Conversion!$A$2</f>
        <v>35952</v>
      </c>
      <c r="I726" t="s">
        <v>471</v>
      </c>
      <c r="J726" t="s">
        <v>472</v>
      </c>
      <c r="K726" s="77" t="s">
        <v>494</v>
      </c>
      <c r="N726" s="71" t="s">
        <v>1807</v>
      </c>
    </row>
    <row r="727" spans="1:14" ht="72.5" x14ac:dyDescent="0.35">
      <c r="A727" t="str">
        <f>VLOOKUP(C727,Countries!$A$1:$D$205,2,FALSE)</f>
        <v>DEU</v>
      </c>
      <c r="B727" s="71" t="s">
        <v>1347</v>
      </c>
      <c r="C727" t="s">
        <v>142</v>
      </c>
      <c r="D727" s="71" t="s">
        <v>1804</v>
      </c>
      <c r="E727" s="77" t="s">
        <v>1486</v>
      </c>
      <c r="F727">
        <v>1994</v>
      </c>
      <c r="H727" s="66">
        <f>1360000*Conversion!$A$2</f>
        <v>122236.8</v>
      </c>
      <c r="I727" t="s">
        <v>471</v>
      </c>
      <c r="J727" t="s">
        <v>472</v>
      </c>
      <c r="K727" s="77" t="s">
        <v>483</v>
      </c>
      <c r="N727" s="71" t="s">
        <v>1808</v>
      </c>
    </row>
    <row r="728" spans="1:14" ht="43.5" x14ac:dyDescent="0.35">
      <c r="A728" t="str">
        <f>VLOOKUP(C728,Countries!$A$1:$D$205,2,FALSE)</f>
        <v>DEU</v>
      </c>
      <c r="B728" s="71" t="s">
        <v>1347</v>
      </c>
      <c r="C728" t="s">
        <v>142</v>
      </c>
      <c r="D728" s="71" t="s">
        <v>1804</v>
      </c>
      <c r="E728" s="77" t="s">
        <v>1250</v>
      </c>
      <c r="F728">
        <v>2011</v>
      </c>
      <c r="H728" s="66">
        <f>1000*Conversion!$A$2</f>
        <v>89.88</v>
      </c>
      <c r="I728" t="s">
        <v>471</v>
      </c>
      <c r="J728" t="s">
        <v>472</v>
      </c>
      <c r="K728" s="77" t="s">
        <v>1472</v>
      </c>
      <c r="N728" s="71" t="s">
        <v>1809</v>
      </c>
    </row>
    <row r="729" spans="1:14" ht="43.5" x14ac:dyDescent="0.35">
      <c r="A729" t="str">
        <f>VLOOKUP(C729,Countries!$A$1:$D$205,2,FALSE)</f>
        <v>DEU</v>
      </c>
      <c r="B729" s="71" t="s">
        <v>1347</v>
      </c>
      <c r="C729" t="s">
        <v>142</v>
      </c>
      <c r="D729" s="71" t="s">
        <v>1804</v>
      </c>
      <c r="E729" s="77" t="s">
        <v>502</v>
      </c>
      <c r="F729">
        <v>2022</v>
      </c>
      <c r="H729" s="66">
        <f>128000*Conversion!$A$2</f>
        <v>11504.64</v>
      </c>
      <c r="I729" t="s">
        <v>471</v>
      </c>
      <c r="J729" t="s">
        <v>472</v>
      </c>
      <c r="K729" s="77" t="s">
        <v>494</v>
      </c>
      <c r="N729" s="71" t="s">
        <v>1810</v>
      </c>
    </row>
    <row r="730" spans="1:14" x14ac:dyDescent="0.35">
      <c r="A730" t="str">
        <f>VLOOKUP(C730,Countries!$A$1:$D$205,2,FALSE)</f>
        <v>DEU</v>
      </c>
      <c r="B730" s="71" t="s">
        <v>1776</v>
      </c>
      <c r="C730" t="s">
        <v>142</v>
      </c>
      <c r="D730" s="71" t="s">
        <v>1804</v>
      </c>
      <c r="E730" s="77" t="s">
        <v>1811</v>
      </c>
      <c r="H730" s="66"/>
      <c r="I730" t="s">
        <v>471</v>
      </c>
      <c r="J730" t="s">
        <v>472</v>
      </c>
      <c r="K730" s="77" t="s">
        <v>494</v>
      </c>
      <c r="N730" s="71" t="s">
        <v>1812</v>
      </c>
    </row>
    <row r="731" spans="1:14" ht="43.5" x14ac:dyDescent="0.35">
      <c r="A731" t="str">
        <f>VLOOKUP(C731,Countries!$A$1:$D$205,2,FALSE)</f>
        <v>DEU</v>
      </c>
      <c r="B731" s="71" t="s">
        <v>1377</v>
      </c>
      <c r="C731" t="s">
        <v>142</v>
      </c>
      <c r="D731" s="71" t="s">
        <v>1813</v>
      </c>
      <c r="E731" s="77" t="s">
        <v>1250</v>
      </c>
      <c r="F731">
        <v>2008</v>
      </c>
      <c r="H731" s="66">
        <f>205000*Conversion!$A$2</f>
        <v>18425.400000000001</v>
      </c>
      <c r="I731" t="s">
        <v>471</v>
      </c>
      <c r="J731" t="s">
        <v>472</v>
      </c>
      <c r="K731" s="77" t="s">
        <v>494</v>
      </c>
      <c r="N731" s="71" t="s">
        <v>1814</v>
      </c>
    </row>
    <row r="732" spans="1:14" ht="29" x14ac:dyDescent="0.35">
      <c r="A732" t="str">
        <f>VLOOKUP(C732,Countries!$A$1:$D$205,2,FALSE)</f>
        <v>DEU</v>
      </c>
      <c r="B732" s="71" t="s">
        <v>1815</v>
      </c>
      <c r="C732" t="s">
        <v>142</v>
      </c>
      <c r="D732" s="71" t="s">
        <v>1816</v>
      </c>
      <c r="E732" s="77" t="s">
        <v>261</v>
      </c>
      <c r="F732">
        <v>2019</v>
      </c>
      <c r="H732" s="66">
        <f>65000*Conversion!$A$2</f>
        <v>5842.2</v>
      </c>
      <c r="I732" t="s">
        <v>471</v>
      </c>
      <c r="J732" t="s">
        <v>472</v>
      </c>
      <c r="K732" s="77" t="s">
        <v>494</v>
      </c>
      <c r="N732" s="71" t="s">
        <v>1817</v>
      </c>
    </row>
    <row r="733" spans="1:14" ht="58" x14ac:dyDescent="0.35">
      <c r="A733" t="str">
        <f>VLOOKUP(C733,Countries!$A$1:$D$205,2,FALSE)</f>
        <v>DEU</v>
      </c>
      <c r="B733" s="71" t="s">
        <v>1818</v>
      </c>
      <c r="C733" t="s">
        <v>142</v>
      </c>
      <c r="D733" s="71" t="s">
        <v>1819</v>
      </c>
      <c r="E733" s="77" t="s">
        <v>502</v>
      </c>
      <c r="F733">
        <v>2022</v>
      </c>
      <c r="H733" s="66">
        <f>32000*Conversion!$A$2</f>
        <v>2876.16</v>
      </c>
      <c r="I733" t="s">
        <v>471</v>
      </c>
      <c r="J733" t="s">
        <v>472</v>
      </c>
      <c r="K733" s="77" t="s">
        <v>1779</v>
      </c>
      <c r="N733" s="71" t="s">
        <v>1820</v>
      </c>
    </row>
    <row r="734" spans="1:14" ht="58" x14ac:dyDescent="0.35">
      <c r="A734" t="str">
        <f>VLOOKUP(C734,Countries!$A$1:$D$205,2,FALSE)</f>
        <v>DEU</v>
      </c>
      <c r="B734" s="71" t="s">
        <v>1821</v>
      </c>
      <c r="C734" t="s">
        <v>142</v>
      </c>
      <c r="D734" s="71" t="s">
        <v>1822</v>
      </c>
      <c r="E734" s="77" t="s">
        <v>502</v>
      </c>
      <c r="F734">
        <v>2024</v>
      </c>
      <c r="H734" s="66">
        <f>53000*Conversion!$A$2</f>
        <v>4763.6400000000003</v>
      </c>
      <c r="I734" t="s">
        <v>471</v>
      </c>
      <c r="J734" t="s">
        <v>472</v>
      </c>
      <c r="K734" s="77" t="s">
        <v>1285</v>
      </c>
      <c r="N734" s="71" t="s">
        <v>1823</v>
      </c>
    </row>
    <row r="735" spans="1:14" ht="29" x14ac:dyDescent="0.35">
      <c r="A735" t="str">
        <f>VLOOKUP(C735,Countries!$A$1:$D$205,2,FALSE)</f>
        <v>DEU</v>
      </c>
      <c r="B735" s="71" t="s">
        <v>1824</v>
      </c>
      <c r="C735" t="s">
        <v>142</v>
      </c>
      <c r="D735" s="71" t="s">
        <v>1825</v>
      </c>
      <c r="E735" s="77" t="s">
        <v>502</v>
      </c>
      <c r="F735">
        <v>2024</v>
      </c>
      <c r="H735" s="66">
        <f>107000*Conversion!$A$2</f>
        <v>9617.16</v>
      </c>
      <c r="I735" t="s">
        <v>471</v>
      </c>
      <c r="J735" t="s">
        <v>472</v>
      </c>
      <c r="K735" s="77" t="s">
        <v>1779</v>
      </c>
      <c r="N735" s="71" t="s">
        <v>1826</v>
      </c>
    </row>
    <row r="736" spans="1:14" ht="43.5" x14ac:dyDescent="0.35">
      <c r="A736" t="str">
        <f>VLOOKUP(C736,Countries!$A$1:$D$205,2,FALSE)</f>
        <v>DEU</v>
      </c>
      <c r="B736" s="71" t="s">
        <v>1827</v>
      </c>
      <c r="C736" t="s">
        <v>142</v>
      </c>
      <c r="D736" s="71" t="s">
        <v>1828</v>
      </c>
      <c r="E736" s="77" t="s">
        <v>261</v>
      </c>
      <c r="F736">
        <v>2000</v>
      </c>
      <c r="H736" s="66">
        <f>60000*Conversion!$A$2</f>
        <v>5392.8</v>
      </c>
      <c r="I736" t="s">
        <v>471</v>
      </c>
      <c r="J736" t="s">
        <v>472</v>
      </c>
      <c r="K736" s="77" t="s">
        <v>483</v>
      </c>
      <c r="N736" s="71" t="s">
        <v>1829</v>
      </c>
    </row>
    <row r="737" spans="1:14" ht="29" x14ac:dyDescent="0.35">
      <c r="A737" t="str">
        <f>VLOOKUP(C737,Countries!$A$1:$D$205,2,FALSE)</f>
        <v>DEU</v>
      </c>
      <c r="B737" s="71" t="s">
        <v>1830</v>
      </c>
      <c r="C737" t="s">
        <v>142</v>
      </c>
      <c r="D737" s="71" t="s">
        <v>1831</v>
      </c>
      <c r="E737" s="77" t="s">
        <v>502</v>
      </c>
      <c r="F737">
        <v>2013</v>
      </c>
      <c r="H737" s="66">
        <f>11000*Conversion!$A$2</f>
        <v>988.68000000000006</v>
      </c>
      <c r="I737" t="s">
        <v>471</v>
      </c>
      <c r="J737" t="s">
        <v>472</v>
      </c>
      <c r="K737" s="77" t="s">
        <v>1779</v>
      </c>
      <c r="N737" s="71" t="s">
        <v>1832</v>
      </c>
    </row>
    <row r="738" spans="1:14" ht="29" x14ac:dyDescent="0.35">
      <c r="A738" t="str">
        <f>VLOOKUP(C738,Countries!$A$1:$D$205,2,FALSE)</f>
        <v>DEU</v>
      </c>
      <c r="B738" s="71" t="s">
        <v>1405</v>
      </c>
      <c r="C738" t="s">
        <v>142</v>
      </c>
      <c r="D738" s="71" t="s">
        <v>1833</v>
      </c>
      <c r="E738" s="77" t="s">
        <v>502</v>
      </c>
      <c r="F738">
        <v>2015</v>
      </c>
      <c r="H738" s="66">
        <f>5000*Conversion!$A$2</f>
        <v>449.40000000000003</v>
      </c>
      <c r="I738" t="s">
        <v>471</v>
      </c>
      <c r="J738" t="s">
        <v>472</v>
      </c>
      <c r="K738" s="77" t="s">
        <v>1779</v>
      </c>
      <c r="N738" s="71" t="s">
        <v>1834</v>
      </c>
    </row>
    <row r="739" spans="1:14" ht="43.5" x14ac:dyDescent="0.35">
      <c r="A739" t="str">
        <f>VLOOKUP(C739,Countries!$A$1:$D$205,2,FALSE)</f>
        <v>DEU</v>
      </c>
      <c r="B739" s="71" t="s">
        <v>1835</v>
      </c>
      <c r="C739" t="s">
        <v>142</v>
      </c>
      <c r="D739" s="71" t="s">
        <v>1836</v>
      </c>
      <c r="E739" s="77" t="s">
        <v>502</v>
      </c>
      <c r="F739">
        <v>2024</v>
      </c>
      <c r="H739" s="66">
        <f>32000*Conversion!$A$2</f>
        <v>2876.16</v>
      </c>
      <c r="I739" t="s">
        <v>471</v>
      </c>
      <c r="J739" t="s">
        <v>472</v>
      </c>
      <c r="K739" s="77" t="s">
        <v>1779</v>
      </c>
      <c r="N739" s="71" t="s">
        <v>1837</v>
      </c>
    </row>
    <row r="740" spans="1:14" x14ac:dyDescent="0.35">
      <c r="A740" t="str">
        <f>VLOOKUP(C740,Countries!$A$1:$D$205,2,FALSE)</f>
        <v>GRC</v>
      </c>
      <c r="B740" s="71" t="s">
        <v>1413</v>
      </c>
      <c r="C740" t="s">
        <v>144</v>
      </c>
      <c r="D740" s="71" t="s">
        <v>1838</v>
      </c>
      <c r="E740" s="77" t="s">
        <v>261</v>
      </c>
      <c r="F740">
        <v>1985</v>
      </c>
      <c r="I740" t="s">
        <v>471</v>
      </c>
      <c r="J740" t="s">
        <v>472</v>
      </c>
      <c r="K740" s="77" t="s">
        <v>1472</v>
      </c>
    </row>
    <row r="741" spans="1:14" ht="29" x14ac:dyDescent="0.35">
      <c r="A741" t="str">
        <f>VLOOKUP(C741,Countries!$A$1:$D$205,2,FALSE)</f>
        <v>ISL</v>
      </c>
      <c r="B741" s="71" t="s">
        <v>1839</v>
      </c>
      <c r="C741" t="s">
        <v>381</v>
      </c>
      <c r="D741" s="71" t="s">
        <v>1840</v>
      </c>
      <c r="E741" s="77" t="s">
        <v>502</v>
      </c>
      <c r="F741">
        <v>2024</v>
      </c>
      <c r="H741" s="66">
        <f>53000*Conversion!$A$2</f>
        <v>4763.6400000000003</v>
      </c>
      <c r="I741" t="s">
        <v>471</v>
      </c>
      <c r="J741" t="s">
        <v>472</v>
      </c>
      <c r="K741" s="77" t="s">
        <v>1779</v>
      </c>
      <c r="N741" s="71" t="s">
        <v>1841</v>
      </c>
    </row>
    <row r="742" spans="1:14" ht="29" x14ac:dyDescent="0.35">
      <c r="A742" t="str">
        <f>VLOOKUP(C742,Countries!$A$1:$D$205,2,FALSE)</f>
        <v>IRL</v>
      </c>
      <c r="B742" s="71" t="s">
        <v>1842</v>
      </c>
      <c r="C742" t="s">
        <v>162</v>
      </c>
      <c r="D742" s="71" t="s">
        <v>1843</v>
      </c>
      <c r="E742" s="77" t="s">
        <v>502</v>
      </c>
      <c r="H742" s="66">
        <f>5000*Conversion!$A$2</f>
        <v>449.40000000000003</v>
      </c>
      <c r="I742" t="s">
        <v>471</v>
      </c>
      <c r="J742" t="s">
        <v>472</v>
      </c>
      <c r="K742" s="77" t="s">
        <v>1472</v>
      </c>
      <c r="N742" s="71" t="s">
        <v>1844</v>
      </c>
    </row>
    <row r="743" spans="1:14" ht="43.5" x14ac:dyDescent="0.35">
      <c r="A743" t="str">
        <f>VLOOKUP(C743,Countries!$A$1:$D$205,2,FALSE)</f>
        <v>IRL</v>
      </c>
      <c r="B743" s="71" t="s">
        <v>1845</v>
      </c>
      <c r="C743" t="s">
        <v>162</v>
      </c>
      <c r="D743" s="71" t="s">
        <v>1846</v>
      </c>
      <c r="E743" s="77" t="s">
        <v>502</v>
      </c>
      <c r="F743">
        <v>2030</v>
      </c>
      <c r="H743" s="66">
        <f>9067000*Conversion!$A$2</f>
        <v>814941.96</v>
      </c>
      <c r="I743" t="s">
        <v>471</v>
      </c>
      <c r="J743" t="s">
        <v>472</v>
      </c>
      <c r="K743" s="77" t="s">
        <v>1779</v>
      </c>
      <c r="N743" s="71" t="s">
        <v>1847</v>
      </c>
    </row>
    <row r="744" spans="1:14" ht="43.5" x14ac:dyDescent="0.35">
      <c r="A744" t="str">
        <f>VLOOKUP(C744,Countries!$A$1:$D$205,2,FALSE)</f>
        <v>ITA</v>
      </c>
      <c r="B744" s="71" t="s">
        <v>1848</v>
      </c>
      <c r="C744" t="s">
        <v>164</v>
      </c>
      <c r="D744" s="71" t="s">
        <v>1849</v>
      </c>
      <c r="E744" s="77" t="s">
        <v>261</v>
      </c>
      <c r="F744" s="78">
        <v>1997</v>
      </c>
      <c r="G744" s="79">
        <v>8</v>
      </c>
      <c r="H744" s="66">
        <f>G744*1000*Conversion!$A$2</f>
        <v>719.04</v>
      </c>
      <c r="I744" t="s">
        <v>471</v>
      </c>
      <c r="J744" t="s">
        <v>472</v>
      </c>
      <c r="K744" s="77" t="s">
        <v>1472</v>
      </c>
      <c r="N744" s="71" t="s">
        <v>1850</v>
      </c>
    </row>
    <row r="745" spans="1:14" ht="29" x14ac:dyDescent="0.35">
      <c r="A745" t="str">
        <f>VLOOKUP(C745,Countries!$A$1:$D$205,2,FALSE)</f>
        <v>ITA</v>
      </c>
      <c r="B745" s="71" t="s">
        <v>1451</v>
      </c>
      <c r="C745" t="s">
        <v>164</v>
      </c>
      <c r="D745" s="71" t="s">
        <v>1849</v>
      </c>
      <c r="E745" s="77" t="s">
        <v>261</v>
      </c>
      <c r="F745" s="78">
        <v>2007</v>
      </c>
      <c r="G745" s="79">
        <v>650</v>
      </c>
      <c r="H745" s="66">
        <f>G745*1000*Conversion!$A$2</f>
        <v>58422</v>
      </c>
      <c r="I745" t="s">
        <v>471</v>
      </c>
      <c r="J745" t="s">
        <v>472</v>
      </c>
      <c r="K745" s="77" t="s">
        <v>1694</v>
      </c>
      <c r="N745" s="71" t="s">
        <v>1851</v>
      </c>
    </row>
    <row r="746" spans="1:14" ht="58" x14ac:dyDescent="0.35">
      <c r="A746" t="str">
        <f>VLOOKUP(C746,Countries!$A$1:$D$205,2,FALSE)</f>
        <v>ITA</v>
      </c>
      <c r="B746" s="71" t="s">
        <v>1852</v>
      </c>
      <c r="C746" t="s">
        <v>164</v>
      </c>
      <c r="D746" s="71" t="s">
        <v>1853</v>
      </c>
      <c r="E746" s="77" t="s">
        <v>502</v>
      </c>
      <c r="F746" s="78">
        <v>2027</v>
      </c>
      <c r="G746" s="79">
        <v>5333</v>
      </c>
      <c r="H746" s="66">
        <f>G746*1000*Conversion!$A$2</f>
        <v>479330.04000000004</v>
      </c>
      <c r="I746" t="s">
        <v>471</v>
      </c>
      <c r="J746" t="s">
        <v>472</v>
      </c>
      <c r="K746" s="77" t="s">
        <v>1779</v>
      </c>
      <c r="N746" s="71" t="s">
        <v>1854</v>
      </c>
    </row>
    <row r="747" spans="1:14" x14ac:dyDescent="0.35">
      <c r="A747" t="str">
        <f>VLOOKUP(C747,Countries!$A$1:$D$205,2,FALSE)</f>
        <v>ITA</v>
      </c>
      <c r="B747" s="71" t="s">
        <v>1457</v>
      </c>
      <c r="C747" t="s">
        <v>164</v>
      </c>
      <c r="D747" s="71" t="s">
        <v>1855</v>
      </c>
      <c r="E747" s="77" t="s">
        <v>1250</v>
      </c>
      <c r="F747" s="78">
        <v>1998</v>
      </c>
      <c r="G747" s="79">
        <v>1416</v>
      </c>
      <c r="H747" s="66">
        <f>G747*1000*Conversion!$A$2</f>
        <v>127270.08</v>
      </c>
      <c r="I747" t="s">
        <v>471</v>
      </c>
      <c r="J747" t="s">
        <v>472</v>
      </c>
      <c r="K747" s="77" t="s">
        <v>483</v>
      </c>
      <c r="N747" s="71" t="s">
        <v>1856</v>
      </c>
    </row>
    <row r="748" spans="1:14" ht="29" x14ac:dyDescent="0.35">
      <c r="A748" t="str">
        <f>VLOOKUP(C748,Countries!$A$1:$D$205,2,FALSE)</f>
        <v>ITA</v>
      </c>
      <c r="B748" s="71" t="s">
        <v>1857</v>
      </c>
      <c r="C748" t="s">
        <v>164</v>
      </c>
      <c r="D748" s="71" t="s">
        <v>1858</v>
      </c>
      <c r="E748" s="77" t="s">
        <v>502</v>
      </c>
      <c r="F748" s="78">
        <v>2023</v>
      </c>
      <c r="G748" s="79">
        <v>21</v>
      </c>
      <c r="H748" s="66">
        <f>G748*1000*Conversion!$A$2</f>
        <v>1887.48</v>
      </c>
      <c r="I748" t="s">
        <v>471</v>
      </c>
      <c r="J748" t="s">
        <v>472</v>
      </c>
      <c r="K748" s="77" t="s">
        <v>1779</v>
      </c>
      <c r="N748" s="71" t="s">
        <v>1859</v>
      </c>
    </row>
    <row r="749" spans="1:14" ht="29" x14ac:dyDescent="0.35">
      <c r="A749" t="str">
        <f>VLOOKUP(C749,Countries!$A$1:$D$205,2,FALSE)</f>
        <v>ITA</v>
      </c>
      <c r="B749" s="71" t="s">
        <v>1860</v>
      </c>
      <c r="C749" t="s">
        <v>164</v>
      </c>
      <c r="D749" s="71" t="s">
        <v>1861</v>
      </c>
      <c r="E749" s="77" t="s">
        <v>1862</v>
      </c>
      <c r="F749" s="78">
        <v>1995</v>
      </c>
      <c r="G749" s="79">
        <v>12</v>
      </c>
      <c r="H749" s="66">
        <f>G749*1000*Conversion!$A$2</f>
        <v>1078.56</v>
      </c>
      <c r="I749" t="s">
        <v>471</v>
      </c>
      <c r="J749" t="s">
        <v>472</v>
      </c>
      <c r="K749" s="77" t="s">
        <v>1472</v>
      </c>
      <c r="N749" s="71" t="s">
        <v>1863</v>
      </c>
    </row>
    <row r="750" spans="1:14" ht="29" x14ac:dyDescent="0.35">
      <c r="A750" t="str">
        <f>VLOOKUP(C750,Countries!$A$1:$D$205,2,FALSE)</f>
        <v>ITA</v>
      </c>
      <c r="B750" s="71" t="s">
        <v>1860</v>
      </c>
      <c r="C750" t="s">
        <v>164</v>
      </c>
      <c r="D750" s="71" t="s">
        <v>1861</v>
      </c>
      <c r="E750" s="77" t="s">
        <v>261</v>
      </c>
      <c r="F750" s="78">
        <v>1998</v>
      </c>
      <c r="G750" s="79">
        <v>72</v>
      </c>
      <c r="H750" s="66">
        <f>G750*1000*Conversion!$A$2</f>
        <v>6471.36</v>
      </c>
      <c r="I750" t="s">
        <v>471</v>
      </c>
      <c r="J750" t="s">
        <v>472</v>
      </c>
      <c r="K750" s="77" t="s">
        <v>1472</v>
      </c>
      <c r="N750" s="71" t="s">
        <v>1863</v>
      </c>
    </row>
    <row r="751" spans="1:14" ht="29" x14ac:dyDescent="0.35">
      <c r="A751" t="str">
        <f>VLOOKUP(C751,Countries!$A$1:$D$205,2,FALSE)</f>
        <v>ITA</v>
      </c>
      <c r="B751" s="71" t="s">
        <v>1864</v>
      </c>
      <c r="C751" t="s">
        <v>164</v>
      </c>
      <c r="D751" s="71" t="s">
        <v>1861</v>
      </c>
      <c r="E751" s="77" t="s">
        <v>261</v>
      </c>
      <c r="F751" s="78">
        <v>1973</v>
      </c>
      <c r="G751" s="79">
        <v>3.8</v>
      </c>
      <c r="H751" s="66">
        <f>G751*1000*Conversion!$A$2</f>
        <v>341.54399999999998</v>
      </c>
      <c r="I751" t="s">
        <v>471</v>
      </c>
      <c r="J751" t="s">
        <v>472</v>
      </c>
      <c r="K751" s="77" t="s">
        <v>1472</v>
      </c>
      <c r="N751" s="71" t="s">
        <v>1863</v>
      </c>
    </row>
    <row r="752" spans="1:14" ht="29" x14ac:dyDescent="0.35">
      <c r="A752" t="str">
        <f>VLOOKUP(C752,Countries!$A$1:$D$205,2,FALSE)</f>
        <v>ITA</v>
      </c>
      <c r="B752" s="71" t="s">
        <v>1865</v>
      </c>
      <c r="C752" t="s">
        <v>164</v>
      </c>
      <c r="D752" s="71" t="s">
        <v>1866</v>
      </c>
      <c r="E752" s="77" t="s">
        <v>502</v>
      </c>
      <c r="F752" s="78">
        <v>2025</v>
      </c>
      <c r="G752" s="79">
        <v>320</v>
      </c>
      <c r="H752" s="66">
        <f>G752*1000*Conversion!$A$2</f>
        <v>28761.600000000002</v>
      </c>
      <c r="I752" t="s">
        <v>471</v>
      </c>
      <c r="J752" t="s">
        <v>472</v>
      </c>
      <c r="K752" s="77" t="s">
        <v>1779</v>
      </c>
      <c r="N752" s="71" t="s">
        <v>1867</v>
      </c>
    </row>
    <row r="753" spans="1:14" ht="29" x14ac:dyDescent="0.35">
      <c r="A753" t="str">
        <f>VLOOKUP(C753,Countries!$A$1:$D$205,2,FALSE)</f>
        <v>ITA</v>
      </c>
      <c r="B753" s="71" t="s">
        <v>1868</v>
      </c>
      <c r="C753" t="s">
        <v>164</v>
      </c>
      <c r="D753" s="71" t="s">
        <v>1869</v>
      </c>
      <c r="E753" s="77" t="s">
        <v>502</v>
      </c>
      <c r="F753" s="78">
        <v>2027</v>
      </c>
      <c r="G753" s="79">
        <v>480</v>
      </c>
      <c r="H753" s="66">
        <f>G753*1000*Conversion!$A$2</f>
        <v>43142.400000000001</v>
      </c>
      <c r="I753" t="s">
        <v>471</v>
      </c>
      <c r="J753" t="s">
        <v>472</v>
      </c>
      <c r="K753" s="77" t="s">
        <v>1779</v>
      </c>
      <c r="N753" s="71" t="s">
        <v>1870</v>
      </c>
    </row>
    <row r="754" spans="1:14" ht="29" x14ac:dyDescent="0.35">
      <c r="A754" t="str">
        <f>VLOOKUP(C754,Countries!$A$1:$D$205,2,FALSE)</f>
        <v>ITA</v>
      </c>
      <c r="B754" s="71" t="s">
        <v>1442</v>
      </c>
      <c r="C754" t="s">
        <v>164</v>
      </c>
      <c r="D754" s="71" t="s">
        <v>1869</v>
      </c>
      <c r="E754" s="77" t="s">
        <v>502</v>
      </c>
      <c r="F754" s="78">
        <v>2027</v>
      </c>
      <c r="G754" s="79">
        <v>480</v>
      </c>
      <c r="H754" s="66">
        <f>G754*1000*Conversion!$A$2</f>
        <v>43142.400000000001</v>
      </c>
      <c r="I754" t="s">
        <v>471</v>
      </c>
      <c r="J754" t="s">
        <v>472</v>
      </c>
      <c r="K754" s="77" t="s">
        <v>1779</v>
      </c>
      <c r="N754" s="71" t="s">
        <v>1870</v>
      </c>
    </row>
    <row r="755" spans="1:14" ht="43.5" x14ac:dyDescent="0.35">
      <c r="A755" t="str">
        <f>VLOOKUP(C755,Countries!$A$1:$D$205,2,FALSE)</f>
        <v>ITA</v>
      </c>
      <c r="B755" s="71" t="s">
        <v>1871</v>
      </c>
      <c r="C755" t="s">
        <v>164</v>
      </c>
      <c r="D755" s="71" t="s">
        <v>1872</v>
      </c>
      <c r="E755" s="77" t="s">
        <v>261</v>
      </c>
      <c r="F755" s="78">
        <v>1994</v>
      </c>
      <c r="G755" s="79">
        <v>25</v>
      </c>
      <c r="H755" s="66">
        <f>G755*1000*Conversion!$A$2</f>
        <v>2247</v>
      </c>
      <c r="I755" t="s">
        <v>471</v>
      </c>
      <c r="J755" t="s">
        <v>472</v>
      </c>
      <c r="K755" s="77" t="s">
        <v>1472</v>
      </c>
      <c r="N755" s="71" t="s">
        <v>1873</v>
      </c>
    </row>
    <row r="756" spans="1:14" ht="43.5" x14ac:dyDescent="0.35">
      <c r="A756" t="str">
        <f>VLOOKUP(C756,Countries!$A$1:$D$205,2,FALSE)</f>
        <v>ITA</v>
      </c>
      <c r="B756" s="71" t="s">
        <v>1874</v>
      </c>
      <c r="C756" t="s">
        <v>164</v>
      </c>
      <c r="D756" s="71" t="s">
        <v>1872</v>
      </c>
      <c r="E756" s="77" t="s">
        <v>1486</v>
      </c>
      <c r="F756" s="78">
        <v>1994</v>
      </c>
      <c r="G756" s="79">
        <v>25</v>
      </c>
      <c r="H756" s="66">
        <f>G756*1000*Conversion!$A$2</f>
        <v>2247</v>
      </c>
      <c r="I756" t="s">
        <v>471</v>
      </c>
      <c r="J756" t="s">
        <v>472</v>
      </c>
      <c r="K756" s="77" t="s">
        <v>1472</v>
      </c>
      <c r="N756" s="71" t="s">
        <v>1873</v>
      </c>
    </row>
    <row r="757" spans="1:14" ht="43.5" x14ac:dyDescent="0.35">
      <c r="A757" t="str">
        <f>VLOOKUP(C757,Countries!$A$1:$D$205,2,FALSE)</f>
        <v>ITA</v>
      </c>
      <c r="B757" s="71" t="s">
        <v>1875</v>
      </c>
      <c r="C757" t="s">
        <v>164</v>
      </c>
      <c r="D757" s="71" t="s">
        <v>1872</v>
      </c>
      <c r="E757" s="77" t="s">
        <v>261</v>
      </c>
      <c r="F757" s="78">
        <v>2013</v>
      </c>
      <c r="G757" s="79">
        <v>17</v>
      </c>
      <c r="H757" s="66">
        <f>G757*1000*Conversion!$A$2</f>
        <v>1527.96</v>
      </c>
      <c r="I757" t="s">
        <v>471</v>
      </c>
      <c r="J757" t="s">
        <v>472</v>
      </c>
      <c r="K757" s="77" t="s">
        <v>494</v>
      </c>
      <c r="N757" s="71" t="s">
        <v>1876</v>
      </c>
    </row>
    <row r="758" spans="1:14" ht="43.5" x14ac:dyDescent="0.35">
      <c r="A758" t="str">
        <f>VLOOKUP(C758,Countries!$A$1:$D$205,2,FALSE)</f>
        <v>ITA</v>
      </c>
      <c r="B758" s="71" t="s">
        <v>1875</v>
      </c>
      <c r="C758" t="s">
        <v>164</v>
      </c>
      <c r="D758" s="71" t="s">
        <v>1872</v>
      </c>
      <c r="E758" s="77" t="s">
        <v>1250</v>
      </c>
      <c r="F758" s="78">
        <v>2004</v>
      </c>
      <c r="G758" s="79">
        <v>402</v>
      </c>
      <c r="H758" s="66">
        <f>G758*1000*Conversion!$A$2</f>
        <v>36131.760000000002</v>
      </c>
      <c r="I758" t="s">
        <v>471</v>
      </c>
      <c r="J758" t="s">
        <v>472</v>
      </c>
      <c r="K758" s="77" t="s">
        <v>1472</v>
      </c>
      <c r="N758" s="71" t="s">
        <v>1877</v>
      </c>
    </row>
    <row r="759" spans="1:14" ht="43.5" x14ac:dyDescent="0.35">
      <c r="A759" t="str">
        <f>VLOOKUP(C759,Countries!$A$1:$D$205,2,FALSE)</f>
        <v>ITA</v>
      </c>
      <c r="B759" s="71" t="s">
        <v>1878</v>
      </c>
      <c r="C759" t="s">
        <v>164</v>
      </c>
      <c r="D759" s="71" t="s">
        <v>1872</v>
      </c>
      <c r="E759" s="77" t="s">
        <v>502</v>
      </c>
      <c r="F759" s="78">
        <v>1986</v>
      </c>
      <c r="G759" s="79">
        <v>5.3332799999999994</v>
      </c>
      <c r="H759" s="66">
        <f>G759*1000*Conversion!$A$2</f>
        <v>479.35520639999999</v>
      </c>
      <c r="I759" t="s">
        <v>471</v>
      </c>
      <c r="J759" t="s">
        <v>472</v>
      </c>
      <c r="K759" s="77" t="s">
        <v>494</v>
      </c>
      <c r="N759" s="71" t="s">
        <v>1879</v>
      </c>
    </row>
    <row r="760" spans="1:14" ht="29" x14ac:dyDescent="0.35">
      <c r="A760" t="str">
        <f>VLOOKUP(C760,Countries!$A$1:$D$205,2,FALSE)</f>
        <v>ITA</v>
      </c>
      <c r="B760" s="71" t="s">
        <v>1880</v>
      </c>
      <c r="C760" t="s">
        <v>164</v>
      </c>
      <c r="D760" s="71" t="s">
        <v>1881</v>
      </c>
      <c r="E760" s="77" t="s">
        <v>261</v>
      </c>
      <c r="F760" s="78"/>
      <c r="G760" s="79">
        <v>13</v>
      </c>
      <c r="H760" s="66">
        <f>G760*1000*Conversion!$A$2</f>
        <v>1168.44</v>
      </c>
      <c r="I760" t="s">
        <v>471</v>
      </c>
      <c r="J760" t="s">
        <v>472</v>
      </c>
      <c r="K760" s="77" t="s">
        <v>1472</v>
      </c>
      <c r="N760" s="71" t="s">
        <v>1882</v>
      </c>
    </row>
    <row r="761" spans="1:14" x14ac:dyDescent="0.35">
      <c r="A761" t="str">
        <f>VLOOKUP(C761,Countries!$A$1:$D$205,2,FALSE)</f>
        <v>ITA</v>
      </c>
      <c r="B761" s="71" t="s">
        <v>1883</v>
      </c>
      <c r="C761" t="s">
        <v>164</v>
      </c>
      <c r="D761" s="71" t="s">
        <v>1884</v>
      </c>
      <c r="E761" s="77" t="s">
        <v>1486</v>
      </c>
      <c r="F761" s="78">
        <v>1987</v>
      </c>
      <c r="G761" s="79">
        <v>8</v>
      </c>
      <c r="H761" s="66">
        <f>G761*1000*Conversion!$A$2</f>
        <v>719.04</v>
      </c>
      <c r="I761" t="s">
        <v>471</v>
      </c>
      <c r="J761" t="s">
        <v>472</v>
      </c>
      <c r="K761" s="77" t="s">
        <v>1472</v>
      </c>
    </row>
    <row r="762" spans="1:14" x14ac:dyDescent="0.35">
      <c r="A762" t="str">
        <f>VLOOKUP(C762,Countries!$A$1:$D$205,2,FALSE)</f>
        <v>ITA</v>
      </c>
      <c r="B762" s="71" t="s">
        <v>1860</v>
      </c>
      <c r="C762" t="s">
        <v>164</v>
      </c>
      <c r="D762" s="71" t="s">
        <v>1884</v>
      </c>
      <c r="E762" s="77" t="s">
        <v>1250</v>
      </c>
      <c r="F762" s="78"/>
      <c r="G762" s="79">
        <v>12</v>
      </c>
      <c r="H762" s="66">
        <f>G762*1000*Conversion!$A$2</f>
        <v>1078.56</v>
      </c>
      <c r="I762" t="s">
        <v>471</v>
      </c>
      <c r="J762" t="s">
        <v>472</v>
      </c>
      <c r="K762" s="77" t="s">
        <v>1472</v>
      </c>
    </row>
    <row r="763" spans="1:14" x14ac:dyDescent="0.35">
      <c r="A763" t="str">
        <f>VLOOKUP(C763,Countries!$A$1:$D$205,2,FALSE)</f>
        <v>ITA</v>
      </c>
      <c r="B763" s="71" t="s">
        <v>1885</v>
      </c>
      <c r="C763" t="s">
        <v>164</v>
      </c>
      <c r="D763" s="71" t="s">
        <v>1884</v>
      </c>
      <c r="E763" s="77" t="s">
        <v>1250</v>
      </c>
      <c r="F763" s="78">
        <v>1989</v>
      </c>
      <c r="G763" s="79">
        <v>4</v>
      </c>
      <c r="H763" s="66">
        <f>G763*1000*Conversion!$A$2</f>
        <v>359.52</v>
      </c>
      <c r="I763" t="s">
        <v>471</v>
      </c>
      <c r="J763" t="s">
        <v>472</v>
      </c>
      <c r="K763" s="77" t="s">
        <v>1472</v>
      </c>
    </row>
    <row r="764" spans="1:14" ht="43.5" x14ac:dyDescent="0.35">
      <c r="A764" t="str">
        <f>VLOOKUP(C764,Countries!$A$1:$D$205,2,FALSE)</f>
        <v>NLD</v>
      </c>
      <c r="B764" s="71" t="s">
        <v>1507</v>
      </c>
      <c r="C764" t="s">
        <v>226</v>
      </c>
      <c r="D764" s="71" t="s">
        <v>1886</v>
      </c>
      <c r="E764" s="77" t="s">
        <v>261</v>
      </c>
      <c r="F764" s="75"/>
      <c r="G764" s="79">
        <v>769</v>
      </c>
      <c r="H764" s="66">
        <f>G764*1000*Conversion!$A$2</f>
        <v>69117.72</v>
      </c>
      <c r="I764" t="s">
        <v>471</v>
      </c>
      <c r="J764" t="s">
        <v>472</v>
      </c>
      <c r="K764" s="77" t="s">
        <v>1887</v>
      </c>
      <c r="N764" s="71" t="s">
        <v>1888</v>
      </c>
    </row>
    <row r="765" spans="1:14" ht="29" x14ac:dyDescent="0.35">
      <c r="A765" t="str">
        <f>VLOOKUP(C765,Countries!$A$1:$D$205,2,FALSE)</f>
        <v>NLD</v>
      </c>
      <c r="B765" s="71" t="s">
        <v>1889</v>
      </c>
      <c r="C765" t="s">
        <v>226</v>
      </c>
      <c r="D765" s="71" t="s">
        <v>1886</v>
      </c>
      <c r="E765" s="77" t="s">
        <v>1890</v>
      </c>
      <c r="F765" s="78">
        <v>2011</v>
      </c>
      <c r="G765" s="79">
        <v>3734</v>
      </c>
      <c r="H765" s="66">
        <f>G765*1000*Conversion!$A$2</f>
        <v>335611.92</v>
      </c>
      <c r="I765" t="s">
        <v>471</v>
      </c>
      <c r="J765" t="s">
        <v>472</v>
      </c>
      <c r="K765" s="77" t="s">
        <v>1694</v>
      </c>
      <c r="N765" s="71" t="s">
        <v>1891</v>
      </c>
    </row>
    <row r="766" spans="1:14" ht="43.5" x14ac:dyDescent="0.35">
      <c r="A766" t="str">
        <f>VLOOKUP(C766,Countries!$A$1:$D$205,2,FALSE)</f>
        <v>NLD</v>
      </c>
      <c r="B766" s="71" t="s">
        <v>1892</v>
      </c>
      <c r="C766" t="s">
        <v>226</v>
      </c>
      <c r="D766" s="71" t="s">
        <v>1893</v>
      </c>
      <c r="E766" s="77" t="s">
        <v>502</v>
      </c>
      <c r="F766" s="78">
        <v>2026</v>
      </c>
      <c r="G766" s="79">
        <v>1067</v>
      </c>
      <c r="H766" s="66">
        <f>G766*1000*Conversion!$A$2</f>
        <v>95901.96</v>
      </c>
      <c r="I766" t="s">
        <v>471</v>
      </c>
      <c r="J766" t="s">
        <v>472</v>
      </c>
      <c r="K766" s="77" t="s">
        <v>1779</v>
      </c>
      <c r="N766" s="71" t="s">
        <v>1894</v>
      </c>
    </row>
    <row r="767" spans="1:14" ht="29" x14ac:dyDescent="0.35">
      <c r="A767" t="str">
        <f>VLOOKUP(C767,Countries!$A$1:$D$205,2,FALSE)</f>
        <v>NLD</v>
      </c>
      <c r="B767" s="71" t="s">
        <v>1895</v>
      </c>
      <c r="C767" t="s">
        <v>226</v>
      </c>
      <c r="D767" s="71" t="s">
        <v>1896</v>
      </c>
      <c r="E767" s="77" t="s">
        <v>261</v>
      </c>
      <c r="F767" s="78">
        <v>2012</v>
      </c>
      <c r="G767" s="79">
        <v>5682</v>
      </c>
      <c r="H767" s="66">
        <f>G767*1000*Conversion!$A$2</f>
        <v>510698.16000000003</v>
      </c>
      <c r="I767" t="s">
        <v>471</v>
      </c>
      <c r="J767" t="s">
        <v>472</v>
      </c>
      <c r="K767" s="77" t="s">
        <v>483</v>
      </c>
      <c r="N767" s="71" t="s">
        <v>1897</v>
      </c>
    </row>
    <row r="768" spans="1:14" ht="29" x14ac:dyDescent="0.35">
      <c r="A768" t="str">
        <f>VLOOKUP(C768,Countries!$A$1:$D$205,2,FALSE)</f>
        <v>NLD</v>
      </c>
      <c r="B768" s="71" t="s">
        <v>1898</v>
      </c>
      <c r="C768" t="s">
        <v>226</v>
      </c>
      <c r="D768" s="71" t="s">
        <v>1899</v>
      </c>
      <c r="E768" s="77" t="s">
        <v>502</v>
      </c>
      <c r="F768" s="78">
        <v>2030</v>
      </c>
      <c r="G768" s="79">
        <v>1333</v>
      </c>
      <c r="H768" s="66">
        <f>G768*1000*Conversion!$A$2</f>
        <v>119810.04000000001</v>
      </c>
      <c r="I768" t="s">
        <v>471</v>
      </c>
      <c r="J768" t="s">
        <v>472</v>
      </c>
      <c r="K768" s="77" t="s">
        <v>1779</v>
      </c>
      <c r="N768" s="71" t="s">
        <v>1900</v>
      </c>
    </row>
    <row r="769" spans="1:14" ht="58" x14ac:dyDescent="0.35">
      <c r="A769" t="str">
        <f>VLOOKUP(C769,Countries!$A$1:$D$205,2,FALSE)</f>
        <v>NLD</v>
      </c>
      <c r="B769" s="71" t="s">
        <v>1498</v>
      </c>
      <c r="C769" t="s">
        <v>226</v>
      </c>
      <c r="D769" s="71" t="s">
        <v>1901</v>
      </c>
      <c r="E769" s="77" t="s">
        <v>502</v>
      </c>
      <c r="F769" s="78">
        <v>2024</v>
      </c>
      <c r="G769" s="79">
        <v>267</v>
      </c>
      <c r="H769" s="66">
        <f>G769*1000*Conversion!$A$2</f>
        <v>23997.96</v>
      </c>
      <c r="I769" t="s">
        <v>471</v>
      </c>
      <c r="J769" t="s">
        <v>472</v>
      </c>
      <c r="K769" s="77" t="s">
        <v>1779</v>
      </c>
      <c r="N769" s="71" t="s">
        <v>1902</v>
      </c>
    </row>
    <row r="770" spans="1:14" ht="43.5" x14ac:dyDescent="0.35">
      <c r="A770" t="str">
        <f>VLOOKUP(C770,Countries!$A$1:$D$205,2,FALSE)</f>
        <v>NLD</v>
      </c>
      <c r="B770" s="71" t="s">
        <v>1903</v>
      </c>
      <c r="C770" t="s">
        <v>226</v>
      </c>
      <c r="D770" s="71" t="s">
        <v>1904</v>
      </c>
      <c r="E770" s="77" t="s">
        <v>502</v>
      </c>
      <c r="F770" s="78">
        <v>2027</v>
      </c>
      <c r="G770" s="79">
        <v>2667</v>
      </c>
      <c r="H770" s="66">
        <f>G770*1000*Conversion!$A$2</f>
        <v>239709.96</v>
      </c>
      <c r="I770" t="s">
        <v>471</v>
      </c>
      <c r="J770" t="s">
        <v>472</v>
      </c>
      <c r="K770" s="77" t="s">
        <v>1779</v>
      </c>
      <c r="N770" s="71" t="s">
        <v>1905</v>
      </c>
    </row>
    <row r="771" spans="1:14" ht="29" x14ac:dyDescent="0.35">
      <c r="A771" t="str">
        <f>VLOOKUP(C771,Countries!$A$1:$D$205,2,FALSE)</f>
        <v>NLD</v>
      </c>
      <c r="B771" s="71" t="s">
        <v>1906</v>
      </c>
      <c r="C771" t="s">
        <v>226</v>
      </c>
      <c r="D771" s="71" t="s">
        <v>1268</v>
      </c>
      <c r="E771" s="77" t="s">
        <v>502</v>
      </c>
      <c r="F771" s="78">
        <v>2028</v>
      </c>
      <c r="G771" s="79">
        <v>1067</v>
      </c>
      <c r="H771" s="66">
        <f>G771*1000*Conversion!$A$2</f>
        <v>95901.96</v>
      </c>
      <c r="I771" t="s">
        <v>471</v>
      </c>
      <c r="J771" t="s">
        <v>472</v>
      </c>
      <c r="K771" s="77" t="s">
        <v>494</v>
      </c>
      <c r="N771" s="71" t="s">
        <v>1907</v>
      </c>
    </row>
    <row r="772" spans="1:14" ht="87" x14ac:dyDescent="0.35">
      <c r="A772" t="str">
        <f>VLOOKUP(C772,Countries!$A$1:$D$205,2,FALSE)</f>
        <v>NLD</v>
      </c>
      <c r="B772" s="71" t="s">
        <v>1908</v>
      </c>
      <c r="C772" t="s">
        <v>226</v>
      </c>
      <c r="D772" s="71" t="s">
        <v>1909</v>
      </c>
      <c r="E772" s="77" t="s">
        <v>502</v>
      </c>
      <c r="F772" s="78">
        <v>2023</v>
      </c>
      <c r="G772" s="79">
        <v>13</v>
      </c>
      <c r="H772" s="66">
        <f>G772*1000*Conversion!$A$2</f>
        <v>1168.44</v>
      </c>
      <c r="I772" t="s">
        <v>471</v>
      </c>
      <c r="J772" t="s">
        <v>472</v>
      </c>
      <c r="K772" s="77" t="s">
        <v>1285</v>
      </c>
      <c r="N772" s="71" t="s">
        <v>1910</v>
      </c>
    </row>
    <row r="773" spans="1:14" ht="72.5" x14ac:dyDescent="0.35">
      <c r="A773" t="str">
        <f>VLOOKUP(C773,Countries!$A$1:$D$205,2,FALSE)</f>
        <v>NLD</v>
      </c>
      <c r="B773" s="71" t="s">
        <v>1498</v>
      </c>
      <c r="C773" t="s">
        <v>226</v>
      </c>
      <c r="D773" s="71" t="s">
        <v>1911</v>
      </c>
      <c r="E773" s="77" t="s">
        <v>502</v>
      </c>
      <c r="F773" s="78">
        <v>2040</v>
      </c>
      <c r="G773" s="79">
        <v>53333</v>
      </c>
      <c r="H773" s="66">
        <f>G773*1000*Conversion!$A$2</f>
        <v>4793570.04</v>
      </c>
      <c r="I773" t="s">
        <v>471</v>
      </c>
      <c r="J773" t="s">
        <v>472</v>
      </c>
      <c r="K773" s="77" t="s">
        <v>1779</v>
      </c>
      <c r="N773" s="71" t="s">
        <v>1912</v>
      </c>
    </row>
    <row r="774" spans="1:14" ht="29" x14ac:dyDescent="0.35">
      <c r="A774" t="str">
        <f>VLOOKUP(C774,Countries!$A$1:$D$205,2,FALSE)</f>
        <v>NLD</v>
      </c>
      <c r="B774" s="71" t="s">
        <v>1913</v>
      </c>
      <c r="C774" t="s">
        <v>226</v>
      </c>
      <c r="D774" s="71" t="s">
        <v>1914</v>
      </c>
      <c r="E774" s="77" t="s">
        <v>261</v>
      </c>
      <c r="F774" s="78">
        <v>2008</v>
      </c>
      <c r="G774" s="79"/>
      <c r="H774" s="66">
        <f>G774*1000*Conversion!$A$2</f>
        <v>0</v>
      </c>
      <c r="I774" t="s">
        <v>471</v>
      </c>
      <c r="J774" t="s">
        <v>472</v>
      </c>
      <c r="K774" s="77" t="s">
        <v>483</v>
      </c>
      <c r="N774" s="71" t="s">
        <v>1915</v>
      </c>
    </row>
    <row r="775" spans="1:14" ht="58" x14ac:dyDescent="0.35">
      <c r="A775" t="str">
        <f>VLOOKUP(C775,Countries!$A$1:$D$205,2,FALSE)</f>
        <v>NLD</v>
      </c>
      <c r="B775" s="71" t="s">
        <v>1518</v>
      </c>
      <c r="C775" t="s">
        <v>226</v>
      </c>
      <c r="D775" s="71" t="s">
        <v>1916</v>
      </c>
      <c r="E775" s="77" t="s">
        <v>502</v>
      </c>
      <c r="F775" s="78">
        <v>2030</v>
      </c>
      <c r="G775" s="79">
        <v>5333</v>
      </c>
      <c r="H775" s="66">
        <f>G775*1000*Conversion!$A$2</f>
        <v>479330.04000000004</v>
      </c>
      <c r="I775" t="s">
        <v>471</v>
      </c>
      <c r="J775" t="s">
        <v>472</v>
      </c>
      <c r="K775" s="77" t="s">
        <v>1779</v>
      </c>
      <c r="N775" s="71" t="s">
        <v>1917</v>
      </c>
    </row>
    <row r="776" spans="1:14" ht="29" x14ac:dyDescent="0.35">
      <c r="A776" t="str">
        <f>VLOOKUP(C776,Countries!$A$1:$D$205,2,FALSE)</f>
        <v>NLD</v>
      </c>
      <c r="B776" s="71" t="s">
        <v>1495</v>
      </c>
      <c r="C776" t="s">
        <v>226</v>
      </c>
      <c r="D776" s="71" t="s">
        <v>1918</v>
      </c>
      <c r="E776" s="77" t="s">
        <v>502</v>
      </c>
      <c r="F776" s="78">
        <v>2031</v>
      </c>
      <c r="G776" s="79">
        <v>2667</v>
      </c>
      <c r="H776" s="66">
        <f>G776*1000*Conversion!$A$2</f>
        <v>239709.96</v>
      </c>
      <c r="I776" t="s">
        <v>471</v>
      </c>
      <c r="J776" t="s">
        <v>472</v>
      </c>
      <c r="K776" s="77" t="s">
        <v>1779</v>
      </c>
      <c r="N776" s="71" t="s">
        <v>1919</v>
      </c>
    </row>
    <row r="777" spans="1:14" ht="29" x14ac:dyDescent="0.35">
      <c r="A777" t="str">
        <f>VLOOKUP(C777,Countries!$A$1:$D$205,2,FALSE)</f>
        <v>NLD</v>
      </c>
      <c r="B777" s="71" t="s">
        <v>1892</v>
      </c>
      <c r="C777" t="s">
        <v>226</v>
      </c>
      <c r="D777" s="71" t="s">
        <v>1920</v>
      </c>
      <c r="E777" s="77" t="s">
        <v>502</v>
      </c>
      <c r="F777" s="78">
        <v>2029</v>
      </c>
      <c r="G777" s="79">
        <v>400</v>
      </c>
      <c r="H777" s="66">
        <f>G777*1000*Conversion!$A$2</f>
        <v>35952</v>
      </c>
      <c r="I777" t="s">
        <v>471</v>
      </c>
      <c r="J777" t="s">
        <v>472</v>
      </c>
      <c r="K777" s="77" t="s">
        <v>1779</v>
      </c>
      <c r="N777" s="71" t="s">
        <v>1921</v>
      </c>
    </row>
    <row r="778" spans="1:14" ht="29" x14ac:dyDescent="0.35">
      <c r="A778" t="str">
        <f>VLOOKUP(C778,Countries!$A$1:$D$205,2,FALSE)</f>
        <v>NLD</v>
      </c>
      <c r="B778" s="71" t="s">
        <v>1922</v>
      </c>
      <c r="C778" t="s">
        <v>226</v>
      </c>
      <c r="D778" s="71" t="s">
        <v>1923</v>
      </c>
      <c r="E778" s="77" t="s">
        <v>502</v>
      </c>
      <c r="F778" s="78">
        <v>2029</v>
      </c>
      <c r="G778" s="79">
        <v>533</v>
      </c>
      <c r="H778" s="66">
        <f>G778*1000*Conversion!$A$2</f>
        <v>47906.04</v>
      </c>
      <c r="I778" t="s">
        <v>471</v>
      </c>
      <c r="J778" t="s">
        <v>472</v>
      </c>
      <c r="K778" s="77" t="s">
        <v>1779</v>
      </c>
      <c r="N778" s="71" t="s">
        <v>1924</v>
      </c>
    </row>
    <row r="779" spans="1:14" ht="29" x14ac:dyDescent="0.35">
      <c r="A779" t="str">
        <f>VLOOKUP(C779,Countries!$A$1:$D$205,2,FALSE)</f>
        <v>NLD</v>
      </c>
      <c r="B779" s="71" t="s">
        <v>1925</v>
      </c>
      <c r="C779" t="s">
        <v>226</v>
      </c>
      <c r="D779" s="71" t="s">
        <v>1923</v>
      </c>
      <c r="E779" s="77" t="s">
        <v>502</v>
      </c>
      <c r="F779" s="78">
        <v>2030</v>
      </c>
      <c r="G779" s="79">
        <v>533</v>
      </c>
      <c r="H779" s="66">
        <f>G779*1000*Conversion!$A$2</f>
        <v>47906.04</v>
      </c>
      <c r="I779" t="s">
        <v>471</v>
      </c>
      <c r="J779" t="s">
        <v>472</v>
      </c>
      <c r="K779" s="77" t="s">
        <v>1779</v>
      </c>
      <c r="N779" s="71" t="s">
        <v>1926</v>
      </c>
    </row>
    <row r="780" spans="1:14" ht="43.5" x14ac:dyDescent="0.35">
      <c r="A780" t="str">
        <f>VLOOKUP(C780,Countries!$A$1:$D$205,2,FALSE)</f>
        <v>NLD</v>
      </c>
      <c r="B780" s="71" t="s">
        <v>1518</v>
      </c>
      <c r="C780" t="s">
        <v>226</v>
      </c>
      <c r="D780" s="71" t="s">
        <v>1923</v>
      </c>
      <c r="E780" s="77" t="s">
        <v>502</v>
      </c>
      <c r="F780" s="78">
        <v>2030</v>
      </c>
      <c r="G780" s="79">
        <v>533</v>
      </c>
      <c r="H780" s="66">
        <f>G780*1000*Conversion!$A$2</f>
        <v>47906.04</v>
      </c>
      <c r="I780" t="s">
        <v>471</v>
      </c>
      <c r="J780" t="s">
        <v>472</v>
      </c>
      <c r="K780" s="77" t="s">
        <v>1779</v>
      </c>
      <c r="N780" s="71" t="s">
        <v>1927</v>
      </c>
    </row>
    <row r="781" spans="1:14" ht="29" x14ac:dyDescent="0.35">
      <c r="A781" t="str">
        <f>VLOOKUP(C781,Countries!$A$1:$D$205,2,FALSE)</f>
        <v>NOR</v>
      </c>
      <c r="B781" s="71" t="s">
        <v>1928</v>
      </c>
      <c r="C781" t="s">
        <v>416</v>
      </c>
      <c r="D781" s="71" t="s">
        <v>1929</v>
      </c>
      <c r="E781" s="77" t="s">
        <v>502</v>
      </c>
      <c r="F781" s="78">
        <v>2028</v>
      </c>
      <c r="G781" s="79">
        <v>1600</v>
      </c>
      <c r="H781" s="66">
        <f>G781*1000*Conversion!$A$2</f>
        <v>143808</v>
      </c>
      <c r="I781" t="s">
        <v>471</v>
      </c>
      <c r="J781" t="s">
        <v>472</v>
      </c>
      <c r="K781" s="77" t="s">
        <v>1779</v>
      </c>
      <c r="N781" s="71" t="s">
        <v>1930</v>
      </c>
    </row>
    <row r="782" spans="1:14" ht="29" x14ac:dyDescent="0.35">
      <c r="A782" t="str">
        <f>VLOOKUP(C782,Countries!$A$1:$D$205,2,FALSE)</f>
        <v>NOR</v>
      </c>
      <c r="B782" s="71" t="s">
        <v>1931</v>
      </c>
      <c r="C782" t="s">
        <v>416</v>
      </c>
      <c r="D782" s="71" t="s">
        <v>1929</v>
      </c>
      <c r="E782" s="77" t="s">
        <v>502</v>
      </c>
      <c r="F782" s="78">
        <v>2024</v>
      </c>
      <c r="G782" s="79">
        <v>107</v>
      </c>
      <c r="H782" s="66">
        <f>G782*1000*Conversion!$A$2</f>
        <v>9617.16</v>
      </c>
      <c r="I782" t="s">
        <v>471</v>
      </c>
      <c r="J782" t="s">
        <v>472</v>
      </c>
      <c r="K782" s="77" t="s">
        <v>1779</v>
      </c>
      <c r="N782" s="71" t="s">
        <v>1932</v>
      </c>
    </row>
    <row r="783" spans="1:14" ht="29" x14ac:dyDescent="0.35">
      <c r="A783" t="str">
        <f>VLOOKUP(C783,Countries!$A$1:$D$205,2,FALSE)</f>
        <v>NOR</v>
      </c>
      <c r="B783" s="71" t="s">
        <v>1933</v>
      </c>
      <c r="C783" t="s">
        <v>416</v>
      </c>
      <c r="D783" s="71" t="s">
        <v>1929</v>
      </c>
      <c r="E783" s="77" t="s">
        <v>502</v>
      </c>
      <c r="F783" s="78">
        <v>2025</v>
      </c>
      <c r="G783" s="79">
        <v>533</v>
      </c>
      <c r="H783" s="66">
        <f>G783*1000*Conversion!$A$2</f>
        <v>47906.04</v>
      </c>
      <c r="I783" t="s">
        <v>471</v>
      </c>
      <c r="J783" t="s">
        <v>472</v>
      </c>
      <c r="K783" s="77" t="s">
        <v>1779</v>
      </c>
      <c r="N783" s="71" t="s">
        <v>1934</v>
      </c>
    </row>
    <row r="784" spans="1:14" ht="43.5" x14ac:dyDescent="0.35">
      <c r="A784" t="str">
        <f>VLOOKUP(C784,Countries!$A$1:$D$205,2,FALSE)</f>
        <v>NOR</v>
      </c>
      <c r="B784" s="71" t="s">
        <v>1527</v>
      </c>
      <c r="C784" t="s">
        <v>416</v>
      </c>
      <c r="D784" s="71" t="s">
        <v>1935</v>
      </c>
      <c r="E784" s="77" t="s">
        <v>502</v>
      </c>
      <c r="F784" s="78">
        <v>2027</v>
      </c>
      <c r="G784" s="79">
        <v>320</v>
      </c>
      <c r="H784" s="66">
        <f>G784*1000*Conversion!$A$2</f>
        <v>28761.600000000002</v>
      </c>
      <c r="I784" t="s">
        <v>471</v>
      </c>
      <c r="J784" t="s">
        <v>472</v>
      </c>
      <c r="K784" s="77" t="s">
        <v>1779</v>
      </c>
      <c r="N784" s="71" t="s">
        <v>1936</v>
      </c>
    </row>
    <row r="785" spans="1:14" ht="43.5" x14ac:dyDescent="0.35">
      <c r="A785" t="str">
        <f>VLOOKUP(C785,Countries!$A$1:$D$205,2,FALSE)</f>
        <v>PRT</v>
      </c>
      <c r="B785" s="71" t="s">
        <v>1937</v>
      </c>
      <c r="C785" t="s">
        <v>250</v>
      </c>
      <c r="D785" s="71" t="s">
        <v>1938</v>
      </c>
      <c r="E785" s="77" t="s">
        <v>261</v>
      </c>
      <c r="F785" s="78">
        <v>2008</v>
      </c>
      <c r="G785" s="79">
        <v>360</v>
      </c>
      <c r="H785" s="66">
        <f>G785*1000*Conversion!$A$2</f>
        <v>32356.799999999999</v>
      </c>
      <c r="I785" t="s">
        <v>471</v>
      </c>
      <c r="J785" t="s">
        <v>472</v>
      </c>
      <c r="K785" s="77" t="s">
        <v>494</v>
      </c>
      <c r="N785" s="71" t="s">
        <v>1939</v>
      </c>
    </row>
    <row r="786" spans="1:14" ht="29" x14ac:dyDescent="0.35">
      <c r="A786" t="str">
        <f>VLOOKUP(C786,Countries!$A$1:$D$205,2,FALSE)</f>
        <v>PRT</v>
      </c>
      <c r="B786" s="71" t="s">
        <v>1561</v>
      </c>
      <c r="C786" t="s">
        <v>250</v>
      </c>
      <c r="D786" s="71" t="s">
        <v>1940</v>
      </c>
      <c r="E786" s="77" t="s">
        <v>502</v>
      </c>
      <c r="F786" s="78">
        <v>2025</v>
      </c>
      <c r="G786" s="79">
        <v>533</v>
      </c>
      <c r="H786" s="66">
        <f>G786*1000*Conversion!$A$2</f>
        <v>47906.04</v>
      </c>
      <c r="I786" t="s">
        <v>471</v>
      </c>
      <c r="J786" t="s">
        <v>472</v>
      </c>
      <c r="K786" s="77" t="s">
        <v>1779</v>
      </c>
      <c r="N786" s="71" t="s">
        <v>1941</v>
      </c>
    </row>
    <row r="787" spans="1:14" ht="72.5" x14ac:dyDescent="0.35">
      <c r="A787" t="str">
        <f>VLOOKUP(C787,Countries!$A$1:$D$205,2,FALSE)</f>
        <v>PRT</v>
      </c>
      <c r="B787" s="71" t="s">
        <v>1561</v>
      </c>
      <c r="C787" t="s">
        <v>250</v>
      </c>
      <c r="D787" s="71" t="s">
        <v>1942</v>
      </c>
      <c r="E787" s="77" t="s">
        <v>502</v>
      </c>
      <c r="F787" s="78">
        <v>2026</v>
      </c>
      <c r="G787" s="79">
        <v>3232</v>
      </c>
      <c r="H787" s="66">
        <f>G787*1000*Conversion!$A$2</f>
        <v>290492.16000000003</v>
      </c>
      <c r="I787" t="s">
        <v>471</v>
      </c>
      <c r="J787" t="s">
        <v>472</v>
      </c>
      <c r="K787" s="77" t="s">
        <v>1779</v>
      </c>
      <c r="N787" s="71" t="s">
        <v>1943</v>
      </c>
    </row>
    <row r="788" spans="1:14" ht="43.5" x14ac:dyDescent="0.35">
      <c r="A788" t="str">
        <f>VLOOKUP(C788,Countries!$A$1:$D$205,2,FALSE)</f>
        <v>PRT</v>
      </c>
      <c r="B788" s="71" t="s">
        <v>1561</v>
      </c>
      <c r="C788" t="s">
        <v>250</v>
      </c>
      <c r="D788" s="71" t="s">
        <v>1563</v>
      </c>
      <c r="E788" s="77" t="s">
        <v>502</v>
      </c>
      <c r="F788" s="78">
        <v>2025</v>
      </c>
      <c r="G788" s="79">
        <v>2667</v>
      </c>
      <c r="H788" s="66">
        <f>G788*1000*Conversion!$A$2</f>
        <v>239709.96</v>
      </c>
      <c r="I788" t="s">
        <v>471</v>
      </c>
      <c r="J788" t="s">
        <v>472</v>
      </c>
      <c r="K788" s="77" t="s">
        <v>1779</v>
      </c>
      <c r="N788" s="71" t="s">
        <v>1944</v>
      </c>
    </row>
    <row r="789" spans="1:14" x14ac:dyDescent="0.35">
      <c r="A789" t="str">
        <f>VLOOKUP(C789,Countries!$A$1:$D$205,2,FALSE)</f>
        <v>ESP</v>
      </c>
      <c r="B789" s="71" t="s">
        <v>1602</v>
      </c>
      <c r="C789" t="s">
        <v>284</v>
      </c>
      <c r="D789" s="71" t="s">
        <v>1945</v>
      </c>
      <c r="E789" s="77" t="s">
        <v>261</v>
      </c>
      <c r="F789" s="75"/>
      <c r="G789" s="79">
        <v>384</v>
      </c>
      <c r="H789" s="66">
        <f>G789*1000*Conversion!$A$2</f>
        <v>34513.919999999998</v>
      </c>
      <c r="I789" t="s">
        <v>471</v>
      </c>
      <c r="J789" t="s">
        <v>472</v>
      </c>
      <c r="K789" s="77" t="s">
        <v>483</v>
      </c>
      <c r="N789" s="71" t="s">
        <v>1946</v>
      </c>
    </row>
    <row r="790" spans="1:14" ht="29" x14ac:dyDescent="0.35">
      <c r="A790" t="str">
        <f>VLOOKUP(C790,Countries!$A$1:$D$205,2,FALSE)</f>
        <v>ESP</v>
      </c>
      <c r="B790" s="71" t="s">
        <v>1591</v>
      </c>
      <c r="C790" t="s">
        <v>284</v>
      </c>
      <c r="D790" s="71" t="s">
        <v>1945</v>
      </c>
      <c r="E790" s="77" t="s">
        <v>261</v>
      </c>
      <c r="F790" s="75">
        <v>2010</v>
      </c>
      <c r="G790" s="79">
        <v>33.6</v>
      </c>
      <c r="H790" s="66">
        <f>G790*1000*Conversion!$A$2</f>
        <v>3019.9679999999998</v>
      </c>
      <c r="I790" t="s">
        <v>471</v>
      </c>
      <c r="J790" t="s">
        <v>472</v>
      </c>
      <c r="K790" s="77" t="s">
        <v>1472</v>
      </c>
      <c r="N790" s="71" t="s">
        <v>1947</v>
      </c>
    </row>
    <row r="791" spans="1:14" x14ac:dyDescent="0.35">
      <c r="A791" t="str">
        <f>VLOOKUP(C791,Countries!$A$1:$D$205,2,FALSE)</f>
        <v>ESP</v>
      </c>
      <c r="B791" s="71" t="s">
        <v>1602</v>
      </c>
      <c r="C791" t="s">
        <v>284</v>
      </c>
      <c r="D791" s="71" t="s">
        <v>1948</v>
      </c>
      <c r="E791" s="77" t="s">
        <v>261</v>
      </c>
      <c r="F791" s="75">
        <v>2005</v>
      </c>
      <c r="G791" s="79">
        <v>750</v>
      </c>
      <c r="H791" s="66">
        <f>G791*1000*Conversion!$A$2</f>
        <v>67410</v>
      </c>
      <c r="I791" t="s">
        <v>471</v>
      </c>
      <c r="J791" t="s">
        <v>472</v>
      </c>
      <c r="K791" s="77" t="s">
        <v>483</v>
      </c>
      <c r="N791" s="71" t="s">
        <v>1946</v>
      </c>
    </row>
    <row r="792" spans="1:14" x14ac:dyDescent="0.35">
      <c r="A792" t="str">
        <f>VLOOKUP(C792,Countries!$A$1:$D$205,2,FALSE)</f>
        <v>ESP</v>
      </c>
      <c r="B792" s="71" t="s">
        <v>1591</v>
      </c>
      <c r="C792" t="s">
        <v>284</v>
      </c>
      <c r="D792" s="71" t="s">
        <v>1948</v>
      </c>
      <c r="E792" s="77" t="s">
        <v>261</v>
      </c>
      <c r="F792" s="75">
        <v>2004</v>
      </c>
      <c r="G792" s="79">
        <v>1150</v>
      </c>
      <c r="H792" s="66">
        <f>G792*1000*Conversion!$A$2</f>
        <v>103362</v>
      </c>
      <c r="I792" t="s">
        <v>471</v>
      </c>
      <c r="J792" t="s">
        <v>472</v>
      </c>
      <c r="K792" s="77" t="s">
        <v>483</v>
      </c>
      <c r="N792" s="71" t="s">
        <v>1946</v>
      </c>
    </row>
    <row r="793" spans="1:14" x14ac:dyDescent="0.35">
      <c r="A793" t="str">
        <f>VLOOKUP(C793,Countries!$A$1:$D$205,2,FALSE)</f>
        <v>ESP</v>
      </c>
      <c r="B793" s="71" t="s">
        <v>1949</v>
      </c>
      <c r="C793" t="s">
        <v>284</v>
      </c>
      <c r="D793" s="71" t="s">
        <v>1948</v>
      </c>
      <c r="E793" s="77" t="s">
        <v>261</v>
      </c>
      <c r="F793" s="75"/>
      <c r="G793" s="79">
        <v>28.8</v>
      </c>
      <c r="H793" s="66">
        <f>G793*1000*Conversion!$A$2</f>
        <v>2588.5439999999999</v>
      </c>
      <c r="I793" t="s">
        <v>471</v>
      </c>
      <c r="J793" t="s">
        <v>472</v>
      </c>
      <c r="K793" s="77" t="s">
        <v>1472</v>
      </c>
      <c r="N793" s="71" t="s">
        <v>1950</v>
      </c>
    </row>
    <row r="794" spans="1:14" ht="43.5" x14ac:dyDescent="0.35">
      <c r="A794" t="str">
        <f>VLOOKUP(C794,Countries!$A$1:$D$205,2,FALSE)</f>
        <v>ESP</v>
      </c>
      <c r="B794" s="71" t="s">
        <v>1951</v>
      </c>
      <c r="C794" t="s">
        <v>284</v>
      </c>
      <c r="D794" s="71" t="s">
        <v>1952</v>
      </c>
      <c r="E794" s="77" t="s">
        <v>502</v>
      </c>
      <c r="F794" s="75">
        <v>2025</v>
      </c>
      <c r="G794" s="79">
        <v>160</v>
      </c>
      <c r="H794" s="66">
        <f>G794*1000*Conversion!$A$2</f>
        <v>14380.800000000001</v>
      </c>
      <c r="I794" t="s">
        <v>471</v>
      </c>
      <c r="J794" t="s">
        <v>472</v>
      </c>
      <c r="K794" s="77" t="s">
        <v>1779</v>
      </c>
      <c r="N794" s="71" t="s">
        <v>1953</v>
      </c>
    </row>
    <row r="795" spans="1:14" ht="43.5" x14ac:dyDescent="0.35">
      <c r="A795" t="str">
        <f>VLOOKUP(C795,Countries!$A$1:$D$205,2,FALSE)</f>
        <v>ESP</v>
      </c>
      <c r="B795" s="71" t="s">
        <v>1954</v>
      </c>
      <c r="C795" t="s">
        <v>284</v>
      </c>
      <c r="D795" s="71" t="s">
        <v>1955</v>
      </c>
      <c r="E795" s="77" t="s">
        <v>502</v>
      </c>
      <c r="F795" s="75">
        <v>2026</v>
      </c>
      <c r="G795" s="79">
        <v>613</v>
      </c>
      <c r="H795" s="66">
        <f>G795*1000*Conversion!$A$2</f>
        <v>55096.44</v>
      </c>
      <c r="I795" t="s">
        <v>471</v>
      </c>
      <c r="J795" t="s">
        <v>472</v>
      </c>
      <c r="K795" s="77" t="s">
        <v>1779</v>
      </c>
      <c r="N795" s="71" t="s">
        <v>1956</v>
      </c>
    </row>
    <row r="796" spans="1:14" ht="43.5" x14ac:dyDescent="0.35">
      <c r="A796" t="str">
        <f>VLOOKUP(C796,Countries!$A$1:$D$205,2,FALSE)</f>
        <v>ESP</v>
      </c>
      <c r="B796" s="71" t="s">
        <v>1957</v>
      </c>
      <c r="C796" t="s">
        <v>284</v>
      </c>
      <c r="D796" s="71" t="s">
        <v>1958</v>
      </c>
      <c r="E796" s="77" t="s">
        <v>261</v>
      </c>
      <c r="F796" s="75">
        <v>2002</v>
      </c>
      <c r="G796" s="79">
        <v>1710.76</v>
      </c>
      <c r="H796" s="66">
        <f>G796*1000*Conversion!$A$2</f>
        <v>153763.10880000002</v>
      </c>
      <c r="I796" t="s">
        <v>471</v>
      </c>
      <c r="J796" t="s">
        <v>472</v>
      </c>
      <c r="K796" s="77" t="s">
        <v>483</v>
      </c>
      <c r="N796" s="71" t="s">
        <v>1959</v>
      </c>
    </row>
    <row r="797" spans="1:14" x14ac:dyDescent="0.35">
      <c r="A797" t="str">
        <f>VLOOKUP(C797,Countries!$A$1:$D$205,2,FALSE)</f>
        <v>ESP</v>
      </c>
      <c r="B797" s="71" t="s">
        <v>1960</v>
      </c>
      <c r="C797" t="s">
        <v>284</v>
      </c>
      <c r="D797" s="71" t="s">
        <v>1958</v>
      </c>
      <c r="E797" s="77" t="s">
        <v>261</v>
      </c>
      <c r="F797" s="75"/>
      <c r="G797" s="79">
        <v>10</v>
      </c>
      <c r="H797" s="66">
        <f>G797*1000*Conversion!$A$2</f>
        <v>898.80000000000007</v>
      </c>
      <c r="I797" t="s">
        <v>471</v>
      </c>
      <c r="J797" t="s">
        <v>472</v>
      </c>
      <c r="K797" s="77" t="s">
        <v>1472</v>
      </c>
      <c r="N797" s="71" t="s">
        <v>1961</v>
      </c>
    </row>
    <row r="798" spans="1:14" ht="72.5" x14ac:dyDescent="0.35">
      <c r="A798" t="str">
        <f>VLOOKUP(C798,Countries!$A$1:$D$205,2,FALSE)</f>
        <v>ESP</v>
      </c>
      <c r="B798" s="71" t="s">
        <v>1962</v>
      </c>
      <c r="C798" t="s">
        <v>284</v>
      </c>
      <c r="D798" s="71" t="s">
        <v>1963</v>
      </c>
      <c r="E798" s="77" t="s">
        <v>502</v>
      </c>
      <c r="F798" s="75">
        <v>2028</v>
      </c>
      <c r="G798" s="79">
        <v>10667</v>
      </c>
      <c r="H798" s="66">
        <f>G798*1000*Conversion!$A$2</f>
        <v>958749.96</v>
      </c>
      <c r="I798" t="s">
        <v>471</v>
      </c>
      <c r="J798" t="s">
        <v>472</v>
      </c>
      <c r="K798" s="77" t="s">
        <v>1074</v>
      </c>
      <c r="N798" s="71" t="s">
        <v>1964</v>
      </c>
    </row>
    <row r="799" spans="1:14" ht="29" x14ac:dyDescent="0.35">
      <c r="A799" t="str">
        <f>VLOOKUP(C799,Countries!$A$1:$D$205,2,FALSE)</f>
        <v>ESP</v>
      </c>
      <c r="B799" s="71" t="s">
        <v>1965</v>
      </c>
      <c r="C799" t="s">
        <v>284</v>
      </c>
      <c r="D799" s="71" t="s">
        <v>1966</v>
      </c>
      <c r="E799" s="77" t="s">
        <v>502</v>
      </c>
      <c r="F799" s="75">
        <v>2026</v>
      </c>
      <c r="G799" s="79">
        <v>1493</v>
      </c>
      <c r="H799" s="66">
        <f>G799*1000*Conversion!$A$2</f>
        <v>134190.84</v>
      </c>
      <c r="I799" t="s">
        <v>471</v>
      </c>
      <c r="J799" t="s">
        <v>472</v>
      </c>
      <c r="K799" s="77" t="s">
        <v>1779</v>
      </c>
      <c r="N799" s="71" t="s">
        <v>1967</v>
      </c>
    </row>
    <row r="800" spans="1:14" ht="43.5" x14ac:dyDescent="0.35">
      <c r="A800" t="str">
        <f>VLOOKUP(C800,Countries!$A$1:$D$205,2,FALSE)</f>
        <v>ESP</v>
      </c>
      <c r="B800" s="71" t="s">
        <v>1568</v>
      </c>
      <c r="C800" t="s">
        <v>284</v>
      </c>
      <c r="D800" s="71" t="s">
        <v>1968</v>
      </c>
      <c r="E800" s="77" t="s">
        <v>502</v>
      </c>
      <c r="F800" s="75">
        <v>2027</v>
      </c>
      <c r="G800" s="79">
        <v>5333</v>
      </c>
      <c r="H800" s="66">
        <f>G800*1000*Conversion!$A$2</f>
        <v>479330.04000000004</v>
      </c>
      <c r="I800" t="s">
        <v>471</v>
      </c>
      <c r="J800" t="s">
        <v>472</v>
      </c>
      <c r="K800" s="77" t="s">
        <v>1779</v>
      </c>
      <c r="N800" s="71" t="s">
        <v>1969</v>
      </c>
    </row>
    <row r="801" spans="1:14" ht="43.5" x14ac:dyDescent="0.35">
      <c r="A801" t="str">
        <f>VLOOKUP(C801,Countries!$A$1:$D$205,2,FALSE)</f>
        <v>ESP</v>
      </c>
      <c r="B801" s="71" t="s">
        <v>1970</v>
      </c>
      <c r="C801" t="s">
        <v>284</v>
      </c>
      <c r="D801" s="71" t="s">
        <v>1971</v>
      </c>
      <c r="E801" s="77" t="s">
        <v>502</v>
      </c>
      <c r="F801" s="75">
        <v>2025</v>
      </c>
      <c r="G801" s="79">
        <v>1264</v>
      </c>
      <c r="H801" s="66">
        <f>G801*1000*Conversion!$A$2</f>
        <v>113608.32000000001</v>
      </c>
      <c r="I801" t="s">
        <v>471</v>
      </c>
      <c r="J801" t="s">
        <v>472</v>
      </c>
      <c r="K801" s="77" t="s">
        <v>1779</v>
      </c>
      <c r="N801" s="71" t="s">
        <v>1972</v>
      </c>
    </row>
    <row r="802" spans="1:14" ht="29" x14ac:dyDescent="0.35">
      <c r="A802" t="str">
        <f>VLOOKUP(C802,Countries!$A$1:$D$205,2,FALSE)</f>
        <v>ESP</v>
      </c>
      <c r="B802" s="71" t="s">
        <v>1973</v>
      </c>
      <c r="C802" t="s">
        <v>284</v>
      </c>
      <c r="D802" s="71" t="s">
        <v>1974</v>
      </c>
      <c r="E802" s="77" t="s">
        <v>502</v>
      </c>
      <c r="F802" s="75">
        <v>2026</v>
      </c>
      <c r="G802" s="79">
        <v>320</v>
      </c>
      <c r="H802" s="66">
        <f>G802*1000*Conversion!$A$2</f>
        <v>28761.600000000002</v>
      </c>
      <c r="I802" t="s">
        <v>471</v>
      </c>
      <c r="J802" t="s">
        <v>472</v>
      </c>
      <c r="K802" s="77" t="s">
        <v>1779</v>
      </c>
      <c r="N802" s="71" t="s">
        <v>1975</v>
      </c>
    </row>
    <row r="803" spans="1:14" ht="87" x14ac:dyDescent="0.35">
      <c r="A803" t="str">
        <f>VLOOKUP(C803,Countries!$A$1:$D$205,2,FALSE)</f>
        <v>ESP</v>
      </c>
      <c r="B803" s="71" t="s">
        <v>1976</v>
      </c>
      <c r="C803" t="s">
        <v>284</v>
      </c>
      <c r="D803" s="71" t="s">
        <v>1586</v>
      </c>
      <c r="E803" s="77" t="s">
        <v>502</v>
      </c>
      <c r="F803" s="75">
        <v>2030</v>
      </c>
      <c r="G803" s="79">
        <v>39466</v>
      </c>
      <c r="H803" s="66">
        <f>G803*1000*Conversion!$A$2</f>
        <v>3547204.08</v>
      </c>
      <c r="I803" t="s">
        <v>471</v>
      </c>
      <c r="J803" t="s">
        <v>472</v>
      </c>
      <c r="K803" s="77" t="s">
        <v>503</v>
      </c>
      <c r="N803" s="71" t="s">
        <v>1977</v>
      </c>
    </row>
    <row r="804" spans="1:14" ht="43.5" x14ac:dyDescent="0.35">
      <c r="A804" t="str">
        <f>VLOOKUP(C804,Countries!$A$1:$D$205,2,FALSE)</f>
        <v>ESP</v>
      </c>
      <c r="B804" s="71" t="s">
        <v>1978</v>
      </c>
      <c r="C804" t="s">
        <v>284</v>
      </c>
      <c r="D804" s="71" t="s">
        <v>1979</v>
      </c>
      <c r="E804" s="77" t="s">
        <v>261</v>
      </c>
      <c r="F804" s="75"/>
      <c r="G804" s="79">
        <v>840</v>
      </c>
      <c r="H804" s="66">
        <f>G804*1000*Conversion!$A$2</f>
        <v>75499.199999999997</v>
      </c>
      <c r="I804" t="s">
        <v>471</v>
      </c>
      <c r="J804" t="s">
        <v>472</v>
      </c>
      <c r="K804" s="77" t="s">
        <v>483</v>
      </c>
      <c r="N804" s="71" t="s">
        <v>1980</v>
      </c>
    </row>
    <row r="805" spans="1:14" ht="43.5" x14ac:dyDescent="0.35">
      <c r="A805" t="str">
        <f>VLOOKUP(C805,Countries!$A$1:$D$205,2,FALSE)</f>
        <v>ESP</v>
      </c>
      <c r="B805" s="71" t="s">
        <v>1981</v>
      </c>
      <c r="C805" t="s">
        <v>284</v>
      </c>
      <c r="D805" s="71" t="s">
        <v>1979</v>
      </c>
      <c r="E805" s="77" t="s">
        <v>253</v>
      </c>
      <c r="F805" s="75"/>
      <c r="G805" s="79">
        <v>1490</v>
      </c>
      <c r="H805" s="66">
        <f>G805*1000*Conversion!$A$2</f>
        <v>133921.20000000001</v>
      </c>
      <c r="I805" t="s">
        <v>471</v>
      </c>
      <c r="J805" t="s">
        <v>472</v>
      </c>
      <c r="K805" s="77" t="s">
        <v>1982</v>
      </c>
      <c r="N805" s="71" t="s">
        <v>1983</v>
      </c>
    </row>
    <row r="806" spans="1:14" ht="43.5" x14ac:dyDescent="0.35">
      <c r="A806" t="str">
        <f>VLOOKUP(C806,Countries!$A$1:$D$205,2,FALSE)</f>
        <v>ESP</v>
      </c>
      <c r="B806" s="71" t="s">
        <v>1598</v>
      </c>
      <c r="C806" t="s">
        <v>284</v>
      </c>
      <c r="D806" s="71" t="s">
        <v>1979</v>
      </c>
      <c r="E806" s="77" t="s">
        <v>261</v>
      </c>
      <c r="F806" s="75"/>
      <c r="G806" s="79">
        <v>324</v>
      </c>
      <c r="H806" s="66">
        <f>G806*1000*Conversion!$A$2</f>
        <v>29121.119999999999</v>
      </c>
      <c r="I806" t="s">
        <v>471</v>
      </c>
      <c r="J806" t="s">
        <v>472</v>
      </c>
      <c r="K806" s="77" t="s">
        <v>483</v>
      </c>
      <c r="N806" s="71" t="s">
        <v>1984</v>
      </c>
    </row>
    <row r="807" spans="1:14" ht="29" x14ac:dyDescent="0.35">
      <c r="A807" t="str">
        <f>VLOOKUP(C807,Countries!$A$1:$D$205,2,FALSE)</f>
        <v>ESP</v>
      </c>
      <c r="B807" s="71" t="s">
        <v>1985</v>
      </c>
      <c r="C807" t="s">
        <v>284</v>
      </c>
      <c r="D807" s="71" t="s">
        <v>1979</v>
      </c>
      <c r="E807" s="77" t="s">
        <v>261</v>
      </c>
      <c r="F807" s="75"/>
      <c r="G807" s="79"/>
      <c r="H807" s="66">
        <f>G807*1000*Conversion!$A$2</f>
        <v>0</v>
      </c>
      <c r="I807" t="s">
        <v>471</v>
      </c>
      <c r="J807" t="s">
        <v>472</v>
      </c>
      <c r="K807" s="77" t="s">
        <v>1472</v>
      </c>
      <c r="N807" s="71" t="s">
        <v>1986</v>
      </c>
    </row>
    <row r="808" spans="1:14" ht="43.5" x14ac:dyDescent="0.35">
      <c r="A808" t="str">
        <f>VLOOKUP(C808,Countries!$A$1:$D$205,2,FALSE)</f>
        <v>ESP</v>
      </c>
      <c r="B808" s="71" t="s">
        <v>1954</v>
      </c>
      <c r="C808" t="s">
        <v>284</v>
      </c>
      <c r="D808" s="71" t="s">
        <v>1987</v>
      </c>
      <c r="E808" s="77" t="s">
        <v>502</v>
      </c>
      <c r="F808" s="75">
        <v>2024</v>
      </c>
      <c r="G808" s="79">
        <v>533</v>
      </c>
      <c r="H808" s="66">
        <f>G808*1000*Conversion!$A$2</f>
        <v>47906.04</v>
      </c>
      <c r="I808" t="s">
        <v>471</v>
      </c>
      <c r="J808" t="s">
        <v>472</v>
      </c>
      <c r="K808" s="77" t="s">
        <v>1472</v>
      </c>
      <c r="N808" s="71" t="s">
        <v>1988</v>
      </c>
    </row>
    <row r="809" spans="1:14" ht="43.5" x14ac:dyDescent="0.35">
      <c r="A809" t="str">
        <f>VLOOKUP(C809,Countries!$A$1:$D$205,2,FALSE)</f>
        <v>ESP</v>
      </c>
      <c r="B809" s="71" t="s">
        <v>1598</v>
      </c>
      <c r="C809" t="s">
        <v>284</v>
      </c>
      <c r="D809" s="71" t="s">
        <v>1989</v>
      </c>
      <c r="E809" s="77" t="s">
        <v>502</v>
      </c>
      <c r="F809" s="75">
        <v>2025</v>
      </c>
      <c r="G809" s="79">
        <v>13.333199999999998</v>
      </c>
      <c r="H809" s="66">
        <f>G809*1000*Conversion!$A$2</f>
        <v>1198.3880159999997</v>
      </c>
      <c r="I809" t="s">
        <v>471</v>
      </c>
      <c r="J809" t="s">
        <v>472</v>
      </c>
      <c r="K809" s="77" t="s">
        <v>1990</v>
      </c>
      <c r="N809" s="71" t="s">
        <v>1991</v>
      </c>
    </row>
    <row r="810" spans="1:14" ht="29" x14ac:dyDescent="0.35">
      <c r="A810" t="str">
        <f>VLOOKUP(C810,Countries!$A$1:$D$205,2,FALSE)</f>
        <v>ESP</v>
      </c>
      <c r="B810" s="71" t="s">
        <v>1992</v>
      </c>
      <c r="C810" t="s">
        <v>284</v>
      </c>
      <c r="D810" s="71" t="s">
        <v>1993</v>
      </c>
      <c r="E810" s="77" t="s">
        <v>502</v>
      </c>
      <c r="F810" s="75">
        <v>2024</v>
      </c>
      <c r="G810" s="79">
        <v>35</v>
      </c>
      <c r="H810" s="66">
        <f>G810*1000*Conversion!$A$2</f>
        <v>3145.8</v>
      </c>
      <c r="I810" t="s">
        <v>471</v>
      </c>
      <c r="J810" t="s">
        <v>472</v>
      </c>
      <c r="K810" s="77" t="s">
        <v>1779</v>
      </c>
      <c r="N810" s="71" t="s">
        <v>1994</v>
      </c>
    </row>
    <row r="811" spans="1:14" ht="29" x14ac:dyDescent="0.35">
      <c r="A811" t="str">
        <f>VLOOKUP(C811,Countries!$A$1:$D$205,2,FALSE)</f>
        <v>ESP</v>
      </c>
      <c r="B811" s="71" t="s">
        <v>1951</v>
      </c>
      <c r="C811" t="s">
        <v>284</v>
      </c>
      <c r="D811" s="71" t="s">
        <v>1995</v>
      </c>
      <c r="E811" s="77" t="s">
        <v>502</v>
      </c>
      <c r="F811" s="75">
        <v>2023</v>
      </c>
      <c r="G811" s="79">
        <v>48</v>
      </c>
      <c r="H811" s="66">
        <f>G811*1000*Conversion!$A$2</f>
        <v>4314.24</v>
      </c>
      <c r="I811" t="s">
        <v>471</v>
      </c>
      <c r="J811" t="s">
        <v>472</v>
      </c>
      <c r="K811" s="77" t="s">
        <v>1779</v>
      </c>
      <c r="N811" s="71" t="s">
        <v>1996</v>
      </c>
    </row>
    <row r="812" spans="1:14" ht="43.5" x14ac:dyDescent="0.35">
      <c r="A812" t="str">
        <f>VLOOKUP(C812,Countries!$A$1:$D$205,2,FALSE)</f>
        <v>ESP</v>
      </c>
      <c r="B812" s="71" t="s">
        <v>1582</v>
      </c>
      <c r="C812" t="s">
        <v>284</v>
      </c>
      <c r="D812" s="71" t="s">
        <v>1997</v>
      </c>
      <c r="E812" s="77" t="s">
        <v>502</v>
      </c>
      <c r="F812" s="75">
        <v>2024</v>
      </c>
      <c r="G812" s="79">
        <v>53</v>
      </c>
      <c r="H812" s="66">
        <f>G812*1000*Conversion!$A$2</f>
        <v>4763.6400000000003</v>
      </c>
      <c r="I812" t="s">
        <v>471</v>
      </c>
      <c r="J812" t="s">
        <v>472</v>
      </c>
      <c r="K812" s="77" t="s">
        <v>1990</v>
      </c>
      <c r="N812" s="71" t="s">
        <v>1998</v>
      </c>
    </row>
    <row r="813" spans="1:14" ht="43.5" x14ac:dyDescent="0.35">
      <c r="A813" t="str">
        <f>VLOOKUP(C813,Countries!$A$1:$D$205,2,FALSE)</f>
        <v>SWE</v>
      </c>
      <c r="B813" s="71" t="s">
        <v>1999</v>
      </c>
      <c r="C813" t="s">
        <v>298</v>
      </c>
      <c r="D813" s="71" t="s">
        <v>2000</v>
      </c>
      <c r="E813" s="77" t="s">
        <v>502</v>
      </c>
      <c r="G813" s="79">
        <v>5.3332799999999994</v>
      </c>
      <c r="H813" s="66">
        <f>G813*1000*Conversion!$A$2</f>
        <v>479.35520639999999</v>
      </c>
      <c r="I813" t="s">
        <v>471</v>
      </c>
      <c r="J813" t="s">
        <v>472</v>
      </c>
      <c r="K813" s="77" t="s">
        <v>503</v>
      </c>
      <c r="N813" s="71" t="s">
        <v>2001</v>
      </c>
    </row>
    <row r="814" spans="1:14" ht="43.5" x14ac:dyDescent="0.35">
      <c r="A814" t="str">
        <f>VLOOKUP(C814,Countries!$A$1:$D$205,2,FALSE)</f>
        <v>SWE</v>
      </c>
      <c r="B814" s="71" t="s">
        <v>2002</v>
      </c>
      <c r="C814" t="s">
        <v>298</v>
      </c>
      <c r="D814" s="71" t="s">
        <v>2003</v>
      </c>
      <c r="E814" s="77" t="s">
        <v>502</v>
      </c>
      <c r="F814" s="75">
        <v>2026</v>
      </c>
      <c r="G814" s="79">
        <v>3200</v>
      </c>
      <c r="H814" s="66">
        <f>G814*1000*Conversion!$A$2</f>
        <v>287616</v>
      </c>
      <c r="I814" t="s">
        <v>471</v>
      </c>
      <c r="J814" t="s">
        <v>472</v>
      </c>
      <c r="K814" s="77" t="s">
        <v>1779</v>
      </c>
      <c r="N814" s="71" t="s">
        <v>2004</v>
      </c>
    </row>
    <row r="815" spans="1:14" x14ac:dyDescent="0.35">
      <c r="A815" t="str">
        <f>VLOOKUP(C815,Countries!$A$1:$D$205,2,FALSE)</f>
        <v>SWE</v>
      </c>
      <c r="B815" s="71" t="s">
        <v>2005</v>
      </c>
      <c r="C815" t="s">
        <v>298</v>
      </c>
      <c r="D815" s="71" t="s">
        <v>2006</v>
      </c>
      <c r="E815" s="77" t="s">
        <v>261</v>
      </c>
      <c r="G815" s="79">
        <v>5</v>
      </c>
      <c r="H815" s="66">
        <f>G815*1000*Conversion!$A$2</f>
        <v>449.40000000000003</v>
      </c>
      <c r="I815" t="s">
        <v>471</v>
      </c>
      <c r="J815" t="s">
        <v>472</v>
      </c>
      <c r="K815" s="77" t="s">
        <v>1472</v>
      </c>
      <c r="N815" s="71" t="s">
        <v>2007</v>
      </c>
    </row>
    <row r="816" spans="1:14" x14ac:dyDescent="0.35">
      <c r="A816" t="str">
        <f>VLOOKUP(C816,Countries!$A$1:$D$205,2,FALSE)</f>
        <v>SWE</v>
      </c>
      <c r="B816" s="71" t="s">
        <v>2008</v>
      </c>
      <c r="C816" t="s">
        <v>298</v>
      </c>
      <c r="D816" s="71" t="s">
        <v>2006</v>
      </c>
      <c r="E816" s="77" t="s">
        <v>261</v>
      </c>
      <c r="G816" s="79">
        <v>7</v>
      </c>
      <c r="H816" s="66">
        <f>G816*1000*Conversion!$A$2</f>
        <v>629.16</v>
      </c>
      <c r="I816" t="s">
        <v>471</v>
      </c>
      <c r="J816" t="s">
        <v>472</v>
      </c>
      <c r="K816" s="77" t="s">
        <v>1472</v>
      </c>
      <c r="N816" s="71" t="s">
        <v>2007</v>
      </c>
    </row>
    <row r="817" spans="1:14" x14ac:dyDescent="0.35">
      <c r="A817" t="str">
        <f>VLOOKUP(C817,Countries!$A$1:$D$205,2,FALSE)</f>
        <v>SWE</v>
      </c>
      <c r="B817" s="71" t="s">
        <v>2009</v>
      </c>
      <c r="C817" t="s">
        <v>298</v>
      </c>
      <c r="D817" s="71" t="s">
        <v>2006</v>
      </c>
      <c r="E817" s="77" t="s">
        <v>261</v>
      </c>
      <c r="G817" s="79">
        <v>6</v>
      </c>
      <c r="H817" s="66">
        <f>G817*1000*Conversion!$A$2</f>
        <v>539.28</v>
      </c>
      <c r="I817" t="s">
        <v>471</v>
      </c>
      <c r="J817" t="s">
        <v>472</v>
      </c>
      <c r="K817" s="77" t="s">
        <v>1472</v>
      </c>
      <c r="N817" s="71" t="s">
        <v>2007</v>
      </c>
    </row>
    <row r="818" spans="1:14" ht="29" x14ac:dyDescent="0.35">
      <c r="A818" t="str">
        <f>VLOOKUP(C818,Countries!$A$1:$D$205,2,FALSE)</f>
        <v>SWE</v>
      </c>
      <c r="B818" s="71" t="s">
        <v>2010</v>
      </c>
      <c r="C818" t="s">
        <v>298</v>
      </c>
      <c r="D818" s="71" t="s">
        <v>2006</v>
      </c>
      <c r="E818" s="77" t="s">
        <v>502</v>
      </c>
      <c r="F818">
        <v>2014</v>
      </c>
      <c r="G818" s="79">
        <v>53.332799999999992</v>
      </c>
      <c r="H818" s="66">
        <f>G818*1000*Conversion!$A$2</f>
        <v>4793.5520639999986</v>
      </c>
      <c r="I818" t="s">
        <v>471</v>
      </c>
      <c r="J818" t="s">
        <v>472</v>
      </c>
      <c r="K818" s="77" t="s">
        <v>1472</v>
      </c>
      <c r="N818" s="71" t="s">
        <v>2011</v>
      </c>
    </row>
    <row r="819" spans="1:14" ht="43.5" x14ac:dyDescent="0.35">
      <c r="A819" t="str">
        <f>VLOOKUP(C819,Countries!$A$1:$D$205,2,FALSE)</f>
        <v>SWE</v>
      </c>
      <c r="B819" s="71" t="s">
        <v>1633</v>
      </c>
      <c r="C819" t="s">
        <v>298</v>
      </c>
      <c r="D819" s="71" t="s">
        <v>2012</v>
      </c>
      <c r="E819" s="77" t="s">
        <v>502</v>
      </c>
      <c r="F819">
        <v>2023</v>
      </c>
      <c r="G819" s="79">
        <v>21</v>
      </c>
      <c r="H819" s="66">
        <f>G819*1000*Conversion!$A$2</f>
        <v>1887.48</v>
      </c>
      <c r="I819" t="s">
        <v>471</v>
      </c>
      <c r="J819" t="s">
        <v>472</v>
      </c>
      <c r="K819" s="77" t="s">
        <v>1779</v>
      </c>
      <c r="N819" s="71" t="s">
        <v>2013</v>
      </c>
    </row>
    <row r="820" spans="1:14" ht="29" x14ac:dyDescent="0.35">
      <c r="A820" t="str">
        <f>VLOOKUP(C820,Countries!$A$1:$D$205,2,FALSE)</f>
        <v>CHE</v>
      </c>
      <c r="B820" s="71" t="s">
        <v>2014</v>
      </c>
      <c r="C820" t="s">
        <v>437</v>
      </c>
      <c r="D820" s="71" t="s">
        <v>2015</v>
      </c>
      <c r="E820" s="77" t="s">
        <v>502</v>
      </c>
      <c r="F820" s="75">
        <v>2023</v>
      </c>
      <c r="G820" s="79">
        <v>53</v>
      </c>
      <c r="H820" s="66">
        <f>G820*1000*Conversion!$A$2</f>
        <v>4763.6400000000003</v>
      </c>
      <c r="I820" t="s">
        <v>471</v>
      </c>
      <c r="J820" t="s">
        <v>472</v>
      </c>
      <c r="K820" s="77" t="s">
        <v>1779</v>
      </c>
      <c r="N820" s="71" t="s">
        <v>2016</v>
      </c>
    </row>
    <row r="821" spans="1:14" ht="29" x14ac:dyDescent="0.35">
      <c r="A821" t="str">
        <f>VLOOKUP(C821,Countries!$A$1:$D$205,2,FALSE)</f>
        <v>CHE</v>
      </c>
      <c r="B821" s="71" t="s">
        <v>2017</v>
      </c>
      <c r="C821" t="s">
        <v>437</v>
      </c>
      <c r="D821" s="71" t="s">
        <v>2018</v>
      </c>
      <c r="E821" s="77" t="s">
        <v>502</v>
      </c>
      <c r="F821" s="75">
        <v>2027</v>
      </c>
      <c r="G821" s="79">
        <v>13.333199999999998</v>
      </c>
      <c r="H821" s="66">
        <f>G821*1000*Conversion!$A$2</f>
        <v>1198.3880159999997</v>
      </c>
      <c r="I821" t="s">
        <v>471</v>
      </c>
      <c r="J821" t="s">
        <v>472</v>
      </c>
      <c r="K821" s="77" t="s">
        <v>1779</v>
      </c>
      <c r="N821" s="71" t="s">
        <v>2019</v>
      </c>
    </row>
    <row r="822" spans="1:14" ht="29" x14ac:dyDescent="0.35">
      <c r="A822" t="str">
        <f>VLOOKUP(C822,Countries!$A$1:$D$205,2,FALSE)</f>
        <v>CHE</v>
      </c>
      <c r="B822" s="71" t="s">
        <v>2020</v>
      </c>
      <c r="C822" t="s">
        <v>437</v>
      </c>
      <c r="D822" s="71" t="s">
        <v>2018</v>
      </c>
      <c r="E822" s="77" t="s">
        <v>502</v>
      </c>
      <c r="F822" s="75">
        <v>2024</v>
      </c>
      <c r="G822" s="79">
        <v>80</v>
      </c>
      <c r="H822" s="66">
        <f>G822*1000*Conversion!$A$2</f>
        <v>7190.4000000000005</v>
      </c>
      <c r="I822" t="s">
        <v>471</v>
      </c>
      <c r="J822" t="s">
        <v>472</v>
      </c>
      <c r="K822" s="77" t="s">
        <v>1779</v>
      </c>
      <c r="N822" s="71" t="s">
        <v>2021</v>
      </c>
    </row>
    <row r="823" spans="1:14" x14ac:dyDescent="0.35">
      <c r="A823" t="str">
        <f>VLOOKUP(C823,Countries!$A$1:$D$205,2,FALSE)</f>
        <v>CHE</v>
      </c>
      <c r="B823" s="71" t="s">
        <v>2022</v>
      </c>
      <c r="C823" t="s">
        <v>437</v>
      </c>
      <c r="D823" s="71" t="s">
        <v>2023</v>
      </c>
      <c r="E823" s="77" t="s">
        <v>261</v>
      </c>
      <c r="F823" s="75">
        <v>2004</v>
      </c>
      <c r="G823" s="79">
        <v>30</v>
      </c>
      <c r="H823" s="66">
        <f>G823*1000*Conversion!$A$2</f>
        <v>2696.4</v>
      </c>
      <c r="I823" t="s">
        <v>471</v>
      </c>
      <c r="J823" t="s">
        <v>472</v>
      </c>
      <c r="K823" s="77" t="s">
        <v>1472</v>
      </c>
      <c r="N823" s="71" t="s">
        <v>2024</v>
      </c>
    </row>
    <row r="824" spans="1:14" ht="29" x14ac:dyDescent="0.35">
      <c r="A824" t="str">
        <f>VLOOKUP(C824,Countries!$A$1:$D$205,2,FALSE)</f>
        <v>CHE</v>
      </c>
      <c r="B824" s="71" t="s">
        <v>2025</v>
      </c>
      <c r="C824" t="s">
        <v>437</v>
      </c>
      <c r="D824" s="71" t="s">
        <v>2026</v>
      </c>
      <c r="E824" s="77" t="s">
        <v>502</v>
      </c>
      <c r="F824" s="75">
        <v>2023</v>
      </c>
      <c r="G824" s="79">
        <v>11</v>
      </c>
      <c r="H824" s="66">
        <f>G824*1000*Conversion!$A$2</f>
        <v>988.68000000000006</v>
      </c>
      <c r="I824" t="s">
        <v>471</v>
      </c>
      <c r="J824" t="s">
        <v>472</v>
      </c>
      <c r="K824" s="77" t="s">
        <v>1779</v>
      </c>
      <c r="N824" s="71" t="s">
        <v>2027</v>
      </c>
    </row>
    <row r="825" spans="1:14" ht="43.5" x14ac:dyDescent="0.35">
      <c r="A825" t="str">
        <f>VLOOKUP(C825,Countries!$A$1:$D$205,2,FALSE)</f>
        <v>CHE</v>
      </c>
      <c r="B825" s="71" t="s">
        <v>2028</v>
      </c>
      <c r="C825" t="s">
        <v>437</v>
      </c>
      <c r="D825" s="71" t="s">
        <v>2029</v>
      </c>
      <c r="E825" s="77" t="s">
        <v>502</v>
      </c>
      <c r="F825" s="75">
        <v>2025</v>
      </c>
      <c r="G825" s="79">
        <v>10.666559999999999</v>
      </c>
      <c r="H825" s="66">
        <f>G825*1000*Conversion!$A$2</f>
        <v>958.71041279999997</v>
      </c>
      <c r="I825" t="s">
        <v>471</v>
      </c>
      <c r="J825" t="s">
        <v>472</v>
      </c>
      <c r="K825" s="77" t="s">
        <v>1779</v>
      </c>
      <c r="N825" s="71" t="s">
        <v>2030</v>
      </c>
    </row>
    <row r="826" spans="1:14" x14ac:dyDescent="0.35">
      <c r="A826" t="str">
        <f>VLOOKUP(C826,Countries!$A$1:$D$205,2,FALSE)</f>
        <v>CHE</v>
      </c>
      <c r="B826" s="71" t="s">
        <v>2031</v>
      </c>
      <c r="C826" t="s">
        <v>437</v>
      </c>
      <c r="D826" s="71" t="s">
        <v>2032</v>
      </c>
      <c r="E826" s="77" t="s">
        <v>261</v>
      </c>
      <c r="F826" s="75">
        <v>2003</v>
      </c>
      <c r="G826" s="79">
        <v>12</v>
      </c>
      <c r="H826" s="66">
        <f>G826*1000*Conversion!$A$2</f>
        <v>1078.56</v>
      </c>
      <c r="I826" t="s">
        <v>471</v>
      </c>
      <c r="J826" t="s">
        <v>472</v>
      </c>
      <c r="K826" s="77" t="s">
        <v>1472</v>
      </c>
      <c r="N826" s="71" t="s">
        <v>2033</v>
      </c>
    </row>
    <row r="827" spans="1:14" ht="58" x14ac:dyDescent="0.35">
      <c r="A827" t="str">
        <f>VLOOKUP(C827,Countries!$A$1:$D$205,2,FALSE)</f>
        <v>CHE</v>
      </c>
      <c r="B827" s="71" t="s">
        <v>2034</v>
      </c>
      <c r="C827" t="s">
        <v>437</v>
      </c>
      <c r="D827" s="71" t="s">
        <v>2035</v>
      </c>
      <c r="E827" s="77" t="s">
        <v>502</v>
      </c>
      <c r="F827" s="75">
        <v>2022</v>
      </c>
      <c r="G827" s="79">
        <v>10.666559999999999</v>
      </c>
      <c r="H827" s="66">
        <f>G827*1000*Conversion!$A$2</f>
        <v>958.71041279999997</v>
      </c>
      <c r="I827" t="s">
        <v>471</v>
      </c>
      <c r="J827" t="s">
        <v>472</v>
      </c>
      <c r="K827" s="77" t="s">
        <v>1779</v>
      </c>
      <c r="N827" s="71" t="s">
        <v>2036</v>
      </c>
    </row>
    <row r="828" spans="1:14" ht="29" x14ac:dyDescent="0.35">
      <c r="A828" t="str">
        <f>VLOOKUP(C828,Countries!$A$1:$D$205,2,FALSE)</f>
        <v>GBR</v>
      </c>
      <c r="B828" s="71" t="s">
        <v>2037</v>
      </c>
      <c r="C828" t="s">
        <v>449</v>
      </c>
      <c r="D828" s="71" t="s">
        <v>2038</v>
      </c>
      <c r="E828" s="77" t="s">
        <v>253</v>
      </c>
      <c r="F828" s="75">
        <v>2002</v>
      </c>
      <c r="G828" s="79">
        <v>63</v>
      </c>
      <c r="H828" s="66">
        <f>G828*1000*Conversion!$A$2</f>
        <v>5662.4400000000005</v>
      </c>
      <c r="I828" t="s">
        <v>471</v>
      </c>
      <c r="J828" t="s">
        <v>472</v>
      </c>
      <c r="K828" s="77" t="s">
        <v>503</v>
      </c>
      <c r="N828" s="71" t="s">
        <v>2039</v>
      </c>
    </row>
    <row r="829" spans="1:14" ht="29" x14ac:dyDescent="0.35">
      <c r="A829" t="str">
        <f>VLOOKUP(C829,Countries!$A$1:$D$205,2,FALSE)</f>
        <v>GBR</v>
      </c>
      <c r="B829" s="71" t="s">
        <v>2040</v>
      </c>
      <c r="C829" t="s">
        <v>449</v>
      </c>
      <c r="D829" s="71" t="s">
        <v>2041</v>
      </c>
      <c r="E829" s="77" t="s">
        <v>261</v>
      </c>
      <c r="F829" s="75"/>
      <c r="G829" s="79">
        <v>10</v>
      </c>
      <c r="H829" s="66">
        <f>G829*1000*Conversion!$A$2</f>
        <v>898.80000000000007</v>
      </c>
      <c r="I829" t="s">
        <v>471</v>
      </c>
      <c r="J829" t="s">
        <v>472</v>
      </c>
      <c r="K829" s="77" t="s">
        <v>487</v>
      </c>
      <c r="N829" s="71" t="s">
        <v>2042</v>
      </c>
    </row>
    <row r="830" spans="1:14" ht="43.5" x14ac:dyDescent="0.35">
      <c r="A830" t="str">
        <f>VLOOKUP(C830,Countries!$A$1:$D$205,2,FALSE)</f>
        <v>GBR</v>
      </c>
      <c r="B830" s="71" t="s">
        <v>2043</v>
      </c>
      <c r="C830" t="s">
        <v>449</v>
      </c>
      <c r="D830" s="71" t="s">
        <v>2041</v>
      </c>
      <c r="E830" s="77" t="s">
        <v>1250</v>
      </c>
      <c r="F830" s="75">
        <v>1998</v>
      </c>
      <c r="G830" s="79">
        <v>12</v>
      </c>
      <c r="H830" s="66">
        <f>G830*1000*Conversion!$A$2</f>
        <v>1078.56</v>
      </c>
      <c r="I830" t="s">
        <v>471</v>
      </c>
      <c r="J830" t="s">
        <v>472</v>
      </c>
      <c r="K830" s="77" t="s">
        <v>732</v>
      </c>
      <c r="N830" s="71" t="s">
        <v>2044</v>
      </c>
    </row>
    <row r="831" spans="1:14" ht="29" x14ac:dyDescent="0.35">
      <c r="A831" t="str">
        <f>VLOOKUP(C831,Countries!$A$1:$D$205,2,FALSE)</f>
        <v>GBR</v>
      </c>
      <c r="B831" s="71" t="s">
        <v>2045</v>
      </c>
      <c r="C831" t="s">
        <v>449</v>
      </c>
      <c r="D831" s="71" t="s">
        <v>1081</v>
      </c>
      <c r="E831" s="77" t="s">
        <v>261</v>
      </c>
      <c r="F831" s="75"/>
      <c r="G831" s="79">
        <v>24</v>
      </c>
      <c r="H831" s="66">
        <f>G831*1000*Conversion!$A$2</f>
        <v>2157.12</v>
      </c>
      <c r="I831" t="s">
        <v>471</v>
      </c>
      <c r="J831" t="s">
        <v>472</v>
      </c>
      <c r="K831" s="77" t="s">
        <v>1694</v>
      </c>
      <c r="N831" s="71" t="s">
        <v>2046</v>
      </c>
    </row>
    <row r="832" spans="1:14" ht="29" x14ac:dyDescent="0.35">
      <c r="A832" t="str">
        <f>VLOOKUP(C832,Countries!$A$1:$D$205,2,FALSE)</f>
        <v>GBR</v>
      </c>
      <c r="B832" s="71" t="s">
        <v>2047</v>
      </c>
      <c r="C832" t="s">
        <v>449</v>
      </c>
      <c r="D832" s="71" t="s">
        <v>1081</v>
      </c>
      <c r="E832" s="77" t="s">
        <v>261</v>
      </c>
      <c r="F832" s="75">
        <v>1989</v>
      </c>
      <c r="G832" s="79">
        <v>31</v>
      </c>
      <c r="H832" s="66">
        <f>G832*1000*Conversion!$A$2</f>
        <v>2786.28</v>
      </c>
      <c r="I832" t="s">
        <v>471</v>
      </c>
      <c r="J832" t="s">
        <v>472</v>
      </c>
      <c r="K832" s="77" t="s">
        <v>1694</v>
      </c>
      <c r="N832" s="71" t="s">
        <v>2048</v>
      </c>
    </row>
    <row r="833" spans="1:14" ht="29" x14ac:dyDescent="0.35">
      <c r="A833" t="str">
        <f>VLOOKUP(C833,Countries!$A$1:$D$205,2,FALSE)</f>
        <v>GBR</v>
      </c>
      <c r="B833" s="71" t="s">
        <v>2049</v>
      </c>
      <c r="C833" t="s">
        <v>449</v>
      </c>
      <c r="D833" s="71" t="s">
        <v>1081</v>
      </c>
      <c r="E833" s="77" t="s">
        <v>261</v>
      </c>
      <c r="F833" s="75">
        <v>2002</v>
      </c>
      <c r="G833" s="79">
        <v>975</v>
      </c>
      <c r="H833" s="66">
        <f>G833*1000*Conversion!$A$2</f>
        <v>87633</v>
      </c>
      <c r="I833" t="s">
        <v>471</v>
      </c>
      <c r="J833" t="s">
        <v>472</v>
      </c>
      <c r="K833" s="77" t="s">
        <v>494</v>
      </c>
      <c r="N833" s="71" t="s">
        <v>2050</v>
      </c>
    </row>
    <row r="834" spans="1:14" ht="29" x14ac:dyDescent="0.35">
      <c r="A834" t="str">
        <f>VLOOKUP(C834,Countries!$A$1:$D$205,2,FALSE)</f>
        <v>GBR</v>
      </c>
      <c r="B834" s="71" t="s">
        <v>2051</v>
      </c>
      <c r="C834" t="s">
        <v>449</v>
      </c>
      <c r="D834" s="71" t="s">
        <v>1081</v>
      </c>
      <c r="E834" s="77" t="s">
        <v>261</v>
      </c>
      <c r="F834" s="75">
        <v>2015</v>
      </c>
      <c r="G834" s="79" t="s">
        <v>2052</v>
      </c>
      <c r="H834" s="66" t="e">
        <f>G834*1000*Conversion!$A$2</f>
        <v>#VALUE!</v>
      </c>
      <c r="I834" t="s">
        <v>471</v>
      </c>
      <c r="J834" t="s">
        <v>472</v>
      </c>
      <c r="K834" s="77" t="s">
        <v>494</v>
      </c>
      <c r="N834" s="71" t="s">
        <v>2053</v>
      </c>
    </row>
    <row r="835" spans="1:14" ht="29" x14ac:dyDescent="0.35">
      <c r="A835" t="str">
        <f>VLOOKUP(C835,Countries!$A$1:$D$205,2,FALSE)</f>
        <v>GBR</v>
      </c>
      <c r="B835" s="71" t="s">
        <v>2054</v>
      </c>
      <c r="C835" t="s">
        <v>449</v>
      </c>
      <c r="D835" s="71" t="s">
        <v>1081</v>
      </c>
      <c r="E835" s="77" t="s">
        <v>261</v>
      </c>
      <c r="F835" s="75"/>
      <c r="G835" s="79">
        <v>55</v>
      </c>
      <c r="H835" s="66">
        <f>G835*1000*Conversion!$A$2</f>
        <v>4943.3999999999996</v>
      </c>
      <c r="I835" t="s">
        <v>471</v>
      </c>
      <c r="J835" t="s">
        <v>472</v>
      </c>
      <c r="K835" s="77" t="s">
        <v>971</v>
      </c>
      <c r="N835" s="71" t="s">
        <v>2055</v>
      </c>
    </row>
    <row r="836" spans="1:14" ht="58" x14ac:dyDescent="0.35">
      <c r="A836" t="str">
        <f>VLOOKUP(C836,Countries!$A$1:$D$205,2,FALSE)</f>
        <v>GBR</v>
      </c>
      <c r="B836" s="71" t="s">
        <v>2056</v>
      </c>
      <c r="C836" t="s">
        <v>449</v>
      </c>
      <c r="D836" s="71" t="s">
        <v>2057</v>
      </c>
      <c r="E836" s="77" t="s">
        <v>502</v>
      </c>
      <c r="F836" s="75">
        <v>2025</v>
      </c>
      <c r="G836" s="79">
        <v>187</v>
      </c>
      <c r="H836" s="66">
        <f>G836*1000*Conversion!$A$2</f>
        <v>16807.560000000001</v>
      </c>
      <c r="I836" t="s">
        <v>471</v>
      </c>
      <c r="J836" t="s">
        <v>472</v>
      </c>
      <c r="K836" s="77" t="s">
        <v>1779</v>
      </c>
      <c r="N836" s="71" t="s">
        <v>2058</v>
      </c>
    </row>
    <row r="837" spans="1:14" ht="43.5" x14ac:dyDescent="0.35">
      <c r="A837" t="str">
        <f>VLOOKUP(C837,Countries!$A$1:$D$205,2,FALSE)</f>
        <v>GBR</v>
      </c>
      <c r="B837" s="71" t="s">
        <v>2059</v>
      </c>
      <c r="C837" t="s">
        <v>449</v>
      </c>
      <c r="D837" s="71" t="s">
        <v>2060</v>
      </c>
      <c r="E837" s="77" t="s">
        <v>502</v>
      </c>
      <c r="F837" s="75">
        <v>2025</v>
      </c>
      <c r="G837" s="79">
        <v>53</v>
      </c>
      <c r="H837" s="66">
        <f>G837*1000*Conversion!$A$2</f>
        <v>4763.6400000000003</v>
      </c>
      <c r="I837" t="s">
        <v>471</v>
      </c>
      <c r="J837" t="s">
        <v>472</v>
      </c>
      <c r="K837" s="77" t="s">
        <v>1779</v>
      </c>
      <c r="N837" s="71" t="s">
        <v>2061</v>
      </c>
    </row>
    <row r="838" spans="1:14" ht="43.5" x14ac:dyDescent="0.35">
      <c r="A838" t="str">
        <f>VLOOKUP(C838,Countries!$A$1:$D$205,2,FALSE)</f>
        <v>GBR</v>
      </c>
      <c r="B838" s="71" t="s">
        <v>2062</v>
      </c>
      <c r="C838" t="s">
        <v>449</v>
      </c>
      <c r="D838" s="71" t="s">
        <v>2063</v>
      </c>
      <c r="E838" s="77" t="s">
        <v>502</v>
      </c>
      <c r="F838" s="75">
        <v>2029</v>
      </c>
      <c r="G838" s="79">
        <v>4000</v>
      </c>
      <c r="H838" s="66">
        <f>G838*1000*Conversion!$A$2</f>
        <v>359520</v>
      </c>
      <c r="I838" t="s">
        <v>471</v>
      </c>
      <c r="J838" t="s">
        <v>472</v>
      </c>
      <c r="K838" s="77" t="s">
        <v>1779</v>
      </c>
      <c r="N838" s="71" t="s">
        <v>2064</v>
      </c>
    </row>
    <row r="839" spans="1:14" ht="43.5" x14ac:dyDescent="0.35">
      <c r="A839" t="str">
        <f>VLOOKUP(C839,Countries!$A$1:$D$205,2,FALSE)</f>
        <v>GBR</v>
      </c>
      <c r="B839" s="71" t="s">
        <v>2065</v>
      </c>
      <c r="C839" t="s">
        <v>449</v>
      </c>
      <c r="D839" s="71" t="s">
        <v>2066</v>
      </c>
      <c r="E839" s="77" t="s">
        <v>502</v>
      </c>
      <c r="F839" s="75">
        <v>2030</v>
      </c>
      <c r="G839" s="79">
        <v>5333</v>
      </c>
      <c r="H839" s="66">
        <f>G839*1000*Conversion!$A$2</f>
        <v>479330.04000000004</v>
      </c>
      <c r="I839" t="s">
        <v>471</v>
      </c>
      <c r="J839" t="s">
        <v>472</v>
      </c>
      <c r="K839" s="77" t="s">
        <v>1779</v>
      </c>
      <c r="N839" s="71" t="s">
        <v>2067</v>
      </c>
    </row>
    <row r="840" spans="1:14" ht="43.5" x14ac:dyDescent="0.35">
      <c r="A840" t="str">
        <f>VLOOKUP(C840,Countries!$A$1:$D$205,2,FALSE)</f>
        <v>GBR</v>
      </c>
      <c r="B840" s="71" t="s">
        <v>1669</v>
      </c>
      <c r="C840" t="s">
        <v>449</v>
      </c>
      <c r="D840" s="71" t="s">
        <v>2068</v>
      </c>
      <c r="E840" s="77" t="s">
        <v>502</v>
      </c>
      <c r="F840" s="75">
        <v>2027</v>
      </c>
      <c r="G840" s="79">
        <v>3840</v>
      </c>
      <c r="H840" s="66">
        <f>G840*1000*Conversion!$A$2</f>
        <v>345139.20000000001</v>
      </c>
      <c r="I840" t="s">
        <v>471</v>
      </c>
      <c r="J840" t="s">
        <v>472</v>
      </c>
      <c r="K840" s="77" t="s">
        <v>1779</v>
      </c>
      <c r="N840" s="71" t="s">
        <v>2069</v>
      </c>
    </row>
    <row r="841" spans="1:14" ht="58" x14ac:dyDescent="0.35">
      <c r="A841" t="str">
        <f>VLOOKUP(C841,Countries!$A$1:$D$205,2,FALSE)</f>
        <v>GBR</v>
      </c>
      <c r="B841" s="71" t="s">
        <v>1669</v>
      </c>
      <c r="C841" t="s">
        <v>449</v>
      </c>
      <c r="D841" s="71" t="s">
        <v>2070</v>
      </c>
      <c r="E841" s="77" t="s">
        <v>502</v>
      </c>
      <c r="F841" s="75">
        <v>2027</v>
      </c>
      <c r="G841" s="79">
        <v>4267</v>
      </c>
      <c r="H841" s="66">
        <f>G841*1000*Conversion!$A$2</f>
        <v>383517.96</v>
      </c>
      <c r="I841" t="s">
        <v>471</v>
      </c>
      <c r="J841" t="s">
        <v>472</v>
      </c>
      <c r="K841" s="77" t="s">
        <v>549</v>
      </c>
      <c r="N841" s="71" t="s">
        <v>2071</v>
      </c>
    </row>
    <row r="842" spans="1:14" ht="87" x14ac:dyDescent="0.35">
      <c r="A842" t="str">
        <f>VLOOKUP(C842,Countries!$A$1:$D$205,2,FALSE)</f>
        <v>GBR</v>
      </c>
      <c r="B842" s="71" t="s">
        <v>2072</v>
      </c>
      <c r="C842" t="s">
        <v>449</v>
      </c>
      <c r="D842" s="71" t="s">
        <v>2073</v>
      </c>
      <c r="E842" s="77" t="s">
        <v>502</v>
      </c>
      <c r="F842" s="75">
        <v>2028</v>
      </c>
      <c r="G842" s="79">
        <v>9600</v>
      </c>
      <c r="H842" s="66">
        <f>G842*1000*Conversion!$A$2</f>
        <v>862848</v>
      </c>
      <c r="I842" t="s">
        <v>471</v>
      </c>
      <c r="J842" t="s">
        <v>472</v>
      </c>
      <c r="K842" s="77" t="s">
        <v>549</v>
      </c>
      <c r="N842" s="71" t="s">
        <v>2074</v>
      </c>
    </row>
    <row r="843" spans="1:14" ht="43.5" x14ac:dyDescent="0.35">
      <c r="A843" t="str">
        <f>VLOOKUP(C843,Countries!$A$1:$D$205,2,FALSE)</f>
        <v>GBR</v>
      </c>
      <c r="B843" s="71" t="s">
        <v>2065</v>
      </c>
      <c r="C843" t="s">
        <v>449</v>
      </c>
      <c r="D843" s="71" t="s">
        <v>2075</v>
      </c>
      <c r="E843" s="77" t="s">
        <v>502</v>
      </c>
      <c r="F843" s="75">
        <v>2030</v>
      </c>
      <c r="G843" s="79">
        <v>2667</v>
      </c>
      <c r="H843" s="66">
        <f>G843*1000*Conversion!$A$2</f>
        <v>239709.96</v>
      </c>
      <c r="I843" t="s">
        <v>471</v>
      </c>
      <c r="J843" t="s">
        <v>472</v>
      </c>
      <c r="K843" s="77" t="s">
        <v>1779</v>
      </c>
      <c r="N843" s="71" t="s">
        <v>2076</v>
      </c>
    </row>
    <row r="844" spans="1:14" ht="58" x14ac:dyDescent="0.35">
      <c r="A844" t="str">
        <f>VLOOKUP(C844,Countries!$A$1:$D$205,2,FALSE)</f>
        <v>GBR</v>
      </c>
      <c r="B844" s="71" t="s">
        <v>2077</v>
      </c>
      <c r="C844" t="s">
        <v>449</v>
      </c>
      <c r="D844" s="71" t="s">
        <v>2078</v>
      </c>
      <c r="E844" s="77" t="s">
        <v>502</v>
      </c>
      <c r="F844" s="75">
        <v>2030</v>
      </c>
      <c r="G844" s="79">
        <v>18666</v>
      </c>
      <c r="H844" s="66">
        <f>G844*1000*Conversion!$A$2</f>
        <v>1677700.08</v>
      </c>
      <c r="I844" t="s">
        <v>471</v>
      </c>
      <c r="J844" t="s">
        <v>472</v>
      </c>
      <c r="K844" s="77" t="s">
        <v>1779</v>
      </c>
      <c r="N844" s="71" t="s">
        <v>2079</v>
      </c>
    </row>
    <row r="845" spans="1:14" ht="29" x14ac:dyDescent="0.35">
      <c r="A845" t="str">
        <f>VLOOKUP(C845,Countries!$A$1:$D$205,2,FALSE)</f>
        <v>GBR</v>
      </c>
      <c r="B845" s="71" t="s">
        <v>1676</v>
      </c>
      <c r="C845" t="s">
        <v>449</v>
      </c>
      <c r="D845" s="71" t="s">
        <v>2080</v>
      </c>
      <c r="E845" s="77" t="s">
        <v>502</v>
      </c>
      <c r="F845" s="75">
        <v>2027</v>
      </c>
      <c r="G845" s="79">
        <v>533</v>
      </c>
      <c r="H845" s="66">
        <f>G845*1000*Conversion!$A$2</f>
        <v>47906.04</v>
      </c>
      <c r="I845" t="s">
        <v>471</v>
      </c>
      <c r="J845" t="s">
        <v>472</v>
      </c>
      <c r="K845" s="77" t="s">
        <v>1779</v>
      </c>
      <c r="N845" s="71" t="s">
        <v>2081</v>
      </c>
    </row>
    <row r="846" spans="1:14" ht="43.5" x14ac:dyDescent="0.35">
      <c r="A846" t="str">
        <f>VLOOKUP(C846,Countries!$A$1:$D$205,2,FALSE)</f>
        <v>GBR</v>
      </c>
      <c r="B846" s="71" t="s">
        <v>2082</v>
      </c>
      <c r="C846" t="s">
        <v>449</v>
      </c>
      <c r="D846" s="71" t="s">
        <v>1674</v>
      </c>
      <c r="E846" s="77" t="s">
        <v>502</v>
      </c>
      <c r="F846" s="75">
        <v>2023</v>
      </c>
      <c r="G846" s="79">
        <v>107</v>
      </c>
      <c r="H846" s="66">
        <f>G846*1000*Conversion!$A$2</f>
        <v>9617.16</v>
      </c>
      <c r="I846" t="s">
        <v>471</v>
      </c>
      <c r="J846" t="s">
        <v>472</v>
      </c>
      <c r="K846" s="77" t="s">
        <v>1779</v>
      </c>
      <c r="N846" s="71" t="s">
        <v>2083</v>
      </c>
    </row>
    <row r="847" spans="1:14" ht="58" x14ac:dyDescent="0.35">
      <c r="A847" t="str">
        <f>VLOOKUP(C847,Countries!$A$1:$D$205,2,FALSE)</f>
        <v>GBR</v>
      </c>
      <c r="B847" s="71" t="s">
        <v>2084</v>
      </c>
      <c r="C847" t="s">
        <v>449</v>
      </c>
      <c r="D847" s="71" t="s">
        <v>2085</v>
      </c>
      <c r="E847" s="77" t="s">
        <v>502</v>
      </c>
      <c r="F847" s="75">
        <v>2024</v>
      </c>
      <c r="G847" s="79">
        <v>533</v>
      </c>
      <c r="H847" s="66">
        <f>G847*1000*Conversion!$A$2</f>
        <v>47906.04</v>
      </c>
      <c r="I847" t="s">
        <v>471</v>
      </c>
      <c r="J847" t="s">
        <v>472</v>
      </c>
      <c r="K847" s="77" t="s">
        <v>1779</v>
      </c>
      <c r="N847" s="71" t="s">
        <v>2086</v>
      </c>
    </row>
    <row r="848" spans="1:14" ht="58" x14ac:dyDescent="0.35">
      <c r="A848" t="str">
        <f>VLOOKUP(C848,Countries!$A$1:$D$205,2,FALSE)</f>
        <v>GBR</v>
      </c>
      <c r="B848" s="71" t="s">
        <v>2065</v>
      </c>
      <c r="C848" t="s">
        <v>449</v>
      </c>
      <c r="D848" s="71" t="s">
        <v>2087</v>
      </c>
      <c r="E848" s="77" t="s">
        <v>502</v>
      </c>
      <c r="F848" s="75">
        <v>2032</v>
      </c>
      <c r="G848" s="79">
        <v>2667</v>
      </c>
      <c r="H848" s="66">
        <f>G848*1000*Conversion!$A$2</f>
        <v>239709.96</v>
      </c>
      <c r="I848" t="s">
        <v>471</v>
      </c>
      <c r="J848" t="s">
        <v>472</v>
      </c>
      <c r="K848" s="77" t="s">
        <v>503</v>
      </c>
      <c r="N848" s="71" t="s">
        <v>2088</v>
      </c>
    </row>
    <row r="849" spans="1:14" ht="29" x14ac:dyDescent="0.35">
      <c r="A849" t="str">
        <f>VLOOKUP(C849,Countries!$A$1:$D$205,2,FALSE)</f>
        <v>GBR</v>
      </c>
      <c r="B849" s="71" t="s">
        <v>1669</v>
      </c>
      <c r="C849" t="s">
        <v>449</v>
      </c>
      <c r="D849" s="71" t="s">
        <v>2089</v>
      </c>
      <c r="E849" s="77" t="s">
        <v>502</v>
      </c>
      <c r="F849" s="75">
        <v>2028</v>
      </c>
      <c r="G849" s="79">
        <v>533</v>
      </c>
      <c r="H849" s="66">
        <f>G849*1000*Conversion!$A$2</f>
        <v>47906.04</v>
      </c>
      <c r="I849" t="s">
        <v>471</v>
      </c>
      <c r="J849" t="s">
        <v>472</v>
      </c>
      <c r="K849" s="77" t="s">
        <v>549</v>
      </c>
      <c r="N849" s="71" t="s">
        <v>2090</v>
      </c>
    </row>
    <row r="850" spans="1:14" ht="29" x14ac:dyDescent="0.35">
      <c r="A850" t="str">
        <f>VLOOKUP(C850,Countries!$A$1:$D$205,2,FALSE)</f>
        <v>AUT</v>
      </c>
      <c r="B850" s="71" t="s">
        <v>2091</v>
      </c>
      <c r="C850" t="s">
        <v>356</v>
      </c>
      <c r="D850" s="71" t="s">
        <v>2092</v>
      </c>
      <c r="E850" s="77" t="s">
        <v>2093</v>
      </c>
      <c r="F850" s="75">
        <v>1999</v>
      </c>
      <c r="G850" s="79">
        <v>61</v>
      </c>
      <c r="H850" s="66">
        <f>G850*1000*Conversion!$A$2</f>
        <v>5482.68</v>
      </c>
      <c r="I850" t="s">
        <v>471</v>
      </c>
      <c r="J850" t="s">
        <v>493</v>
      </c>
      <c r="K850" s="77" t="s">
        <v>494</v>
      </c>
      <c r="N850" s="71" t="s">
        <v>2094</v>
      </c>
    </row>
    <row r="851" spans="1:14" ht="29" x14ac:dyDescent="0.35">
      <c r="A851" t="str">
        <f>VLOOKUP(C851,Countries!$A$1:$D$205,2,FALSE)</f>
        <v>AUT</v>
      </c>
      <c r="B851" s="71" t="s">
        <v>1200</v>
      </c>
      <c r="C851" t="s">
        <v>356</v>
      </c>
      <c r="D851" s="71" t="s">
        <v>1201</v>
      </c>
      <c r="E851" s="77" t="s">
        <v>2095</v>
      </c>
      <c r="G851" s="79">
        <v>760</v>
      </c>
      <c r="H851" s="66">
        <f>G851*1000*Conversion!$A$2</f>
        <v>68308.800000000003</v>
      </c>
      <c r="I851" t="s">
        <v>471</v>
      </c>
      <c r="J851" t="s">
        <v>493</v>
      </c>
      <c r="K851" s="77" t="s">
        <v>494</v>
      </c>
      <c r="N851" s="71" t="s">
        <v>1251</v>
      </c>
    </row>
    <row r="852" spans="1:14" x14ac:dyDescent="0.35">
      <c r="A852" t="str">
        <f>VLOOKUP(C852,Countries!$A$1:$D$205,2,FALSE)</f>
        <v>BEL</v>
      </c>
      <c r="B852" s="71" t="s">
        <v>2096</v>
      </c>
      <c r="C852" t="s">
        <v>46</v>
      </c>
      <c r="D852" s="71" t="s">
        <v>2097</v>
      </c>
      <c r="E852" s="77" t="s">
        <v>2098</v>
      </c>
      <c r="F852" s="75"/>
      <c r="G852" s="79">
        <v>1625</v>
      </c>
      <c r="H852" s="66">
        <f>G852*1000*Conversion!$A$2</f>
        <v>146055</v>
      </c>
      <c r="I852" t="s">
        <v>471</v>
      </c>
      <c r="J852" t="s">
        <v>493</v>
      </c>
      <c r="K852" s="77" t="s">
        <v>503</v>
      </c>
    </row>
    <row r="853" spans="1:14" x14ac:dyDescent="0.35">
      <c r="A853" t="str">
        <f>VLOOKUP(C853,Countries!$A$1:$D$205,2,FALSE)</f>
        <v>BEL</v>
      </c>
      <c r="B853" s="71" t="s">
        <v>1208</v>
      </c>
      <c r="C853" t="s">
        <v>46</v>
      </c>
      <c r="D853" s="71" t="s">
        <v>2099</v>
      </c>
      <c r="E853" s="77" t="s">
        <v>2095</v>
      </c>
      <c r="F853" s="75">
        <v>1988</v>
      </c>
      <c r="G853" s="79">
        <v>1641.4990126027394</v>
      </c>
      <c r="H853" s="66">
        <f>G853*1000*Conversion!$A$2</f>
        <v>147537.93125273424</v>
      </c>
      <c r="I853" t="s">
        <v>471</v>
      </c>
      <c r="J853" t="s">
        <v>493</v>
      </c>
      <c r="K853" s="77" t="s">
        <v>494</v>
      </c>
      <c r="N853" s="71" t="s">
        <v>2100</v>
      </c>
    </row>
    <row r="854" spans="1:14" ht="29" x14ac:dyDescent="0.35">
      <c r="A854" t="str">
        <f>VLOOKUP(C854,Countries!$A$1:$D$205,2,FALSE)</f>
        <v>BEL</v>
      </c>
      <c r="B854" s="71" t="s">
        <v>2101</v>
      </c>
      <c r="C854" t="s">
        <v>46</v>
      </c>
      <c r="D854" s="71" t="s">
        <v>2102</v>
      </c>
      <c r="E854" s="77" t="s">
        <v>2103</v>
      </c>
      <c r="F854" s="75">
        <v>2023</v>
      </c>
      <c r="G854" s="79">
        <v>350.46684737232141</v>
      </c>
      <c r="H854" s="66">
        <f>G854*1000*Conversion!$A$2</f>
        <v>31499.96024182425</v>
      </c>
      <c r="I854" t="s">
        <v>471</v>
      </c>
      <c r="J854" t="s">
        <v>493</v>
      </c>
      <c r="K854" s="77" t="s">
        <v>494</v>
      </c>
      <c r="N854" s="71" t="s">
        <v>2104</v>
      </c>
    </row>
    <row r="855" spans="1:14" ht="29" x14ac:dyDescent="0.35">
      <c r="A855" t="str">
        <f>VLOOKUP(C855,Countries!$A$1:$D$205,2,FALSE)</f>
        <v>BEL</v>
      </c>
      <c r="B855" s="71" t="s">
        <v>1208</v>
      </c>
      <c r="C855" t="s">
        <v>46</v>
      </c>
      <c r="D855" s="71" t="s">
        <v>2105</v>
      </c>
      <c r="E855" s="77" t="s">
        <v>2106</v>
      </c>
      <c r="F855" s="75">
        <v>1988</v>
      </c>
      <c r="G855" s="79">
        <v>328</v>
      </c>
      <c r="H855" s="66">
        <f>G855*1000*Conversion!$A$2</f>
        <v>29480.639999999999</v>
      </c>
      <c r="I855" t="s">
        <v>471</v>
      </c>
      <c r="J855" t="s">
        <v>493</v>
      </c>
      <c r="K855" s="77" t="s">
        <v>494</v>
      </c>
      <c r="N855" s="71" t="s">
        <v>2107</v>
      </c>
    </row>
    <row r="856" spans="1:14" ht="29" x14ac:dyDescent="0.35">
      <c r="A856" t="str">
        <f>VLOOKUP(C856,Countries!$A$1:$D$205,2,FALSE)</f>
        <v>BEL</v>
      </c>
      <c r="B856" s="71" t="s">
        <v>1208</v>
      </c>
      <c r="C856" t="s">
        <v>46</v>
      </c>
      <c r="D856" s="71" t="s">
        <v>2108</v>
      </c>
      <c r="E856" s="77" t="s">
        <v>2093</v>
      </c>
      <c r="F856" s="75">
        <v>2012</v>
      </c>
      <c r="G856" s="79">
        <v>390</v>
      </c>
      <c r="H856" s="66">
        <f>G856*1000*Conversion!$A$2</f>
        <v>35053.199999999997</v>
      </c>
      <c r="I856" t="s">
        <v>471</v>
      </c>
      <c r="J856" t="s">
        <v>493</v>
      </c>
      <c r="K856" s="77"/>
      <c r="N856" s="71"/>
    </row>
    <row r="857" spans="1:14" ht="29" x14ac:dyDescent="0.35">
      <c r="A857" t="str">
        <f>VLOOKUP(C857,Countries!$A$1:$D$205,2,FALSE)</f>
        <v>BEL</v>
      </c>
      <c r="B857" s="71" t="s">
        <v>2109</v>
      </c>
      <c r="C857" t="s">
        <v>46</v>
      </c>
      <c r="D857" s="71" t="s">
        <v>2108</v>
      </c>
      <c r="E857" s="77" t="s">
        <v>2093</v>
      </c>
      <c r="F857" s="75">
        <v>1999</v>
      </c>
      <c r="G857" s="79">
        <v>150.79085714374031</v>
      </c>
      <c r="H857" s="66">
        <f>G857*1000*Conversion!$A$2</f>
        <v>13553.08224007938</v>
      </c>
      <c r="I857" t="s">
        <v>471</v>
      </c>
      <c r="J857" t="s">
        <v>493</v>
      </c>
      <c r="K857" s="77" t="s">
        <v>494</v>
      </c>
      <c r="N857" s="71" t="s">
        <v>1538</v>
      </c>
    </row>
    <row r="858" spans="1:14" ht="43.5" x14ac:dyDescent="0.35">
      <c r="A858" t="str">
        <f>VLOOKUP(C858,Countries!$A$1:$D$205,2,FALSE)</f>
        <v>BEL</v>
      </c>
      <c r="B858" s="71" t="s">
        <v>1208</v>
      </c>
      <c r="C858" t="s">
        <v>46</v>
      </c>
      <c r="D858" s="71" t="s">
        <v>2110</v>
      </c>
      <c r="E858" s="77" t="s">
        <v>2095</v>
      </c>
      <c r="F858" s="75"/>
      <c r="G858" s="79">
        <v>1747.8924671232874</v>
      </c>
      <c r="H858" s="66">
        <f>G858*1000*Conversion!$A$2</f>
        <v>157100.57494504107</v>
      </c>
      <c r="I858" t="s">
        <v>471</v>
      </c>
      <c r="J858" t="s">
        <v>493</v>
      </c>
      <c r="K858" s="77" t="s">
        <v>494</v>
      </c>
      <c r="N858" s="71" t="s">
        <v>2111</v>
      </c>
    </row>
    <row r="859" spans="1:14" ht="29" x14ac:dyDescent="0.35">
      <c r="A859" t="str">
        <f>VLOOKUP(C859,Countries!$A$1:$D$205,2,FALSE)</f>
        <v>BEL</v>
      </c>
      <c r="B859" s="71" t="s">
        <v>2112</v>
      </c>
      <c r="C859" t="s">
        <v>46</v>
      </c>
      <c r="D859" s="71" t="s">
        <v>2113</v>
      </c>
      <c r="E859" s="77" t="s">
        <v>2093</v>
      </c>
      <c r="F859" s="75">
        <v>2017</v>
      </c>
      <c r="G859" s="79">
        <v>347</v>
      </c>
      <c r="H859" s="66">
        <f>G859*1000*Conversion!$A$2</f>
        <v>31188.36</v>
      </c>
      <c r="I859" t="s">
        <v>471</v>
      </c>
      <c r="J859" t="s">
        <v>493</v>
      </c>
      <c r="N859" s="71"/>
    </row>
    <row r="860" spans="1:14" x14ac:dyDescent="0.35">
      <c r="A860" t="str">
        <f>VLOOKUP(C860,Countries!$A$1:$D$205,2,FALSE)</f>
        <v>FIN</v>
      </c>
      <c r="B860" s="71" t="s">
        <v>1292</v>
      </c>
      <c r="C860" t="s">
        <v>130</v>
      </c>
      <c r="D860" s="71" t="s">
        <v>2114</v>
      </c>
      <c r="E860" s="77" t="s">
        <v>2095</v>
      </c>
      <c r="F860" s="75"/>
      <c r="G860" s="79">
        <v>577.56446739726016</v>
      </c>
      <c r="H860" s="66">
        <f>G860*1000*Conversion!$A$2</f>
        <v>51911.494329665744</v>
      </c>
      <c r="I860" t="s">
        <v>471</v>
      </c>
      <c r="J860" t="s">
        <v>493</v>
      </c>
      <c r="K860" s="77" t="s">
        <v>494</v>
      </c>
      <c r="N860" s="71"/>
    </row>
    <row r="861" spans="1:14" x14ac:dyDescent="0.35">
      <c r="A861" t="str">
        <f>VLOOKUP(C861,Countries!$A$1:$D$205,2,FALSE)</f>
        <v>FIN</v>
      </c>
      <c r="B861" s="71" t="s">
        <v>2115</v>
      </c>
      <c r="C861" t="s">
        <v>130</v>
      </c>
      <c r="D861" s="71" t="s">
        <v>2116</v>
      </c>
      <c r="E861" s="77" t="s">
        <v>2117</v>
      </c>
      <c r="F861" s="75"/>
      <c r="G861" s="79">
        <v>236.1672959103494</v>
      </c>
      <c r="H861" s="66">
        <f>G861*1000*Conversion!$A$2</f>
        <v>21226.716556422205</v>
      </c>
      <c r="I861" t="s">
        <v>471</v>
      </c>
      <c r="J861" t="s">
        <v>493</v>
      </c>
      <c r="K861" s="77" t="s">
        <v>494</v>
      </c>
      <c r="N861" s="71" t="s">
        <v>2118</v>
      </c>
    </row>
    <row r="862" spans="1:14" ht="29" x14ac:dyDescent="0.35">
      <c r="A862" t="str">
        <f>VLOOKUP(C862,Countries!$A$1:$D$205,2,FALSE)</f>
        <v>FIN</v>
      </c>
      <c r="B862" s="71" t="s">
        <v>2119</v>
      </c>
      <c r="C862" t="s">
        <v>130</v>
      </c>
      <c r="D862" s="71" t="s">
        <v>2116</v>
      </c>
      <c r="E862" s="77" t="s">
        <v>2117</v>
      </c>
      <c r="F862" s="75">
        <v>2017</v>
      </c>
      <c r="G862" s="79">
        <v>279.90198033819189</v>
      </c>
      <c r="H862" s="66">
        <f>G862*1000*Conversion!$A$2</f>
        <v>25157.589992796689</v>
      </c>
      <c r="I862" t="s">
        <v>471</v>
      </c>
      <c r="J862" t="s">
        <v>493</v>
      </c>
      <c r="K862" s="77" t="s">
        <v>2120</v>
      </c>
      <c r="N862" s="71"/>
    </row>
    <row r="863" spans="1:14" ht="29" x14ac:dyDescent="0.35">
      <c r="A863" t="str">
        <f>VLOOKUP(C863,Countries!$A$1:$D$205,2,FALSE)</f>
        <v>FIN</v>
      </c>
      <c r="B863" s="71" t="s">
        <v>2119</v>
      </c>
      <c r="C863" t="s">
        <v>130</v>
      </c>
      <c r="D863" s="71" t="s">
        <v>2121</v>
      </c>
      <c r="E863" s="77" t="s">
        <v>2093</v>
      </c>
      <c r="F863" s="75">
        <v>2019</v>
      </c>
      <c r="G863" s="79">
        <v>73.662200328838651</v>
      </c>
      <c r="H863" s="66">
        <f>G863*1000*Conversion!$A$2</f>
        <v>6620.7585655560179</v>
      </c>
      <c r="I863" t="s">
        <v>471</v>
      </c>
      <c r="J863" t="s">
        <v>493</v>
      </c>
      <c r="K863" s="77" t="s">
        <v>494</v>
      </c>
      <c r="N863" s="71"/>
    </row>
    <row r="864" spans="1:14" ht="29" x14ac:dyDescent="0.35">
      <c r="A864" t="str">
        <f>VLOOKUP(C864,Countries!$A$1:$D$205,2,FALSE)</f>
        <v>FIN</v>
      </c>
      <c r="B864" s="71" t="s">
        <v>1289</v>
      </c>
      <c r="C864" t="s">
        <v>130</v>
      </c>
      <c r="D864" s="71" t="s">
        <v>2122</v>
      </c>
      <c r="E864" s="77" t="s">
        <v>2117</v>
      </c>
      <c r="F864" s="75"/>
      <c r="G864" s="79">
        <v>92.717530987026052</v>
      </c>
      <c r="H864" s="66">
        <f>G864*1000*Conversion!$A$2</f>
        <v>8333.4516851139015</v>
      </c>
      <c r="I864" t="s">
        <v>471</v>
      </c>
      <c r="J864" t="s">
        <v>493</v>
      </c>
      <c r="K864" s="77" t="s">
        <v>494</v>
      </c>
      <c r="N864" s="71" t="s">
        <v>2123</v>
      </c>
    </row>
    <row r="865" spans="1:14" ht="29" x14ac:dyDescent="0.35">
      <c r="A865" t="str">
        <f>VLOOKUP(C865,Countries!$A$1:$D$205,2,FALSE)</f>
        <v>FIN</v>
      </c>
      <c r="B865" s="71" t="s">
        <v>2124</v>
      </c>
      <c r="C865" t="s">
        <v>130</v>
      </c>
      <c r="D865" s="71" t="s">
        <v>2125</v>
      </c>
      <c r="E865" s="77" t="s">
        <v>2098</v>
      </c>
      <c r="F865" s="75"/>
      <c r="G865" s="79">
        <v>762.5</v>
      </c>
      <c r="H865" s="66">
        <f>G865*1000*Conversion!$A$2</f>
        <v>68533.5</v>
      </c>
      <c r="I865" t="s">
        <v>471</v>
      </c>
      <c r="J865" t="s">
        <v>493</v>
      </c>
      <c r="K865" s="77" t="s">
        <v>503</v>
      </c>
      <c r="N865" s="71" t="s">
        <v>2126</v>
      </c>
    </row>
    <row r="866" spans="1:14" ht="29" x14ac:dyDescent="0.35">
      <c r="A866" t="str">
        <f>VLOOKUP(C866,Countries!$A$1:$D$205,2,FALSE)</f>
        <v>FRA</v>
      </c>
      <c r="B866" s="71" t="s">
        <v>2127</v>
      </c>
      <c r="C866" t="s">
        <v>132</v>
      </c>
      <c r="D866" s="71" t="s">
        <v>2128</v>
      </c>
      <c r="E866" s="77" t="s">
        <v>2095</v>
      </c>
      <c r="F866" s="75"/>
      <c r="G866" s="79">
        <v>364.77755835616432</v>
      </c>
      <c r="H866" s="66">
        <f>G866*1000*Conversion!$A$2</f>
        <v>32786.20694505205</v>
      </c>
      <c r="I866" t="s">
        <v>471</v>
      </c>
      <c r="J866" t="s">
        <v>493</v>
      </c>
      <c r="K866" s="77" t="s">
        <v>494</v>
      </c>
      <c r="N866" s="71" t="s">
        <v>2129</v>
      </c>
    </row>
    <row r="867" spans="1:14" x14ac:dyDescent="0.35">
      <c r="A867" t="str">
        <f>VLOOKUP(C867,Countries!$A$1:$D$205,2,FALSE)</f>
        <v>FRA</v>
      </c>
      <c r="B867" s="71" t="s">
        <v>1257</v>
      </c>
      <c r="C867" t="s">
        <v>132</v>
      </c>
      <c r="D867" s="71" t="s">
        <v>2130</v>
      </c>
      <c r="E867" s="77" t="s">
        <v>2098</v>
      </c>
      <c r="F867" s="75"/>
      <c r="G867" s="79">
        <v>1875</v>
      </c>
      <c r="H867" s="66">
        <f>G867*1000*Conversion!$A$2</f>
        <v>168525</v>
      </c>
      <c r="I867" t="s">
        <v>471</v>
      </c>
      <c r="J867" t="s">
        <v>493</v>
      </c>
      <c r="K867" s="77" t="s">
        <v>503</v>
      </c>
      <c r="N867" s="71" t="s">
        <v>2131</v>
      </c>
    </row>
    <row r="868" spans="1:14" ht="29" x14ac:dyDescent="0.35">
      <c r="A868" t="str">
        <f>VLOOKUP(C868,Countries!$A$1:$D$205,2,FALSE)</f>
        <v>FRA</v>
      </c>
      <c r="B868" s="71" t="s">
        <v>2132</v>
      </c>
      <c r="C868" t="s">
        <v>132</v>
      </c>
      <c r="D868" s="71" t="s">
        <v>2133</v>
      </c>
      <c r="E868" s="77" t="s">
        <v>2093</v>
      </c>
      <c r="F868" s="75">
        <v>2014</v>
      </c>
      <c r="G868" s="79">
        <v>63</v>
      </c>
      <c r="H868" s="66">
        <f>G868*1000*Conversion!$A$2</f>
        <v>5662.4400000000005</v>
      </c>
      <c r="I868" t="s">
        <v>471</v>
      </c>
      <c r="J868" t="s">
        <v>493</v>
      </c>
      <c r="K868" s="77" t="s">
        <v>494</v>
      </c>
      <c r="N868" s="71" t="s">
        <v>2134</v>
      </c>
    </row>
    <row r="869" spans="1:14" ht="29" x14ac:dyDescent="0.35">
      <c r="A869" t="str">
        <f>VLOOKUP(C869,Countries!$A$1:$D$205,2,FALSE)</f>
        <v>FRA</v>
      </c>
      <c r="B869" s="71" t="s">
        <v>2135</v>
      </c>
      <c r="C869" t="s">
        <v>132</v>
      </c>
      <c r="D869" s="71" t="s">
        <v>2133</v>
      </c>
      <c r="E869" s="77" t="s">
        <v>2093</v>
      </c>
      <c r="F869" s="75">
        <v>2008</v>
      </c>
      <c r="G869" s="79">
        <v>17.283273760071097</v>
      </c>
      <c r="H869" s="66">
        <f>G869*1000*Conversion!$A$2</f>
        <v>1553.4206455551903</v>
      </c>
      <c r="I869" t="s">
        <v>471</v>
      </c>
      <c r="J869" t="s">
        <v>493</v>
      </c>
      <c r="K869" s="77" t="s">
        <v>494</v>
      </c>
      <c r="N869" s="71" t="s">
        <v>1251</v>
      </c>
    </row>
    <row r="870" spans="1:14" x14ac:dyDescent="0.35">
      <c r="A870" t="str">
        <f>VLOOKUP(C870,Countries!$A$1:$D$205,2,FALSE)</f>
        <v>FRA</v>
      </c>
      <c r="B870" s="71" t="s">
        <v>2132</v>
      </c>
      <c r="C870" t="s">
        <v>132</v>
      </c>
      <c r="D870" s="71" t="s">
        <v>2136</v>
      </c>
      <c r="E870" s="77" t="s">
        <v>2117</v>
      </c>
      <c r="F870" s="75"/>
      <c r="G870" s="79">
        <v>148.69792705466443</v>
      </c>
      <c r="H870" s="66">
        <f>G870*1000*Conversion!$A$2</f>
        <v>13364.96968367324</v>
      </c>
      <c r="I870" t="s">
        <v>471</v>
      </c>
      <c r="J870" t="s">
        <v>493</v>
      </c>
      <c r="K870" s="77" t="s">
        <v>494</v>
      </c>
      <c r="N870" s="71" t="s">
        <v>1251</v>
      </c>
    </row>
    <row r="871" spans="1:14" ht="43.5" x14ac:dyDescent="0.35">
      <c r="A871" t="str">
        <f>VLOOKUP(C871,Countries!$A$1:$D$205,2,FALSE)</f>
        <v>FRA</v>
      </c>
      <c r="B871" s="71" t="s">
        <v>1255</v>
      </c>
      <c r="C871" t="s">
        <v>132</v>
      </c>
      <c r="D871" s="71" t="s">
        <v>1256</v>
      </c>
      <c r="E871" s="77" t="s">
        <v>2095</v>
      </c>
      <c r="F871" s="75"/>
      <c r="G871" s="79">
        <v>607.96259726027392</v>
      </c>
      <c r="H871" s="66">
        <f>G871*1000*Conversion!$A$2</f>
        <v>54643.67824175342</v>
      </c>
      <c r="I871" t="s">
        <v>471</v>
      </c>
      <c r="J871" t="s">
        <v>493</v>
      </c>
      <c r="K871" s="77" t="s">
        <v>494</v>
      </c>
      <c r="N871" s="71"/>
    </row>
    <row r="872" spans="1:14" ht="29" x14ac:dyDescent="0.35">
      <c r="A872" t="str">
        <f>VLOOKUP(C872,Countries!$A$1:$D$205,2,FALSE)</f>
        <v>FRA</v>
      </c>
      <c r="B872" s="71" t="s">
        <v>2137</v>
      </c>
      <c r="C872" t="s">
        <v>132</v>
      </c>
      <c r="D872" s="71" t="s">
        <v>2138</v>
      </c>
      <c r="E872" s="77" t="s">
        <v>2093</v>
      </c>
      <c r="F872" s="75">
        <v>2003</v>
      </c>
      <c r="G872" s="79">
        <v>311.98108374566959</v>
      </c>
      <c r="H872" s="66">
        <f>G872*1000*Conversion!$A$2</f>
        <v>28040.85980706078</v>
      </c>
      <c r="I872" t="s">
        <v>471</v>
      </c>
      <c r="J872" t="s">
        <v>493</v>
      </c>
      <c r="K872" s="77" t="s">
        <v>494</v>
      </c>
      <c r="N872" s="71" t="s">
        <v>2139</v>
      </c>
    </row>
    <row r="873" spans="1:14" ht="43.5" x14ac:dyDescent="0.35">
      <c r="A873" t="str">
        <f>VLOOKUP(C873,Countries!$A$1:$D$205,2,FALSE)</f>
        <v>FRA</v>
      </c>
      <c r="B873" s="71" t="s">
        <v>1257</v>
      </c>
      <c r="C873" t="s">
        <v>132</v>
      </c>
      <c r="D873" s="71" t="s">
        <v>1754</v>
      </c>
      <c r="E873" s="77" t="s">
        <v>2093</v>
      </c>
      <c r="F873" s="75">
        <v>2012</v>
      </c>
      <c r="G873" s="79">
        <v>294.64880131535466</v>
      </c>
      <c r="H873" s="66">
        <f>G873*1000*Conversion!$A$2</f>
        <v>26483.034262224075</v>
      </c>
      <c r="I873" t="s">
        <v>471</v>
      </c>
      <c r="J873" t="s">
        <v>493</v>
      </c>
      <c r="K873" s="77" t="s">
        <v>1694</v>
      </c>
      <c r="N873" s="71" t="s">
        <v>2140</v>
      </c>
    </row>
    <row r="874" spans="1:14" x14ac:dyDescent="0.35">
      <c r="A874" t="str">
        <f>VLOOKUP(C874,Countries!$A$1:$D$205,2,FALSE)</f>
        <v>FRA</v>
      </c>
      <c r="B874" s="71" t="s">
        <v>2141</v>
      </c>
      <c r="C874" t="s">
        <v>132</v>
      </c>
      <c r="D874" s="71" t="s">
        <v>2142</v>
      </c>
      <c r="E874" s="77" t="s">
        <v>2095</v>
      </c>
      <c r="F874" s="75"/>
      <c r="G874" s="79">
        <v>699.15698684931499</v>
      </c>
      <c r="H874" s="66">
        <f>G874*1000*Conversion!$A$2</f>
        <v>62840.229978016432</v>
      </c>
      <c r="I874" t="s">
        <v>471</v>
      </c>
      <c r="J874" t="s">
        <v>493</v>
      </c>
      <c r="K874" s="77" t="s">
        <v>483</v>
      </c>
      <c r="N874" s="71" t="s">
        <v>2143</v>
      </c>
    </row>
    <row r="875" spans="1:14" ht="29" x14ac:dyDescent="0.35">
      <c r="A875" t="str">
        <f>VLOOKUP(C875,Countries!$A$1:$D$205,2,FALSE)</f>
        <v>FRA</v>
      </c>
      <c r="B875" s="71" t="s">
        <v>2144</v>
      </c>
      <c r="C875" t="s">
        <v>132</v>
      </c>
      <c r="D875" s="71" t="s">
        <v>2145</v>
      </c>
      <c r="E875" s="77" t="s">
        <v>2093</v>
      </c>
      <c r="F875" s="75"/>
      <c r="G875" s="79">
        <v>36.397793103661456</v>
      </c>
      <c r="H875" s="66">
        <f>G875*1000*Conversion!$A$2</f>
        <v>3271.4336441570913</v>
      </c>
      <c r="I875" t="s">
        <v>471</v>
      </c>
      <c r="J875" t="s">
        <v>493</v>
      </c>
      <c r="K875" s="77" t="s">
        <v>494</v>
      </c>
      <c r="N875" s="71" t="s">
        <v>2146</v>
      </c>
    </row>
    <row r="876" spans="1:14" x14ac:dyDescent="0.35">
      <c r="A876" t="str">
        <f>VLOOKUP(C876,Countries!$A$1:$D$205,2,FALSE)</f>
        <v>FRA</v>
      </c>
      <c r="B876" s="71" t="s">
        <v>1273</v>
      </c>
      <c r="C876" t="s">
        <v>132</v>
      </c>
      <c r="D876" s="71" t="s">
        <v>2147</v>
      </c>
      <c r="E876" s="77" t="s">
        <v>2095</v>
      </c>
      <c r="F876" s="75"/>
      <c r="G876" s="79">
        <v>1124.7308049315068</v>
      </c>
      <c r="H876" s="66">
        <f>G876*1000*Conversion!$A$2</f>
        <v>101090.80474724383</v>
      </c>
      <c r="I876" t="s">
        <v>471</v>
      </c>
      <c r="J876" t="s">
        <v>493</v>
      </c>
      <c r="K876" s="77" t="s">
        <v>483</v>
      </c>
      <c r="N876" s="71" t="s">
        <v>2148</v>
      </c>
    </row>
    <row r="877" spans="1:14" ht="43.5" x14ac:dyDescent="0.35">
      <c r="A877" t="str">
        <f>VLOOKUP(C877,Countries!$A$1:$D$205,2,FALSE)</f>
        <v>FRA</v>
      </c>
      <c r="B877" s="71" t="s">
        <v>2149</v>
      </c>
      <c r="C877" t="s">
        <v>132</v>
      </c>
      <c r="D877" s="71" t="s">
        <v>2150</v>
      </c>
      <c r="E877" s="77" t="s">
        <v>2117</v>
      </c>
      <c r="F877" s="75"/>
      <c r="G877" s="79">
        <v>122.45711639795894</v>
      </c>
      <c r="H877" s="66">
        <f>G877*1000*Conversion!$A$2</f>
        <v>11006.44562184855</v>
      </c>
      <c r="I877" t="s">
        <v>471</v>
      </c>
      <c r="J877" t="s">
        <v>493</v>
      </c>
      <c r="K877" s="77" t="s">
        <v>2120</v>
      </c>
      <c r="N877" s="71" t="s">
        <v>2123</v>
      </c>
    </row>
    <row r="878" spans="1:14" ht="29" x14ac:dyDescent="0.35">
      <c r="A878" t="str">
        <f>VLOOKUP(C878,Countries!$A$1:$D$205,2,FALSE)</f>
        <v>FRA</v>
      </c>
      <c r="B878" s="71" t="s">
        <v>2151</v>
      </c>
      <c r="C878" t="s">
        <v>132</v>
      </c>
      <c r="D878" s="71" t="s">
        <v>2152</v>
      </c>
      <c r="E878" s="77" t="s">
        <v>2153</v>
      </c>
      <c r="F878" s="75">
        <v>2018</v>
      </c>
      <c r="G878" s="79">
        <v>15.59905418728348</v>
      </c>
      <c r="H878" s="66">
        <f>G878*1000*Conversion!$A$2</f>
        <v>1402.0429903530392</v>
      </c>
      <c r="I878" t="s">
        <v>471</v>
      </c>
      <c r="J878" t="s">
        <v>493</v>
      </c>
      <c r="K878" s="77" t="s">
        <v>494</v>
      </c>
      <c r="N878" s="71" t="s">
        <v>2154</v>
      </c>
    </row>
    <row r="879" spans="1:14" ht="29" x14ac:dyDescent="0.35">
      <c r="A879" t="str">
        <f>VLOOKUP(C879,Countries!$A$1:$D$205,2,FALSE)</f>
        <v>FRA</v>
      </c>
      <c r="B879" s="71" t="s">
        <v>1279</v>
      </c>
      <c r="C879" t="s">
        <v>132</v>
      </c>
      <c r="D879" s="71" t="s">
        <v>1280</v>
      </c>
      <c r="E879" s="77" t="s">
        <v>2095</v>
      </c>
      <c r="F879" s="75">
        <v>2000</v>
      </c>
      <c r="G879" s="79">
        <v>790.35137643835606</v>
      </c>
      <c r="H879" s="66">
        <f>G879*1000*Conversion!$A$2</f>
        <v>71036.781714279437</v>
      </c>
      <c r="I879" t="s">
        <v>471</v>
      </c>
      <c r="J879" t="s">
        <v>493</v>
      </c>
      <c r="K879" s="77" t="s">
        <v>494</v>
      </c>
      <c r="N879" s="71" t="s">
        <v>1251</v>
      </c>
    </row>
    <row r="880" spans="1:14" ht="29" x14ac:dyDescent="0.35">
      <c r="A880" t="str">
        <f>VLOOKUP(C880,Countries!$A$1:$D$205,2,FALSE)</f>
        <v>FRA</v>
      </c>
      <c r="B880" s="71" t="s">
        <v>1279</v>
      </c>
      <c r="C880" t="s">
        <v>132</v>
      </c>
      <c r="D880" s="71" t="s">
        <v>2155</v>
      </c>
      <c r="E880" s="77" t="s">
        <v>2106</v>
      </c>
      <c r="F880" s="75">
        <v>2011</v>
      </c>
      <c r="G880" s="79">
        <v>393.33435814721361</v>
      </c>
      <c r="H880" s="66">
        <f>G880*1000*Conversion!$A$2</f>
        <v>35352.892110271554</v>
      </c>
      <c r="I880" t="s">
        <v>471</v>
      </c>
      <c r="J880" t="s">
        <v>493</v>
      </c>
      <c r="K880" s="77" t="s">
        <v>494</v>
      </c>
      <c r="N880" s="71" t="s">
        <v>1251</v>
      </c>
    </row>
    <row r="881" spans="1:14" ht="29" x14ac:dyDescent="0.35">
      <c r="A881" t="str">
        <f>VLOOKUP(C881,Countries!$A$1:$D$205,2,FALSE)</f>
        <v>FRA</v>
      </c>
      <c r="B881" s="71" t="s">
        <v>1745</v>
      </c>
      <c r="C881" t="s">
        <v>132</v>
      </c>
      <c r="D881" s="71" t="s">
        <v>2156</v>
      </c>
      <c r="E881" s="77" t="s">
        <v>2093</v>
      </c>
      <c r="F881" s="75">
        <v>2017</v>
      </c>
      <c r="G881" s="79">
        <v>95</v>
      </c>
      <c r="H881" s="66">
        <f>G881*1000*Conversion!$A$2</f>
        <v>8538.6</v>
      </c>
      <c r="I881" t="s">
        <v>471</v>
      </c>
      <c r="J881" t="s">
        <v>493</v>
      </c>
      <c r="K881" s="77"/>
      <c r="N881" s="71"/>
    </row>
    <row r="882" spans="1:14" ht="43.5" x14ac:dyDescent="0.35">
      <c r="A882" t="str">
        <f>VLOOKUP(C882,Countries!$A$1:$D$205,2,FALSE)</f>
        <v>FRA</v>
      </c>
      <c r="B882" s="71" t="s">
        <v>2157</v>
      </c>
      <c r="C882" t="s">
        <v>132</v>
      </c>
      <c r="D882" s="71" t="s">
        <v>2158</v>
      </c>
      <c r="E882" s="77" t="s">
        <v>2153</v>
      </c>
      <c r="F882" s="75">
        <v>2016</v>
      </c>
      <c r="G882" s="79">
        <v>36.397793103661456</v>
      </c>
      <c r="H882" s="66">
        <f>G882*1000*Conversion!$A$2</f>
        <v>3271.4336441570913</v>
      </c>
      <c r="I882" t="s">
        <v>471</v>
      </c>
      <c r="J882" t="s">
        <v>493</v>
      </c>
      <c r="K882" s="77" t="s">
        <v>494</v>
      </c>
      <c r="N882" s="71" t="s">
        <v>2159</v>
      </c>
    </row>
    <row r="883" spans="1:14" ht="29" x14ac:dyDescent="0.35">
      <c r="A883" t="str">
        <f>VLOOKUP(C883,Countries!$A$1:$D$205,2,FALSE)</f>
        <v>DEU</v>
      </c>
      <c r="B883" s="71" t="s">
        <v>1772</v>
      </c>
      <c r="C883" t="s">
        <v>142</v>
      </c>
      <c r="D883" s="71" t="s">
        <v>1763</v>
      </c>
      <c r="E883" s="77" t="s">
        <v>1787</v>
      </c>
      <c r="F883" s="75">
        <v>2007</v>
      </c>
      <c r="G883" s="79">
        <v>225</v>
      </c>
      <c r="H883" s="66">
        <f>G883*1000*Conversion!$A$2</f>
        <v>20223</v>
      </c>
      <c r="I883" t="s">
        <v>471</v>
      </c>
      <c r="J883" t="s">
        <v>493</v>
      </c>
      <c r="K883" s="77" t="s">
        <v>1694</v>
      </c>
      <c r="N883" s="71" t="s">
        <v>2160</v>
      </c>
    </row>
    <row r="884" spans="1:14" ht="58" x14ac:dyDescent="0.35">
      <c r="A884" t="str">
        <f>VLOOKUP(C884,Countries!$A$1:$D$205,2,FALSE)</f>
        <v>DEU</v>
      </c>
      <c r="B884" s="71" t="s">
        <v>2161</v>
      </c>
      <c r="C884" t="s">
        <v>142</v>
      </c>
      <c r="D884" s="71" t="s">
        <v>2162</v>
      </c>
      <c r="E884" s="77" t="s">
        <v>253</v>
      </c>
      <c r="F884" s="75"/>
      <c r="G884" s="79">
        <v>2500</v>
      </c>
      <c r="H884" s="66">
        <f>G884*1000*Conversion!$A$2</f>
        <v>224700</v>
      </c>
      <c r="I884" t="s">
        <v>471</v>
      </c>
      <c r="J884" t="s">
        <v>493</v>
      </c>
      <c r="K884" s="77" t="s">
        <v>503</v>
      </c>
      <c r="N884" s="71" t="s">
        <v>2163</v>
      </c>
    </row>
    <row r="885" spans="1:14" x14ac:dyDescent="0.35">
      <c r="A885" t="str">
        <f>VLOOKUP(C885,Countries!$A$1:$D$205,2,FALSE)</f>
        <v>DEU</v>
      </c>
      <c r="B885" s="71" t="s">
        <v>1315</v>
      </c>
      <c r="C885" t="s">
        <v>142</v>
      </c>
      <c r="D885" s="71" t="s">
        <v>1316</v>
      </c>
      <c r="E885" s="77" t="s">
        <v>2164</v>
      </c>
      <c r="F885" s="75"/>
      <c r="G885" s="79">
        <v>637</v>
      </c>
      <c r="H885" s="66">
        <f>G885*1000*Conversion!$A$2</f>
        <v>57253.56</v>
      </c>
      <c r="I885" t="s">
        <v>471</v>
      </c>
      <c r="J885" t="s">
        <v>493</v>
      </c>
      <c r="K885" s="77" t="s">
        <v>494</v>
      </c>
      <c r="N885" s="71" t="s">
        <v>1317</v>
      </c>
    </row>
    <row r="886" spans="1:14" x14ac:dyDescent="0.35">
      <c r="A886" t="str">
        <f>VLOOKUP(C886,Countries!$A$1:$D$205,2,FALSE)</f>
        <v>DEU</v>
      </c>
      <c r="B886" s="71" t="s">
        <v>1315</v>
      </c>
      <c r="C886" t="s">
        <v>142</v>
      </c>
      <c r="D886" s="71" t="s">
        <v>1316</v>
      </c>
      <c r="E886" s="77" t="s">
        <v>2153</v>
      </c>
      <c r="F886" s="75"/>
      <c r="G886" s="79">
        <v>105</v>
      </c>
      <c r="H886" s="66">
        <f>G886*1000*Conversion!$A$2</f>
        <v>9437.4</v>
      </c>
      <c r="I886" t="s">
        <v>471</v>
      </c>
      <c r="J886" t="s">
        <v>493</v>
      </c>
      <c r="K886" s="77" t="s">
        <v>503</v>
      </c>
      <c r="N886" s="71"/>
    </row>
    <row r="887" spans="1:14" ht="29" x14ac:dyDescent="0.35">
      <c r="A887" t="str">
        <f>VLOOKUP(C887,Countries!$A$1:$D$205,2,FALSE)</f>
        <v>DEU</v>
      </c>
      <c r="B887" s="71" t="s">
        <v>1315</v>
      </c>
      <c r="C887" t="s">
        <v>142</v>
      </c>
      <c r="D887" s="71" t="s">
        <v>1316</v>
      </c>
      <c r="E887" s="77" t="s">
        <v>2093</v>
      </c>
      <c r="F887" s="75"/>
      <c r="G887" s="79">
        <v>402</v>
      </c>
      <c r="H887" s="66">
        <f>G887*1000*Conversion!$A$2</f>
        <v>36131.760000000002</v>
      </c>
      <c r="I887" t="s">
        <v>471</v>
      </c>
      <c r="J887" t="s">
        <v>493</v>
      </c>
      <c r="K887" s="77" t="s">
        <v>494</v>
      </c>
      <c r="N887" s="71" t="s">
        <v>1251</v>
      </c>
    </row>
    <row r="888" spans="1:14" x14ac:dyDescent="0.35">
      <c r="A888" t="str">
        <f>VLOOKUP(C888,Countries!$A$1:$D$205,2,FALSE)</f>
        <v>DEU</v>
      </c>
      <c r="B888" s="71" t="s">
        <v>1315</v>
      </c>
      <c r="C888" t="s">
        <v>142</v>
      </c>
      <c r="D888" s="71" t="s">
        <v>1316</v>
      </c>
      <c r="E888" s="77" t="s">
        <v>2095</v>
      </c>
      <c r="F888" s="75"/>
      <c r="G888" s="79">
        <v>1003.138285479452</v>
      </c>
      <c r="H888" s="66">
        <f>G888*1000*Conversion!$A$2</f>
        <v>90162.069098893146</v>
      </c>
      <c r="I888" t="s">
        <v>471</v>
      </c>
      <c r="J888" t="s">
        <v>493</v>
      </c>
      <c r="K888" s="77" t="s">
        <v>494</v>
      </c>
      <c r="N888" s="71"/>
    </row>
    <row r="889" spans="1:14" x14ac:dyDescent="0.35">
      <c r="A889" t="str">
        <f>VLOOKUP(C889,Countries!$A$1:$D$205,2,FALSE)</f>
        <v>DEU</v>
      </c>
      <c r="B889" s="71" t="s">
        <v>1315</v>
      </c>
      <c r="C889" t="s">
        <v>142</v>
      </c>
      <c r="D889" s="71" t="s">
        <v>1316</v>
      </c>
      <c r="E889" s="77" t="s">
        <v>1096</v>
      </c>
      <c r="F889" s="75"/>
      <c r="G889" s="79">
        <v>117</v>
      </c>
      <c r="H889" s="66">
        <f>G889*1000*Conversion!$A$2</f>
        <v>10515.960000000001</v>
      </c>
      <c r="I889" t="s">
        <v>471</v>
      </c>
      <c r="J889" t="s">
        <v>493</v>
      </c>
      <c r="K889" s="77" t="s">
        <v>494</v>
      </c>
      <c r="N889" s="71" t="s">
        <v>1251</v>
      </c>
    </row>
    <row r="890" spans="1:14" x14ac:dyDescent="0.35">
      <c r="A890" t="str">
        <f>VLOOKUP(C890,Countries!$A$1:$D$205,2,FALSE)</f>
        <v>DEU</v>
      </c>
      <c r="B890" s="71" t="s">
        <v>1315</v>
      </c>
      <c r="C890" t="s">
        <v>142</v>
      </c>
      <c r="D890" s="71" t="s">
        <v>1316</v>
      </c>
      <c r="E890" s="77" t="s">
        <v>2106</v>
      </c>
      <c r="F890" s="75"/>
      <c r="G890" s="79">
        <v>360.55649496827914</v>
      </c>
      <c r="H890" s="66">
        <f>G890*1000*Conversion!$A$2</f>
        <v>32406.817767748929</v>
      </c>
      <c r="I890" t="s">
        <v>471</v>
      </c>
      <c r="J890" t="s">
        <v>493</v>
      </c>
      <c r="K890" s="77" t="s">
        <v>494</v>
      </c>
      <c r="N890" s="71"/>
    </row>
    <row r="891" spans="1:14" ht="29" x14ac:dyDescent="0.35">
      <c r="A891" t="str">
        <f>VLOOKUP(C891,Countries!$A$1:$D$205,2,FALSE)</f>
        <v>DEU</v>
      </c>
      <c r="B891" s="71" t="s">
        <v>1386</v>
      </c>
      <c r="C891" t="s">
        <v>142</v>
      </c>
      <c r="D891" s="71" t="s">
        <v>2165</v>
      </c>
      <c r="E891" s="77" t="s">
        <v>2095</v>
      </c>
      <c r="F891" s="75"/>
      <c r="G891" s="79">
        <v>1641.4990126027394</v>
      </c>
      <c r="H891" s="66">
        <f>G891*1000*Conversion!$A$2</f>
        <v>147537.93125273424</v>
      </c>
      <c r="I891" t="s">
        <v>471</v>
      </c>
      <c r="J891" t="s">
        <v>493</v>
      </c>
      <c r="K891" s="77" t="s">
        <v>494</v>
      </c>
      <c r="N891" s="71"/>
    </row>
    <row r="892" spans="1:14" ht="29" x14ac:dyDescent="0.35">
      <c r="A892" t="str">
        <f>VLOOKUP(C892,Countries!$A$1:$D$205,2,FALSE)</f>
        <v>DEU</v>
      </c>
      <c r="B892" s="71" t="s">
        <v>2166</v>
      </c>
      <c r="C892" t="s">
        <v>142</v>
      </c>
      <c r="D892" s="71" t="s">
        <v>2167</v>
      </c>
      <c r="E892" s="77" t="s">
        <v>2093</v>
      </c>
      <c r="F892" s="75">
        <v>2014</v>
      </c>
      <c r="G892" s="79">
        <v>47.663776683366187</v>
      </c>
      <c r="H892" s="66">
        <f>G892*1000*Conversion!$A$2</f>
        <v>4284.0202483009534</v>
      </c>
      <c r="I892" t="s">
        <v>471</v>
      </c>
      <c r="J892" t="s">
        <v>493</v>
      </c>
      <c r="K892" s="77" t="s">
        <v>494</v>
      </c>
      <c r="N892" s="71" t="s">
        <v>2168</v>
      </c>
    </row>
    <row r="893" spans="1:14" x14ac:dyDescent="0.35">
      <c r="A893" t="str">
        <f>VLOOKUP(C893,Countries!$A$1:$D$205,2,FALSE)</f>
        <v>DEU</v>
      </c>
      <c r="B893" s="71" t="s">
        <v>1803</v>
      </c>
      <c r="C893" t="s">
        <v>142</v>
      </c>
      <c r="D893" s="71" t="s">
        <v>2169</v>
      </c>
      <c r="E893" s="77" t="s">
        <v>1096</v>
      </c>
      <c r="F893" s="75">
        <v>2013</v>
      </c>
      <c r="G893" s="79">
        <v>181.98896551830728</v>
      </c>
      <c r="H893" s="66">
        <f>G893*1000*Conversion!$A$2</f>
        <v>16357.168220785459</v>
      </c>
      <c r="I893" t="s">
        <v>471</v>
      </c>
      <c r="J893" t="s">
        <v>493</v>
      </c>
      <c r="K893" s="77" t="s">
        <v>494</v>
      </c>
      <c r="N893" s="71" t="s">
        <v>2170</v>
      </c>
    </row>
    <row r="894" spans="1:14" ht="29" x14ac:dyDescent="0.35">
      <c r="A894" t="str">
        <f>VLOOKUP(C894,Countries!$A$1:$D$205,2,FALSE)</f>
        <v>DEU</v>
      </c>
      <c r="B894" s="71" t="s">
        <v>1767</v>
      </c>
      <c r="C894" t="s">
        <v>142</v>
      </c>
      <c r="D894" s="71" t="s">
        <v>2169</v>
      </c>
      <c r="E894" s="77" t="s">
        <v>2093</v>
      </c>
      <c r="F894" s="75">
        <v>1999</v>
      </c>
      <c r="G894" s="79">
        <v>346</v>
      </c>
      <c r="H894" s="66">
        <f>G894*1000*Conversion!$A$2</f>
        <v>31098.48</v>
      </c>
      <c r="I894" t="s">
        <v>471</v>
      </c>
      <c r="J894" t="s">
        <v>493</v>
      </c>
      <c r="K894" s="77" t="s">
        <v>494</v>
      </c>
      <c r="N894" s="71" t="s">
        <v>2171</v>
      </c>
    </row>
    <row r="895" spans="1:14" x14ac:dyDescent="0.35">
      <c r="A895" t="str">
        <f>VLOOKUP(C895,Countries!$A$1:$D$205,2,FALSE)</f>
        <v>DEU</v>
      </c>
      <c r="B895" s="71" t="s">
        <v>1767</v>
      </c>
      <c r="C895" t="s">
        <v>142</v>
      </c>
      <c r="D895" s="71" t="s">
        <v>2169</v>
      </c>
      <c r="E895" s="77" t="s">
        <v>1096</v>
      </c>
      <c r="F895" s="75"/>
      <c r="G895" s="79">
        <v>69</v>
      </c>
      <c r="H895" s="66">
        <f>G895*1000*Conversion!$A$2</f>
        <v>6201.72</v>
      </c>
      <c r="I895" t="s">
        <v>471</v>
      </c>
      <c r="J895" t="s">
        <v>493</v>
      </c>
      <c r="K895" s="77" t="s">
        <v>494</v>
      </c>
      <c r="N895" s="71" t="s">
        <v>1251</v>
      </c>
    </row>
    <row r="896" spans="1:14" ht="29" x14ac:dyDescent="0.35">
      <c r="A896" t="str">
        <f>VLOOKUP(C896,Countries!$A$1:$D$205,2,FALSE)</f>
        <v>DEU</v>
      </c>
      <c r="B896" s="71" t="s">
        <v>2172</v>
      </c>
      <c r="C896" t="s">
        <v>142</v>
      </c>
      <c r="D896" s="71" t="s">
        <v>2169</v>
      </c>
      <c r="E896" s="77" t="s">
        <v>2093</v>
      </c>
      <c r="F896" s="75">
        <v>2013</v>
      </c>
      <c r="G896" s="79">
        <v>242.65195402440969</v>
      </c>
      <c r="H896" s="66">
        <f>G896*1000*Conversion!$A$2</f>
        <v>21809.557627713944</v>
      </c>
      <c r="I896" t="s">
        <v>471</v>
      </c>
      <c r="J896" t="s">
        <v>493</v>
      </c>
      <c r="K896" s="77" t="s">
        <v>1694</v>
      </c>
      <c r="N896" s="71" t="s">
        <v>2173</v>
      </c>
    </row>
    <row r="897" spans="1:14" ht="29" x14ac:dyDescent="0.35">
      <c r="A897" t="str">
        <f>VLOOKUP(C897,Countries!$A$1:$D$205,2,FALSE)</f>
        <v>DEU</v>
      </c>
      <c r="B897" s="71" t="s">
        <v>2174</v>
      </c>
      <c r="C897" t="s">
        <v>142</v>
      </c>
      <c r="D897" s="71" t="s">
        <v>2169</v>
      </c>
      <c r="E897" s="77" t="s">
        <v>2093</v>
      </c>
      <c r="F897" s="75">
        <v>2013</v>
      </c>
      <c r="G897" s="79">
        <v>316.31415435324834</v>
      </c>
      <c r="H897" s="66">
        <f>G897*1000*Conversion!$A$2</f>
        <v>28430.316193269962</v>
      </c>
      <c r="I897" t="s">
        <v>471</v>
      </c>
      <c r="J897" t="s">
        <v>493</v>
      </c>
      <c r="K897" s="77" t="s">
        <v>1694</v>
      </c>
      <c r="N897" s="71" t="s">
        <v>2175</v>
      </c>
    </row>
    <row r="898" spans="1:14" ht="29" x14ac:dyDescent="0.35">
      <c r="A898" t="str">
        <f>VLOOKUP(C898,Countries!$A$1:$D$205,2,FALSE)</f>
        <v>DEU</v>
      </c>
      <c r="B898" s="71" t="s">
        <v>1343</v>
      </c>
      <c r="C898" t="s">
        <v>142</v>
      </c>
      <c r="D898" s="71" t="s">
        <v>2176</v>
      </c>
      <c r="E898" s="77" t="s">
        <v>2093</v>
      </c>
      <c r="F898" s="75">
        <v>2017</v>
      </c>
      <c r="G898" s="79">
        <v>1373.5833826024621</v>
      </c>
      <c r="H898" s="66">
        <f>G898*1000*Conversion!$A$2</f>
        <v>123457.6744283093</v>
      </c>
      <c r="I898" t="s">
        <v>471</v>
      </c>
      <c r="J898" t="s">
        <v>493</v>
      </c>
      <c r="K898" s="77"/>
      <c r="N898" s="71"/>
    </row>
    <row r="899" spans="1:14" x14ac:dyDescent="0.35">
      <c r="A899" t="str">
        <f>VLOOKUP(C899,Countries!$A$1:$D$205,2,FALSE)</f>
        <v>DEU</v>
      </c>
      <c r="B899" s="71" t="s">
        <v>2177</v>
      </c>
      <c r="C899" t="s">
        <v>142</v>
      </c>
      <c r="D899" s="71" t="s">
        <v>2178</v>
      </c>
      <c r="E899" s="77" t="s">
        <v>2095</v>
      </c>
      <c r="F899" s="75"/>
      <c r="G899" s="79">
        <v>775.15231150684917</v>
      </c>
      <c r="H899" s="66">
        <f>G899*1000*Conversion!$A$2</f>
        <v>69670.689758235603</v>
      </c>
      <c r="I899" t="s">
        <v>471</v>
      </c>
      <c r="J899" t="s">
        <v>493</v>
      </c>
      <c r="K899" s="77" t="s">
        <v>494</v>
      </c>
      <c r="N899" s="71"/>
    </row>
    <row r="900" spans="1:14" ht="29" x14ac:dyDescent="0.35">
      <c r="A900" t="str">
        <f>VLOOKUP(C900,Countries!$A$1:$D$205,2,FALSE)</f>
        <v>DEU</v>
      </c>
      <c r="B900" s="71" t="s">
        <v>2179</v>
      </c>
      <c r="C900" t="s">
        <v>142</v>
      </c>
      <c r="D900" s="71" t="s">
        <v>2178</v>
      </c>
      <c r="E900" s="77" t="s">
        <v>2093</v>
      </c>
      <c r="F900" s="75">
        <v>2000</v>
      </c>
      <c r="G900" s="79">
        <v>216.65353037893723</v>
      </c>
      <c r="H900" s="66">
        <f>G900*1000*Conversion!$A$2</f>
        <v>19472.819310458879</v>
      </c>
      <c r="I900" t="s">
        <v>471</v>
      </c>
      <c r="J900" t="s">
        <v>493</v>
      </c>
      <c r="K900" s="77" t="s">
        <v>494</v>
      </c>
      <c r="N900" s="71" t="s">
        <v>2180</v>
      </c>
    </row>
    <row r="901" spans="1:14" ht="29" x14ac:dyDescent="0.35">
      <c r="A901" t="str">
        <f>VLOOKUP(C901,Countries!$A$1:$D$205,2,FALSE)</f>
        <v>DEU</v>
      </c>
      <c r="B901" s="71" t="s">
        <v>1785</v>
      </c>
      <c r="C901" t="s">
        <v>142</v>
      </c>
      <c r="D901" s="71" t="s">
        <v>2181</v>
      </c>
      <c r="E901" s="77" t="s">
        <v>2093</v>
      </c>
      <c r="F901" s="75">
        <v>1964</v>
      </c>
      <c r="G901" s="79">
        <v>29</v>
      </c>
      <c r="H901" s="66">
        <f>G901*1000*Conversion!$A$2</f>
        <v>2606.52</v>
      </c>
      <c r="I901" t="s">
        <v>471</v>
      </c>
      <c r="J901" t="s">
        <v>493</v>
      </c>
      <c r="K901" s="77"/>
      <c r="N901" s="71"/>
    </row>
    <row r="902" spans="1:14" ht="43.5" x14ac:dyDescent="0.35">
      <c r="A902" t="str">
        <f>VLOOKUP(C902,Countries!$A$1:$D$205,2,FALSE)</f>
        <v>DEU</v>
      </c>
      <c r="B902" s="71" t="s">
        <v>2182</v>
      </c>
      <c r="C902" t="s">
        <v>142</v>
      </c>
      <c r="D902" s="71" t="s">
        <v>2183</v>
      </c>
      <c r="E902" s="77" t="s">
        <v>2098</v>
      </c>
      <c r="F902" s="75">
        <v>2013</v>
      </c>
      <c r="G902" s="79">
        <v>1375</v>
      </c>
      <c r="H902" s="66">
        <f>G902*1000*Conversion!$A$2</f>
        <v>123585</v>
      </c>
      <c r="I902" t="s">
        <v>471</v>
      </c>
      <c r="J902" t="s">
        <v>493</v>
      </c>
      <c r="K902" s="77" t="s">
        <v>503</v>
      </c>
      <c r="N902" s="71" t="s">
        <v>2184</v>
      </c>
    </row>
    <row r="903" spans="1:14" x14ac:dyDescent="0.35">
      <c r="A903" t="str">
        <f>VLOOKUP(C903,Countries!$A$1:$D$205,2,FALSE)</f>
        <v>DEU</v>
      </c>
      <c r="B903" s="71" t="s">
        <v>1767</v>
      </c>
      <c r="C903" t="s">
        <v>142</v>
      </c>
      <c r="D903" s="71" t="s">
        <v>1372</v>
      </c>
      <c r="E903" s="77" t="s">
        <v>2095</v>
      </c>
      <c r="F903" s="75"/>
      <c r="G903" s="79">
        <v>1823.8877917808215</v>
      </c>
      <c r="H903" s="66">
        <f>G903*1000*Conversion!$A$2</f>
        <v>163931.03472526025</v>
      </c>
      <c r="I903" t="s">
        <v>471</v>
      </c>
      <c r="J903" t="s">
        <v>493</v>
      </c>
      <c r="K903" s="77" t="s">
        <v>494</v>
      </c>
      <c r="N903" s="71"/>
    </row>
    <row r="904" spans="1:14" x14ac:dyDescent="0.35">
      <c r="A904" t="str">
        <f>VLOOKUP(C904,Countries!$A$1:$D$205,2,FALSE)</f>
        <v>DEU</v>
      </c>
      <c r="B904" s="71" t="s">
        <v>1772</v>
      </c>
      <c r="C904" t="s">
        <v>142</v>
      </c>
      <c r="D904" s="71" t="s">
        <v>2185</v>
      </c>
      <c r="E904" s="77" t="s">
        <v>2164</v>
      </c>
      <c r="F904" s="75"/>
      <c r="G904" s="79">
        <v>233.6</v>
      </c>
      <c r="H904" s="66">
        <f>G904*1000*Conversion!$A$2</f>
        <v>20995.968000000001</v>
      </c>
      <c r="I904" t="s">
        <v>471</v>
      </c>
      <c r="J904" t="s">
        <v>493</v>
      </c>
      <c r="K904" s="77" t="s">
        <v>494</v>
      </c>
      <c r="N904" s="71" t="s">
        <v>2186</v>
      </c>
    </row>
    <row r="905" spans="1:14" ht="29" x14ac:dyDescent="0.35">
      <c r="A905" t="str">
        <f>VLOOKUP(C905,Countries!$A$1:$D$205,2,FALSE)</f>
        <v>DEU</v>
      </c>
      <c r="B905" s="71" t="s">
        <v>2187</v>
      </c>
      <c r="C905" t="s">
        <v>142</v>
      </c>
      <c r="D905" s="71" t="s">
        <v>2188</v>
      </c>
      <c r="E905" s="77" t="s">
        <v>2093</v>
      </c>
      <c r="F905" s="75">
        <v>2010</v>
      </c>
      <c r="G905" s="79">
        <v>190.65510673346475</v>
      </c>
      <c r="H905" s="66">
        <f>G905*1000*Conversion!$A$2</f>
        <v>17136.080993203814</v>
      </c>
      <c r="I905" t="s">
        <v>471</v>
      </c>
      <c r="J905" t="s">
        <v>493</v>
      </c>
      <c r="K905" s="77"/>
      <c r="N905" s="71"/>
    </row>
    <row r="906" spans="1:14" ht="43.5" x14ac:dyDescent="0.35">
      <c r="A906" t="str">
        <f>VLOOKUP(C906,Countries!$A$1:$D$205,2,FALSE)</f>
        <v>DEU</v>
      </c>
      <c r="B906" s="71" t="s">
        <v>1337</v>
      </c>
      <c r="C906" t="s">
        <v>142</v>
      </c>
      <c r="D906" s="71" t="s">
        <v>2189</v>
      </c>
      <c r="E906" s="77" t="s">
        <v>2098</v>
      </c>
      <c r="F906" s="75"/>
      <c r="G906" s="79">
        <v>3300</v>
      </c>
      <c r="H906" s="66">
        <f>G906*1000*Conversion!$A$2</f>
        <v>296604</v>
      </c>
      <c r="I906" t="s">
        <v>471</v>
      </c>
      <c r="J906" t="s">
        <v>493</v>
      </c>
      <c r="K906" s="77" t="s">
        <v>503</v>
      </c>
      <c r="N906" s="71" t="s">
        <v>2190</v>
      </c>
    </row>
    <row r="907" spans="1:14" ht="29" x14ac:dyDescent="0.35">
      <c r="A907" t="str">
        <f>VLOOKUP(C907,Countries!$A$1:$D$205,2,FALSE)</f>
        <v>DEU</v>
      </c>
      <c r="B907" s="71" t="s">
        <v>1347</v>
      </c>
      <c r="C907" t="s">
        <v>142</v>
      </c>
      <c r="D907" s="71" t="s">
        <v>2191</v>
      </c>
      <c r="E907" s="77" t="s">
        <v>2093</v>
      </c>
      <c r="F907" s="75">
        <v>2012</v>
      </c>
      <c r="G907" s="79">
        <v>13</v>
      </c>
      <c r="H907" s="66">
        <f>G907*1000*Conversion!$A$2</f>
        <v>1168.44</v>
      </c>
      <c r="I907" t="s">
        <v>471</v>
      </c>
      <c r="J907" t="s">
        <v>493</v>
      </c>
      <c r="K907" s="77" t="s">
        <v>494</v>
      </c>
      <c r="N907" s="71" t="s">
        <v>1251</v>
      </c>
    </row>
    <row r="908" spans="1:14" ht="29" x14ac:dyDescent="0.35">
      <c r="A908" t="str">
        <f>VLOOKUP(C908,Countries!$A$1:$D$205,2,FALSE)</f>
        <v>DEU</v>
      </c>
      <c r="B908" s="71" t="s">
        <v>2192</v>
      </c>
      <c r="C908" t="s">
        <v>142</v>
      </c>
      <c r="D908" s="71" t="s">
        <v>2193</v>
      </c>
      <c r="E908" s="77" t="s">
        <v>2095</v>
      </c>
      <c r="F908" s="75">
        <v>2000</v>
      </c>
      <c r="G908" s="79">
        <v>607.96259726027392</v>
      </c>
      <c r="H908" s="66">
        <f>G908*1000*Conversion!$A$2</f>
        <v>54643.67824175342</v>
      </c>
      <c r="I908" t="s">
        <v>471</v>
      </c>
      <c r="J908" t="s">
        <v>493</v>
      </c>
      <c r="K908" s="77" t="s">
        <v>494</v>
      </c>
      <c r="N908" s="71"/>
    </row>
    <row r="909" spans="1:14" ht="29" x14ac:dyDescent="0.35">
      <c r="A909" t="str">
        <f>VLOOKUP(C909,Countries!$A$1:$D$205,2,FALSE)</f>
        <v>DEU</v>
      </c>
      <c r="B909" s="71" t="s">
        <v>2194</v>
      </c>
      <c r="C909" t="s">
        <v>142</v>
      </c>
      <c r="D909" s="71" t="s">
        <v>2193</v>
      </c>
      <c r="E909" s="77" t="s">
        <v>2095</v>
      </c>
      <c r="F909" s="75"/>
      <c r="G909" s="79">
        <v>1550.3046230136983</v>
      </c>
      <c r="H909" s="66">
        <f>G909*1000*Conversion!$A$2</f>
        <v>139341.37951647121</v>
      </c>
      <c r="I909" t="s">
        <v>471</v>
      </c>
      <c r="J909" t="s">
        <v>493</v>
      </c>
      <c r="K909" s="77" t="s">
        <v>494</v>
      </c>
      <c r="N909" s="71"/>
    </row>
    <row r="910" spans="1:14" ht="43.5" x14ac:dyDescent="0.35">
      <c r="A910" t="str">
        <f>VLOOKUP(C910,Countries!$A$1:$D$205,2,FALSE)</f>
        <v>DEU</v>
      </c>
      <c r="B910" s="71" t="s">
        <v>2195</v>
      </c>
      <c r="C910" t="s">
        <v>142</v>
      </c>
      <c r="D910" s="71" t="s">
        <v>2196</v>
      </c>
      <c r="E910" s="77" t="s">
        <v>2093</v>
      </c>
      <c r="F910" s="75">
        <v>2017</v>
      </c>
      <c r="G910" s="79">
        <v>71</v>
      </c>
      <c r="H910" s="66">
        <f>G910*1000*Conversion!$A$2</f>
        <v>6381.4800000000005</v>
      </c>
      <c r="I910" t="s">
        <v>471</v>
      </c>
      <c r="J910" t="s">
        <v>493</v>
      </c>
      <c r="K910" s="77" t="s">
        <v>494</v>
      </c>
      <c r="N910" s="71" t="s">
        <v>2197</v>
      </c>
    </row>
    <row r="911" spans="1:14" ht="29" x14ac:dyDescent="0.35">
      <c r="A911" t="str">
        <f>VLOOKUP(C911,Countries!$A$1:$D$205,2,FALSE)</f>
        <v>DEU</v>
      </c>
      <c r="B911" s="71" t="s">
        <v>2198</v>
      </c>
      <c r="C911" t="s">
        <v>142</v>
      </c>
      <c r="D911" s="71" t="s">
        <v>2199</v>
      </c>
      <c r="E911" s="77" t="s">
        <v>2093</v>
      </c>
      <c r="F911" s="75">
        <v>2010</v>
      </c>
      <c r="G911" s="79">
        <v>85.794798030059141</v>
      </c>
      <c r="H911" s="66">
        <f>G911*1000*Conversion!$A$2</f>
        <v>7711.2364469417162</v>
      </c>
      <c r="I911" t="s">
        <v>471</v>
      </c>
      <c r="J911" t="s">
        <v>493</v>
      </c>
      <c r="K911" s="77" t="s">
        <v>494</v>
      </c>
      <c r="N911" s="71" t="s">
        <v>2200</v>
      </c>
    </row>
    <row r="912" spans="1:14" ht="43.5" x14ac:dyDescent="0.35">
      <c r="A912" t="str">
        <f>VLOOKUP(C912,Countries!$A$1:$D$205,2,FALSE)</f>
        <v>DEU</v>
      </c>
      <c r="B912" s="71" t="s">
        <v>2201</v>
      </c>
      <c r="C912" t="s">
        <v>142</v>
      </c>
      <c r="D912" s="71" t="s">
        <v>2199</v>
      </c>
      <c r="E912" s="77" t="s">
        <v>2093</v>
      </c>
      <c r="F912" s="75">
        <v>2021</v>
      </c>
      <c r="G912" s="79">
        <v>233.9858128092522</v>
      </c>
      <c r="H912" s="66">
        <f>G912*1000*Conversion!$A$2</f>
        <v>21030.644855295588</v>
      </c>
      <c r="I912" t="s">
        <v>471</v>
      </c>
      <c r="J912" t="s">
        <v>493</v>
      </c>
      <c r="K912" s="77" t="s">
        <v>494</v>
      </c>
      <c r="N912" s="71" t="s">
        <v>2202</v>
      </c>
    </row>
    <row r="913" spans="1:14" ht="29" x14ac:dyDescent="0.35">
      <c r="A913" t="str">
        <f>VLOOKUP(C913,Countries!$A$1:$D$205,2,FALSE)</f>
        <v>DEU</v>
      </c>
      <c r="B913" s="71" t="s">
        <v>1377</v>
      </c>
      <c r="C913" t="s">
        <v>142</v>
      </c>
      <c r="D913" s="71" t="s">
        <v>1378</v>
      </c>
      <c r="E913" s="77" t="s">
        <v>2095</v>
      </c>
      <c r="F913" s="75"/>
      <c r="G913" s="79">
        <v>676.35838945205467</v>
      </c>
      <c r="H913" s="66">
        <f>G913*1000*Conversion!$A$2</f>
        <v>60791.092043950674</v>
      </c>
      <c r="I913" t="s">
        <v>471</v>
      </c>
      <c r="J913" t="s">
        <v>493</v>
      </c>
      <c r="K913" s="77" t="s">
        <v>494</v>
      </c>
      <c r="N913" s="71"/>
    </row>
    <row r="914" spans="1:14" ht="29" x14ac:dyDescent="0.35">
      <c r="A914" t="str">
        <f>VLOOKUP(C914,Countries!$A$1:$D$205,2,FALSE)</f>
        <v>DEU</v>
      </c>
      <c r="B914" s="71" t="s">
        <v>1382</v>
      </c>
      <c r="C914" t="s">
        <v>142</v>
      </c>
      <c r="D914" s="71" t="s">
        <v>1383</v>
      </c>
      <c r="E914" s="77" t="s">
        <v>2095</v>
      </c>
      <c r="F914" s="75"/>
      <c r="G914" s="79">
        <v>164.14990126027394</v>
      </c>
      <c r="H914" s="66">
        <f>G914*1000*Conversion!$A$2</f>
        <v>14753.793125273422</v>
      </c>
      <c r="I914" t="s">
        <v>471</v>
      </c>
      <c r="J914" t="s">
        <v>493</v>
      </c>
      <c r="K914" s="77" t="s">
        <v>483</v>
      </c>
      <c r="N914" s="71" t="s">
        <v>1376</v>
      </c>
    </row>
    <row r="915" spans="1:14" x14ac:dyDescent="0.35">
      <c r="A915" t="str">
        <f>VLOOKUP(C915,Countries!$A$1:$D$205,2,FALSE)</f>
        <v>DEU</v>
      </c>
      <c r="B915" s="71" t="s">
        <v>1391</v>
      </c>
      <c r="C915" t="s">
        <v>142</v>
      </c>
      <c r="D915" s="71" t="s">
        <v>2203</v>
      </c>
      <c r="E915" s="77" t="s">
        <v>2098</v>
      </c>
      <c r="F915" s="75"/>
      <c r="G915" s="79">
        <v>1875</v>
      </c>
      <c r="H915" s="66">
        <f>G915*1000*Conversion!$A$2</f>
        <v>168525</v>
      </c>
      <c r="I915" t="s">
        <v>471</v>
      </c>
      <c r="J915" t="s">
        <v>493</v>
      </c>
      <c r="K915" s="77" t="s">
        <v>503</v>
      </c>
      <c r="N915" s="71" t="s">
        <v>1251</v>
      </c>
    </row>
    <row r="916" spans="1:14" ht="29" x14ac:dyDescent="0.35">
      <c r="A916" t="str">
        <f>VLOOKUP(C916,Countries!$A$1:$D$205,2,FALSE)</f>
        <v>DEU</v>
      </c>
      <c r="B916" s="71" t="s">
        <v>1395</v>
      </c>
      <c r="C916" t="s">
        <v>142</v>
      </c>
      <c r="D916" s="71" t="s">
        <v>1396</v>
      </c>
      <c r="E916" s="77" t="s">
        <v>2095</v>
      </c>
      <c r="F916" s="75"/>
      <c r="G916" s="79">
        <v>455.97194794520539</v>
      </c>
      <c r="H916" s="66">
        <f>G916*1000*Conversion!$A$2</f>
        <v>40982.758681315063</v>
      </c>
      <c r="I916" t="s">
        <v>471</v>
      </c>
      <c r="J916" t="s">
        <v>493</v>
      </c>
      <c r="K916" s="77" t="s">
        <v>494</v>
      </c>
      <c r="N916" s="71"/>
    </row>
    <row r="917" spans="1:14" ht="29" x14ac:dyDescent="0.35">
      <c r="A917" t="str">
        <f>VLOOKUP(C917,Countries!$A$1:$D$205,2,FALSE)</f>
        <v>DEU</v>
      </c>
      <c r="B917" s="71" t="s">
        <v>2179</v>
      </c>
      <c r="C917" t="s">
        <v>142</v>
      </c>
      <c r="D917" s="71" t="s">
        <v>2204</v>
      </c>
      <c r="E917" s="77" t="s">
        <v>2106</v>
      </c>
      <c r="F917" s="75"/>
      <c r="G917" s="79">
        <v>196.6671790736068</v>
      </c>
      <c r="H917" s="66">
        <f>G917*1000*Conversion!$A$2</f>
        <v>17676.446055135777</v>
      </c>
      <c r="I917" t="s">
        <v>471</v>
      </c>
      <c r="J917" t="s">
        <v>493</v>
      </c>
      <c r="K917" s="77" t="s">
        <v>494</v>
      </c>
      <c r="N917" s="71" t="s">
        <v>2205</v>
      </c>
    </row>
    <row r="918" spans="1:14" ht="29" x14ac:dyDescent="0.35">
      <c r="A918" t="str">
        <f>VLOOKUP(C918,Countries!$A$1:$D$205,2,FALSE)</f>
        <v>DEU</v>
      </c>
      <c r="B918" s="71" t="s">
        <v>2206</v>
      </c>
      <c r="C918" t="s">
        <v>142</v>
      </c>
      <c r="D918" s="71" t="s">
        <v>2207</v>
      </c>
      <c r="E918" s="77" t="s">
        <v>2093</v>
      </c>
      <c r="F918" s="75">
        <v>2020</v>
      </c>
      <c r="G918" s="79">
        <v>177.65589491072853</v>
      </c>
      <c r="H918" s="66">
        <f>G918*1000*Conversion!$A$2</f>
        <v>15967.711834576281</v>
      </c>
      <c r="I918" t="s">
        <v>471</v>
      </c>
      <c r="J918" t="s">
        <v>493</v>
      </c>
      <c r="K918" s="77" t="s">
        <v>494</v>
      </c>
      <c r="N918" s="71" t="s">
        <v>2208</v>
      </c>
    </row>
    <row r="919" spans="1:14" ht="29" x14ac:dyDescent="0.35">
      <c r="A919" t="str">
        <f>VLOOKUP(C919,Countries!$A$1:$D$205,2,FALSE)</f>
        <v>DEU</v>
      </c>
      <c r="B919" s="71" t="s">
        <v>2209</v>
      </c>
      <c r="C919" t="s">
        <v>142</v>
      </c>
      <c r="D919" s="71" t="s">
        <v>2207</v>
      </c>
      <c r="E919" s="77" t="s">
        <v>2093</v>
      </c>
      <c r="F919" s="75">
        <v>2010</v>
      </c>
      <c r="G919" s="79">
        <v>216</v>
      </c>
      <c r="H919" s="66">
        <f>G919*1000*Conversion!$A$2</f>
        <v>19414.080000000002</v>
      </c>
      <c r="I919" t="s">
        <v>471</v>
      </c>
      <c r="J919" t="s">
        <v>493</v>
      </c>
      <c r="K919" s="77" t="s">
        <v>494</v>
      </c>
      <c r="N919" s="71" t="s">
        <v>2208</v>
      </c>
    </row>
    <row r="920" spans="1:14" ht="29" x14ac:dyDescent="0.35">
      <c r="A920" t="str">
        <f>VLOOKUP(C920,Countries!$A$1:$D$205,2,FALSE)</f>
        <v>DEU</v>
      </c>
      <c r="B920" s="71" t="s">
        <v>2210</v>
      </c>
      <c r="C920" t="s">
        <v>142</v>
      </c>
      <c r="D920" s="71" t="s">
        <v>2211</v>
      </c>
      <c r="E920" s="77" t="s">
        <v>2098</v>
      </c>
      <c r="F920" s="75"/>
      <c r="G920" s="79">
        <v>1625</v>
      </c>
      <c r="H920" s="66">
        <f>G920*1000*Conversion!$A$2</f>
        <v>146055</v>
      </c>
      <c r="I920" t="s">
        <v>471</v>
      </c>
      <c r="J920" t="s">
        <v>493</v>
      </c>
      <c r="K920" s="77" t="s">
        <v>503</v>
      </c>
      <c r="N920" s="71" t="s">
        <v>2212</v>
      </c>
    </row>
    <row r="921" spans="1:14" ht="29" x14ac:dyDescent="0.35">
      <c r="A921" t="str">
        <f>VLOOKUP(C921,Countries!$A$1:$D$205,2,FALSE)</f>
        <v>GRC</v>
      </c>
      <c r="B921" s="71" t="s">
        <v>2213</v>
      </c>
      <c r="C921" t="s">
        <v>144</v>
      </c>
      <c r="D921" s="71" t="s">
        <v>2214</v>
      </c>
      <c r="E921" s="77" t="s">
        <v>2093</v>
      </c>
      <c r="F921" s="69">
        <v>2009</v>
      </c>
      <c r="G921" s="79">
        <v>3</v>
      </c>
      <c r="H921" s="66">
        <f>G921*1000*Conversion!$A$2</f>
        <v>269.64</v>
      </c>
      <c r="I921" t="s">
        <v>471</v>
      </c>
      <c r="J921" t="s">
        <v>493</v>
      </c>
      <c r="K921" s="77" t="s">
        <v>494</v>
      </c>
    </row>
    <row r="922" spans="1:14" ht="29" x14ac:dyDescent="0.35">
      <c r="A922" t="str">
        <f>VLOOKUP(C922,Countries!$A$1:$D$205,2,FALSE)</f>
        <v>GRC</v>
      </c>
      <c r="B922" s="71" t="s">
        <v>2215</v>
      </c>
      <c r="C922" t="s">
        <v>144</v>
      </c>
      <c r="D922" s="71" t="s">
        <v>2216</v>
      </c>
      <c r="E922" s="77" t="s">
        <v>2093</v>
      </c>
      <c r="F922" s="78">
        <v>2011</v>
      </c>
      <c r="G922" s="79">
        <v>17</v>
      </c>
      <c r="H922" s="66">
        <f>G922*1000*Conversion!$A$2</f>
        <v>1527.96</v>
      </c>
      <c r="I922" t="s">
        <v>471</v>
      </c>
      <c r="J922" t="s">
        <v>493</v>
      </c>
      <c r="K922" s="77" t="s">
        <v>494</v>
      </c>
    </row>
    <row r="923" spans="1:14" ht="29" x14ac:dyDescent="0.35">
      <c r="A923" t="str">
        <f>VLOOKUP(C923,Countries!$A$1:$D$205,2,FALSE)</f>
        <v>IRL</v>
      </c>
      <c r="B923" s="71" t="s">
        <v>2217</v>
      </c>
      <c r="C923" t="s">
        <v>162</v>
      </c>
      <c r="D923" s="71" t="s">
        <v>2218</v>
      </c>
      <c r="E923" s="77" t="s">
        <v>2093</v>
      </c>
      <c r="F923" s="75">
        <v>1998</v>
      </c>
      <c r="G923" s="79">
        <v>7</v>
      </c>
      <c r="H923" s="66">
        <f>G923*1000*Conversion!$A$2</f>
        <v>629.16</v>
      </c>
      <c r="I923" t="s">
        <v>471</v>
      </c>
      <c r="J923" t="s">
        <v>493</v>
      </c>
      <c r="K923" s="77" t="s">
        <v>494</v>
      </c>
    </row>
    <row r="924" spans="1:14" ht="29" x14ac:dyDescent="0.35">
      <c r="A924" t="str">
        <f>VLOOKUP(C924,Countries!$A$1:$D$205,2,FALSE)</f>
        <v>ITA</v>
      </c>
      <c r="B924" s="71" t="s">
        <v>2219</v>
      </c>
      <c r="C924" t="s">
        <v>164</v>
      </c>
      <c r="D924" s="71" t="s">
        <v>2220</v>
      </c>
      <c r="E924" s="77" t="s">
        <v>2093</v>
      </c>
      <c r="F924" s="75">
        <v>2018</v>
      </c>
      <c r="G924" s="79">
        <v>68.462515599744165</v>
      </c>
      <c r="H924" s="66">
        <f>G924*1000*Conversion!$A$2</f>
        <v>6153.4109021050053</v>
      </c>
      <c r="I924" t="s">
        <v>471</v>
      </c>
      <c r="J924" t="s">
        <v>493</v>
      </c>
      <c r="K924" s="77" t="s">
        <v>494</v>
      </c>
      <c r="N924" s="71" t="s">
        <v>2171</v>
      </c>
    </row>
    <row r="925" spans="1:14" ht="29" x14ac:dyDescent="0.35">
      <c r="A925" t="str">
        <f>VLOOKUP(C925,Countries!$A$1:$D$205,2,FALSE)</f>
        <v>ITA</v>
      </c>
      <c r="B925" s="71" t="s">
        <v>2221</v>
      </c>
      <c r="C925" t="s">
        <v>164</v>
      </c>
      <c r="D925" s="71" t="s">
        <v>2222</v>
      </c>
      <c r="E925" s="77" t="s">
        <v>2093</v>
      </c>
      <c r="F925" s="75">
        <v>2007</v>
      </c>
      <c r="G925" s="79">
        <v>21.604092200088871</v>
      </c>
      <c r="H925" s="66">
        <f>G925*1000*Conversion!$A$2</f>
        <v>1941.7758069439878</v>
      </c>
      <c r="I925" t="s">
        <v>471</v>
      </c>
      <c r="J925" t="s">
        <v>493</v>
      </c>
      <c r="K925" s="77" t="s">
        <v>494</v>
      </c>
      <c r="N925" s="71" t="s">
        <v>2223</v>
      </c>
    </row>
    <row r="926" spans="1:14" ht="29" x14ac:dyDescent="0.35">
      <c r="A926" t="str">
        <f>VLOOKUP(C926,Countries!$A$1:$D$205,2,FALSE)</f>
        <v>ITA</v>
      </c>
      <c r="B926" s="71" t="s">
        <v>2224</v>
      </c>
      <c r="C926" t="s">
        <v>164</v>
      </c>
      <c r="D926" s="71" t="s">
        <v>2222</v>
      </c>
      <c r="E926" s="77" t="s">
        <v>2093</v>
      </c>
      <c r="F926" s="75">
        <v>2017</v>
      </c>
      <c r="G926" s="79">
        <v>25.998423645472467</v>
      </c>
      <c r="H926" s="66">
        <f>G926*1000*Conversion!$A$2</f>
        <v>2336.7383172550653</v>
      </c>
      <c r="I926" t="s">
        <v>471</v>
      </c>
      <c r="J926" t="s">
        <v>493</v>
      </c>
      <c r="K926" s="77" t="s">
        <v>494</v>
      </c>
      <c r="N926" s="71" t="s">
        <v>2225</v>
      </c>
    </row>
    <row r="927" spans="1:14" ht="29" x14ac:dyDescent="0.35">
      <c r="A927" t="str">
        <f>VLOOKUP(C927,Countries!$A$1:$D$205,2,FALSE)</f>
        <v>ITA</v>
      </c>
      <c r="B927" s="71" t="s">
        <v>2226</v>
      </c>
      <c r="C927" t="s">
        <v>164</v>
      </c>
      <c r="D927" s="71" t="s">
        <v>2227</v>
      </c>
      <c r="E927" s="77" t="s">
        <v>2093</v>
      </c>
      <c r="F927" s="75">
        <v>2003</v>
      </c>
      <c r="G927" s="79">
        <v>21.665353037893723</v>
      </c>
      <c r="H927" s="66">
        <f>G927*1000*Conversion!$A$2</f>
        <v>1947.2819310458881</v>
      </c>
      <c r="I927" t="s">
        <v>471</v>
      </c>
      <c r="J927" t="s">
        <v>493</v>
      </c>
      <c r="K927" s="77" t="s">
        <v>494</v>
      </c>
      <c r="N927" s="71" t="s">
        <v>2228</v>
      </c>
    </row>
    <row r="928" spans="1:14" ht="29" x14ac:dyDescent="0.35">
      <c r="A928" t="str">
        <f>VLOOKUP(C928,Countries!$A$1:$D$205,2,FALSE)</f>
        <v>ITA</v>
      </c>
      <c r="B928" s="71" t="s">
        <v>2229</v>
      </c>
      <c r="C928" t="s">
        <v>164</v>
      </c>
      <c r="D928" s="71" t="s">
        <v>2230</v>
      </c>
      <c r="E928" s="77" t="s">
        <v>2093</v>
      </c>
      <c r="F928" s="75">
        <v>2009</v>
      </c>
      <c r="G928" s="79">
        <v>17</v>
      </c>
      <c r="H928" s="66">
        <f>G928*1000*Conversion!$A$2</f>
        <v>1527.96</v>
      </c>
      <c r="I928" t="s">
        <v>471</v>
      </c>
      <c r="J928" t="s">
        <v>493</v>
      </c>
      <c r="K928" s="77" t="s">
        <v>494</v>
      </c>
      <c r="N928" s="71" t="s">
        <v>2231</v>
      </c>
    </row>
    <row r="929" spans="1:14" ht="43.5" x14ac:dyDescent="0.35">
      <c r="A929" t="str">
        <f>VLOOKUP(C929,Countries!$A$1:$D$205,2,FALSE)</f>
        <v>ITA</v>
      </c>
      <c r="B929" s="71" t="s">
        <v>1878</v>
      </c>
      <c r="C929" t="s">
        <v>164</v>
      </c>
      <c r="D929" s="71" t="s">
        <v>2232</v>
      </c>
      <c r="E929" s="77" t="s">
        <v>2093</v>
      </c>
      <c r="F929" s="75"/>
      <c r="G929" s="79">
        <v>38.997635468208699</v>
      </c>
      <c r="H929" s="66">
        <f>G929*1000*Conversion!$A$2</f>
        <v>3505.1074758825976</v>
      </c>
      <c r="I929" t="s">
        <v>471</v>
      </c>
      <c r="J929" t="s">
        <v>493</v>
      </c>
      <c r="K929" s="77" t="s">
        <v>494</v>
      </c>
      <c r="N929" s="71" t="s">
        <v>2233</v>
      </c>
    </row>
    <row r="930" spans="1:14" ht="29" x14ac:dyDescent="0.35">
      <c r="A930" t="str">
        <f>VLOOKUP(C930,Countries!$A$1:$D$205,2,FALSE)</f>
        <v>ITA</v>
      </c>
      <c r="B930" s="71" t="s">
        <v>2234</v>
      </c>
      <c r="C930" t="s">
        <v>164</v>
      </c>
      <c r="D930" s="71" t="s">
        <v>2235</v>
      </c>
      <c r="E930" s="77" t="s">
        <v>2093</v>
      </c>
      <c r="F930" s="75">
        <v>2014</v>
      </c>
      <c r="G930" s="79">
        <v>129.99211822736234</v>
      </c>
      <c r="H930" s="66">
        <f>G930*1000*Conversion!$A$2</f>
        <v>11683.691586275327</v>
      </c>
      <c r="I930" t="s">
        <v>471</v>
      </c>
      <c r="J930" t="s">
        <v>493</v>
      </c>
      <c r="K930" s="77" t="s">
        <v>494</v>
      </c>
      <c r="N930" s="71" t="s">
        <v>2236</v>
      </c>
    </row>
    <row r="931" spans="1:14" x14ac:dyDescent="0.35">
      <c r="A931" t="str">
        <f>VLOOKUP(C931,Countries!$A$1:$D$205,2,FALSE)</f>
        <v>ITA</v>
      </c>
      <c r="B931" s="71" t="s">
        <v>1444</v>
      </c>
      <c r="C931" t="s">
        <v>164</v>
      </c>
      <c r="D931" s="71" t="s">
        <v>2237</v>
      </c>
      <c r="E931" s="77" t="s">
        <v>2098</v>
      </c>
      <c r="F931" s="75"/>
      <c r="G931" s="79">
        <v>315</v>
      </c>
      <c r="H931" s="66">
        <f>G931*1000*Conversion!$A$2</f>
        <v>28312.2</v>
      </c>
      <c r="I931" t="s">
        <v>471</v>
      </c>
      <c r="J931" t="s">
        <v>493</v>
      </c>
      <c r="K931" s="77" t="s">
        <v>503</v>
      </c>
      <c r="N931" s="71" t="s">
        <v>1251</v>
      </c>
    </row>
    <row r="932" spans="1:14" x14ac:dyDescent="0.35">
      <c r="A932" t="str">
        <f>VLOOKUP(C932,Countries!$A$1:$D$205,2,FALSE)</f>
        <v>ITA</v>
      </c>
      <c r="B932" s="71" t="s">
        <v>2238</v>
      </c>
      <c r="C932" t="s">
        <v>164</v>
      </c>
      <c r="D932" s="71" t="s">
        <v>2239</v>
      </c>
      <c r="E932" s="77" t="s">
        <v>2098</v>
      </c>
      <c r="F932" s="75"/>
      <c r="G932" s="79">
        <v>674</v>
      </c>
      <c r="H932" s="66">
        <f>G932*1000*Conversion!$A$2</f>
        <v>60579.12</v>
      </c>
      <c r="I932" t="s">
        <v>471</v>
      </c>
      <c r="J932" t="s">
        <v>493</v>
      </c>
      <c r="K932" s="77" t="s">
        <v>503</v>
      </c>
      <c r="N932" s="71" t="s">
        <v>1251</v>
      </c>
    </row>
    <row r="933" spans="1:14" ht="29" x14ac:dyDescent="0.35">
      <c r="A933" t="str">
        <f>VLOOKUP(C933,Countries!$A$1:$D$205,2,FALSE)</f>
        <v>ITA</v>
      </c>
      <c r="B933" s="71" t="s">
        <v>2240</v>
      </c>
      <c r="C933" t="s">
        <v>164</v>
      </c>
      <c r="D933" s="71" t="s">
        <v>2241</v>
      </c>
      <c r="E933" s="77" t="s">
        <v>2098</v>
      </c>
      <c r="F933" s="75"/>
      <c r="G933" s="79">
        <v>774</v>
      </c>
      <c r="H933" s="66">
        <f>G933*1000*Conversion!$A$2</f>
        <v>69567.12</v>
      </c>
      <c r="I933" t="s">
        <v>471</v>
      </c>
      <c r="J933" t="s">
        <v>493</v>
      </c>
      <c r="K933" s="77" t="s">
        <v>503</v>
      </c>
      <c r="N933" s="71" t="s">
        <v>2242</v>
      </c>
    </row>
    <row r="934" spans="1:14" x14ac:dyDescent="0.35">
      <c r="A934" t="str">
        <f>VLOOKUP(C934,Countries!$A$1:$D$205,2,FALSE)</f>
        <v>ITA</v>
      </c>
      <c r="B934" s="71" t="s">
        <v>1865</v>
      </c>
      <c r="C934" t="s">
        <v>164</v>
      </c>
      <c r="D934" s="71" t="s">
        <v>2243</v>
      </c>
      <c r="E934" s="77" t="s">
        <v>2095</v>
      </c>
      <c r="F934" s="75"/>
      <c r="G934" s="79">
        <v>668.75885698630123</v>
      </c>
      <c r="H934" s="66">
        <f>G934*1000*Conversion!$A$2</f>
        <v>60108.046065928756</v>
      </c>
      <c r="I934" t="s">
        <v>471</v>
      </c>
      <c r="J934" t="s">
        <v>493</v>
      </c>
      <c r="K934" s="77" t="s">
        <v>494</v>
      </c>
      <c r="N934" s="71"/>
    </row>
    <row r="935" spans="1:14" x14ac:dyDescent="0.35">
      <c r="A935" t="str">
        <f>VLOOKUP(C935,Countries!$A$1:$D$205,2,FALSE)</f>
        <v>ITA</v>
      </c>
      <c r="B935" s="71" t="s">
        <v>1875</v>
      </c>
      <c r="C935" t="s">
        <v>164</v>
      </c>
      <c r="D935" s="71" t="s">
        <v>2243</v>
      </c>
      <c r="E935" s="77" t="s">
        <v>2106</v>
      </c>
      <c r="F935" s="75"/>
      <c r="G935" s="79">
        <v>406</v>
      </c>
      <c r="H935" s="66">
        <f>G935*1000*Conversion!$A$2</f>
        <v>36491.279999999999</v>
      </c>
      <c r="I935" t="s">
        <v>471</v>
      </c>
      <c r="J935" t="s">
        <v>493</v>
      </c>
      <c r="K935" s="77" t="s">
        <v>494</v>
      </c>
      <c r="N935" s="71" t="s">
        <v>2244</v>
      </c>
    </row>
    <row r="936" spans="1:14" x14ac:dyDescent="0.35">
      <c r="A936" t="str">
        <f>VLOOKUP(C936,Countries!$A$1:$D$205,2,FALSE)</f>
        <v>ITA</v>
      </c>
      <c r="B936" s="71" t="s">
        <v>1444</v>
      </c>
      <c r="C936" t="s">
        <v>164</v>
      </c>
      <c r="D936" s="71" t="s">
        <v>2243</v>
      </c>
      <c r="E936" s="77" t="s">
        <v>2095</v>
      </c>
      <c r="F936" s="75"/>
      <c r="G936" s="79">
        <v>744.75418164383552</v>
      </c>
      <c r="H936" s="66">
        <f>G936*1000*Conversion!$A$2</f>
        <v>66938.505846147935</v>
      </c>
      <c r="I936" t="s">
        <v>471</v>
      </c>
      <c r="J936" t="s">
        <v>493</v>
      </c>
      <c r="K936" s="77" t="s">
        <v>494</v>
      </c>
    </row>
    <row r="937" spans="1:14" x14ac:dyDescent="0.35">
      <c r="A937" t="str">
        <f>VLOOKUP(C937,Countries!$A$1:$D$205,2,FALSE)</f>
        <v>ITA</v>
      </c>
      <c r="B937" s="71" t="s">
        <v>1451</v>
      </c>
      <c r="C937" t="s">
        <v>164</v>
      </c>
      <c r="D937" s="71" t="s">
        <v>2243</v>
      </c>
      <c r="E937" s="77" t="s">
        <v>2095</v>
      </c>
      <c r="F937" s="75"/>
      <c r="G937" s="79">
        <v>683.95792191780811</v>
      </c>
      <c r="H937" s="66">
        <f>G937*1000*Conversion!$A$2</f>
        <v>61474.138021972598</v>
      </c>
      <c r="I937" t="s">
        <v>471</v>
      </c>
      <c r="J937" t="s">
        <v>493</v>
      </c>
      <c r="K937" s="77" t="s">
        <v>494</v>
      </c>
    </row>
    <row r="938" spans="1:14" ht="43.5" x14ac:dyDescent="0.35">
      <c r="A938" t="str">
        <f>VLOOKUP(C938,Countries!$A$1:$D$205,2,FALSE)</f>
        <v>NLD</v>
      </c>
      <c r="B938" s="71" t="s">
        <v>1892</v>
      </c>
      <c r="C938" t="s">
        <v>226</v>
      </c>
      <c r="D938" s="71" t="s">
        <v>2245</v>
      </c>
      <c r="E938" s="77" t="s">
        <v>2095</v>
      </c>
      <c r="F938" s="75"/>
      <c r="G938" s="79">
        <v>2713.033090273972</v>
      </c>
      <c r="H938" s="66">
        <f>G938*1000*Conversion!$A$2</f>
        <v>243847.41415382462</v>
      </c>
      <c r="I938" t="s">
        <v>471</v>
      </c>
      <c r="J938" t="s">
        <v>493</v>
      </c>
      <c r="K938" s="77" t="s">
        <v>494</v>
      </c>
      <c r="N938" s="71" t="s">
        <v>2246</v>
      </c>
    </row>
    <row r="939" spans="1:14" ht="29" x14ac:dyDescent="0.35">
      <c r="A939" t="str">
        <f>VLOOKUP(C939,Countries!$A$1:$D$205,2,FALSE)</f>
        <v>NLD</v>
      </c>
      <c r="B939" s="71" t="s">
        <v>1889</v>
      </c>
      <c r="C939" t="s">
        <v>226</v>
      </c>
      <c r="D939" s="71" t="s">
        <v>2247</v>
      </c>
      <c r="E939" s="77" t="s">
        <v>2093</v>
      </c>
      <c r="F939" s="75">
        <v>1997</v>
      </c>
      <c r="G939" s="79">
        <v>552.03319540553207</v>
      </c>
      <c r="H939" s="66">
        <f>G939*1000*Conversion!$A$2</f>
        <v>49616.743603049217</v>
      </c>
      <c r="I939" t="s">
        <v>471</v>
      </c>
      <c r="J939" t="s">
        <v>493</v>
      </c>
      <c r="K939" s="77" t="s">
        <v>494</v>
      </c>
      <c r="N939" s="71" t="s">
        <v>2248</v>
      </c>
    </row>
    <row r="940" spans="1:14" ht="43.5" x14ac:dyDescent="0.35">
      <c r="A940" t="str">
        <f>VLOOKUP(C940,Countries!$A$1:$D$205,2,FALSE)</f>
        <v>NLD</v>
      </c>
      <c r="B940" s="71" t="s">
        <v>1478</v>
      </c>
      <c r="C940" t="s">
        <v>226</v>
      </c>
      <c r="D940" s="71" t="s">
        <v>2247</v>
      </c>
      <c r="E940" s="77" t="s">
        <v>2093</v>
      </c>
      <c r="F940" s="75">
        <v>2006</v>
      </c>
      <c r="G940" s="79">
        <v>104.86030870340562</v>
      </c>
      <c r="H940" s="66">
        <f>G940*1000*Conversion!$A$2</f>
        <v>9424.8445462620966</v>
      </c>
      <c r="I940" t="s">
        <v>471</v>
      </c>
      <c r="J940" t="s">
        <v>493</v>
      </c>
      <c r="K940" s="77" t="s">
        <v>494</v>
      </c>
      <c r="N940" s="71" t="s">
        <v>2249</v>
      </c>
    </row>
    <row r="941" spans="1:14" ht="29" x14ac:dyDescent="0.35">
      <c r="A941" t="str">
        <f>VLOOKUP(C941,Countries!$A$1:$D$205,2,FALSE)</f>
        <v>NLD</v>
      </c>
      <c r="B941" s="71" t="s">
        <v>2250</v>
      </c>
      <c r="C941" t="s">
        <v>226</v>
      </c>
      <c r="D941" s="71" t="s">
        <v>2251</v>
      </c>
      <c r="E941" s="77" t="s">
        <v>2095</v>
      </c>
      <c r="F941" s="75"/>
      <c r="G941" s="79">
        <v>1899.883116438356</v>
      </c>
      <c r="H941" s="66">
        <f>G941*1000*Conversion!$A$2</f>
        <v>170761.49450547944</v>
      </c>
      <c r="I941" t="s">
        <v>471</v>
      </c>
      <c r="J941" t="s">
        <v>493</v>
      </c>
      <c r="K941" s="77" t="s">
        <v>494</v>
      </c>
      <c r="N941" s="71" t="s">
        <v>2252</v>
      </c>
    </row>
    <row r="942" spans="1:14" ht="29" x14ac:dyDescent="0.35">
      <c r="A942" t="str">
        <f>VLOOKUP(C942,Countries!$A$1:$D$205,2,FALSE)</f>
        <v>NLD</v>
      </c>
      <c r="B942" s="71" t="s">
        <v>1507</v>
      </c>
      <c r="C942" t="s">
        <v>226</v>
      </c>
      <c r="D942" s="71" t="s">
        <v>1508</v>
      </c>
      <c r="E942" s="77" t="s">
        <v>2093</v>
      </c>
      <c r="F942" s="75">
        <v>2007</v>
      </c>
      <c r="G942" s="79">
        <v>77.128656814901646</v>
      </c>
      <c r="H942" s="66">
        <f>G942*1000*Conversion!$A$2</f>
        <v>6932.3236745233608</v>
      </c>
      <c r="I942" t="s">
        <v>471</v>
      </c>
      <c r="J942" t="s">
        <v>493</v>
      </c>
      <c r="K942" s="77" t="s">
        <v>494</v>
      </c>
      <c r="N942" s="71" t="s">
        <v>2253</v>
      </c>
    </row>
    <row r="943" spans="1:14" x14ac:dyDescent="0.35">
      <c r="A943" t="str">
        <f>VLOOKUP(C943,Countries!$A$1:$D$205,2,FALSE)</f>
        <v>NLD</v>
      </c>
      <c r="B943" s="71" t="s">
        <v>2254</v>
      </c>
      <c r="C943" t="s">
        <v>226</v>
      </c>
      <c r="D943" s="71" t="s">
        <v>2255</v>
      </c>
      <c r="E943" s="77" t="s">
        <v>2095</v>
      </c>
      <c r="F943" s="75"/>
      <c r="G943" s="79">
        <v>1428.7121035616435</v>
      </c>
      <c r="H943" s="66">
        <f>G943*1000*Conversion!$A$2</f>
        <v>128412.64386812052</v>
      </c>
      <c r="I943" t="s">
        <v>471</v>
      </c>
      <c r="J943" t="s">
        <v>493</v>
      </c>
      <c r="K943" s="77" t="s">
        <v>494</v>
      </c>
      <c r="N943" s="71" t="s">
        <v>2256</v>
      </c>
    </row>
    <row r="944" spans="1:14" ht="29" x14ac:dyDescent="0.35">
      <c r="A944" t="str">
        <f>VLOOKUP(C944,Countries!$A$1:$D$205,2,FALSE)</f>
        <v>NLD</v>
      </c>
      <c r="B944" s="71" t="s">
        <v>2257</v>
      </c>
      <c r="C944" t="s">
        <v>226</v>
      </c>
      <c r="D944" s="71" t="s">
        <v>2258</v>
      </c>
      <c r="E944" s="77" t="s">
        <v>2098</v>
      </c>
      <c r="F944" s="75"/>
      <c r="G944" s="79">
        <v>2663</v>
      </c>
      <c r="H944" s="66">
        <f>G944*1000*Conversion!$A$2</f>
        <v>239350.44</v>
      </c>
      <c r="I944" t="s">
        <v>471</v>
      </c>
      <c r="J944" t="s">
        <v>493</v>
      </c>
      <c r="K944" s="77" t="s">
        <v>494</v>
      </c>
      <c r="N944" s="71" t="s">
        <v>1251</v>
      </c>
    </row>
    <row r="945" spans="1:14" x14ac:dyDescent="0.35">
      <c r="A945" t="str">
        <f>VLOOKUP(C945,Countries!$A$1:$D$205,2,FALSE)</f>
        <v>NLD</v>
      </c>
      <c r="B945" s="71" t="s">
        <v>1892</v>
      </c>
      <c r="C945" t="s">
        <v>226</v>
      </c>
      <c r="D945" s="71" t="s">
        <v>2259</v>
      </c>
      <c r="E945" s="77" t="s">
        <v>2106</v>
      </c>
      <c r="F945" s="75"/>
      <c r="G945" s="79">
        <v>327.77863178934467</v>
      </c>
      <c r="H945" s="66">
        <f>G945*1000*Conversion!$A$2</f>
        <v>29460.743425226297</v>
      </c>
      <c r="I945" t="s">
        <v>471</v>
      </c>
      <c r="J945" t="s">
        <v>493</v>
      </c>
      <c r="K945" s="77" t="s">
        <v>494</v>
      </c>
      <c r="N945" s="71" t="s">
        <v>2260</v>
      </c>
    </row>
    <row r="946" spans="1:14" ht="29" x14ac:dyDescent="0.35">
      <c r="A946" t="str">
        <f>VLOOKUP(C946,Countries!$A$1:$D$205,2,FALSE)</f>
        <v>NOR</v>
      </c>
      <c r="B946" s="71" t="s">
        <v>2261</v>
      </c>
      <c r="C946" t="s">
        <v>416</v>
      </c>
      <c r="D946" s="71" t="s">
        <v>2262</v>
      </c>
      <c r="E946" s="77" t="s">
        <v>2093</v>
      </c>
      <c r="F946" s="75">
        <v>1997</v>
      </c>
      <c r="G946" s="79">
        <v>39.864249589724452</v>
      </c>
      <c r="H946" s="66">
        <f>G946*1000*Conversion!$A$2</f>
        <v>3582.9987531244337</v>
      </c>
      <c r="I946" t="s">
        <v>471</v>
      </c>
      <c r="J946" t="s">
        <v>493</v>
      </c>
      <c r="K946" s="77" t="s">
        <v>494</v>
      </c>
      <c r="N946" s="71" t="s">
        <v>1251</v>
      </c>
    </row>
    <row r="947" spans="1:14" x14ac:dyDescent="0.35">
      <c r="A947" t="str">
        <f>VLOOKUP(C947,Countries!$A$1:$D$205,2,FALSE)</f>
        <v>NOR</v>
      </c>
      <c r="B947" s="71" t="s">
        <v>2263</v>
      </c>
      <c r="C947" t="s">
        <v>416</v>
      </c>
      <c r="D947" s="71" t="s">
        <v>2264</v>
      </c>
      <c r="E947" s="77" t="s">
        <v>1486</v>
      </c>
      <c r="F947" s="75">
        <v>2023</v>
      </c>
      <c r="G947" s="79">
        <v>4</v>
      </c>
      <c r="H947" s="66">
        <f>G947*1000*Conversion!$A$2</f>
        <v>359.52</v>
      </c>
      <c r="I947" t="s">
        <v>471</v>
      </c>
      <c r="J947" t="s">
        <v>493</v>
      </c>
      <c r="K947" s="77" t="s">
        <v>1472</v>
      </c>
      <c r="N947" s="71" t="s">
        <v>2265</v>
      </c>
    </row>
    <row r="948" spans="1:14" ht="29" x14ac:dyDescent="0.35">
      <c r="A948" t="str">
        <f>VLOOKUP(C948,Countries!$A$1:$D$205,2,FALSE)</f>
        <v>NOR</v>
      </c>
      <c r="B948" s="71" t="s">
        <v>2263</v>
      </c>
      <c r="C948" t="s">
        <v>416</v>
      </c>
      <c r="D948" s="71" t="s">
        <v>2264</v>
      </c>
      <c r="E948" s="77" t="s">
        <v>2093</v>
      </c>
      <c r="F948" s="75"/>
      <c r="G948" s="79">
        <v>8.6416368800355485</v>
      </c>
      <c r="H948" s="66">
        <f>G948*1000*Conversion!$A$2</f>
        <v>776.71032277759514</v>
      </c>
      <c r="I948" t="s">
        <v>471</v>
      </c>
      <c r="J948" t="s">
        <v>493</v>
      </c>
      <c r="K948" s="77" t="s">
        <v>494</v>
      </c>
      <c r="N948" s="71" t="s">
        <v>1251</v>
      </c>
    </row>
    <row r="949" spans="1:14" ht="29" x14ac:dyDescent="0.35">
      <c r="A949" t="str">
        <f>VLOOKUP(C949,Countries!$A$1:$D$205,2,FALSE)</f>
        <v>NOR</v>
      </c>
      <c r="B949" s="71" t="s">
        <v>2266</v>
      </c>
      <c r="C949" t="s">
        <v>416</v>
      </c>
      <c r="D949" s="71" t="s">
        <v>2267</v>
      </c>
      <c r="E949" s="77" t="s">
        <v>2093</v>
      </c>
      <c r="F949" s="75">
        <v>2008</v>
      </c>
      <c r="G949" s="79">
        <v>255.65116584714593</v>
      </c>
      <c r="H949" s="66">
        <f>G949*1000*Conversion!$A$2</f>
        <v>22977.926786341475</v>
      </c>
      <c r="I949" t="s">
        <v>471</v>
      </c>
      <c r="J949" t="s">
        <v>493</v>
      </c>
      <c r="K949" s="77" t="s">
        <v>494</v>
      </c>
      <c r="N949" s="71" t="s">
        <v>2268</v>
      </c>
    </row>
    <row r="950" spans="1:14" x14ac:dyDescent="0.35">
      <c r="A950" t="str">
        <f>VLOOKUP(C950,Countries!$A$1:$D$205,2,FALSE)</f>
        <v>NOR</v>
      </c>
      <c r="B950" s="71" t="s">
        <v>2266</v>
      </c>
      <c r="C950" t="s">
        <v>416</v>
      </c>
      <c r="D950" s="71" t="s">
        <v>2269</v>
      </c>
      <c r="E950" s="77" t="s">
        <v>2095</v>
      </c>
      <c r="F950" s="75">
        <v>1997</v>
      </c>
      <c r="G950" s="79">
        <v>942.34202575342454</v>
      </c>
      <c r="H950" s="66">
        <f>G950*1000*Conversion!$A$2</f>
        <v>84697.701274717794</v>
      </c>
      <c r="I950" t="s">
        <v>471</v>
      </c>
      <c r="J950" t="s">
        <v>493</v>
      </c>
      <c r="K950" s="77" t="s">
        <v>494</v>
      </c>
      <c r="N950" s="71" t="s">
        <v>1538</v>
      </c>
    </row>
    <row r="951" spans="1:14" ht="29" x14ac:dyDescent="0.35">
      <c r="A951" t="str">
        <f>VLOOKUP(C951,Countries!$A$1:$D$205,2,FALSE)</f>
        <v>PRT</v>
      </c>
      <c r="B951" s="71" t="s">
        <v>2270</v>
      </c>
      <c r="C951" t="s">
        <v>250</v>
      </c>
      <c r="D951" s="71" t="s">
        <v>2271</v>
      </c>
      <c r="E951" s="77" t="s">
        <v>2117</v>
      </c>
      <c r="F951" s="75"/>
      <c r="G951" s="79">
        <v>43.734684427842481</v>
      </c>
      <c r="H951" s="66">
        <f>G951*1000*Conversion!$A$2</f>
        <v>3930.8734363744825</v>
      </c>
      <c r="I951" t="s">
        <v>471</v>
      </c>
      <c r="J951" t="s">
        <v>493</v>
      </c>
      <c r="K951" s="77" t="s">
        <v>494</v>
      </c>
      <c r="N951" s="71" t="s">
        <v>2272</v>
      </c>
    </row>
    <row r="952" spans="1:14" ht="29" x14ac:dyDescent="0.35">
      <c r="A952" t="str">
        <f>VLOOKUP(C952,Countries!$A$1:$D$205,2,FALSE)</f>
        <v>PRT</v>
      </c>
      <c r="B952" s="71" t="s">
        <v>1937</v>
      </c>
      <c r="C952" t="s">
        <v>250</v>
      </c>
      <c r="D952" s="71" t="s">
        <v>2273</v>
      </c>
      <c r="E952" s="77" t="s">
        <v>2093</v>
      </c>
      <c r="F952" s="75">
        <v>2004</v>
      </c>
      <c r="G952" s="79">
        <v>62.39</v>
      </c>
      <c r="H952" s="66">
        <f>G952*1000*Conversion!$A$2</f>
        <v>5607.6131999999998</v>
      </c>
      <c r="I952" t="s">
        <v>471</v>
      </c>
      <c r="J952" t="s">
        <v>493</v>
      </c>
      <c r="K952" s="77" t="s">
        <v>494</v>
      </c>
      <c r="N952" s="71" t="s">
        <v>2274</v>
      </c>
    </row>
    <row r="953" spans="1:14" ht="29" x14ac:dyDescent="0.35">
      <c r="A953" t="str">
        <f>VLOOKUP(C953,Countries!$A$1:$D$205,2,FALSE)</f>
        <v>PRT</v>
      </c>
      <c r="B953" s="71" t="s">
        <v>1937</v>
      </c>
      <c r="C953" t="s">
        <v>250</v>
      </c>
      <c r="D953" s="71" t="s">
        <v>2273</v>
      </c>
      <c r="E953" s="77" t="s">
        <v>1096</v>
      </c>
      <c r="F953" s="75">
        <v>2010</v>
      </c>
      <c r="G953" s="79">
        <v>38</v>
      </c>
      <c r="H953" s="66">
        <f>G953*1000*Conversion!$A$2</f>
        <v>3415.44</v>
      </c>
      <c r="I953" t="s">
        <v>471</v>
      </c>
      <c r="J953" t="s">
        <v>493</v>
      </c>
      <c r="K953" s="77" t="s">
        <v>494</v>
      </c>
      <c r="N953" s="71" t="s">
        <v>2275</v>
      </c>
    </row>
    <row r="954" spans="1:14" x14ac:dyDescent="0.35">
      <c r="A954" t="str">
        <f>VLOOKUP(C954,Countries!$A$1:$D$205,2,FALSE)</f>
        <v>PRT</v>
      </c>
      <c r="B954" s="71" t="s">
        <v>1561</v>
      </c>
      <c r="C954" t="s">
        <v>250</v>
      </c>
      <c r="D954" s="71" t="s">
        <v>2276</v>
      </c>
      <c r="E954" s="77" t="s">
        <v>2095</v>
      </c>
      <c r="G954" s="79">
        <v>623.16166219178069</v>
      </c>
      <c r="H954" s="66">
        <f>G954*1000*Conversion!$A$2</f>
        <v>56009.770197797254</v>
      </c>
      <c r="I954" t="s">
        <v>471</v>
      </c>
      <c r="J954" t="s">
        <v>493</v>
      </c>
      <c r="K954" s="77" t="s">
        <v>494</v>
      </c>
    </row>
    <row r="955" spans="1:14" ht="29" x14ac:dyDescent="0.35">
      <c r="A955" t="str">
        <f>VLOOKUP(C955,Countries!$A$1:$D$205,2,FALSE)</f>
        <v>ESP</v>
      </c>
      <c r="B955" s="71" t="s">
        <v>1981</v>
      </c>
      <c r="C955" t="s">
        <v>284</v>
      </c>
      <c r="D955" s="71" t="s">
        <v>2277</v>
      </c>
      <c r="E955" s="77" t="s">
        <v>2098</v>
      </c>
      <c r="F955" s="75"/>
      <c r="G955" s="79">
        <v>1250</v>
      </c>
      <c r="H955" s="66">
        <f>G955*1000*Conversion!$A$2</f>
        <v>112350</v>
      </c>
      <c r="I955" t="s">
        <v>471</v>
      </c>
      <c r="J955" t="s">
        <v>493</v>
      </c>
      <c r="K955" s="77" t="s">
        <v>503</v>
      </c>
      <c r="N955" s="71" t="s">
        <v>1251</v>
      </c>
    </row>
    <row r="956" spans="1:14" ht="29" x14ac:dyDescent="0.35">
      <c r="A956" t="str">
        <f>VLOOKUP(C956,Countries!$A$1:$D$205,2,FALSE)</f>
        <v>ESP</v>
      </c>
      <c r="B956" s="71" t="s">
        <v>1568</v>
      </c>
      <c r="C956" t="s">
        <v>284</v>
      </c>
      <c r="D956" s="71" t="s">
        <v>2278</v>
      </c>
      <c r="E956" s="77" t="s">
        <v>2279</v>
      </c>
      <c r="F956" s="75">
        <v>2003</v>
      </c>
      <c r="G956" s="79">
        <v>584.11141228720237</v>
      </c>
      <c r="H956" s="66">
        <f>G956*1000*Conversion!$A$2</f>
        <v>52499.933736373743</v>
      </c>
      <c r="I956" t="s">
        <v>471</v>
      </c>
      <c r="J956" t="s">
        <v>493</v>
      </c>
      <c r="K956" s="77" t="s">
        <v>494</v>
      </c>
      <c r="N956" s="71" t="s">
        <v>2280</v>
      </c>
    </row>
    <row r="957" spans="1:14" ht="29" x14ac:dyDescent="0.35">
      <c r="A957" t="str">
        <f>VLOOKUP(C957,Countries!$A$1:$D$205,2,FALSE)</f>
        <v>ESP</v>
      </c>
      <c r="B957" s="71" t="s">
        <v>1949</v>
      </c>
      <c r="C957" t="s">
        <v>284</v>
      </c>
      <c r="D957" s="71" t="s">
        <v>2281</v>
      </c>
      <c r="E957" s="77" t="s">
        <v>2093</v>
      </c>
      <c r="F957" s="75">
        <v>2019</v>
      </c>
      <c r="G957" s="79">
        <v>58.929760263070925</v>
      </c>
      <c r="H957" s="66">
        <f>G957*1000*Conversion!$A$2</f>
        <v>5296.6068524448146</v>
      </c>
      <c r="I957" t="s">
        <v>471</v>
      </c>
      <c r="J957" t="s">
        <v>493</v>
      </c>
      <c r="K957" s="77" t="s">
        <v>494</v>
      </c>
      <c r="N957" s="71" t="s">
        <v>2282</v>
      </c>
    </row>
    <row r="958" spans="1:14" ht="29" x14ac:dyDescent="0.35">
      <c r="A958" t="str">
        <f>VLOOKUP(C958,Countries!$A$1:$D$205,2,FALSE)</f>
        <v>ESP</v>
      </c>
      <c r="B958" s="71" t="s">
        <v>1568</v>
      </c>
      <c r="C958" t="s">
        <v>284</v>
      </c>
      <c r="D958" s="71" t="s">
        <v>2283</v>
      </c>
      <c r="E958" s="77" t="s">
        <v>2093</v>
      </c>
      <c r="F958" s="75">
        <v>2021</v>
      </c>
      <c r="G958" s="79">
        <v>121.32597701220485</v>
      </c>
      <c r="H958" s="66">
        <f>G958*1000*Conversion!$A$2</f>
        <v>10904.778813856972</v>
      </c>
      <c r="I958" t="s">
        <v>471</v>
      </c>
      <c r="J958" t="s">
        <v>493</v>
      </c>
      <c r="K958" s="77" t="s">
        <v>494</v>
      </c>
      <c r="N958" s="71"/>
    </row>
    <row r="959" spans="1:14" x14ac:dyDescent="0.35">
      <c r="A959" t="str">
        <f>VLOOKUP(C959,Countries!$A$1:$D$205,2,FALSE)</f>
        <v>ESP</v>
      </c>
      <c r="B959" s="71" t="s">
        <v>1568</v>
      </c>
      <c r="C959" t="s">
        <v>284</v>
      </c>
      <c r="D959" s="71" t="s">
        <v>2284</v>
      </c>
      <c r="E959" s="77" t="s">
        <v>2095</v>
      </c>
      <c r="F959" s="75"/>
      <c r="G959" s="79">
        <v>1018.3373504109587</v>
      </c>
      <c r="H959" s="66">
        <f>G959*1000*Conversion!$A$2</f>
        <v>91528.16105493698</v>
      </c>
      <c r="I959" t="s">
        <v>471</v>
      </c>
      <c r="J959" t="s">
        <v>493</v>
      </c>
      <c r="K959" s="77" t="s">
        <v>494</v>
      </c>
      <c r="N959" s="71"/>
    </row>
    <row r="960" spans="1:14" ht="29" x14ac:dyDescent="0.35">
      <c r="A960" t="str">
        <f>VLOOKUP(C960,Countries!$A$1:$D$205,2,FALSE)</f>
        <v>ESP</v>
      </c>
      <c r="B960" s="71" t="s">
        <v>2285</v>
      </c>
      <c r="C960" t="s">
        <v>284</v>
      </c>
      <c r="D960" s="71" t="s">
        <v>2286</v>
      </c>
      <c r="E960" s="77" t="s">
        <v>2093</v>
      </c>
      <c r="F960" s="75">
        <v>2003</v>
      </c>
      <c r="G960" s="79">
        <v>12.962455320053325</v>
      </c>
      <c r="H960" s="66">
        <f>G960*1000*Conversion!$A$2</f>
        <v>1165.0654841663929</v>
      </c>
      <c r="I960" t="s">
        <v>471</v>
      </c>
      <c r="J960" t="s">
        <v>493</v>
      </c>
      <c r="K960" s="77" t="s">
        <v>494</v>
      </c>
      <c r="N960" s="71" t="s">
        <v>2225</v>
      </c>
    </row>
    <row r="961" spans="1:14" ht="29" x14ac:dyDescent="0.35">
      <c r="A961" t="str">
        <f>VLOOKUP(C961,Countries!$A$1:$D$205,2,FALSE)</f>
        <v>ESP</v>
      </c>
      <c r="B961" s="71" t="s">
        <v>2285</v>
      </c>
      <c r="C961" t="s">
        <v>284</v>
      </c>
      <c r="D961" s="71" t="s">
        <v>2286</v>
      </c>
      <c r="E961" s="77" t="s">
        <v>2117</v>
      </c>
      <c r="F961" s="75"/>
      <c r="G961" s="79">
        <v>6.9975495084547967</v>
      </c>
      <c r="H961" s="66">
        <f>G961*1000*Conversion!$A$2</f>
        <v>628.9397498199171</v>
      </c>
      <c r="I961" t="s">
        <v>471</v>
      </c>
      <c r="J961" t="s">
        <v>493</v>
      </c>
      <c r="K961" s="77" t="s">
        <v>494</v>
      </c>
      <c r="N961" s="71" t="s">
        <v>1251</v>
      </c>
    </row>
    <row r="962" spans="1:14" ht="29" x14ac:dyDescent="0.35">
      <c r="A962" t="str">
        <f>VLOOKUP(C962,Countries!$A$1:$D$205,2,FALSE)</f>
        <v>ESP</v>
      </c>
      <c r="B962" s="71" t="s">
        <v>2287</v>
      </c>
      <c r="C962" t="s">
        <v>284</v>
      </c>
      <c r="D962" s="71" t="s">
        <v>2288</v>
      </c>
      <c r="E962" s="77" t="s">
        <v>2093</v>
      </c>
      <c r="F962" s="75">
        <v>2018</v>
      </c>
      <c r="G962" s="79">
        <v>34.664564860629959</v>
      </c>
      <c r="H962" s="66">
        <f>G962*1000*Conversion!$A$2</f>
        <v>3115.6510896734208</v>
      </c>
      <c r="I962" t="s">
        <v>471</v>
      </c>
      <c r="J962" t="s">
        <v>493</v>
      </c>
      <c r="K962" s="77" t="s">
        <v>494</v>
      </c>
      <c r="N962" s="71" t="s">
        <v>2289</v>
      </c>
    </row>
    <row r="963" spans="1:14" x14ac:dyDescent="0.35">
      <c r="A963" t="str">
        <f>VLOOKUP(C963,Countries!$A$1:$D$205,2,FALSE)</f>
        <v>ESP</v>
      </c>
      <c r="B963" s="71" t="s">
        <v>2290</v>
      </c>
      <c r="C963" t="s">
        <v>284</v>
      </c>
      <c r="D963" s="71" t="s">
        <v>2291</v>
      </c>
      <c r="E963" s="77" t="s">
        <v>2117</v>
      </c>
      <c r="F963" s="75">
        <v>2005</v>
      </c>
      <c r="G963" s="79">
        <v>80.471819347230166</v>
      </c>
      <c r="H963" s="66">
        <f>G963*1000*Conversion!$A$2</f>
        <v>7232.8071229290472</v>
      </c>
      <c r="I963" t="s">
        <v>471</v>
      </c>
      <c r="J963" t="s">
        <v>493</v>
      </c>
      <c r="K963" s="77" t="s">
        <v>494</v>
      </c>
      <c r="N963" s="71"/>
    </row>
    <row r="964" spans="1:14" ht="29" x14ac:dyDescent="0.35">
      <c r="A964" t="str">
        <f>VLOOKUP(C964,Countries!$A$1:$D$205,2,FALSE)</f>
        <v>ESP</v>
      </c>
      <c r="B964" s="71" t="s">
        <v>2290</v>
      </c>
      <c r="C964" t="s">
        <v>284</v>
      </c>
      <c r="D964" s="71" t="s">
        <v>2291</v>
      </c>
      <c r="E964" s="77" t="s">
        <v>2093</v>
      </c>
      <c r="F964" s="75">
        <v>2018</v>
      </c>
      <c r="G964" s="79">
        <v>39</v>
      </c>
      <c r="H964" s="66">
        <f>G964*1000*Conversion!$A$2</f>
        <v>3505.32</v>
      </c>
      <c r="I964" t="s">
        <v>471</v>
      </c>
      <c r="J964" t="s">
        <v>493</v>
      </c>
      <c r="K964" s="77" t="s">
        <v>494</v>
      </c>
      <c r="N964" s="71"/>
    </row>
    <row r="965" spans="1:14" ht="29" x14ac:dyDescent="0.35">
      <c r="A965" t="str">
        <f>VLOOKUP(C965,Countries!$A$1:$D$205,2,FALSE)</f>
        <v>ESP</v>
      </c>
      <c r="B965" s="71" t="s">
        <v>2292</v>
      </c>
      <c r="C965" t="s">
        <v>284</v>
      </c>
      <c r="D965" s="71" t="s">
        <v>2291</v>
      </c>
      <c r="E965" s="77" t="s">
        <v>2093</v>
      </c>
      <c r="F965" s="75">
        <v>2018</v>
      </c>
      <c r="G965" s="79">
        <v>126.52566174129934</v>
      </c>
      <c r="H965" s="66">
        <f>G965*1000*Conversion!$A$2</f>
        <v>11372.126477307986</v>
      </c>
      <c r="I965" t="s">
        <v>471</v>
      </c>
      <c r="J965" t="s">
        <v>493</v>
      </c>
      <c r="K965" s="77" t="s">
        <v>494</v>
      </c>
      <c r="N965" s="71" t="s">
        <v>2225</v>
      </c>
    </row>
    <row r="966" spans="1:14" ht="29" x14ac:dyDescent="0.35">
      <c r="A966" t="str">
        <f>VLOOKUP(C966,Countries!$A$1:$D$205,2,FALSE)</f>
        <v>ESP</v>
      </c>
      <c r="B966" s="71" t="s">
        <v>2293</v>
      </c>
      <c r="C966" t="s">
        <v>284</v>
      </c>
      <c r="D966" s="71" t="s">
        <v>2294</v>
      </c>
      <c r="E966" s="77" t="s">
        <v>2093</v>
      </c>
      <c r="F966" s="75">
        <v>2020</v>
      </c>
      <c r="G966" s="79">
        <v>51.996847290944935</v>
      </c>
      <c r="H966" s="66">
        <f>G966*1000*Conversion!$A$2</f>
        <v>4673.4766345101307</v>
      </c>
      <c r="I966" t="s">
        <v>471</v>
      </c>
      <c r="J966" t="s">
        <v>493</v>
      </c>
      <c r="K966" s="77" t="s">
        <v>494</v>
      </c>
    </row>
    <row r="967" spans="1:14" ht="43.5" x14ac:dyDescent="0.35">
      <c r="A967" t="str">
        <f>VLOOKUP(C967,Countries!$A$1:$D$205,2,FALSE)</f>
        <v>ESP</v>
      </c>
      <c r="B967" s="71" t="s">
        <v>1957</v>
      </c>
      <c r="C967" t="s">
        <v>284</v>
      </c>
      <c r="D967" s="71" t="s">
        <v>2295</v>
      </c>
      <c r="E967" s="77" t="s">
        <v>2095</v>
      </c>
      <c r="F967" s="75"/>
      <c r="G967" s="79">
        <v>1066.9743581917808</v>
      </c>
      <c r="H967" s="66">
        <f>G967*1000*Conversion!$A$2</f>
        <v>95899.655314277261</v>
      </c>
      <c r="I967" t="s">
        <v>471</v>
      </c>
      <c r="J967" t="s">
        <v>493</v>
      </c>
      <c r="K967" s="77" t="s">
        <v>494</v>
      </c>
    </row>
    <row r="968" spans="1:14" x14ac:dyDescent="0.35">
      <c r="A968" t="str">
        <f>VLOOKUP(C968,Countries!$A$1:$D$205,2,FALSE)</f>
        <v>ESP</v>
      </c>
      <c r="B968" s="71" t="s">
        <v>1591</v>
      </c>
      <c r="C968" t="s">
        <v>284</v>
      </c>
      <c r="D968" s="71" t="s">
        <v>1603</v>
      </c>
      <c r="E968" s="77" t="s">
        <v>2095</v>
      </c>
      <c r="F968" s="75"/>
      <c r="G968" s="79">
        <v>144.39111684931504</v>
      </c>
      <c r="H968" s="66">
        <f>G968*1000*Conversion!$A$2</f>
        <v>12977.873582416436</v>
      </c>
      <c r="I968" t="s">
        <v>471</v>
      </c>
      <c r="J968" t="s">
        <v>493</v>
      </c>
      <c r="K968" s="77" t="s">
        <v>494</v>
      </c>
    </row>
    <row r="969" spans="1:14" x14ac:dyDescent="0.35">
      <c r="A969" t="str">
        <f>VLOOKUP(C969,Countries!$A$1:$D$205,2,FALSE)</f>
        <v>SWE</v>
      </c>
      <c r="B969" s="71" t="s">
        <v>1641</v>
      </c>
      <c r="C969" t="s">
        <v>298</v>
      </c>
      <c r="D969" s="71" t="s">
        <v>2296</v>
      </c>
      <c r="E969" s="77" t="s">
        <v>2095</v>
      </c>
      <c r="G969" s="79">
        <v>949.94155821917798</v>
      </c>
      <c r="H969" s="66">
        <f>G969*1000*Conversion!$A$2</f>
        <v>85380.747252739719</v>
      </c>
      <c r="I969" t="s">
        <v>471</v>
      </c>
      <c r="J969" t="s">
        <v>493</v>
      </c>
      <c r="K969" s="77" t="s">
        <v>494</v>
      </c>
      <c r="N969" s="71"/>
    </row>
    <row r="970" spans="1:14" ht="43.5" x14ac:dyDescent="0.35">
      <c r="A970" t="str">
        <f>VLOOKUP(C970,Countries!$A$1:$D$205,2,FALSE)</f>
        <v>SWE</v>
      </c>
      <c r="B970" s="71" t="s">
        <v>1641</v>
      </c>
      <c r="C970" t="s">
        <v>298</v>
      </c>
      <c r="D970" s="71" t="s">
        <v>2297</v>
      </c>
      <c r="E970" s="77" t="s">
        <v>2093</v>
      </c>
      <c r="G970" s="79">
        <v>103.99369458188987</v>
      </c>
      <c r="H970" s="66">
        <f>G970*1000*Conversion!$A$2</f>
        <v>9346.9532690202614</v>
      </c>
      <c r="I970" t="s">
        <v>471</v>
      </c>
      <c r="J970" t="s">
        <v>493</v>
      </c>
      <c r="K970" s="77" t="s">
        <v>494</v>
      </c>
      <c r="N970" s="71" t="s">
        <v>2298</v>
      </c>
    </row>
    <row r="971" spans="1:14" ht="29" x14ac:dyDescent="0.35">
      <c r="A971" t="str">
        <f>VLOOKUP(C971,Countries!$A$1:$D$205,2,FALSE)</f>
        <v>SWE</v>
      </c>
      <c r="B971" s="71" t="s">
        <v>2299</v>
      </c>
      <c r="C971" t="s">
        <v>298</v>
      </c>
      <c r="D971" s="71" t="s">
        <v>2300</v>
      </c>
      <c r="E971" s="77" t="s">
        <v>2117</v>
      </c>
      <c r="F971">
        <v>1998</v>
      </c>
      <c r="G971" s="79">
        <v>146.94853967755074</v>
      </c>
      <c r="H971" s="66">
        <f>G971*1000*Conversion!$A$2</f>
        <v>13207.734746218262</v>
      </c>
      <c r="I971" t="s">
        <v>471</v>
      </c>
      <c r="J971" t="s">
        <v>493</v>
      </c>
      <c r="K971" s="77" t="s">
        <v>494</v>
      </c>
      <c r="N971" s="71" t="s">
        <v>2301</v>
      </c>
    </row>
    <row r="972" spans="1:14" ht="29" x14ac:dyDescent="0.35">
      <c r="A972" t="str">
        <f>VLOOKUP(C972,Countries!$A$1:$D$205,2,FALSE)</f>
        <v>SWE</v>
      </c>
      <c r="B972" s="71" t="s">
        <v>1610</v>
      </c>
      <c r="C972" t="s">
        <v>298</v>
      </c>
      <c r="D972" s="71" t="s">
        <v>2300</v>
      </c>
      <c r="E972" s="77" t="s">
        <v>2117</v>
      </c>
      <c r="F972">
        <v>2016</v>
      </c>
      <c r="G972" s="79">
        <v>96.21630574125345</v>
      </c>
      <c r="H972" s="66">
        <f>G972*1000*Conversion!$A$2</f>
        <v>8647.9215600238604</v>
      </c>
      <c r="I972" t="s">
        <v>471</v>
      </c>
      <c r="J972" t="s">
        <v>493</v>
      </c>
      <c r="K972" s="77" t="s">
        <v>494</v>
      </c>
      <c r="N972" s="71" t="s">
        <v>2301</v>
      </c>
    </row>
    <row r="973" spans="1:14" x14ac:dyDescent="0.35">
      <c r="A973" t="str">
        <f>VLOOKUP(C973,Countries!$A$1:$D$205,2,FALSE)</f>
        <v>SWE</v>
      </c>
      <c r="B973" s="71" t="s">
        <v>1623</v>
      </c>
      <c r="C973" t="s">
        <v>298</v>
      </c>
      <c r="D973" s="71" t="s">
        <v>2302</v>
      </c>
      <c r="E973" s="77" t="s">
        <v>2098</v>
      </c>
      <c r="G973" s="79">
        <v>863</v>
      </c>
      <c r="H973" s="66">
        <f>G973*1000*Conversion!$A$2</f>
        <v>77566.44</v>
      </c>
      <c r="I973" t="s">
        <v>471</v>
      </c>
      <c r="J973" t="s">
        <v>493</v>
      </c>
      <c r="K973" s="77" t="s">
        <v>503</v>
      </c>
      <c r="N973" s="71" t="s">
        <v>2303</v>
      </c>
    </row>
    <row r="974" spans="1:14" x14ac:dyDescent="0.35">
      <c r="A974" t="str">
        <f>VLOOKUP(C974,Countries!$A$1:$D$205,2,FALSE)</f>
        <v>SWE</v>
      </c>
      <c r="B974" s="71" t="s">
        <v>2304</v>
      </c>
      <c r="C974" t="s">
        <v>298</v>
      </c>
      <c r="D974" s="71" t="s">
        <v>2302</v>
      </c>
      <c r="E974" s="77" t="s">
        <v>2098</v>
      </c>
      <c r="G974" s="79">
        <v>538</v>
      </c>
      <c r="H974" s="66">
        <f>G974*1000*Conversion!$A$2</f>
        <v>48355.44</v>
      </c>
      <c r="I974" t="s">
        <v>471</v>
      </c>
      <c r="J974" t="s">
        <v>493</v>
      </c>
      <c r="K974" s="77" t="s">
        <v>503</v>
      </c>
      <c r="N974" s="71" t="s">
        <v>2303</v>
      </c>
    </row>
    <row r="975" spans="1:14" ht="29" x14ac:dyDescent="0.35">
      <c r="A975" t="str">
        <f>VLOOKUP(C975,Countries!$A$1:$D$205,2,FALSE)</f>
        <v>CHE</v>
      </c>
      <c r="B975" s="71" t="s">
        <v>2305</v>
      </c>
      <c r="C975" t="s">
        <v>437</v>
      </c>
      <c r="D975" s="71" t="s">
        <v>2306</v>
      </c>
      <c r="E975" s="77" t="s">
        <v>2093</v>
      </c>
      <c r="F975">
        <v>2017</v>
      </c>
      <c r="G975" s="79">
        <v>35</v>
      </c>
      <c r="H975" s="66">
        <f>G975*1000*Conversion!$A$2</f>
        <v>3145.8</v>
      </c>
      <c r="I975" t="s">
        <v>471</v>
      </c>
      <c r="J975" t="s">
        <v>493</v>
      </c>
      <c r="K975" s="77" t="s">
        <v>494</v>
      </c>
      <c r="N975" s="71" t="s">
        <v>2307</v>
      </c>
    </row>
    <row r="976" spans="1:14" x14ac:dyDescent="0.35">
      <c r="A976" t="str">
        <f>VLOOKUP(C976,Countries!$A$1:$D$205,2,FALSE)</f>
        <v>CHE</v>
      </c>
      <c r="B976" s="71" t="s">
        <v>1650</v>
      </c>
      <c r="C976" t="s">
        <v>437</v>
      </c>
      <c r="D976" s="71" t="s">
        <v>1651</v>
      </c>
      <c r="E976" s="77" t="s">
        <v>2095</v>
      </c>
      <c r="G976" s="79">
        <v>46</v>
      </c>
      <c r="H976" s="66">
        <f>G976*1000*Conversion!$A$2</f>
        <v>4134.4800000000005</v>
      </c>
      <c r="I976" t="s">
        <v>471</v>
      </c>
      <c r="J976" t="s">
        <v>493</v>
      </c>
      <c r="K976" s="77" t="s">
        <v>494</v>
      </c>
      <c r="N976" s="71"/>
    </row>
    <row r="977" spans="1:14" ht="29" x14ac:dyDescent="0.35">
      <c r="A977" t="str">
        <f>VLOOKUP(C977,Countries!$A$1:$D$205,2,FALSE)</f>
        <v>GBR</v>
      </c>
      <c r="B977" s="71" t="s">
        <v>2308</v>
      </c>
      <c r="C977" t="s">
        <v>449</v>
      </c>
      <c r="D977" s="71" t="s">
        <v>2309</v>
      </c>
      <c r="E977" s="77" t="s">
        <v>2093</v>
      </c>
      <c r="F977" s="75"/>
      <c r="G977" s="79">
        <v>6</v>
      </c>
      <c r="H977" s="66">
        <f>G977*1000*Conversion!$A$2</f>
        <v>539.28</v>
      </c>
      <c r="I977" t="s">
        <v>471</v>
      </c>
      <c r="J977" t="s">
        <v>493</v>
      </c>
      <c r="K977" s="77" t="s">
        <v>494</v>
      </c>
      <c r="N977" s="71" t="s">
        <v>1251</v>
      </c>
    </row>
    <row r="978" spans="1:14" ht="29" x14ac:dyDescent="0.35">
      <c r="A978" t="str">
        <f>VLOOKUP(C978,Countries!$A$1:$D$205,2,FALSE)</f>
        <v>GBR</v>
      </c>
      <c r="B978" s="71" t="s">
        <v>2310</v>
      </c>
      <c r="C978" t="s">
        <v>449</v>
      </c>
      <c r="D978" s="71" t="s">
        <v>2311</v>
      </c>
      <c r="E978" s="77" t="s">
        <v>2098</v>
      </c>
      <c r="F978" s="75"/>
      <c r="G978" s="79">
        <v>1825</v>
      </c>
      <c r="H978" s="66">
        <f>G978*1000*Conversion!$A$2</f>
        <v>164031</v>
      </c>
      <c r="I978" t="s">
        <v>471</v>
      </c>
      <c r="J978" t="s">
        <v>493</v>
      </c>
      <c r="K978" s="77" t="s">
        <v>503</v>
      </c>
      <c r="N978" s="71" t="s">
        <v>2312</v>
      </c>
    </row>
    <row r="979" spans="1:14" ht="29" x14ac:dyDescent="0.35">
      <c r="A979" t="str">
        <f>VLOOKUP(C979,Countries!$A$1:$D$205,2,FALSE)</f>
        <v>GBR</v>
      </c>
      <c r="B979" s="71" t="s">
        <v>2313</v>
      </c>
      <c r="C979" t="s">
        <v>449</v>
      </c>
      <c r="D979" s="71" t="s">
        <v>2311</v>
      </c>
      <c r="E979" s="77" t="s">
        <v>2098</v>
      </c>
      <c r="F979" s="75"/>
      <c r="G979" s="79">
        <v>1763</v>
      </c>
      <c r="H979" s="66">
        <f>G979*1000*Conversion!$A$2</f>
        <v>158458.44</v>
      </c>
      <c r="I979" t="s">
        <v>471</v>
      </c>
      <c r="J979" t="s">
        <v>493</v>
      </c>
      <c r="K979" s="77" t="s">
        <v>503</v>
      </c>
      <c r="N979" s="71" t="s">
        <v>2314</v>
      </c>
    </row>
    <row r="980" spans="1:14" ht="29" x14ac:dyDescent="0.35">
      <c r="A980" t="str">
        <f>VLOOKUP(C980,Countries!$A$1:$D$205,2,FALSE)</f>
        <v>GBR</v>
      </c>
      <c r="B980" s="71" t="s">
        <v>2065</v>
      </c>
      <c r="C980" t="s">
        <v>449</v>
      </c>
      <c r="D980" s="71" t="s">
        <v>2311</v>
      </c>
      <c r="E980" s="77" t="s">
        <v>2098</v>
      </c>
      <c r="F980" s="75"/>
      <c r="G980" s="79">
        <v>2500</v>
      </c>
      <c r="H980" s="66">
        <f>G980*1000*Conversion!$A$2</f>
        <v>224700</v>
      </c>
      <c r="I980" t="s">
        <v>471</v>
      </c>
      <c r="J980" t="s">
        <v>493</v>
      </c>
      <c r="K980" s="77" t="s">
        <v>503</v>
      </c>
      <c r="N980" s="71" t="s">
        <v>2312</v>
      </c>
    </row>
    <row r="981" spans="1:14" ht="29" x14ac:dyDescent="0.35">
      <c r="A981" t="str">
        <f>VLOOKUP(C981,Countries!$A$1:$D$205,2,FALSE)</f>
        <v>GBR</v>
      </c>
      <c r="B981" s="71" t="s">
        <v>2315</v>
      </c>
      <c r="C981" t="s">
        <v>449</v>
      </c>
      <c r="D981" s="71" t="s">
        <v>2316</v>
      </c>
      <c r="E981" s="77" t="s">
        <v>2095</v>
      </c>
      <c r="F981" s="75"/>
      <c r="G981" s="79">
        <v>1945.5773603770017</v>
      </c>
      <c r="H981" s="66">
        <f>G981*1000*Conversion!$A$2</f>
        <v>174868.49315068492</v>
      </c>
      <c r="I981" t="s">
        <v>471</v>
      </c>
      <c r="J981" t="s">
        <v>493</v>
      </c>
      <c r="K981" s="77" t="s">
        <v>494</v>
      </c>
      <c r="N981" s="71"/>
    </row>
    <row r="982" spans="1:14" ht="29" x14ac:dyDescent="0.35">
      <c r="A982" t="str">
        <f>VLOOKUP(C982,Countries!$A$1:$D$205,2,FALSE)</f>
        <v>GBR</v>
      </c>
      <c r="B982" s="71" t="s">
        <v>2317</v>
      </c>
      <c r="C982" t="s">
        <v>449</v>
      </c>
      <c r="D982" s="71" t="s">
        <v>2318</v>
      </c>
      <c r="E982" s="77" t="s">
        <v>2093</v>
      </c>
      <c r="F982" s="78">
        <v>2017</v>
      </c>
      <c r="G982" s="79">
        <v>24.26519540244097</v>
      </c>
      <c r="H982" s="66">
        <f>G982*1000*Conversion!$A$2</f>
        <v>2180.9557627713943</v>
      </c>
      <c r="I982" t="s">
        <v>471</v>
      </c>
      <c r="J982" t="s">
        <v>493</v>
      </c>
      <c r="K982" s="77" t="s">
        <v>494</v>
      </c>
      <c r="N982" s="71"/>
    </row>
    <row r="983" spans="1:14" ht="29" x14ac:dyDescent="0.35">
      <c r="A983" t="str">
        <f>VLOOKUP(C983,Countries!$A$1:$D$205,2,FALSE)</f>
        <v>GBR</v>
      </c>
      <c r="B983" s="71" t="s">
        <v>2319</v>
      </c>
      <c r="C983" t="s">
        <v>449</v>
      </c>
      <c r="D983" s="71" t="s">
        <v>2320</v>
      </c>
      <c r="E983" s="77" t="s">
        <v>2093</v>
      </c>
      <c r="F983" s="78">
        <v>2001</v>
      </c>
      <c r="G983" s="79">
        <v>186.322036125886</v>
      </c>
      <c r="H983" s="66">
        <f>G983*1000*Conversion!$A$2</f>
        <v>16746.624606994632</v>
      </c>
      <c r="I983" t="s">
        <v>471</v>
      </c>
      <c r="J983" t="s">
        <v>493</v>
      </c>
      <c r="K983" s="77" t="s">
        <v>1694</v>
      </c>
      <c r="N983" s="71" t="s">
        <v>1538</v>
      </c>
    </row>
    <row r="984" spans="1:14" ht="43.5" x14ac:dyDescent="0.35">
      <c r="A984" t="str">
        <f>VLOOKUP(C984,Countries!$A$1:$D$205,2,FALSE)</f>
        <v>GBR</v>
      </c>
      <c r="B984" s="71" t="s">
        <v>1666</v>
      </c>
      <c r="C984" t="s">
        <v>449</v>
      </c>
      <c r="D984" s="71" t="s">
        <v>1667</v>
      </c>
      <c r="E984" s="77" t="s">
        <v>2095</v>
      </c>
      <c r="F984" s="78">
        <v>2000</v>
      </c>
      <c r="G984" s="79">
        <v>1109.5317399999999</v>
      </c>
      <c r="H984" s="66">
        <f>G984*1000*Conversion!$A$2</f>
        <v>99724.7127912</v>
      </c>
      <c r="I984" t="s">
        <v>471</v>
      </c>
      <c r="J984" t="s">
        <v>493</v>
      </c>
      <c r="K984" s="77" t="s">
        <v>494</v>
      </c>
      <c r="N984" s="71" t="s">
        <v>1668</v>
      </c>
    </row>
    <row r="985" spans="1:14" ht="29" x14ac:dyDescent="0.35">
      <c r="A985" t="str">
        <f>VLOOKUP(C985,Countries!$A$1:$D$205,2,FALSE)</f>
        <v>GBR</v>
      </c>
      <c r="B985" s="71" t="s">
        <v>2321</v>
      </c>
      <c r="C985" t="s">
        <v>449</v>
      </c>
      <c r="D985" s="71" t="s">
        <v>2322</v>
      </c>
      <c r="E985" s="77" t="s">
        <v>2095</v>
      </c>
      <c r="F985" s="78">
        <v>2000</v>
      </c>
      <c r="G985" s="79">
        <v>1314.7191165753422</v>
      </c>
      <c r="H985" s="66">
        <f>G985*1000*Conversion!$A$2</f>
        <v>118166.95419779175</v>
      </c>
      <c r="I985" t="s">
        <v>471</v>
      </c>
      <c r="J985" t="s">
        <v>493</v>
      </c>
      <c r="K985" s="77" t="s">
        <v>494</v>
      </c>
      <c r="N985" s="71" t="s">
        <v>2323</v>
      </c>
    </row>
    <row r="986" spans="1:14" ht="43.5" x14ac:dyDescent="0.35">
      <c r="A986" t="str">
        <f>VLOOKUP(C986,Countries!$A$1:$D$205,2,FALSE)</f>
        <v>GBR</v>
      </c>
      <c r="B986" s="71" t="s">
        <v>2319</v>
      </c>
      <c r="C986" t="s">
        <v>449</v>
      </c>
      <c r="D986" s="71" t="s">
        <v>2113</v>
      </c>
      <c r="E986" s="77" t="s">
        <v>2093</v>
      </c>
      <c r="F986" s="78">
        <v>2015</v>
      </c>
      <c r="G986" s="79">
        <v>186.322036125886</v>
      </c>
      <c r="H986" s="66">
        <f>G986*1000*Conversion!$A$2</f>
        <v>16746.624606994632</v>
      </c>
      <c r="I986" t="s">
        <v>471</v>
      </c>
      <c r="J986" t="s">
        <v>493</v>
      </c>
      <c r="K986" s="77" t="s">
        <v>1694</v>
      </c>
      <c r="N986" s="71" t="s">
        <v>2324</v>
      </c>
    </row>
    <row r="987" spans="1:14" ht="29" x14ac:dyDescent="0.35">
      <c r="A987" t="str">
        <f>VLOOKUP(C987,Countries!$A$1:$D$205,2,FALSE)</f>
        <v>BEL</v>
      </c>
      <c r="B987" s="71" t="s">
        <v>1214</v>
      </c>
      <c r="C987" t="s">
        <v>46</v>
      </c>
      <c r="D987" s="71" t="s">
        <v>724</v>
      </c>
      <c r="E987" s="77" t="s">
        <v>502</v>
      </c>
      <c r="F987" s="78">
        <v>2025</v>
      </c>
      <c r="G987" s="79">
        <v>533</v>
      </c>
      <c r="H987" s="66">
        <f>G987*1000*Conversion!$A$2</f>
        <v>47906.04</v>
      </c>
      <c r="I987" t="s">
        <v>471</v>
      </c>
      <c r="J987" t="s">
        <v>569</v>
      </c>
      <c r="K987" s="77" t="s">
        <v>1694</v>
      </c>
      <c r="N987" s="77" t="s">
        <v>2325</v>
      </c>
    </row>
    <row r="988" spans="1:14" x14ac:dyDescent="0.35">
      <c r="A988" t="str">
        <f>VLOOKUP(C988,Countries!$A$1:$D$205,2,FALSE)</f>
        <v>FRA</v>
      </c>
      <c r="B988" s="71" t="s">
        <v>2326</v>
      </c>
      <c r="C988" t="s">
        <v>132</v>
      </c>
      <c r="D988" s="71" t="s">
        <v>469</v>
      </c>
      <c r="E988" s="77" t="s">
        <v>261</v>
      </c>
      <c r="F988" s="78">
        <v>1988</v>
      </c>
      <c r="G988" s="79">
        <v>117</v>
      </c>
      <c r="H988" s="66">
        <f>G988*1000*Conversion!$A$2</f>
        <v>10515.960000000001</v>
      </c>
      <c r="I988" t="s">
        <v>471</v>
      </c>
      <c r="J988" t="s">
        <v>569</v>
      </c>
      <c r="K988" s="77" t="s">
        <v>1472</v>
      </c>
      <c r="N988" s="77" t="s">
        <v>2327</v>
      </c>
    </row>
    <row r="989" spans="1:14" ht="29" x14ac:dyDescent="0.35">
      <c r="A989" t="str">
        <f>VLOOKUP(C989,Countries!$A$1:$D$205,2,FALSE)</f>
        <v>DEU</v>
      </c>
      <c r="B989" s="71" t="s">
        <v>1351</v>
      </c>
      <c r="C989" t="s">
        <v>142</v>
      </c>
      <c r="D989" s="71" t="s">
        <v>639</v>
      </c>
      <c r="E989" s="77" t="s">
        <v>1250</v>
      </c>
      <c r="F989" s="78">
        <v>1992</v>
      </c>
      <c r="G989" s="79">
        <v>49</v>
      </c>
      <c r="H989" s="66">
        <f>G989*1000*Conversion!$A$2</f>
        <v>4404.12</v>
      </c>
      <c r="I989" t="s">
        <v>471</v>
      </c>
      <c r="J989" t="s">
        <v>569</v>
      </c>
      <c r="K989" s="77" t="s">
        <v>487</v>
      </c>
      <c r="N989" s="83" t="s">
        <v>2328</v>
      </c>
    </row>
    <row r="990" spans="1:14" ht="29" x14ac:dyDescent="0.35">
      <c r="A990" t="str">
        <f>VLOOKUP(C990,Countries!$A$1:$D$205,2,FALSE)</f>
        <v>DEU</v>
      </c>
      <c r="B990" s="71" t="s">
        <v>1347</v>
      </c>
      <c r="C990" t="s">
        <v>142</v>
      </c>
      <c r="D990" s="71" t="s">
        <v>639</v>
      </c>
      <c r="E990" s="77" t="s">
        <v>261</v>
      </c>
      <c r="F990" s="78">
        <v>2021</v>
      </c>
      <c r="G990" s="79">
        <v>111</v>
      </c>
      <c r="H990" s="66">
        <f>G990*1000*Conversion!$A$2</f>
        <v>9976.68</v>
      </c>
      <c r="I990" t="s">
        <v>471</v>
      </c>
      <c r="J990" t="s">
        <v>569</v>
      </c>
      <c r="K990" s="77" t="s">
        <v>487</v>
      </c>
      <c r="N990" s="82" t="s">
        <v>2329</v>
      </c>
    </row>
    <row r="991" spans="1:14" ht="43.5" x14ac:dyDescent="0.35">
      <c r="A991" t="str">
        <f>VLOOKUP(C991,Countries!$A$1:$D$205,2,FALSE)</f>
        <v>NLD</v>
      </c>
      <c r="B991" s="80" t="s">
        <v>2330</v>
      </c>
      <c r="C991" t="s">
        <v>226</v>
      </c>
      <c r="D991" s="71" t="s">
        <v>525</v>
      </c>
      <c r="E991" s="77" t="s">
        <v>261</v>
      </c>
      <c r="F991" s="78">
        <v>2025</v>
      </c>
      <c r="G991" s="79">
        <v>60</v>
      </c>
      <c r="H991" s="66">
        <f>G991*1000*Conversion!$A$2</f>
        <v>5392.8</v>
      </c>
      <c r="I991" t="s">
        <v>471</v>
      </c>
      <c r="J991" t="s">
        <v>569</v>
      </c>
      <c r="K991" s="77" t="s">
        <v>1472</v>
      </c>
      <c r="N991" s="80" t="s">
        <v>2331</v>
      </c>
    </row>
    <row r="992" spans="1:14" ht="43.5" x14ac:dyDescent="0.35">
      <c r="A992" t="str">
        <f>VLOOKUP(C992,Countries!$A$1:$D$205,2,FALSE)</f>
        <v>PRT</v>
      </c>
      <c r="B992" s="81" t="s">
        <v>1561</v>
      </c>
      <c r="C992" t="s">
        <v>250</v>
      </c>
      <c r="D992" t="s">
        <v>2332</v>
      </c>
      <c r="E992" s="77" t="s">
        <v>502</v>
      </c>
      <c r="F992" s="78">
        <v>2030</v>
      </c>
      <c r="G992" s="79">
        <v>533</v>
      </c>
      <c r="H992" s="66">
        <f>G992*1000*Conversion!$A$2</f>
        <v>47906.04</v>
      </c>
      <c r="I992" t="s">
        <v>471</v>
      </c>
      <c r="J992" t="s">
        <v>569</v>
      </c>
      <c r="K992" s="77" t="s">
        <v>1779</v>
      </c>
      <c r="N992" s="77" t="s">
        <v>2333</v>
      </c>
    </row>
    <row r="993" spans="1:14" ht="29" x14ac:dyDescent="0.35">
      <c r="A993" t="str">
        <f>VLOOKUP(C993,Countries!$A$1:$D$205,2,FALSE)</f>
        <v>OMN</v>
      </c>
      <c r="B993" s="86" t="s">
        <v>2334</v>
      </c>
      <c r="C993" t="s">
        <v>418</v>
      </c>
      <c r="D993" s="84" t="s">
        <v>2335</v>
      </c>
      <c r="E993" s="77" t="s">
        <v>502</v>
      </c>
      <c r="F993" s="78">
        <v>2025</v>
      </c>
      <c r="G993" s="79">
        <v>1333</v>
      </c>
      <c r="H993" s="66">
        <f>G993*1000*Conversion!$A$2</f>
        <v>119810.04000000001</v>
      </c>
      <c r="I993" t="s">
        <v>471</v>
      </c>
      <c r="J993" t="s">
        <v>472</v>
      </c>
      <c r="K993" s="77" t="s">
        <v>1779</v>
      </c>
      <c r="N993" s="84" t="s">
        <v>2336</v>
      </c>
    </row>
    <row r="994" spans="1:14" ht="29" x14ac:dyDescent="0.35">
      <c r="A994" t="str">
        <f>VLOOKUP(C994,Countries!$A$1:$D$205,2,FALSE)</f>
        <v>OMN</v>
      </c>
      <c r="B994" s="86" t="s">
        <v>2337</v>
      </c>
      <c r="C994" t="s">
        <v>418</v>
      </c>
      <c r="D994" s="84" t="s">
        <v>2338</v>
      </c>
      <c r="E994" s="77" t="s">
        <v>502</v>
      </c>
      <c r="F994" s="78">
        <v>2029</v>
      </c>
      <c r="G994" s="79">
        <v>6400</v>
      </c>
      <c r="H994" s="66">
        <f>G994*1000*Conversion!$A$2</f>
        <v>575232</v>
      </c>
      <c r="I994" t="s">
        <v>471</v>
      </c>
      <c r="J994" t="s">
        <v>472</v>
      </c>
      <c r="K994" s="77" t="s">
        <v>1779</v>
      </c>
      <c r="N994" s="84" t="s">
        <v>2339</v>
      </c>
    </row>
    <row r="995" spans="1:14" ht="18" x14ac:dyDescent="0.35">
      <c r="A995" t="str">
        <f>VLOOKUP(C995,Countries!$A$1:$D$205,2,FALSE)</f>
        <v>QAT</v>
      </c>
      <c r="B995" s="84" t="s">
        <v>2340</v>
      </c>
      <c r="C995" t="s">
        <v>420</v>
      </c>
      <c r="D995" s="84" t="s">
        <v>2341</v>
      </c>
      <c r="E995" s="77" t="s">
        <v>261</v>
      </c>
      <c r="F995" s="78">
        <v>2014</v>
      </c>
      <c r="G995" s="79">
        <v>18</v>
      </c>
      <c r="H995" s="66">
        <f>G995*1000*Conversion!$A$2</f>
        <v>1617.84</v>
      </c>
      <c r="I995" t="s">
        <v>471</v>
      </c>
      <c r="J995" t="s">
        <v>472</v>
      </c>
      <c r="K995" s="77" t="s">
        <v>494</v>
      </c>
      <c r="N995" s="84" t="s">
        <v>2342</v>
      </c>
    </row>
    <row r="996" spans="1:14" ht="43.5" x14ac:dyDescent="0.35">
      <c r="A996" t="str">
        <f>VLOOKUP(C996,Countries!$A$1:$D$205,2,FALSE)</f>
        <v>QAT</v>
      </c>
      <c r="B996" s="84" t="s">
        <v>2343</v>
      </c>
      <c r="C996" t="s">
        <v>420</v>
      </c>
      <c r="D996" s="84" t="s">
        <v>2341</v>
      </c>
      <c r="E996" s="77" t="s">
        <v>261</v>
      </c>
      <c r="F996" s="78">
        <v>2014</v>
      </c>
      <c r="G996" s="79">
        <v>8160</v>
      </c>
      <c r="H996" s="66">
        <f>G996*1000*Conversion!$A$2</f>
        <v>733420.8</v>
      </c>
      <c r="I996" t="s">
        <v>471</v>
      </c>
      <c r="J996" t="s">
        <v>472</v>
      </c>
      <c r="K996" s="77" t="s">
        <v>494</v>
      </c>
      <c r="N996" s="87" t="s">
        <v>2344</v>
      </c>
    </row>
    <row r="997" spans="1:14" ht="27" x14ac:dyDescent="0.35">
      <c r="A997" t="str">
        <f>VLOOKUP(C997,Countries!$A$1:$D$205,2,FALSE)</f>
        <v>SAU</v>
      </c>
      <c r="B997" s="84" t="s">
        <v>2345</v>
      </c>
      <c r="C997" t="s">
        <v>425</v>
      </c>
      <c r="D997" s="84" t="s">
        <v>2346</v>
      </c>
      <c r="E997" s="77" t="s">
        <v>261</v>
      </c>
      <c r="F997" s="78">
        <v>2015</v>
      </c>
      <c r="H997" s="66">
        <f>G997*1000*Conversion!$A$2</f>
        <v>0</v>
      </c>
      <c r="I997" t="s">
        <v>471</v>
      </c>
      <c r="J997" t="s">
        <v>472</v>
      </c>
      <c r="K997" s="77" t="s">
        <v>483</v>
      </c>
      <c r="N997" s="84" t="s">
        <v>2347</v>
      </c>
    </row>
    <row r="998" spans="1:14" x14ac:dyDescent="0.35">
      <c r="A998" t="str">
        <f>VLOOKUP(C998,Countries!$A$1:$D$205,2,FALSE)</f>
        <v>SAU</v>
      </c>
      <c r="B998" s="84" t="s">
        <v>2348</v>
      </c>
      <c r="C998" t="s">
        <v>425</v>
      </c>
      <c r="D998" s="84" t="s">
        <v>2349</v>
      </c>
      <c r="E998" s="77" t="s">
        <v>261</v>
      </c>
      <c r="F998" s="78">
        <v>2023</v>
      </c>
      <c r="H998" s="66">
        <f>G998*1000*Conversion!$A$2</f>
        <v>0</v>
      </c>
      <c r="I998" t="s">
        <v>471</v>
      </c>
      <c r="J998" t="s">
        <v>472</v>
      </c>
      <c r="K998" s="77" t="s">
        <v>1472</v>
      </c>
      <c r="N998" s="84"/>
    </row>
    <row r="999" spans="1:14" ht="18" x14ac:dyDescent="0.35">
      <c r="A999" t="str">
        <f>VLOOKUP(C999,Countries!$A$1:$D$205,2,FALSE)</f>
        <v>SAU</v>
      </c>
      <c r="B999" s="84" t="s">
        <v>2348</v>
      </c>
      <c r="C999" t="s">
        <v>425</v>
      </c>
      <c r="D999" s="84" t="s">
        <v>2350</v>
      </c>
      <c r="E999" s="77" t="s">
        <v>261</v>
      </c>
      <c r="F999" s="78">
        <v>1984</v>
      </c>
      <c r="H999" s="66">
        <f>G999*1000*Conversion!$A$2</f>
        <v>0</v>
      </c>
      <c r="I999" t="s">
        <v>471</v>
      </c>
      <c r="J999" t="s">
        <v>472</v>
      </c>
      <c r="K999" s="77" t="s">
        <v>1472</v>
      </c>
      <c r="N999" s="84" t="s">
        <v>2351</v>
      </c>
    </row>
    <row r="1000" spans="1:14" ht="18" x14ac:dyDescent="0.35">
      <c r="A1000" t="str">
        <f>VLOOKUP(C1000,Countries!$A$1:$D$205,2,FALSE)</f>
        <v>TUR</v>
      </c>
      <c r="B1000" s="84" t="s">
        <v>2352</v>
      </c>
      <c r="C1000" t="s">
        <v>314</v>
      </c>
      <c r="D1000" s="84" t="s">
        <v>2353</v>
      </c>
      <c r="E1000" s="77" t="s">
        <v>502</v>
      </c>
      <c r="F1000" s="78">
        <v>2007</v>
      </c>
      <c r="G1000">
        <v>5</v>
      </c>
      <c r="H1000" s="66">
        <f>G1000*1000*Conversion!$A$2</f>
        <v>449.40000000000003</v>
      </c>
      <c r="I1000" t="s">
        <v>471</v>
      </c>
      <c r="J1000" t="s">
        <v>472</v>
      </c>
      <c r="K1000" s="77" t="s">
        <v>1472</v>
      </c>
      <c r="N1000" s="84" t="s">
        <v>1718</v>
      </c>
    </row>
    <row r="1001" spans="1:14" ht="18" x14ac:dyDescent="0.35">
      <c r="A1001" t="str">
        <f>VLOOKUP(C1001,Countries!$A$1:$D$205,2,FALSE)</f>
        <v>TUR</v>
      </c>
      <c r="B1001" s="84" t="s">
        <v>2354</v>
      </c>
      <c r="C1001" t="s">
        <v>314</v>
      </c>
      <c r="D1001" s="84" t="s">
        <v>2353</v>
      </c>
      <c r="E1001" s="77" t="s">
        <v>261</v>
      </c>
      <c r="F1001" s="78">
        <v>2007</v>
      </c>
      <c r="G1001">
        <v>8</v>
      </c>
      <c r="H1001" s="66">
        <f>G1001*1000*Conversion!$A$2</f>
        <v>719.04</v>
      </c>
      <c r="I1001" t="s">
        <v>471</v>
      </c>
      <c r="J1001" t="s">
        <v>472</v>
      </c>
      <c r="K1001" s="77" t="s">
        <v>1472</v>
      </c>
      <c r="N1001" s="84" t="s">
        <v>2355</v>
      </c>
    </row>
    <row r="1002" spans="1:14" ht="18" x14ac:dyDescent="0.35">
      <c r="A1002" t="str">
        <f>VLOOKUP(C1002,Countries!$A$1:$D$205,2,FALSE)</f>
        <v>BHR</v>
      </c>
      <c r="B1002" s="84" t="s">
        <v>2356</v>
      </c>
      <c r="C1002" t="s">
        <v>358</v>
      </c>
      <c r="D1002" s="84" t="s">
        <v>2357</v>
      </c>
      <c r="E1002" s="77" t="s">
        <v>1486</v>
      </c>
      <c r="F1002" s="78">
        <v>2007</v>
      </c>
      <c r="G1002">
        <v>482</v>
      </c>
      <c r="H1002" s="66">
        <f>G1002*1000*Conversion!$A$2</f>
        <v>43322.16</v>
      </c>
      <c r="I1002" t="s">
        <v>731</v>
      </c>
      <c r="J1002" t="s">
        <v>472</v>
      </c>
      <c r="K1002" s="77" t="s">
        <v>483</v>
      </c>
    </row>
    <row r="1003" spans="1:14" ht="18" x14ac:dyDescent="0.35">
      <c r="A1003" t="str">
        <f>VLOOKUP(C1003,Countries!$A$1:$D$205,2,FALSE)</f>
        <v>BHR</v>
      </c>
      <c r="B1003" s="84" t="s">
        <v>2356</v>
      </c>
      <c r="C1003" t="s">
        <v>358</v>
      </c>
      <c r="D1003" s="84" t="s">
        <v>2357</v>
      </c>
      <c r="E1003" s="77" t="s">
        <v>261</v>
      </c>
      <c r="F1003" s="78">
        <v>2007</v>
      </c>
      <c r="G1003">
        <v>3795</v>
      </c>
      <c r="H1003" s="66">
        <f>G1003*1000*Conversion!$A$2</f>
        <v>341094.60000000003</v>
      </c>
      <c r="I1003" t="s">
        <v>731</v>
      </c>
      <c r="J1003" t="s">
        <v>472</v>
      </c>
      <c r="K1003" s="77" t="s">
        <v>483</v>
      </c>
    </row>
    <row r="1004" spans="1:14" ht="18" x14ac:dyDescent="0.35">
      <c r="A1004" t="str">
        <f>VLOOKUP(C1004,Countries!$A$1:$D$205,2,FALSE)</f>
        <v>IRN</v>
      </c>
      <c r="B1004" s="84" t="s">
        <v>2358</v>
      </c>
      <c r="C1004" t="s">
        <v>387</v>
      </c>
      <c r="D1004" s="84" t="s">
        <v>2359</v>
      </c>
      <c r="E1004" s="88" t="s">
        <v>1250</v>
      </c>
      <c r="F1004" s="90">
        <v>2016</v>
      </c>
      <c r="G1004" s="92">
        <v>312</v>
      </c>
      <c r="H1004" s="66">
        <f>G1004*1000*Conversion!$A$2</f>
        <v>28042.560000000001</v>
      </c>
      <c r="I1004" t="s">
        <v>731</v>
      </c>
      <c r="J1004" t="s">
        <v>472</v>
      </c>
      <c r="K1004" s="77" t="s">
        <v>483</v>
      </c>
      <c r="N1004" s="84" t="s">
        <v>2360</v>
      </c>
    </row>
    <row r="1005" spans="1:14" ht="18" x14ac:dyDescent="0.35">
      <c r="A1005" t="str">
        <f>VLOOKUP(C1005,Countries!$A$1:$D$205,2,FALSE)</f>
        <v>IRN</v>
      </c>
      <c r="B1005" s="84" t="s">
        <v>2361</v>
      </c>
      <c r="C1005" t="s">
        <v>387</v>
      </c>
      <c r="D1005" s="84" t="s">
        <v>2362</v>
      </c>
      <c r="E1005" s="88" t="s">
        <v>261</v>
      </c>
      <c r="F1005" s="90">
        <v>2007</v>
      </c>
      <c r="G1005" s="92">
        <v>4475.16</v>
      </c>
      <c r="H1005" s="66">
        <f>G1005*1000*Conversion!$A$2</f>
        <v>402227.38079999998</v>
      </c>
      <c r="I1005" t="s">
        <v>731</v>
      </c>
      <c r="J1005" t="s">
        <v>472</v>
      </c>
      <c r="K1005" s="77" t="s">
        <v>483</v>
      </c>
      <c r="N1005" s="84" t="s">
        <v>2363</v>
      </c>
    </row>
    <row r="1006" spans="1:14" ht="18" x14ac:dyDescent="0.35">
      <c r="A1006" t="str">
        <f>VLOOKUP(C1006,Countries!$A$1:$D$205,2,FALSE)</f>
        <v>IRN</v>
      </c>
      <c r="B1006" s="84" t="s">
        <v>2364</v>
      </c>
      <c r="C1006" t="s">
        <v>387</v>
      </c>
      <c r="D1006" s="84" t="s">
        <v>2365</v>
      </c>
      <c r="E1006" s="88" t="s">
        <v>1811</v>
      </c>
      <c r="F1006" s="90"/>
      <c r="G1006" s="92"/>
      <c r="H1006" s="66">
        <f>G1006*1000*Conversion!$A$2</f>
        <v>0</v>
      </c>
      <c r="I1006" t="s">
        <v>731</v>
      </c>
      <c r="J1006" t="s">
        <v>472</v>
      </c>
      <c r="K1006" s="77" t="s">
        <v>971</v>
      </c>
      <c r="N1006" s="84" t="s">
        <v>2366</v>
      </c>
    </row>
    <row r="1007" spans="1:14" x14ac:dyDescent="0.35">
      <c r="A1007" t="str">
        <f>VLOOKUP(C1007,Countries!$A$1:$D$205,2,FALSE)</f>
        <v>IRN</v>
      </c>
      <c r="B1007" s="84" t="s">
        <v>2358</v>
      </c>
      <c r="C1007" t="s">
        <v>387</v>
      </c>
      <c r="D1007" s="84" t="s">
        <v>2367</v>
      </c>
      <c r="E1007" s="88" t="s">
        <v>261</v>
      </c>
      <c r="F1007" s="90">
        <v>2017</v>
      </c>
      <c r="G1007" s="92">
        <v>312</v>
      </c>
      <c r="H1007" s="66">
        <f>G1007*1000*Conversion!$A$2</f>
        <v>28042.560000000001</v>
      </c>
      <c r="I1007" t="s">
        <v>731</v>
      </c>
      <c r="J1007" t="s">
        <v>472</v>
      </c>
      <c r="K1007" s="77" t="s">
        <v>483</v>
      </c>
      <c r="N1007" s="84" t="s">
        <v>2368</v>
      </c>
    </row>
    <row r="1008" spans="1:14" ht="18" x14ac:dyDescent="0.35">
      <c r="A1008" t="str">
        <f>VLOOKUP(C1008,Countries!$A$1:$D$205,2,FALSE)</f>
        <v>IRN</v>
      </c>
      <c r="B1008" s="84" t="s">
        <v>2369</v>
      </c>
      <c r="C1008" t="s">
        <v>387</v>
      </c>
      <c r="D1008" s="84" t="s">
        <v>2370</v>
      </c>
      <c r="E1008" s="88" t="s">
        <v>1250</v>
      </c>
      <c r="F1008" s="90">
        <v>1996</v>
      </c>
      <c r="G1008" s="92">
        <v>1416.19</v>
      </c>
      <c r="H1008" s="66">
        <f>G1008*1000*Conversion!$A$2</f>
        <v>127287.1572</v>
      </c>
      <c r="I1008" t="s">
        <v>731</v>
      </c>
      <c r="J1008" t="s">
        <v>472</v>
      </c>
      <c r="K1008" s="77" t="s">
        <v>483</v>
      </c>
      <c r="N1008" s="84" t="s">
        <v>2371</v>
      </c>
    </row>
    <row r="1009" spans="1:14" ht="18" x14ac:dyDescent="0.35">
      <c r="A1009" t="str">
        <f>VLOOKUP(C1009,Countries!$A$1:$D$205,2,FALSE)</f>
        <v>IRN</v>
      </c>
      <c r="B1009" s="84" t="s">
        <v>2372</v>
      </c>
      <c r="C1009" t="s">
        <v>387</v>
      </c>
      <c r="D1009" s="84" t="s">
        <v>2373</v>
      </c>
      <c r="E1009" s="88" t="s">
        <v>261</v>
      </c>
      <c r="F1009" s="90">
        <v>2012</v>
      </c>
      <c r="G1009" s="92">
        <v>227</v>
      </c>
      <c r="H1009" s="66">
        <f>G1009*1000*Conversion!$A$2</f>
        <v>20402.760000000002</v>
      </c>
      <c r="I1009" t="s">
        <v>731</v>
      </c>
      <c r="J1009" t="s">
        <v>472</v>
      </c>
      <c r="K1009" s="77" t="s">
        <v>483</v>
      </c>
      <c r="N1009" s="84" t="s">
        <v>2363</v>
      </c>
    </row>
    <row r="1010" spans="1:14" ht="18" x14ac:dyDescent="0.35">
      <c r="A1010" t="str">
        <f>VLOOKUP(C1010,Countries!$A$1:$D$205,2,FALSE)</f>
        <v>IRN</v>
      </c>
      <c r="B1010" s="84" t="s">
        <v>2372</v>
      </c>
      <c r="C1010" t="s">
        <v>387</v>
      </c>
      <c r="D1010" s="84" t="s">
        <v>2373</v>
      </c>
      <c r="E1010" s="88" t="s">
        <v>261</v>
      </c>
      <c r="F1010" s="90"/>
      <c r="G1010" s="92">
        <v>482</v>
      </c>
      <c r="H1010" s="66">
        <f>G1010*1000*Conversion!$A$2</f>
        <v>43322.16</v>
      </c>
      <c r="I1010" t="s">
        <v>731</v>
      </c>
      <c r="J1010" t="s">
        <v>472</v>
      </c>
      <c r="K1010" s="77" t="s">
        <v>483</v>
      </c>
      <c r="N1010" s="84" t="s">
        <v>2363</v>
      </c>
    </row>
    <row r="1011" spans="1:14" ht="18" x14ac:dyDescent="0.35">
      <c r="A1011" t="str">
        <f>VLOOKUP(C1011,Countries!$A$1:$D$205,2,FALSE)</f>
        <v>IRN</v>
      </c>
      <c r="B1011" s="84" t="s">
        <v>2374</v>
      </c>
      <c r="C1011" t="s">
        <v>387</v>
      </c>
      <c r="D1011" s="84" t="s">
        <v>2375</v>
      </c>
      <c r="E1011" s="88" t="s">
        <v>261</v>
      </c>
      <c r="F1011" s="90">
        <v>2002</v>
      </c>
      <c r="G1011" s="92">
        <v>963</v>
      </c>
      <c r="H1011" s="66">
        <f>G1011*1000*Conversion!$A$2</f>
        <v>86554.44</v>
      </c>
      <c r="I1011" t="s">
        <v>731</v>
      </c>
      <c r="J1011" t="s">
        <v>472</v>
      </c>
      <c r="K1011" s="77" t="s">
        <v>483</v>
      </c>
      <c r="N1011" s="84" t="s">
        <v>2363</v>
      </c>
    </row>
    <row r="1012" spans="1:14" ht="18" x14ac:dyDescent="0.35">
      <c r="A1012" t="str">
        <f>VLOOKUP(C1012,Countries!$A$1:$D$205,2,FALSE)</f>
        <v>IRN</v>
      </c>
      <c r="B1012" s="84" t="s">
        <v>2376</v>
      </c>
      <c r="C1012" t="s">
        <v>387</v>
      </c>
      <c r="D1012" s="84" t="s">
        <v>2377</v>
      </c>
      <c r="E1012" s="88" t="s">
        <v>1250</v>
      </c>
      <c r="F1012" s="90">
        <v>1992</v>
      </c>
      <c r="G1012" s="92">
        <v>2605.79</v>
      </c>
      <c r="H1012" s="66">
        <f>G1012*1000*Conversion!$A$2</f>
        <v>234208.40520000001</v>
      </c>
      <c r="I1012" t="s">
        <v>731</v>
      </c>
      <c r="J1012" t="s">
        <v>472</v>
      </c>
      <c r="K1012" s="77" t="s">
        <v>483</v>
      </c>
      <c r="N1012" s="84" t="s">
        <v>2363</v>
      </c>
    </row>
    <row r="1013" spans="1:14" ht="18" x14ac:dyDescent="0.35">
      <c r="A1013" t="str">
        <f>VLOOKUP(C1013,Countries!$A$1:$D$205,2,FALSE)</f>
        <v>IRN</v>
      </c>
      <c r="B1013" s="84" t="s">
        <v>2376</v>
      </c>
      <c r="C1013" t="s">
        <v>387</v>
      </c>
      <c r="D1013" s="84" t="s">
        <v>2377</v>
      </c>
      <c r="E1013" s="88" t="s">
        <v>261</v>
      </c>
      <c r="F1013" s="90">
        <v>1996</v>
      </c>
      <c r="G1013" s="92">
        <v>424.86</v>
      </c>
      <c r="H1013" s="66">
        <f>G1013*1000*Conversion!$A$2</f>
        <v>38186.416799999999</v>
      </c>
      <c r="I1013" t="s">
        <v>731</v>
      </c>
      <c r="J1013" t="s">
        <v>472</v>
      </c>
      <c r="K1013" s="77" t="s">
        <v>483</v>
      </c>
      <c r="N1013" s="84" t="s">
        <v>2363</v>
      </c>
    </row>
    <row r="1014" spans="1:14" ht="18" x14ac:dyDescent="0.35">
      <c r="A1014" t="str">
        <f>VLOOKUP(C1014,Countries!$A$1:$D$205,2,FALSE)</f>
        <v>JOR</v>
      </c>
      <c r="B1014" s="84" t="s">
        <v>2378</v>
      </c>
      <c r="C1014" t="s">
        <v>398</v>
      </c>
      <c r="D1014" s="84" t="s">
        <v>2379</v>
      </c>
      <c r="E1014" s="88" t="s">
        <v>1486</v>
      </c>
      <c r="F1014" s="90">
        <v>2005</v>
      </c>
      <c r="G1014" s="92">
        <v>227</v>
      </c>
      <c r="H1014" s="66">
        <f>G1014*1000*Conversion!$A$2</f>
        <v>20402.760000000002</v>
      </c>
      <c r="I1014" t="s">
        <v>731</v>
      </c>
      <c r="J1014" t="s">
        <v>472</v>
      </c>
      <c r="K1014" s="77" t="s">
        <v>483</v>
      </c>
    </row>
    <row r="1015" spans="1:14" ht="18" x14ac:dyDescent="0.35">
      <c r="A1015" t="str">
        <f>VLOOKUP(C1015,Countries!$A$1:$D$205,2,FALSE)</f>
        <v>JOR</v>
      </c>
      <c r="B1015" s="84" t="s">
        <v>2378</v>
      </c>
      <c r="C1015" t="s">
        <v>398</v>
      </c>
      <c r="D1015" s="84" t="s">
        <v>2379</v>
      </c>
      <c r="E1015" s="88" t="s">
        <v>1250</v>
      </c>
      <c r="G1015" s="92">
        <v>227</v>
      </c>
      <c r="H1015" s="66">
        <f>G1015*1000*Conversion!$A$2</f>
        <v>20402.760000000002</v>
      </c>
      <c r="I1015" t="s">
        <v>731</v>
      </c>
      <c r="J1015" t="s">
        <v>472</v>
      </c>
      <c r="K1015" s="77" t="s">
        <v>483</v>
      </c>
    </row>
    <row r="1016" spans="1:14" x14ac:dyDescent="0.35">
      <c r="A1016" t="str">
        <f>VLOOKUP(C1016,Countries!$A$1:$D$205,2,FALSE)</f>
        <v>KWT</v>
      </c>
      <c r="B1016" s="84" t="s">
        <v>2380</v>
      </c>
      <c r="C1016" t="s">
        <v>400</v>
      </c>
      <c r="D1016" s="84" t="s">
        <v>2381</v>
      </c>
      <c r="E1016" s="88" t="s">
        <v>261</v>
      </c>
      <c r="F1016" s="90">
        <v>2022</v>
      </c>
      <c r="G1016" s="91">
        <v>16427.8</v>
      </c>
      <c r="H1016" s="66">
        <f>G1016*1000*Conversion!$A$2</f>
        <v>1476530.6640000001</v>
      </c>
      <c r="I1016" t="s">
        <v>731</v>
      </c>
      <c r="J1016" t="s">
        <v>472</v>
      </c>
      <c r="K1016" s="77" t="s">
        <v>483</v>
      </c>
      <c r="N1016" s="84" t="s">
        <v>2382</v>
      </c>
    </row>
    <row r="1017" spans="1:14" ht="18" x14ac:dyDescent="0.35">
      <c r="A1017" t="str">
        <f>VLOOKUP(C1017,Countries!$A$1:$D$205,2,FALSE)</f>
        <v>KWT</v>
      </c>
      <c r="B1017" s="84" t="s">
        <v>2383</v>
      </c>
      <c r="C1017" t="s">
        <v>400</v>
      </c>
      <c r="D1017" s="84" t="s">
        <v>2384</v>
      </c>
      <c r="E1017" s="88" t="s">
        <v>1486</v>
      </c>
      <c r="F1017" s="90">
        <v>1996</v>
      </c>
      <c r="G1017" s="91">
        <v>679.77</v>
      </c>
      <c r="H1017" s="66">
        <f>G1017*1000*Conversion!$A$2</f>
        <v>61097.727599999998</v>
      </c>
      <c r="I1017" t="s">
        <v>731</v>
      </c>
      <c r="J1017" t="s">
        <v>472</v>
      </c>
      <c r="K1017" s="77" t="s">
        <v>483</v>
      </c>
      <c r="N1017" s="84" t="s">
        <v>2385</v>
      </c>
    </row>
    <row r="1018" spans="1:14" ht="18" x14ac:dyDescent="0.35">
      <c r="A1018" t="str">
        <f>VLOOKUP(C1018,Countries!$A$1:$D$205,2,FALSE)</f>
        <v>KWT</v>
      </c>
      <c r="B1018" s="84" t="s">
        <v>2383</v>
      </c>
      <c r="C1018" t="s">
        <v>400</v>
      </c>
      <c r="D1018" s="84" t="s">
        <v>2384</v>
      </c>
      <c r="E1018" s="88" t="s">
        <v>261</v>
      </c>
      <c r="F1018" s="90">
        <v>2020</v>
      </c>
      <c r="G1018" s="91">
        <v>21271.18</v>
      </c>
      <c r="H1018" s="66">
        <f>G1018*1000*Conversion!$A$2</f>
        <v>1911853.6584000001</v>
      </c>
      <c r="I1018" t="s">
        <v>731</v>
      </c>
      <c r="J1018" t="s">
        <v>472</v>
      </c>
      <c r="K1018" s="77" t="s">
        <v>483</v>
      </c>
      <c r="N1018" s="84" t="s">
        <v>2382</v>
      </c>
    </row>
    <row r="1019" spans="1:14" ht="18" x14ac:dyDescent="0.35">
      <c r="A1019" t="str">
        <f>VLOOKUP(C1019,Countries!$A$1:$D$205,2,FALSE)</f>
        <v>KWT</v>
      </c>
      <c r="B1019" s="84" t="s">
        <v>2386</v>
      </c>
      <c r="C1019" t="s">
        <v>400</v>
      </c>
      <c r="D1019" s="84" t="s">
        <v>2384</v>
      </c>
      <c r="E1019" s="88" t="s">
        <v>261</v>
      </c>
      <c r="F1019" s="90">
        <v>2019</v>
      </c>
      <c r="G1019" s="91">
        <v>7307.55</v>
      </c>
      <c r="H1019" s="66">
        <f>G1019*1000*Conversion!$A$2</f>
        <v>656802.59400000004</v>
      </c>
      <c r="I1019" t="s">
        <v>731</v>
      </c>
      <c r="J1019" t="s">
        <v>472</v>
      </c>
      <c r="K1019" s="77" t="s">
        <v>483</v>
      </c>
      <c r="N1019" s="84" t="s">
        <v>2382</v>
      </c>
    </row>
    <row r="1020" spans="1:14" ht="18" x14ac:dyDescent="0.35">
      <c r="A1020" t="str">
        <f>VLOOKUP(C1020,Countries!$A$1:$D$205,2,FALSE)</f>
        <v>KWT</v>
      </c>
      <c r="B1020" s="84" t="s">
        <v>2386</v>
      </c>
      <c r="C1020" t="s">
        <v>400</v>
      </c>
      <c r="D1020" s="84" t="s">
        <v>2384</v>
      </c>
      <c r="E1020" s="88" t="s">
        <v>1486</v>
      </c>
      <c r="F1020" s="90">
        <v>2005</v>
      </c>
      <c r="G1020" s="91">
        <v>2549.15</v>
      </c>
      <c r="H1020" s="66">
        <f>G1020*1000*Conversion!$A$2</f>
        <v>229117.60200000001</v>
      </c>
      <c r="I1020" t="s">
        <v>731</v>
      </c>
      <c r="J1020" t="s">
        <v>472</v>
      </c>
      <c r="K1020" s="77" t="s">
        <v>483</v>
      </c>
      <c r="N1020" s="84" t="s">
        <v>2382</v>
      </c>
    </row>
    <row r="1021" spans="1:14" ht="18" x14ac:dyDescent="0.35">
      <c r="A1021" t="str">
        <f>VLOOKUP(C1021,Countries!$A$1:$D$205,2,FALSE)</f>
        <v>OMN</v>
      </c>
      <c r="B1021" s="84" t="s">
        <v>2334</v>
      </c>
      <c r="C1021" t="s">
        <v>418</v>
      </c>
      <c r="D1021" s="84" t="s">
        <v>2387</v>
      </c>
      <c r="E1021" s="88" t="s">
        <v>502</v>
      </c>
      <c r="F1021" s="90">
        <v>2028</v>
      </c>
      <c r="G1021" s="91">
        <v>592.63352750574518</v>
      </c>
      <c r="H1021" s="66">
        <f>G1021*1000*Conversion!$A$2</f>
        <v>53265.901452216378</v>
      </c>
      <c r="I1021" t="s">
        <v>731</v>
      </c>
      <c r="J1021" t="s">
        <v>472</v>
      </c>
      <c r="K1021" s="77" t="s">
        <v>1074</v>
      </c>
      <c r="N1021" s="84" t="s">
        <v>2388</v>
      </c>
    </row>
    <row r="1022" spans="1:14" ht="18" x14ac:dyDescent="0.35">
      <c r="A1022" t="str">
        <f>VLOOKUP(C1022,Countries!$A$1:$D$205,2,FALSE)</f>
        <v>OMN</v>
      </c>
      <c r="B1022" s="84" t="s">
        <v>2334</v>
      </c>
      <c r="C1022" t="s">
        <v>418</v>
      </c>
      <c r="D1022" s="84" t="s">
        <v>2389</v>
      </c>
      <c r="E1022" s="88" t="s">
        <v>261</v>
      </c>
      <c r="F1022" s="90">
        <v>2023</v>
      </c>
      <c r="G1022" s="91">
        <v>6061</v>
      </c>
      <c r="H1022" s="66">
        <f>G1022*1000*Conversion!$A$2</f>
        <v>544762.68000000005</v>
      </c>
      <c r="I1022" t="s">
        <v>731</v>
      </c>
      <c r="J1022" t="s">
        <v>472</v>
      </c>
      <c r="K1022" s="77" t="s">
        <v>483</v>
      </c>
      <c r="N1022" s="84" t="s">
        <v>2390</v>
      </c>
    </row>
    <row r="1023" spans="1:14" ht="52" x14ac:dyDescent="0.35">
      <c r="A1023" t="str">
        <f>VLOOKUP(C1023,Countries!$A$1:$D$205,2,FALSE)</f>
        <v>OMN</v>
      </c>
      <c r="B1023" s="84" t="s">
        <v>2334</v>
      </c>
      <c r="C1023" t="s">
        <v>418</v>
      </c>
      <c r="D1023" s="84" t="s">
        <v>2391</v>
      </c>
      <c r="E1023" s="88" t="s">
        <v>502</v>
      </c>
      <c r="F1023" s="90">
        <v>2035</v>
      </c>
      <c r="G1023" s="91">
        <v>54122</v>
      </c>
      <c r="H1023" s="66">
        <f>G1023*1000*Conversion!$A$2</f>
        <v>4864485.3600000003</v>
      </c>
      <c r="I1023" t="s">
        <v>731</v>
      </c>
      <c r="J1023" t="s">
        <v>472</v>
      </c>
      <c r="K1023" s="77" t="s">
        <v>1074</v>
      </c>
      <c r="N1023" s="85" t="s">
        <v>2392</v>
      </c>
    </row>
    <row r="1024" spans="1:14" ht="27" x14ac:dyDescent="0.35">
      <c r="A1024" t="str">
        <f>VLOOKUP(C1024,Countries!$A$1:$D$205,2,FALSE)</f>
        <v>OMN</v>
      </c>
      <c r="B1024" s="84" t="s">
        <v>2334</v>
      </c>
      <c r="C1024" t="s">
        <v>418</v>
      </c>
      <c r="D1024" s="84" t="s">
        <v>2393</v>
      </c>
      <c r="E1024" s="88" t="s">
        <v>502</v>
      </c>
      <c r="F1024" s="90">
        <v>2035</v>
      </c>
      <c r="G1024" s="91">
        <v>7036</v>
      </c>
      <c r="H1024" s="66">
        <f>G1024*1000*Conversion!$A$2</f>
        <v>632395.68000000005</v>
      </c>
      <c r="I1024" t="s">
        <v>731</v>
      </c>
      <c r="J1024" t="s">
        <v>472</v>
      </c>
      <c r="K1024" s="77" t="s">
        <v>1074</v>
      </c>
      <c r="N1024" s="84" t="s">
        <v>2394</v>
      </c>
    </row>
    <row r="1025" spans="1:14" ht="18" x14ac:dyDescent="0.35">
      <c r="A1025" t="str">
        <f>VLOOKUP(C1025,Countries!$A$1:$D$205,2,FALSE)</f>
        <v>OMN</v>
      </c>
      <c r="B1025" s="84" t="s">
        <v>2395</v>
      </c>
      <c r="C1025" t="s">
        <v>418</v>
      </c>
      <c r="D1025" s="84" t="s">
        <v>2396</v>
      </c>
      <c r="E1025" s="88" t="s">
        <v>502</v>
      </c>
      <c r="F1025" s="90">
        <v>2029</v>
      </c>
      <c r="G1025" s="91">
        <v>1867</v>
      </c>
      <c r="H1025" s="66">
        <f>G1025*1000*Conversion!$A$2</f>
        <v>167805.96</v>
      </c>
      <c r="I1025" t="s">
        <v>731</v>
      </c>
      <c r="J1025" t="s">
        <v>472</v>
      </c>
      <c r="K1025" s="77" t="s">
        <v>503</v>
      </c>
      <c r="N1025" s="84" t="s">
        <v>2397</v>
      </c>
    </row>
    <row r="1026" spans="1:14" ht="18" x14ac:dyDescent="0.35">
      <c r="A1026" t="str">
        <f>VLOOKUP(C1026,Countries!$A$1:$D$205,2,FALSE)</f>
        <v>OMN</v>
      </c>
      <c r="B1026" s="84" t="s">
        <v>2398</v>
      </c>
      <c r="C1026" t="s">
        <v>418</v>
      </c>
      <c r="D1026" s="84" t="s">
        <v>2399</v>
      </c>
      <c r="E1026" s="88" t="s">
        <v>502</v>
      </c>
      <c r="F1026" s="90">
        <v>2033</v>
      </c>
      <c r="G1026" s="91">
        <v>6495</v>
      </c>
      <c r="H1026" s="66">
        <f>G1026*1000*Conversion!$A$2</f>
        <v>583770.6</v>
      </c>
      <c r="I1026" t="s">
        <v>731</v>
      </c>
      <c r="J1026" t="s">
        <v>472</v>
      </c>
      <c r="K1026" s="77" t="s">
        <v>1074</v>
      </c>
      <c r="N1026" s="84" t="s">
        <v>2400</v>
      </c>
    </row>
    <row r="1027" spans="1:14" ht="18" x14ac:dyDescent="0.35">
      <c r="A1027" t="str">
        <f>VLOOKUP(C1027,Countries!$A$1:$D$205,2,FALSE)</f>
        <v>OMN</v>
      </c>
      <c r="B1027" s="84" t="s">
        <v>2398</v>
      </c>
      <c r="C1027" t="s">
        <v>418</v>
      </c>
      <c r="D1027" s="84" t="s">
        <v>2401</v>
      </c>
      <c r="E1027" s="88" t="s">
        <v>502</v>
      </c>
      <c r="F1027" s="90">
        <v>2026</v>
      </c>
      <c r="G1027" s="91">
        <v>1975</v>
      </c>
      <c r="H1027" s="66">
        <f>G1027*1000*Conversion!$A$2</f>
        <v>177513</v>
      </c>
      <c r="I1027" t="s">
        <v>731</v>
      </c>
      <c r="J1027" t="s">
        <v>472</v>
      </c>
      <c r="K1027" s="77" t="s">
        <v>1074</v>
      </c>
      <c r="N1027" s="84" t="s">
        <v>2402</v>
      </c>
    </row>
    <row r="1028" spans="1:14" ht="29" x14ac:dyDescent="0.35">
      <c r="A1028" t="str">
        <f>VLOOKUP(C1028,Countries!$A$1:$D$205,2,FALSE)</f>
        <v>QAT</v>
      </c>
      <c r="B1028" s="84" t="s">
        <v>2343</v>
      </c>
      <c r="C1028" t="s">
        <v>420</v>
      </c>
      <c r="D1028" s="84" t="s">
        <v>2403</v>
      </c>
      <c r="E1028" s="88" t="s">
        <v>2404</v>
      </c>
      <c r="F1028" s="89">
        <v>2007</v>
      </c>
      <c r="G1028" s="91">
        <v>19275</v>
      </c>
      <c r="H1028" s="66">
        <f>G1028*1000*Conversion!$A$2</f>
        <v>1732437</v>
      </c>
      <c r="I1028" t="s">
        <v>731</v>
      </c>
      <c r="J1028" t="s">
        <v>472</v>
      </c>
      <c r="K1028" s="77" t="s">
        <v>2405</v>
      </c>
      <c r="N1028" s="84" t="s">
        <v>2406</v>
      </c>
    </row>
    <row r="1029" spans="1:14" ht="29" x14ac:dyDescent="0.35">
      <c r="A1029" t="str">
        <f>VLOOKUP(C1029,Countries!$A$1:$D$205,2,FALSE)</f>
        <v>QAT</v>
      </c>
      <c r="B1029" s="84" t="s">
        <v>2343</v>
      </c>
      <c r="C1029" t="s">
        <v>420</v>
      </c>
      <c r="D1029" s="84" t="s">
        <v>2407</v>
      </c>
      <c r="E1029" s="88" t="s">
        <v>2404</v>
      </c>
      <c r="F1029" s="89">
        <v>2012</v>
      </c>
      <c r="G1029" s="91">
        <v>79375</v>
      </c>
      <c r="H1029" s="66">
        <f>G1029*1000*Conversion!$A$2</f>
        <v>7134225</v>
      </c>
      <c r="I1029" t="s">
        <v>731</v>
      </c>
      <c r="J1029" t="s">
        <v>472</v>
      </c>
      <c r="K1029" s="77" t="s">
        <v>2405</v>
      </c>
      <c r="N1029" s="84" t="s">
        <v>2408</v>
      </c>
    </row>
    <row r="1030" spans="1:14" ht="27" x14ac:dyDescent="0.35">
      <c r="A1030" t="str">
        <f>VLOOKUP(C1030,Countries!$A$1:$D$205,2,FALSE)</f>
        <v>QAT</v>
      </c>
      <c r="B1030" s="84" t="s">
        <v>2340</v>
      </c>
      <c r="C1030" t="s">
        <v>420</v>
      </c>
      <c r="D1030" s="84" t="s">
        <v>2409</v>
      </c>
      <c r="E1030" s="88" t="s">
        <v>990</v>
      </c>
      <c r="F1030" s="89">
        <v>2026</v>
      </c>
      <c r="G1030" s="91">
        <v>6495</v>
      </c>
      <c r="H1030" s="66">
        <f>G1030*1000*Conversion!$A$2</f>
        <v>583770.6</v>
      </c>
      <c r="I1030" t="s">
        <v>731</v>
      </c>
      <c r="J1030" t="s">
        <v>472</v>
      </c>
      <c r="K1030" s="77" t="s">
        <v>1074</v>
      </c>
      <c r="N1030" s="84" t="s">
        <v>2410</v>
      </c>
    </row>
    <row r="1031" spans="1:14" ht="27" x14ac:dyDescent="0.35">
      <c r="A1031" t="str">
        <f>VLOOKUP(C1031,Countries!$A$1:$D$205,2,FALSE)</f>
        <v>SAU</v>
      </c>
      <c r="B1031" s="84" t="s">
        <v>2411</v>
      </c>
      <c r="C1031" t="s">
        <v>425</v>
      </c>
      <c r="D1031" s="84" t="s">
        <v>2412</v>
      </c>
      <c r="E1031" s="88" t="s">
        <v>502</v>
      </c>
      <c r="F1031" s="89">
        <v>2031</v>
      </c>
      <c r="G1031" s="91">
        <v>6495</v>
      </c>
      <c r="H1031" s="66">
        <f>G1031*1000*Conversion!$A$2</f>
        <v>583770.6</v>
      </c>
      <c r="I1031" t="s">
        <v>731</v>
      </c>
      <c r="J1031" t="s">
        <v>472</v>
      </c>
      <c r="K1031" s="77" t="s">
        <v>1074</v>
      </c>
      <c r="N1031" s="84" t="s">
        <v>2413</v>
      </c>
    </row>
    <row r="1032" spans="1:14" ht="29" x14ac:dyDescent="0.35">
      <c r="A1032" t="str">
        <f>VLOOKUP(C1032,Countries!$A$1:$D$205,2,FALSE)</f>
        <v>SAU</v>
      </c>
      <c r="B1032" s="84" t="s">
        <v>2414</v>
      </c>
      <c r="C1032" t="s">
        <v>425</v>
      </c>
      <c r="D1032" s="84" t="s">
        <v>2415</v>
      </c>
      <c r="E1032" s="88" t="s">
        <v>261</v>
      </c>
      <c r="F1032" s="89">
        <v>2009</v>
      </c>
      <c r="G1032" s="91">
        <v>2322.56</v>
      </c>
      <c r="H1032" s="66">
        <f>G1032*1000*Conversion!$A$2</f>
        <v>208751.69279999999</v>
      </c>
      <c r="I1032" t="s">
        <v>731</v>
      </c>
      <c r="J1032" t="s">
        <v>472</v>
      </c>
      <c r="K1032" s="77" t="s">
        <v>483</v>
      </c>
      <c r="N1032" s="87" t="s">
        <v>2416</v>
      </c>
    </row>
    <row r="1033" spans="1:14" ht="43.5" x14ac:dyDescent="0.35">
      <c r="A1033" t="str">
        <f>VLOOKUP(C1033,Countries!$A$1:$D$205,2,FALSE)</f>
        <v>SAU</v>
      </c>
      <c r="B1033" s="84" t="s">
        <v>2417</v>
      </c>
      <c r="C1033" t="s">
        <v>425</v>
      </c>
      <c r="D1033" s="84" t="s">
        <v>2418</v>
      </c>
      <c r="E1033" s="88" t="s">
        <v>261</v>
      </c>
      <c r="F1033" s="89">
        <v>2021</v>
      </c>
      <c r="G1033" s="91">
        <v>5296.55</v>
      </c>
      <c r="H1033" s="66">
        <f>G1033*1000*Conversion!$A$2</f>
        <v>476053.91399999999</v>
      </c>
      <c r="I1033" t="s">
        <v>731</v>
      </c>
      <c r="J1033" t="s">
        <v>472</v>
      </c>
      <c r="K1033" s="77" t="s">
        <v>483</v>
      </c>
      <c r="N1033" s="87" t="s">
        <v>2419</v>
      </c>
    </row>
    <row r="1034" spans="1:14" x14ac:dyDescent="0.35">
      <c r="A1034" t="str">
        <f>VLOOKUP(C1034,Countries!$A$1:$D$205,2,FALSE)</f>
        <v>SAU</v>
      </c>
      <c r="B1034" s="84" t="s">
        <v>2420</v>
      </c>
      <c r="C1034" t="s">
        <v>425</v>
      </c>
      <c r="D1034" s="84" t="s">
        <v>2421</v>
      </c>
      <c r="E1034" s="88" t="s">
        <v>261</v>
      </c>
      <c r="F1034" s="89">
        <v>2001</v>
      </c>
      <c r="G1034" s="91">
        <v>1841</v>
      </c>
      <c r="H1034" s="66">
        <f>G1034*1000*Conversion!$A$2</f>
        <v>165469.08000000002</v>
      </c>
      <c r="I1034" t="s">
        <v>731</v>
      </c>
      <c r="J1034" t="s">
        <v>472</v>
      </c>
      <c r="K1034" s="77" t="s">
        <v>483</v>
      </c>
      <c r="N1034" s="84"/>
    </row>
    <row r="1035" spans="1:14" x14ac:dyDescent="0.35">
      <c r="A1035" t="str">
        <f>VLOOKUP(C1035,Countries!$A$1:$D$205,2,FALSE)</f>
        <v>SAU</v>
      </c>
      <c r="B1035" s="84" t="s">
        <v>2422</v>
      </c>
      <c r="C1035" t="s">
        <v>425</v>
      </c>
      <c r="D1035" s="84" t="s">
        <v>2423</v>
      </c>
      <c r="E1035" s="88" t="s">
        <v>261</v>
      </c>
      <c r="G1035" s="91">
        <v>2266</v>
      </c>
      <c r="H1035" s="66">
        <f>G1035*1000*Conversion!$A$2</f>
        <v>203668.08000000002</v>
      </c>
      <c r="I1035" t="s">
        <v>731</v>
      </c>
      <c r="J1035" t="s">
        <v>472</v>
      </c>
      <c r="K1035" s="77" t="s">
        <v>483</v>
      </c>
      <c r="N1035" s="84" t="s">
        <v>1251</v>
      </c>
    </row>
    <row r="1036" spans="1:14" ht="18" x14ac:dyDescent="0.35">
      <c r="A1036" t="str">
        <f>VLOOKUP(C1036,Countries!$A$1:$D$205,2,FALSE)</f>
        <v>SAU</v>
      </c>
      <c r="B1036" s="84" t="s">
        <v>2348</v>
      </c>
      <c r="C1036" t="s">
        <v>425</v>
      </c>
      <c r="D1036" s="84" t="s">
        <v>2424</v>
      </c>
      <c r="E1036" s="88" t="s">
        <v>261</v>
      </c>
      <c r="G1036" s="91">
        <v>2379</v>
      </c>
      <c r="H1036" s="66">
        <f>G1036*1000*Conversion!$A$2</f>
        <v>213824.52</v>
      </c>
      <c r="I1036" t="s">
        <v>731</v>
      </c>
      <c r="J1036" t="s">
        <v>472</v>
      </c>
      <c r="K1036" s="77" t="s">
        <v>483</v>
      </c>
      <c r="N1036" s="84" t="s">
        <v>2425</v>
      </c>
    </row>
    <row r="1037" spans="1:14" ht="18" x14ac:dyDescent="0.35">
      <c r="A1037" t="str">
        <f>VLOOKUP(C1037,Countries!$A$1:$D$205,2,FALSE)</f>
        <v>SAU</v>
      </c>
      <c r="B1037" s="84" t="s">
        <v>2348</v>
      </c>
      <c r="C1037" t="s">
        <v>425</v>
      </c>
      <c r="D1037" s="84" t="s">
        <v>2426</v>
      </c>
      <c r="E1037" s="88" t="s">
        <v>261</v>
      </c>
      <c r="F1037" s="89">
        <v>2013</v>
      </c>
      <c r="G1037" s="91">
        <v>6061</v>
      </c>
      <c r="H1037" s="66">
        <f>G1037*1000*Conversion!$A$2</f>
        <v>544762.68000000005</v>
      </c>
      <c r="I1037" t="s">
        <v>731</v>
      </c>
      <c r="J1037" t="s">
        <v>472</v>
      </c>
      <c r="K1037" s="77" t="s">
        <v>483</v>
      </c>
      <c r="N1037" s="84" t="s">
        <v>2427</v>
      </c>
    </row>
    <row r="1038" spans="1:14" ht="18" x14ac:dyDescent="0.35">
      <c r="A1038" t="str">
        <f>VLOOKUP(C1038,Countries!$A$1:$D$205,2,FALSE)</f>
        <v>SAU</v>
      </c>
      <c r="B1038" s="84" t="s">
        <v>2345</v>
      </c>
      <c r="C1038" t="s">
        <v>425</v>
      </c>
      <c r="D1038" s="84" t="s">
        <v>2428</v>
      </c>
      <c r="E1038" s="88" t="s">
        <v>261</v>
      </c>
      <c r="F1038" s="89">
        <v>2015</v>
      </c>
      <c r="G1038" s="91">
        <v>7420.83</v>
      </c>
      <c r="H1038" s="66">
        <f>G1038*1000*Conversion!$A$2</f>
        <v>666984.20039999997</v>
      </c>
      <c r="I1038" t="s">
        <v>731</v>
      </c>
      <c r="J1038" t="s">
        <v>472</v>
      </c>
      <c r="K1038" s="77" t="s">
        <v>483</v>
      </c>
      <c r="N1038" s="84" t="s">
        <v>2429</v>
      </c>
    </row>
    <row r="1039" spans="1:14" x14ac:dyDescent="0.35">
      <c r="A1039" t="str">
        <f>VLOOKUP(C1039,Countries!$A$1:$D$205,2,FALSE)</f>
        <v>SYR</v>
      </c>
      <c r="B1039" s="84" t="s">
        <v>2430</v>
      </c>
      <c r="C1039" t="s">
        <v>439</v>
      </c>
      <c r="D1039" s="84" t="s">
        <v>2431</v>
      </c>
      <c r="E1039" s="88" t="s">
        <v>261</v>
      </c>
      <c r="F1039" s="89">
        <v>2001</v>
      </c>
      <c r="G1039" s="91">
        <v>765</v>
      </c>
      <c r="H1039" s="66">
        <f>G1039*1000*Conversion!$A$2</f>
        <v>68758.2</v>
      </c>
      <c r="I1039" t="s">
        <v>731</v>
      </c>
      <c r="J1039" t="s">
        <v>472</v>
      </c>
      <c r="K1039" s="77" t="s">
        <v>483</v>
      </c>
      <c r="N1039" s="84" t="s">
        <v>1251</v>
      </c>
    </row>
    <row r="1040" spans="1:14" ht="18" x14ac:dyDescent="0.35">
      <c r="A1040" t="str">
        <f>VLOOKUP(C1040,Countries!$A$1:$D$205,2,FALSE)</f>
        <v>SYR</v>
      </c>
      <c r="B1040" s="84" t="s">
        <v>2432</v>
      </c>
      <c r="C1040" t="s">
        <v>439</v>
      </c>
      <c r="D1040" s="84" t="s">
        <v>2433</v>
      </c>
      <c r="E1040" s="88" t="s">
        <v>502</v>
      </c>
      <c r="G1040" s="91">
        <v>312</v>
      </c>
      <c r="H1040" s="66">
        <f>G1040*1000*Conversion!$A$2</f>
        <v>28042.560000000001</v>
      </c>
      <c r="I1040" t="s">
        <v>731</v>
      </c>
      <c r="J1040" t="s">
        <v>472</v>
      </c>
      <c r="K1040" s="77" t="s">
        <v>483</v>
      </c>
      <c r="N1040" s="84" t="s">
        <v>2434</v>
      </c>
    </row>
    <row r="1041" spans="1:14" ht="18" x14ac:dyDescent="0.35">
      <c r="A1041" t="str">
        <f>VLOOKUP(C1041,Countries!$A$1:$D$205,2,FALSE)</f>
        <v>SYR</v>
      </c>
      <c r="B1041" s="84" t="s">
        <v>2432</v>
      </c>
      <c r="C1041" t="s">
        <v>439</v>
      </c>
      <c r="D1041" s="84" t="s">
        <v>2433</v>
      </c>
      <c r="E1041" s="88" t="s">
        <v>261</v>
      </c>
      <c r="G1041" s="91">
        <v>255</v>
      </c>
      <c r="H1041" s="66">
        <f>G1041*1000*Conversion!$A$2</f>
        <v>22919.4</v>
      </c>
      <c r="I1041" t="s">
        <v>731</v>
      </c>
      <c r="J1041" t="s">
        <v>472</v>
      </c>
      <c r="K1041" s="77" t="s">
        <v>483</v>
      </c>
      <c r="N1041" s="84" t="s">
        <v>2434</v>
      </c>
    </row>
    <row r="1042" spans="1:14" ht="18" x14ac:dyDescent="0.35">
      <c r="A1042" t="str">
        <f>VLOOKUP(C1042,Countries!$A$1:$D$205,2,FALSE)</f>
        <v>TUR</v>
      </c>
      <c r="B1042" s="84" t="s">
        <v>2435</v>
      </c>
      <c r="C1042" t="s">
        <v>314</v>
      </c>
      <c r="D1042" s="84" t="s">
        <v>2436</v>
      </c>
      <c r="E1042" s="88" t="s">
        <v>261</v>
      </c>
      <c r="F1042" s="89">
        <v>2018</v>
      </c>
      <c r="G1042" s="91">
        <v>3840</v>
      </c>
      <c r="H1042" s="66">
        <f>G1042*1000*Conversion!$A$2</f>
        <v>345139.20000000001</v>
      </c>
      <c r="I1042" t="s">
        <v>731</v>
      </c>
      <c r="J1042" t="s">
        <v>472</v>
      </c>
      <c r="K1042" s="77" t="s">
        <v>483</v>
      </c>
      <c r="N1042" s="84" t="s">
        <v>2437</v>
      </c>
    </row>
    <row r="1043" spans="1:14" x14ac:dyDescent="0.35">
      <c r="A1043" t="str">
        <f>VLOOKUP(C1043,Countries!$A$1:$D$205,2,FALSE)</f>
        <v>TUR</v>
      </c>
      <c r="B1043" s="84" t="s">
        <v>2438</v>
      </c>
      <c r="C1043" t="s">
        <v>314</v>
      </c>
      <c r="D1043" s="84" t="s">
        <v>2439</v>
      </c>
      <c r="E1043" s="88" t="s">
        <v>261</v>
      </c>
      <c r="F1043" s="89">
        <v>1997</v>
      </c>
      <c r="G1043" s="91">
        <v>4984.9799999999996</v>
      </c>
      <c r="H1043" s="66">
        <f>G1043*1000*Conversion!$A$2</f>
        <v>448050.0024</v>
      </c>
      <c r="I1043" t="s">
        <v>731</v>
      </c>
      <c r="J1043" t="s">
        <v>472</v>
      </c>
      <c r="K1043" s="77" t="s">
        <v>483</v>
      </c>
      <c r="N1043" s="84"/>
    </row>
    <row r="1044" spans="1:14" ht="18" x14ac:dyDescent="0.35">
      <c r="A1044" t="str">
        <f>VLOOKUP(C1044,Countries!$A$1:$D$205,2,FALSE)</f>
        <v>TUR</v>
      </c>
      <c r="B1044" s="84" t="s">
        <v>2435</v>
      </c>
      <c r="C1044" t="s">
        <v>314</v>
      </c>
      <c r="D1044" s="84" t="s">
        <v>2440</v>
      </c>
      <c r="E1044" s="88" t="s">
        <v>261</v>
      </c>
      <c r="F1044" s="89">
        <v>1993</v>
      </c>
      <c r="G1044" s="91">
        <v>963.01</v>
      </c>
      <c r="H1044" s="66">
        <f>G1044*1000*Conversion!$A$2</f>
        <v>86555.338799999998</v>
      </c>
      <c r="I1044" t="s">
        <v>731</v>
      </c>
      <c r="J1044" t="s">
        <v>472</v>
      </c>
      <c r="K1044" s="77" t="s">
        <v>483</v>
      </c>
      <c r="N1044" s="87" t="s">
        <v>2441</v>
      </c>
    </row>
    <row r="1045" spans="1:14" ht="18" x14ac:dyDescent="0.35">
      <c r="A1045" t="str">
        <f>VLOOKUP(C1045,Countries!$A$1:$D$205,2,FALSE)</f>
        <v>TUR</v>
      </c>
      <c r="B1045" s="84" t="s">
        <v>2442</v>
      </c>
      <c r="C1045" t="s">
        <v>314</v>
      </c>
      <c r="D1045" s="84" t="s">
        <v>2443</v>
      </c>
      <c r="E1045" s="88" t="s">
        <v>261</v>
      </c>
      <c r="F1045" s="89">
        <v>1993</v>
      </c>
      <c r="G1045" s="91">
        <v>651.45000000000005</v>
      </c>
      <c r="H1045" s="66">
        <f>G1045*1000*Conversion!$A$2</f>
        <v>58552.326000000001</v>
      </c>
      <c r="I1045" t="s">
        <v>731</v>
      </c>
      <c r="J1045" t="s">
        <v>472</v>
      </c>
      <c r="K1045" s="77" t="s">
        <v>483</v>
      </c>
      <c r="N1045" s="84" t="s">
        <v>1251</v>
      </c>
    </row>
    <row r="1046" spans="1:14" ht="18" x14ac:dyDescent="0.35">
      <c r="A1046" t="str">
        <f>VLOOKUP(C1046,Countries!$A$1:$D$205,2,FALSE)</f>
        <v>ARE</v>
      </c>
      <c r="B1046" s="84" t="s">
        <v>2444</v>
      </c>
      <c r="C1046" t="s">
        <v>447</v>
      </c>
      <c r="D1046" s="84" t="s">
        <v>2445</v>
      </c>
      <c r="E1046" s="88" t="s">
        <v>502</v>
      </c>
      <c r="F1046" s="89">
        <v>2032</v>
      </c>
      <c r="G1046" s="91">
        <v>8118</v>
      </c>
      <c r="H1046" s="66">
        <f>G1046*1000*Conversion!$A$2</f>
        <v>729645.84</v>
      </c>
      <c r="I1046" t="s">
        <v>731</v>
      </c>
      <c r="J1046" t="s">
        <v>472</v>
      </c>
      <c r="K1046" s="77" t="s">
        <v>1074</v>
      </c>
      <c r="N1046" s="84" t="s">
        <v>2446</v>
      </c>
    </row>
    <row r="1047" spans="1:14" ht="18" x14ac:dyDescent="0.35">
      <c r="A1047" t="str">
        <f>VLOOKUP(C1047,Countries!$A$1:$D$205,2,FALSE)</f>
        <v>ARE</v>
      </c>
      <c r="B1047" s="84" t="s">
        <v>2447</v>
      </c>
      <c r="C1047" t="s">
        <v>447</v>
      </c>
      <c r="D1047" s="84" t="s">
        <v>2448</v>
      </c>
      <c r="E1047" s="88" t="s">
        <v>990</v>
      </c>
      <c r="F1047" s="89">
        <v>2027</v>
      </c>
      <c r="G1047" s="91">
        <v>5412</v>
      </c>
      <c r="H1047" s="66">
        <f>G1047*1000*Conversion!$A$2</f>
        <v>486430.56</v>
      </c>
      <c r="I1047" t="s">
        <v>731</v>
      </c>
      <c r="J1047" t="s">
        <v>472</v>
      </c>
      <c r="K1047" s="77" t="s">
        <v>1074</v>
      </c>
      <c r="N1047" s="84" t="s">
        <v>2449</v>
      </c>
    </row>
    <row r="1048" spans="1:14" ht="18" x14ac:dyDescent="0.35">
      <c r="A1048" t="str">
        <f>VLOOKUP(C1048,Countries!$A$1:$D$205,2,FALSE)</f>
        <v>ARE</v>
      </c>
      <c r="B1048" s="84" t="s">
        <v>2450</v>
      </c>
      <c r="C1048" t="s">
        <v>447</v>
      </c>
      <c r="D1048" s="84" t="s">
        <v>2451</v>
      </c>
      <c r="E1048" s="88" t="s">
        <v>502</v>
      </c>
      <c r="F1048" s="89">
        <v>2015</v>
      </c>
      <c r="G1048" s="91">
        <v>6231.24</v>
      </c>
      <c r="H1048" s="66">
        <f>G1048*1000*Conversion!$A$2</f>
        <v>560063.85120000003</v>
      </c>
      <c r="I1048" t="s">
        <v>731</v>
      </c>
      <c r="J1048" t="s">
        <v>472</v>
      </c>
      <c r="K1048" s="77" t="s">
        <v>483</v>
      </c>
      <c r="N1048" s="84" t="s">
        <v>2452</v>
      </c>
    </row>
    <row r="1049" spans="1:14" ht="18" x14ac:dyDescent="0.35">
      <c r="A1049" t="str">
        <f>VLOOKUP(C1049,Countries!$A$1:$D$205,2,FALSE)</f>
        <v>ARE</v>
      </c>
      <c r="B1049" s="84" t="s">
        <v>2447</v>
      </c>
      <c r="C1049" t="s">
        <v>447</v>
      </c>
      <c r="D1049" s="84" t="s">
        <v>2453</v>
      </c>
      <c r="E1049" s="88" t="s">
        <v>502</v>
      </c>
      <c r="F1049" s="89">
        <v>2025</v>
      </c>
      <c r="G1049" s="91">
        <v>812</v>
      </c>
      <c r="H1049" s="66">
        <f>G1049*1000*Conversion!$A$2</f>
        <v>72982.559999999998</v>
      </c>
      <c r="I1049" t="s">
        <v>731</v>
      </c>
      <c r="J1049" t="s">
        <v>472</v>
      </c>
      <c r="K1049" s="77" t="s">
        <v>1074</v>
      </c>
      <c r="N1049" s="84" t="s">
        <v>2454</v>
      </c>
    </row>
    <row r="1050" spans="1:14" ht="18" x14ac:dyDescent="0.35">
      <c r="A1050" t="str">
        <f>VLOOKUP(C1050,Countries!$A$1:$D$205,2,FALSE)</f>
        <v>ARE</v>
      </c>
      <c r="B1050" s="84" t="s">
        <v>2444</v>
      </c>
      <c r="C1050" t="s">
        <v>447</v>
      </c>
      <c r="D1050" s="84" t="s">
        <v>2455</v>
      </c>
      <c r="E1050" s="88" t="s">
        <v>502</v>
      </c>
      <c r="F1050" s="89">
        <v>2029</v>
      </c>
      <c r="G1050" s="91">
        <v>1082</v>
      </c>
      <c r="H1050" s="66">
        <f>G1050*1000*Conversion!$A$2</f>
        <v>97250.16</v>
      </c>
      <c r="I1050" t="s">
        <v>731</v>
      </c>
      <c r="J1050" t="s">
        <v>472</v>
      </c>
      <c r="K1050" s="77" t="s">
        <v>1074</v>
      </c>
      <c r="N1050" s="84" t="s">
        <v>2456</v>
      </c>
    </row>
    <row r="1051" spans="1:14" x14ac:dyDescent="0.35">
      <c r="A1051" t="str">
        <f>VLOOKUP(C1051,Countries!$A$1:$D$205,2,FALSE)</f>
        <v>ARE</v>
      </c>
      <c r="B1051" s="84" t="s">
        <v>2457</v>
      </c>
      <c r="C1051" t="s">
        <v>447</v>
      </c>
      <c r="D1051" s="84" t="s">
        <v>2458</v>
      </c>
      <c r="E1051" s="88" t="s">
        <v>261</v>
      </c>
      <c r="F1051" s="89">
        <v>2002</v>
      </c>
      <c r="G1051" s="91">
        <v>169.94</v>
      </c>
      <c r="H1051" s="66">
        <f>G1051*1000*Conversion!$A$2</f>
        <v>15274.207200000001</v>
      </c>
      <c r="I1051" t="s">
        <v>731</v>
      </c>
      <c r="J1051" t="s">
        <v>472</v>
      </c>
      <c r="K1051" s="77" t="s">
        <v>483</v>
      </c>
      <c r="N1051" s="84"/>
    </row>
    <row r="1052" spans="1:14" ht="77.5" x14ac:dyDescent="0.35">
      <c r="A1052" s="93" t="str">
        <f>VLOOKUP(C1052,Countries!$A$1:$D$205,2,FALSE)</f>
        <v>ARE</v>
      </c>
      <c r="B1052" s="86" t="s">
        <v>2447</v>
      </c>
      <c r="C1052" s="93" t="s">
        <v>447</v>
      </c>
      <c r="D1052" s="86" t="s">
        <v>2459</v>
      </c>
      <c r="E1052" s="94" t="s">
        <v>990</v>
      </c>
      <c r="F1052" s="95">
        <v>2025</v>
      </c>
      <c r="G1052" s="96">
        <v>5412</v>
      </c>
      <c r="H1052" s="97">
        <f>G1052*1000*Conversion!$A$2</f>
        <v>486430.56</v>
      </c>
      <c r="I1052" s="93" t="s">
        <v>731</v>
      </c>
      <c r="J1052" s="93" t="s">
        <v>472</v>
      </c>
      <c r="K1052" s="98" t="s">
        <v>1074</v>
      </c>
      <c r="L1052" s="93"/>
      <c r="M1052" s="93"/>
      <c r="N1052" s="86" t="s">
        <v>2460</v>
      </c>
    </row>
    <row r="1053" spans="1:14" ht="31" x14ac:dyDescent="0.35">
      <c r="A1053" s="93" t="str">
        <f>VLOOKUP(C1053,Countries!$A$1:$D$205,2,FALSE)</f>
        <v>IRN</v>
      </c>
      <c r="B1053" s="86" t="s">
        <v>2461</v>
      </c>
      <c r="C1053" s="93" t="s">
        <v>387</v>
      </c>
      <c r="D1053" s="86" t="s">
        <v>2462</v>
      </c>
      <c r="E1053" s="94" t="s">
        <v>2093</v>
      </c>
      <c r="F1053" s="95">
        <v>1996</v>
      </c>
      <c r="G1053" s="96">
        <v>22.531967159409472</v>
      </c>
      <c r="H1053" s="97">
        <f>G1053*1000*Conversion!$A$2</f>
        <v>2025.1732082877234</v>
      </c>
      <c r="I1053" s="93" t="s">
        <v>471</v>
      </c>
      <c r="J1053" s="93" t="s">
        <v>493</v>
      </c>
      <c r="K1053" s="94" t="s">
        <v>494</v>
      </c>
      <c r="L1053" s="93"/>
      <c r="M1053" s="93"/>
      <c r="N1053" s="86" t="s">
        <v>1251</v>
      </c>
    </row>
    <row r="1054" spans="1:14" ht="31" x14ac:dyDescent="0.35">
      <c r="A1054" s="93" t="str">
        <f>VLOOKUP(C1054,Countries!$A$1:$D$205,2,FALSE)</f>
        <v>IRN</v>
      </c>
      <c r="B1054" s="86" t="s">
        <v>2461</v>
      </c>
      <c r="C1054" s="93" t="s">
        <v>387</v>
      </c>
      <c r="D1054" s="86" t="s">
        <v>2463</v>
      </c>
      <c r="E1054" s="94" t="s">
        <v>2095</v>
      </c>
      <c r="F1054" s="95"/>
      <c r="G1054" s="96">
        <v>42.557381808219169</v>
      </c>
      <c r="H1054" s="97">
        <f>G1054*1000*Conversion!$A$2</f>
        <v>3825.0574769227392</v>
      </c>
      <c r="I1054" s="93" t="s">
        <v>471</v>
      </c>
      <c r="J1054" s="93" t="s">
        <v>493</v>
      </c>
      <c r="K1054" s="94" t="s">
        <v>494</v>
      </c>
      <c r="L1054" s="93"/>
      <c r="M1054" s="93"/>
      <c r="N1054" s="86"/>
    </row>
    <row r="1055" spans="1:14" ht="31" x14ac:dyDescent="0.35">
      <c r="A1055" s="93" t="str">
        <f>VLOOKUP(C1055,Countries!$A$1:$D$205,2,FALSE)</f>
        <v>IRN</v>
      </c>
      <c r="B1055" s="86" t="s">
        <v>2464</v>
      </c>
      <c r="C1055" s="93" t="s">
        <v>387</v>
      </c>
      <c r="D1055" s="86" t="s">
        <v>2465</v>
      </c>
      <c r="E1055" s="94" t="s">
        <v>2095</v>
      </c>
      <c r="F1055" s="95">
        <v>2005</v>
      </c>
      <c r="G1055" s="96">
        <v>790.35137643835606</v>
      </c>
      <c r="H1055" s="97">
        <f>G1055*1000*Conversion!$A$2</f>
        <v>71036.781714279437</v>
      </c>
      <c r="I1055" s="93" t="s">
        <v>471</v>
      </c>
      <c r="J1055" s="93" t="s">
        <v>493</v>
      </c>
      <c r="K1055" s="94" t="s">
        <v>494</v>
      </c>
      <c r="L1055" s="93"/>
      <c r="M1055" s="93"/>
      <c r="N1055" s="86"/>
    </row>
    <row r="1056" spans="1:14" ht="31" x14ac:dyDescent="0.35">
      <c r="A1056" s="93" t="str">
        <f>VLOOKUP(C1056,Countries!$A$1:$D$205,2,FALSE)</f>
        <v>IRN</v>
      </c>
      <c r="B1056" s="86" t="s">
        <v>2464</v>
      </c>
      <c r="C1056" s="93" t="s">
        <v>387</v>
      </c>
      <c r="D1056" s="86" t="s">
        <v>2466</v>
      </c>
      <c r="E1056" s="94" t="s">
        <v>2093</v>
      </c>
      <c r="F1056" s="95">
        <v>2010</v>
      </c>
      <c r="G1056" s="96">
        <v>505.53575748207965</v>
      </c>
      <c r="H1056" s="97">
        <f>G1056*1000*Conversion!$A$2</f>
        <v>45437.553882489323</v>
      </c>
      <c r="I1056" s="93" t="s">
        <v>471</v>
      </c>
      <c r="J1056" s="93" t="s">
        <v>493</v>
      </c>
      <c r="K1056" s="94" t="s">
        <v>494</v>
      </c>
      <c r="L1056" s="93"/>
      <c r="M1056" s="93"/>
      <c r="N1056" s="86" t="s">
        <v>2467</v>
      </c>
    </row>
    <row r="1057" spans="1:14" ht="31" x14ac:dyDescent="0.35">
      <c r="A1057" s="93" t="str">
        <f>VLOOKUP(C1057,Countries!$A$1:$D$205,2,FALSE)</f>
        <v>IRN</v>
      </c>
      <c r="B1057" s="86" t="s">
        <v>2468</v>
      </c>
      <c r="C1057" s="93" t="s">
        <v>387</v>
      </c>
      <c r="D1057" s="86" t="s">
        <v>2469</v>
      </c>
      <c r="E1057" s="94" t="s">
        <v>2095</v>
      </c>
      <c r="F1057" s="95">
        <v>2007</v>
      </c>
      <c r="G1057" s="96">
        <v>2344.0691088879539</v>
      </c>
      <c r="H1057" s="97">
        <f>G1057*1000*Conversion!$A$2</f>
        <v>210684.93150684927</v>
      </c>
      <c r="I1057" s="93" t="s">
        <v>471</v>
      </c>
      <c r="J1057" s="93" t="s">
        <v>493</v>
      </c>
      <c r="K1057" s="94" t="s">
        <v>494</v>
      </c>
      <c r="L1057" s="93"/>
      <c r="M1057" s="93"/>
      <c r="N1057" s="86"/>
    </row>
    <row r="1058" spans="1:14" ht="31" x14ac:dyDescent="0.35">
      <c r="A1058" s="93" t="str">
        <f>VLOOKUP(C1058,Countries!$A$1:$D$205,2,FALSE)</f>
        <v>IRN</v>
      </c>
      <c r="B1058" s="86" t="s">
        <v>2470</v>
      </c>
      <c r="C1058" s="93" t="s">
        <v>387</v>
      </c>
      <c r="D1058" s="86" t="s">
        <v>2471</v>
      </c>
      <c r="E1058" s="94" t="s">
        <v>2093</v>
      </c>
      <c r="F1058" s="95">
        <v>1983</v>
      </c>
      <c r="G1058" s="96">
        <v>2</v>
      </c>
      <c r="H1058" s="97">
        <f>G1058*1000*Conversion!$A$2</f>
        <v>179.76</v>
      </c>
      <c r="I1058" s="93" t="s">
        <v>471</v>
      </c>
      <c r="J1058" s="93" t="s">
        <v>493</v>
      </c>
      <c r="K1058" s="94" t="s">
        <v>494</v>
      </c>
      <c r="L1058" s="93"/>
      <c r="M1058" s="93"/>
      <c r="N1058" s="86" t="s">
        <v>1251</v>
      </c>
    </row>
    <row r="1059" spans="1:14" ht="31" x14ac:dyDescent="0.35">
      <c r="A1059" s="93" t="str">
        <f>VLOOKUP(C1059,Countries!$A$1:$D$205,2,FALSE)</f>
        <v>IRN</v>
      </c>
      <c r="B1059" s="86" t="s">
        <v>2374</v>
      </c>
      <c r="C1059" s="93" t="s">
        <v>387</v>
      </c>
      <c r="D1059" s="86" t="s">
        <v>2472</v>
      </c>
      <c r="E1059" s="94" t="s">
        <v>2093</v>
      </c>
      <c r="F1059" s="95">
        <v>1998</v>
      </c>
      <c r="G1059" s="96">
        <v>6.3083949224259506</v>
      </c>
      <c r="H1059" s="97">
        <f>G1059*1000*Conversion!$A$2</f>
        <v>566.9985356276444</v>
      </c>
      <c r="I1059" s="93" t="s">
        <v>471</v>
      </c>
      <c r="J1059" s="93" t="s">
        <v>493</v>
      </c>
      <c r="K1059" s="94" t="s">
        <v>2473</v>
      </c>
      <c r="L1059" s="93"/>
      <c r="M1059" s="93"/>
      <c r="N1059" s="86" t="s">
        <v>2474</v>
      </c>
    </row>
    <row r="1060" spans="1:14" ht="31" x14ac:dyDescent="0.35">
      <c r="A1060" s="93" t="str">
        <f>VLOOKUP(C1060,Countries!$A$1:$D$205,2,FALSE)</f>
        <v>IRN</v>
      </c>
      <c r="B1060" s="86" t="s">
        <v>2361</v>
      </c>
      <c r="C1060" s="93" t="s">
        <v>387</v>
      </c>
      <c r="D1060" s="86" t="s">
        <v>2475</v>
      </c>
      <c r="E1060" s="94" t="s">
        <v>2093</v>
      </c>
      <c r="F1060" s="95"/>
      <c r="G1060" s="96">
        <v>0.86416368800355492</v>
      </c>
      <c r="H1060" s="97">
        <f>G1060*1000*Conversion!$A$2</f>
        <v>77.671032277759522</v>
      </c>
      <c r="I1060" s="93" t="s">
        <v>471</v>
      </c>
      <c r="J1060" s="93" t="s">
        <v>493</v>
      </c>
      <c r="K1060" s="94" t="s">
        <v>494</v>
      </c>
      <c r="L1060" s="93"/>
      <c r="M1060" s="93"/>
      <c r="N1060" s="86" t="s">
        <v>1251</v>
      </c>
    </row>
    <row r="1061" spans="1:14" ht="31" x14ac:dyDescent="0.35">
      <c r="A1061" s="93" t="str">
        <f>VLOOKUP(C1061,Countries!$A$1:$D$205,2,FALSE)</f>
        <v>IRN</v>
      </c>
      <c r="B1061" s="86" t="s">
        <v>2464</v>
      </c>
      <c r="C1061" s="93" t="s">
        <v>387</v>
      </c>
      <c r="D1061" s="86" t="s">
        <v>2476</v>
      </c>
      <c r="E1061" s="94" t="s">
        <v>2095</v>
      </c>
      <c r="F1061" s="95"/>
      <c r="G1061" s="96">
        <v>624.68156868493145</v>
      </c>
      <c r="H1061" s="97">
        <f>G1061*1000*Conversion!$A$2</f>
        <v>56146.379393401643</v>
      </c>
      <c r="I1061" s="93" t="s">
        <v>471</v>
      </c>
      <c r="J1061" s="93" t="s">
        <v>493</v>
      </c>
      <c r="K1061" s="94" t="s">
        <v>494</v>
      </c>
      <c r="L1061" s="93"/>
      <c r="M1061" s="93"/>
      <c r="N1061" s="86"/>
    </row>
    <row r="1062" spans="1:14" ht="31" x14ac:dyDescent="0.35">
      <c r="A1062" s="93" t="str">
        <f>VLOOKUP(C1062,Countries!$A$1:$D$205,2,FALSE)</f>
        <v>IRN</v>
      </c>
      <c r="B1062" s="86" t="s">
        <v>2477</v>
      </c>
      <c r="C1062" s="93" t="s">
        <v>387</v>
      </c>
      <c r="D1062" s="86" t="s">
        <v>2478</v>
      </c>
      <c r="E1062" s="94" t="s">
        <v>2095</v>
      </c>
      <c r="F1062" s="95">
        <v>2021</v>
      </c>
      <c r="G1062" s="96">
        <v>696.11717386301359</v>
      </c>
      <c r="H1062" s="97">
        <f>G1062*1000*Conversion!$A$2</f>
        <v>62567.011586807668</v>
      </c>
      <c r="I1062" s="93" t="s">
        <v>471</v>
      </c>
      <c r="J1062" s="93" t="s">
        <v>493</v>
      </c>
      <c r="K1062" s="94" t="s">
        <v>494</v>
      </c>
      <c r="L1062" s="93"/>
      <c r="M1062" s="93"/>
      <c r="N1062" s="86"/>
    </row>
    <row r="1063" spans="1:14" ht="15.5" x14ac:dyDescent="0.35">
      <c r="A1063" s="93" t="str">
        <f>VLOOKUP(C1063,Countries!$A$1:$D$205,2,FALSE)</f>
        <v>IRN</v>
      </c>
      <c r="B1063" s="86" t="s">
        <v>2468</v>
      </c>
      <c r="C1063" s="93" t="s">
        <v>387</v>
      </c>
      <c r="D1063" s="86" t="s">
        <v>2479</v>
      </c>
      <c r="E1063" s="94" t="s">
        <v>2095</v>
      </c>
      <c r="F1063" s="95">
        <v>2007</v>
      </c>
      <c r="G1063" s="96">
        <v>2006.2765709589039</v>
      </c>
      <c r="H1063" s="97">
        <f>G1063*1000*Conversion!$A$2</f>
        <v>180324.13819778629</v>
      </c>
      <c r="I1063" s="93" t="s">
        <v>471</v>
      </c>
      <c r="J1063" s="93" t="s">
        <v>493</v>
      </c>
      <c r="K1063" s="94" t="s">
        <v>494</v>
      </c>
      <c r="L1063" s="93"/>
      <c r="M1063" s="93"/>
      <c r="N1063" s="86"/>
    </row>
    <row r="1064" spans="1:14" ht="15.5" x14ac:dyDescent="0.35">
      <c r="A1064" s="93" t="str">
        <f>VLOOKUP(C1064,Countries!$A$1:$D$205,2,FALSE)</f>
        <v>IRN</v>
      </c>
      <c r="B1064" s="86" t="s">
        <v>2468</v>
      </c>
      <c r="C1064" s="93" t="s">
        <v>387</v>
      </c>
      <c r="D1064" s="86" t="s">
        <v>2480</v>
      </c>
      <c r="E1064" s="94" t="s">
        <v>2095</v>
      </c>
      <c r="F1064" s="95">
        <v>2008</v>
      </c>
      <c r="G1064" s="96">
        <v>4688.1382177759078</v>
      </c>
      <c r="H1064" s="97">
        <f>G1064*1000*Conversion!$A$2</f>
        <v>421369.86301369854</v>
      </c>
      <c r="I1064" s="93" t="s">
        <v>471</v>
      </c>
      <c r="J1064" s="93" t="s">
        <v>493</v>
      </c>
      <c r="K1064" s="94" t="s">
        <v>494</v>
      </c>
      <c r="L1064" s="93"/>
      <c r="M1064" s="93"/>
      <c r="N1064" s="86"/>
    </row>
    <row r="1065" spans="1:14" ht="31" x14ac:dyDescent="0.35">
      <c r="A1065" s="93" t="str">
        <f>VLOOKUP(C1065,Countries!$A$1:$D$205,2,FALSE)</f>
        <v>IRN</v>
      </c>
      <c r="B1065" s="86" t="s">
        <v>2481</v>
      </c>
      <c r="C1065" s="93" t="s">
        <v>387</v>
      </c>
      <c r="D1065" s="86" t="s">
        <v>2482</v>
      </c>
      <c r="E1065" s="94" t="s">
        <v>2093</v>
      </c>
      <c r="F1065" s="95"/>
      <c r="G1065" s="96">
        <v>1.7332282430314978</v>
      </c>
      <c r="H1065" s="97">
        <f>G1065*1000*Conversion!$A$2</f>
        <v>155.78255448367102</v>
      </c>
      <c r="I1065" s="93" t="s">
        <v>471</v>
      </c>
      <c r="J1065" s="93" t="s">
        <v>493</v>
      </c>
      <c r="K1065" s="94" t="s">
        <v>494</v>
      </c>
      <c r="L1065" s="93"/>
      <c r="M1065" s="93"/>
      <c r="N1065" s="86" t="s">
        <v>1251</v>
      </c>
    </row>
    <row r="1066" spans="1:14" ht="31" x14ac:dyDescent="0.35">
      <c r="A1066" s="93" t="str">
        <f>VLOOKUP(C1066,Countries!$A$1:$D$205,2,FALSE)</f>
        <v>IRN</v>
      </c>
      <c r="B1066" s="86" t="s">
        <v>2483</v>
      </c>
      <c r="C1066" s="93" t="s">
        <v>387</v>
      </c>
      <c r="D1066" s="86" t="s">
        <v>2484</v>
      </c>
      <c r="E1066" s="94" t="s">
        <v>2093</v>
      </c>
      <c r="F1066" s="95">
        <v>2007</v>
      </c>
      <c r="G1066" s="96">
        <v>28.5</v>
      </c>
      <c r="H1066" s="97">
        <f>G1066*1000*Conversion!$A$2</f>
        <v>2561.58</v>
      </c>
      <c r="I1066" s="93" t="s">
        <v>471</v>
      </c>
      <c r="J1066" s="93" t="s">
        <v>493</v>
      </c>
      <c r="K1066" s="94" t="s">
        <v>494</v>
      </c>
      <c r="L1066" s="93"/>
      <c r="M1066" s="93"/>
      <c r="N1066" s="86" t="s">
        <v>2485</v>
      </c>
    </row>
    <row r="1067" spans="1:14" ht="31" x14ac:dyDescent="0.35">
      <c r="A1067" s="93" t="str">
        <f>VLOOKUP(C1067,Countries!$A$1:$D$205,2,FALSE)</f>
        <v>IRN</v>
      </c>
      <c r="B1067" s="86" t="s">
        <v>2464</v>
      </c>
      <c r="C1067" s="93" t="s">
        <v>387</v>
      </c>
      <c r="D1067" s="86" t="s">
        <v>2486</v>
      </c>
      <c r="E1067" s="94" t="s">
        <v>2095</v>
      </c>
      <c r="F1067" s="95">
        <v>2013</v>
      </c>
      <c r="G1067" s="96">
        <v>1671.8971424657532</v>
      </c>
      <c r="H1067" s="97">
        <f>G1067*1000*Conversion!$A$2</f>
        <v>150270.11516482191</v>
      </c>
      <c r="I1067" s="93" t="s">
        <v>471</v>
      </c>
      <c r="J1067" s="93" t="s">
        <v>493</v>
      </c>
      <c r="K1067" s="94" t="s">
        <v>494</v>
      </c>
      <c r="L1067" s="93"/>
      <c r="M1067" s="93"/>
      <c r="N1067" s="86"/>
    </row>
    <row r="1068" spans="1:14" ht="31" x14ac:dyDescent="0.35">
      <c r="A1068" s="93" t="str">
        <f>VLOOKUP(C1068,Countries!$A$1:$D$205,2,FALSE)</f>
        <v>IRN</v>
      </c>
      <c r="B1068" s="86" t="s">
        <v>2487</v>
      </c>
      <c r="C1068" s="93" t="s">
        <v>387</v>
      </c>
      <c r="D1068" s="86" t="s">
        <v>2488</v>
      </c>
      <c r="E1068" s="94" t="s">
        <v>2093</v>
      </c>
      <c r="F1068" s="95"/>
      <c r="G1068" s="96">
        <v>1.7332282430314978</v>
      </c>
      <c r="H1068" s="97">
        <f>G1068*1000*Conversion!$A$2</f>
        <v>155.78255448367102</v>
      </c>
      <c r="I1068" s="93" t="s">
        <v>471</v>
      </c>
      <c r="J1068" s="93" t="s">
        <v>493</v>
      </c>
      <c r="K1068" s="94" t="s">
        <v>494</v>
      </c>
      <c r="L1068" s="93"/>
      <c r="M1068" s="93"/>
      <c r="N1068" s="86" t="s">
        <v>1251</v>
      </c>
    </row>
    <row r="1069" spans="1:14" ht="31" x14ac:dyDescent="0.35">
      <c r="A1069" s="93" t="str">
        <f>VLOOKUP(C1069,Countries!$A$1:$D$205,2,FALSE)</f>
        <v>IRN</v>
      </c>
      <c r="B1069" s="86" t="s">
        <v>2468</v>
      </c>
      <c r="C1069" s="93" t="s">
        <v>387</v>
      </c>
      <c r="D1069" s="86" t="s">
        <v>2489</v>
      </c>
      <c r="E1069" s="94" t="s">
        <v>2095</v>
      </c>
      <c r="F1069" s="95">
        <v>2010</v>
      </c>
      <c r="G1069" s="96">
        <v>1172.034554443977</v>
      </c>
      <c r="H1069" s="97">
        <f>G1069*1000*Conversion!$A$2</f>
        <v>105342.46575342464</v>
      </c>
      <c r="I1069" s="93" t="s">
        <v>471</v>
      </c>
      <c r="J1069" s="93" t="s">
        <v>493</v>
      </c>
      <c r="K1069" s="94" t="s">
        <v>494</v>
      </c>
      <c r="L1069" s="93"/>
      <c r="M1069" s="93"/>
      <c r="N1069" s="86"/>
    </row>
    <row r="1070" spans="1:14" ht="31" x14ac:dyDescent="0.35">
      <c r="A1070" s="93" t="str">
        <f>VLOOKUP(C1070,Countries!$A$1:$D$205,2,FALSE)</f>
        <v>IRN</v>
      </c>
      <c r="B1070" s="86" t="s">
        <v>2361</v>
      </c>
      <c r="C1070" s="93" t="s">
        <v>387</v>
      </c>
      <c r="D1070" s="86" t="s">
        <v>2490</v>
      </c>
      <c r="E1070" s="94" t="s">
        <v>2093</v>
      </c>
      <c r="F1070" s="95">
        <v>1996</v>
      </c>
      <c r="G1070" s="96">
        <v>9.4547600657368207</v>
      </c>
      <c r="H1070" s="97">
        <f>G1070*1000*Conversion!$A$2</f>
        <v>849.79383470842538</v>
      </c>
      <c r="I1070" s="93" t="s">
        <v>471</v>
      </c>
      <c r="J1070" s="93" t="s">
        <v>493</v>
      </c>
      <c r="K1070" s="94" t="s">
        <v>494</v>
      </c>
      <c r="L1070" s="93"/>
      <c r="M1070" s="93"/>
      <c r="N1070" s="86" t="s">
        <v>1251</v>
      </c>
    </row>
    <row r="1071" spans="1:14" ht="31" x14ac:dyDescent="0.35">
      <c r="A1071" s="93" t="str">
        <f>VLOOKUP(C1071,Countries!$A$1:$D$205,2,FALSE)</f>
        <v>IRN</v>
      </c>
      <c r="B1071" s="86" t="s">
        <v>2491</v>
      </c>
      <c r="C1071" s="93" t="s">
        <v>387</v>
      </c>
      <c r="D1071" s="86" t="s">
        <v>2490</v>
      </c>
      <c r="E1071" s="94" t="s">
        <v>2093</v>
      </c>
      <c r="F1071" s="95"/>
      <c r="G1071" s="96">
        <v>1</v>
      </c>
      <c r="H1071" s="97">
        <f>G1071*1000*Conversion!$A$2</f>
        <v>89.88</v>
      </c>
      <c r="I1071" s="93" t="s">
        <v>471</v>
      </c>
      <c r="J1071" s="93" t="s">
        <v>493</v>
      </c>
      <c r="K1071" s="94" t="s">
        <v>494</v>
      </c>
      <c r="L1071" s="93"/>
      <c r="M1071" s="93"/>
      <c r="N1071" s="86" t="s">
        <v>1251</v>
      </c>
    </row>
    <row r="1072" spans="1:14" ht="31" x14ac:dyDescent="0.35">
      <c r="A1072" s="93" t="str">
        <f>VLOOKUP(C1072,Countries!$A$1:$D$205,2,FALSE)</f>
        <v>IRN</v>
      </c>
      <c r="B1072" s="86" t="s">
        <v>2468</v>
      </c>
      <c r="C1072" s="93" t="s">
        <v>387</v>
      </c>
      <c r="D1072" s="86" t="s">
        <v>2492</v>
      </c>
      <c r="E1072" s="94" t="s">
        <v>2106</v>
      </c>
      <c r="F1072" s="95">
        <v>2010</v>
      </c>
      <c r="G1072" s="96">
        <v>393.33435814721361</v>
      </c>
      <c r="H1072" s="97">
        <f>G1072*1000*Conversion!$A$2</f>
        <v>35352.892110271554</v>
      </c>
      <c r="I1072" s="93" t="s">
        <v>471</v>
      </c>
      <c r="J1072" s="93" t="s">
        <v>493</v>
      </c>
      <c r="K1072" s="94" t="s">
        <v>494</v>
      </c>
      <c r="L1072" s="93"/>
      <c r="M1072" s="93"/>
      <c r="N1072" s="86"/>
    </row>
    <row r="1073" spans="1:14" ht="31" x14ac:dyDescent="0.35">
      <c r="A1073" s="93" t="str">
        <f>VLOOKUP(C1073,Countries!$A$1:$D$205,2,FALSE)</f>
        <v>IRN</v>
      </c>
      <c r="B1073" s="86" t="s">
        <v>2461</v>
      </c>
      <c r="C1073" s="93" t="s">
        <v>387</v>
      </c>
      <c r="D1073" s="86" t="s">
        <v>2493</v>
      </c>
      <c r="E1073" s="94" t="s">
        <v>2093</v>
      </c>
      <c r="F1073" s="95">
        <v>1963</v>
      </c>
      <c r="G1073" s="96">
        <v>17.283273760071097</v>
      </c>
      <c r="H1073" s="97">
        <f>G1073*1000*Conversion!$A$2</f>
        <v>1553.4206455551903</v>
      </c>
      <c r="I1073" s="93" t="s">
        <v>471</v>
      </c>
      <c r="J1073" s="93" t="s">
        <v>493</v>
      </c>
      <c r="K1073" s="94" t="s">
        <v>494</v>
      </c>
      <c r="L1073" s="93"/>
      <c r="M1073" s="93"/>
      <c r="N1073" s="86" t="s">
        <v>2494</v>
      </c>
    </row>
    <row r="1074" spans="1:14" ht="31" x14ac:dyDescent="0.35">
      <c r="A1074" s="93" t="str">
        <f>VLOOKUP(C1074,Countries!$A$1:$D$205,2,FALSE)</f>
        <v>IRN</v>
      </c>
      <c r="B1074" s="86" t="s">
        <v>2468</v>
      </c>
      <c r="C1074" s="93" t="s">
        <v>387</v>
      </c>
      <c r="D1074" s="86" t="s">
        <v>2495</v>
      </c>
      <c r="E1074" s="94" t="s">
        <v>2093</v>
      </c>
      <c r="F1074" s="95"/>
      <c r="G1074" s="96">
        <v>17.332282430314979</v>
      </c>
      <c r="H1074" s="97">
        <f>G1074*1000*Conversion!$A$2</f>
        <v>1557.8255448367104</v>
      </c>
      <c r="I1074" s="93" t="s">
        <v>471</v>
      </c>
      <c r="J1074" s="93" t="s">
        <v>493</v>
      </c>
      <c r="K1074" s="94" t="s">
        <v>494</v>
      </c>
      <c r="L1074" s="93"/>
      <c r="M1074" s="93"/>
      <c r="N1074" s="86" t="s">
        <v>1251</v>
      </c>
    </row>
    <row r="1075" spans="1:14" ht="31" x14ac:dyDescent="0.35">
      <c r="A1075" s="93" t="str">
        <f>VLOOKUP(C1075,Countries!$A$1:$D$205,2,FALSE)</f>
        <v>IRN</v>
      </c>
      <c r="B1075" s="86" t="s">
        <v>2487</v>
      </c>
      <c r="C1075" s="93" t="s">
        <v>387</v>
      </c>
      <c r="D1075" s="86" t="s">
        <v>2496</v>
      </c>
      <c r="E1075" s="94" t="s">
        <v>2093</v>
      </c>
      <c r="F1075" s="95"/>
      <c r="G1075" s="96">
        <v>2.5998423645472468</v>
      </c>
      <c r="H1075" s="97">
        <f>G1075*1000*Conversion!$A$2</f>
        <v>233.67383172550655</v>
      </c>
      <c r="I1075" s="93" t="s">
        <v>471</v>
      </c>
      <c r="J1075" s="93" t="s">
        <v>493</v>
      </c>
      <c r="K1075" s="94" t="s">
        <v>494</v>
      </c>
      <c r="L1075" s="93"/>
      <c r="M1075" s="93"/>
      <c r="N1075" s="86" t="s">
        <v>1251</v>
      </c>
    </row>
    <row r="1076" spans="1:14" ht="31" x14ac:dyDescent="0.35">
      <c r="A1076" s="93" t="str">
        <f>VLOOKUP(C1076,Countries!$A$1:$D$205,2,FALSE)</f>
        <v>IRN</v>
      </c>
      <c r="B1076" s="86" t="s">
        <v>2497</v>
      </c>
      <c r="C1076" s="93" t="s">
        <v>387</v>
      </c>
      <c r="D1076" s="86" t="s">
        <v>2498</v>
      </c>
      <c r="E1076" s="94" t="s">
        <v>2095</v>
      </c>
      <c r="F1076" s="95"/>
      <c r="G1076" s="96">
        <v>471.17101287671227</v>
      </c>
      <c r="H1076" s="97">
        <f>G1076*1000*Conversion!$A$2</f>
        <v>42348.850637358897</v>
      </c>
      <c r="I1076" s="93" t="s">
        <v>471</v>
      </c>
      <c r="J1076" s="93" t="s">
        <v>493</v>
      </c>
      <c r="K1076" s="94" t="s">
        <v>494</v>
      </c>
      <c r="L1076" s="93"/>
      <c r="M1076" s="93"/>
      <c r="N1076" s="86"/>
    </row>
    <row r="1077" spans="1:14" ht="31" x14ac:dyDescent="0.35">
      <c r="A1077" s="93" t="str">
        <f>VLOOKUP(C1077,Countries!$A$1:$D$205,2,FALSE)</f>
        <v>IRN</v>
      </c>
      <c r="B1077" s="86" t="s">
        <v>2374</v>
      </c>
      <c r="C1077" s="93" t="s">
        <v>387</v>
      </c>
      <c r="D1077" s="86" t="s">
        <v>2499</v>
      </c>
      <c r="E1077" s="94" t="s">
        <v>2095</v>
      </c>
      <c r="F1077" s="95"/>
      <c r="G1077" s="96">
        <v>227.98597397260269</v>
      </c>
      <c r="H1077" s="97">
        <f>G1077*1000*Conversion!$A$2</f>
        <v>20491.379340657531</v>
      </c>
      <c r="I1077" s="93" t="s">
        <v>471</v>
      </c>
      <c r="J1077" s="93" t="s">
        <v>493</v>
      </c>
      <c r="K1077" s="94" t="s">
        <v>494</v>
      </c>
      <c r="L1077" s="93"/>
      <c r="M1077" s="93"/>
      <c r="N1077" s="86"/>
    </row>
    <row r="1078" spans="1:14" ht="31" x14ac:dyDescent="0.35">
      <c r="A1078" s="93" t="str">
        <f>VLOOKUP(C1078,Countries!$A$1:$D$205,2,FALSE)</f>
        <v>IRN</v>
      </c>
      <c r="B1078" s="86" t="s">
        <v>2374</v>
      </c>
      <c r="C1078" s="93" t="s">
        <v>387</v>
      </c>
      <c r="D1078" s="86" t="s">
        <v>2499</v>
      </c>
      <c r="E1078" s="94" t="s">
        <v>2106</v>
      </c>
      <c r="F1078" s="95"/>
      <c r="G1078" s="96">
        <v>62.277940039975491</v>
      </c>
      <c r="H1078" s="97">
        <f>G1078*1000*Conversion!$A$2</f>
        <v>5597.5412507929968</v>
      </c>
      <c r="I1078" s="93" t="s">
        <v>471</v>
      </c>
      <c r="J1078" s="93" t="s">
        <v>493</v>
      </c>
      <c r="K1078" s="94" t="s">
        <v>494</v>
      </c>
      <c r="L1078" s="93"/>
      <c r="M1078" s="93"/>
      <c r="N1078" s="86"/>
    </row>
    <row r="1079" spans="1:14" ht="31" x14ac:dyDescent="0.35">
      <c r="A1079" s="93" t="str">
        <f>VLOOKUP(C1079,Countries!$A$1:$D$205,2,FALSE)</f>
        <v>IRN</v>
      </c>
      <c r="B1079" s="86" t="s">
        <v>2376</v>
      </c>
      <c r="C1079" s="93" t="s">
        <v>387</v>
      </c>
      <c r="D1079" s="86" t="s">
        <v>2500</v>
      </c>
      <c r="E1079" s="94" t="s">
        <v>2093</v>
      </c>
      <c r="F1079" s="95"/>
      <c r="G1079" s="96">
        <v>2.5924910640106646</v>
      </c>
      <c r="H1079" s="97">
        <f>G1079*1000*Conversion!$A$2</f>
        <v>233.01309683327852</v>
      </c>
      <c r="I1079" s="93" t="s">
        <v>471</v>
      </c>
      <c r="J1079" s="93" t="s">
        <v>493</v>
      </c>
      <c r="K1079" s="94" t="s">
        <v>494</v>
      </c>
      <c r="L1079" s="93"/>
      <c r="M1079" s="93"/>
      <c r="N1079" s="86" t="s">
        <v>1251</v>
      </c>
    </row>
    <row r="1080" spans="1:14" ht="31" x14ac:dyDescent="0.35">
      <c r="A1080" s="93" t="str">
        <f>VLOOKUP(C1080,Countries!$A$1:$D$205,2,FALSE)</f>
        <v>IRQ</v>
      </c>
      <c r="B1080" s="86" t="s">
        <v>2501</v>
      </c>
      <c r="C1080" s="93" t="s">
        <v>390</v>
      </c>
      <c r="D1080" s="86" t="s">
        <v>2502</v>
      </c>
      <c r="E1080" s="94" t="s">
        <v>2095</v>
      </c>
      <c r="F1080" s="93"/>
      <c r="G1080" s="96">
        <v>352</v>
      </c>
      <c r="H1080" s="97">
        <f>G1080*1000*Conversion!$A$2</f>
        <v>31637.760000000002</v>
      </c>
      <c r="I1080" s="93" t="s">
        <v>471</v>
      </c>
      <c r="J1080" s="93" t="s">
        <v>493</v>
      </c>
      <c r="K1080" s="94" t="s">
        <v>494</v>
      </c>
      <c r="L1080" s="93"/>
      <c r="M1080" s="93"/>
      <c r="N1080" s="93"/>
    </row>
    <row r="1081" spans="1:14" ht="31" x14ac:dyDescent="0.35">
      <c r="A1081" s="93" t="str">
        <f>VLOOKUP(C1081,Countries!$A$1:$D$205,2,FALSE)</f>
        <v>ISR</v>
      </c>
      <c r="B1081" s="86" t="s">
        <v>2503</v>
      </c>
      <c r="C1081" s="93" t="s">
        <v>392</v>
      </c>
      <c r="D1081" s="86" t="s">
        <v>2504</v>
      </c>
      <c r="E1081" s="94" t="s">
        <v>2093</v>
      </c>
      <c r="F1081" s="93"/>
      <c r="G1081" s="96">
        <v>30.245729080124423</v>
      </c>
      <c r="H1081" s="97">
        <f>G1081*1000*Conversion!$A$2</f>
        <v>2718.4861297215834</v>
      </c>
      <c r="I1081" s="93" t="s">
        <v>471</v>
      </c>
      <c r="J1081" s="93" t="s">
        <v>493</v>
      </c>
      <c r="K1081" s="94" t="s">
        <v>494</v>
      </c>
      <c r="L1081" s="93"/>
      <c r="M1081" s="93"/>
      <c r="N1081" s="86" t="s">
        <v>2505</v>
      </c>
    </row>
    <row r="1082" spans="1:14" ht="15.5" x14ac:dyDescent="0.35">
      <c r="A1082" s="93" t="str">
        <f>VLOOKUP(C1082,Countries!$A$1:$D$205,2,FALSE)</f>
        <v>ISR</v>
      </c>
      <c r="B1082" s="86" t="s">
        <v>2503</v>
      </c>
      <c r="C1082" s="93" t="s">
        <v>392</v>
      </c>
      <c r="D1082" s="86" t="s">
        <v>2506</v>
      </c>
      <c r="E1082" s="94" t="s">
        <v>261</v>
      </c>
      <c r="F1082" s="93"/>
      <c r="G1082" s="96"/>
      <c r="H1082" s="97">
        <f>G1082*1000*Conversion!$A$2</f>
        <v>0</v>
      </c>
      <c r="I1082" s="93" t="s">
        <v>471</v>
      </c>
      <c r="J1082" s="93" t="s">
        <v>493</v>
      </c>
      <c r="K1082" s="94" t="s">
        <v>1472</v>
      </c>
      <c r="L1082" s="93"/>
      <c r="M1082" s="93"/>
      <c r="N1082" s="86" t="s">
        <v>2507</v>
      </c>
    </row>
    <row r="1083" spans="1:14" ht="15.5" x14ac:dyDescent="0.35">
      <c r="A1083" s="93" t="str">
        <f>VLOOKUP(C1083,Countries!$A$1:$D$205,2,FALSE)</f>
        <v>ISR</v>
      </c>
      <c r="B1083" s="86" t="s">
        <v>2508</v>
      </c>
      <c r="C1083" s="93" t="s">
        <v>392</v>
      </c>
      <c r="D1083" s="86" t="s">
        <v>2509</v>
      </c>
      <c r="E1083" s="94" t="s">
        <v>2095</v>
      </c>
      <c r="F1083" s="93"/>
      <c r="G1083" s="96">
        <v>364.77755835616432</v>
      </c>
      <c r="H1083" s="97">
        <f>G1083*1000*Conversion!$A$2</f>
        <v>32786.20694505205</v>
      </c>
      <c r="I1083" s="93" t="s">
        <v>471</v>
      </c>
      <c r="J1083" s="93" t="s">
        <v>493</v>
      </c>
      <c r="K1083" s="94" t="s">
        <v>494</v>
      </c>
      <c r="L1083" s="93"/>
      <c r="M1083" s="93"/>
      <c r="N1083" s="86"/>
    </row>
    <row r="1084" spans="1:14" ht="31" x14ac:dyDescent="0.35">
      <c r="A1084" s="93" t="str">
        <f>VLOOKUP(C1084,Countries!$A$1:$D$205,2,FALSE)</f>
        <v>ISR</v>
      </c>
      <c r="B1084" s="86" t="s">
        <v>2510</v>
      </c>
      <c r="C1084" s="93" t="s">
        <v>392</v>
      </c>
      <c r="D1084" s="86" t="s">
        <v>2511</v>
      </c>
      <c r="E1084" s="94" t="s">
        <v>2093</v>
      </c>
      <c r="F1084" s="93">
        <v>1997</v>
      </c>
      <c r="G1084" s="96">
        <v>86.416368800355485</v>
      </c>
      <c r="H1084" s="97">
        <f>G1084*1000*Conversion!$A$2</f>
        <v>7767.1032277759514</v>
      </c>
      <c r="I1084" s="93" t="s">
        <v>471</v>
      </c>
      <c r="J1084" s="93" t="s">
        <v>493</v>
      </c>
      <c r="K1084" s="94" t="s">
        <v>503</v>
      </c>
      <c r="L1084" s="93"/>
      <c r="M1084" s="93"/>
      <c r="N1084" s="86" t="s">
        <v>2512</v>
      </c>
    </row>
    <row r="1085" spans="1:14" ht="31" x14ac:dyDescent="0.35">
      <c r="A1085" s="93" t="str">
        <f>VLOOKUP(C1085,Countries!$A$1:$D$205,2,FALSE)</f>
        <v>ISR</v>
      </c>
      <c r="B1085" s="86" t="s">
        <v>2503</v>
      </c>
      <c r="C1085" s="93" t="s">
        <v>392</v>
      </c>
      <c r="D1085" s="86" t="s">
        <v>2513</v>
      </c>
      <c r="E1085" s="94" t="s">
        <v>2093</v>
      </c>
      <c r="F1085" s="93"/>
      <c r="G1085" s="96">
        <v>39</v>
      </c>
      <c r="H1085" s="97">
        <f>G1085*1000*Conversion!$A$2</f>
        <v>3505.32</v>
      </c>
      <c r="I1085" s="93" t="s">
        <v>471</v>
      </c>
      <c r="J1085" s="93" t="s">
        <v>493</v>
      </c>
      <c r="K1085" s="94" t="s">
        <v>494</v>
      </c>
      <c r="L1085" s="93"/>
      <c r="M1085" s="93"/>
      <c r="N1085" s="86" t="s">
        <v>2512</v>
      </c>
    </row>
    <row r="1086" spans="1:14" ht="31" x14ac:dyDescent="0.35">
      <c r="A1086" s="93" t="str">
        <f>VLOOKUP(C1086,Countries!$A$1:$D$205,2,FALSE)</f>
        <v>JOR</v>
      </c>
      <c r="B1086" s="86" t="s">
        <v>2514</v>
      </c>
      <c r="C1086" s="93" t="s">
        <v>398</v>
      </c>
      <c r="D1086" s="86" t="s">
        <v>2515</v>
      </c>
      <c r="E1086" s="94" t="s">
        <v>2093</v>
      </c>
      <c r="F1086" s="93">
        <v>2008</v>
      </c>
      <c r="G1086" s="96">
        <v>28</v>
      </c>
      <c r="H1086" s="97">
        <f>G1086*1000*Conversion!$A$2</f>
        <v>2516.64</v>
      </c>
      <c r="I1086" s="93" t="s">
        <v>471</v>
      </c>
      <c r="J1086" s="93" t="s">
        <v>493</v>
      </c>
      <c r="K1086" s="94" t="s">
        <v>494</v>
      </c>
      <c r="L1086" s="93"/>
      <c r="M1086" s="93"/>
      <c r="N1086" s="86" t="s">
        <v>2516</v>
      </c>
    </row>
    <row r="1087" spans="1:14" ht="31" x14ac:dyDescent="0.35">
      <c r="A1087" s="93" t="str">
        <f>VLOOKUP(C1087,Countries!$A$1:$D$205,2,FALSE)</f>
        <v>JOR</v>
      </c>
      <c r="B1087" s="86" t="s">
        <v>2517</v>
      </c>
      <c r="C1087" s="93" t="s">
        <v>398</v>
      </c>
      <c r="D1087" s="86" t="s">
        <v>2518</v>
      </c>
      <c r="E1087" s="94" t="s">
        <v>2153</v>
      </c>
      <c r="F1087" s="93">
        <v>2005</v>
      </c>
      <c r="G1087" s="96">
        <v>21.604092200088871</v>
      </c>
      <c r="H1087" s="97">
        <f>G1087*1000*Conversion!$A$2</f>
        <v>1941.7758069439878</v>
      </c>
      <c r="I1087" s="93" t="s">
        <v>471</v>
      </c>
      <c r="J1087" s="93" t="s">
        <v>493</v>
      </c>
      <c r="K1087" s="94" t="s">
        <v>494</v>
      </c>
      <c r="L1087" s="93"/>
      <c r="M1087" s="93"/>
      <c r="N1087" s="86" t="s">
        <v>2519</v>
      </c>
    </row>
    <row r="1088" spans="1:14" ht="31" x14ac:dyDescent="0.35">
      <c r="A1088" s="93" t="str">
        <f>VLOOKUP(C1088,Countries!$A$1:$D$205,2,FALSE)</f>
        <v>JOR</v>
      </c>
      <c r="B1088" s="86" t="s">
        <v>2514</v>
      </c>
      <c r="C1088" s="93" t="s">
        <v>398</v>
      </c>
      <c r="D1088" s="86" t="s">
        <v>2520</v>
      </c>
      <c r="E1088" s="94" t="s">
        <v>2093</v>
      </c>
      <c r="F1088" s="93">
        <v>1995</v>
      </c>
      <c r="G1088" s="96">
        <v>15.59905418728348</v>
      </c>
      <c r="H1088" s="97">
        <f>G1088*1000*Conversion!$A$2</f>
        <v>1402.0429903530392</v>
      </c>
      <c r="I1088" s="93" t="s">
        <v>471</v>
      </c>
      <c r="J1088" s="93" t="s">
        <v>493</v>
      </c>
      <c r="K1088" s="94" t="s">
        <v>494</v>
      </c>
      <c r="L1088" s="93"/>
      <c r="M1088" s="93"/>
      <c r="N1088" s="93"/>
    </row>
    <row r="1089" spans="1:14" ht="31" x14ac:dyDescent="0.35">
      <c r="A1089" s="93" t="str">
        <f>VLOOKUP(C1089,Countries!$A$1:$D$205,2,FALSE)</f>
        <v>KWT</v>
      </c>
      <c r="B1089" s="86" t="s">
        <v>2521</v>
      </c>
      <c r="C1089" s="93" t="s">
        <v>400</v>
      </c>
      <c r="D1089" s="86" t="s">
        <v>2522</v>
      </c>
      <c r="E1089" s="94" t="s">
        <v>2095</v>
      </c>
      <c r="F1089" s="93"/>
      <c r="G1089" s="96">
        <v>2156.5435801769177</v>
      </c>
      <c r="H1089" s="97">
        <f>G1089*1000*Conversion!$A$2</f>
        <v>193830.13698630137</v>
      </c>
      <c r="I1089" s="93" t="s">
        <v>471</v>
      </c>
      <c r="J1089" s="93" t="s">
        <v>493</v>
      </c>
      <c r="K1089" s="94" t="s">
        <v>494</v>
      </c>
      <c r="L1089" s="93"/>
      <c r="M1089" s="93"/>
      <c r="N1089" s="86"/>
    </row>
    <row r="1090" spans="1:14" ht="31" x14ac:dyDescent="0.35">
      <c r="A1090" s="93" t="str">
        <f>VLOOKUP(C1090,Countries!$A$1:$D$205,2,FALSE)</f>
        <v>KWT</v>
      </c>
      <c r="B1090" s="86" t="s">
        <v>2521</v>
      </c>
      <c r="C1090" s="93" t="s">
        <v>400</v>
      </c>
      <c r="D1090" s="86" t="s">
        <v>2523</v>
      </c>
      <c r="E1090" s="94" t="s">
        <v>2106</v>
      </c>
      <c r="F1090" s="93">
        <v>2009</v>
      </c>
      <c r="G1090" s="96">
        <v>340.88977706091845</v>
      </c>
      <c r="H1090" s="97">
        <f>G1090*1000*Conversion!$A$2</f>
        <v>30639.173162235351</v>
      </c>
      <c r="I1090" s="93" t="s">
        <v>471</v>
      </c>
      <c r="J1090" s="93" t="s">
        <v>493</v>
      </c>
      <c r="K1090" s="94" t="s">
        <v>494</v>
      </c>
      <c r="L1090" s="93"/>
      <c r="M1090" s="93"/>
      <c r="N1090" s="86" t="s">
        <v>2524</v>
      </c>
    </row>
    <row r="1091" spans="1:14" ht="31" x14ac:dyDescent="0.35">
      <c r="A1091" s="93" t="str">
        <f>VLOOKUP(C1091,Countries!$A$1:$D$205,2,FALSE)</f>
        <v>KWT</v>
      </c>
      <c r="B1091" s="86" t="s">
        <v>2521</v>
      </c>
      <c r="C1091" s="93" t="s">
        <v>400</v>
      </c>
      <c r="D1091" s="86" t="s">
        <v>2523</v>
      </c>
      <c r="E1091" s="94" t="s">
        <v>2095</v>
      </c>
      <c r="F1091" s="93">
        <v>2013</v>
      </c>
      <c r="G1091" s="96">
        <v>1992.4587425547609</v>
      </c>
      <c r="H1091" s="97">
        <f>G1091*1000*Conversion!$A$2</f>
        <v>179082.19178082192</v>
      </c>
      <c r="I1091" s="93" t="s">
        <v>471</v>
      </c>
      <c r="J1091" s="93" t="s">
        <v>493</v>
      </c>
      <c r="K1091" s="94" t="s">
        <v>494</v>
      </c>
      <c r="L1091" s="93"/>
      <c r="M1091" s="93"/>
      <c r="N1091" s="86" t="s">
        <v>2524</v>
      </c>
    </row>
    <row r="1092" spans="1:14" ht="31" x14ac:dyDescent="0.35">
      <c r="A1092" s="93" t="str">
        <f>VLOOKUP(C1092,Countries!$A$1:$D$205,2,FALSE)</f>
        <v>OMN</v>
      </c>
      <c r="B1092" s="86" t="s">
        <v>2395</v>
      </c>
      <c r="C1092" s="93" t="s">
        <v>418</v>
      </c>
      <c r="D1092" s="86" t="s">
        <v>2525</v>
      </c>
      <c r="E1092" s="94" t="s">
        <v>2093</v>
      </c>
      <c r="F1092" s="93">
        <v>1999</v>
      </c>
      <c r="G1092" s="96">
        <v>11</v>
      </c>
      <c r="H1092" s="97">
        <f>G1092*1000*Conversion!$A$2</f>
        <v>988.68000000000006</v>
      </c>
      <c r="I1092" s="93" t="s">
        <v>471</v>
      </c>
      <c r="J1092" s="93" t="s">
        <v>493</v>
      </c>
      <c r="K1092" s="94" t="s">
        <v>494</v>
      </c>
      <c r="L1092" s="93"/>
      <c r="M1092" s="93"/>
      <c r="N1092" s="93"/>
    </row>
    <row r="1093" spans="1:14" ht="15.5" x14ac:dyDescent="0.35">
      <c r="A1093" s="93" t="str">
        <f>VLOOKUP(C1093,Countries!$A$1:$D$205,2,FALSE)</f>
        <v>OMN</v>
      </c>
      <c r="B1093" s="86" t="s">
        <v>2395</v>
      </c>
      <c r="C1093" s="93" t="s">
        <v>418</v>
      </c>
      <c r="D1093" s="86" t="s">
        <v>2526</v>
      </c>
      <c r="E1093" s="94" t="s">
        <v>2095</v>
      </c>
      <c r="F1093" s="93">
        <v>2021</v>
      </c>
      <c r="G1093" s="96">
        <v>1338</v>
      </c>
      <c r="H1093" s="97">
        <f>G1093*1000*Conversion!$A$2</f>
        <v>120259.44</v>
      </c>
      <c r="I1093" s="93" t="s">
        <v>471</v>
      </c>
      <c r="J1093" s="93" t="s">
        <v>493</v>
      </c>
      <c r="K1093" s="94" t="s">
        <v>494</v>
      </c>
      <c r="L1093" s="93"/>
      <c r="M1093" s="93"/>
      <c r="N1093" s="93"/>
    </row>
    <row r="1094" spans="1:14" ht="31" x14ac:dyDescent="0.35">
      <c r="A1094" s="93" t="str">
        <f>VLOOKUP(C1094,Countries!$A$1:$D$205,2,FALSE)</f>
        <v>QAT</v>
      </c>
      <c r="B1094" s="86" t="s">
        <v>2340</v>
      </c>
      <c r="C1094" s="93" t="s">
        <v>420</v>
      </c>
      <c r="D1094" s="86" t="s">
        <v>2527</v>
      </c>
      <c r="E1094" s="94" t="s">
        <v>2093</v>
      </c>
      <c r="F1094" s="93">
        <v>2016</v>
      </c>
      <c r="G1094" s="96">
        <v>18</v>
      </c>
      <c r="H1094" s="97">
        <f>G1094*1000*Conversion!$A$2</f>
        <v>1617.84</v>
      </c>
      <c r="I1094" s="93" t="s">
        <v>471</v>
      </c>
      <c r="J1094" s="93" t="s">
        <v>493</v>
      </c>
      <c r="K1094" s="94" t="s">
        <v>494</v>
      </c>
      <c r="L1094" s="93"/>
      <c r="M1094" s="93"/>
      <c r="N1094" s="86" t="s">
        <v>2528</v>
      </c>
    </row>
    <row r="1095" spans="1:14" ht="31" x14ac:dyDescent="0.35">
      <c r="A1095" s="93" t="str">
        <f>VLOOKUP(C1095,Countries!$A$1:$D$205,2,FALSE)</f>
        <v>QAT</v>
      </c>
      <c r="B1095" s="86" t="s">
        <v>2340</v>
      </c>
      <c r="C1095" s="93" t="s">
        <v>420</v>
      </c>
      <c r="D1095" s="86" t="s">
        <v>2529</v>
      </c>
      <c r="E1095" s="94" t="s">
        <v>2093</v>
      </c>
      <c r="F1095" s="93">
        <v>2016</v>
      </c>
      <c r="G1095" s="96">
        <v>78.861885057933151</v>
      </c>
      <c r="H1095" s="97">
        <f>G1095*1000*Conversion!$A$2</f>
        <v>7088.1062290070313</v>
      </c>
      <c r="I1095" s="93" t="s">
        <v>471</v>
      </c>
      <c r="J1095" s="93" t="s">
        <v>493</v>
      </c>
      <c r="K1095" s="94" t="s">
        <v>494</v>
      </c>
      <c r="L1095" s="93"/>
      <c r="M1095" s="93"/>
      <c r="N1095" s="86"/>
    </row>
    <row r="1096" spans="1:14" ht="31" x14ac:dyDescent="0.35">
      <c r="A1096" s="93" t="str">
        <f>VLOOKUP(C1096,Countries!$A$1:$D$205,2,FALSE)</f>
        <v>QAT</v>
      </c>
      <c r="B1096" s="86" t="s">
        <v>2340</v>
      </c>
      <c r="C1096" s="93" t="s">
        <v>420</v>
      </c>
      <c r="D1096" s="86" t="s">
        <v>2530</v>
      </c>
      <c r="E1096" s="94" t="s">
        <v>2095</v>
      </c>
      <c r="F1096" s="93">
        <v>2002</v>
      </c>
      <c r="G1096" s="96">
        <v>1271.9387798647815</v>
      </c>
      <c r="H1096" s="97">
        <f>G1096*1000*Conversion!$A$2</f>
        <v>114321.85753424656</v>
      </c>
      <c r="I1096" s="93" t="s">
        <v>471</v>
      </c>
      <c r="J1096" s="93" t="s">
        <v>493</v>
      </c>
      <c r="K1096" s="94" t="s">
        <v>494</v>
      </c>
      <c r="L1096" s="93"/>
      <c r="M1096" s="93"/>
      <c r="N1096" s="86"/>
    </row>
    <row r="1097" spans="1:14" ht="31" x14ac:dyDescent="0.35">
      <c r="A1097" s="93" t="str">
        <f>VLOOKUP(C1097,Countries!$A$1:$D$205,2,FALSE)</f>
        <v>QAT</v>
      </c>
      <c r="B1097" s="86" t="s">
        <v>2340</v>
      </c>
      <c r="C1097" s="93" t="s">
        <v>420</v>
      </c>
      <c r="D1097" s="86" t="s">
        <v>2531</v>
      </c>
      <c r="E1097" s="94" t="s">
        <v>2095</v>
      </c>
      <c r="F1097" s="93"/>
      <c r="G1097" s="96">
        <v>1687.7297583993268</v>
      </c>
      <c r="H1097" s="97">
        <f>G1097*1000*Conversion!$A$2</f>
        <v>151693.15068493149</v>
      </c>
      <c r="I1097" s="93" t="s">
        <v>471</v>
      </c>
      <c r="J1097" s="93" t="s">
        <v>493</v>
      </c>
      <c r="K1097" s="94" t="s">
        <v>494</v>
      </c>
      <c r="L1097" s="93"/>
      <c r="M1097" s="93"/>
      <c r="N1097" s="86"/>
    </row>
    <row r="1098" spans="1:14" ht="46.5" x14ac:dyDescent="0.35">
      <c r="A1098" s="93" t="str">
        <f>VLOOKUP(C1098,Countries!$A$1:$D$205,2,FALSE)</f>
        <v>QAT</v>
      </c>
      <c r="B1098" s="86" t="s">
        <v>2340</v>
      </c>
      <c r="C1098" s="93" t="s">
        <v>420</v>
      </c>
      <c r="D1098" s="86" t="s">
        <v>2532</v>
      </c>
      <c r="E1098" s="94" t="s">
        <v>2093</v>
      </c>
      <c r="F1098" s="93">
        <v>2008</v>
      </c>
      <c r="G1098" s="96">
        <v>291.18234482929165</v>
      </c>
      <c r="H1098" s="97">
        <f>G1098*1000*Conversion!$A$2</f>
        <v>26171.46915325673</v>
      </c>
      <c r="I1098" s="93" t="s">
        <v>471</v>
      </c>
      <c r="J1098" s="93" t="s">
        <v>493</v>
      </c>
      <c r="K1098" s="94" t="s">
        <v>494</v>
      </c>
      <c r="L1098" s="93"/>
      <c r="M1098" s="93"/>
      <c r="N1098" s="86" t="s">
        <v>2533</v>
      </c>
    </row>
    <row r="1099" spans="1:14" ht="31" x14ac:dyDescent="0.35">
      <c r="A1099" s="93" t="str">
        <f>VLOOKUP(C1099,Countries!$A$1:$D$205,2,FALSE)</f>
        <v>QAT</v>
      </c>
      <c r="B1099" s="86" t="s">
        <v>2343</v>
      </c>
      <c r="C1099" s="93" t="s">
        <v>420</v>
      </c>
      <c r="D1099" s="86" t="s">
        <v>2534</v>
      </c>
      <c r="E1099" s="94" t="s">
        <v>2095</v>
      </c>
      <c r="F1099" s="93">
        <v>2010</v>
      </c>
      <c r="G1099" s="96">
        <v>3047.28984155434</v>
      </c>
      <c r="H1099" s="97">
        <f>G1099*1000*Conversion!$A$2</f>
        <v>273890.41095890407</v>
      </c>
      <c r="I1099" s="93" t="s">
        <v>471</v>
      </c>
      <c r="J1099" s="93" t="s">
        <v>493</v>
      </c>
      <c r="K1099" s="94" t="s">
        <v>494</v>
      </c>
      <c r="L1099" s="93"/>
      <c r="M1099" s="93"/>
      <c r="N1099" s="93"/>
    </row>
    <row r="1100" spans="1:14" ht="31" x14ac:dyDescent="0.35">
      <c r="A1100" s="93" t="str">
        <f>VLOOKUP(C1100,Countries!$A$1:$D$205,2,FALSE)</f>
        <v>SAU</v>
      </c>
      <c r="B1100" s="86" t="s">
        <v>2348</v>
      </c>
      <c r="C1100" s="93" t="s">
        <v>425</v>
      </c>
      <c r="D1100" s="86" t="s">
        <v>2535</v>
      </c>
      <c r="E1100" s="94" t="s">
        <v>2103</v>
      </c>
      <c r="F1100" s="99">
        <v>2025</v>
      </c>
      <c r="G1100" s="96">
        <v>657.12533882310265</v>
      </c>
      <c r="H1100" s="97">
        <f>G1100*1000*Conversion!$A$2</f>
        <v>59062.425453420467</v>
      </c>
      <c r="I1100" s="93" t="s">
        <v>471</v>
      </c>
      <c r="J1100" s="93" t="s">
        <v>493</v>
      </c>
      <c r="K1100" s="94" t="s">
        <v>494</v>
      </c>
      <c r="L1100" s="93"/>
      <c r="M1100" s="93"/>
      <c r="N1100" s="86" t="s">
        <v>2536</v>
      </c>
    </row>
    <row r="1101" spans="1:14" ht="31" x14ac:dyDescent="0.35">
      <c r="A1101" s="93" t="str">
        <f>VLOOKUP(C1101,Countries!$A$1:$D$205,2,FALSE)</f>
        <v>SAU</v>
      </c>
      <c r="B1101" s="86" t="s">
        <v>2348</v>
      </c>
      <c r="C1101" s="93" t="s">
        <v>425</v>
      </c>
      <c r="D1101" s="86" t="s">
        <v>2537</v>
      </c>
      <c r="E1101" s="94" t="s">
        <v>2095</v>
      </c>
      <c r="F1101" s="99">
        <v>2001</v>
      </c>
      <c r="G1101" s="96">
        <v>1231.1242594520547</v>
      </c>
      <c r="H1101" s="97">
        <f>G1101*1000*Conversion!$A$2</f>
        <v>110653.44843955069</v>
      </c>
      <c r="I1101" s="93" t="s">
        <v>471</v>
      </c>
      <c r="J1101" s="93" t="s">
        <v>493</v>
      </c>
      <c r="K1101" s="94" t="s">
        <v>494</v>
      </c>
      <c r="L1101" s="93"/>
      <c r="M1101" s="93"/>
      <c r="N1101" s="86"/>
    </row>
    <row r="1102" spans="1:14" ht="31" x14ac:dyDescent="0.35">
      <c r="A1102" s="93" t="str">
        <f>VLOOKUP(C1102,Countries!$A$1:$D$205,2,FALSE)</f>
        <v>SAU</v>
      </c>
      <c r="B1102" s="86" t="s">
        <v>2348</v>
      </c>
      <c r="C1102" s="93" t="s">
        <v>425</v>
      </c>
      <c r="D1102" s="86" t="s">
        <v>2538</v>
      </c>
      <c r="E1102" s="94" t="s">
        <v>2103</v>
      </c>
      <c r="F1102" s="99">
        <v>2009</v>
      </c>
      <c r="G1102" s="96">
        <v>657.12533882310265</v>
      </c>
      <c r="H1102" s="97">
        <f>G1102*1000*Conversion!$A$2</f>
        <v>59062.425453420467</v>
      </c>
      <c r="I1102" s="93" t="s">
        <v>471</v>
      </c>
      <c r="J1102" s="93" t="s">
        <v>493</v>
      </c>
      <c r="K1102" s="94" t="s">
        <v>494</v>
      </c>
      <c r="L1102" s="93"/>
      <c r="M1102" s="93"/>
      <c r="N1102" s="86" t="s">
        <v>2539</v>
      </c>
    </row>
    <row r="1103" spans="1:14" ht="15.5" x14ac:dyDescent="0.35">
      <c r="A1103" s="93" t="str">
        <f>VLOOKUP(C1103,Countries!$A$1:$D$205,2,FALSE)</f>
        <v>SAU</v>
      </c>
      <c r="B1103" s="86" t="s">
        <v>2348</v>
      </c>
      <c r="C1103" s="93" t="s">
        <v>425</v>
      </c>
      <c r="D1103" s="86" t="s">
        <v>2540</v>
      </c>
      <c r="E1103" s="94" t="s">
        <v>2095</v>
      </c>
      <c r="F1103" s="99"/>
      <c r="G1103" s="96">
        <v>8689.6988983789633</v>
      </c>
      <c r="H1103" s="97">
        <f>G1103*1000*Conversion!$A$2</f>
        <v>781030.13698630116</v>
      </c>
      <c r="I1103" s="93" t="s">
        <v>471</v>
      </c>
      <c r="J1103" s="93" t="s">
        <v>493</v>
      </c>
      <c r="K1103" s="94" t="s">
        <v>494</v>
      </c>
      <c r="L1103" s="93"/>
      <c r="M1103" s="93"/>
      <c r="N1103" s="86"/>
    </row>
    <row r="1104" spans="1:14" ht="31" x14ac:dyDescent="0.35">
      <c r="A1104" s="93" t="str">
        <f>VLOOKUP(C1104,Countries!$A$1:$D$205,2,FALSE)</f>
        <v>SAU</v>
      </c>
      <c r="B1104" s="86" t="s">
        <v>2348</v>
      </c>
      <c r="C1104" s="93" t="s">
        <v>425</v>
      </c>
      <c r="D1104" s="86" t="s">
        <v>2541</v>
      </c>
      <c r="E1104" s="94" t="s">
        <v>2093</v>
      </c>
      <c r="F1104" s="99">
        <v>2020</v>
      </c>
      <c r="G1104" s="96">
        <v>597.9637438458667</v>
      </c>
      <c r="H1104" s="97">
        <f>G1104*1000*Conversion!$A$2</f>
        <v>53744.981296866506</v>
      </c>
      <c r="I1104" s="93" t="s">
        <v>471</v>
      </c>
      <c r="J1104" s="93" t="s">
        <v>493</v>
      </c>
      <c r="K1104" s="94" t="s">
        <v>494</v>
      </c>
      <c r="L1104" s="93"/>
      <c r="M1104" s="93"/>
      <c r="N1104" s="86" t="s">
        <v>2542</v>
      </c>
    </row>
    <row r="1105" spans="1:14" ht="31" x14ac:dyDescent="0.35">
      <c r="A1105" s="93" t="str">
        <f>VLOOKUP(C1105,Countries!$A$1:$D$205,2,FALSE)</f>
        <v>SAU</v>
      </c>
      <c r="B1105" s="86" t="s">
        <v>2348</v>
      </c>
      <c r="C1105" s="93" t="s">
        <v>425</v>
      </c>
      <c r="D1105" s="86" t="s">
        <v>2541</v>
      </c>
      <c r="E1105" s="94" t="s">
        <v>2106</v>
      </c>
      <c r="F1105" s="99"/>
      <c r="G1105" s="96">
        <v>753.89085311549275</v>
      </c>
      <c r="H1105" s="97">
        <f>G1105*1000*Conversion!$A$2</f>
        <v>67759.709878020483</v>
      </c>
      <c r="I1105" s="93" t="s">
        <v>471</v>
      </c>
      <c r="J1105" s="93" t="s">
        <v>493</v>
      </c>
      <c r="K1105" s="94" t="s">
        <v>494</v>
      </c>
      <c r="L1105" s="93"/>
      <c r="M1105" s="93"/>
      <c r="N1105" s="86" t="s">
        <v>2543</v>
      </c>
    </row>
    <row r="1106" spans="1:14" ht="31" x14ac:dyDescent="0.35">
      <c r="A1106" s="93" t="str">
        <f>VLOOKUP(C1106,Countries!$A$1:$D$205,2,FALSE)</f>
        <v>SAU</v>
      </c>
      <c r="B1106" s="86" t="s">
        <v>2544</v>
      </c>
      <c r="C1106" s="93" t="s">
        <v>425</v>
      </c>
      <c r="D1106" s="86" t="s">
        <v>2545</v>
      </c>
      <c r="E1106" s="94" t="s">
        <v>2093</v>
      </c>
      <c r="F1106" s="99">
        <v>2005</v>
      </c>
      <c r="G1106" s="96">
        <v>34</v>
      </c>
      <c r="H1106" s="97">
        <f>G1106*1000*Conversion!$A$2</f>
        <v>3055.92</v>
      </c>
      <c r="I1106" s="93" t="s">
        <v>471</v>
      </c>
      <c r="J1106" s="93" t="s">
        <v>493</v>
      </c>
      <c r="K1106" s="94" t="s">
        <v>494</v>
      </c>
      <c r="L1106" s="93"/>
      <c r="M1106" s="93"/>
      <c r="N1106" s="86" t="s">
        <v>2546</v>
      </c>
    </row>
    <row r="1107" spans="1:14" ht="15.5" x14ac:dyDescent="0.35">
      <c r="A1107" s="93" t="str">
        <f>VLOOKUP(C1107,Countries!$A$1:$D$205,2,FALSE)</f>
        <v>SAU</v>
      </c>
      <c r="B1107" s="86" t="s">
        <v>2348</v>
      </c>
      <c r="C1107" s="93" t="s">
        <v>425</v>
      </c>
      <c r="D1107" s="86" t="s">
        <v>2547</v>
      </c>
      <c r="E1107" s="94" t="s">
        <v>2095</v>
      </c>
      <c r="F1107" s="99">
        <v>2013</v>
      </c>
      <c r="G1107" s="96">
        <v>2494.6504014485063</v>
      </c>
      <c r="H1107" s="97">
        <f>G1107*1000*Conversion!$A$2</f>
        <v>224219.17808219176</v>
      </c>
      <c r="I1107" s="93" t="s">
        <v>471</v>
      </c>
      <c r="J1107" s="93" t="s">
        <v>493</v>
      </c>
      <c r="K1107" s="94" t="s">
        <v>494</v>
      </c>
      <c r="L1107" s="93"/>
      <c r="M1107" s="93"/>
      <c r="N1107" s="86"/>
    </row>
    <row r="1108" spans="1:14" ht="31" x14ac:dyDescent="0.35">
      <c r="A1108" s="93" t="str">
        <f>VLOOKUP(C1108,Countries!$A$1:$D$205,2,FALSE)</f>
        <v>SAU</v>
      </c>
      <c r="B1108" s="86" t="s">
        <v>2348</v>
      </c>
      <c r="C1108" s="93" t="s">
        <v>425</v>
      </c>
      <c r="D1108" s="86" t="s">
        <v>2548</v>
      </c>
      <c r="E1108" s="94" t="s">
        <v>2093</v>
      </c>
      <c r="F1108" s="99">
        <v>2012</v>
      </c>
      <c r="G1108" s="96">
        <v>116.9929064046261</v>
      </c>
      <c r="H1108" s="97">
        <f>G1108*1000*Conversion!$A$2</f>
        <v>10515.322427647794</v>
      </c>
      <c r="I1108" s="93" t="s">
        <v>471</v>
      </c>
      <c r="J1108" s="93" t="s">
        <v>493</v>
      </c>
      <c r="K1108" s="94" t="s">
        <v>494</v>
      </c>
      <c r="L1108" s="93"/>
      <c r="M1108" s="93"/>
      <c r="N1108" s="86" t="s">
        <v>2549</v>
      </c>
    </row>
    <row r="1109" spans="1:14" ht="31" x14ac:dyDescent="0.35">
      <c r="A1109" s="93" t="str">
        <f>VLOOKUP(C1109,Countries!$A$1:$D$205,2,FALSE)</f>
        <v>SAU</v>
      </c>
      <c r="B1109" s="86" t="s">
        <v>2348</v>
      </c>
      <c r="C1109" s="93" t="s">
        <v>425</v>
      </c>
      <c r="D1109" s="86" t="s">
        <v>2550</v>
      </c>
      <c r="E1109" s="94" t="s">
        <v>2095</v>
      </c>
      <c r="F1109" s="99">
        <v>2004</v>
      </c>
      <c r="G1109" s="96">
        <v>3164.4932969987376</v>
      </c>
      <c r="H1109" s="97">
        <f>G1109*1000*Conversion!$A$2</f>
        <v>284424.65753424651</v>
      </c>
      <c r="I1109" s="93" t="s">
        <v>471</v>
      </c>
      <c r="J1109" s="93" t="s">
        <v>493</v>
      </c>
      <c r="K1109" s="94" t="s">
        <v>494</v>
      </c>
      <c r="L1109" s="93"/>
      <c r="M1109" s="93"/>
      <c r="N1109" s="86"/>
    </row>
    <row r="1110" spans="1:14" ht="31" x14ac:dyDescent="0.35">
      <c r="A1110" s="93" t="str">
        <f>VLOOKUP(C1110,Countries!$A$1:$D$205,2,FALSE)</f>
        <v>SAU</v>
      </c>
      <c r="B1110" s="86" t="s">
        <v>2345</v>
      </c>
      <c r="C1110" s="93" t="s">
        <v>425</v>
      </c>
      <c r="D1110" s="86" t="s">
        <v>2551</v>
      </c>
      <c r="E1110" s="94" t="s">
        <v>2103</v>
      </c>
      <c r="F1110" s="99">
        <v>2008</v>
      </c>
      <c r="G1110" s="96">
        <v>655</v>
      </c>
      <c r="H1110" s="97">
        <f>G1110*1000*Conversion!$A$2</f>
        <v>58871.4</v>
      </c>
      <c r="I1110" s="93" t="s">
        <v>471</v>
      </c>
      <c r="J1110" s="93" t="s">
        <v>493</v>
      </c>
      <c r="K1110" s="94" t="s">
        <v>494</v>
      </c>
      <c r="L1110" s="93"/>
      <c r="M1110" s="93"/>
      <c r="N1110" s="86"/>
    </row>
    <row r="1111" spans="1:14" ht="31" x14ac:dyDescent="0.35">
      <c r="A1111" s="93" t="str">
        <f>VLOOKUP(C1111,Countries!$A$1:$D$205,2,FALSE)</f>
        <v>SAU</v>
      </c>
      <c r="B1111" s="86" t="s">
        <v>2345</v>
      </c>
      <c r="C1111" s="93" t="s">
        <v>425</v>
      </c>
      <c r="D1111" s="86" t="s">
        <v>2552</v>
      </c>
      <c r="E1111" s="94" t="s">
        <v>2093</v>
      </c>
      <c r="F1111" s="99">
        <v>2001</v>
      </c>
      <c r="G1111" s="96">
        <v>64</v>
      </c>
      <c r="H1111" s="97">
        <f>G1111*1000*Conversion!$A$2</f>
        <v>5752.32</v>
      </c>
      <c r="I1111" s="93" t="s">
        <v>471</v>
      </c>
      <c r="J1111" s="93" t="s">
        <v>493</v>
      </c>
      <c r="K1111" s="94" t="s">
        <v>494</v>
      </c>
      <c r="L1111" s="93"/>
      <c r="M1111" s="93"/>
      <c r="N1111" s="86"/>
    </row>
    <row r="1112" spans="1:14" ht="46.5" x14ac:dyDescent="0.35">
      <c r="A1112" s="93" t="str">
        <f>VLOOKUP(C1112,Countries!$A$1:$D$205,2,FALSE)</f>
        <v>SAU</v>
      </c>
      <c r="B1112" s="86" t="s">
        <v>2414</v>
      </c>
      <c r="C1112" s="93" t="s">
        <v>425</v>
      </c>
      <c r="D1112" s="86" t="s">
        <v>2415</v>
      </c>
      <c r="E1112" s="94" t="s">
        <v>2095</v>
      </c>
      <c r="F1112" s="99">
        <v>2016</v>
      </c>
      <c r="G1112" s="96">
        <v>3222.2567685376544</v>
      </c>
      <c r="H1112" s="97">
        <f>G1112*1000*Conversion!$A$2</f>
        <v>289616.43835616438</v>
      </c>
      <c r="I1112" s="93" t="s">
        <v>471</v>
      </c>
      <c r="J1112" s="93" t="s">
        <v>493</v>
      </c>
      <c r="K1112" s="94" t="s">
        <v>494</v>
      </c>
      <c r="L1112" s="93"/>
      <c r="M1112" s="93"/>
      <c r="N1112" s="86" t="s">
        <v>2416</v>
      </c>
    </row>
    <row r="1113" spans="1:14" ht="15.5" x14ac:dyDescent="0.35">
      <c r="A1113" s="93" t="str">
        <f>VLOOKUP(C1113,Countries!$A$1:$D$205,2,FALSE)</f>
        <v>SAU</v>
      </c>
      <c r="B1113" s="86" t="s">
        <v>2348</v>
      </c>
      <c r="C1113" s="93" t="s">
        <v>425</v>
      </c>
      <c r="D1113" s="86" t="s">
        <v>2553</v>
      </c>
      <c r="E1113" s="94" t="s">
        <v>2095</v>
      </c>
      <c r="F1113" s="99">
        <v>2016</v>
      </c>
      <c r="G1113" s="96">
        <v>2279.8597397260269</v>
      </c>
      <c r="H1113" s="97">
        <f>G1113*1000*Conversion!$A$2</f>
        <v>204913.79340657531</v>
      </c>
      <c r="I1113" s="93" t="s">
        <v>471</v>
      </c>
      <c r="J1113" s="93" t="s">
        <v>493</v>
      </c>
      <c r="K1113" s="94" t="s">
        <v>494</v>
      </c>
      <c r="L1113" s="93"/>
      <c r="M1113" s="93"/>
      <c r="N1113" s="86"/>
    </row>
    <row r="1114" spans="1:14" ht="31" x14ac:dyDescent="0.35">
      <c r="A1114" s="93" t="str">
        <f>VLOOKUP(C1114,Countries!$A$1:$D$205,2,FALSE)</f>
        <v>SAU</v>
      </c>
      <c r="B1114" s="86" t="s">
        <v>2348</v>
      </c>
      <c r="C1114" s="93" t="s">
        <v>425</v>
      </c>
      <c r="D1114" s="86" t="s">
        <v>2553</v>
      </c>
      <c r="E1114" s="94" t="s">
        <v>2093</v>
      </c>
      <c r="F1114" s="99">
        <v>2017</v>
      </c>
      <c r="G1114" s="96">
        <v>496.56989162852415</v>
      </c>
      <c r="H1114" s="97">
        <f>G1114*1000*Conversion!$A$2</f>
        <v>44631.701859571753</v>
      </c>
      <c r="I1114" s="93" t="s">
        <v>471</v>
      </c>
      <c r="J1114" s="93" t="s">
        <v>493</v>
      </c>
      <c r="K1114" s="94" t="s">
        <v>494</v>
      </c>
      <c r="L1114" s="93"/>
      <c r="M1114" s="93"/>
      <c r="N1114" s="86" t="s">
        <v>2554</v>
      </c>
    </row>
    <row r="1115" spans="1:14" ht="15.5" x14ac:dyDescent="0.35">
      <c r="A1115" s="93" t="str">
        <f>VLOOKUP(C1115,Countries!$A$1:$D$205,2,FALSE)</f>
        <v>SAU</v>
      </c>
      <c r="B1115" s="86" t="s">
        <v>2348</v>
      </c>
      <c r="C1115" s="93" t="s">
        <v>425</v>
      </c>
      <c r="D1115" s="86" t="s">
        <v>2553</v>
      </c>
      <c r="E1115" s="94" t="s">
        <v>1096</v>
      </c>
      <c r="F1115" s="99">
        <v>2017</v>
      </c>
      <c r="G1115" s="96">
        <v>396</v>
      </c>
      <c r="H1115" s="97">
        <f>G1115*1000*Conversion!$A$2</f>
        <v>35592.480000000003</v>
      </c>
      <c r="I1115" s="93" t="s">
        <v>471</v>
      </c>
      <c r="J1115" s="93" t="s">
        <v>493</v>
      </c>
      <c r="K1115" s="94" t="s">
        <v>494</v>
      </c>
      <c r="L1115" s="93"/>
      <c r="M1115" s="93"/>
      <c r="N1115" s="86" t="s">
        <v>2554</v>
      </c>
    </row>
    <row r="1116" spans="1:14" ht="46.5" x14ac:dyDescent="0.35">
      <c r="A1116" s="93" t="str">
        <f>VLOOKUP(C1116,Countries!$A$1:$D$205,2,FALSE)</f>
        <v>SAU</v>
      </c>
      <c r="B1116" s="86" t="s">
        <v>2348</v>
      </c>
      <c r="C1116" s="93" t="s">
        <v>425</v>
      </c>
      <c r="D1116" s="86" t="s">
        <v>2555</v>
      </c>
      <c r="E1116" s="94" t="s">
        <v>2093</v>
      </c>
      <c r="F1116" s="99">
        <v>2013</v>
      </c>
      <c r="G1116" s="96">
        <v>196</v>
      </c>
      <c r="H1116" s="97">
        <f>G1116*1000*Conversion!$A$2</f>
        <v>17616.48</v>
      </c>
      <c r="I1116" s="93" t="s">
        <v>471</v>
      </c>
      <c r="J1116" s="93" t="s">
        <v>493</v>
      </c>
      <c r="K1116" s="94"/>
      <c r="L1116" s="93"/>
      <c r="M1116" s="93"/>
      <c r="N1116" s="86"/>
    </row>
    <row r="1117" spans="1:14" ht="31" x14ac:dyDescent="0.35">
      <c r="A1117" s="93" t="str">
        <f>VLOOKUP(C1117,Countries!$A$1:$D$205,2,FALSE)</f>
        <v>SAU</v>
      </c>
      <c r="B1117" s="86" t="s">
        <v>2556</v>
      </c>
      <c r="C1117" s="93" t="s">
        <v>425</v>
      </c>
      <c r="D1117" s="86" t="s">
        <v>2557</v>
      </c>
      <c r="E1117" s="94" t="s">
        <v>2093</v>
      </c>
      <c r="F1117" s="99"/>
      <c r="G1117" s="96">
        <v>4</v>
      </c>
      <c r="H1117" s="97">
        <f>G1117*1000*Conversion!$A$2</f>
        <v>359.52</v>
      </c>
      <c r="I1117" s="93" t="s">
        <v>471</v>
      </c>
      <c r="J1117" s="93" t="s">
        <v>493</v>
      </c>
      <c r="K1117" s="94" t="s">
        <v>494</v>
      </c>
      <c r="L1117" s="93"/>
      <c r="M1117" s="93"/>
      <c r="N1117" s="86" t="s">
        <v>1251</v>
      </c>
    </row>
    <row r="1118" spans="1:14" ht="31" x14ac:dyDescent="0.35">
      <c r="A1118" s="93" t="str">
        <f>VLOOKUP(C1118,Countries!$A$1:$D$205,2,FALSE)</f>
        <v>SAU</v>
      </c>
      <c r="B1118" s="86" t="s">
        <v>2348</v>
      </c>
      <c r="C1118" s="93" t="s">
        <v>425</v>
      </c>
      <c r="D1118" s="86" t="s">
        <v>2558</v>
      </c>
      <c r="E1118" s="94" t="s">
        <v>2095</v>
      </c>
      <c r="F1118" s="99">
        <v>2008</v>
      </c>
      <c r="G1118" s="96">
        <v>1519.9064931506848</v>
      </c>
      <c r="H1118" s="97">
        <f>G1118*1000*Conversion!$A$2</f>
        <v>136609.19560438354</v>
      </c>
      <c r="I1118" s="93" t="s">
        <v>471</v>
      </c>
      <c r="J1118" s="93" t="s">
        <v>493</v>
      </c>
      <c r="K1118" s="94" t="s">
        <v>494</v>
      </c>
      <c r="L1118" s="93"/>
      <c r="M1118" s="93"/>
      <c r="N1118" s="86"/>
    </row>
    <row r="1119" spans="1:14" ht="31" x14ac:dyDescent="0.35">
      <c r="A1119" s="93" t="str">
        <f>VLOOKUP(C1119,Countries!$A$1:$D$205,2,FALSE)</f>
        <v>SAU</v>
      </c>
      <c r="B1119" s="86" t="s">
        <v>2348</v>
      </c>
      <c r="C1119" s="93" t="s">
        <v>425</v>
      </c>
      <c r="D1119" s="86" t="s">
        <v>2559</v>
      </c>
      <c r="E1119" s="94" t="s">
        <v>2095</v>
      </c>
      <c r="F1119" s="99">
        <v>2010</v>
      </c>
      <c r="G1119" s="96">
        <v>2158.2672202739723</v>
      </c>
      <c r="H1119" s="97">
        <f>G1119*1000*Conversion!$A$2</f>
        <v>193985.05775822466</v>
      </c>
      <c r="I1119" s="93" t="s">
        <v>471</v>
      </c>
      <c r="J1119" s="93" t="s">
        <v>493</v>
      </c>
      <c r="K1119" s="94" t="s">
        <v>494</v>
      </c>
      <c r="L1119" s="93"/>
      <c r="M1119" s="93"/>
      <c r="N1119" s="86"/>
    </row>
    <row r="1120" spans="1:14" ht="31" x14ac:dyDescent="0.35">
      <c r="A1120" s="93" t="str">
        <f>VLOOKUP(C1120,Countries!$A$1:$D$205,2,FALSE)</f>
        <v>SAU</v>
      </c>
      <c r="B1120" s="86" t="s">
        <v>2348</v>
      </c>
      <c r="C1120" s="93" t="s">
        <v>425</v>
      </c>
      <c r="D1120" s="86" t="s">
        <v>2560</v>
      </c>
      <c r="E1120" s="94" t="s">
        <v>2095</v>
      </c>
      <c r="F1120" s="99">
        <v>2012</v>
      </c>
      <c r="G1120" s="96">
        <v>2536.2279081393149</v>
      </c>
      <c r="H1120" s="97">
        <f>G1120*1000*Conversion!$A$2</f>
        <v>227956.16438356164</v>
      </c>
      <c r="I1120" s="93" t="s">
        <v>471</v>
      </c>
      <c r="J1120" s="93" t="s">
        <v>493</v>
      </c>
      <c r="K1120" s="94" t="s">
        <v>494</v>
      </c>
      <c r="L1120" s="93"/>
      <c r="M1120" s="93"/>
      <c r="N1120" s="86"/>
    </row>
    <row r="1121" spans="1:14" ht="31" x14ac:dyDescent="0.35">
      <c r="A1121" s="93" t="str">
        <f>VLOOKUP(C1121,Countries!$A$1:$D$205,2,FALSE)</f>
        <v>SAU</v>
      </c>
      <c r="B1121" s="86" t="s">
        <v>2348</v>
      </c>
      <c r="C1121" s="93" t="s">
        <v>425</v>
      </c>
      <c r="D1121" s="86" t="s">
        <v>2561</v>
      </c>
      <c r="E1121" s="94" t="s">
        <v>2103</v>
      </c>
      <c r="F1121" s="99">
        <v>2004</v>
      </c>
      <c r="G1121" s="96">
        <v>657.12533882310265</v>
      </c>
      <c r="H1121" s="97">
        <f>G1121*1000*Conversion!$A$2</f>
        <v>59062.425453420467</v>
      </c>
      <c r="I1121" s="93" t="s">
        <v>471</v>
      </c>
      <c r="J1121" s="93" t="s">
        <v>493</v>
      </c>
      <c r="K1121" s="94" t="s">
        <v>494</v>
      </c>
      <c r="L1121" s="93"/>
      <c r="M1121" s="93"/>
      <c r="N1121" s="86" t="s">
        <v>2562</v>
      </c>
    </row>
    <row r="1122" spans="1:14" ht="31" x14ac:dyDescent="0.35">
      <c r="A1122" s="93" t="str">
        <f>VLOOKUP(C1122,Countries!$A$1:$D$205,2,FALSE)</f>
        <v>SAU</v>
      </c>
      <c r="B1122" s="86" t="s">
        <v>2345</v>
      </c>
      <c r="C1122" s="93" t="s">
        <v>425</v>
      </c>
      <c r="D1122" s="86" t="s">
        <v>2563</v>
      </c>
      <c r="E1122" s="94" t="s">
        <v>2095</v>
      </c>
      <c r="F1122" s="99"/>
      <c r="G1122" s="96">
        <v>2819.4265447945199</v>
      </c>
      <c r="H1122" s="97">
        <f>G1122*1000*Conversion!$A$2</f>
        <v>253410.05784613144</v>
      </c>
      <c r="I1122" s="93" t="s">
        <v>471</v>
      </c>
      <c r="J1122" s="93" t="s">
        <v>493</v>
      </c>
      <c r="K1122" s="94" t="s">
        <v>494</v>
      </c>
      <c r="L1122" s="93"/>
      <c r="M1122" s="93"/>
      <c r="N1122" s="86"/>
    </row>
    <row r="1123" spans="1:14" ht="15.5" x14ac:dyDescent="0.35">
      <c r="A1123" s="93" t="str">
        <f>VLOOKUP(C1123,Countries!$A$1:$D$205,2,FALSE)</f>
        <v>SAU</v>
      </c>
      <c r="B1123" s="86" t="s">
        <v>2348</v>
      </c>
      <c r="C1123" s="93" t="s">
        <v>425</v>
      </c>
      <c r="D1123" s="86" t="s">
        <v>2564</v>
      </c>
      <c r="E1123" s="94" t="s">
        <v>2095</v>
      </c>
      <c r="F1123" s="99">
        <v>2008</v>
      </c>
      <c r="G1123" s="96">
        <v>455.97194794520539</v>
      </c>
      <c r="H1123" s="97">
        <f>G1123*1000*Conversion!$A$2</f>
        <v>40982.758681315063</v>
      </c>
      <c r="I1123" s="93" t="s">
        <v>471</v>
      </c>
      <c r="J1123" s="93" t="s">
        <v>493</v>
      </c>
      <c r="K1123" s="94" t="s">
        <v>494</v>
      </c>
      <c r="L1123" s="93"/>
      <c r="M1123" s="93"/>
      <c r="N1123" s="86"/>
    </row>
    <row r="1124" spans="1:14" ht="62" x14ac:dyDescent="0.35">
      <c r="A1124" s="93" t="str">
        <f>VLOOKUP(C1124,Countries!$A$1:$D$205,2,FALSE)</f>
        <v>SAU</v>
      </c>
      <c r="B1124" s="86" t="s">
        <v>2348</v>
      </c>
      <c r="C1124" s="93" t="s">
        <v>425</v>
      </c>
      <c r="D1124" s="86" t="s">
        <v>2564</v>
      </c>
      <c r="E1124" s="94" t="s">
        <v>2106</v>
      </c>
      <c r="F1124" s="99">
        <v>2008</v>
      </c>
      <c r="G1124" s="96">
        <v>508.05687927348424</v>
      </c>
      <c r="H1124" s="97">
        <f>G1124*1000*Conversion!$A$2</f>
        <v>45664.152309100762</v>
      </c>
      <c r="I1124" s="93" t="s">
        <v>471</v>
      </c>
      <c r="J1124" s="93" t="s">
        <v>493</v>
      </c>
      <c r="K1124" s="94" t="s">
        <v>494</v>
      </c>
      <c r="L1124" s="93"/>
      <c r="M1124" s="93"/>
      <c r="N1124" s="86" t="s">
        <v>2565</v>
      </c>
    </row>
    <row r="1125" spans="1:14" ht="31" x14ac:dyDescent="0.35">
      <c r="A1125" s="93" t="str">
        <f>VLOOKUP(C1125,Countries!$A$1:$D$205,2,FALSE)</f>
        <v>SAU</v>
      </c>
      <c r="B1125" s="86" t="s">
        <v>2345</v>
      </c>
      <c r="C1125" s="93" t="s">
        <v>425</v>
      </c>
      <c r="D1125" s="86" t="s">
        <v>2566</v>
      </c>
      <c r="E1125" s="94" t="s">
        <v>2095</v>
      </c>
      <c r="F1125" s="99">
        <v>2009</v>
      </c>
      <c r="G1125" s="96">
        <v>2702.5379349025488</v>
      </c>
      <c r="H1125" s="97">
        <f>G1125*1000*Conversion!$A$2</f>
        <v>242904.10958904109</v>
      </c>
      <c r="I1125" s="93" t="s">
        <v>471</v>
      </c>
      <c r="J1125" s="93" t="s">
        <v>493</v>
      </c>
      <c r="K1125" s="94" t="s">
        <v>494</v>
      </c>
      <c r="L1125" s="93"/>
      <c r="M1125" s="93"/>
      <c r="N1125" s="86"/>
    </row>
    <row r="1126" spans="1:14" ht="31" x14ac:dyDescent="0.35">
      <c r="A1126" s="93" t="str">
        <f>VLOOKUP(C1126,Countries!$A$1:$D$205,2,FALSE)</f>
        <v>TUR</v>
      </c>
      <c r="B1126" s="86" t="s">
        <v>2567</v>
      </c>
      <c r="C1126" s="93" t="s">
        <v>314</v>
      </c>
      <c r="D1126" s="86" t="s">
        <v>2568</v>
      </c>
      <c r="E1126" s="94" t="s">
        <v>2093</v>
      </c>
      <c r="F1126" s="99">
        <v>1992</v>
      </c>
      <c r="G1126" s="96">
        <v>24.196583264099537</v>
      </c>
      <c r="H1126" s="97">
        <f>G1126*1000*Conversion!$A$2</f>
        <v>2174.7889037772661</v>
      </c>
      <c r="I1126" s="93" t="s">
        <v>471</v>
      </c>
      <c r="J1126" s="93" t="s">
        <v>493</v>
      </c>
      <c r="K1126" s="94" t="s">
        <v>494</v>
      </c>
      <c r="L1126" s="93"/>
      <c r="M1126" s="93"/>
      <c r="N1126" s="93"/>
    </row>
    <row r="1127" spans="1:14" ht="31" x14ac:dyDescent="0.35">
      <c r="A1127" s="93" t="str">
        <f>VLOOKUP(C1127,Countries!$A$1:$D$205,2,FALSE)</f>
        <v>TUR</v>
      </c>
      <c r="B1127" s="86" t="s">
        <v>2569</v>
      </c>
      <c r="C1127" s="93" t="s">
        <v>314</v>
      </c>
      <c r="D1127" s="86" t="s">
        <v>2570</v>
      </c>
      <c r="E1127" s="94" t="s">
        <v>2093</v>
      </c>
      <c r="F1127" s="93"/>
      <c r="G1127" s="96">
        <v>104</v>
      </c>
      <c r="H1127" s="97">
        <f>G1127*1000*Conversion!$A$2</f>
        <v>9347.52</v>
      </c>
      <c r="I1127" s="93" t="s">
        <v>471</v>
      </c>
      <c r="J1127" s="93" t="s">
        <v>493</v>
      </c>
      <c r="K1127" s="94" t="s">
        <v>494</v>
      </c>
      <c r="L1127" s="93"/>
      <c r="M1127" s="93"/>
      <c r="N1127" s="93"/>
    </row>
    <row r="1128" spans="1:14" ht="31" x14ac:dyDescent="0.35">
      <c r="A1128" s="93" t="str">
        <f>VLOOKUP(C1128,Countries!$A$1:$D$205,2,FALSE)</f>
        <v>TUR</v>
      </c>
      <c r="B1128" s="86" t="s">
        <v>2571</v>
      </c>
      <c r="C1128" s="93" t="s">
        <v>314</v>
      </c>
      <c r="D1128" s="86" t="s">
        <v>2570</v>
      </c>
      <c r="E1128" s="94" t="s">
        <v>2093</v>
      </c>
      <c r="F1128" s="99">
        <v>2007</v>
      </c>
      <c r="G1128" s="96">
        <v>50</v>
      </c>
      <c r="H1128" s="97">
        <f>G1128*1000*Conversion!$A$2</f>
        <v>4494</v>
      </c>
      <c r="I1128" s="93" t="s">
        <v>471</v>
      </c>
      <c r="J1128" s="93" t="s">
        <v>493</v>
      </c>
      <c r="K1128" s="94" t="s">
        <v>494</v>
      </c>
      <c r="L1128" s="93"/>
      <c r="M1128" s="93"/>
      <c r="N1128" s="93"/>
    </row>
    <row r="1129" spans="1:14" ht="31" x14ac:dyDescent="0.35">
      <c r="A1129" s="93" t="str">
        <f>VLOOKUP(C1129,Countries!$A$1:$D$205,2,FALSE)</f>
        <v>TUR</v>
      </c>
      <c r="B1129" s="86" t="s">
        <v>2572</v>
      </c>
      <c r="C1129" s="93" t="s">
        <v>314</v>
      </c>
      <c r="D1129" s="86" t="s">
        <v>2573</v>
      </c>
      <c r="E1129" s="94" t="s">
        <v>2093</v>
      </c>
      <c r="F1129" s="93"/>
      <c r="G1129" s="96">
        <v>8.6661412151574897</v>
      </c>
      <c r="H1129" s="97">
        <f>G1129*1000*Conversion!$A$2</f>
        <v>778.91277241835519</v>
      </c>
      <c r="I1129" s="93" t="s">
        <v>471</v>
      </c>
      <c r="J1129" s="93" t="s">
        <v>493</v>
      </c>
      <c r="K1129" s="94" t="s">
        <v>494</v>
      </c>
      <c r="L1129" s="93"/>
      <c r="M1129" s="93"/>
      <c r="N1129" s="93"/>
    </row>
    <row r="1130" spans="1:14" ht="31" x14ac:dyDescent="0.35">
      <c r="A1130" s="93" t="str">
        <f>VLOOKUP(C1130,Countries!$A$1:$D$205,2,FALSE)</f>
        <v>TUR</v>
      </c>
      <c r="B1130" s="86" t="s">
        <v>2435</v>
      </c>
      <c r="C1130" s="93" t="s">
        <v>314</v>
      </c>
      <c r="D1130" s="86" t="s">
        <v>2574</v>
      </c>
      <c r="E1130" s="94" t="s">
        <v>2095</v>
      </c>
      <c r="F1130" s="93"/>
      <c r="G1130" s="96">
        <v>893.7050179726026</v>
      </c>
      <c r="H1130" s="97">
        <f>G1130*1000*Conversion!$A$2</f>
        <v>80326.207015377528</v>
      </c>
      <c r="I1130" s="93" t="s">
        <v>471</v>
      </c>
      <c r="J1130" s="93" t="s">
        <v>493</v>
      </c>
      <c r="K1130" s="94" t="s">
        <v>494</v>
      </c>
      <c r="L1130" s="93"/>
      <c r="M1130" s="93"/>
      <c r="N1130" s="93"/>
    </row>
    <row r="1131" spans="1:14" ht="31" x14ac:dyDescent="0.35">
      <c r="A1131" s="93" t="str">
        <f>VLOOKUP(C1131,Countries!$A$1:$D$205,2,FALSE)</f>
        <v>TUR</v>
      </c>
      <c r="B1131" s="86" t="s">
        <v>2435</v>
      </c>
      <c r="C1131" s="93" t="s">
        <v>314</v>
      </c>
      <c r="D1131" s="86" t="s">
        <v>2574</v>
      </c>
      <c r="E1131" s="94" t="s">
        <v>2093</v>
      </c>
      <c r="F1131" s="93">
        <v>2002</v>
      </c>
      <c r="G1131" s="96">
        <v>86.661412151574893</v>
      </c>
      <c r="H1131" s="97">
        <f>G1131*1000*Conversion!$A$2</f>
        <v>7789.1277241835523</v>
      </c>
      <c r="I1131" s="93" t="s">
        <v>471</v>
      </c>
      <c r="J1131" s="93" t="s">
        <v>493</v>
      </c>
      <c r="K1131" s="94" t="s">
        <v>494</v>
      </c>
      <c r="L1131" s="93"/>
      <c r="M1131" s="93"/>
      <c r="N1131" s="93"/>
    </row>
    <row r="1132" spans="1:14" ht="46.5" x14ac:dyDescent="0.35">
      <c r="A1132" s="93" t="str">
        <f>VLOOKUP(C1132,Countries!$A$1:$D$205,2,FALSE)</f>
        <v>ARE</v>
      </c>
      <c r="B1132" s="86" t="s">
        <v>2450</v>
      </c>
      <c r="C1132" s="93" t="s">
        <v>447</v>
      </c>
      <c r="D1132" s="86" t="s">
        <v>2451</v>
      </c>
      <c r="E1132" s="94" t="s">
        <v>2103</v>
      </c>
      <c r="F1132" s="95">
        <v>2017</v>
      </c>
      <c r="G1132" s="96">
        <v>730.13926535900293</v>
      </c>
      <c r="H1132" s="97">
        <f>G1132*1000*Conversion!$A$2</f>
        <v>65624.91717046719</v>
      </c>
      <c r="I1132" s="93" t="s">
        <v>471</v>
      </c>
      <c r="J1132" s="93" t="s">
        <v>493</v>
      </c>
      <c r="K1132" s="94" t="s">
        <v>483</v>
      </c>
      <c r="L1132" s="93"/>
      <c r="M1132" s="93"/>
      <c r="N1132" s="86" t="s">
        <v>2452</v>
      </c>
    </row>
    <row r="1133" spans="1:14" ht="31" x14ac:dyDescent="0.35">
      <c r="A1133" s="93" t="str">
        <f>VLOOKUP(C1133,Countries!$A$1:$D$205,2,FALSE)</f>
        <v>ARE</v>
      </c>
      <c r="B1133" s="86" t="s">
        <v>2575</v>
      </c>
      <c r="C1133" s="93" t="s">
        <v>447</v>
      </c>
      <c r="D1133" s="86" t="s">
        <v>2576</v>
      </c>
      <c r="E1133" s="94" t="s">
        <v>2093</v>
      </c>
      <c r="F1133" s="95">
        <v>2015</v>
      </c>
      <c r="G1133" s="96">
        <v>99.660623974311122</v>
      </c>
      <c r="H1133" s="97">
        <f>G1133*1000*Conversion!$A$2</f>
        <v>8957.4968828110832</v>
      </c>
      <c r="I1133" s="93" t="s">
        <v>471</v>
      </c>
      <c r="J1133" s="93" t="s">
        <v>493</v>
      </c>
      <c r="K1133" s="94" t="s">
        <v>494</v>
      </c>
      <c r="L1133" s="93"/>
      <c r="M1133" s="93"/>
      <c r="N1133" s="86"/>
    </row>
    <row r="1134" spans="1:14" ht="31" x14ac:dyDescent="0.35">
      <c r="A1134" s="93" t="str">
        <f>VLOOKUP(C1134,Countries!$A$1:$D$205,2,FALSE)</f>
        <v>ARE</v>
      </c>
      <c r="B1134" s="86" t="s">
        <v>2447</v>
      </c>
      <c r="C1134" s="93" t="s">
        <v>447</v>
      </c>
      <c r="D1134" s="86" t="s">
        <v>2577</v>
      </c>
      <c r="E1134" s="94" t="s">
        <v>2095</v>
      </c>
      <c r="F1134" s="95">
        <v>2002</v>
      </c>
      <c r="G1134" s="96">
        <v>8204.2418811078387</v>
      </c>
      <c r="H1134" s="97">
        <f>G1134*1000*Conversion!$A$2</f>
        <v>737397.26027397253</v>
      </c>
      <c r="I1134" s="93" t="s">
        <v>471</v>
      </c>
      <c r="J1134" s="93" t="s">
        <v>493</v>
      </c>
      <c r="K1134" s="94" t="s">
        <v>494</v>
      </c>
      <c r="L1134" s="93"/>
      <c r="M1134" s="93"/>
      <c r="N1134" s="86"/>
    </row>
    <row r="1135" spans="1:14" ht="31" x14ac:dyDescent="0.35">
      <c r="A1135" s="93" t="str">
        <f>VLOOKUP(C1135,Countries!$A$1:$D$205,2,FALSE)</f>
        <v>ARE</v>
      </c>
      <c r="B1135" s="86" t="s">
        <v>2578</v>
      </c>
      <c r="C1135" s="93" t="s">
        <v>447</v>
      </c>
      <c r="D1135" s="86" t="s">
        <v>2579</v>
      </c>
      <c r="E1135" s="94" t="s">
        <v>2093</v>
      </c>
      <c r="F1135" s="95">
        <v>2017</v>
      </c>
      <c r="G1135" s="96">
        <v>38.997635468208699</v>
      </c>
      <c r="H1135" s="97">
        <f>G1135*1000*Conversion!$A$2</f>
        <v>3505.1074758825976</v>
      </c>
      <c r="I1135" s="93" t="s">
        <v>471</v>
      </c>
      <c r="J1135" s="93" t="s">
        <v>493</v>
      </c>
      <c r="K1135" s="94" t="s">
        <v>494</v>
      </c>
      <c r="L1135" s="93"/>
      <c r="M1135" s="93"/>
      <c r="N1135" s="86"/>
    </row>
    <row r="1136" spans="1:14" ht="31" x14ac:dyDescent="0.35">
      <c r="A1136" s="93" t="str">
        <f>VLOOKUP(C1136,Countries!$A$1:$D$205,2,FALSE)</f>
        <v>ARE</v>
      </c>
      <c r="B1136" s="86" t="s">
        <v>2580</v>
      </c>
      <c r="C1136" s="93" t="s">
        <v>447</v>
      </c>
      <c r="D1136" s="86" t="s">
        <v>2581</v>
      </c>
      <c r="E1136" s="94" t="s">
        <v>2093</v>
      </c>
      <c r="F1136" s="95">
        <v>2000</v>
      </c>
      <c r="G1136" s="96">
        <v>41.479857024170634</v>
      </c>
      <c r="H1136" s="97">
        <f>G1136*1000*Conversion!$A$2</f>
        <v>3728.2095493324564</v>
      </c>
      <c r="I1136" s="93" t="s">
        <v>471</v>
      </c>
      <c r="J1136" s="93" t="s">
        <v>493</v>
      </c>
      <c r="K1136" s="94" t="s">
        <v>494</v>
      </c>
      <c r="L1136" s="93"/>
      <c r="M1136" s="93"/>
      <c r="N1136" s="86" t="s">
        <v>2582</v>
      </c>
    </row>
    <row r="1137" spans="1:14" ht="31" x14ac:dyDescent="0.35">
      <c r="A1137" s="93" t="str">
        <f>VLOOKUP(C1137,Countries!$A$1:$D$205,2,FALSE)</f>
        <v>ARE</v>
      </c>
      <c r="B1137" s="86" t="s">
        <v>2578</v>
      </c>
      <c r="C1137" s="93" t="s">
        <v>447</v>
      </c>
      <c r="D1137" s="86" t="s">
        <v>2583</v>
      </c>
      <c r="E1137" s="94" t="s">
        <v>2093</v>
      </c>
      <c r="F1137" s="95">
        <v>2022</v>
      </c>
      <c r="G1137" s="96">
        <v>104</v>
      </c>
      <c r="H1137" s="97">
        <f>G1137*1000*Conversion!$A$2</f>
        <v>9347.52</v>
      </c>
      <c r="I1137" s="93" t="s">
        <v>471</v>
      </c>
      <c r="J1137" s="93" t="s">
        <v>493</v>
      </c>
      <c r="K1137" s="94" t="s">
        <v>494</v>
      </c>
      <c r="L1137" s="93"/>
      <c r="M1137" s="93"/>
      <c r="N1137" s="86"/>
    </row>
    <row r="1138" spans="1:14" ht="31" x14ac:dyDescent="0.35">
      <c r="A1138" s="93" t="str">
        <f>VLOOKUP(C1138,Countries!$A$1:$D$205,2,FALSE)</f>
        <v>ARE</v>
      </c>
      <c r="B1138" s="86" t="s">
        <v>2580</v>
      </c>
      <c r="C1138" s="93" t="s">
        <v>447</v>
      </c>
      <c r="D1138" s="86" t="s">
        <v>2584</v>
      </c>
      <c r="E1138" s="94" t="s">
        <v>2093</v>
      </c>
      <c r="F1138" s="95">
        <v>2016</v>
      </c>
      <c r="G1138" s="96">
        <v>18</v>
      </c>
      <c r="H1138" s="97">
        <f>G1138*1000*Conversion!$A$2</f>
        <v>1617.84</v>
      </c>
      <c r="I1138" s="93" t="s">
        <v>471</v>
      </c>
      <c r="J1138" s="93" t="s">
        <v>493</v>
      </c>
      <c r="K1138" s="94" t="s">
        <v>494</v>
      </c>
      <c r="L1138" s="93"/>
      <c r="M1138" s="93"/>
      <c r="N1138" s="86" t="s">
        <v>2528</v>
      </c>
    </row>
    <row r="1139" spans="1:14" ht="31" x14ac:dyDescent="0.35">
      <c r="A1139" s="93" t="str">
        <f>VLOOKUP(C1139,Countries!$A$1:$D$205,2,FALSE)</f>
        <v>DZA</v>
      </c>
      <c r="B1139" s="100" t="s">
        <v>2585</v>
      </c>
      <c r="C1139" s="93" t="s">
        <v>344</v>
      </c>
      <c r="D1139" s="100" t="s">
        <v>2586</v>
      </c>
      <c r="E1139" s="94" t="s">
        <v>502</v>
      </c>
      <c r="F1139" s="95">
        <v>2025</v>
      </c>
      <c r="G1139" s="96">
        <v>27</v>
      </c>
      <c r="H1139" s="97">
        <f>G1139*1000*Conversion!$A$2</f>
        <v>2426.7600000000002</v>
      </c>
      <c r="I1139" s="93" t="s">
        <v>471</v>
      </c>
      <c r="J1139" s="93" t="s">
        <v>472</v>
      </c>
      <c r="K1139" s="94" t="s">
        <v>1779</v>
      </c>
      <c r="N1139" s="100" t="s">
        <v>2587</v>
      </c>
    </row>
    <row r="1140" spans="1:14" ht="87.5" x14ac:dyDescent="0.35">
      <c r="A1140" s="93" t="str">
        <f>VLOOKUP(C1140,Countries!$A$1:$D$205,2,FALSE)</f>
        <v>EGY</v>
      </c>
      <c r="B1140" s="100" t="s">
        <v>2588</v>
      </c>
      <c r="C1140" s="93" t="s">
        <v>370</v>
      </c>
      <c r="D1140" s="100" t="s">
        <v>2589</v>
      </c>
      <c r="E1140" s="94" t="s">
        <v>502</v>
      </c>
      <c r="F1140" s="95">
        <v>2026</v>
      </c>
      <c r="G1140" s="96">
        <v>40533</v>
      </c>
      <c r="H1140" s="97">
        <f>G1140*1000*Conversion!$A$2</f>
        <v>3643106.04</v>
      </c>
      <c r="I1140" s="93" t="s">
        <v>471</v>
      </c>
      <c r="J1140" s="93" t="s">
        <v>472</v>
      </c>
      <c r="K1140" s="94" t="s">
        <v>1074</v>
      </c>
      <c r="N1140" s="100" t="s">
        <v>2590</v>
      </c>
    </row>
    <row r="1141" spans="1:14" ht="100" x14ac:dyDescent="0.35">
      <c r="A1141" s="93" t="str">
        <f>VLOOKUP(C1141,Countries!$A$1:$D$205,2,FALSE)</f>
        <v>EGY</v>
      </c>
      <c r="B1141" s="100" t="s">
        <v>2588</v>
      </c>
      <c r="C1141" s="93" t="s">
        <v>370</v>
      </c>
      <c r="D1141" s="100" t="s">
        <v>2591</v>
      </c>
      <c r="E1141" s="94" t="s">
        <v>502</v>
      </c>
      <c r="F1141" s="95">
        <v>2024</v>
      </c>
      <c r="G1141" s="96">
        <v>19200</v>
      </c>
      <c r="H1141" s="97">
        <f>G1141*1000*Conversion!$A$2</f>
        <v>1725696</v>
      </c>
      <c r="I1141" s="93" t="s">
        <v>471</v>
      </c>
      <c r="J1141" s="93" t="s">
        <v>472</v>
      </c>
      <c r="K1141" s="94" t="s">
        <v>1074</v>
      </c>
      <c r="N1141" s="100" t="s">
        <v>2592</v>
      </c>
    </row>
    <row r="1142" spans="1:14" ht="31" x14ac:dyDescent="0.35">
      <c r="A1142" s="93" t="str">
        <f>VLOOKUP(C1142,Countries!$A$1:$D$205,2,FALSE)</f>
        <v>MRT</v>
      </c>
      <c r="B1142" s="100" t="s">
        <v>2593</v>
      </c>
      <c r="C1142" s="93" t="s">
        <v>206</v>
      </c>
      <c r="D1142" s="100" t="s">
        <v>2594</v>
      </c>
      <c r="E1142" s="94" t="s">
        <v>502</v>
      </c>
      <c r="F1142" s="95">
        <v>2030</v>
      </c>
      <c r="G1142" s="96">
        <v>53333</v>
      </c>
      <c r="H1142" s="97">
        <f>G1142*1000*Conversion!$A$2</f>
        <v>4793570.04</v>
      </c>
      <c r="I1142" s="93" t="s">
        <v>471</v>
      </c>
      <c r="J1142" s="93" t="s">
        <v>472</v>
      </c>
      <c r="K1142" s="94" t="s">
        <v>1779</v>
      </c>
      <c r="N1142" s="100" t="s">
        <v>2595</v>
      </c>
    </row>
    <row r="1143" spans="1:14" ht="31" x14ac:dyDescent="0.35">
      <c r="A1143" s="93" t="str">
        <f>VLOOKUP(C1143,Countries!$A$1:$D$205,2,FALSE)</f>
        <v>NAM</v>
      </c>
      <c r="B1143" s="100" t="s">
        <v>2596</v>
      </c>
      <c r="C1143" s="93" t="s">
        <v>222</v>
      </c>
      <c r="D1143" s="100" t="s">
        <v>2597</v>
      </c>
      <c r="E1143" s="94" t="s">
        <v>502</v>
      </c>
      <c r="F1143" s="95">
        <v>2024</v>
      </c>
      <c r="G1143" s="96">
        <v>160</v>
      </c>
      <c r="H1143" s="97">
        <f>G1143*1000*Conversion!$A$2</f>
        <v>14380.800000000001</v>
      </c>
      <c r="I1143" s="93" t="s">
        <v>471</v>
      </c>
      <c r="J1143" s="93" t="s">
        <v>472</v>
      </c>
      <c r="K1143" s="94" t="s">
        <v>1779</v>
      </c>
      <c r="N1143" s="100" t="s">
        <v>2598</v>
      </c>
    </row>
    <row r="1144" spans="1:14" ht="15.5" x14ac:dyDescent="0.35">
      <c r="A1144" s="93" t="str">
        <f>VLOOKUP(C1144,Countries!$A$1:$D$205,2,FALSE)</f>
        <v>MAR</v>
      </c>
      <c r="B1144" s="100" t="s">
        <v>2599</v>
      </c>
      <c r="C1144" s="93" t="s">
        <v>408</v>
      </c>
      <c r="D1144" s="100" t="s">
        <v>2600</v>
      </c>
      <c r="E1144" s="94" t="s">
        <v>502</v>
      </c>
      <c r="F1144" s="95">
        <v>1998</v>
      </c>
      <c r="G1144" s="96">
        <v>5</v>
      </c>
      <c r="H1144" s="97">
        <f>G1144*1000*Conversion!$A$2</f>
        <v>449.40000000000003</v>
      </c>
      <c r="I1144" s="93" t="s">
        <v>471</v>
      </c>
      <c r="J1144" s="93" t="s">
        <v>472</v>
      </c>
      <c r="K1144" s="94" t="s">
        <v>1472</v>
      </c>
      <c r="N1144" s="100" t="s">
        <v>1718</v>
      </c>
    </row>
    <row r="1145" spans="1:14" ht="31" x14ac:dyDescent="0.35">
      <c r="A1145" s="93" t="str">
        <f>VLOOKUP(C1145,Countries!$A$1:$D$205,2,FALSE)</f>
        <v>ZAF</v>
      </c>
      <c r="B1145" s="100" t="s">
        <v>2601</v>
      </c>
      <c r="C1145" s="93" t="s">
        <v>431</v>
      </c>
      <c r="D1145" s="100" t="s">
        <v>2602</v>
      </c>
      <c r="E1145" s="94" t="s">
        <v>502</v>
      </c>
      <c r="F1145" s="95">
        <v>2028</v>
      </c>
      <c r="G1145" s="4">
        <v>26666</v>
      </c>
      <c r="H1145" s="97">
        <f>G1145*1000*Conversion!$A$2</f>
        <v>2396740.08</v>
      </c>
      <c r="I1145" s="93" t="s">
        <v>471</v>
      </c>
      <c r="J1145" s="93" t="s">
        <v>472</v>
      </c>
      <c r="K1145" s="94" t="s">
        <v>1779</v>
      </c>
      <c r="N1145" t="s">
        <v>2603</v>
      </c>
    </row>
    <row r="1146" spans="1:14" ht="25" x14ac:dyDescent="0.35">
      <c r="A1146" s="93" t="str">
        <f>VLOOKUP(C1146,Countries!$A$1:$D$205,2,FALSE)</f>
        <v>CMR</v>
      </c>
      <c r="B1146" s="100" t="s">
        <v>2604</v>
      </c>
      <c r="C1146" s="93" t="s">
        <v>71</v>
      </c>
      <c r="D1146" s="100" t="s">
        <v>2605</v>
      </c>
      <c r="E1146" s="94" t="s">
        <v>1486</v>
      </c>
      <c r="F1146" s="95">
        <v>2017</v>
      </c>
      <c r="G1146" s="101">
        <v>360</v>
      </c>
      <c r="H1146" s="97">
        <f>G1146*1000*Conversion!$A$2</f>
        <v>32356.799999999999</v>
      </c>
      <c r="I1146" s="93" t="s">
        <v>731</v>
      </c>
      <c r="J1146" s="93" t="s">
        <v>472</v>
      </c>
      <c r="K1146" s="94" t="s">
        <v>483</v>
      </c>
      <c r="N1146" s="100" t="s">
        <v>2606</v>
      </c>
    </row>
    <row r="1147" spans="1:14" ht="25" x14ac:dyDescent="0.35">
      <c r="A1147" s="93" t="str">
        <f>VLOOKUP(C1147,Countries!$A$1:$D$205,2,FALSE)</f>
        <v>CMR</v>
      </c>
      <c r="B1147" s="100" t="s">
        <v>2604</v>
      </c>
      <c r="C1147" s="93" t="s">
        <v>71</v>
      </c>
      <c r="D1147" s="100" t="s">
        <v>2605</v>
      </c>
      <c r="E1147" s="94" t="s">
        <v>261</v>
      </c>
      <c r="F1147" s="95">
        <v>2017</v>
      </c>
      <c r="G1147" s="101">
        <v>408</v>
      </c>
      <c r="H1147" s="97">
        <f>G1147*1000*Conversion!$A$2</f>
        <v>36671.040000000001</v>
      </c>
      <c r="I1147" s="93" t="s">
        <v>731</v>
      </c>
      <c r="J1147" s="93" t="s">
        <v>472</v>
      </c>
      <c r="K1147" s="94" t="s">
        <v>483</v>
      </c>
      <c r="N1147" s="100" t="s">
        <v>2606</v>
      </c>
    </row>
    <row r="1148" spans="1:14" ht="25" x14ac:dyDescent="0.35">
      <c r="A1148" s="93" t="str">
        <f>VLOOKUP(C1148,Countries!$A$1:$D$205,2,FALSE)</f>
        <v>CIV</v>
      </c>
      <c r="B1148" s="100" t="s">
        <v>2607</v>
      </c>
      <c r="C1148" s="93" t="s">
        <v>394</v>
      </c>
      <c r="D1148" s="100" t="s">
        <v>2608</v>
      </c>
      <c r="E1148" s="94" t="s">
        <v>1486</v>
      </c>
      <c r="F1148" s="95">
        <v>2003</v>
      </c>
      <c r="G1148" s="101">
        <v>850</v>
      </c>
      <c r="H1148" s="97">
        <f>G1148*1000*Conversion!$A$2</f>
        <v>76398</v>
      </c>
      <c r="I1148" s="93" t="s">
        <v>731</v>
      </c>
      <c r="J1148" s="93" t="s">
        <v>472</v>
      </c>
      <c r="K1148" s="94" t="s">
        <v>483</v>
      </c>
    </row>
    <row r="1149" spans="1:14" ht="25" x14ac:dyDescent="0.35">
      <c r="A1149" s="93" t="str">
        <f>VLOOKUP(C1149,Countries!$A$1:$D$205,2,FALSE)</f>
        <v>CIV</v>
      </c>
      <c r="B1149" s="100" t="s">
        <v>2607</v>
      </c>
      <c r="C1149" s="93" t="s">
        <v>394</v>
      </c>
      <c r="D1149" s="100" t="s">
        <v>2608</v>
      </c>
      <c r="E1149" s="94" t="s">
        <v>2609</v>
      </c>
      <c r="G1149" s="101">
        <v>283</v>
      </c>
      <c r="H1149" s="97">
        <f>G1149*1000*Conversion!$A$2</f>
        <v>25436.04</v>
      </c>
      <c r="I1149" s="93" t="s">
        <v>731</v>
      </c>
      <c r="J1149" s="93" t="s">
        <v>472</v>
      </c>
      <c r="K1149" s="94" t="s">
        <v>483</v>
      </c>
    </row>
    <row r="1150" spans="1:14" ht="25" x14ac:dyDescent="0.35">
      <c r="A1150" s="93" t="str">
        <f>VLOOKUP(C1150,Countries!$A$1:$D$205,2,FALSE)</f>
        <v>CIV</v>
      </c>
      <c r="B1150" s="100" t="s">
        <v>2607</v>
      </c>
      <c r="C1150" s="93" t="s">
        <v>394</v>
      </c>
      <c r="D1150" s="100" t="s">
        <v>2608</v>
      </c>
      <c r="E1150" s="94" t="s">
        <v>261</v>
      </c>
      <c r="F1150" s="95">
        <v>2003</v>
      </c>
      <c r="G1150" s="101">
        <v>1388</v>
      </c>
      <c r="H1150" s="97">
        <f>G1150*1000*Conversion!$A$2</f>
        <v>124753.44</v>
      </c>
      <c r="I1150" s="93" t="s">
        <v>731</v>
      </c>
      <c r="J1150" s="93" t="s">
        <v>472</v>
      </c>
      <c r="K1150" s="94" t="s">
        <v>483</v>
      </c>
    </row>
    <row r="1151" spans="1:14" ht="37.5" x14ac:dyDescent="0.35">
      <c r="A1151" s="93" t="str">
        <f>VLOOKUP(C1151,Countries!$A$1:$D$205,2,FALSE)</f>
        <v>EGY</v>
      </c>
      <c r="B1151" s="100" t="s">
        <v>2610</v>
      </c>
      <c r="C1151" s="93" t="s">
        <v>370</v>
      </c>
      <c r="D1151" s="100" t="s">
        <v>2611</v>
      </c>
      <c r="E1151" s="104" t="s">
        <v>502</v>
      </c>
      <c r="F1151" s="102">
        <v>2035</v>
      </c>
      <c r="G1151" s="101">
        <v>8118</v>
      </c>
      <c r="H1151" s="97">
        <f>G1151*1000*Conversion!$A$2</f>
        <v>729645.84</v>
      </c>
      <c r="I1151" s="93" t="s">
        <v>731</v>
      </c>
      <c r="J1151" s="93" t="s">
        <v>472</v>
      </c>
      <c r="K1151" s="94" t="s">
        <v>1074</v>
      </c>
      <c r="N1151" s="100" t="s">
        <v>2612</v>
      </c>
    </row>
    <row r="1152" spans="1:14" ht="37.5" x14ac:dyDescent="0.35">
      <c r="A1152" s="93" t="str">
        <f>VLOOKUP(C1152,Countries!$A$1:$D$205,2,FALSE)</f>
        <v>EGY</v>
      </c>
      <c r="B1152" s="100" t="s">
        <v>2613</v>
      </c>
      <c r="C1152" s="93" t="s">
        <v>370</v>
      </c>
      <c r="D1152" s="100" t="s">
        <v>2614</v>
      </c>
      <c r="E1152" s="103" t="s">
        <v>261</v>
      </c>
      <c r="F1152" s="102">
        <v>2023</v>
      </c>
      <c r="G1152" s="101">
        <v>366</v>
      </c>
      <c r="H1152" s="97">
        <f>G1152*1000*Conversion!$A$2</f>
        <v>32896.080000000002</v>
      </c>
      <c r="I1152" s="93" t="s">
        <v>731</v>
      </c>
      <c r="J1152" s="93" t="s">
        <v>472</v>
      </c>
      <c r="K1152" s="94" t="s">
        <v>483</v>
      </c>
      <c r="N1152" s="100" t="s">
        <v>2615</v>
      </c>
    </row>
    <row r="1153" spans="1:14" ht="25" x14ac:dyDescent="0.35">
      <c r="A1153" s="93" t="str">
        <f>VLOOKUP(C1153,Countries!$A$1:$D$205,2,FALSE)</f>
        <v>EGY</v>
      </c>
      <c r="B1153" s="100" t="s">
        <v>2616</v>
      </c>
      <c r="C1153" s="93" t="s">
        <v>370</v>
      </c>
      <c r="D1153" s="100" t="s">
        <v>2617</v>
      </c>
      <c r="E1153" s="103" t="s">
        <v>261</v>
      </c>
      <c r="F1153" s="102"/>
      <c r="G1153" s="101">
        <v>278</v>
      </c>
      <c r="H1153" s="97">
        <f>G1153*1000*Conversion!$A$2</f>
        <v>24986.639999999999</v>
      </c>
      <c r="I1153" s="93" t="s">
        <v>731</v>
      </c>
      <c r="J1153" s="93" t="s">
        <v>472</v>
      </c>
      <c r="K1153" s="94" t="s">
        <v>483</v>
      </c>
      <c r="N1153" s="100" t="s">
        <v>2618</v>
      </c>
    </row>
    <row r="1154" spans="1:14" ht="75" x14ac:dyDescent="0.35">
      <c r="A1154" s="93" t="str">
        <f>VLOOKUP(C1154,Countries!$A$1:$D$205,2,FALSE)</f>
        <v>EGY</v>
      </c>
      <c r="B1154" s="100" t="s">
        <v>2610</v>
      </c>
      <c r="C1154" s="93" t="s">
        <v>370</v>
      </c>
      <c r="D1154" s="100" t="s">
        <v>2619</v>
      </c>
      <c r="E1154" s="104" t="s">
        <v>502</v>
      </c>
      <c r="F1154" s="102">
        <v>2026</v>
      </c>
      <c r="G1154" s="101">
        <v>2706</v>
      </c>
      <c r="H1154" s="97">
        <f>G1154*1000*Conversion!$A$2</f>
        <v>243215.28</v>
      </c>
      <c r="I1154" s="93" t="s">
        <v>731</v>
      </c>
      <c r="J1154" s="93" t="s">
        <v>472</v>
      </c>
      <c r="K1154" s="94" t="s">
        <v>1074</v>
      </c>
      <c r="N1154" s="100" t="s">
        <v>2620</v>
      </c>
    </row>
    <row r="1155" spans="1:14" ht="37.5" x14ac:dyDescent="0.35">
      <c r="A1155" s="93" t="str">
        <f>VLOOKUP(C1155,Countries!$A$1:$D$205,2,FALSE)</f>
        <v>EGY</v>
      </c>
      <c r="B1155" s="100" t="s">
        <v>2588</v>
      </c>
      <c r="C1155" s="93" t="s">
        <v>370</v>
      </c>
      <c r="D1155" s="100" t="s">
        <v>2621</v>
      </c>
      <c r="E1155" s="104" t="s">
        <v>502</v>
      </c>
      <c r="F1155" s="102">
        <v>2031</v>
      </c>
      <c r="G1155" s="101">
        <v>1894</v>
      </c>
      <c r="H1155" s="97">
        <f>G1155*1000*Conversion!$A$2</f>
        <v>170232.72</v>
      </c>
      <c r="I1155" s="93" t="s">
        <v>731</v>
      </c>
      <c r="J1155" s="93" t="s">
        <v>472</v>
      </c>
      <c r="K1155" s="94" t="s">
        <v>1074</v>
      </c>
      <c r="N1155" s="100" t="s">
        <v>2622</v>
      </c>
    </row>
    <row r="1156" spans="1:14" ht="25" x14ac:dyDescent="0.35">
      <c r="A1156" s="93" t="str">
        <f>VLOOKUP(C1156,Countries!$A$1:$D$205,2,FALSE)</f>
        <v>EGY</v>
      </c>
      <c r="B1156" s="100" t="s">
        <v>2623</v>
      </c>
      <c r="C1156" s="93" t="s">
        <v>370</v>
      </c>
      <c r="D1156" s="100" t="s">
        <v>2624</v>
      </c>
      <c r="E1156" s="103" t="s">
        <v>1250</v>
      </c>
      <c r="F1156" s="102"/>
      <c r="G1156" s="101">
        <v>113</v>
      </c>
      <c r="H1156" s="97">
        <f>G1156*1000*Conversion!$A$2</f>
        <v>10156.44</v>
      </c>
      <c r="I1156" s="93" t="s">
        <v>731</v>
      </c>
      <c r="J1156" s="93" t="s">
        <v>472</v>
      </c>
      <c r="K1156" s="94" t="s">
        <v>483</v>
      </c>
      <c r="N1156" s="100" t="s">
        <v>2618</v>
      </c>
    </row>
    <row r="1157" spans="1:14" ht="25" x14ac:dyDescent="0.35">
      <c r="A1157" s="93" t="str">
        <f>VLOOKUP(C1157,Countries!$A$1:$D$205,2,FALSE)</f>
        <v>EGY</v>
      </c>
      <c r="B1157" s="100" t="s">
        <v>2625</v>
      </c>
      <c r="C1157" s="93" t="s">
        <v>370</v>
      </c>
      <c r="D1157" s="100" t="s">
        <v>2626</v>
      </c>
      <c r="E1157" s="103" t="s">
        <v>261</v>
      </c>
      <c r="F1157" s="102">
        <v>2019</v>
      </c>
      <c r="G1157" s="101">
        <v>2265.9</v>
      </c>
      <c r="H1157" s="97">
        <f>G1157*1000*Conversion!$A$2</f>
        <v>203659.092</v>
      </c>
      <c r="I1157" s="93" t="s">
        <v>731</v>
      </c>
      <c r="J1157" s="93" t="s">
        <v>472</v>
      </c>
      <c r="K1157" s="94" t="s">
        <v>483</v>
      </c>
      <c r="N1157" s="100" t="s">
        <v>2627</v>
      </c>
    </row>
    <row r="1158" spans="1:14" ht="37.5" x14ac:dyDescent="0.35">
      <c r="A1158" s="93" t="str">
        <f>VLOOKUP(C1158,Countries!$A$1:$D$205,2,FALSE)</f>
        <v>EGY</v>
      </c>
      <c r="B1158" s="100" t="s">
        <v>2610</v>
      </c>
      <c r="C1158" s="93" t="s">
        <v>370</v>
      </c>
      <c r="D1158" s="100" t="s">
        <v>2628</v>
      </c>
      <c r="E1158" s="104" t="s">
        <v>502</v>
      </c>
      <c r="F1158" s="102">
        <v>2029</v>
      </c>
      <c r="G1158" s="101">
        <v>5953</v>
      </c>
      <c r="H1158" s="97">
        <f>G1158*1000*Conversion!$A$2</f>
        <v>535055.64</v>
      </c>
      <c r="I1158" s="93" t="s">
        <v>731</v>
      </c>
      <c r="J1158" s="93" t="s">
        <v>472</v>
      </c>
      <c r="K1158" s="94" t="s">
        <v>1074</v>
      </c>
      <c r="N1158" s="100" t="s">
        <v>2629</v>
      </c>
    </row>
    <row r="1159" spans="1:14" ht="50" x14ac:dyDescent="0.35">
      <c r="A1159" s="93" t="str">
        <f>VLOOKUP(C1159,Countries!$A$1:$D$205,2,FALSE)</f>
        <v>EGY</v>
      </c>
      <c r="B1159" s="100" t="s">
        <v>2630</v>
      </c>
      <c r="C1159" s="93" t="s">
        <v>370</v>
      </c>
      <c r="D1159" s="100" t="s">
        <v>2631</v>
      </c>
      <c r="E1159" s="104" t="s">
        <v>502</v>
      </c>
      <c r="F1159" s="102">
        <v>2030</v>
      </c>
      <c r="G1159" s="101">
        <v>21333</v>
      </c>
      <c r="H1159" s="97">
        <f>G1159*1000*Conversion!$A$2</f>
        <v>1917410.04</v>
      </c>
      <c r="I1159" s="93" t="s">
        <v>731</v>
      </c>
      <c r="J1159" s="93" t="s">
        <v>472</v>
      </c>
      <c r="K1159" s="94" t="s">
        <v>1162</v>
      </c>
      <c r="N1159" s="100" t="s">
        <v>2632</v>
      </c>
    </row>
    <row r="1160" spans="1:14" ht="25" x14ac:dyDescent="0.35">
      <c r="A1160" s="93" t="str">
        <f>VLOOKUP(C1160,Countries!$A$1:$D$205,2,FALSE)</f>
        <v>EGY</v>
      </c>
      <c r="B1160" s="100" t="s">
        <v>2623</v>
      </c>
      <c r="C1160" s="93" t="s">
        <v>370</v>
      </c>
      <c r="D1160" s="100" t="s">
        <v>2633</v>
      </c>
      <c r="E1160" s="103" t="s">
        <v>261</v>
      </c>
      <c r="F1160" s="102">
        <v>2003</v>
      </c>
      <c r="G1160" s="101">
        <v>2435.85</v>
      </c>
      <c r="H1160" s="97">
        <f>G1160*1000*Conversion!$A$2</f>
        <v>218934.198</v>
      </c>
      <c r="I1160" s="93" t="s">
        <v>731</v>
      </c>
      <c r="J1160" s="93" t="s">
        <v>472</v>
      </c>
      <c r="K1160" s="94" t="s">
        <v>483</v>
      </c>
      <c r="N1160" s="100" t="s">
        <v>1251</v>
      </c>
    </row>
    <row r="1161" spans="1:14" ht="37.5" x14ac:dyDescent="0.35">
      <c r="A1161" s="93" t="str">
        <f>VLOOKUP(C1161,Countries!$A$1:$D$205,2,FALSE)</f>
        <v>EGY</v>
      </c>
      <c r="B1161" s="100" t="s">
        <v>2610</v>
      </c>
      <c r="C1161" s="93" t="s">
        <v>370</v>
      </c>
      <c r="D1161" s="100" t="s">
        <v>2634</v>
      </c>
      <c r="E1161" s="104" t="s">
        <v>502</v>
      </c>
      <c r="F1161" s="102">
        <v>2027</v>
      </c>
      <c r="G1161" s="101">
        <v>677</v>
      </c>
      <c r="H1161" s="97">
        <f>G1161*1000*Conversion!$A$2</f>
        <v>60848.76</v>
      </c>
      <c r="I1161" s="93" t="s">
        <v>731</v>
      </c>
      <c r="J1161" s="93" t="s">
        <v>472</v>
      </c>
      <c r="K1161" s="94" t="s">
        <v>1074</v>
      </c>
      <c r="N1161" s="100" t="s">
        <v>2635</v>
      </c>
    </row>
    <row r="1162" spans="1:14" ht="25" x14ac:dyDescent="0.35">
      <c r="A1162" s="93" t="str">
        <f>VLOOKUP(C1162,Countries!$A$1:$D$205,2,FALSE)</f>
        <v>EGY</v>
      </c>
      <c r="B1162" s="100" t="s">
        <v>2610</v>
      </c>
      <c r="C1162" s="93" t="s">
        <v>370</v>
      </c>
      <c r="D1162" s="100" t="s">
        <v>2636</v>
      </c>
      <c r="E1162" s="104" t="s">
        <v>502</v>
      </c>
      <c r="F1162" s="102">
        <v>2038</v>
      </c>
      <c r="G1162" s="101">
        <v>16237</v>
      </c>
      <c r="H1162" s="97">
        <f>G1162*1000*Conversion!$A$2</f>
        <v>1459381.56</v>
      </c>
      <c r="I1162" s="93" t="s">
        <v>731</v>
      </c>
      <c r="J1162" s="93" t="s">
        <v>472</v>
      </c>
      <c r="K1162" s="94" t="s">
        <v>1074</v>
      </c>
      <c r="N1162" s="100" t="s">
        <v>2637</v>
      </c>
    </row>
    <row r="1163" spans="1:14" ht="43.5" x14ac:dyDescent="0.35">
      <c r="A1163" s="93" t="str">
        <f>VLOOKUP(C1163,Countries!$A$1:$D$205,2,FALSE)</f>
        <v>EGY</v>
      </c>
      <c r="B1163" s="100" t="s">
        <v>2588</v>
      </c>
      <c r="C1163" s="93" t="s">
        <v>370</v>
      </c>
      <c r="D1163" s="100" t="s">
        <v>2638</v>
      </c>
      <c r="E1163" s="104" t="s">
        <v>502</v>
      </c>
      <c r="F1163" s="102">
        <v>2027</v>
      </c>
      <c r="G1163" s="101">
        <v>6400</v>
      </c>
      <c r="H1163" s="97">
        <f>G1163*1000*Conversion!$A$2</f>
        <v>575232</v>
      </c>
      <c r="I1163" s="93" t="s">
        <v>731</v>
      </c>
      <c r="J1163" s="93" t="s">
        <v>472</v>
      </c>
      <c r="K1163" s="94" t="s">
        <v>1779</v>
      </c>
      <c r="N1163" s="71" t="s">
        <v>2639</v>
      </c>
    </row>
    <row r="1164" spans="1:14" ht="25" x14ac:dyDescent="0.35">
      <c r="A1164" s="93" t="str">
        <f>VLOOKUP(C1164,Countries!$A$1:$D$205,2,FALSE)</f>
        <v>EGY</v>
      </c>
      <c r="B1164" s="100" t="s">
        <v>2640</v>
      </c>
      <c r="C1164" s="93" t="s">
        <v>370</v>
      </c>
      <c r="D1164" s="100" t="s">
        <v>2641</v>
      </c>
      <c r="E1164" s="104" t="s">
        <v>2609</v>
      </c>
      <c r="F1164" s="102"/>
      <c r="G1164" s="101">
        <v>85</v>
      </c>
      <c r="H1164" s="97">
        <f>G1164*1000*Conversion!$A$2</f>
        <v>7639.8</v>
      </c>
      <c r="I1164" s="93" t="s">
        <v>731</v>
      </c>
      <c r="J1164" s="93" t="s">
        <v>472</v>
      </c>
      <c r="K1164" s="94" t="s">
        <v>483</v>
      </c>
      <c r="N1164" s="100" t="s">
        <v>2618</v>
      </c>
    </row>
    <row r="1165" spans="1:14" ht="25" x14ac:dyDescent="0.35">
      <c r="A1165" s="93" t="str">
        <f>VLOOKUP(C1165,Countries!$A$1:$D$205,2,FALSE)</f>
        <v>EGY</v>
      </c>
      <c r="B1165" s="100" t="s">
        <v>2610</v>
      </c>
      <c r="C1165" s="93" t="s">
        <v>370</v>
      </c>
      <c r="D1165" s="100" t="s">
        <v>2642</v>
      </c>
      <c r="E1165" s="104" t="s">
        <v>502</v>
      </c>
      <c r="F1165" s="102">
        <v>2031</v>
      </c>
      <c r="G1165" s="101">
        <v>8118</v>
      </c>
      <c r="H1165" s="97">
        <f>G1165*1000*Conversion!$A$2</f>
        <v>729645.84</v>
      </c>
      <c r="I1165" s="93" t="s">
        <v>731</v>
      </c>
      <c r="J1165" s="93" t="s">
        <v>472</v>
      </c>
      <c r="K1165" s="94" t="s">
        <v>1074</v>
      </c>
      <c r="N1165" s="100" t="s">
        <v>2643</v>
      </c>
    </row>
    <row r="1166" spans="1:14" ht="37.5" x14ac:dyDescent="0.35">
      <c r="A1166" s="93" t="str">
        <f>VLOOKUP(C1166,Countries!$A$1:$D$205,2,FALSE)</f>
        <v>MAR</v>
      </c>
      <c r="B1166" s="100" t="s">
        <v>2644</v>
      </c>
      <c r="C1166" s="93" t="s">
        <v>408</v>
      </c>
      <c r="D1166" s="100" t="s">
        <v>2645</v>
      </c>
      <c r="E1166" s="104" t="s">
        <v>502</v>
      </c>
      <c r="F1166" s="102">
        <v>2030</v>
      </c>
      <c r="G1166" s="101">
        <v>990</v>
      </c>
      <c r="H1166" s="97">
        <f>G1166*1000*Conversion!$A$2</f>
        <v>88981.2</v>
      </c>
      <c r="I1166" s="93" t="s">
        <v>731</v>
      </c>
      <c r="J1166" s="93" t="s">
        <v>472</v>
      </c>
      <c r="K1166" s="94" t="s">
        <v>1074</v>
      </c>
      <c r="N1166" s="100" t="s">
        <v>2646</v>
      </c>
    </row>
    <row r="1167" spans="1:14" ht="25" x14ac:dyDescent="0.35">
      <c r="A1167" s="93" t="str">
        <f>VLOOKUP(C1167,Countries!$A$1:$D$205,2,FALSE)</f>
        <v>MAR</v>
      </c>
      <c r="B1167" s="100" t="s">
        <v>2647</v>
      </c>
      <c r="C1167" s="93" t="s">
        <v>408</v>
      </c>
      <c r="D1167" s="100" t="s">
        <v>2648</v>
      </c>
      <c r="E1167" s="104" t="s">
        <v>502</v>
      </c>
      <c r="F1167" s="102">
        <v>2030</v>
      </c>
      <c r="G1167" s="101">
        <v>1082</v>
      </c>
      <c r="H1167" s="97">
        <f>G1167*1000*Conversion!$A$2</f>
        <v>97250.16</v>
      </c>
      <c r="I1167" s="93" t="s">
        <v>731</v>
      </c>
      <c r="J1167" s="93" t="s">
        <v>472</v>
      </c>
      <c r="K1167" s="94" t="s">
        <v>1074</v>
      </c>
      <c r="N1167" s="100" t="s">
        <v>2649</v>
      </c>
    </row>
    <row r="1168" spans="1:14" ht="37.5" x14ac:dyDescent="0.35">
      <c r="A1168" s="93" t="str">
        <f>VLOOKUP(C1168,Countries!$A$1:$D$205,2,FALSE)</f>
        <v>NAM</v>
      </c>
      <c r="B1168" s="100" t="s">
        <v>2650</v>
      </c>
      <c r="C1168" s="93" t="s">
        <v>222</v>
      </c>
      <c r="D1168" s="100" t="s">
        <v>2651</v>
      </c>
      <c r="E1168" s="104" t="s">
        <v>502</v>
      </c>
      <c r="F1168" s="102">
        <v>2029</v>
      </c>
      <c r="G1168" s="101">
        <v>9201</v>
      </c>
      <c r="H1168" s="97">
        <f>G1168*1000*Conversion!$A$2</f>
        <v>826985.88</v>
      </c>
      <c r="I1168" s="93" t="s">
        <v>731</v>
      </c>
      <c r="J1168" s="93" t="s">
        <v>472</v>
      </c>
      <c r="K1168" s="94" t="s">
        <v>1074</v>
      </c>
      <c r="N1168" s="100" t="s">
        <v>2652</v>
      </c>
    </row>
    <row r="1169" spans="1:14" ht="25" x14ac:dyDescent="0.35">
      <c r="A1169" s="93" t="str">
        <f>VLOOKUP(C1169,Countries!$A$1:$D$205,2,FALSE)</f>
        <v>NER</v>
      </c>
      <c r="B1169" s="100" t="s">
        <v>2653</v>
      </c>
      <c r="C1169" s="93" t="s">
        <v>412</v>
      </c>
      <c r="D1169" s="100" t="s">
        <v>2654</v>
      </c>
      <c r="E1169" s="104" t="s">
        <v>1250</v>
      </c>
      <c r="F1169" s="102">
        <v>2011</v>
      </c>
      <c r="G1169" s="101">
        <v>85</v>
      </c>
      <c r="H1169" s="97">
        <f>G1169*1000*Conversion!$A$2</f>
        <v>7639.8</v>
      </c>
      <c r="I1169" s="93" t="s">
        <v>731</v>
      </c>
      <c r="J1169" s="93" t="s">
        <v>472</v>
      </c>
      <c r="K1169" s="94" t="s">
        <v>483</v>
      </c>
      <c r="N1169" s="100" t="s">
        <v>2655</v>
      </c>
    </row>
    <row r="1170" spans="1:14" ht="15.5" x14ac:dyDescent="0.35">
      <c r="A1170" s="93" t="str">
        <f>VLOOKUP(C1170,Countries!$A$1:$D$205,2,FALSE)</f>
        <v>NGA</v>
      </c>
      <c r="B1170" s="100" t="s">
        <v>2656</v>
      </c>
      <c r="C1170" s="93" t="s">
        <v>414</v>
      </c>
      <c r="D1170" s="100" t="s">
        <v>2657</v>
      </c>
      <c r="E1170" s="104" t="s">
        <v>261</v>
      </c>
      <c r="F1170" s="102">
        <v>2022</v>
      </c>
      <c r="G1170" s="101">
        <v>4800</v>
      </c>
      <c r="H1170" s="97">
        <f>G1170*1000*Conversion!$A$2</f>
        <v>431424</v>
      </c>
      <c r="I1170" s="93" t="s">
        <v>731</v>
      </c>
      <c r="J1170" s="93" t="s">
        <v>472</v>
      </c>
      <c r="K1170" s="94" t="s">
        <v>483</v>
      </c>
      <c r="N1170" s="100" t="s">
        <v>2658</v>
      </c>
    </row>
    <row r="1171" spans="1:14" ht="37.5" x14ac:dyDescent="0.35">
      <c r="A1171" s="93" t="str">
        <f>VLOOKUP(C1171,Countries!$A$1:$D$205,2,FALSE)</f>
        <v>NGA</v>
      </c>
      <c r="B1171" s="100" t="s">
        <v>2659</v>
      </c>
      <c r="C1171" s="93" t="s">
        <v>414</v>
      </c>
      <c r="D1171" s="100" t="s">
        <v>2660</v>
      </c>
      <c r="E1171" s="104" t="s">
        <v>2404</v>
      </c>
      <c r="F1171" s="102">
        <v>2014</v>
      </c>
      <c r="G1171" s="101">
        <v>19275</v>
      </c>
      <c r="H1171" s="97">
        <f>G1171*1000*Conversion!$A$2</f>
        <v>1732437</v>
      </c>
      <c r="I1171" s="93" t="s">
        <v>731</v>
      </c>
      <c r="J1171" s="93" t="s">
        <v>472</v>
      </c>
      <c r="K1171" s="94" t="s">
        <v>2405</v>
      </c>
      <c r="N1171" s="100" t="s">
        <v>2661</v>
      </c>
    </row>
    <row r="1172" spans="1:14" ht="15.5" x14ac:dyDescent="0.35">
      <c r="A1172" s="93" t="str">
        <f>VLOOKUP(C1172,Countries!$A$1:$D$205,2,FALSE)</f>
        <v>ZAF</v>
      </c>
      <c r="B1172" s="100" t="s">
        <v>2662</v>
      </c>
      <c r="C1172" s="93" t="s">
        <v>431</v>
      </c>
      <c r="D1172" s="100" t="s">
        <v>2663</v>
      </c>
      <c r="E1172" s="104" t="s">
        <v>1486</v>
      </c>
      <c r="F1172" s="102">
        <v>2011</v>
      </c>
      <c r="G1172" s="101">
        <v>425</v>
      </c>
      <c r="H1172" s="97">
        <f>G1172*1000*Conversion!$A$2</f>
        <v>38199</v>
      </c>
      <c r="I1172" s="93" t="s">
        <v>731</v>
      </c>
      <c r="J1172" s="93" t="s">
        <v>472</v>
      </c>
      <c r="K1172" s="94" t="s">
        <v>483</v>
      </c>
      <c r="N1172" s="100" t="s">
        <v>2664</v>
      </c>
    </row>
    <row r="1173" spans="1:14" ht="37.5" x14ac:dyDescent="0.35">
      <c r="A1173" s="93" t="str">
        <f>VLOOKUP(C1173,Countries!$A$1:$D$205,2,FALSE)</f>
        <v>ZAF</v>
      </c>
      <c r="B1173" s="100" t="s">
        <v>2665</v>
      </c>
      <c r="C1173" s="93" t="s">
        <v>431</v>
      </c>
      <c r="D1173" s="100" t="s">
        <v>2666</v>
      </c>
      <c r="E1173" s="104" t="s">
        <v>502</v>
      </c>
      <c r="F1173" s="102">
        <v>2026</v>
      </c>
      <c r="G1173" s="101">
        <v>4221</v>
      </c>
      <c r="H1173" s="97">
        <f>G1173*1000*Conversion!$A$2</f>
        <v>379383.48</v>
      </c>
      <c r="I1173" s="93" t="s">
        <v>731</v>
      </c>
      <c r="J1173" s="93" t="s">
        <v>472</v>
      </c>
      <c r="K1173" s="94" t="s">
        <v>1074</v>
      </c>
      <c r="N1173" s="100" t="s">
        <v>2667</v>
      </c>
    </row>
    <row r="1174" spans="1:14" ht="37.5" x14ac:dyDescent="0.35">
      <c r="A1174" s="93" t="str">
        <f>VLOOKUP(C1174,Countries!$A$1:$D$205,2,FALSE)</f>
        <v>ZAF</v>
      </c>
      <c r="B1174" s="100" t="s">
        <v>2668</v>
      </c>
      <c r="C1174" s="93" t="s">
        <v>431</v>
      </c>
      <c r="D1174" s="100" t="s">
        <v>2669</v>
      </c>
      <c r="E1174" s="104" t="s">
        <v>2609</v>
      </c>
      <c r="G1174" s="101">
        <v>170</v>
      </c>
      <c r="H1174" s="97">
        <f>G1174*1000*Conversion!$A$2</f>
        <v>15279.6</v>
      </c>
      <c r="I1174" s="93" t="s">
        <v>731</v>
      </c>
      <c r="J1174" s="93" t="s">
        <v>472</v>
      </c>
      <c r="K1174" s="94" t="s">
        <v>483</v>
      </c>
      <c r="N1174" s="100" t="s">
        <v>1251</v>
      </c>
    </row>
    <row r="1175" spans="1:14" ht="37.5" x14ac:dyDescent="0.35">
      <c r="A1175" s="93" t="str">
        <f>VLOOKUP(C1175,Countries!$A$1:$D$205,2,FALSE)</f>
        <v>ZAF</v>
      </c>
      <c r="B1175" s="100" t="s">
        <v>2668</v>
      </c>
      <c r="C1175" s="93" t="s">
        <v>431</v>
      </c>
      <c r="D1175" s="100" t="s">
        <v>2669</v>
      </c>
      <c r="E1175" s="104" t="s">
        <v>261</v>
      </c>
      <c r="G1175" s="101">
        <v>736</v>
      </c>
      <c r="H1175" s="97">
        <f>G1175*1000*Conversion!$A$2</f>
        <v>66151.680000000008</v>
      </c>
      <c r="I1175" s="93" t="s">
        <v>731</v>
      </c>
      <c r="J1175" s="93" t="s">
        <v>472</v>
      </c>
      <c r="K1175" s="94" t="s">
        <v>483</v>
      </c>
      <c r="N1175" s="100" t="s">
        <v>1251</v>
      </c>
    </row>
    <row r="1176" spans="1:14" ht="31" x14ac:dyDescent="0.35">
      <c r="A1176" s="93" t="str">
        <f>VLOOKUP(C1176,Countries!$A$1:$D$205,2,FALSE)</f>
        <v>ZAF</v>
      </c>
      <c r="B1176" s="100" t="s">
        <v>2670</v>
      </c>
      <c r="C1176" s="93" t="s">
        <v>431</v>
      </c>
      <c r="D1176" s="100" t="s">
        <v>2671</v>
      </c>
      <c r="E1176" s="104" t="s">
        <v>2404</v>
      </c>
      <c r="F1176" s="102">
        <v>1992</v>
      </c>
      <c r="G1176" s="101">
        <v>12475</v>
      </c>
      <c r="H1176" s="97">
        <f>G1176*1000*Conversion!$A$2</f>
        <v>1121253</v>
      </c>
      <c r="I1176" s="93" t="s">
        <v>731</v>
      </c>
      <c r="J1176" s="93" t="s">
        <v>472</v>
      </c>
      <c r="K1176" s="94" t="s">
        <v>2405</v>
      </c>
      <c r="N1176" s="100" t="s">
        <v>2672</v>
      </c>
    </row>
    <row r="1177" spans="1:14" ht="31" x14ac:dyDescent="0.35">
      <c r="A1177" s="93" t="str">
        <f>VLOOKUP(C1177,Countries!$A$1:$D$205,2,FALSE)</f>
        <v>ZAF</v>
      </c>
      <c r="B1177" s="100" t="s">
        <v>2668</v>
      </c>
      <c r="C1177" s="93" t="s">
        <v>431</v>
      </c>
      <c r="D1177" s="100" t="s">
        <v>2673</v>
      </c>
      <c r="E1177" s="104" t="s">
        <v>2404</v>
      </c>
      <c r="G1177" s="101">
        <v>8334</v>
      </c>
      <c r="H1177" s="97">
        <f>G1177*1000*Conversion!$A$2</f>
        <v>749059.92</v>
      </c>
      <c r="I1177" s="93" t="s">
        <v>731</v>
      </c>
      <c r="J1177" s="93" t="s">
        <v>472</v>
      </c>
      <c r="K1177" s="94" t="s">
        <v>2405</v>
      </c>
      <c r="N1177" s="100" t="s">
        <v>2674</v>
      </c>
    </row>
    <row r="1178" spans="1:14" ht="31" x14ac:dyDescent="0.35">
      <c r="A1178" s="93" t="str">
        <f>VLOOKUP(C1178,Countries!$A$1:$D$205,2,FALSE)</f>
        <v>SDN</v>
      </c>
      <c r="B1178" s="100" t="s">
        <v>2675</v>
      </c>
      <c r="C1178" s="93" t="s">
        <v>435</v>
      </c>
      <c r="D1178" s="100" t="s">
        <v>2676</v>
      </c>
      <c r="E1178" s="104" t="s">
        <v>2404</v>
      </c>
      <c r="F1178">
        <v>2019</v>
      </c>
      <c r="G1178" s="101">
        <v>12473</v>
      </c>
      <c r="H1178" s="97">
        <f>G1178*1000*Conversion!$A$2</f>
        <v>1121073.24</v>
      </c>
      <c r="I1178" s="93" t="s">
        <v>731</v>
      </c>
      <c r="J1178" s="93" t="s">
        <v>472</v>
      </c>
      <c r="K1178" s="94" t="s">
        <v>2405</v>
      </c>
      <c r="N1178" s="100" t="s">
        <v>2677</v>
      </c>
    </row>
    <row r="1179" spans="1:14" ht="15.5" x14ac:dyDescent="0.35">
      <c r="A1179" s="93" t="str">
        <f>VLOOKUP(C1179,Countries!$A$1:$D$205,2,FALSE)</f>
        <v>BGD</v>
      </c>
      <c r="B1179" s="6" t="s">
        <v>2678</v>
      </c>
      <c r="C1179" s="93" t="s">
        <v>38</v>
      </c>
      <c r="D1179" s="6" t="s">
        <v>2679</v>
      </c>
      <c r="E1179" s="104" t="s">
        <v>261</v>
      </c>
      <c r="F1179">
        <v>1993</v>
      </c>
      <c r="G1179" s="101">
        <v>26</v>
      </c>
      <c r="H1179" s="97">
        <f>G1179*1000*Conversion!$A$2</f>
        <v>2336.88</v>
      </c>
      <c r="I1179" s="93" t="s">
        <v>731</v>
      </c>
      <c r="J1179" s="93" t="s">
        <v>472</v>
      </c>
      <c r="K1179" s="94" t="s">
        <v>483</v>
      </c>
      <c r="N1179" s="105" t="s">
        <v>2680</v>
      </c>
    </row>
    <row r="1180" spans="1:14" ht="29" x14ac:dyDescent="0.35">
      <c r="A1180" s="93" t="str">
        <f>VLOOKUP(C1180,Countries!$A$1:$D$205,2,FALSE)</f>
        <v>IND</v>
      </c>
      <c r="B1180" s="6" t="s">
        <v>2681</v>
      </c>
      <c r="C1180" s="93" t="s">
        <v>383</v>
      </c>
      <c r="D1180" s="6" t="s">
        <v>2682</v>
      </c>
      <c r="E1180" s="87" t="s">
        <v>261</v>
      </c>
      <c r="F1180" s="6">
        <v>2011</v>
      </c>
      <c r="G1180" s="106">
        <v>2483</v>
      </c>
      <c r="H1180" s="97">
        <f>G1180*1000*Conversion!$A$2</f>
        <v>223172.04</v>
      </c>
      <c r="I1180" s="93" t="s">
        <v>731</v>
      </c>
      <c r="J1180" s="93" t="s">
        <v>472</v>
      </c>
      <c r="K1180" s="87" t="s">
        <v>483</v>
      </c>
      <c r="N1180" s="6" t="s">
        <v>2683</v>
      </c>
    </row>
    <row r="1181" spans="1:14" ht="15.5" x14ac:dyDescent="0.35">
      <c r="A1181" s="93" t="str">
        <f>VLOOKUP(C1181,Countries!$A$1:$D$205,2,FALSE)</f>
        <v>IND</v>
      </c>
      <c r="B1181" s="6" t="s">
        <v>2684</v>
      </c>
      <c r="C1181" s="93" t="s">
        <v>383</v>
      </c>
      <c r="D1181" s="6" t="s">
        <v>2685</v>
      </c>
      <c r="E1181" s="87" t="s">
        <v>261</v>
      </c>
      <c r="F1181" s="6">
        <v>2003</v>
      </c>
      <c r="G1181" s="106">
        <v>552</v>
      </c>
      <c r="H1181" s="97">
        <f>G1181*1000*Conversion!$A$2</f>
        <v>49613.760000000002</v>
      </c>
      <c r="I1181" s="93" t="s">
        <v>731</v>
      </c>
      <c r="J1181" s="93" t="s">
        <v>472</v>
      </c>
      <c r="K1181" s="87" t="s">
        <v>483</v>
      </c>
      <c r="N1181" s="6"/>
    </row>
    <row r="1182" spans="1:14" ht="15.5" x14ac:dyDescent="0.35">
      <c r="A1182" s="93" t="str">
        <f>VLOOKUP(C1182,Countries!$A$1:$D$205,2,FALSE)</f>
        <v>IND</v>
      </c>
      <c r="B1182" s="6" t="s">
        <v>2686</v>
      </c>
      <c r="C1182" s="93" t="s">
        <v>383</v>
      </c>
      <c r="D1182" s="6" t="s">
        <v>2685</v>
      </c>
      <c r="E1182" s="87" t="s">
        <v>261</v>
      </c>
      <c r="F1182" s="6">
        <v>2006</v>
      </c>
      <c r="G1182" s="106">
        <v>2648</v>
      </c>
      <c r="H1182" s="97">
        <f>G1182*1000*Conversion!$A$2</f>
        <v>238002.24</v>
      </c>
      <c r="I1182" s="93" t="s">
        <v>731</v>
      </c>
      <c r="J1182" s="93" t="s">
        <v>472</v>
      </c>
      <c r="K1182" s="87" t="s">
        <v>483</v>
      </c>
      <c r="N1182" s="6"/>
    </row>
    <row r="1183" spans="1:14" ht="29" x14ac:dyDescent="0.35">
      <c r="A1183" s="93" t="str">
        <f>VLOOKUP(C1183,Countries!$A$1:$D$205,2,FALSE)</f>
        <v>IND</v>
      </c>
      <c r="B1183" s="6" t="s">
        <v>2687</v>
      </c>
      <c r="C1183" s="93" t="s">
        <v>383</v>
      </c>
      <c r="D1183" s="6" t="s">
        <v>2688</v>
      </c>
      <c r="E1183" s="87" t="s">
        <v>261</v>
      </c>
      <c r="F1183" s="6"/>
      <c r="G1183" s="106">
        <v>1669</v>
      </c>
      <c r="H1183" s="97">
        <f>G1183*1000*Conversion!$A$2</f>
        <v>150009.72</v>
      </c>
      <c r="I1183" s="93" t="s">
        <v>731</v>
      </c>
      <c r="J1183" s="93" t="s">
        <v>472</v>
      </c>
      <c r="K1183" s="87" t="s">
        <v>483</v>
      </c>
      <c r="N1183" s="6" t="s">
        <v>2689</v>
      </c>
    </row>
    <row r="1184" spans="1:14" ht="29" x14ac:dyDescent="0.35">
      <c r="A1184" s="93" t="str">
        <f>VLOOKUP(C1184,Countries!$A$1:$D$205,2,FALSE)</f>
        <v>IND</v>
      </c>
      <c r="B1184" s="6" t="s">
        <v>2690</v>
      </c>
      <c r="C1184" s="93" t="s">
        <v>383</v>
      </c>
      <c r="D1184" s="6" t="s">
        <v>2688</v>
      </c>
      <c r="E1184" s="87" t="s">
        <v>261</v>
      </c>
      <c r="F1184" s="6">
        <v>2026</v>
      </c>
      <c r="G1184" s="107">
        <v>3048</v>
      </c>
      <c r="H1184" s="97">
        <f>G1184*1000*Conversion!$A$2</f>
        <v>273954.24</v>
      </c>
      <c r="I1184" s="93" t="s">
        <v>731</v>
      </c>
      <c r="J1184" s="93" t="s">
        <v>472</v>
      </c>
      <c r="K1184" s="87" t="s">
        <v>483</v>
      </c>
      <c r="N1184" s="6" t="s">
        <v>2691</v>
      </c>
    </row>
    <row r="1185" spans="1:14" ht="15.5" x14ac:dyDescent="0.35">
      <c r="A1185" s="93" t="str">
        <f>VLOOKUP(C1185,Countries!$A$1:$D$205,2,FALSE)</f>
        <v>IND</v>
      </c>
      <c r="B1185" s="6" t="s">
        <v>2692</v>
      </c>
      <c r="C1185" s="93" t="s">
        <v>383</v>
      </c>
      <c r="D1185" s="6" t="s">
        <v>2693</v>
      </c>
      <c r="E1185" s="87" t="s">
        <v>261</v>
      </c>
      <c r="F1185" s="6"/>
      <c r="G1185" s="106">
        <v>3410</v>
      </c>
      <c r="H1185" s="97">
        <f>G1185*1000*Conversion!$A$2</f>
        <v>306490.8</v>
      </c>
      <c r="I1185" s="93" t="s">
        <v>731</v>
      </c>
      <c r="J1185" s="93" t="s">
        <v>472</v>
      </c>
      <c r="K1185" s="87" t="s">
        <v>1074</v>
      </c>
      <c r="N1185" s="6"/>
    </row>
    <row r="1186" spans="1:14" ht="43.5" x14ac:dyDescent="0.35">
      <c r="A1186" s="93" t="str">
        <f>VLOOKUP(C1186,Countries!$A$1:$D$205,2,FALSE)</f>
        <v>IND</v>
      </c>
      <c r="B1186" s="6" t="s">
        <v>2694</v>
      </c>
      <c r="C1186" s="93" t="s">
        <v>383</v>
      </c>
      <c r="D1186" s="6" t="s">
        <v>2695</v>
      </c>
      <c r="E1186" s="87" t="s">
        <v>1250</v>
      </c>
      <c r="F1186" s="6">
        <v>2012</v>
      </c>
      <c r="G1186" s="106">
        <v>3235</v>
      </c>
      <c r="H1186" s="97">
        <f>G1186*1000*Conversion!$A$2</f>
        <v>290761.8</v>
      </c>
      <c r="I1186" s="93" t="s">
        <v>731</v>
      </c>
      <c r="J1186" s="93" t="s">
        <v>472</v>
      </c>
      <c r="K1186" s="87" t="s">
        <v>483</v>
      </c>
      <c r="N1186" s="6" t="s">
        <v>2696</v>
      </c>
    </row>
    <row r="1187" spans="1:14" ht="43.5" x14ac:dyDescent="0.35">
      <c r="A1187" s="93" t="str">
        <f>VLOOKUP(C1187,Countries!$A$1:$D$205,2,FALSE)</f>
        <v>IND</v>
      </c>
      <c r="B1187" s="6" t="s">
        <v>2694</v>
      </c>
      <c r="C1187" s="93" t="s">
        <v>383</v>
      </c>
      <c r="D1187" s="6" t="s">
        <v>2695</v>
      </c>
      <c r="E1187" s="87" t="s">
        <v>261</v>
      </c>
      <c r="F1187" s="6">
        <v>2017</v>
      </c>
      <c r="G1187" s="106">
        <v>2891</v>
      </c>
      <c r="H1187" s="97">
        <f>G1187*1000*Conversion!$A$2</f>
        <v>259843.08000000002</v>
      </c>
      <c r="I1187" s="93" t="s">
        <v>731</v>
      </c>
      <c r="J1187" s="93" t="s">
        <v>472</v>
      </c>
      <c r="K1187" s="87" t="s">
        <v>483</v>
      </c>
      <c r="N1187" s="6" t="s">
        <v>2696</v>
      </c>
    </row>
    <row r="1188" spans="1:14" ht="15.5" x14ac:dyDescent="0.35">
      <c r="A1188" s="93" t="str">
        <f>VLOOKUP(C1188,Countries!$A$1:$D$205,2,FALSE)</f>
        <v>IND</v>
      </c>
      <c r="B1188" s="6" t="s">
        <v>2697</v>
      </c>
      <c r="C1188" s="93" t="s">
        <v>383</v>
      </c>
      <c r="D1188" s="6" t="s">
        <v>2698</v>
      </c>
      <c r="E1188" s="87" t="s">
        <v>1250</v>
      </c>
      <c r="F1188" s="6"/>
      <c r="G1188" s="106">
        <v>1059</v>
      </c>
      <c r="H1188" s="97">
        <f>G1188*1000*Conversion!$A$2</f>
        <v>95182.92</v>
      </c>
      <c r="I1188" s="93" t="s">
        <v>731</v>
      </c>
      <c r="J1188" s="93" t="s">
        <v>472</v>
      </c>
      <c r="K1188" s="87" t="s">
        <v>483</v>
      </c>
      <c r="N1188" s="6"/>
    </row>
    <row r="1189" spans="1:14" ht="15.5" x14ac:dyDescent="0.35">
      <c r="A1189" s="93" t="str">
        <f>VLOOKUP(C1189,Countries!$A$1:$D$205,2,FALSE)</f>
        <v>IND</v>
      </c>
      <c r="B1189" s="6" t="s">
        <v>2699</v>
      </c>
      <c r="C1189" s="93" t="s">
        <v>383</v>
      </c>
      <c r="D1189" s="6" t="s">
        <v>2698</v>
      </c>
      <c r="E1189" s="87" t="s">
        <v>261</v>
      </c>
      <c r="F1189" s="6"/>
      <c r="G1189" s="106">
        <v>1635</v>
      </c>
      <c r="H1189" s="97">
        <f>G1189*1000*Conversion!$A$2</f>
        <v>146953.79999999999</v>
      </c>
      <c r="I1189" s="93" t="s">
        <v>731</v>
      </c>
      <c r="J1189" s="93" t="s">
        <v>472</v>
      </c>
      <c r="K1189" s="87" t="s">
        <v>483</v>
      </c>
      <c r="N1189" s="6"/>
    </row>
    <row r="1190" spans="1:14" ht="15.5" x14ac:dyDescent="0.35">
      <c r="A1190" s="93" t="str">
        <f>VLOOKUP(C1190,Countries!$A$1:$D$205,2,FALSE)</f>
        <v>IND</v>
      </c>
      <c r="B1190" s="6" t="s">
        <v>2700</v>
      </c>
      <c r="C1190" s="93" t="s">
        <v>383</v>
      </c>
      <c r="D1190" s="6" t="s">
        <v>2701</v>
      </c>
      <c r="E1190" s="87" t="s">
        <v>1250</v>
      </c>
      <c r="F1190" s="6">
        <v>2012</v>
      </c>
      <c r="G1190" s="106">
        <v>3041</v>
      </c>
      <c r="H1190" s="97">
        <f>G1190*1000*Conversion!$A$2</f>
        <v>273325.08</v>
      </c>
      <c r="I1190" s="93" t="s">
        <v>731</v>
      </c>
      <c r="J1190" s="93" t="s">
        <v>472</v>
      </c>
      <c r="K1190" s="87" t="s">
        <v>483</v>
      </c>
      <c r="N1190" s="6" t="s">
        <v>2702</v>
      </c>
    </row>
    <row r="1191" spans="1:14" ht="29" x14ac:dyDescent="0.35">
      <c r="A1191" s="93" t="str">
        <f>VLOOKUP(C1191,Countries!$A$1:$D$205,2,FALSE)</f>
        <v>IND</v>
      </c>
      <c r="B1191" s="6" t="s">
        <v>2703</v>
      </c>
      <c r="C1191" s="93" t="s">
        <v>383</v>
      </c>
      <c r="D1191" s="6" t="s">
        <v>2704</v>
      </c>
      <c r="E1191" s="87" t="s">
        <v>261</v>
      </c>
      <c r="F1191" s="6">
        <v>2015</v>
      </c>
      <c r="G1191" s="106">
        <v>1616</v>
      </c>
      <c r="H1191" s="97">
        <f>G1191*1000*Conversion!$A$2</f>
        <v>145246.08000000002</v>
      </c>
      <c r="I1191" s="93" t="s">
        <v>731</v>
      </c>
      <c r="J1191" s="93" t="s">
        <v>472</v>
      </c>
      <c r="K1191" s="87" t="s">
        <v>483</v>
      </c>
      <c r="N1191" s="6" t="s">
        <v>2705</v>
      </c>
    </row>
    <row r="1192" spans="1:14" ht="15.5" x14ac:dyDescent="0.35">
      <c r="A1192" s="93" t="str">
        <f>VLOOKUP(C1192,Countries!$A$1:$D$205,2,FALSE)</f>
        <v>IND</v>
      </c>
      <c r="B1192" s="6" t="s">
        <v>2706</v>
      </c>
      <c r="C1192" s="93" t="s">
        <v>383</v>
      </c>
      <c r="D1192" s="6" t="s">
        <v>2704</v>
      </c>
      <c r="E1192" s="87" t="s">
        <v>261</v>
      </c>
      <c r="F1192" s="6">
        <v>2011</v>
      </c>
      <c r="G1192" s="106">
        <v>749</v>
      </c>
      <c r="H1192" s="97">
        <f>G1192*1000*Conversion!$A$2</f>
        <v>67320.12</v>
      </c>
      <c r="I1192" s="93" t="s">
        <v>731</v>
      </c>
      <c r="J1192" s="93" t="s">
        <v>472</v>
      </c>
      <c r="K1192" s="87" t="s">
        <v>483</v>
      </c>
      <c r="N1192" s="6" t="s">
        <v>2707</v>
      </c>
    </row>
    <row r="1193" spans="1:14" ht="15.5" x14ac:dyDescent="0.35">
      <c r="A1193" s="93" t="str">
        <f>VLOOKUP(C1193,Countries!$A$1:$D$205,2,FALSE)</f>
        <v>IND</v>
      </c>
      <c r="B1193" s="6" t="s">
        <v>2708</v>
      </c>
      <c r="C1193" s="93" t="s">
        <v>383</v>
      </c>
      <c r="D1193" s="6" t="s">
        <v>2704</v>
      </c>
      <c r="E1193" s="87" t="s">
        <v>261</v>
      </c>
      <c r="F1193" s="6">
        <v>2003</v>
      </c>
      <c r="G1193" s="106">
        <v>210</v>
      </c>
      <c r="H1193" s="97">
        <f>G1193*1000*Conversion!$A$2</f>
        <v>18874.8</v>
      </c>
      <c r="I1193" s="93" t="s">
        <v>731</v>
      </c>
      <c r="J1193" s="93" t="s">
        <v>472</v>
      </c>
      <c r="K1193" s="87" t="s">
        <v>483</v>
      </c>
      <c r="N1193" s="6" t="s">
        <v>2709</v>
      </c>
    </row>
    <row r="1194" spans="1:14" ht="15.5" x14ac:dyDescent="0.35">
      <c r="A1194" s="93" t="str">
        <f>VLOOKUP(C1194,Countries!$A$1:$D$205,2,FALSE)</f>
        <v>IND</v>
      </c>
      <c r="B1194" s="6" t="s">
        <v>2710</v>
      </c>
      <c r="C1194" s="93" t="s">
        <v>383</v>
      </c>
      <c r="D1194" s="6" t="s">
        <v>2704</v>
      </c>
      <c r="E1194" s="87" t="s">
        <v>261</v>
      </c>
      <c r="F1194" s="6"/>
      <c r="G1194" s="106">
        <v>289</v>
      </c>
      <c r="H1194" s="97">
        <f>G1194*1000*Conversion!$A$2</f>
        <v>25975.32</v>
      </c>
      <c r="I1194" s="93" t="s">
        <v>731</v>
      </c>
      <c r="J1194" s="93" t="s">
        <v>472</v>
      </c>
      <c r="K1194" s="87" t="s">
        <v>483</v>
      </c>
      <c r="N1194" s="6" t="s">
        <v>2711</v>
      </c>
    </row>
    <row r="1195" spans="1:14" ht="15.5" x14ac:dyDescent="0.35">
      <c r="A1195" s="93" t="str">
        <f>VLOOKUP(C1195,Countries!$A$1:$D$205,2,FALSE)</f>
        <v>IND</v>
      </c>
      <c r="B1195" s="6" t="s">
        <v>2712</v>
      </c>
      <c r="C1195" s="93" t="s">
        <v>383</v>
      </c>
      <c r="D1195" s="6" t="s">
        <v>2704</v>
      </c>
      <c r="E1195" s="87" t="s">
        <v>261</v>
      </c>
      <c r="F1195" s="6">
        <v>2011</v>
      </c>
      <c r="G1195" s="106">
        <v>1971</v>
      </c>
      <c r="H1195" s="97">
        <f>G1195*1000*Conversion!$A$2</f>
        <v>177153.48</v>
      </c>
      <c r="I1195" s="93" t="s">
        <v>731</v>
      </c>
      <c r="J1195" s="93" t="s">
        <v>472</v>
      </c>
      <c r="K1195" s="87" t="s">
        <v>483</v>
      </c>
      <c r="N1195" s="6"/>
    </row>
    <row r="1196" spans="1:14" ht="15.5" x14ac:dyDescent="0.35">
      <c r="A1196" s="93" t="str">
        <f>VLOOKUP(C1196,Countries!$A$1:$D$205,2,FALSE)</f>
        <v>IND</v>
      </c>
      <c r="B1196" s="6" t="s">
        <v>2713</v>
      </c>
      <c r="C1196" s="93" t="s">
        <v>383</v>
      </c>
      <c r="D1196" s="6" t="s">
        <v>2704</v>
      </c>
      <c r="E1196" s="87" t="s">
        <v>1250</v>
      </c>
      <c r="F1196" s="6"/>
      <c r="G1196" s="106">
        <v>1122</v>
      </c>
      <c r="H1196" s="97">
        <f>G1196*1000*Conversion!$A$2</f>
        <v>100845.36</v>
      </c>
      <c r="I1196" s="93" t="s">
        <v>731</v>
      </c>
      <c r="J1196" s="93" t="s">
        <v>472</v>
      </c>
      <c r="K1196" s="87" t="s">
        <v>483</v>
      </c>
      <c r="N1196" s="6" t="s">
        <v>2714</v>
      </c>
    </row>
    <row r="1197" spans="1:14" ht="15.5" x14ac:dyDescent="0.35">
      <c r="A1197" s="93" t="str">
        <f>VLOOKUP(C1197,Countries!$A$1:$D$205,2,FALSE)</f>
        <v>IND</v>
      </c>
      <c r="B1197" s="6" t="s">
        <v>2713</v>
      </c>
      <c r="C1197" s="93" t="s">
        <v>383</v>
      </c>
      <c r="D1197" s="6" t="s">
        <v>2704</v>
      </c>
      <c r="E1197" s="87" t="s">
        <v>261</v>
      </c>
      <c r="F1197" s="6">
        <v>2011</v>
      </c>
      <c r="G1197" s="106">
        <v>1840</v>
      </c>
      <c r="H1197" s="97">
        <f>G1197*1000*Conversion!$A$2</f>
        <v>165379.20000000001</v>
      </c>
      <c r="I1197" s="93" t="s">
        <v>731</v>
      </c>
      <c r="J1197" s="93" t="s">
        <v>472</v>
      </c>
      <c r="K1197" s="87" t="s">
        <v>483</v>
      </c>
      <c r="N1197" s="6"/>
    </row>
    <row r="1198" spans="1:14" ht="15.5" x14ac:dyDescent="0.35">
      <c r="A1198" s="93" t="str">
        <f>VLOOKUP(C1198,Countries!$A$1:$D$205,2,FALSE)</f>
        <v>IND</v>
      </c>
      <c r="B1198" s="6" t="s">
        <v>2715</v>
      </c>
      <c r="C1198" s="93" t="s">
        <v>383</v>
      </c>
      <c r="D1198" s="6" t="s">
        <v>2704</v>
      </c>
      <c r="E1198" s="87" t="s">
        <v>1250</v>
      </c>
      <c r="F1198" s="6">
        <v>2005</v>
      </c>
      <c r="G1198" s="106">
        <v>2812</v>
      </c>
      <c r="H1198" s="97">
        <f>G1198*1000*Conversion!$A$2</f>
        <v>252742.56</v>
      </c>
      <c r="I1198" s="93" t="s">
        <v>731</v>
      </c>
      <c r="J1198" s="93" t="s">
        <v>472</v>
      </c>
      <c r="K1198" s="87" t="s">
        <v>483</v>
      </c>
      <c r="N1198" s="6" t="s">
        <v>2716</v>
      </c>
    </row>
    <row r="1199" spans="1:14" ht="15.5" x14ac:dyDescent="0.35">
      <c r="A1199" s="93" t="str">
        <f>VLOOKUP(C1199,Countries!$A$1:$D$205,2,FALSE)</f>
        <v>IND</v>
      </c>
      <c r="B1199" s="6" t="s">
        <v>2717</v>
      </c>
      <c r="C1199" s="93" t="s">
        <v>383</v>
      </c>
      <c r="D1199" s="6" t="s">
        <v>2704</v>
      </c>
      <c r="E1199" s="87" t="s">
        <v>261</v>
      </c>
      <c r="F1199" s="6"/>
      <c r="G1199" s="106">
        <v>4867</v>
      </c>
      <c r="H1199" s="97">
        <f>G1199*1000*Conversion!$A$2</f>
        <v>437445.96</v>
      </c>
      <c r="I1199" s="93" t="s">
        <v>731</v>
      </c>
      <c r="J1199" s="93" t="s">
        <v>472</v>
      </c>
      <c r="K1199" s="87" t="s">
        <v>483</v>
      </c>
      <c r="N1199" s="6" t="s">
        <v>2718</v>
      </c>
    </row>
    <row r="1200" spans="1:14" ht="15.5" x14ac:dyDescent="0.35">
      <c r="A1200" s="93" t="str">
        <f>VLOOKUP(C1200,Countries!$A$1:$D$205,2,FALSE)</f>
        <v>IND</v>
      </c>
      <c r="B1200" s="6" t="s">
        <v>2717</v>
      </c>
      <c r="C1200" s="93" t="s">
        <v>383</v>
      </c>
      <c r="D1200" s="6" t="s">
        <v>2704</v>
      </c>
      <c r="E1200" s="87" t="s">
        <v>1250</v>
      </c>
      <c r="F1200" s="6">
        <v>2011</v>
      </c>
      <c r="G1200" s="106">
        <v>1777</v>
      </c>
      <c r="H1200" s="97">
        <f>G1200*1000*Conversion!$A$2</f>
        <v>159716.76</v>
      </c>
      <c r="I1200" s="93" t="s">
        <v>731</v>
      </c>
      <c r="J1200" s="93" t="s">
        <v>472</v>
      </c>
      <c r="K1200" s="87" t="s">
        <v>483</v>
      </c>
      <c r="N1200" s="6" t="s">
        <v>2718</v>
      </c>
    </row>
    <row r="1201" spans="1:14" ht="15.5" x14ac:dyDescent="0.35">
      <c r="A1201" s="93" t="str">
        <f>VLOOKUP(C1201,Countries!$A$1:$D$205,2,FALSE)</f>
        <v>IND</v>
      </c>
      <c r="B1201" s="6" t="s">
        <v>2717</v>
      </c>
      <c r="C1201" s="93" t="s">
        <v>383</v>
      </c>
      <c r="D1201" s="6" t="s">
        <v>2704</v>
      </c>
      <c r="E1201" s="87" t="s">
        <v>1250</v>
      </c>
      <c r="F1201" s="6">
        <v>2020</v>
      </c>
      <c r="G1201" s="106">
        <v>1351</v>
      </c>
      <c r="H1201" s="97">
        <f>G1201*1000*Conversion!$A$2</f>
        <v>121427.88</v>
      </c>
      <c r="I1201" s="93" t="s">
        <v>731</v>
      </c>
      <c r="J1201" s="93" t="s">
        <v>472</v>
      </c>
      <c r="K1201" s="87" t="s">
        <v>483</v>
      </c>
      <c r="N1201" s="6" t="s">
        <v>2718</v>
      </c>
    </row>
    <row r="1202" spans="1:14" ht="15.5" x14ac:dyDescent="0.35">
      <c r="A1202" s="93" t="str">
        <f>VLOOKUP(C1202,Countries!$A$1:$D$205,2,FALSE)</f>
        <v>IND</v>
      </c>
      <c r="B1202" s="6" t="s">
        <v>2719</v>
      </c>
      <c r="C1202" s="93" t="s">
        <v>383</v>
      </c>
      <c r="D1202" s="6" t="s">
        <v>2704</v>
      </c>
      <c r="E1202" s="87" t="s">
        <v>261</v>
      </c>
      <c r="F1202" s="6">
        <v>2015</v>
      </c>
      <c r="G1202" s="106">
        <v>2365</v>
      </c>
      <c r="H1202" s="97">
        <f>G1202*1000*Conversion!$A$2</f>
        <v>212566.2</v>
      </c>
      <c r="I1202" s="93" t="s">
        <v>731</v>
      </c>
      <c r="J1202" s="93" t="s">
        <v>472</v>
      </c>
      <c r="K1202" s="87" t="s">
        <v>483</v>
      </c>
      <c r="N1202" s="6"/>
    </row>
    <row r="1203" spans="1:14" ht="15.5" x14ac:dyDescent="0.35">
      <c r="A1203" s="93" t="str">
        <f>VLOOKUP(C1203,Countries!$A$1:$D$205,2,FALSE)</f>
        <v>IND</v>
      </c>
      <c r="B1203" s="6" t="s">
        <v>2720</v>
      </c>
      <c r="C1203" s="93" t="s">
        <v>383</v>
      </c>
      <c r="D1203" s="6" t="s">
        <v>2721</v>
      </c>
      <c r="E1203" s="87" t="s">
        <v>1250</v>
      </c>
      <c r="F1203" s="6"/>
      <c r="G1203" s="106">
        <v>1878</v>
      </c>
      <c r="H1203" s="97">
        <f>G1203*1000*Conversion!$A$2</f>
        <v>168794.64</v>
      </c>
      <c r="I1203" s="93" t="s">
        <v>731</v>
      </c>
      <c r="J1203" s="93" t="s">
        <v>472</v>
      </c>
      <c r="K1203" s="87" t="s">
        <v>1074</v>
      </c>
      <c r="N1203" s="6"/>
    </row>
    <row r="1204" spans="1:14" ht="29" x14ac:dyDescent="0.35">
      <c r="A1204" s="93" t="str">
        <f>VLOOKUP(C1204,Countries!$A$1:$D$205,2,FALSE)</f>
        <v>IND</v>
      </c>
      <c r="B1204" s="6" t="s">
        <v>2722</v>
      </c>
      <c r="C1204" s="93" t="s">
        <v>383</v>
      </c>
      <c r="D1204" s="6" t="s">
        <v>2723</v>
      </c>
      <c r="E1204" s="87" t="s">
        <v>1250</v>
      </c>
      <c r="F1204" s="6"/>
      <c r="G1204" s="106">
        <v>1180</v>
      </c>
      <c r="H1204" s="97">
        <f>G1204*1000*Conversion!$A$2</f>
        <v>106058.40000000001</v>
      </c>
      <c r="I1204" s="93" t="s">
        <v>731</v>
      </c>
      <c r="J1204" s="93" t="s">
        <v>472</v>
      </c>
      <c r="K1204" s="87" t="s">
        <v>1074</v>
      </c>
      <c r="N1204" s="6"/>
    </row>
    <row r="1205" spans="1:14" ht="29" x14ac:dyDescent="0.35">
      <c r="A1205" s="93" t="str">
        <f>VLOOKUP(C1205,Countries!$A$1:$D$205,2,FALSE)</f>
        <v>IND</v>
      </c>
      <c r="B1205" s="6" t="s">
        <v>2722</v>
      </c>
      <c r="C1205" s="93" t="s">
        <v>383</v>
      </c>
      <c r="D1205" s="6" t="s">
        <v>2724</v>
      </c>
      <c r="E1205" s="87" t="s">
        <v>1250</v>
      </c>
      <c r="F1205" s="6"/>
      <c r="G1205" s="106">
        <v>2335</v>
      </c>
      <c r="H1205" s="97">
        <f>G1205*1000*Conversion!$A$2</f>
        <v>209869.80000000002</v>
      </c>
      <c r="I1205" s="93" t="s">
        <v>731</v>
      </c>
      <c r="J1205" s="93" t="s">
        <v>472</v>
      </c>
      <c r="K1205" s="87" t="s">
        <v>483</v>
      </c>
      <c r="N1205" s="6" t="s">
        <v>2725</v>
      </c>
    </row>
    <row r="1206" spans="1:14" ht="15.5" x14ac:dyDescent="0.35">
      <c r="A1206" s="93" t="str">
        <f>VLOOKUP(C1206,Countries!$A$1:$D$205,2,FALSE)</f>
        <v>IND</v>
      </c>
      <c r="B1206" s="6" t="s">
        <v>2700</v>
      </c>
      <c r="C1206" s="93" t="s">
        <v>383</v>
      </c>
      <c r="D1206" s="6" t="s">
        <v>2726</v>
      </c>
      <c r="E1206" s="87" t="s">
        <v>1250</v>
      </c>
      <c r="F1206" s="6"/>
      <c r="G1206" s="106">
        <v>1607</v>
      </c>
      <c r="H1206" s="97">
        <f>G1206*1000*Conversion!$A$2</f>
        <v>144437.16</v>
      </c>
      <c r="I1206" s="93" t="s">
        <v>731</v>
      </c>
      <c r="J1206" s="93" t="s">
        <v>472</v>
      </c>
      <c r="K1206" s="87" t="s">
        <v>1074</v>
      </c>
      <c r="N1206" s="6"/>
    </row>
    <row r="1207" spans="1:14" ht="15.5" x14ac:dyDescent="0.35">
      <c r="A1207" s="93" t="str">
        <f>VLOOKUP(C1207,Countries!$A$1:$D$205,2,FALSE)</f>
        <v>IND</v>
      </c>
      <c r="B1207" s="6" t="s">
        <v>2727</v>
      </c>
      <c r="C1207" s="93" t="s">
        <v>383</v>
      </c>
      <c r="D1207" s="6"/>
      <c r="E1207" s="87" t="s">
        <v>1250</v>
      </c>
      <c r="F1207" s="6"/>
      <c r="G1207" s="106">
        <v>1607</v>
      </c>
      <c r="H1207" s="97">
        <f>G1207*1000*Conversion!$A$2</f>
        <v>144437.16</v>
      </c>
      <c r="I1207" s="93" t="s">
        <v>731</v>
      </c>
      <c r="J1207" s="93" t="s">
        <v>472</v>
      </c>
      <c r="K1207" s="87" t="s">
        <v>1074</v>
      </c>
      <c r="N1207" s="6"/>
    </row>
    <row r="1208" spans="1:14" ht="15.5" x14ac:dyDescent="0.35">
      <c r="A1208" s="93" t="str">
        <f>VLOOKUP(C1208,Countries!$A$1:$D$205,2,FALSE)</f>
        <v>IND</v>
      </c>
      <c r="B1208" s="6" t="s">
        <v>2717</v>
      </c>
      <c r="C1208" s="93" t="s">
        <v>383</v>
      </c>
      <c r="D1208" s="6"/>
      <c r="E1208" s="87" t="s">
        <v>1250</v>
      </c>
      <c r="F1208" s="6"/>
      <c r="G1208" s="106">
        <v>1662</v>
      </c>
      <c r="H1208" s="97">
        <f>G1208*1000*Conversion!$A$2</f>
        <v>149380.56</v>
      </c>
      <c r="I1208" s="93" t="s">
        <v>731</v>
      </c>
      <c r="J1208" s="93" t="s">
        <v>472</v>
      </c>
      <c r="K1208" s="87" t="s">
        <v>1074</v>
      </c>
      <c r="N1208" s="6"/>
    </row>
    <row r="1209" spans="1:14" ht="15.5" x14ac:dyDescent="0.35">
      <c r="A1209" s="93" t="str">
        <f>VLOOKUP(C1209,Countries!$A$1:$D$205,2,FALSE)</f>
        <v>IND</v>
      </c>
      <c r="B1209" s="6" t="s">
        <v>2728</v>
      </c>
      <c r="C1209" s="93" t="s">
        <v>383</v>
      </c>
      <c r="D1209" s="6"/>
      <c r="E1209" s="87" t="s">
        <v>261</v>
      </c>
      <c r="F1209" s="6"/>
      <c r="G1209" s="106">
        <v>3312</v>
      </c>
      <c r="H1209" s="97">
        <f>G1209*1000*Conversion!$A$2</f>
        <v>297682.56</v>
      </c>
      <c r="I1209" s="93" t="s">
        <v>731</v>
      </c>
      <c r="J1209" s="93" t="s">
        <v>472</v>
      </c>
      <c r="K1209" s="87" t="s">
        <v>1074</v>
      </c>
      <c r="N1209" s="6"/>
    </row>
    <row r="1210" spans="1:14" ht="15.5" x14ac:dyDescent="0.35">
      <c r="A1210" s="93" t="str">
        <f>VLOOKUP(C1210,Countries!$A$1:$D$205,2,FALSE)</f>
        <v>IND</v>
      </c>
      <c r="B1210" s="6" t="s">
        <v>2728</v>
      </c>
      <c r="C1210" s="93" t="s">
        <v>383</v>
      </c>
      <c r="D1210" s="6"/>
      <c r="E1210" s="87" t="s">
        <v>261</v>
      </c>
      <c r="F1210" s="6"/>
      <c r="G1210" s="106">
        <v>2414</v>
      </c>
      <c r="H1210" s="97">
        <f>G1210*1000*Conversion!$A$2</f>
        <v>216970.32</v>
      </c>
      <c r="I1210" s="93" t="s">
        <v>731</v>
      </c>
      <c r="J1210" s="93" t="s">
        <v>472</v>
      </c>
      <c r="K1210" s="87" t="s">
        <v>1074</v>
      </c>
      <c r="N1210" s="6"/>
    </row>
    <row r="1211" spans="1:14" ht="15.5" x14ac:dyDescent="0.35">
      <c r="A1211" s="93" t="str">
        <f>VLOOKUP(C1211,Countries!$A$1:$D$205,2,FALSE)</f>
        <v>IND</v>
      </c>
      <c r="B1211" s="6" t="s">
        <v>2729</v>
      </c>
      <c r="C1211" s="93" t="s">
        <v>383</v>
      </c>
      <c r="D1211" s="6" t="s">
        <v>2730</v>
      </c>
      <c r="E1211" s="87" t="s">
        <v>1250</v>
      </c>
      <c r="F1211" s="6"/>
      <c r="G1211" s="106">
        <v>1481</v>
      </c>
      <c r="H1211" s="97">
        <f>G1211*1000*Conversion!$A$2</f>
        <v>133112.28</v>
      </c>
      <c r="I1211" s="93" t="s">
        <v>731</v>
      </c>
      <c r="J1211" s="93" t="s">
        <v>472</v>
      </c>
      <c r="K1211" s="87" t="s">
        <v>483</v>
      </c>
      <c r="N1211" s="6"/>
    </row>
    <row r="1212" spans="1:14" ht="43.5" x14ac:dyDescent="0.35">
      <c r="A1212" s="93" t="str">
        <f>VLOOKUP(C1212,Countries!$A$1:$D$205,2,FALSE)</f>
        <v>IND</v>
      </c>
      <c r="B1212" s="6" t="s">
        <v>2719</v>
      </c>
      <c r="C1212" s="93" t="s">
        <v>383</v>
      </c>
      <c r="D1212" s="6" t="s">
        <v>2731</v>
      </c>
      <c r="E1212" s="87"/>
      <c r="F1212" s="6">
        <v>2015</v>
      </c>
      <c r="G1212" s="106">
        <v>2365</v>
      </c>
      <c r="H1212" s="97">
        <f>G1212*1000*Conversion!$A$2</f>
        <v>212566.2</v>
      </c>
      <c r="I1212" s="93" t="s">
        <v>731</v>
      </c>
      <c r="J1212" s="93" t="s">
        <v>472</v>
      </c>
      <c r="K1212" s="87" t="s">
        <v>483</v>
      </c>
      <c r="N1212" s="6" t="s">
        <v>2732</v>
      </c>
    </row>
    <row r="1213" spans="1:14" ht="15.5" x14ac:dyDescent="0.35">
      <c r="A1213" s="93" t="str">
        <f>VLOOKUP(C1213,Countries!$A$1:$D$205,2,FALSE)</f>
        <v>IND</v>
      </c>
      <c r="B1213" s="6" t="s">
        <v>2733</v>
      </c>
      <c r="C1213" s="93" t="s">
        <v>383</v>
      </c>
      <c r="D1213" s="6" t="s">
        <v>2734</v>
      </c>
      <c r="E1213" s="87" t="s">
        <v>261</v>
      </c>
      <c r="F1213" s="6"/>
      <c r="G1213" s="106">
        <v>13797</v>
      </c>
      <c r="H1213" s="97">
        <f>G1213*1000*Conversion!$A$2</f>
        <v>1240074.3600000001</v>
      </c>
      <c r="I1213" s="93" t="s">
        <v>731</v>
      </c>
      <c r="J1213" s="93" t="s">
        <v>472</v>
      </c>
      <c r="K1213" s="87" t="s">
        <v>483</v>
      </c>
      <c r="N1213" s="6"/>
    </row>
    <row r="1214" spans="1:14" ht="29" x14ac:dyDescent="0.35">
      <c r="A1214" s="93" t="str">
        <f>VLOOKUP(C1214,Countries!$A$1:$D$205,2,FALSE)</f>
        <v>PAK</v>
      </c>
      <c r="B1214" s="6" t="s">
        <v>2735</v>
      </c>
      <c r="C1214" s="93" t="s">
        <v>232</v>
      </c>
      <c r="D1214" s="6" t="s">
        <v>2736</v>
      </c>
      <c r="E1214" s="87" t="s">
        <v>261</v>
      </c>
      <c r="F1214">
        <v>2025</v>
      </c>
      <c r="G1214" s="106">
        <v>3154</v>
      </c>
      <c r="H1214" s="97">
        <f>G1214*1000*Conversion!$A$2</f>
        <v>283481.52</v>
      </c>
      <c r="I1214" s="93" t="s">
        <v>731</v>
      </c>
      <c r="J1214" s="93" t="s">
        <v>472</v>
      </c>
      <c r="K1214" s="87" t="s">
        <v>483</v>
      </c>
      <c r="N1214" s="6" t="s">
        <v>2737</v>
      </c>
    </row>
    <row r="1215" spans="1:14" ht="29" x14ac:dyDescent="0.35">
      <c r="A1215" s="93" t="str">
        <f>VLOOKUP(C1215,Countries!$A$1:$D$205,2,FALSE)</f>
        <v>BGD</v>
      </c>
      <c r="B1215" s="6" t="s">
        <v>2738</v>
      </c>
      <c r="C1215" s="93" t="s">
        <v>38</v>
      </c>
      <c r="D1215" s="6" t="s">
        <v>2739</v>
      </c>
      <c r="F1215">
        <v>1993</v>
      </c>
      <c r="H1215" s="97">
        <f>G1215*1000*Conversion!$A$2</f>
        <v>0</v>
      </c>
      <c r="I1215" s="93" t="s">
        <v>471</v>
      </c>
      <c r="J1215" s="93" t="s">
        <v>472</v>
      </c>
      <c r="K1215" s="6" t="s">
        <v>1074</v>
      </c>
    </row>
    <row r="1216" spans="1:14" ht="15.5" x14ac:dyDescent="0.35">
      <c r="A1216" s="93" t="str">
        <f>VLOOKUP(C1216,Countries!$A$1:$D$205,2,FALSE)</f>
        <v>BGD</v>
      </c>
      <c r="B1216" s="6" t="s">
        <v>2740</v>
      </c>
      <c r="C1216" s="93" t="s">
        <v>38</v>
      </c>
      <c r="D1216" s="6" t="s">
        <v>2741</v>
      </c>
      <c r="F1216" s="6">
        <v>2008</v>
      </c>
      <c r="H1216" s="97">
        <f>G1216*1000*Conversion!$A$2</f>
        <v>0</v>
      </c>
      <c r="I1216" s="93" t="s">
        <v>471</v>
      </c>
      <c r="J1216" s="93" t="s">
        <v>472</v>
      </c>
      <c r="K1216" s="6" t="s">
        <v>1074</v>
      </c>
    </row>
    <row r="1217" spans="1:14" ht="15.5" x14ac:dyDescent="0.35">
      <c r="A1217" s="93" t="str">
        <f>VLOOKUP(C1217,Countries!$A$1:$D$205,2,FALSE)</f>
        <v>IND</v>
      </c>
      <c r="B1217" s="6" t="s">
        <v>2742</v>
      </c>
      <c r="C1217" s="93" t="s">
        <v>383</v>
      </c>
      <c r="D1217" s="6" t="s">
        <v>2743</v>
      </c>
      <c r="E1217" s="6"/>
      <c r="F1217" s="6"/>
      <c r="G1217" s="106">
        <v>4</v>
      </c>
      <c r="H1217" s="97">
        <f>G1217*1000*Conversion!$A$2</f>
        <v>359.52</v>
      </c>
      <c r="I1217" s="93" t="s">
        <v>471</v>
      </c>
      <c r="J1217" s="93" t="s">
        <v>472</v>
      </c>
      <c r="K1217" s="6"/>
      <c r="N1217" s="6"/>
    </row>
    <row r="1218" spans="1:14" ht="29" x14ac:dyDescent="0.35">
      <c r="A1218" s="93" t="str">
        <f>VLOOKUP(C1218,Countries!$A$1:$D$205,2,FALSE)</f>
        <v>IND</v>
      </c>
      <c r="B1218" s="6" t="s">
        <v>2744</v>
      </c>
      <c r="C1218" s="93" t="s">
        <v>383</v>
      </c>
      <c r="D1218" s="6" t="s">
        <v>2745</v>
      </c>
      <c r="E1218" s="6"/>
      <c r="F1218" s="6"/>
      <c r="G1218" s="106">
        <v>84</v>
      </c>
      <c r="H1218" s="97">
        <f>G1218*1000*Conversion!$A$2</f>
        <v>7549.92</v>
      </c>
      <c r="I1218" s="93" t="s">
        <v>471</v>
      </c>
      <c r="J1218" s="93" t="s">
        <v>472</v>
      </c>
      <c r="K1218" s="6" t="s">
        <v>494</v>
      </c>
      <c r="N1218" s="6"/>
    </row>
    <row r="1219" spans="1:14" ht="15.5" x14ac:dyDescent="0.35">
      <c r="A1219" s="93" t="str">
        <f>VLOOKUP(C1219,Countries!$A$1:$D$205,2,FALSE)</f>
        <v>IND</v>
      </c>
      <c r="B1219" s="6" t="s">
        <v>2746</v>
      </c>
      <c r="C1219" s="93" t="s">
        <v>383</v>
      </c>
      <c r="D1219" s="6" t="s">
        <v>2747</v>
      </c>
      <c r="E1219" s="6"/>
      <c r="F1219" s="6"/>
      <c r="G1219" s="107"/>
      <c r="H1219" s="97">
        <f>G1219*1000*Conversion!$A$2</f>
        <v>0</v>
      </c>
      <c r="I1219" s="93" t="s">
        <v>471</v>
      </c>
      <c r="J1219" s="93" t="s">
        <v>472</v>
      </c>
      <c r="K1219" s="6"/>
      <c r="N1219" s="6"/>
    </row>
    <row r="1220" spans="1:14" ht="15.5" x14ac:dyDescent="0.35">
      <c r="A1220" s="93" t="str">
        <f>VLOOKUP(C1220,Countries!$A$1:$D$205,2,FALSE)</f>
        <v>IND</v>
      </c>
      <c r="B1220" s="108" t="s">
        <v>2748</v>
      </c>
      <c r="C1220" s="93" t="s">
        <v>383</v>
      </c>
      <c r="D1220" s="6" t="s">
        <v>2747</v>
      </c>
      <c r="E1220" s="6"/>
      <c r="F1220" s="6"/>
      <c r="G1220" s="107"/>
      <c r="H1220" s="97">
        <f>G1220*1000*Conversion!$A$2</f>
        <v>0</v>
      </c>
      <c r="I1220" s="93" t="s">
        <v>471</v>
      </c>
      <c r="J1220" s="93" t="s">
        <v>472</v>
      </c>
      <c r="K1220" s="6"/>
      <c r="N1220" s="6"/>
    </row>
    <row r="1221" spans="1:14" ht="15.5" x14ac:dyDescent="0.35">
      <c r="A1221" s="93" t="str">
        <f>VLOOKUP(C1221,Countries!$A$1:$D$205,2,FALSE)</f>
        <v>IND</v>
      </c>
      <c r="B1221" s="6" t="s">
        <v>2749</v>
      </c>
      <c r="C1221" s="93" t="s">
        <v>383</v>
      </c>
      <c r="D1221" s="6" t="s">
        <v>525</v>
      </c>
      <c r="E1221" s="6" t="s">
        <v>261</v>
      </c>
      <c r="F1221" s="6">
        <v>2018</v>
      </c>
      <c r="G1221" s="107">
        <v>4379</v>
      </c>
      <c r="H1221" s="97">
        <f>G1221*1000*Conversion!$A$2</f>
        <v>393584.52</v>
      </c>
      <c r="I1221" s="93" t="s">
        <v>471</v>
      </c>
      <c r="J1221" s="93" t="s">
        <v>472</v>
      </c>
      <c r="K1221" s="6"/>
      <c r="N1221" s="6"/>
    </row>
    <row r="1222" spans="1:14" ht="29" x14ac:dyDescent="0.35">
      <c r="A1222" s="93" t="str">
        <f>VLOOKUP(C1222,Countries!$A$1:$D$205,2,FALSE)</f>
        <v>IND</v>
      </c>
      <c r="B1222" s="6" t="s">
        <v>2750</v>
      </c>
      <c r="C1222" s="93" t="s">
        <v>383</v>
      </c>
      <c r="D1222" s="6" t="s">
        <v>2751</v>
      </c>
      <c r="E1222" s="109"/>
      <c r="F1222" s="6">
        <v>1998</v>
      </c>
      <c r="G1222" s="107">
        <v>8</v>
      </c>
      <c r="H1222" s="97">
        <f>G1222*1000*Conversion!$A$2</f>
        <v>719.04</v>
      </c>
      <c r="I1222" s="93" t="s">
        <v>471</v>
      </c>
      <c r="J1222" s="93" t="s">
        <v>472</v>
      </c>
      <c r="K1222" s="6"/>
      <c r="N1222" s="6"/>
    </row>
    <row r="1223" spans="1:14" ht="29" x14ac:dyDescent="0.35">
      <c r="A1223" s="93" t="str">
        <f>VLOOKUP(C1223,Countries!$A$1:$D$205,2,FALSE)</f>
        <v>IND</v>
      </c>
      <c r="B1223" s="6" t="s">
        <v>2752</v>
      </c>
      <c r="C1223" s="93" t="s">
        <v>383</v>
      </c>
      <c r="D1223" s="6" t="s">
        <v>2753</v>
      </c>
      <c r="E1223" s="6"/>
      <c r="F1223" s="6">
        <v>1997</v>
      </c>
      <c r="G1223" s="107">
        <v>139</v>
      </c>
      <c r="H1223" s="97">
        <f>G1223*1000*Conversion!$A$2</f>
        <v>12493.32</v>
      </c>
      <c r="I1223" s="93" t="s">
        <v>471</v>
      </c>
      <c r="J1223" s="93" t="s">
        <v>472</v>
      </c>
      <c r="K1223" s="6" t="s">
        <v>494</v>
      </c>
      <c r="N1223" s="6"/>
    </row>
    <row r="1224" spans="1:14" ht="29" x14ac:dyDescent="0.35">
      <c r="A1224" s="93" t="str">
        <f>VLOOKUP(C1224,Countries!$A$1:$D$205,2,FALSE)</f>
        <v>IND</v>
      </c>
      <c r="B1224" s="6" t="s">
        <v>2754</v>
      </c>
      <c r="C1224" s="93" t="s">
        <v>383</v>
      </c>
      <c r="D1224" s="6" t="s">
        <v>2755</v>
      </c>
      <c r="E1224" s="6" t="s">
        <v>502</v>
      </c>
      <c r="F1224" s="6">
        <v>1982</v>
      </c>
      <c r="G1224" s="107">
        <v>1</v>
      </c>
      <c r="H1224" s="97">
        <f>G1224*1000*Conversion!$A$2</f>
        <v>89.88</v>
      </c>
      <c r="I1224" s="93" t="s">
        <v>471</v>
      </c>
      <c r="J1224" s="93" t="s">
        <v>472</v>
      </c>
      <c r="K1224" s="6"/>
      <c r="N1224" s="6"/>
    </row>
    <row r="1225" spans="1:14" ht="29" x14ac:dyDescent="0.35">
      <c r="A1225" s="93" t="str">
        <f>VLOOKUP(C1225,Countries!$A$1:$D$205,2,FALSE)</f>
        <v>IND</v>
      </c>
      <c r="B1225" s="6" t="s">
        <v>2756</v>
      </c>
      <c r="C1225" s="93" t="s">
        <v>383</v>
      </c>
      <c r="D1225" s="6" t="s">
        <v>2757</v>
      </c>
      <c r="E1225" s="6"/>
      <c r="F1225" s="6">
        <v>1985</v>
      </c>
      <c r="G1225" s="107">
        <v>35</v>
      </c>
      <c r="H1225" s="97">
        <f>G1225*1000*Conversion!$A$2</f>
        <v>3145.8</v>
      </c>
      <c r="I1225" s="93" t="s">
        <v>471</v>
      </c>
      <c r="J1225" s="93" t="s">
        <v>472</v>
      </c>
      <c r="K1225" s="6" t="s">
        <v>494</v>
      </c>
      <c r="N1225" s="6"/>
    </row>
    <row r="1226" spans="1:14" ht="15.5" x14ac:dyDescent="0.35">
      <c r="A1226" s="93" t="str">
        <f>VLOOKUP(C1226,Countries!$A$1:$D$205,2,FALSE)</f>
        <v>IND</v>
      </c>
      <c r="B1226" s="6" t="s">
        <v>2758</v>
      </c>
      <c r="C1226" s="93" t="s">
        <v>383</v>
      </c>
      <c r="D1226" s="6" t="s">
        <v>2759</v>
      </c>
      <c r="E1226" s="6"/>
      <c r="F1226" s="6">
        <v>1996</v>
      </c>
      <c r="G1226" s="107">
        <v>374</v>
      </c>
      <c r="H1226" s="97">
        <f>G1226*1000*Conversion!$A$2</f>
        <v>33615.120000000003</v>
      </c>
      <c r="I1226" s="93" t="s">
        <v>471</v>
      </c>
      <c r="J1226" s="93" t="s">
        <v>472</v>
      </c>
      <c r="K1226" s="6" t="s">
        <v>494</v>
      </c>
      <c r="N1226" s="6"/>
    </row>
    <row r="1227" spans="1:14" ht="15.5" x14ac:dyDescent="0.35">
      <c r="A1227" s="93" t="str">
        <f>VLOOKUP(C1227,Countries!$A$1:$D$205,2,FALSE)</f>
        <v>IND</v>
      </c>
      <c r="B1227" s="6" t="s">
        <v>2760</v>
      </c>
      <c r="C1227" s="93" t="s">
        <v>383</v>
      </c>
      <c r="D1227" s="6" t="s">
        <v>2759</v>
      </c>
      <c r="E1227" s="6"/>
      <c r="F1227" s="6">
        <v>1963</v>
      </c>
      <c r="G1227" s="107">
        <v>139</v>
      </c>
      <c r="H1227" s="97">
        <f>G1227*1000*Conversion!$A$2</f>
        <v>12493.32</v>
      </c>
      <c r="I1227" s="93" t="s">
        <v>471</v>
      </c>
      <c r="J1227" s="93" t="s">
        <v>472</v>
      </c>
      <c r="K1227" s="6" t="s">
        <v>494</v>
      </c>
      <c r="N1227" s="6"/>
    </row>
    <row r="1228" spans="1:14" ht="29" x14ac:dyDescent="0.35">
      <c r="A1228" s="93" t="str">
        <f>VLOOKUP(C1228,Countries!$A$1:$D$205,2,FALSE)</f>
        <v>IND</v>
      </c>
      <c r="B1228" s="6" t="s">
        <v>2761</v>
      </c>
      <c r="C1228" s="93" t="s">
        <v>383</v>
      </c>
      <c r="D1228" s="6" t="s">
        <v>2762</v>
      </c>
      <c r="E1228" s="6"/>
      <c r="F1228" s="6"/>
      <c r="G1228" s="107"/>
      <c r="H1228" s="97">
        <f>G1228*1000*Conversion!$A$2</f>
        <v>0</v>
      </c>
      <c r="I1228" s="93" t="s">
        <v>471</v>
      </c>
      <c r="J1228" s="93" t="s">
        <v>472</v>
      </c>
      <c r="K1228" s="6" t="s">
        <v>1074</v>
      </c>
      <c r="N1228" s="6"/>
    </row>
    <row r="1229" spans="1:14" ht="29" x14ac:dyDescent="0.35">
      <c r="A1229" s="93" t="str">
        <f>VLOOKUP(C1229,Countries!$A$1:$D$205,2,FALSE)</f>
        <v>IND</v>
      </c>
      <c r="B1229" s="6" t="s">
        <v>2763</v>
      </c>
      <c r="C1229" s="93" t="s">
        <v>383</v>
      </c>
      <c r="D1229" s="6" t="s">
        <v>2762</v>
      </c>
      <c r="E1229" s="6"/>
      <c r="F1229" s="6"/>
      <c r="G1229" s="107"/>
      <c r="H1229" s="97">
        <f>G1229*1000*Conversion!$A$2</f>
        <v>0</v>
      </c>
      <c r="I1229" s="93" t="s">
        <v>471</v>
      </c>
      <c r="J1229" s="93" t="s">
        <v>472</v>
      </c>
      <c r="K1229" s="6"/>
      <c r="N1229" s="6"/>
    </row>
    <row r="1230" spans="1:14" ht="29" x14ac:dyDescent="0.35">
      <c r="A1230" s="93" t="str">
        <f>VLOOKUP(C1230,Countries!$A$1:$D$205,2,FALSE)</f>
        <v>IND</v>
      </c>
      <c r="B1230" s="6" t="s">
        <v>2764</v>
      </c>
      <c r="C1230" s="93" t="s">
        <v>383</v>
      </c>
      <c r="D1230" s="6" t="s">
        <v>2762</v>
      </c>
      <c r="E1230" s="6"/>
      <c r="F1230" s="6"/>
      <c r="G1230" s="107"/>
      <c r="H1230" s="97">
        <f>G1230*1000*Conversion!$A$2</f>
        <v>0</v>
      </c>
      <c r="I1230" s="93" t="s">
        <v>471</v>
      </c>
      <c r="J1230" s="93" t="s">
        <v>472</v>
      </c>
      <c r="K1230" s="6"/>
      <c r="N1230" s="6"/>
    </row>
    <row r="1231" spans="1:14" ht="43.5" x14ac:dyDescent="0.35">
      <c r="A1231" s="93" t="str">
        <f>VLOOKUP(C1231,Countries!$A$1:$D$205,2,FALSE)</f>
        <v>IND</v>
      </c>
      <c r="B1231" s="6" t="s">
        <v>2765</v>
      </c>
      <c r="C1231" s="93" t="s">
        <v>383</v>
      </c>
      <c r="D1231" s="6" t="s">
        <v>2766</v>
      </c>
      <c r="E1231" s="6"/>
      <c r="F1231" s="6"/>
      <c r="G1231" s="107">
        <v>210</v>
      </c>
      <c r="H1231" s="97">
        <f>G1231*1000*Conversion!$A$2</f>
        <v>18874.8</v>
      </c>
      <c r="I1231" s="93" t="s">
        <v>471</v>
      </c>
      <c r="J1231" s="93" t="s">
        <v>472</v>
      </c>
      <c r="K1231" s="6" t="s">
        <v>494</v>
      </c>
      <c r="N1231" s="6" t="s">
        <v>2767</v>
      </c>
    </row>
    <row r="1232" spans="1:14" ht="29" x14ac:dyDescent="0.35">
      <c r="A1232" s="93" t="str">
        <f>VLOOKUP(C1232,Countries!$A$1:$D$205,2,FALSE)</f>
        <v>IND</v>
      </c>
      <c r="B1232" s="6" t="s">
        <v>2768</v>
      </c>
      <c r="C1232" s="93" t="s">
        <v>383</v>
      </c>
      <c r="D1232" s="6" t="s">
        <v>2769</v>
      </c>
      <c r="E1232" s="6"/>
      <c r="F1232" s="6"/>
      <c r="G1232" s="107">
        <v>1335</v>
      </c>
      <c r="H1232" s="97">
        <f>G1232*1000*Conversion!$A$2</f>
        <v>119989.8</v>
      </c>
      <c r="I1232" s="93" t="s">
        <v>471</v>
      </c>
      <c r="J1232" s="93" t="s">
        <v>472</v>
      </c>
      <c r="K1232" s="6"/>
      <c r="N1232" s="6"/>
    </row>
    <row r="1233" spans="1:14" ht="29" x14ac:dyDescent="0.35">
      <c r="A1233" s="93" t="str">
        <f>VLOOKUP(C1233,Countries!$A$1:$D$205,2,FALSE)</f>
        <v>IND</v>
      </c>
      <c r="B1233" s="6" t="s">
        <v>2770</v>
      </c>
      <c r="C1233" s="93" t="s">
        <v>383</v>
      </c>
      <c r="D1233" s="6" t="s">
        <v>2693</v>
      </c>
      <c r="E1233" s="6"/>
      <c r="F1233" s="6">
        <v>2021</v>
      </c>
      <c r="G1233" s="107">
        <v>56</v>
      </c>
      <c r="H1233" s="97">
        <f>G1233*1000*Conversion!$A$2</f>
        <v>5033.28</v>
      </c>
      <c r="I1233" s="93" t="s">
        <v>471</v>
      </c>
      <c r="J1233" s="93" t="s">
        <v>472</v>
      </c>
      <c r="K1233" s="6" t="s">
        <v>494</v>
      </c>
      <c r="N1233" s="6"/>
    </row>
    <row r="1234" spans="1:14" ht="15.5" x14ac:dyDescent="0.35">
      <c r="A1234" s="93" t="str">
        <f>VLOOKUP(C1234,Countries!$A$1:$D$205,2,FALSE)</f>
        <v>IND</v>
      </c>
      <c r="B1234" s="6" t="s">
        <v>2771</v>
      </c>
      <c r="C1234" s="93" t="s">
        <v>383</v>
      </c>
      <c r="D1234" s="6" t="s">
        <v>2693</v>
      </c>
      <c r="E1234" s="6"/>
      <c r="F1234" s="6"/>
      <c r="G1234" s="107">
        <v>280</v>
      </c>
      <c r="H1234" s="97">
        <f>G1234*1000*Conversion!$A$2</f>
        <v>25166.400000000001</v>
      </c>
      <c r="I1234" s="93" t="s">
        <v>471</v>
      </c>
      <c r="J1234" s="93" t="s">
        <v>472</v>
      </c>
      <c r="K1234" s="6" t="s">
        <v>494</v>
      </c>
      <c r="N1234" s="6"/>
    </row>
    <row r="1235" spans="1:14" ht="15.5" x14ac:dyDescent="0.35">
      <c r="A1235" s="93" t="str">
        <f>VLOOKUP(C1235,Countries!$A$1:$D$205,2,FALSE)</f>
        <v>IND</v>
      </c>
      <c r="B1235" s="6" t="s">
        <v>2772</v>
      </c>
      <c r="C1235" s="93" t="s">
        <v>383</v>
      </c>
      <c r="D1235" s="6" t="s">
        <v>2693</v>
      </c>
      <c r="E1235" s="6"/>
      <c r="F1235" s="6"/>
      <c r="G1235" s="107">
        <v>90</v>
      </c>
      <c r="H1235" s="97">
        <f>G1235*1000*Conversion!$A$2</f>
        <v>8089.2</v>
      </c>
      <c r="I1235" s="93" t="s">
        <v>471</v>
      </c>
      <c r="J1235" s="93" t="s">
        <v>472</v>
      </c>
      <c r="K1235" s="6" t="s">
        <v>494</v>
      </c>
      <c r="N1235" s="6"/>
    </row>
    <row r="1236" spans="1:14" ht="29" x14ac:dyDescent="0.35">
      <c r="A1236" s="93" t="str">
        <f>VLOOKUP(C1236,Countries!$A$1:$D$205,2,FALSE)</f>
        <v>IND</v>
      </c>
      <c r="B1236" s="6" t="s">
        <v>2773</v>
      </c>
      <c r="C1236" s="93" t="s">
        <v>383</v>
      </c>
      <c r="D1236" s="6" t="s">
        <v>2693</v>
      </c>
      <c r="E1236" s="6"/>
      <c r="F1236" s="6"/>
      <c r="G1236" s="106">
        <v>205</v>
      </c>
      <c r="H1236" s="97">
        <f>G1236*1000*Conversion!$A$2</f>
        <v>18425.400000000001</v>
      </c>
      <c r="I1236" s="93" t="s">
        <v>471</v>
      </c>
      <c r="J1236" s="93" t="s">
        <v>472</v>
      </c>
      <c r="K1236" s="6" t="s">
        <v>494</v>
      </c>
      <c r="N1236" s="6"/>
    </row>
    <row r="1237" spans="1:14" ht="15.5" x14ac:dyDescent="0.35">
      <c r="A1237" s="93" t="str">
        <f>VLOOKUP(C1237,Countries!$A$1:$D$205,2,FALSE)</f>
        <v>IND</v>
      </c>
      <c r="B1237" s="6" t="s">
        <v>2765</v>
      </c>
      <c r="C1237" s="93" t="s">
        <v>383</v>
      </c>
      <c r="D1237" s="6" t="s">
        <v>2774</v>
      </c>
      <c r="E1237" s="6"/>
      <c r="F1237" s="6">
        <v>1995</v>
      </c>
      <c r="G1237" s="106">
        <v>223</v>
      </c>
      <c r="H1237" s="97">
        <f>G1237*1000*Conversion!$A$2</f>
        <v>20043.240000000002</v>
      </c>
      <c r="I1237" s="93" t="s">
        <v>471</v>
      </c>
      <c r="J1237" s="93" t="s">
        <v>472</v>
      </c>
      <c r="K1237" s="6" t="s">
        <v>494</v>
      </c>
      <c r="N1237" s="6"/>
    </row>
    <row r="1238" spans="1:14" ht="15.5" x14ac:dyDescent="0.35">
      <c r="A1238" s="93" t="str">
        <f>VLOOKUP(C1238,Countries!$A$1:$D$205,2,FALSE)</f>
        <v>IND</v>
      </c>
      <c r="B1238" s="6" t="s">
        <v>2775</v>
      </c>
      <c r="C1238" s="93" t="s">
        <v>383</v>
      </c>
      <c r="D1238" s="6" t="s">
        <v>2774</v>
      </c>
      <c r="E1238" s="6"/>
      <c r="F1238" s="6">
        <v>1976</v>
      </c>
      <c r="G1238" s="107"/>
      <c r="H1238" s="97">
        <f>G1238*1000*Conversion!$A$2</f>
        <v>0</v>
      </c>
      <c r="I1238" s="93" t="s">
        <v>471</v>
      </c>
      <c r="J1238" s="93" t="s">
        <v>472</v>
      </c>
      <c r="K1238" s="6"/>
      <c r="N1238" s="6"/>
    </row>
    <row r="1239" spans="1:14" ht="29" x14ac:dyDescent="0.35">
      <c r="A1239" s="93" t="str">
        <f>VLOOKUP(C1239,Countries!$A$1:$D$205,2,FALSE)</f>
        <v>IND</v>
      </c>
      <c r="B1239" s="6" t="s">
        <v>2763</v>
      </c>
      <c r="C1239" s="93" t="s">
        <v>383</v>
      </c>
      <c r="D1239" s="6" t="s">
        <v>2776</v>
      </c>
      <c r="E1239" s="6"/>
      <c r="F1239" s="6"/>
      <c r="G1239" s="107"/>
      <c r="H1239" s="97">
        <f>G1239*1000*Conversion!$A$2</f>
        <v>0</v>
      </c>
      <c r="I1239" s="93" t="s">
        <v>471</v>
      </c>
      <c r="J1239" s="93" t="s">
        <v>472</v>
      </c>
      <c r="K1239" s="6"/>
      <c r="N1239" s="6"/>
    </row>
    <row r="1240" spans="1:14" ht="29" x14ac:dyDescent="0.35">
      <c r="A1240" s="93" t="str">
        <f>VLOOKUP(C1240,Countries!$A$1:$D$205,2,FALSE)</f>
        <v>IND</v>
      </c>
      <c r="B1240" s="6" t="s">
        <v>2777</v>
      </c>
      <c r="C1240" s="93" t="s">
        <v>383</v>
      </c>
      <c r="D1240" s="6" t="s">
        <v>2778</v>
      </c>
      <c r="E1240" s="6"/>
      <c r="F1240" s="6"/>
      <c r="G1240" s="107">
        <v>11</v>
      </c>
      <c r="H1240" s="97">
        <f>G1240*1000*Conversion!$A$2</f>
        <v>988.68000000000006</v>
      </c>
      <c r="I1240" s="93" t="s">
        <v>471</v>
      </c>
      <c r="J1240" s="93" t="s">
        <v>472</v>
      </c>
      <c r="K1240" s="6" t="s">
        <v>494</v>
      </c>
      <c r="N1240" s="6"/>
    </row>
    <row r="1241" spans="1:14" ht="29" x14ac:dyDescent="0.35">
      <c r="A1241" s="93" t="str">
        <f>VLOOKUP(C1241,Countries!$A$1:$D$205,2,FALSE)</f>
        <v>IND</v>
      </c>
      <c r="B1241" s="6" t="s">
        <v>2779</v>
      </c>
      <c r="C1241" s="93" t="s">
        <v>383</v>
      </c>
      <c r="D1241" s="6" t="s">
        <v>2780</v>
      </c>
      <c r="E1241" s="6"/>
      <c r="F1241" s="6"/>
      <c r="G1241" s="107">
        <v>6</v>
      </c>
      <c r="H1241" s="97">
        <f>G1241*1000*Conversion!$A$2</f>
        <v>539.28</v>
      </c>
      <c r="I1241" s="93" t="s">
        <v>471</v>
      </c>
      <c r="J1241" s="93" t="s">
        <v>472</v>
      </c>
      <c r="K1241" s="6"/>
      <c r="N1241" s="6" t="s">
        <v>2781</v>
      </c>
    </row>
    <row r="1242" spans="1:14" ht="29" x14ac:dyDescent="0.35">
      <c r="A1242" s="93" t="str">
        <f>VLOOKUP(C1242,Countries!$A$1:$D$205,2,FALSE)</f>
        <v>IND</v>
      </c>
      <c r="B1242" s="6" t="s">
        <v>2782</v>
      </c>
      <c r="C1242" s="93" t="s">
        <v>383</v>
      </c>
      <c r="D1242" s="6" t="s">
        <v>2783</v>
      </c>
      <c r="E1242" s="6"/>
      <c r="F1242" s="6">
        <v>2019</v>
      </c>
      <c r="G1242" s="107">
        <v>184</v>
      </c>
      <c r="H1242" s="97">
        <f>G1242*1000*Conversion!$A$2</f>
        <v>16537.920000000002</v>
      </c>
      <c r="I1242" s="93" t="s">
        <v>471</v>
      </c>
      <c r="J1242" s="93" t="s">
        <v>472</v>
      </c>
      <c r="K1242" s="6" t="s">
        <v>494</v>
      </c>
      <c r="N1242" s="6"/>
    </row>
    <row r="1243" spans="1:14" ht="43.5" x14ac:dyDescent="0.35">
      <c r="A1243" s="93" t="str">
        <f>VLOOKUP(C1243,Countries!$A$1:$D$205,2,FALSE)</f>
        <v>IND</v>
      </c>
      <c r="B1243" s="6" t="s">
        <v>2784</v>
      </c>
      <c r="C1243" s="93" t="s">
        <v>383</v>
      </c>
      <c r="D1243" s="6" t="s">
        <v>2785</v>
      </c>
      <c r="E1243" s="6"/>
      <c r="F1243" s="6"/>
      <c r="G1243" s="107"/>
      <c r="H1243" s="97">
        <f>G1243*1000*Conversion!$A$2</f>
        <v>0</v>
      </c>
      <c r="I1243" s="93" t="s">
        <v>471</v>
      </c>
      <c r="J1243" s="93" t="s">
        <v>472</v>
      </c>
      <c r="K1243" s="6"/>
      <c r="N1243" s="6"/>
    </row>
    <row r="1244" spans="1:14" ht="29" x14ac:dyDescent="0.35">
      <c r="A1244" s="93" t="str">
        <f>VLOOKUP(C1244,Countries!$A$1:$D$205,2,FALSE)</f>
        <v>IND</v>
      </c>
      <c r="B1244" s="6" t="s">
        <v>2786</v>
      </c>
      <c r="C1244" s="93" t="s">
        <v>383</v>
      </c>
      <c r="D1244" s="6" t="s">
        <v>2785</v>
      </c>
      <c r="E1244" s="6"/>
      <c r="F1244" s="6"/>
      <c r="G1244" s="107">
        <v>48</v>
      </c>
      <c r="H1244" s="97">
        <f>G1244*1000*Conversion!$A$2</f>
        <v>4314.24</v>
      </c>
      <c r="I1244" s="93" t="s">
        <v>471</v>
      </c>
      <c r="J1244" s="93" t="s">
        <v>472</v>
      </c>
      <c r="K1244" s="6" t="s">
        <v>494</v>
      </c>
      <c r="N1244" s="6"/>
    </row>
    <row r="1245" spans="1:14" ht="15.5" x14ac:dyDescent="0.35">
      <c r="A1245" s="93" t="str">
        <f>VLOOKUP(C1245,Countries!$A$1:$D$205,2,FALSE)</f>
        <v>IND</v>
      </c>
      <c r="B1245" s="6" t="s">
        <v>2787</v>
      </c>
      <c r="C1245" s="93" t="s">
        <v>383</v>
      </c>
      <c r="D1245" s="6" t="s">
        <v>2785</v>
      </c>
      <c r="E1245" s="6"/>
      <c r="F1245" s="6"/>
      <c r="G1245" s="107"/>
      <c r="H1245" s="97">
        <f>G1245*1000*Conversion!$A$2</f>
        <v>0</v>
      </c>
      <c r="I1245" s="93" t="s">
        <v>471</v>
      </c>
      <c r="J1245" s="93" t="s">
        <v>472</v>
      </c>
      <c r="K1245" s="6"/>
      <c r="N1245" s="6"/>
    </row>
    <row r="1246" spans="1:14" ht="15.5" x14ac:dyDescent="0.35">
      <c r="A1246" s="93" t="str">
        <f>VLOOKUP(C1246,Countries!$A$1:$D$205,2,FALSE)</f>
        <v>IND</v>
      </c>
      <c r="B1246" s="6" t="s">
        <v>2788</v>
      </c>
      <c r="C1246" s="93" t="s">
        <v>383</v>
      </c>
      <c r="D1246" s="6" t="s">
        <v>2789</v>
      </c>
      <c r="E1246" s="6"/>
      <c r="F1246" s="6">
        <v>1983</v>
      </c>
      <c r="G1246" s="107">
        <v>69</v>
      </c>
      <c r="H1246" s="97">
        <f>G1246*1000*Conversion!$A$2</f>
        <v>6201.72</v>
      </c>
      <c r="I1246" s="93" t="s">
        <v>471</v>
      </c>
      <c r="J1246" s="93" t="s">
        <v>472</v>
      </c>
      <c r="K1246" s="6" t="s">
        <v>494</v>
      </c>
      <c r="N1246" s="6"/>
    </row>
    <row r="1247" spans="1:14" ht="15.5" x14ac:dyDescent="0.35">
      <c r="A1247" s="93" t="str">
        <f>VLOOKUP(C1247,Countries!$A$1:$D$205,2,FALSE)</f>
        <v>IND</v>
      </c>
      <c r="B1247" s="6" t="s">
        <v>2765</v>
      </c>
      <c r="C1247" s="93" t="s">
        <v>383</v>
      </c>
      <c r="D1247" s="6" t="s">
        <v>2790</v>
      </c>
      <c r="E1247" s="6"/>
      <c r="F1247" s="6"/>
      <c r="G1247" s="107">
        <v>312</v>
      </c>
      <c r="H1247" s="97">
        <f>G1247*1000*Conversion!$A$2</f>
        <v>28042.560000000001</v>
      </c>
      <c r="I1247" s="93" t="s">
        <v>471</v>
      </c>
      <c r="J1247" s="93" t="s">
        <v>472</v>
      </c>
      <c r="K1247" s="6" t="s">
        <v>494</v>
      </c>
      <c r="N1247" s="6"/>
    </row>
    <row r="1248" spans="1:14" ht="29" x14ac:dyDescent="0.35">
      <c r="A1248" s="93" t="str">
        <f>VLOOKUP(C1248,Countries!$A$1:$D$205,2,FALSE)</f>
        <v>IND</v>
      </c>
      <c r="B1248" s="6" t="s">
        <v>2791</v>
      </c>
      <c r="C1248" s="93" t="s">
        <v>383</v>
      </c>
      <c r="D1248" s="6" t="s">
        <v>2792</v>
      </c>
      <c r="E1248" s="6"/>
      <c r="F1248" s="6"/>
      <c r="G1248" s="107"/>
      <c r="H1248" s="97">
        <f>G1248*1000*Conversion!$A$2</f>
        <v>0</v>
      </c>
      <c r="I1248" s="93" t="s">
        <v>471</v>
      </c>
      <c r="J1248" s="93" t="s">
        <v>472</v>
      </c>
      <c r="K1248" s="6"/>
      <c r="N1248" s="6"/>
    </row>
    <row r="1249" spans="1:14" ht="15.5" x14ac:dyDescent="0.35">
      <c r="A1249" s="93" t="str">
        <f>VLOOKUP(C1249,Countries!$A$1:$D$205,2,FALSE)</f>
        <v>IND</v>
      </c>
      <c r="B1249" s="6" t="s">
        <v>2793</v>
      </c>
      <c r="C1249" s="93" t="s">
        <v>383</v>
      </c>
      <c r="D1249" s="6" t="s">
        <v>2794</v>
      </c>
      <c r="E1249" s="6"/>
      <c r="F1249" s="6"/>
      <c r="G1249" s="107"/>
      <c r="H1249" s="97">
        <f>G1249*1000*Conversion!$A$2</f>
        <v>0</v>
      </c>
      <c r="I1249" s="93" t="s">
        <v>471</v>
      </c>
      <c r="J1249" s="93" t="s">
        <v>472</v>
      </c>
      <c r="K1249" s="6"/>
      <c r="N1249" s="6"/>
    </row>
    <row r="1250" spans="1:14" ht="29" x14ac:dyDescent="0.35">
      <c r="A1250" s="93" t="str">
        <f>VLOOKUP(C1250,Countries!$A$1:$D$205,2,FALSE)</f>
        <v>IND</v>
      </c>
      <c r="B1250" s="6" t="s">
        <v>2795</v>
      </c>
      <c r="C1250" s="93" t="s">
        <v>383</v>
      </c>
      <c r="D1250" s="6" t="s">
        <v>2796</v>
      </c>
      <c r="E1250" s="6"/>
      <c r="F1250" s="6"/>
      <c r="G1250" s="107"/>
      <c r="H1250" s="97">
        <f>G1250*1000*Conversion!$A$2</f>
        <v>0</v>
      </c>
      <c r="I1250" s="93" t="s">
        <v>471</v>
      </c>
      <c r="J1250" s="93" t="s">
        <v>472</v>
      </c>
      <c r="K1250" s="6"/>
      <c r="N1250" s="6"/>
    </row>
    <row r="1251" spans="1:14" ht="29" x14ac:dyDescent="0.35">
      <c r="A1251" s="93" t="str">
        <f>VLOOKUP(C1251,Countries!$A$1:$D$205,2,FALSE)</f>
        <v>IND</v>
      </c>
      <c r="B1251" s="6" t="s">
        <v>2797</v>
      </c>
      <c r="C1251" s="93" t="s">
        <v>383</v>
      </c>
      <c r="D1251" s="6" t="s">
        <v>2731</v>
      </c>
      <c r="E1251" s="6"/>
      <c r="F1251" s="6">
        <v>2000</v>
      </c>
      <c r="G1251" s="107">
        <v>4</v>
      </c>
      <c r="H1251" s="97">
        <f>G1251*1000*Conversion!$A$2</f>
        <v>359.52</v>
      </c>
      <c r="I1251" s="93" t="s">
        <v>471</v>
      </c>
      <c r="J1251" s="93" t="s">
        <v>472</v>
      </c>
      <c r="K1251" s="6"/>
      <c r="N1251" s="6" t="s">
        <v>2798</v>
      </c>
    </row>
    <row r="1252" spans="1:14" ht="29" x14ac:dyDescent="0.35">
      <c r="A1252" s="93" t="str">
        <f>VLOOKUP(C1252,Countries!$A$1:$D$205,2,FALSE)</f>
        <v>IND</v>
      </c>
      <c r="B1252" s="6" t="s">
        <v>2799</v>
      </c>
      <c r="C1252" s="93" t="s">
        <v>383</v>
      </c>
      <c r="D1252" s="6" t="s">
        <v>2800</v>
      </c>
      <c r="E1252" s="6"/>
      <c r="F1252" s="6">
        <v>1993</v>
      </c>
      <c r="G1252" s="107">
        <v>203</v>
      </c>
      <c r="H1252" s="97">
        <f>G1252*1000*Conversion!$A$2</f>
        <v>18245.64</v>
      </c>
      <c r="I1252" s="93" t="s">
        <v>471</v>
      </c>
      <c r="J1252" s="93" t="s">
        <v>472</v>
      </c>
      <c r="K1252" s="6" t="s">
        <v>494</v>
      </c>
      <c r="N1252" s="6"/>
    </row>
    <row r="1253" spans="1:14" ht="29" x14ac:dyDescent="0.35">
      <c r="A1253" s="93" t="str">
        <f>VLOOKUP(C1253,Countries!$A$1:$D$205,2,FALSE)</f>
        <v>IND</v>
      </c>
      <c r="B1253" s="6" t="s">
        <v>2801</v>
      </c>
      <c r="C1253" s="93" t="s">
        <v>383</v>
      </c>
      <c r="D1253" s="6" t="s">
        <v>2802</v>
      </c>
      <c r="E1253" s="6"/>
      <c r="F1253" s="6"/>
      <c r="G1253" s="107">
        <v>145</v>
      </c>
      <c r="H1253" s="97">
        <f>G1253*1000*Conversion!$A$2</f>
        <v>13032.6</v>
      </c>
      <c r="I1253" s="93" t="s">
        <v>471</v>
      </c>
      <c r="J1253" s="93" t="s">
        <v>472</v>
      </c>
      <c r="K1253" s="6" t="s">
        <v>494</v>
      </c>
      <c r="N1253" s="6"/>
    </row>
    <row r="1254" spans="1:14" ht="43.5" x14ac:dyDescent="0.35">
      <c r="A1254" s="93" t="str">
        <f>VLOOKUP(C1254,Countries!$A$1:$D$205,2,FALSE)</f>
        <v>IND</v>
      </c>
      <c r="B1254" s="6" t="s">
        <v>2784</v>
      </c>
      <c r="C1254" s="93" t="s">
        <v>383</v>
      </c>
      <c r="D1254" s="6" t="s">
        <v>2803</v>
      </c>
      <c r="E1254" s="6"/>
      <c r="F1254" s="6"/>
      <c r="G1254" s="107"/>
      <c r="H1254" s="97">
        <f>G1254*1000*Conversion!$A$2</f>
        <v>0</v>
      </c>
      <c r="I1254" s="93" t="s">
        <v>471</v>
      </c>
      <c r="J1254" s="93" t="s">
        <v>472</v>
      </c>
      <c r="K1254" s="6"/>
      <c r="N1254" s="6"/>
    </row>
    <row r="1255" spans="1:14" ht="29" x14ac:dyDescent="0.35">
      <c r="A1255" s="93" t="str">
        <f>VLOOKUP(C1255,Countries!$A$1:$D$205,2,FALSE)</f>
        <v>IND</v>
      </c>
      <c r="B1255" s="6" t="s">
        <v>2804</v>
      </c>
      <c r="C1255" s="93" t="s">
        <v>383</v>
      </c>
      <c r="D1255" s="6" t="s">
        <v>2805</v>
      </c>
      <c r="E1255" s="6" t="s">
        <v>1250</v>
      </c>
      <c r="F1255" s="6">
        <v>1977</v>
      </c>
      <c r="G1255" s="107"/>
      <c r="H1255" s="97">
        <f>G1255*1000*Conversion!$A$2</f>
        <v>0</v>
      </c>
      <c r="I1255" s="93" t="s">
        <v>471</v>
      </c>
      <c r="J1255" s="93" t="s">
        <v>472</v>
      </c>
      <c r="K1255" s="6" t="s">
        <v>1074</v>
      </c>
      <c r="N1255" s="6"/>
    </row>
    <row r="1256" spans="1:14" ht="15.5" x14ac:dyDescent="0.35">
      <c r="A1256" s="93" t="str">
        <f>VLOOKUP(C1256,Countries!$A$1:$D$205,2,FALSE)</f>
        <v>PAK</v>
      </c>
      <c r="B1256" s="6" t="s">
        <v>2806</v>
      </c>
      <c r="C1256" s="93" t="s">
        <v>232</v>
      </c>
      <c r="D1256" s="6" t="s">
        <v>2807</v>
      </c>
      <c r="F1256" s="6">
        <v>1991</v>
      </c>
      <c r="G1256" s="107"/>
      <c r="H1256" s="97">
        <f>G1256*1000*Conversion!$A$2</f>
        <v>0</v>
      </c>
      <c r="I1256" s="93" t="s">
        <v>471</v>
      </c>
      <c r="J1256" s="93" t="s">
        <v>472</v>
      </c>
      <c r="K1256" s="6"/>
    </row>
    <row r="1257" spans="1:14" ht="15.5" x14ac:dyDescent="0.35">
      <c r="A1257" s="93" t="str">
        <f>VLOOKUP(C1257,Countries!$A$1:$D$205,2,FALSE)</f>
        <v>PAK</v>
      </c>
      <c r="B1257" s="6" t="s">
        <v>2808</v>
      </c>
      <c r="C1257" s="93" t="s">
        <v>232</v>
      </c>
      <c r="D1257" s="6" t="s">
        <v>2809</v>
      </c>
      <c r="F1257" s="6">
        <v>1964</v>
      </c>
      <c r="G1257" s="107"/>
      <c r="H1257" s="97">
        <f>G1257*1000*Conversion!$A$2</f>
        <v>0</v>
      </c>
      <c r="I1257" s="93" t="s">
        <v>471</v>
      </c>
      <c r="J1257" s="93" t="s">
        <v>472</v>
      </c>
      <c r="K1257" s="6" t="s">
        <v>494</v>
      </c>
    </row>
    <row r="1258" spans="1:14" ht="29" x14ac:dyDescent="0.35">
      <c r="A1258" s="93" t="str">
        <f>VLOOKUP(C1258,Countries!$A$1:$D$205,2,FALSE)</f>
        <v>PAK</v>
      </c>
      <c r="B1258" s="6" t="s">
        <v>2810</v>
      </c>
      <c r="C1258" s="93" t="s">
        <v>232</v>
      </c>
      <c r="D1258" s="6" t="s">
        <v>2811</v>
      </c>
      <c r="E1258" t="s">
        <v>502</v>
      </c>
      <c r="F1258" s="6"/>
      <c r="G1258" s="106">
        <v>9</v>
      </c>
      <c r="H1258" s="97">
        <f>G1258*1000*Conversion!$A$2</f>
        <v>808.92</v>
      </c>
      <c r="I1258" s="93" t="s">
        <v>471</v>
      </c>
      <c r="J1258" s="93" t="s">
        <v>472</v>
      </c>
      <c r="K1258" s="6"/>
      <c r="N1258" s="6" t="s">
        <v>2812</v>
      </c>
    </row>
    <row r="1259" spans="1:14" ht="15.5" x14ac:dyDescent="0.35">
      <c r="A1259" s="93" t="str">
        <f>VLOOKUP(C1259,Countries!$A$1:$D$205,2,FALSE)</f>
        <v>PAK</v>
      </c>
      <c r="B1259" s="6" t="s">
        <v>2808</v>
      </c>
      <c r="C1259" s="93" t="s">
        <v>232</v>
      </c>
      <c r="D1259" s="6" t="s">
        <v>2813</v>
      </c>
      <c r="F1259" s="6"/>
      <c r="G1259" s="107"/>
      <c r="H1259" s="97">
        <f>G1259*1000*Conversion!$A$2</f>
        <v>0</v>
      </c>
      <c r="I1259" s="93" t="s">
        <v>471</v>
      </c>
      <c r="J1259" s="93" t="s">
        <v>472</v>
      </c>
      <c r="K1259" s="6" t="s">
        <v>494</v>
      </c>
    </row>
    <row r="1260" spans="1:14" ht="29" x14ac:dyDescent="0.35">
      <c r="A1260" s="93" t="str">
        <f>VLOOKUP(C1260,Countries!$A$1:$D$205,2,FALSE)</f>
        <v>PAK</v>
      </c>
      <c r="B1260" s="6" t="s">
        <v>2814</v>
      </c>
      <c r="C1260" s="93" t="s">
        <v>232</v>
      </c>
      <c r="D1260" s="6" t="s">
        <v>2815</v>
      </c>
      <c r="F1260" s="6">
        <v>1985</v>
      </c>
      <c r="G1260" s="106">
        <v>171</v>
      </c>
      <c r="H1260" s="97">
        <f>G1260*1000*Conversion!$A$2</f>
        <v>15369.48</v>
      </c>
      <c r="I1260" s="93" t="s">
        <v>471</v>
      </c>
      <c r="J1260" s="93" t="s">
        <v>472</v>
      </c>
      <c r="K1260" s="6" t="s">
        <v>494</v>
      </c>
    </row>
    <row r="1261" spans="1:14" ht="15.5" x14ac:dyDescent="0.35">
      <c r="A1261" s="93" t="str">
        <f>VLOOKUP(C1261,Countries!$A$1:$D$205,2,FALSE)</f>
        <v>KOR</v>
      </c>
      <c r="B1261" s="6" t="s">
        <v>2816</v>
      </c>
      <c r="C1261" s="93" t="s">
        <v>433</v>
      </c>
      <c r="D1261" s="6" t="s">
        <v>2817</v>
      </c>
      <c r="E1261" s="87" t="s">
        <v>261</v>
      </c>
      <c r="F1261" s="6">
        <v>2008</v>
      </c>
      <c r="G1261" s="106">
        <v>2891</v>
      </c>
      <c r="H1261" s="97">
        <f>G1261*1000*Conversion!$A$2</f>
        <v>259843.08000000002</v>
      </c>
      <c r="I1261" s="93" t="s">
        <v>731</v>
      </c>
      <c r="J1261" s="93" t="s">
        <v>472</v>
      </c>
      <c r="K1261" s="6" t="s">
        <v>483</v>
      </c>
    </row>
    <row r="1262" spans="1:14" ht="15.5" x14ac:dyDescent="0.35">
      <c r="A1262" s="93" t="str">
        <f>VLOOKUP(C1262,Countries!$A$1:$D$205,2,FALSE)</f>
        <v>KOR</v>
      </c>
      <c r="B1262" s="6" t="s">
        <v>2818</v>
      </c>
      <c r="C1262" s="93" t="s">
        <v>433</v>
      </c>
      <c r="D1262" s="6" t="s">
        <v>2819</v>
      </c>
      <c r="E1262" s="87" t="s">
        <v>1250</v>
      </c>
      <c r="F1262" s="6"/>
      <c r="G1262" s="106">
        <v>11</v>
      </c>
      <c r="H1262" s="97">
        <f>G1262*1000*Conversion!$A$2</f>
        <v>988.68000000000006</v>
      </c>
      <c r="I1262" s="93" t="s">
        <v>731</v>
      </c>
      <c r="J1262" s="93" t="s">
        <v>472</v>
      </c>
      <c r="K1262" s="6" t="s">
        <v>483</v>
      </c>
    </row>
    <row r="1263" spans="1:14" ht="15.5" x14ac:dyDescent="0.35">
      <c r="A1263" s="93" t="str">
        <f>VLOOKUP(C1263,Countries!$A$1:$D$205,2,FALSE)</f>
        <v>KOR</v>
      </c>
      <c r="B1263" s="6" t="s">
        <v>2820</v>
      </c>
      <c r="C1263" s="93" t="s">
        <v>433</v>
      </c>
      <c r="D1263" s="6" t="s">
        <v>2821</v>
      </c>
      <c r="E1263" s="87" t="s">
        <v>1250</v>
      </c>
      <c r="F1263" s="6">
        <v>1981</v>
      </c>
      <c r="G1263" s="106">
        <v>1419</v>
      </c>
      <c r="H1263" s="97">
        <f>G1263*1000*Conversion!$A$2</f>
        <v>127539.72</v>
      </c>
      <c r="I1263" s="93" t="s">
        <v>731</v>
      </c>
      <c r="J1263" s="93" t="s">
        <v>472</v>
      </c>
      <c r="K1263" s="6" t="s">
        <v>483</v>
      </c>
    </row>
    <row r="1264" spans="1:14" ht="15.5" x14ac:dyDescent="0.35">
      <c r="A1264" s="93" t="str">
        <f>VLOOKUP(C1264,Countries!$A$1:$D$205,2,FALSE)</f>
        <v>KOR</v>
      </c>
      <c r="B1264" s="6" t="s">
        <v>2820</v>
      </c>
      <c r="C1264" s="93" t="s">
        <v>433</v>
      </c>
      <c r="D1264" s="6" t="s">
        <v>2821</v>
      </c>
      <c r="E1264" s="87" t="s">
        <v>261</v>
      </c>
      <c r="F1264" s="6"/>
      <c r="G1264" s="106">
        <v>1051</v>
      </c>
      <c r="H1264" s="97">
        <f>G1264*1000*Conversion!$A$2</f>
        <v>94463.88</v>
      </c>
      <c r="I1264" s="93" t="s">
        <v>731</v>
      </c>
      <c r="J1264" s="93" t="s">
        <v>472</v>
      </c>
      <c r="K1264" s="6" t="s">
        <v>483</v>
      </c>
    </row>
    <row r="1265" spans="1:11" ht="15.5" x14ac:dyDescent="0.35">
      <c r="A1265" s="93" t="str">
        <f>VLOOKUP(C1265,Countries!$A$1:$D$205,2,FALSE)</f>
        <v>KOR</v>
      </c>
      <c r="B1265" s="6" t="s">
        <v>2822</v>
      </c>
      <c r="C1265" s="93" t="s">
        <v>433</v>
      </c>
      <c r="D1265" s="6" t="s">
        <v>2823</v>
      </c>
      <c r="E1265" s="87" t="s">
        <v>1250</v>
      </c>
      <c r="F1265" s="6"/>
      <c r="G1265" s="106"/>
      <c r="H1265" s="97">
        <f>G1265*1000*Conversion!$A$2</f>
        <v>0</v>
      </c>
      <c r="I1265" s="93" t="s">
        <v>731</v>
      </c>
      <c r="J1265" s="93" t="s">
        <v>472</v>
      </c>
      <c r="K1265" s="6" t="s">
        <v>1074</v>
      </c>
    </row>
    <row r="1266" spans="1:11" ht="15.5" x14ac:dyDescent="0.35">
      <c r="A1266" s="93" t="str">
        <f>VLOOKUP(C1266,Countries!$A$1:$D$205,2,FALSE)</f>
        <v>KOR</v>
      </c>
      <c r="B1266" s="6" t="s">
        <v>2822</v>
      </c>
      <c r="C1266" s="93" t="s">
        <v>433</v>
      </c>
      <c r="D1266" s="6" t="s">
        <v>2824</v>
      </c>
      <c r="E1266" s="87"/>
      <c r="F1266" s="6"/>
      <c r="G1266" s="106"/>
      <c r="H1266" s="97">
        <f>G1266*1000*Conversion!$A$2</f>
        <v>0</v>
      </c>
      <c r="I1266" s="93" t="s">
        <v>731</v>
      </c>
      <c r="J1266" s="93" t="s">
        <v>472</v>
      </c>
      <c r="K1266" s="6" t="s">
        <v>494</v>
      </c>
    </row>
    <row r="1267" spans="1:11" ht="43.5" x14ac:dyDescent="0.35">
      <c r="A1267" s="93" t="str">
        <f>VLOOKUP(C1267,Countries!$A$1:$D$205,2,FALSE)</f>
        <v>KOR</v>
      </c>
      <c r="B1267" s="6" t="s">
        <v>2825</v>
      </c>
      <c r="C1267" s="93" t="s">
        <v>433</v>
      </c>
      <c r="D1267" s="6" t="s">
        <v>2826</v>
      </c>
      <c r="E1267" s="87" t="s">
        <v>2098</v>
      </c>
      <c r="F1267" s="6">
        <v>1996</v>
      </c>
      <c r="G1267" s="106">
        <v>213</v>
      </c>
      <c r="H1267" s="97">
        <f>G1267*1000*Conversion!$A$2</f>
        <v>19144.439999999999</v>
      </c>
      <c r="I1267" s="93" t="s">
        <v>731</v>
      </c>
      <c r="J1267" s="93" t="s">
        <v>472</v>
      </c>
      <c r="K1267" s="6" t="s">
        <v>503</v>
      </c>
    </row>
    <row r="1268" spans="1:11" ht="15.5" x14ac:dyDescent="0.35">
      <c r="A1268" s="93" t="str">
        <f>VLOOKUP(C1268,Countries!$A$1:$D$205,2,FALSE)</f>
        <v>KOR</v>
      </c>
      <c r="B1268" s="6" t="s">
        <v>2822</v>
      </c>
      <c r="C1268" s="93" t="s">
        <v>433</v>
      </c>
      <c r="D1268" s="6" t="s">
        <v>2827</v>
      </c>
      <c r="E1268" s="87" t="s">
        <v>1085</v>
      </c>
      <c r="F1268" s="6"/>
      <c r="G1268" s="106">
        <v>5</v>
      </c>
      <c r="H1268" s="97">
        <f>G1268*1000*Conversion!$A$2</f>
        <v>449.40000000000003</v>
      </c>
      <c r="I1268" s="93" t="s">
        <v>731</v>
      </c>
      <c r="J1268" s="93" t="s">
        <v>472</v>
      </c>
      <c r="K1268" s="6" t="s">
        <v>483</v>
      </c>
    </row>
    <row r="1269" spans="1:11" ht="15.5" x14ac:dyDescent="0.35">
      <c r="A1269" s="93" t="str">
        <f>VLOOKUP(C1269,Countries!$A$1:$D$205,2,FALSE)</f>
        <v>KOR</v>
      </c>
      <c r="B1269" s="6" t="s">
        <v>2822</v>
      </c>
      <c r="C1269" s="93" t="s">
        <v>433</v>
      </c>
      <c r="D1269" s="6" t="s">
        <v>2827</v>
      </c>
      <c r="E1269" s="87" t="s">
        <v>261</v>
      </c>
      <c r="F1269" s="6"/>
      <c r="G1269" s="106">
        <v>4993</v>
      </c>
      <c r="H1269" s="97">
        <f>G1269*1000*Conversion!$A$2</f>
        <v>448770.84</v>
      </c>
      <c r="I1269" s="93" t="s">
        <v>731</v>
      </c>
      <c r="J1269" s="93" t="s">
        <v>472</v>
      </c>
      <c r="K1269" s="6" t="s">
        <v>483</v>
      </c>
    </row>
    <row r="1270" spans="1:11" ht="15.5" x14ac:dyDescent="0.35">
      <c r="A1270" s="93" t="str">
        <f>VLOOKUP(C1270,Countries!$A$1:$D$205,2,FALSE)</f>
        <v>KOR</v>
      </c>
      <c r="B1270" s="6" t="s">
        <v>2822</v>
      </c>
      <c r="C1270" s="93" t="s">
        <v>433</v>
      </c>
      <c r="D1270" s="6" t="s">
        <v>2827</v>
      </c>
      <c r="E1270" s="87" t="s">
        <v>1250</v>
      </c>
      <c r="F1270" s="6"/>
      <c r="G1270" s="106">
        <v>4139</v>
      </c>
      <c r="H1270" s="97">
        <f>G1270*1000*Conversion!$A$2</f>
        <v>372013.32</v>
      </c>
      <c r="I1270" s="93" t="s">
        <v>731</v>
      </c>
      <c r="J1270" s="93" t="s">
        <v>472</v>
      </c>
      <c r="K1270" s="6" t="s">
        <v>483</v>
      </c>
    </row>
    <row r="1271" spans="1:11" ht="15.5" x14ac:dyDescent="0.35">
      <c r="A1271" s="93" t="str">
        <f>VLOOKUP(C1271,Countries!$A$1:$D$205,2,FALSE)</f>
        <v>KOR</v>
      </c>
      <c r="B1271" s="6" t="s">
        <v>2828</v>
      </c>
      <c r="C1271" s="93" t="s">
        <v>433</v>
      </c>
      <c r="D1271" s="6" t="s">
        <v>2829</v>
      </c>
      <c r="E1271" s="87" t="s">
        <v>1250</v>
      </c>
      <c r="F1271" s="6">
        <v>1995</v>
      </c>
      <c r="G1271" s="106">
        <v>7043</v>
      </c>
      <c r="H1271" s="97">
        <f>G1271*1000*Conversion!$A$2</f>
        <v>633024.84</v>
      </c>
      <c r="I1271" s="93" t="s">
        <v>731</v>
      </c>
      <c r="J1271" s="93" t="s">
        <v>472</v>
      </c>
      <c r="K1271" s="6" t="s">
        <v>483</v>
      </c>
    </row>
    <row r="1272" spans="1:11" ht="15.5" x14ac:dyDescent="0.35">
      <c r="A1272" s="93" t="str">
        <f>VLOOKUP(C1272,Countries!$A$1:$D$205,2,FALSE)</f>
        <v>KOR</v>
      </c>
      <c r="B1272" s="6" t="s">
        <v>2828</v>
      </c>
      <c r="C1272" s="93" t="s">
        <v>433</v>
      </c>
      <c r="D1272" s="6" t="s">
        <v>2829</v>
      </c>
      <c r="E1272" s="87" t="s">
        <v>261</v>
      </c>
      <c r="F1272" s="6">
        <v>2003</v>
      </c>
      <c r="G1272" s="106">
        <v>1498</v>
      </c>
      <c r="H1272" s="97">
        <f>G1272*1000*Conversion!$A$2</f>
        <v>134640.24</v>
      </c>
      <c r="I1272" s="93" t="s">
        <v>731</v>
      </c>
      <c r="J1272" s="93" t="s">
        <v>472</v>
      </c>
      <c r="K1272" s="6" t="s">
        <v>483</v>
      </c>
    </row>
    <row r="1273" spans="1:11" ht="15.5" x14ac:dyDescent="0.35">
      <c r="A1273" s="93" t="str">
        <f>VLOOKUP(C1273,Countries!$A$1:$D$205,2,FALSE)</f>
        <v>TWN</v>
      </c>
      <c r="B1273" s="6" t="s">
        <v>2830</v>
      </c>
      <c r="C1273" s="93" t="s">
        <v>441</v>
      </c>
      <c r="D1273" s="6" t="s">
        <v>2831</v>
      </c>
      <c r="F1273">
        <v>1990</v>
      </c>
      <c r="G1273" s="106">
        <v>1</v>
      </c>
      <c r="H1273" s="97">
        <f>G1273*1000*Conversion!$A$2</f>
        <v>89.88</v>
      </c>
      <c r="I1273" s="93" t="s">
        <v>731</v>
      </c>
      <c r="J1273" s="93" t="s">
        <v>472</v>
      </c>
      <c r="K1273" s="6" t="s">
        <v>483</v>
      </c>
    </row>
    <row r="1274" spans="1:11" ht="15.5" x14ac:dyDescent="0.35">
      <c r="A1274" s="93" t="str">
        <f>VLOOKUP(C1274,Countries!$A$1:$D$205,2,FALSE)</f>
        <v>TWN</v>
      </c>
      <c r="B1274" s="6" t="s">
        <v>2832</v>
      </c>
      <c r="C1274" s="93" t="s">
        <v>441</v>
      </c>
      <c r="D1274" s="6" t="s">
        <v>2831</v>
      </c>
      <c r="F1274" s="6">
        <v>1989</v>
      </c>
      <c r="G1274" s="106">
        <v>1629</v>
      </c>
      <c r="H1274" s="97">
        <f>G1274*1000*Conversion!$A$2</f>
        <v>146414.51999999999</v>
      </c>
      <c r="I1274" s="93" t="s">
        <v>731</v>
      </c>
      <c r="J1274" s="93" t="s">
        <v>472</v>
      </c>
      <c r="K1274" s="6" t="s">
        <v>483</v>
      </c>
    </row>
    <row r="1275" spans="1:11" ht="15.5" x14ac:dyDescent="0.35">
      <c r="A1275" s="93" t="str">
        <f>VLOOKUP(C1275,Countries!$A$1:$D$205,2,FALSE)</f>
        <v>TWN</v>
      </c>
      <c r="B1275" s="6" t="s">
        <v>2833</v>
      </c>
      <c r="C1275" s="93" t="s">
        <v>441</v>
      </c>
      <c r="D1275" s="6" t="s">
        <v>2834</v>
      </c>
      <c r="F1275" s="6">
        <v>2002</v>
      </c>
      <c r="G1275" s="106">
        <v>7096</v>
      </c>
      <c r="H1275" s="97">
        <f>G1275*1000*Conversion!$A$2</f>
        <v>637788.48</v>
      </c>
      <c r="I1275" s="93" t="s">
        <v>731</v>
      </c>
      <c r="J1275" s="93" t="s">
        <v>472</v>
      </c>
      <c r="K1275" s="6" t="s">
        <v>483</v>
      </c>
    </row>
    <row r="1276" spans="1:11" ht="29" x14ac:dyDescent="0.35">
      <c r="A1276" s="93" t="str">
        <f>VLOOKUP(C1276,Countries!$A$1:$D$205,2,FALSE)</f>
        <v>TWN</v>
      </c>
      <c r="B1276" s="6" t="s">
        <v>2835</v>
      </c>
      <c r="C1276" s="93" t="s">
        <v>441</v>
      </c>
      <c r="D1276" s="6" t="s">
        <v>2836</v>
      </c>
      <c r="F1276" s="6">
        <v>1973</v>
      </c>
      <c r="G1276" s="106">
        <v>46</v>
      </c>
      <c r="H1276" s="97">
        <f>G1276*1000*Conversion!$A$2</f>
        <v>4134.4800000000005</v>
      </c>
      <c r="I1276" s="93" t="s">
        <v>731</v>
      </c>
      <c r="J1276" s="93" t="s">
        <v>472</v>
      </c>
      <c r="K1276" s="6" t="s">
        <v>494</v>
      </c>
    </row>
    <row r="1277" spans="1:11" ht="15.5" x14ac:dyDescent="0.35">
      <c r="A1277" s="93" t="str">
        <f>VLOOKUP(C1277,Countries!$A$1:$D$205,2,FALSE)</f>
        <v>TWN</v>
      </c>
      <c r="B1277" s="6" t="s">
        <v>2837</v>
      </c>
      <c r="C1277" s="93" t="s">
        <v>441</v>
      </c>
      <c r="D1277" s="6" t="s">
        <v>2838</v>
      </c>
      <c r="G1277" s="106">
        <v>290</v>
      </c>
      <c r="H1277" s="97">
        <f>G1277*1000*Conversion!$A$2</f>
        <v>26065.200000000001</v>
      </c>
      <c r="I1277" s="93" t="s">
        <v>731</v>
      </c>
      <c r="J1277" s="93" t="s">
        <v>472</v>
      </c>
      <c r="K1277" s="6" t="s">
        <v>494</v>
      </c>
    </row>
    <row r="1278" spans="1:11" ht="29" x14ac:dyDescent="0.35">
      <c r="A1278" s="93" t="str">
        <f>VLOOKUP(C1278,Countries!$A$1:$D$205,2,FALSE)</f>
        <v>KOR</v>
      </c>
      <c r="B1278" s="6" t="s">
        <v>2839</v>
      </c>
      <c r="C1278" s="93" t="s">
        <v>433</v>
      </c>
      <c r="D1278" s="6" t="s">
        <v>2840</v>
      </c>
      <c r="E1278" s="6"/>
      <c r="F1278" s="6"/>
      <c r="G1278" s="106">
        <v>1272</v>
      </c>
      <c r="H1278" s="97">
        <f>G1278*1000*Conversion!$A$2</f>
        <v>114327.36</v>
      </c>
      <c r="I1278" s="93" t="s">
        <v>471</v>
      </c>
      <c r="J1278" s="93" t="s">
        <v>472</v>
      </c>
      <c r="K1278" s="87"/>
    </row>
    <row r="1279" spans="1:11" ht="29" x14ac:dyDescent="0.35">
      <c r="A1279" s="93" t="str">
        <f>VLOOKUP(C1279,Countries!$A$1:$D$205,2,FALSE)</f>
        <v>KOR</v>
      </c>
      <c r="B1279" s="6" t="s">
        <v>2841</v>
      </c>
      <c r="C1279" s="93" t="s">
        <v>433</v>
      </c>
      <c r="D1279" s="6" t="s">
        <v>2842</v>
      </c>
      <c r="E1279" s="6"/>
      <c r="F1279" s="6"/>
      <c r="G1279" s="106"/>
      <c r="H1279" s="97">
        <f>G1279*1000*Conversion!$A$2</f>
        <v>0</v>
      </c>
      <c r="I1279" s="93" t="s">
        <v>471</v>
      </c>
      <c r="J1279" s="93" t="s">
        <v>472</v>
      </c>
      <c r="K1279" s="87"/>
    </row>
    <row r="1280" spans="1:11" ht="29" x14ac:dyDescent="0.35">
      <c r="A1280" s="93" t="str">
        <f>VLOOKUP(C1280,Countries!$A$1:$D$205,2,FALSE)</f>
        <v>KOR</v>
      </c>
      <c r="B1280" s="6" t="s">
        <v>2843</v>
      </c>
      <c r="C1280" s="93" t="s">
        <v>433</v>
      </c>
      <c r="D1280" s="6" t="s">
        <v>2842</v>
      </c>
      <c r="E1280" s="6"/>
      <c r="F1280" s="6"/>
      <c r="G1280" s="107"/>
      <c r="H1280" s="97">
        <f>G1280*1000*Conversion!$A$2</f>
        <v>0</v>
      </c>
      <c r="I1280" s="93" t="s">
        <v>471</v>
      </c>
      <c r="J1280" s="93" t="s">
        <v>472</v>
      </c>
      <c r="K1280" s="87"/>
    </row>
    <row r="1281" spans="1:11" ht="29" x14ac:dyDescent="0.35">
      <c r="A1281" s="93" t="str">
        <f>VLOOKUP(C1281,Countries!$A$1:$D$205,2,FALSE)</f>
        <v>KOR</v>
      </c>
      <c r="B1281" s="6" t="s">
        <v>2844</v>
      </c>
      <c r="C1281" s="93" t="s">
        <v>433</v>
      </c>
      <c r="D1281" s="6" t="s">
        <v>2842</v>
      </c>
      <c r="E1281" s="6"/>
      <c r="F1281" s="6"/>
      <c r="G1281" s="107"/>
      <c r="H1281" s="97">
        <f>G1281*1000*Conversion!$A$2</f>
        <v>0</v>
      </c>
      <c r="I1281" s="93" t="s">
        <v>471</v>
      </c>
      <c r="J1281" s="93" t="s">
        <v>472</v>
      </c>
      <c r="K1281" s="87"/>
    </row>
    <row r="1282" spans="1:11" ht="15.5" x14ac:dyDescent="0.35">
      <c r="A1282" s="93" t="str">
        <f>VLOOKUP(C1282,Countries!$A$1:$D$205,2,FALSE)</f>
        <v>KOR</v>
      </c>
      <c r="B1282" s="6" t="s">
        <v>2845</v>
      </c>
      <c r="C1282" s="93" t="s">
        <v>433</v>
      </c>
      <c r="D1282" s="6" t="s">
        <v>2842</v>
      </c>
      <c r="E1282" s="6"/>
      <c r="F1282" s="6"/>
      <c r="G1282" s="107"/>
      <c r="H1282" s="97">
        <f>G1282*1000*Conversion!$A$2</f>
        <v>0</v>
      </c>
      <c r="I1282" s="93" t="s">
        <v>471</v>
      </c>
      <c r="J1282" s="93" t="s">
        <v>472</v>
      </c>
      <c r="K1282" s="87"/>
    </row>
    <row r="1283" spans="1:11" ht="29" x14ac:dyDescent="0.35">
      <c r="A1283" s="93" t="str">
        <f>VLOOKUP(C1283,Countries!$A$1:$D$205,2,FALSE)</f>
        <v>KOR</v>
      </c>
      <c r="B1283" s="6" t="s">
        <v>2846</v>
      </c>
      <c r="C1283" s="93" t="s">
        <v>433</v>
      </c>
      <c r="D1283" s="6" t="s">
        <v>2842</v>
      </c>
      <c r="E1283" s="6"/>
      <c r="F1283" s="6"/>
      <c r="G1283" s="107"/>
      <c r="H1283" s="97">
        <f>G1283*1000*Conversion!$A$2</f>
        <v>0</v>
      </c>
      <c r="I1283" s="93" t="s">
        <v>471</v>
      </c>
      <c r="J1283" s="93" t="s">
        <v>472</v>
      </c>
      <c r="K1283" s="87"/>
    </row>
    <row r="1284" spans="1:11" ht="15.5" x14ac:dyDescent="0.35">
      <c r="A1284" s="93" t="str">
        <f>VLOOKUP(C1284,Countries!$A$1:$D$205,2,FALSE)</f>
        <v>KOR</v>
      </c>
      <c r="B1284" s="6" t="s">
        <v>2847</v>
      </c>
      <c r="C1284" s="93" t="s">
        <v>433</v>
      </c>
      <c r="D1284" s="6" t="s">
        <v>2842</v>
      </c>
      <c r="E1284" s="6"/>
      <c r="F1284" s="6"/>
      <c r="G1284" s="107"/>
      <c r="H1284" s="97">
        <f>G1284*1000*Conversion!$A$2</f>
        <v>0</v>
      </c>
      <c r="I1284" s="93" t="s">
        <v>471</v>
      </c>
      <c r="J1284" s="93" t="s">
        <v>472</v>
      </c>
      <c r="K1284" s="87"/>
    </row>
    <row r="1285" spans="1:11" ht="15.5" x14ac:dyDescent="0.35">
      <c r="A1285" s="93" t="str">
        <f>VLOOKUP(C1285,Countries!$A$1:$D$205,2,FALSE)</f>
        <v>KOR</v>
      </c>
      <c r="B1285" s="6" t="s">
        <v>2822</v>
      </c>
      <c r="C1285" s="93" t="s">
        <v>433</v>
      </c>
      <c r="D1285" s="6" t="s">
        <v>2842</v>
      </c>
      <c r="E1285" s="6"/>
      <c r="F1285" s="6"/>
      <c r="G1285" s="107"/>
      <c r="H1285" s="97">
        <f>G1285*1000*Conversion!$A$2</f>
        <v>0</v>
      </c>
      <c r="I1285" s="93" t="s">
        <v>471</v>
      </c>
      <c r="J1285" s="93" t="s">
        <v>472</v>
      </c>
      <c r="K1285" s="87"/>
    </row>
    <row r="1286" spans="1:11" ht="15.5" x14ac:dyDescent="0.35">
      <c r="A1286" s="93" t="str">
        <f>VLOOKUP(C1286,Countries!$A$1:$D$205,2,FALSE)</f>
        <v>KOR</v>
      </c>
      <c r="B1286" s="6" t="s">
        <v>2848</v>
      </c>
      <c r="C1286" s="93" t="s">
        <v>433</v>
      </c>
      <c r="D1286" s="6" t="s">
        <v>2842</v>
      </c>
      <c r="E1286" s="6"/>
      <c r="F1286" s="6"/>
      <c r="G1286" s="107"/>
      <c r="H1286" s="97">
        <f>G1286*1000*Conversion!$A$2</f>
        <v>0</v>
      </c>
      <c r="I1286" s="93" t="s">
        <v>471</v>
      </c>
      <c r="J1286" s="93" t="s">
        <v>472</v>
      </c>
      <c r="K1286" s="87"/>
    </row>
    <row r="1287" spans="1:11" ht="15.5" x14ac:dyDescent="0.35">
      <c r="A1287" s="93" t="str">
        <f>VLOOKUP(C1287,Countries!$A$1:$D$205,2,FALSE)</f>
        <v>KOR</v>
      </c>
      <c r="B1287" s="6" t="s">
        <v>2822</v>
      </c>
      <c r="C1287" s="93" t="s">
        <v>433</v>
      </c>
      <c r="D1287" s="6" t="s">
        <v>2849</v>
      </c>
      <c r="E1287" s="6"/>
      <c r="F1287" s="6"/>
      <c r="G1287" s="107"/>
      <c r="H1287" s="97">
        <f>G1287*1000*Conversion!$A$2</f>
        <v>0</v>
      </c>
      <c r="I1287" s="93" t="s">
        <v>471</v>
      </c>
      <c r="J1287" s="93" t="s">
        <v>472</v>
      </c>
      <c r="K1287" s="87" t="s">
        <v>494</v>
      </c>
    </row>
    <row r="1288" spans="1:11" ht="15.5" x14ac:dyDescent="0.35">
      <c r="A1288" s="93" t="str">
        <f>VLOOKUP(C1288,Countries!$A$1:$D$205,2,FALSE)</f>
        <v>KOR</v>
      </c>
      <c r="B1288" s="6" t="s">
        <v>2820</v>
      </c>
      <c r="C1288" s="93" t="s">
        <v>433</v>
      </c>
      <c r="D1288" s="6" t="s">
        <v>2850</v>
      </c>
      <c r="E1288" s="6"/>
      <c r="F1288" s="6">
        <v>2013</v>
      </c>
      <c r="G1288" s="106">
        <v>77</v>
      </c>
      <c r="H1288" s="97">
        <f>G1288*1000*Conversion!$A$2</f>
        <v>6920.76</v>
      </c>
      <c r="I1288" s="93" t="s">
        <v>471</v>
      </c>
      <c r="J1288" s="93" t="s">
        <v>472</v>
      </c>
      <c r="K1288" s="87" t="s">
        <v>494</v>
      </c>
    </row>
    <row r="1289" spans="1:11" ht="15.5" x14ac:dyDescent="0.35">
      <c r="A1289" s="93" t="str">
        <f>VLOOKUP(C1289,Countries!$A$1:$D$205,2,FALSE)</f>
        <v>KOR</v>
      </c>
      <c r="B1289" s="6" t="s">
        <v>2851</v>
      </c>
      <c r="C1289" s="93" t="s">
        <v>433</v>
      </c>
      <c r="D1289" s="6" t="s">
        <v>2852</v>
      </c>
      <c r="E1289" s="6"/>
      <c r="F1289" s="6">
        <v>2011</v>
      </c>
      <c r="G1289" s="106">
        <v>173</v>
      </c>
      <c r="H1289" s="97">
        <f>G1289*1000*Conversion!$A$2</f>
        <v>15549.24</v>
      </c>
      <c r="I1289" s="93" t="s">
        <v>471</v>
      </c>
      <c r="J1289" s="93" t="s">
        <v>472</v>
      </c>
      <c r="K1289" s="108"/>
    </row>
    <row r="1290" spans="1:11" ht="29" x14ac:dyDescent="0.35">
      <c r="A1290" s="93" t="str">
        <f>VLOOKUP(C1290,Countries!$A$1:$D$205,2,FALSE)</f>
        <v>KOR</v>
      </c>
      <c r="B1290" s="6" t="s">
        <v>2853</v>
      </c>
      <c r="C1290" s="93" t="s">
        <v>433</v>
      </c>
      <c r="D1290" s="6" t="s">
        <v>2854</v>
      </c>
      <c r="E1290" s="6"/>
      <c r="F1290" s="6"/>
      <c r="G1290" s="106">
        <v>4560</v>
      </c>
      <c r="H1290" s="97">
        <f>G1290*1000*Conversion!$A$2</f>
        <v>409852.8</v>
      </c>
      <c r="I1290" s="93" t="s">
        <v>471</v>
      </c>
      <c r="J1290" s="93" t="s">
        <v>472</v>
      </c>
      <c r="K1290" s="87" t="s">
        <v>494</v>
      </c>
    </row>
    <row r="1291" spans="1:11" ht="15.5" x14ac:dyDescent="0.35">
      <c r="A1291" s="93" t="str">
        <f>VLOOKUP(C1291,Countries!$A$1:$D$205,2,FALSE)</f>
        <v>KOR</v>
      </c>
      <c r="B1291" s="6" t="s">
        <v>2855</v>
      </c>
      <c r="C1291" s="93" t="s">
        <v>433</v>
      </c>
      <c r="D1291" s="6" t="s">
        <v>2856</v>
      </c>
      <c r="E1291" s="6"/>
      <c r="F1291" s="6"/>
      <c r="G1291" s="106"/>
      <c r="H1291" s="97">
        <f>G1291*1000*Conversion!$A$2</f>
        <v>0</v>
      </c>
      <c r="I1291" s="93" t="s">
        <v>471</v>
      </c>
      <c r="J1291" s="93" t="s">
        <v>472</v>
      </c>
      <c r="K1291" s="87" t="s">
        <v>494</v>
      </c>
    </row>
    <row r="1292" spans="1:11" ht="29" x14ac:dyDescent="0.35">
      <c r="A1292" s="93" t="str">
        <f>VLOOKUP(C1292,Countries!$A$1:$D$205,2,FALSE)</f>
        <v>KOR</v>
      </c>
      <c r="B1292" s="6" t="s">
        <v>2857</v>
      </c>
      <c r="C1292" s="93" t="s">
        <v>433</v>
      </c>
      <c r="D1292" s="6" t="s">
        <v>2821</v>
      </c>
      <c r="E1292" s="6"/>
      <c r="F1292" s="6"/>
      <c r="G1292" s="106"/>
      <c r="H1292" s="97">
        <f>G1292*1000*Conversion!$A$2</f>
        <v>0</v>
      </c>
      <c r="I1292" s="93" t="s">
        <v>471</v>
      </c>
      <c r="J1292" s="93" t="s">
        <v>472</v>
      </c>
      <c r="K1292" s="87" t="s">
        <v>494</v>
      </c>
    </row>
    <row r="1293" spans="1:11" ht="15.5" x14ac:dyDescent="0.35">
      <c r="A1293" s="93" t="str">
        <f>VLOOKUP(C1293,Countries!$A$1:$D$205,2,FALSE)</f>
        <v>KOR</v>
      </c>
      <c r="B1293" s="6" t="s">
        <v>2822</v>
      </c>
      <c r="C1293" s="93" t="s">
        <v>433</v>
      </c>
      <c r="D1293" s="6" t="s">
        <v>2858</v>
      </c>
      <c r="E1293" s="6" t="s">
        <v>2103</v>
      </c>
      <c r="F1293" s="6">
        <v>1991</v>
      </c>
      <c r="G1293" s="106">
        <v>310</v>
      </c>
      <c r="H1293" s="97">
        <f>G1293*1000*Conversion!$A$2</f>
        <v>27862.799999999999</v>
      </c>
      <c r="I1293" s="93" t="s">
        <v>471</v>
      </c>
      <c r="J1293" s="93" t="s">
        <v>472</v>
      </c>
      <c r="K1293" s="87" t="s">
        <v>494</v>
      </c>
    </row>
    <row r="1294" spans="1:11" ht="15.5" x14ac:dyDescent="0.35">
      <c r="A1294" s="93" t="str">
        <f>VLOOKUP(C1294,Countries!$A$1:$D$205,2,FALSE)</f>
        <v>KOR</v>
      </c>
      <c r="B1294" s="6" t="s">
        <v>2822</v>
      </c>
      <c r="C1294" s="93" t="s">
        <v>433</v>
      </c>
      <c r="D1294" s="6" t="s">
        <v>2858</v>
      </c>
      <c r="E1294" s="6" t="s">
        <v>2103</v>
      </c>
      <c r="F1294" s="6">
        <v>2015</v>
      </c>
      <c r="G1294" s="106">
        <v>464</v>
      </c>
      <c r="H1294" s="97">
        <f>G1294*1000*Conversion!$A$2</f>
        <v>41704.32</v>
      </c>
      <c r="I1294" s="93" t="s">
        <v>471</v>
      </c>
      <c r="J1294" s="93" t="s">
        <v>472</v>
      </c>
      <c r="K1294" s="87" t="s">
        <v>494</v>
      </c>
    </row>
    <row r="1295" spans="1:11" ht="15.5" x14ac:dyDescent="0.35">
      <c r="A1295" s="93" t="str">
        <f>VLOOKUP(C1295,Countries!$A$1:$D$205,2,FALSE)</f>
        <v>KOR</v>
      </c>
      <c r="B1295" s="6" t="s">
        <v>2822</v>
      </c>
      <c r="C1295" s="93" t="s">
        <v>433</v>
      </c>
      <c r="D1295" s="6" t="s">
        <v>2859</v>
      </c>
      <c r="E1295" s="6"/>
      <c r="F1295" s="6"/>
      <c r="G1295" s="107"/>
      <c r="H1295" s="97">
        <f>G1295*1000*Conversion!$A$2</f>
        <v>0</v>
      </c>
      <c r="I1295" s="93" t="s">
        <v>471</v>
      </c>
      <c r="J1295" s="93" t="s">
        <v>472</v>
      </c>
      <c r="K1295" s="87" t="s">
        <v>494</v>
      </c>
    </row>
    <row r="1296" spans="1:11" ht="15.5" x14ac:dyDescent="0.35">
      <c r="A1296" s="93" t="str">
        <f>VLOOKUP(C1296,Countries!$A$1:$D$205,2,FALSE)</f>
        <v>KOR</v>
      </c>
      <c r="B1296" s="6" t="s">
        <v>2828</v>
      </c>
      <c r="C1296" s="93" t="s">
        <v>433</v>
      </c>
      <c r="D1296" s="6" t="s">
        <v>2860</v>
      </c>
      <c r="E1296" s="6"/>
      <c r="F1296" s="6"/>
      <c r="G1296" s="107"/>
      <c r="H1296" s="97">
        <f>G1296*1000*Conversion!$A$2</f>
        <v>0</v>
      </c>
      <c r="I1296" s="93" t="s">
        <v>471</v>
      </c>
      <c r="J1296" s="93" t="s">
        <v>472</v>
      </c>
      <c r="K1296" s="87" t="s">
        <v>494</v>
      </c>
    </row>
    <row r="1297" spans="1:11" ht="29" x14ac:dyDescent="0.35">
      <c r="A1297" s="93" t="str">
        <f>VLOOKUP(C1297,Countries!$A$1:$D$205,2,FALSE)</f>
        <v>KOR</v>
      </c>
      <c r="B1297" s="6" t="s">
        <v>2861</v>
      </c>
      <c r="C1297" s="93" t="s">
        <v>433</v>
      </c>
      <c r="D1297" s="6" t="s">
        <v>2862</v>
      </c>
      <c r="E1297" s="6"/>
      <c r="F1297" s="6"/>
      <c r="G1297" s="107"/>
      <c r="H1297" s="97">
        <f>G1297*1000*Conversion!$A$2</f>
        <v>0</v>
      </c>
      <c r="I1297" s="93" t="s">
        <v>471</v>
      </c>
      <c r="J1297" s="93" t="s">
        <v>472</v>
      </c>
      <c r="K1297" s="87"/>
    </row>
    <row r="1298" spans="1:11" ht="29" x14ac:dyDescent="0.35">
      <c r="A1298" s="93" t="str">
        <f>VLOOKUP(C1298,Countries!$A$1:$D$205,2,FALSE)</f>
        <v>KOR</v>
      </c>
      <c r="B1298" s="6" t="s">
        <v>2863</v>
      </c>
      <c r="C1298" s="93" t="s">
        <v>433</v>
      </c>
      <c r="D1298" s="6" t="s">
        <v>2862</v>
      </c>
      <c r="E1298" s="6"/>
      <c r="F1298" s="6"/>
      <c r="G1298" s="107"/>
      <c r="H1298" s="97">
        <f>G1298*1000*Conversion!$A$2</f>
        <v>0</v>
      </c>
      <c r="I1298" s="93" t="s">
        <v>471</v>
      </c>
      <c r="J1298" s="93" t="s">
        <v>472</v>
      </c>
      <c r="K1298" s="87"/>
    </row>
    <row r="1299" spans="1:11" ht="29" x14ac:dyDescent="0.35">
      <c r="A1299" s="93" t="str">
        <f>VLOOKUP(C1299,Countries!$A$1:$D$205,2,FALSE)</f>
        <v>KOR</v>
      </c>
      <c r="B1299" s="6" t="s">
        <v>2864</v>
      </c>
      <c r="C1299" s="93" t="s">
        <v>433</v>
      </c>
      <c r="D1299" s="6" t="s">
        <v>2865</v>
      </c>
      <c r="E1299" s="6"/>
      <c r="F1299" s="6"/>
      <c r="G1299" s="107">
        <v>360</v>
      </c>
      <c r="H1299" s="97">
        <f>G1299*1000*Conversion!$A$2</f>
        <v>32356.799999999999</v>
      </c>
      <c r="I1299" s="93" t="s">
        <v>471</v>
      </c>
      <c r="J1299" s="93" t="s">
        <v>472</v>
      </c>
      <c r="K1299" s="87"/>
    </row>
    <row r="1300" spans="1:11" ht="15.5" x14ac:dyDescent="0.35">
      <c r="A1300" s="93" t="str">
        <f>VLOOKUP(C1300,Countries!$A$1:$D$205,2,FALSE)</f>
        <v>KOR</v>
      </c>
      <c r="B1300" s="6" t="s">
        <v>2822</v>
      </c>
      <c r="C1300" s="93" t="s">
        <v>433</v>
      </c>
      <c r="D1300" s="6" t="s">
        <v>2866</v>
      </c>
      <c r="E1300" s="6"/>
      <c r="F1300" s="6">
        <v>2005</v>
      </c>
      <c r="G1300" s="107">
        <v>144</v>
      </c>
      <c r="H1300" s="97">
        <f>G1300*1000*Conversion!$A$2</f>
        <v>12942.72</v>
      </c>
      <c r="I1300" s="93" t="s">
        <v>471</v>
      </c>
      <c r="J1300" s="93" t="s">
        <v>472</v>
      </c>
      <c r="K1300" s="87"/>
    </row>
    <row r="1301" spans="1:11" ht="15.5" x14ac:dyDescent="0.35">
      <c r="A1301" s="93" t="str">
        <f>VLOOKUP(C1301,Countries!$A$1:$D$205,2,FALSE)</f>
        <v>KOR</v>
      </c>
      <c r="B1301" s="6" t="s">
        <v>2822</v>
      </c>
      <c r="C1301" s="93" t="s">
        <v>433</v>
      </c>
      <c r="D1301" s="6" t="s">
        <v>2867</v>
      </c>
      <c r="E1301" s="6" t="s">
        <v>2103</v>
      </c>
      <c r="F1301" s="6">
        <v>2016</v>
      </c>
      <c r="G1301" s="107">
        <v>929</v>
      </c>
      <c r="H1301" s="97">
        <f>G1301*1000*Conversion!$A$2</f>
        <v>83498.52</v>
      </c>
      <c r="I1301" s="93" t="s">
        <v>471</v>
      </c>
      <c r="J1301" s="93" t="s">
        <v>472</v>
      </c>
      <c r="K1301" s="87" t="s">
        <v>494</v>
      </c>
    </row>
    <row r="1302" spans="1:11" ht="43.5" x14ac:dyDescent="0.35">
      <c r="A1302" s="93" t="str">
        <f>VLOOKUP(C1302,Countries!$A$1:$D$205,2,FALSE)</f>
        <v>KOR</v>
      </c>
      <c r="B1302" s="6" t="s">
        <v>2868</v>
      </c>
      <c r="C1302" s="93" t="s">
        <v>433</v>
      </c>
      <c r="D1302" s="6" t="s">
        <v>2869</v>
      </c>
      <c r="E1302" s="6"/>
      <c r="F1302" s="6"/>
      <c r="G1302" s="107">
        <v>1560</v>
      </c>
      <c r="H1302" s="97">
        <f>G1302*1000*Conversion!$A$2</f>
        <v>140212.79999999999</v>
      </c>
      <c r="I1302" s="93" t="s">
        <v>471</v>
      </c>
      <c r="J1302" s="93" t="s">
        <v>472</v>
      </c>
      <c r="K1302" s="87"/>
    </row>
    <row r="1303" spans="1:11" ht="15.5" x14ac:dyDescent="0.35">
      <c r="A1303" s="93" t="str">
        <f>VLOOKUP(C1303,Countries!$A$1:$D$205,2,FALSE)</f>
        <v>KOR</v>
      </c>
      <c r="B1303" s="6" t="s">
        <v>2822</v>
      </c>
      <c r="C1303" s="93" t="s">
        <v>433</v>
      </c>
      <c r="D1303" s="6" t="s">
        <v>2870</v>
      </c>
      <c r="E1303" s="6" t="s">
        <v>2103</v>
      </c>
      <c r="F1303" s="6">
        <v>1997</v>
      </c>
      <c r="G1303" s="107">
        <v>464</v>
      </c>
      <c r="H1303" s="97">
        <f>G1303*1000*Conversion!$A$2</f>
        <v>41704.32</v>
      </c>
      <c r="I1303" s="93" t="s">
        <v>471</v>
      </c>
      <c r="J1303" s="93" t="s">
        <v>472</v>
      </c>
      <c r="K1303" s="87" t="s">
        <v>494</v>
      </c>
    </row>
    <row r="1304" spans="1:11" ht="15.5" x14ac:dyDescent="0.35">
      <c r="A1304" s="93" t="str">
        <f>VLOOKUP(C1304,Countries!$A$1:$D$205,2,FALSE)</f>
        <v>TWN</v>
      </c>
      <c r="B1304" s="6" t="s">
        <v>2871</v>
      </c>
      <c r="C1304" s="93" t="s">
        <v>441</v>
      </c>
      <c r="D1304" s="6" t="s">
        <v>2872</v>
      </c>
      <c r="F1304" s="6"/>
      <c r="G1304" s="106">
        <v>120</v>
      </c>
      <c r="H1304" s="97">
        <f>G1304*1000*Conversion!$A$2</f>
        <v>10785.6</v>
      </c>
      <c r="I1304" s="93" t="s">
        <v>471</v>
      </c>
      <c r="J1304" s="93" t="s">
        <v>472</v>
      </c>
      <c r="K1304" s="87"/>
    </row>
    <row r="1305" spans="1:11" ht="15.5" x14ac:dyDescent="0.35">
      <c r="A1305" s="93" t="str">
        <f>VLOOKUP(C1305,Countries!$A$1:$D$205,2,FALSE)</f>
        <v>TWN</v>
      </c>
      <c r="B1305" s="6"/>
      <c r="C1305" s="93" t="s">
        <v>441</v>
      </c>
      <c r="D1305" s="6" t="s">
        <v>2873</v>
      </c>
      <c r="F1305" s="6"/>
      <c r="G1305" s="106">
        <v>128</v>
      </c>
      <c r="H1305" s="97">
        <f>G1305*1000*Conversion!$A$2</f>
        <v>11504.64</v>
      </c>
      <c r="I1305" s="93" t="s">
        <v>471</v>
      </c>
      <c r="J1305" s="93" t="s">
        <v>472</v>
      </c>
      <c r="K1305" s="87"/>
    </row>
    <row r="1306" spans="1:11" ht="29" x14ac:dyDescent="0.35">
      <c r="A1306" s="93" t="str">
        <f>VLOOKUP(C1306,Countries!$A$1:$D$205,2,FALSE)</f>
        <v>TWN</v>
      </c>
      <c r="B1306" s="6" t="s">
        <v>2874</v>
      </c>
      <c r="C1306" s="93" t="s">
        <v>441</v>
      </c>
      <c r="D1306" s="6"/>
      <c r="F1306" s="6"/>
      <c r="G1306" s="107"/>
      <c r="H1306" s="97">
        <f>G1306*1000*Conversion!$A$2</f>
        <v>0</v>
      </c>
      <c r="I1306" s="93" t="s">
        <v>471</v>
      </c>
      <c r="J1306" s="93" t="s">
        <v>472</v>
      </c>
      <c r="K1306" s="87"/>
    </row>
    <row r="1307" spans="1:11" ht="29" x14ac:dyDescent="0.35">
      <c r="A1307" s="93" t="str">
        <f>VLOOKUP(C1307,Countries!$A$1:$D$205,2,FALSE)</f>
        <v>TWN</v>
      </c>
      <c r="B1307" s="6" t="s">
        <v>2835</v>
      </c>
      <c r="C1307" s="93" t="s">
        <v>441</v>
      </c>
      <c r="D1307" s="6"/>
      <c r="F1307" s="6"/>
      <c r="G1307" s="107"/>
      <c r="H1307" s="97">
        <f>G1307*1000*Conversion!$A$2</f>
        <v>0</v>
      </c>
      <c r="I1307" s="93" t="s">
        <v>471</v>
      </c>
      <c r="J1307" s="93" t="s">
        <v>472</v>
      </c>
      <c r="K1307" s="87"/>
    </row>
    <row r="1308" spans="1:11" ht="29" x14ac:dyDescent="0.35">
      <c r="A1308" s="93" t="str">
        <f>VLOOKUP(C1308,Countries!$A$1:$D$205,2,FALSE)</f>
        <v>TWN</v>
      </c>
      <c r="B1308" s="6" t="s">
        <v>2875</v>
      </c>
      <c r="C1308" s="93" t="s">
        <v>441</v>
      </c>
      <c r="D1308" s="6"/>
      <c r="F1308" s="6"/>
      <c r="G1308" s="107"/>
      <c r="H1308" s="97">
        <f>G1308*1000*Conversion!$A$2</f>
        <v>0</v>
      </c>
      <c r="I1308" s="93" t="s">
        <v>471</v>
      </c>
      <c r="J1308" s="93" t="s">
        <v>472</v>
      </c>
      <c r="K1308" s="87"/>
    </row>
    <row r="1309" spans="1:11" ht="29" x14ac:dyDescent="0.35">
      <c r="A1309" s="93" t="str">
        <f>VLOOKUP(C1309,Countries!$A$1:$D$205,2,FALSE)</f>
        <v>TWN</v>
      </c>
      <c r="B1309" s="6" t="s">
        <v>2876</v>
      </c>
      <c r="C1309" s="93" t="s">
        <v>441</v>
      </c>
      <c r="D1309" s="6"/>
      <c r="F1309" s="6"/>
      <c r="G1309" s="107"/>
      <c r="H1309" s="97">
        <f>G1309*1000*Conversion!$A$2</f>
        <v>0</v>
      </c>
      <c r="I1309" s="93" t="s">
        <v>471</v>
      </c>
      <c r="J1309" s="93" t="s">
        <v>472</v>
      </c>
      <c r="K1309" s="87"/>
    </row>
    <row r="1310" spans="1:11" ht="29" x14ac:dyDescent="0.35">
      <c r="A1310" s="93" t="str">
        <f>VLOOKUP(C1310,Countries!$A$1:$D$205,2,FALSE)</f>
        <v>TWN</v>
      </c>
      <c r="B1310" s="6" t="s">
        <v>2835</v>
      </c>
      <c r="C1310" s="93" t="s">
        <v>441</v>
      </c>
      <c r="D1310" s="6" t="s">
        <v>2877</v>
      </c>
      <c r="F1310" s="6"/>
      <c r="G1310" s="107"/>
      <c r="H1310" s="97">
        <f>G1310*1000*Conversion!$A$2</f>
        <v>0</v>
      </c>
      <c r="I1310" s="93" t="s">
        <v>471</v>
      </c>
      <c r="J1310" s="93" t="s">
        <v>472</v>
      </c>
      <c r="K1310" s="87" t="s">
        <v>494</v>
      </c>
    </row>
    <row r="1311" spans="1:11" ht="29" x14ac:dyDescent="0.35">
      <c r="A1311" s="93" t="str">
        <f>VLOOKUP(C1311,Countries!$A$1:$D$205,2,FALSE)</f>
        <v>TWN</v>
      </c>
      <c r="B1311" s="6" t="s">
        <v>2878</v>
      </c>
      <c r="C1311" s="93" t="s">
        <v>441</v>
      </c>
      <c r="D1311" s="6" t="s">
        <v>2879</v>
      </c>
      <c r="F1311" s="6"/>
      <c r="G1311" s="107"/>
      <c r="H1311" s="97">
        <f>G1311*1000*Conversion!$A$2</f>
        <v>0</v>
      </c>
      <c r="I1311" s="93" t="s">
        <v>471</v>
      </c>
      <c r="J1311" s="93" t="s">
        <v>472</v>
      </c>
      <c r="K1311" s="87"/>
    </row>
    <row r="1312" spans="1:11" ht="29" x14ac:dyDescent="0.35">
      <c r="A1312" s="93" t="str">
        <f>VLOOKUP(C1312,Countries!$A$1:$D$205,2,FALSE)</f>
        <v>TWN</v>
      </c>
      <c r="B1312" s="6" t="s">
        <v>2835</v>
      </c>
      <c r="C1312" s="93" t="s">
        <v>441</v>
      </c>
      <c r="D1312" s="6" t="s">
        <v>2879</v>
      </c>
      <c r="F1312" s="6">
        <v>2007</v>
      </c>
      <c r="G1312" s="107">
        <v>600</v>
      </c>
      <c r="H1312" s="97">
        <f>G1312*1000*Conversion!$A$2</f>
        <v>53928</v>
      </c>
      <c r="I1312" s="93" t="s">
        <v>471</v>
      </c>
      <c r="J1312" s="93" t="s">
        <v>472</v>
      </c>
      <c r="K1312" s="87" t="s">
        <v>1472</v>
      </c>
    </row>
    <row r="1313" spans="1:11" ht="29" x14ac:dyDescent="0.35">
      <c r="A1313" s="93" t="str">
        <f>VLOOKUP(C1313,Countries!$A$1:$D$205,2,FALSE)</f>
        <v>TWN</v>
      </c>
      <c r="B1313" s="6" t="s">
        <v>2880</v>
      </c>
      <c r="C1313" s="93" t="s">
        <v>441</v>
      </c>
      <c r="D1313" s="6" t="s">
        <v>2879</v>
      </c>
      <c r="F1313" s="6"/>
      <c r="G1313" s="107"/>
      <c r="H1313" s="97">
        <f>G1313*1000*Conversion!$A$2</f>
        <v>0</v>
      </c>
      <c r="I1313" s="93" t="s">
        <v>471</v>
      </c>
      <c r="J1313" s="93" t="s">
        <v>472</v>
      </c>
      <c r="K1313" s="87"/>
    </row>
    <row r="1314" spans="1:11" ht="29" x14ac:dyDescent="0.35">
      <c r="A1314" s="93" t="str">
        <f>VLOOKUP(C1314,Countries!$A$1:$D$205,2,FALSE)</f>
        <v>TWN</v>
      </c>
      <c r="B1314" s="6" t="s">
        <v>2835</v>
      </c>
      <c r="C1314" s="93" t="s">
        <v>441</v>
      </c>
      <c r="D1314" s="6" t="s">
        <v>2881</v>
      </c>
      <c r="F1314" s="6"/>
      <c r="G1314" s="107"/>
      <c r="H1314" s="97">
        <f>G1314*1000*Conversion!$A$2</f>
        <v>0</v>
      </c>
      <c r="I1314" s="93" t="s">
        <v>471</v>
      </c>
      <c r="J1314" s="93" t="s">
        <v>472</v>
      </c>
      <c r="K1314" s="87" t="s">
        <v>1472</v>
      </c>
    </row>
    <row r="1315" spans="1:11" ht="29" x14ac:dyDescent="0.35">
      <c r="A1315" s="93" t="str">
        <f>VLOOKUP(C1315,Countries!$A$1:$D$205,2,FALSE)</f>
        <v>TWN</v>
      </c>
      <c r="B1315" s="6" t="s">
        <v>2835</v>
      </c>
      <c r="C1315" s="93" t="s">
        <v>441</v>
      </c>
      <c r="D1315" s="6" t="s">
        <v>2882</v>
      </c>
      <c r="E1315" t="s">
        <v>1486</v>
      </c>
      <c r="F1315" s="6">
        <v>2013</v>
      </c>
      <c r="G1315" s="107"/>
      <c r="H1315" s="97">
        <f>G1315*1000*Conversion!$A$2</f>
        <v>0</v>
      </c>
      <c r="I1315" s="93" t="s">
        <v>471</v>
      </c>
      <c r="J1315" s="93" t="s">
        <v>472</v>
      </c>
      <c r="K1315" s="87" t="s">
        <v>1472</v>
      </c>
    </row>
    <row r="1316" spans="1:11" ht="29" x14ac:dyDescent="0.35">
      <c r="A1316" s="93" t="str">
        <f>VLOOKUP(C1316,Countries!$A$1:$D$205,2,FALSE)</f>
        <v>TWN</v>
      </c>
      <c r="B1316" s="6" t="s">
        <v>2883</v>
      </c>
      <c r="C1316" s="93" t="s">
        <v>441</v>
      </c>
      <c r="D1316" s="6" t="s">
        <v>2884</v>
      </c>
      <c r="F1316" s="6"/>
      <c r="G1316" s="107"/>
      <c r="H1316" s="97">
        <f>G1316*1000*Conversion!$A$2</f>
        <v>0</v>
      </c>
      <c r="I1316" s="93" t="s">
        <v>471</v>
      </c>
      <c r="J1316" s="93" t="s">
        <v>472</v>
      </c>
      <c r="K1316" s="87" t="s">
        <v>494</v>
      </c>
    </row>
    <row r="1317" spans="1:11" ht="29" x14ac:dyDescent="0.35">
      <c r="A1317" s="93" t="str">
        <f>VLOOKUP(C1317,Countries!$A$1:$D$205,2,FALSE)</f>
        <v>TWN</v>
      </c>
      <c r="B1317" s="6" t="s">
        <v>2885</v>
      </c>
      <c r="C1317" s="93" t="s">
        <v>441</v>
      </c>
      <c r="D1317" s="6" t="s">
        <v>2886</v>
      </c>
      <c r="F1317" s="6"/>
      <c r="G1317" s="107"/>
      <c r="H1317" s="97">
        <f>G1317*1000*Conversion!$A$2</f>
        <v>0</v>
      </c>
      <c r="I1317" s="93" t="s">
        <v>471</v>
      </c>
      <c r="J1317" s="93" t="s">
        <v>472</v>
      </c>
      <c r="K1317" s="87"/>
    </row>
    <row r="1318" spans="1:11" ht="29" x14ac:dyDescent="0.35">
      <c r="A1318" s="93" t="str">
        <f>VLOOKUP(C1318,Countries!$A$1:$D$205,2,FALSE)</f>
        <v>TWN</v>
      </c>
      <c r="B1318" s="6" t="s">
        <v>2887</v>
      </c>
      <c r="C1318" s="93" t="s">
        <v>441</v>
      </c>
      <c r="D1318" s="6" t="s">
        <v>2886</v>
      </c>
      <c r="F1318" s="6"/>
      <c r="G1318" s="107"/>
      <c r="H1318" s="97">
        <f>G1318*1000*Conversion!$A$2</f>
        <v>0</v>
      </c>
      <c r="I1318" s="93" t="s">
        <v>471</v>
      </c>
      <c r="J1318" s="93" t="s">
        <v>472</v>
      </c>
      <c r="K1318" s="87"/>
    </row>
    <row r="1319" spans="1:11" ht="29" x14ac:dyDescent="0.35">
      <c r="A1319" s="93" t="str">
        <f>VLOOKUP(C1319,Countries!$A$1:$D$205,2,FALSE)</f>
        <v>IDN</v>
      </c>
      <c r="B1319" s="6" t="s">
        <v>2888</v>
      </c>
      <c r="C1319" s="93" t="s">
        <v>385</v>
      </c>
      <c r="D1319" s="6" t="s">
        <v>2889</v>
      </c>
      <c r="F1319" s="6"/>
      <c r="G1319" s="107"/>
      <c r="H1319" s="97">
        <f>G1319*1000*Conversion!$A$2</f>
        <v>0</v>
      </c>
      <c r="I1319" s="93" t="s">
        <v>471</v>
      </c>
      <c r="J1319" s="93" t="s">
        <v>472</v>
      </c>
      <c r="K1319" s="87"/>
    </row>
    <row r="1320" spans="1:11" ht="29" x14ac:dyDescent="0.35">
      <c r="A1320" s="93" t="str">
        <f>VLOOKUP(C1320,Countries!$A$1:$D$205,2,FALSE)</f>
        <v>IDN</v>
      </c>
      <c r="B1320" s="6" t="s">
        <v>2890</v>
      </c>
      <c r="C1320" s="93" t="s">
        <v>385</v>
      </c>
      <c r="D1320" s="6" t="s">
        <v>2891</v>
      </c>
      <c r="F1320" s="6">
        <v>1992</v>
      </c>
      <c r="G1320" s="107">
        <v>10</v>
      </c>
      <c r="H1320" s="97">
        <f>G1320*1000*Conversion!$A$2</f>
        <v>898.80000000000007</v>
      </c>
      <c r="I1320" s="93" t="s">
        <v>471</v>
      </c>
      <c r="J1320" s="93" t="s">
        <v>472</v>
      </c>
      <c r="K1320" s="87"/>
    </row>
    <row r="1321" spans="1:11" ht="29" x14ac:dyDescent="0.35">
      <c r="A1321" s="93" t="str">
        <f>VLOOKUP(C1321,Countries!$A$1:$D$205,2,FALSE)</f>
        <v>IDN</v>
      </c>
      <c r="B1321" s="6" t="s">
        <v>2892</v>
      </c>
      <c r="C1321" s="93" t="s">
        <v>385</v>
      </c>
      <c r="D1321" s="6" t="s">
        <v>2893</v>
      </c>
      <c r="F1321" s="6"/>
      <c r="G1321" s="107"/>
      <c r="H1321" s="97">
        <f>G1321*1000*Conversion!$A$2</f>
        <v>0</v>
      </c>
      <c r="I1321" s="93" t="s">
        <v>471</v>
      </c>
      <c r="J1321" s="93" t="s">
        <v>472</v>
      </c>
      <c r="K1321" s="87"/>
    </row>
    <row r="1322" spans="1:11" ht="15.5" x14ac:dyDescent="0.35">
      <c r="A1322" s="93" t="str">
        <f>VLOOKUP(C1322,Countries!$A$1:$D$205,2,FALSE)</f>
        <v>IDN</v>
      </c>
      <c r="B1322" s="6" t="s">
        <v>2894</v>
      </c>
      <c r="C1322" s="93" t="s">
        <v>385</v>
      </c>
      <c r="D1322" s="6"/>
      <c r="F1322" s="6"/>
      <c r="G1322" s="107">
        <v>17</v>
      </c>
      <c r="H1322" s="97">
        <f>G1322*1000*Conversion!$A$2</f>
        <v>1527.96</v>
      </c>
      <c r="I1322" s="93" t="s">
        <v>471</v>
      </c>
      <c r="J1322" s="93" t="s">
        <v>472</v>
      </c>
      <c r="K1322" s="87"/>
    </row>
    <row r="1323" spans="1:11" ht="29" x14ac:dyDescent="0.35">
      <c r="A1323" s="93" t="str">
        <f>VLOOKUP(C1323,Countries!$A$1:$D$205,2,FALSE)</f>
        <v>IDN</v>
      </c>
      <c r="B1323" s="6" t="s">
        <v>2895</v>
      </c>
      <c r="C1323" s="93" t="s">
        <v>385</v>
      </c>
      <c r="D1323" s="6" t="s">
        <v>2896</v>
      </c>
      <c r="F1323" s="6">
        <v>1989</v>
      </c>
      <c r="G1323" s="107">
        <v>5</v>
      </c>
      <c r="H1323" s="97">
        <f>G1323*1000*Conversion!$A$2</f>
        <v>449.40000000000003</v>
      </c>
      <c r="I1323" s="93" t="s">
        <v>471</v>
      </c>
      <c r="J1323" s="93" t="s">
        <v>472</v>
      </c>
      <c r="K1323" s="87"/>
    </row>
    <row r="1324" spans="1:11" ht="15.5" x14ac:dyDescent="0.35">
      <c r="A1324" s="93" t="str">
        <f>VLOOKUP(C1324,Countries!$A$1:$D$205,2,FALSE)</f>
        <v>IDN</v>
      </c>
      <c r="B1324" s="6" t="s">
        <v>2897</v>
      </c>
      <c r="C1324" s="93" t="s">
        <v>385</v>
      </c>
      <c r="D1324" s="6" t="s">
        <v>2898</v>
      </c>
      <c r="F1324" s="6">
        <v>1982</v>
      </c>
      <c r="G1324" s="107">
        <v>33</v>
      </c>
      <c r="H1324" s="97">
        <f>G1324*1000*Conversion!$A$2</f>
        <v>2966.04</v>
      </c>
      <c r="I1324" s="93" t="s">
        <v>471</v>
      </c>
      <c r="J1324" s="93" t="s">
        <v>472</v>
      </c>
      <c r="K1324" s="87"/>
    </row>
    <row r="1325" spans="1:11" ht="29" x14ac:dyDescent="0.35">
      <c r="A1325" s="93" t="str">
        <f>VLOOKUP(C1325,Countries!$A$1:$D$205,2,FALSE)</f>
        <v>IDN</v>
      </c>
      <c r="B1325" s="6" t="s">
        <v>2899</v>
      </c>
      <c r="C1325" s="93" t="s">
        <v>385</v>
      </c>
      <c r="D1325" s="6" t="s">
        <v>2900</v>
      </c>
      <c r="F1325" s="6"/>
      <c r="G1325" s="107"/>
      <c r="H1325" s="97">
        <f>G1325*1000*Conversion!$A$2</f>
        <v>0</v>
      </c>
      <c r="I1325" s="93" t="s">
        <v>471</v>
      </c>
      <c r="J1325" s="93" t="s">
        <v>472</v>
      </c>
      <c r="K1325" s="87"/>
    </row>
    <row r="1326" spans="1:11" ht="15.5" x14ac:dyDescent="0.35">
      <c r="A1326" s="93" t="str">
        <f>VLOOKUP(C1326,Countries!$A$1:$D$205,2,FALSE)</f>
        <v>IDN</v>
      </c>
      <c r="B1326" s="6" t="s">
        <v>2901</v>
      </c>
      <c r="C1326" s="93" t="s">
        <v>385</v>
      </c>
      <c r="D1326" s="6" t="s">
        <v>2902</v>
      </c>
      <c r="F1326" s="6">
        <v>2010</v>
      </c>
      <c r="G1326" s="107"/>
      <c r="H1326" s="97">
        <f>G1326*1000*Conversion!$A$2</f>
        <v>0</v>
      </c>
      <c r="I1326" s="93" t="s">
        <v>471</v>
      </c>
      <c r="J1326" s="93" t="s">
        <v>472</v>
      </c>
      <c r="K1326" s="87" t="s">
        <v>1074</v>
      </c>
    </row>
    <row r="1327" spans="1:11" ht="15.5" x14ac:dyDescent="0.35">
      <c r="A1327" s="93" t="str">
        <f>VLOOKUP(C1327,Countries!$A$1:$D$205,2,FALSE)</f>
        <v>IDN</v>
      </c>
      <c r="B1327" s="6" t="s">
        <v>2903</v>
      </c>
      <c r="C1327" s="93" t="s">
        <v>385</v>
      </c>
      <c r="D1327" s="6" t="s">
        <v>2904</v>
      </c>
      <c r="F1327" s="6"/>
      <c r="G1327" s="107"/>
      <c r="H1327" s="97">
        <f>G1327*1000*Conversion!$A$2</f>
        <v>0</v>
      </c>
      <c r="I1327" s="93" t="s">
        <v>471</v>
      </c>
      <c r="J1327" s="93" t="s">
        <v>472</v>
      </c>
      <c r="K1327" s="87"/>
    </row>
    <row r="1328" spans="1:11" ht="15.5" x14ac:dyDescent="0.35">
      <c r="A1328" s="93" t="str">
        <f>VLOOKUP(C1328,Countries!$A$1:$D$205,2,FALSE)</f>
        <v>IDN</v>
      </c>
      <c r="B1328" s="6" t="s">
        <v>2905</v>
      </c>
      <c r="C1328" s="93" t="s">
        <v>385</v>
      </c>
      <c r="D1328" s="6" t="s">
        <v>2904</v>
      </c>
      <c r="F1328" s="6"/>
      <c r="G1328" s="107">
        <v>36</v>
      </c>
      <c r="H1328" s="97">
        <f>G1328*1000*Conversion!$A$2</f>
        <v>3235.68</v>
      </c>
      <c r="I1328" s="93" t="s">
        <v>471</v>
      </c>
      <c r="J1328" s="93" t="s">
        <v>472</v>
      </c>
      <c r="K1328" s="87" t="s">
        <v>494</v>
      </c>
    </row>
    <row r="1329" spans="1:14" ht="29" x14ac:dyDescent="0.35">
      <c r="A1329" s="93" t="str">
        <f>VLOOKUP(C1329,Countries!$A$1:$D$205,2,FALSE)</f>
        <v>IDN</v>
      </c>
      <c r="B1329" s="6" t="s">
        <v>2906</v>
      </c>
      <c r="C1329" s="93" t="s">
        <v>385</v>
      </c>
      <c r="D1329" s="6" t="s">
        <v>2907</v>
      </c>
      <c r="F1329" s="6">
        <v>1992</v>
      </c>
      <c r="G1329" s="107">
        <v>17</v>
      </c>
      <c r="H1329" s="97">
        <f>G1329*1000*Conversion!$A$2</f>
        <v>1527.96</v>
      </c>
      <c r="I1329" s="93" t="s">
        <v>471</v>
      </c>
      <c r="J1329" s="93" t="s">
        <v>472</v>
      </c>
      <c r="K1329" s="87" t="s">
        <v>494</v>
      </c>
    </row>
    <row r="1330" spans="1:14" ht="15.5" x14ac:dyDescent="0.35">
      <c r="A1330" s="93" t="str">
        <f>VLOOKUP(C1330,Countries!$A$1:$D$205,2,FALSE)</f>
        <v>IDN</v>
      </c>
      <c r="B1330" s="6" t="s">
        <v>2908</v>
      </c>
      <c r="C1330" s="93" t="s">
        <v>385</v>
      </c>
      <c r="D1330" s="6" t="s">
        <v>2909</v>
      </c>
      <c r="F1330" s="6"/>
      <c r="H1330" s="97">
        <f>G1330*1000*Conversion!$A$2</f>
        <v>0</v>
      </c>
      <c r="I1330" s="93" t="s">
        <v>471</v>
      </c>
      <c r="J1330" s="93" t="s">
        <v>472</v>
      </c>
      <c r="K1330" s="87" t="s">
        <v>494</v>
      </c>
    </row>
    <row r="1331" spans="1:14" ht="29" x14ac:dyDescent="0.35">
      <c r="A1331" s="93" t="str">
        <f>VLOOKUP(C1331,Countries!$A$1:$D$205,2,FALSE)</f>
        <v>IDN</v>
      </c>
      <c r="B1331" s="6" t="s">
        <v>2908</v>
      </c>
      <c r="C1331" s="93" t="s">
        <v>385</v>
      </c>
      <c r="D1331" s="6" t="s">
        <v>2910</v>
      </c>
      <c r="F1331" s="6"/>
      <c r="H1331" s="97">
        <f>G1331*1000*Conversion!$A$2</f>
        <v>0</v>
      </c>
      <c r="I1331" s="93" t="s">
        <v>471</v>
      </c>
      <c r="J1331" s="93" t="s">
        <v>472</v>
      </c>
      <c r="K1331" s="87" t="s">
        <v>494</v>
      </c>
    </row>
    <row r="1332" spans="1:14" ht="15.5" x14ac:dyDescent="0.35">
      <c r="A1332" s="93" t="str">
        <f>VLOOKUP(C1332,Countries!$A$1:$D$205,2,FALSE)</f>
        <v>MYS</v>
      </c>
      <c r="B1332" s="6" t="s">
        <v>2911</v>
      </c>
      <c r="C1332" s="93" t="s">
        <v>198</v>
      </c>
      <c r="D1332" s="6" t="s">
        <v>2912</v>
      </c>
      <c r="E1332" s="87"/>
      <c r="F1332" s="6"/>
      <c r="G1332" s="106"/>
      <c r="H1332" s="97">
        <f>G1332*1000*Conversion!$A$2</f>
        <v>0</v>
      </c>
      <c r="I1332" s="93" t="s">
        <v>471</v>
      </c>
      <c r="J1332" s="93" t="s">
        <v>472</v>
      </c>
    </row>
    <row r="1333" spans="1:14" ht="15.5" x14ac:dyDescent="0.35">
      <c r="A1333" s="93" t="str">
        <f>VLOOKUP(C1333,Countries!$A$1:$D$205,2,FALSE)</f>
        <v>MYS</v>
      </c>
      <c r="B1333" s="6" t="s">
        <v>2913</v>
      </c>
      <c r="C1333" s="93" t="s">
        <v>198</v>
      </c>
      <c r="D1333" s="6" t="s">
        <v>469</v>
      </c>
      <c r="E1333" s="87"/>
      <c r="F1333" s="6"/>
      <c r="G1333" s="106">
        <v>72</v>
      </c>
      <c r="H1333" s="97">
        <f>G1333*1000*Conversion!$A$2</f>
        <v>6471.36</v>
      </c>
      <c r="I1333" s="93" t="s">
        <v>471</v>
      </c>
      <c r="J1333" s="93" t="s">
        <v>472</v>
      </c>
    </row>
    <row r="1334" spans="1:14" ht="15.5" x14ac:dyDescent="0.35">
      <c r="A1334" s="93" t="str">
        <f>VLOOKUP(C1334,Countries!$A$1:$D$205,2,FALSE)</f>
        <v>MYS</v>
      </c>
      <c r="B1334" s="6" t="s">
        <v>2913</v>
      </c>
      <c r="C1334" s="93" t="s">
        <v>198</v>
      </c>
      <c r="D1334" s="6"/>
      <c r="E1334" s="87"/>
      <c r="F1334" s="6"/>
      <c r="G1334" s="106">
        <v>24</v>
      </c>
      <c r="H1334" s="97">
        <f>G1334*1000*Conversion!$A$2</f>
        <v>2157.12</v>
      </c>
      <c r="I1334" s="93" t="s">
        <v>471</v>
      </c>
      <c r="J1334" s="93" t="s">
        <v>472</v>
      </c>
    </row>
    <row r="1335" spans="1:14" ht="15.5" x14ac:dyDescent="0.35">
      <c r="A1335" s="93" t="str">
        <f>VLOOKUP(C1335,Countries!$A$1:$D$205,2,FALSE)</f>
        <v>MYS</v>
      </c>
      <c r="B1335" s="6" t="s">
        <v>2914</v>
      </c>
      <c r="C1335" s="93" t="s">
        <v>198</v>
      </c>
      <c r="D1335" s="6" t="s">
        <v>2915</v>
      </c>
      <c r="E1335" s="87"/>
      <c r="F1335" s="6">
        <v>1997</v>
      </c>
      <c r="G1335" s="107"/>
      <c r="H1335" s="97">
        <f>G1335*1000*Conversion!$A$2</f>
        <v>0</v>
      </c>
      <c r="I1335" s="93" t="s">
        <v>471</v>
      </c>
      <c r="J1335" s="93" t="s">
        <v>472</v>
      </c>
    </row>
    <row r="1336" spans="1:14" ht="15.5" x14ac:dyDescent="0.35">
      <c r="A1336" s="93" t="str">
        <f>VLOOKUP(C1336,Countries!$A$1:$D$205,2,FALSE)</f>
        <v>MYS</v>
      </c>
      <c r="B1336" s="6" t="s">
        <v>2916</v>
      </c>
      <c r="C1336" s="93" t="s">
        <v>198</v>
      </c>
      <c r="D1336" s="6"/>
      <c r="E1336" s="87"/>
      <c r="F1336" s="6">
        <v>1992</v>
      </c>
      <c r="G1336" s="107"/>
      <c r="H1336" s="97">
        <f>G1336*1000*Conversion!$A$2</f>
        <v>0</v>
      </c>
      <c r="I1336" s="93" t="s">
        <v>471</v>
      </c>
      <c r="J1336" s="93" t="s">
        <v>472</v>
      </c>
    </row>
    <row r="1337" spans="1:14" ht="29" x14ac:dyDescent="0.35">
      <c r="A1337" s="93" t="str">
        <f>VLOOKUP(C1337,Countries!$A$1:$D$205,2,FALSE)</f>
        <v>MYS</v>
      </c>
      <c r="B1337" s="6" t="s">
        <v>2917</v>
      </c>
      <c r="C1337" s="93" t="s">
        <v>198</v>
      </c>
      <c r="D1337" s="6"/>
      <c r="E1337" s="87" t="s">
        <v>261</v>
      </c>
      <c r="F1337" s="6">
        <v>2005</v>
      </c>
      <c r="G1337" s="106">
        <v>40</v>
      </c>
      <c r="H1337" s="97">
        <f>G1337*1000*Conversion!$A$2</f>
        <v>3595.2000000000003</v>
      </c>
      <c r="I1337" s="93" t="s">
        <v>471</v>
      </c>
      <c r="J1337" s="93" t="s">
        <v>472</v>
      </c>
      <c r="K1337" t="s">
        <v>494</v>
      </c>
    </row>
    <row r="1338" spans="1:14" ht="15.5" x14ac:dyDescent="0.35">
      <c r="A1338" s="93" t="str">
        <f>VLOOKUP(C1338,Countries!$A$1:$D$205,2,FALSE)</f>
        <v>MYS</v>
      </c>
      <c r="B1338" s="6" t="s">
        <v>2918</v>
      </c>
      <c r="C1338" s="93" t="s">
        <v>198</v>
      </c>
      <c r="D1338" s="6" t="s">
        <v>2919</v>
      </c>
      <c r="E1338" s="87"/>
      <c r="F1338" s="6"/>
      <c r="G1338" s="107"/>
      <c r="H1338" s="97">
        <f>G1338*1000*Conversion!$A$2</f>
        <v>0</v>
      </c>
      <c r="I1338" s="93" t="s">
        <v>471</v>
      </c>
      <c r="J1338" s="93" t="s">
        <v>472</v>
      </c>
    </row>
    <row r="1339" spans="1:14" ht="15.5" x14ac:dyDescent="0.35">
      <c r="A1339" s="93" t="str">
        <f>VLOOKUP(C1339,Countries!$A$1:$D$205,2,FALSE)</f>
        <v>MYS</v>
      </c>
      <c r="B1339" s="6" t="s">
        <v>2920</v>
      </c>
      <c r="C1339" s="93" t="s">
        <v>198</v>
      </c>
      <c r="D1339" s="6"/>
      <c r="E1339" s="108"/>
      <c r="F1339" s="6">
        <v>2001</v>
      </c>
      <c r="G1339" s="106"/>
      <c r="H1339" s="97">
        <f>G1339*1000*Conversion!$A$2</f>
        <v>0</v>
      </c>
      <c r="I1339" s="93" t="s">
        <v>471</v>
      </c>
      <c r="J1339" s="93" t="s">
        <v>472</v>
      </c>
      <c r="K1339" t="s">
        <v>1472</v>
      </c>
    </row>
    <row r="1340" spans="1:14" ht="29" x14ac:dyDescent="0.35">
      <c r="A1340" s="93" t="str">
        <f>VLOOKUP(C1340,Countries!$A$1:$D$205,2,FALSE)</f>
        <v>MYS</v>
      </c>
      <c r="B1340" s="6" t="s">
        <v>2921</v>
      </c>
      <c r="C1340" s="93" t="s">
        <v>198</v>
      </c>
      <c r="D1340" s="6"/>
      <c r="E1340" s="87" t="s">
        <v>261</v>
      </c>
      <c r="F1340" s="6">
        <v>1977</v>
      </c>
      <c r="G1340" s="107">
        <v>72</v>
      </c>
      <c r="H1340" s="97">
        <f>G1340*1000*Conversion!$A$2</f>
        <v>6471.36</v>
      </c>
      <c r="I1340" s="93" t="s">
        <v>471</v>
      </c>
      <c r="J1340" s="93" t="s">
        <v>472</v>
      </c>
    </row>
    <row r="1341" spans="1:14" ht="29" x14ac:dyDescent="0.35">
      <c r="A1341" s="93" t="str">
        <f>VLOOKUP(C1341,Countries!$A$1:$D$205,2,FALSE)</f>
        <v>MYS</v>
      </c>
      <c r="B1341" s="6" t="s">
        <v>2922</v>
      </c>
      <c r="C1341" s="93" t="s">
        <v>198</v>
      </c>
      <c r="D1341" s="6"/>
      <c r="E1341" s="87"/>
      <c r="F1341" s="6">
        <v>1983</v>
      </c>
      <c r="G1341" s="106"/>
      <c r="H1341" s="97">
        <f>G1341*1000*Conversion!$A$2</f>
        <v>0</v>
      </c>
      <c r="I1341" s="93" t="s">
        <v>471</v>
      </c>
      <c r="J1341" s="93" t="s">
        <v>472</v>
      </c>
    </row>
    <row r="1342" spans="1:14" ht="15.5" x14ac:dyDescent="0.35">
      <c r="A1342" s="93" t="str">
        <f>VLOOKUP(C1342,Countries!$A$1:$D$205,2,FALSE)</f>
        <v>MYS</v>
      </c>
      <c r="B1342" s="6"/>
      <c r="C1342" s="93" t="s">
        <v>198</v>
      </c>
      <c r="D1342" s="6" t="s">
        <v>2923</v>
      </c>
      <c r="E1342" s="87"/>
      <c r="F1342" s="6"/>
      <c r="G1342" s="107">
        <v>12</v>
      </c>
      <c r="H1342" s="97">
        <f>G1342*1000*Conversion!$A$2</f>
        <v>1078.56</v>
      </c>
      <c r="I1342" s="93" t="s">
        <v>471</v>
      </c>
      <c r="J1342" s="93" t="s">
        <v>472</v>
      </c>
    </row>
    <row r="1343" spans="1:14" ht="15.5" x14ac:dyDescent="0.35">
      <c r="A1343" s="93" t="str">
        <f>VLOOKUP(C1343,Countries!$A$1:$D$205,2,FALSE)</f>
        <v>MYS</v>
      </c>
      <c r="B1343" s="6" t="s">
        <v>2924</v>
      </c>
      <c r="C1343" s="93" t="s">
        <v>198</v>
      </c>
      <c r="D1343" s="6" t="s">
        <v>2925</v>
      </c>
      <c r="E1343" s="87" t="s">
        <v>2098</v>
      </c>
      <c r="F1343" s="6">
        <v>1985</v>
      </c>
      <c r="G1343" s="106">
        <v>1920</v>
      </c>
      <c r="H1343" s="97">
        <f>G1343*1000*Conversion!$A$2</f>
        <v>172569.60000000001</v>
      </c>
      <c r="I1343" s="93" t="s">
        <v>471</v>
      </c>
      <c r="J1343" s="93" t="s">
        <v>472</v>
      </c>
      <c r="K1343" t="s">
        <v>503</v>
      </c>
    </row>
    <row r="1344" spans="1:14" ht="43.5" x14ac:dyDescent="0.35">
      <c r="A1344" s="93" t="str">
        <f>VLOOKUP(C1344,Countries!$A$1:$D$205,2,FALSE)</f>
        <v>PHL</v>
      </c>
      <c r="B1344" s="6" t="s">
        <v>2926</v>
      </c>
      <c r="C1344" s="93" t="s">
        <v>246</v>
      </c>
      <c r="D1344" s="6" t="s">
        <v>2927</v>
      </c>
      <c r="F1344" s="6">
        <v>2000</v>
      </c>
      <c r="G1344" s="106">
        <v>12</v>
      </c>
      <c r="H1344" s="97">
        <f>G1344*1000*Conversion!$A$2</f>
        <v>1078.56</v>
      </c>
      <c r="I1344" s="93" t="s">
        <v>471</v>
      </c>
      <c r="J1344" s="93" t="s">
        <v>472</v>
      </c>
      <c r="N1344" s="6" t="s">
        <v>2928</v>
      </c>
    </row>
    <row r="1345" spans="1:14" ht="15.5" x14ac:dyDescent="0.35">
      <c r="A1345" s="93" t="str">
        <f>VLOOKUP(C1345,Countries!$A$1:$D$205,2,FALSE)</f>
        <v>SGP</v>
      </c>
      <c r="B1345" s="6" t="s">
        <v>429</v>
      </c>
      <c r="C1345" s="93" t="s">
        <v>429</v>
      </c>
      <c r="D1345" s="6" t="s">
        <v>469</v>
      </c>
      <c r="E1345" s="87" t="s">
        <v>261</v>
      </c>
      <c r="F1345" s="6">
        <v>2011</v>
      </c>
      <c r="G1345" s="107">
        <v>2400</v>
      </c>
      <c r="H1345" s="97">
        <f>G1345*1000*Conversion!$A$2</f>
        <v>215712</v>
      </c>
      <c r="I1345" s="93" t="s">
        <v>471</v>
      </c>
      <c r="J1345" s="93" t="s">
        <v>472</v>
      </c>
    </row>
    <row r="1346" spans="1:14" ht="15.5" x14ac:dyDescent="0.35">
      <c r="A1346" s="93" t="str">
        <f>VLOOKUP(C1346,Countries!$A$1:$D$205,2,FALSE)</f>
        <v>SGP</v>
      </c>
      <c r="B1346" s="6" t="s">
        <v>429</v>
      </c>
      <c r="C1346" s="93" t="s">
        <v>429</v>
      </c>
      <c r="D1346" s="6" t="s">
        <v>469</v>
      </c>
      <c r="E1346" s="87" t="s">
        <v>261</v>
      </c>
      <c r="F1346" s="6">
        <v>2002</v>
      </c>
      <c r="G1346" s="107">
        <v>48</v>
      </c>
      <c r="H1346" s="97">
        <f>G1346*1000*Conversion!$A$2</f>
        <v>4314.24</v>
      </c>
      <c r="I1346" s="93" t="s">
        <v>471</v>
      </c>
      <c r="J1346" s="93" t="s">
        <v>472</v>
      </c>
    </row>
    <row r="1347" spans="1:14" ht="15.5" x14ac:dyDescent="0.35">
      <c r="A1347" s="93" t="str">
        <f>VLOOKUP(C1347,Countries!$A$1:$D$205,2,FALSE)</f>
        <v>SGP</v>
      </c>
      <c r="B1347" s="6" t="s">
        <v>429</v>
      </c>
      <c r="C1347" s="93" t="s">
        <v>429</v>
      </c>
      <c r="D1347" s="6" t="s">
        <v>469</v>
      </c>
      <c r="E1347" s="87"/>
      <c r="F1347" s="6">
        <v>1999</v>
      </c>
      <c r="G1347" s="107">
        <v>12</v>
      </c>
      <c r="H1347" s="97">
        <f>G1347*1000*Conversion!$A$2</f>
        <v>1078.56</v>
      </c>
      <c r="I1347" s="93" t="s">
        <v>471</v>
      </c>
      <c r="J1347" s="93" t="s">
        <v>472</v>
      </c>
    </row>
    <row r="1348" spans="1:14" ht="15.5" x14ac:dyDescent="0.35">
      <c r="A1348" s="93" t="str">
        <f>VLOOKUP(C1348,Countries!$A$1:$D$205,2,FALSE)</f>
        <v>SGP</v>
      </c>
      <c r="B1348" s="6" t="s">
        <v>2929</v>
      </c>
      <c r="C1348" s="93" t="s">
        <v>429</v>
      </c>
      <c r="D1348" s="6" t="s">
        <v>525</v>
      </c>
      <c r="E1348" s="87"/>
      <c r="F1348" s="6"/>
      <c r="G1348" s="107"/>
      <c r="H1348" s="97">
        <f>G1348*1000*Conversion!$A$2</f>
        <v>0</v>
      </c>
      <c r="I1348" s="93" t="s">
        <v>471</v>
      </c>
      <c r="J1348" s="93" t="s">
        <v>472</v>
      </c>
    </row>
    <row r="1349" spans="1:14" ht="15.5" x14ac:dyDescent="0.35">
      <c r="A1349" s="93" t="str">
        <f>VLOOKUP(C1349,Countries!$A$1:$D$205,2,FALSE)</f>
        <v>SGP</v>
      </c>
      <c r="B1349" s="6" t="s">
        <v>2929</v>
      </c>
      <c r="C1349" s="93" t="s">
        <v>429</v>
      </c>
      <c r="D1349" s="6" t="s">
        <v>2930</v>
      </c>
      <c r="E1349" s="87"/>
      <c r="F1349" s="6"/>
      <c r="G1349" s="107"/>
      <c r="H1349" s="97">
        <f>G1349*1000*Conversion!$A$2</f>
        <v>0</v>
      </c>
      <c r="I1349" s="93" t="s">
        <v>471</v>
      </c>
      <c r="J1349" s="93" t="s">
        <v>472</v>
      </c>
    </row>
    <row r="1350" spans="1:14" ht="29" x14ac:dyDescent="0.35">
      <c r="A1350" s="93" t="str">
        <f>VLOOKUP(C1350,Countries!$A$1:$D$205,2,FALSE)</f>
        <v>SGP</v>
      </c>
      <c r="B1350" s="6" t="s">
        <v>2931</v>
      </c>
      <c r="C1350" s="93" t="s">
        <v>429</v>
      </c>
      <c r="D1350" s="6" t="s">
        <v>2932</v>
      </c>
      <c r="E1350" s="87"/>
      <c r="F1350" s="6"/>
      <c r="G1350" s="106"/>
      <c r="H1350" s="97">
        <f>G1350*1000*Conversion!$A$2</f>
        <v>0</v>
      </c>
      <c r="I1350" s="93" t="s">
        <v>471</v>
      </c>
      <c r="J1350" s="93" t="s">
        <v>472</v>
      </c>
    </row>
    <row r="1351" spans="1:14" ht="29" x14ac:dyDescent="0.35">
      <c r="A1351" s="93" t="str">
        <f>VLOOKUP(C1351,Countries!$A$1:$D$205,2,FALSE)</f>
        <v>SGP</v>
      </c>
      <c r="B1351" s="6" t="s">
        <v>2933</v>
      </c>
      <c r="C1351" s="93" t="s">
        <v>429</v>
      </c>
      <c r="D1351" s="6" t="s">
        <v>2934</v>
      </c>
      <c r="E1351" s="87"/>
      <c r="F1351" s="6">
        <v>1970</v>
      </c>
      <c r="G1351" s="107">
        <v>91</v>
      </c>
      <c r="H1351" s="97">
        <f>G1351*1000*Conversion!$A$2</f>
        <v>8179.08</v>
      </c>
      <c r="I1351" s="93" t="s">
        <v>471</v>
      </c>
      <c r="J1351" s="93" t="s">
        <v>472</v>
      </c>
    </row>
    <row r="1352" spans="1:14" ht="29" x14ac:dyDescent="0.35">
      <c r="A1352" s="93" t="str">
        <f>VLOOKUP(C1352,Countries!$A$1:$D$205,2,FALSE)</f>
        <v>SGP</v>
      </c>
      <c r="B1352" s="6" t="s">
        <v>2933</v>
      </c>
      <c r="C1352" s="93" t="s">
        <v>429</v>
      </c>
      <c r="D1352" s="6" t="s">
        <v>2935</v>
      </c>
      <c r="E1352" s="87"/>
      <c r="F1352" s="6"/>
      <c r="G1352" s="107"/>
      <c r="H1352" s="97">
        <f>G1352*1000*Conversion!$A$2</f>
        <v>0</v>
      </c>
      <c r="I1352" s="93" t="s">
        <v>471</v>
      </c>
      <c r="J1352" s="93" t="s">
        <v>472</v>
      </c>
    </row>
    <row r="1353" spans="1:14" ht="15.5" x14ac:dyDescent="0.35">
      <c r="A1353" s="93" t="str">
        <f>VLOOKUP(C1353,Countries!$A$1:$D$205,2,FALSE)</f>
        <v>SGP</v>
      </c>
      <c r="B1353" s="6" t="s">
        <v>2929</v>
      </c>
      <c r="C1353" s="93" t="s">
        <v>429</v>
      </c>
      <c r="D1353" s="6" t="s">
        <v>2936</v>
      </c>
      <c r="E1353" s="87"/>
      <c r="F1353" s="6"/>
      <c r="G1353" s="106"/>
      <c r="H1353" s="97">
        <f>G1353*1000*Conversion!$A$2</f>
        <v>0</v>
      </c>
      <c r="I1353" s="93" t="s">
        <v>471</v>
      </c>
      <c r="J1353" s="93" t="s">
        <v>472</v>
      </c>
    </row>
    <row r="1354" spans="1:14" ht="15.5" x14ac:dyDescent="0.35">
      <c r="A1354" s="93" t="str">
        <f>VLOOKUP(C1354,Countries!$A$1:$D$205,2,FALSE)</f>
        <v>SGP</v>
      </c>
      <c r="B1354" s="6" t="s">
        <v>429</v>
      </c>
      <c r="C1354" s="93" t="s">
        <v>429</v>
      </c>
      <c r="D1354" s="6" t="s">
        <v>2936</v>
      </c>
      <c r="E1354" s="87"/>
      <c r="F1354" s="6">
        <v>2014</v>
      </c>
      <c r="G1354" s="106">
        <v>72</v>
      </c>
      <c r="H1354" s="97">
        <f>G1354*1000*Conversion!$A$2</f>
        <v>6471.36</v>
      </c>
      <c r="I1354" s="93" t="s">
        <v>471</v>
      </c>
      <c r="J1354" s="93" t="s">
        <v>472</v>
      </c>
    </row>
    <row r="1355" spans="1:14" ht="15.5" x14ac:dyDescent="0.35">
      <c r="A1355" s="93" t="str">
        <f>VLOOKUP(C1355,Countries!$A$1:$D$205,2,FALSE)</f>
        <v>SGP</v>
      </c>
      <c r="B1355" s="6" t="s">
        <v>2929</v>
      </c>
      <c r="C1355" s="93" t="s">
        <v>429</v>
      </c>
      <c r="D1355" s="6" t="s">
        <v>2937</v>
      </c>
      <c r="E1355" s="108"/>
      <c r="F1355" s="6">
        <v>1973</v>
      </c>
      <c r="G1355" s="106"/>
      <c r="H1355" s="97">
        <f>G1355*1000*Conversion!$A$2</f>
        <v>0</v>
      </c>
      <c r="I1355" s="93" t="s">
        <v>471</v>
      </c>
      <c r="J1355" s="93" t="s">
        <v>472</v>
      </c>
    </row>
    <row r="1356" spans="1:14" ht="29" x14ac:dyDescent="0.35">
      <c r="A1356" s="93" t="str">
        <f>VLOOKUP(C1356,Countries!$A$1:$D$205,2,FALSE)</f>
        <v>SGP</v>
      </c>
      <c r="B1356" s="6" t="s">
        <v>2929</v>
      </c>
      <c r="C1356" s="93" t="s">
        <v>429</v>
      </c>
      <c r="D1356" s="6" t="s">
        <v>2938</v>
      </c>
      <c r="E1356" s="87" t="s">
        <v>261</v>
      </c>
      <c r="F1356" s="6">
        <v>2010</v>
      </c>
      <c r="G1356" s="106">
        <v>2400</v>
      </c>
      <c r="H1356" s="97">
        <f>G1356*1000*Conversion!$A$2</f>
        <v>215712</v>
      </c>
      <c r="I1356" s="93" t="s">
        <v>471</v>
      </c>
      <c r="J1356" s="93" t="s">
        <v>472</v>
      </c>
    </row>
    <row r="1357" spans="1:14" ht="15.5" x14ac:dyDescent="0.35">
      <c r="A1357" s="93" t="str">
        <f>VLOOKUP(C1357,Countries!$A$1:$D$205,2,FALSE)</f>
        <v>THA</v>
      </c>
      <c r="B1357" s="6" t="s">
        <v>2939</v>
      </c>
      <c r="C1357" s="93" t="s">
        <v>304</v>
      </c>
      <c r="D1357" s="6" t="s">
        <v>2940</v>
      </c>
      <c r="F1357" s="6"/>
      <c r="G1357" s="107"/>
      <c r="H1357" s="97">
        <f>G1357*1000*Conversion!$A$2</f>
        <v>0</v>
      </c>
      <c r="I1357" s="93" t="s">
        <v>471</v>
      </c>
      <c r="J1357" s="93" t="s">
        <v>472</v>
      </c>
      <c r="K1357" s="87" t="s">
        <v>494</v>
      </c>
      <c r="N1357" s="6" t="s">
        <v>2941</v>
      </c>
    </row>
    <row r="1358" spans="1:14" ht="15.5" x14ac:dyDescent="0.35">
      <c r="A1358" s="93" t="str">
        <f>VLOOKUP(C1358,Countries!$A$1:$D$205,2,FALSE)</f>
        <v>THA</v>
      </c>
      <c r="B1358" s="6" t="s">
        <v>2942</v>
      </c>
      <c r="C1358" s="93" t="s">
        <v>304</v>
      </c>
      <c r="D1358" s="6" t="s">
        <v>2943</v>
      </c>
      <c r="F1358" s="6">
        <v>2003</v>
      </c>
      <c r="G1358" s="107"/>
      <c r="H1358" s="97">
        <f>G1358*1000*Conversion!$A$2</f>
        <v>0</v>
      </c>
      <c r="I1358" s="93" t="s">
        <v>471</v>
      </c>
      <c r="J1358" s="93" t="s">
        <v>472</v>
      </c>
      <c r="K1358" s="87"/>
      <c r="N1358" s="6"/>
    </row>
    <row r="1359" spans="1:14" ht="29" x14ac:dyDescent="0.35">
      <c r="A1359" s="93" t="str">
        <f>VLOOKUP(C1359,Countries!$A$1:$D$205,2,FALSE)</f>
        <v>THA</v>
      </c>
      <c r="B1359" s="6" t="s">
        <v>2944</v>
      </c>
      <c r="C1359" s="93" t="s">
        <v>304</v>
      </c>
      <c r="D1359" s="6" t="s">
        <v>2945</v>
      </c>
      <c r="F1359" s="6"/>
      <c r="G1359" s="107"/>
      <c r="H1359" s="97">
        <f>G1359*1000*Conversion!$A$2</f>
        <v>0</v>
      </c>
      <c r="I1359" s="93" t="s">
        <v>471</v>
      </c>
      <c r="J1359" s="93" t="s">
        <v>472</v>
      </c>
      <c r="K1359" s="87"/>
      <c r="N1359" s="6"/>
    </row>
    <row r="1360" spans="1:14" ht="43.5" x14ac:dyDescent="0.35">
      <c r="A1360" s="93" t="str">
        <f>VLOOKUP(C1360,Countries!$A$1:$D$205,2,FALSE)</f>
        <v>THA</v>
      </c>
      <c r="B1360" s="6" t="s">
        <v>2946</v>
      </c>
      <c r="C1360" s="93" t="s">
        <v>304</v>
      </c>
      <c r="D1360" s="6" t="s">
        <v>2945</v>
      </c>
      <c r="F1360" s="6"/>
      <c r="G1360" s="107"/>
      <c r="H1360" s="97">
        <f>G1360*1000*Conversion!$A$2</f>
        <v>0</v>
      </c>
      <c r="I1360" s="93" t="s">
        <v>471</v>
      </c>
      <c r="J1360" s="93" t="s">
        <v>472</v>
      </c>
      <c r="K1360" s="87"/>
      <c r="N1360" s="6"/>
    </row>
    <row r="1361" spans="1:14" ht="29" x14ac:dyDescent="0.35">
      <c r="A1361" s="93" t="str">
        <f>VLOOKUP(C1361,Countries!$A$1:$D$205,2,FALSE)</f>
        <v>THA</v>
      </c>
      <c r="B1361" s="6" t="s">
        <v>2947</v>
      </c>
      <c r="C1361" s="93" t="s">
        <v>304</v>
      </c>
      <c r="D1361" s="6" t="s">
        <v>2945</v>
      </c>
      <c r="F1361" s="6"/>
      <c r="G1361" s="107"/>
      <c r="H1361" s="97">
        <f>G1361*1000*Conversion!$A$2</f>
        <v>0</v>
      </c>
      <c r="I1361" s="93" t="s">
        <v>471</v>
      </c>
      <c r="J1361" s="93" t="s">
        <v>472</v>
      </c>
      <c r="K1361" s="87"/>
      <c r="N1361" s="6"/>
    </row>
    <row r="1362" spans="1:14" ht="29" x14ac:dyDescent="0.35">
      <c r="A1362" s="93" t="str">
        <f>VLOOKUP(C1362,Countries!$A$1:$D$205,2,FALSE)</f>
        <v>THA</v>
      </c>
      <c r="B1362" s="6" t="s">
        <v>2948</v>
      </c>
      <c r="C1362" s="93" t="s">
        <v>304</v>
      </c>
      <c r="D1362" s="6" t="s">
        <v>2945</v>
      </c>
      <c r="F1362" s="6"/>
      <c r="G1362" s="107"/>
      <c r="H1362" s="97">
        <f>G1362*1000*Conversion!$A$2</f>
        <v>0</v>
      </c>
      <c r="I1362" s="93" t="s">
        <v>471</v>
      </c>
      <c r="J1362" s="93" t="s">
        <v>472</v>
      </c>
      <c r="K1362" s="87"/>
      <c r="N1362" s="6"/>
    </row>
    <row r="1363" spans="1:14" ht="72.5" x14ac:dyDescent="0.35">
      <c r="A1363" s="93" t="str">
        <f>VLOOKUP(C1363,Countries!$A$1:$D$205,2,FALSE)</f>
        <v>THA</v>
      </c>
      <c r="B1363" s="6" t="s">
        <v>2949</v>
      </c>
      <c r="C1363" s="93" t="s">
        <v>304</v>
      </c>
      <c r="D1363" s="6" t="s">
        <v>2950</v>
      </c>
      <c r="F1363" s="6"/>
      <c r="G1363" s="107">
        <v>480</v>
      </c>
      <c r="H1363" s="97">
        <f>G1363*1000*Conversion!$A$2</f>
        <v>43142.400000000001</v>
      </c>
      <c r="I1363" s="93" t="s">
        <v>471</v>
      </c>
      <c r="J1363" s="93" t="s">
        <v>472</v>
      </c>
      <c r="K1363" s="87" t="s">
        <v>494</v>
      </c>
      <c r="N1363" s="6" t="s">
        <v>2951</v>
      </c>
    </row>
    <row r="1364" spans="1:14" ht="15.5" x14ac:dyDescent="0.35">
      <c r="A1364" s="93" t="str">
        <f>VLOOKUP(C1364,Countries!$A$1:$D$205,2,FALSE)</f>
        <v>THA</v>
      </c>
      <c r="B1364" s="6" t="s">
        <v>2952</v>
      </c>
      <c r="C1364" s="93" t="s">
        <v>304</v>
      </c>
      <c r="D1364" s="6" t="s">
        <v>2953</v>
      </c>
      <c r="F1364" s="6"/>
      <c r="G1364" s="106"/>
      <c r="H1364" s="97">
        <f>G1364*1000*Conversion!$A$2</f>
        <v>0</v>
      </c>
      <c r="I1364" s="93" t="s">
        <v>471</v>
      </c>
      <c r="J1364" s="93" t="s">
        <v>472</v>
      </c>
      <c r="K1364" s="87"/>
      <c r="N1364" s="6"/>
    </row>
    <row r="1365" spans="1:14" ht="15.5" x14ac:dyDescent="0.35">
      <c r="A1365" s="93" t="str">
        <f>VLOOKUP(C1365,Countries!$A$1:$D$205,2,FALSE)</f>
        <v>THA</v>
      </c>
      <c r="B1365" s="6" t="s">
        <v>2954</v>
      </c>
      <c r="C1365" s="93" t="s">
        <v>304</v>
      </c>
      <c r="D1365" s="6" t="s">
        <v>2955</v>
      </c>
      <c r="F1365" s="6">
        <v>2010</v>
      </c>
      <c r="G1365" s="106"/>
      <c r="H1365" s="97">
        <f>G1365*1000*Conversion!$A$2</f>
        <v>0</v>
      </c>
      <c r="I1365" s="93" t="s">
        <v>471</v>
      </c>
      <c r="J1365" s="93" t="s">
        <v>472</v>
      </c>
      <c r="K1365" s="87" t="s">
        <v>494</v>
      </c>
      <c r="N1365" s="6"/>
    </row>
    <row r="1366" spans="1:14" ht="29" x14ac:dyDescent="0.35">
      <c r="A1366" s="93" t="str">
        <f>VLOOKUP(C1366,Countries!$A$1:$D$205,2,FALSE)</f>
        <v>THA</v>
      </c>
      <c r="B1366" s="6" t="s">
        <v>2942</v>
      </c>
      <c r="C1366" s="93" t="s">
        <v>304</v>
      </c>
      <c r="D1366" s="6" t="s">
        <v>2956</v>
      </c>
      <c r="F1366" s="6">
        <v>2002</v>
      </c>
      <c r="G1366" s="107"/>
      <c r="H1366" s="97">
        <f>G1366*1000*Conversion!$A$2</f>
        <v>0</v>
      </c>
      <c r="I1366" s="93" t="s">
        <v>471</v>
      </c>
      <c r="J1366" s="93" t="s">
        <v>472</v>
      </c>
      <c r="K1366" s="87"/>
      <c r="N1366" s="6" t="s">
        <v>2957</v>
      </c>
    </row>
    <row r="1367" spans="1:14" ht="15.5" x14ac:dyDescent="0.35">
      <c r="A1367" s="93" t="str">
        <f>VLOOKUP(C1367,Countries!$A$1:$D$205,2,FALSE)</f>
        <v>THA</v>
      </c>
      <c r="B1367" s="6" t="s">
        <v>2949</v>
      </c>
      <c r="C1367" s="93" t="s">
        <v>304</v>
      </c>
      <c r="D1367" s="6" t="s">
        <v>2956</v>
      </c>
      <c r="F1367" s="6">
        <v>1972</v>
      </c>
      <c r="G1367" s="107"/>
      <c r="H1367" s="97"/>
      <c r="I1367" s="93" t="s">
        <v>471</v>
      </c>
      <c r="J1367" s="93" t="s">
        <v>472</v>
      </c>
      <c r="K1367" s="87"/>
      <c r="N1367" s="6" t="s">
        <v>2958</v>
      </c>
    </row>
    <row r="1368" spans="1:14" ht="15.5" x14ac:dyDescent="0.35">
      <c r="A1368" s="93" t="str">
        <f>VLOOKUP(C1368,Countries!$A$1:$D$205,2,FALSE)</f>
        <v>THA</v>
      </c>
      <c r="B1368" s="6" t="s">
        <v>2959</v>
      </c>
      <c r="C1368" s="93" t="s">
        <v>304</v>
      </c>
      <c r="D1368" s="6" t="s">
        <v>2960</v>
      </c>
      <c r="F1368" s="6">
        <v>1968</v>
      </c>
      <c r="G1368" s="107">
        <v>126</v>
      </c>
      <c r="H1368" s="97">
        <f>G1368*1000*Conversion!$A$2</f>
        <v>11324.880000000001</v>
      </c>
      <c r="I1368" s="93" t="s">
        <v>471</v>
      </c>
      <c r="J1368" s="93" t="s">
        <v>472</v>
      </c>
      <c r="K1368" s="87"/>
      <c r="N1368" s="6"/>
    </row>
    <row r="1369" spans="1:14" ht="15.5" x14ac:dyDescent="0.35">
      <c r="A1369" s="93" t="str">
        <f>VLOOKUP(C1369,Countries!$A$1:$D$205,2,FALSE)</f>
        <v>VNM</v>
      </c>
      <c r="B1369" s="6" t="s">
        <v>2961</v>
      </c>
      <c r="C1369" s="93" t="s">
        <v>332</v>
      </c>
      <c r="D1369" s="6" t="s">
        <v>2962</v>
      </c>
      <c r="E1369" t="s">
        <v>261</v>
      </c>
      <c r="F1369" s="6">
        <v>2008</v>
      </c>
      <c r="G1369" t="s">
        <v>26240</v>
      </c>
      <c r="H1369" s="97" t="e">
        <f>G1369*1000*Conversion!$A$2</f>
        <v>#VALUE!</v>
      </c>
      <c r="I1369" s="93" t="s">
        <v>471</v>
      </c>
      <c r="J1369" s="93" t="s">
        <v>472</v>
      </c>
    </row>
    <row r="1370" spans="1:14" ht="15.5" x14ac:dyDescent="0.35">
      <c r="G1370" s="9">
        <f>SUM(G299:G1369)</f>
        <v>1153880.3389879924</v>
      </c>
      <c r="H1370" s="8">
        <v>257233991</v>
      </c>
      <c r="I1370" s="93"/>
      <c r="J1370" s="93"/>
    </row>
  </sheetData>
  <dataConsolidate/>
  <phoneticPr fontId="3" type="noConversion"/>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2CDB-EDD4-491D-9FCC-42DEB785D166}">
  <dimension ref="A1:H511"/>
  <sheetViews>
    <sheetView topLeftCell="A13" workbookViewId="0">
      <selection activeCell="B7" sqref="B7"/>
    </sheetView>
  </sheetViews>
  <sheetFormatPr defaultRowHeight="14.5" x14ac:dyDescent="0.35"/>
  <cols>
    <col min="2" max="2" width="57.81640625" customWidth="1"/>
    <col min="3" max="3" width="16.54296875" customWidth="1"/>
    <col min="4" max="4" width="17.7265625" customWidth="1"/>
    <col min="5" max="5" width="14.453125" customWidth="1"/>
    <col min="6" max="6" width="15.453125" customWidth="1"/>
    <col min="7" max="7" width="18.1796875" customWidth="1"/>
  </cols>
  <sheetData>
    <row r="1" spans="1:8" x14ac:dyDescent="0.35">
      <c r="A1" t="s">
        <v>29</v>
      </c>
      <c r="B1" t="s">
        <v>2963</v>
      </c>
      <c r="C1" t="s">
        <v>2964</v>
      </c>
      <c r="D1" t="s">
        <v>2965</v>
      </c>
      <c r="E1" t="s">
        <v>464</v>
      </c>
      <c r="F1" t="s">
        <v>465</v>
      </c>
      <c r="G1" t="s">
        <v>2966</v>
      </c>
      <c r="H1" t="s">
        <v>2967</v>
      </c>
    </row>
    <row r="2" spans="1:8" x14ac:dyDescent="0.35">
      <c r="A2" t="s">
        <v>354</v>
      </c>
      <c r="B2" t="s">
        <v>2968</v>
      </c>
      <c r="C2" t="s">
        <v>2969</v>
      </c>
      <c r="D2" t="s">
        <v>2970</v>
      </c>
      <c r="E2" s="35">
        <v>-38.078000000000003</v>
      </c>
      <c r="F2" s="35">
        <v>144.38181</v>
      </c>
      <c r="G2" s="35">
        <v>130000</v>
      </c>
      <c r="H2" t="s">
        <v>2971</v>
      </c>
    </row>
    <row r="3" spans="1:8" x14ac:dyDescent="0.35">
      <c r="A3" t="s">
        <v>354</v>
      </c>
      <c r="B3" t="s">
        <v>2972</v>
      </c>
      <c r="C3" t="s">
        <v>2973</v>
      </c>
      <c r="D3" t="s">
        <v>1080</v>
      </c>
      <c r="E3" s="35">
        <v>-27.413070000000001</v>
      </c>
      <c r="F3" s="35">
        <v>153.15816000000001</v>
      </c>
      <c r="G3" s="35">
        <v>104000</v>
      </c>
      <c r="H3" t="s">
        <v>2974</v>
      </c>
    </row>
    <row r="4" spans="1:8" x14ac:dyDescent="0.35">
      <c r="A4" t="s">
        <v>395</v>
      </c>
      <c r="B4" s="56" t="s">
        <v>2975</v>
      </c>
      <c r="C4" s="56" t="s">
        <v>2976</v>
      </c>
      <c r="D4" s="56" t="s">
        <v>2977</v>
      </c>
      <c r="E4" s="56">
        <v>34.499000000000002</v>
      </c>
      <c r="F4" s="56">
        <v>133.75399999999999</v>
      </c>
      <c r="G4" s="56">
        <v>190000</v>
      </c>
      <c r="H4" s="13" t="s">
        <v>2978</v>
      </c>
    </row>
    <row r="5" spans="1:8" x14ac:dyDescent="0.35">
      <c r="A5" t="s">
        <v>395</v>
      </c>
      <c r="B5" s="56" t="s">
        <v>2979</v>
      </c>
      <c r="C5" s="56" t="s">
        <v>2980</v>
      </c>
      <c r="D5" s="56" t="s">
        <v>2981</v>
      </c>
      <c r="E5" s="56">
        <v>45.308909999999997</v>
      </c>
      <c r="F5" s="56">
        <v>141.04576</v>
      </c>
      <c r="G5" s="56">
        <v>280000</v>
      </c>
      <c r="H5" s="13" t="s">
        <v>2978</v>
      </c>
    </row>
    <row r="6" spans="1:8" x14ac:dyDescent="0.35">
      <c r="A6" t="s">
        <v>395</v>
      </c>
      <c r="B6" s="56" t="s">
        <v>2982</v>
      </c>
      <c r="C6" s="56" t="s">
        <v>2980</v>
      </c>
      <c r="D6" s="56" t="s">
        <v>2981</v>
      </c>
      <c r="E6" s="56">
        <v>42.365209999999998</v>
      </c>
      <c r="F6" s="56">
        <v>140.94668999999999</v>
      </c>
      <c r="G6" s="56">
        <v>180000</v>
      </c>
      <c r="H6" s="13" t="s">
        <v>2978</v>
      </c>
    </row>
    <row r="7" spans="1:8" x14ac:dyDescent="0.35">
      <c r="A7" t="s">
        <v>395</v>
      </c>
      <c r="B7" s="56" t="s">
        <v>2983</v>
      </c>
      <c r="C7" s="56" t="s">
        <v>2984</v>
      </c>
      <c r="D7" s="56" t="s">
        <v>2985</v>
      </c>
      <c r="E7" s="56">
        <v>35.485520000000001</v>
      </c>
      <c r="F7" s="56">
        <v>140.02956</v>
      </c>
      <c r="G7" s="56">
        <v>228000</v>
      </c>
      <c r="H7" s="13" t="s">
        <v>2978</v>
      </c>
    </row>
    <row r="8" spans="1:8" x14ac:dyDescent="0.35">
      <c r="A8" t="s">
        <v>395</v>
      </c>
      <c r="B8" s="56" t="s">
        <v>2986</v>
      </c>
      <c r="C8" s="56" t="s">
        <v>2984</v>
      </c>
      <c r="D8" s="56" t="s">
        <v>2985</v>
      </c>
      <c r="E8" s="56">
        <v>35.534759999999999</v>
      </c>
      <c r="F8" s="56">
        <v>140.0634</v>
      </c>
      <c r="G8" s="56">
        <v>176000</v>
      </c>
      <c r="H8" s="13" t="s">
        <v>2978</v>
      </c>
    </row>
    <row r="9" spans="1:8" x14ac:dyDescent="0.35">
      <c r="A9" t="s">
        <v>395</v>
      </c>
      <c r="B9" s="56" t="s">
        <v>2987</v>
      </c>
      <c r="C9" s="56" t="s">
        <v>2984</v>
      </c>
      <c r="D9" s="56" t="s">
        <v>2985</v>
      </c>
      <c r="E9" s="56">
        <v>35.516620000000003</v>
      </c>
      <c r="F9" s="56">
        <v>140.04759000000001</v>
      </c>
      <c r="G9" s="56">
        <v>228000</v>
      </c>
      <c r="H9" s="13" t="s">
        <v>2978</v>
      </c>
    </row>
    <row r="10" spans="1:8" x14ac:dyDescent="0.35">
      <c r="A10" t="s">
        <v>395</v>
      </c>
      <c r="B10" s="56" t="s">
        <v>2988</v>
      </c>
      <c r="C10" s="56" t="s">
        <v>2984</v>
      </c>
      <c r="D10" s="56" t="s">
        <v>2989</v>
      </c>
      <c r="E10" s="56">
        <v>35.47298</v>
      </c>
      <c r="F10" s="56">
        <v>140.00636</v>
      </c>
      <c r="G10" s="56">
        <v>220000</v>
      </c>
      <c r="H10" s="13" t="s">
        <v>2978</v>
      </c>
    </row>
    <row r="11" spans="1:8" x14ac:dyDescent="0.35">
      <c r="A11" t="s">
        <v>395</v>
      </c>
      <c r="B11" s="56" t="s">
        <v>2990</v>
      </c>
      <c r="C11" s="56" t="s">
        <v>2991</v>
      </c>
      <c r="D11" s="56" t="s">
        <v>2992</v>
      </c>
      <c r="E11" s="56">
        <v>35.523310000000002</v>
      </c>
      <c r="F11" s="56">
        <v>139.77498</v>
      </c>
      <c r="G11" s="56">
        <v>592000</v>
      </c>
      <c r="H11" s="13" t="s">
        <v>2978</v>
      </c>
    </row>
    <row r="12" spans="1:8" x14ac:dyDescent="0.35">
      <c r="A12" t="s">
        <v>395</v>
      </c>
      <c r="B12" s="56" t="s">
        <v>2993</v>
      </c>
      <c r="C12" s="56" t="s">
        <v>2991</v>
      </c>
      <c r="D12" s="56" t="s">
        <v>2992</v>
      </c>
      <c r="E12" s="56">
        <v>35.517020000000002</v>
      </c>
      <c r="F12" s="56">
        <v>139.75651999999999</v>
      </c>
      <c r="G12" s="56">
        <v>366000</v>
      </c>
      <c r="H12" s="13" t="s">
        <v>2978</v>
      </c>
    </row>
    <row r="13" spans="1:8" x14ac:dyDescent="0.35">
      <c r="A13" t="s">
        <v>395</v>
      </c>
      <c r="B13" s="56" t="s">
        <v>2994</v>
      </c>
      <c r="C13" s="56" t="s">
        <v>2991</v>
      </c>
      <c r="D13" s="56" t="s">
        <v>2995</v>
      </c>
      <c r="E13" s="56">
        <v>35.409500000000001</v>
      </c>
      <c r="F13" s="56">
        <v>139.66235</v>
      </c>
      <c r="G13" s="56">
        <v>115000</v>
      </c>
      <c r="H13" s="13" t="s">
        <v>2978</v>
      </c>
    </row>
    <row r="14" spans="1:8" x14ac:dyDescent="0.35">
      <c r="A14" t="s">
        <v>395</v>
      </c>
      <c r="B14" s="56" t="s">
        <v>2996</v>
      </c>
      <c r="C14" s="56" t="s">
        <v>2991</v>
      </c>
      <c r="D14" s="56" t="s">
        <v>2992</v>
      </c>
      <c r="E14" s="56">
        <v>35.509569999999997</v>
      </c>
      <c r="F14" s="56">
        <v>139.74299999999999</v>
      </c>
      <c r="G14" s="56">
        <v>293000</v>
      </c>
      <c r="H14" s="13" t="s">
        <v>2978</v>
      </c>
    </row>
    <row r="15" spans="1:8" x14ac:dyDescent="0.35">
      <c r="A15" t="s">
        <v>395</v>
      </c>
      <c r="B15" s="56" t="s">
        <v>2997</v>
      </c>
      <c r="C15" s="56" t="s">
        <v>2998</v>
      </c>
      <c r="D15" s="56" t="s">
        <v>2999</v>
      </c>
      <c r="E15" s="56">
        <v>34.103619999999999</v>
      </c>
      <c r="F15" s="56">
        <v>135.11458999999999</v>
      </c>
      <c r="G15" s="56">
        <v>320000</v>
      </c>
      <c r="H15" s="13" t="s">
        <v>2978</v>
      </c>
    </row>
    <row r="16" spans="1:8" x14ac:dyDescent="0.35">
      <c r="A16" t="s">
        <v>395</v>
      </c>
      <c r="B16" s="56" t="s">
        <v>3000</v>
      </c>
      <c r="C16" s="56" t="s">
        <v>3001</v>
      </c>
      <c r="D16" s="56" t="s">
        <v>3002</v>
      </c>
      <c r="E16" s="56">
        <v>26.350239999999999</v>
      </c>
      <c r="F16" s="56">
        <v>127.96165999999999</v>
      </c>
      <c r="G16" s="56">
        <v>190000</v>
      </c>
      <c r="H16" s="13" t="s">
        <v>2978</v>
      </c>
    </row>
    <row r="17" spans="1:8" x14ac:dyDescent="0.35">
      <c r="A17" t="s">
        <v>395</v>
      </c>
      <c r="B17" s="56" t="s">
        <v>3003</v>
      </c>
      <c r="C17" s="56" t="s">
        <v>3004</v>
      </c>
      <c r="D17" s="56" t="s">
        <v>3005</v>
      </c>
      <c r="E17" s="56">
        <v>38.279260000000001</v>
      </c>
      <c r="F17" s="56">
        <v>141.03728000000001</v>
      </c>
      <c r="G17" s="56">
        <v>145000</v>
      </c>
      <c r="H17" s="13" t="s">
        <v>2978</v>
      </c>
    </row>
    <row r="18" spans="1:8" x14ac:dyDescent="0.35">
      <c r="A18" t="s">
        <v>395</v>
      </c>
      <c r="B18" s="56" t="s">
        <v>3006</v>
      </c>
      <c r="C18" s="56" t="s">
        <v>3004</v>
      </c>
      <c r="D18" s="56" t="s">
        <v>3005</v>
      </c>
      <c r="E18" s="56">
        <v>38.278599999999997</v>
      </c>
      <c r="F18" s="56">
        <v>141.02386000000001</v>
      </c>
      <c r="G18" s="56">
        <v>100000</v>
      </c>
      <c r="H18" s="13" t="s">
        <v>2978</v>
      </c>
    </row>
    <row r="19" spans="1:8" x14ac:dyDescent="0.35">
      <c r="A19" t="s">
        <v>82</v>
      </c>
      <c r="B19" s="56" t="s">
        <v>3007</v>
      </c>
      <c r="C19" s="56" t="s">
        <v>3008</v>
      </c>
      <c r="D19" s="56" t="s">
        <v>3009</v>
      </c>
      <c r="E19" s="56">
        <v>30.528600000000001</v>
      </c>
      <c r="F19" s="56">
        <v>117.01962</v>
      </c>
      <c r="G19" s="56">
        <v>110000</v>
      </c>
      <c r="H19" s="13" t="s">
        <v>2978</v>
      </c>
    </row>
    <row r="20" spans="1:8" x14ac:dyDescent="0.35">
      <c r="A20" t="s">
        <v>82</v>
      </c>
      <c r="B20" s="56" t="s">
        <v>3010</v>
      </c>
      <c r="C20" s="56" t="s">
        <v>3011</v>
      </c>
      <c r="D20" s="56" t="s">
        <v>3011</v>
      </c>
      <c r="E20" s="56">
        <v>39.911160000000002</v>
      </c>
      <c r="F20" s="56">
        <v>116.18633</v>
      </c>
      <c r="G20" s="56">
        <v>165000</v>
      </c>
      <c r="H20" s="13" t="s">
        <v>2978</v>
      </c>
    </row>
    <row r="21" spans="1:8" x14ac:dyDescent="0.35">
      <c r="A21" t="s">
        <v>82</v>
      </c>
      <c r="B21" s="56" t="s">
        <v>3012</v>
      </c>
      <c r="C21" s="56" t="s">
        <v>3013</v>
      </c>
      <c r="D21" s="56" t="s">
        <v>3014</v>
      </c>
      <c r="E21" s="56">
        <v>36.125929999999997</v>
      </c>
      <c r="F21" s="56">
        <v>103.60818</v>
      </c>
      <c r="G21" s="56">
        <v>112000</v>
      </c>
      <c r="H21" s="13" t="s">
        <v>2978</v>
      </c>
    </row>
    <row r="22" spans="1:8" x14ac:dyDescent="0.35">
      <c r="A22" t="s">
        <v>82</v>
      </c>
      <c r="B22" s="56" t="s">
        <v>3015</v>
      </c>
      <c r="C22" s="56" t="s">
        <v>3016</v>
      </c>
      <c r="D22" s="56" t="s">
        <v>3017</v>
      </c>
      <c r="E22" s="56">
        <v>22.7486</v>
      </c>
      <c r="F22" s="56">
        <v>113.67684</v>
      </c>
      <c r="G22" s="56">
        <v>150000</v>
      </c>
      <c r="H22" s="13" t="s">
        <v>2978</v>
      </c>
    </row>
    <row r="23" spans="1:8" x14ac:dyDescent="0.35">
      <c r="A23" t="s">
        <v>82</v>
      </c>
      <c r="B23" s="56" t="s">
        <v>3018</v>
      </c>
      <c r="C23" s="56" t="s">
        <v>3016</v>
      </c>
      <c r="D23" s="56" t="s">
        <v>3019</v>
      </c>
      <c r="E23" s="56">
        <v>21.824149999999999</v>
      </c>
      <c r="F23" s="56">
        <v>110.84483</v>
      </c>
      <c r="G23" s="56">
        <v>265000</v>
      </c>
      <c r="H23" s="13" t="s">
        <v>2978</v>
      </c>
    </row>
    <row r="24" spans="1:8" x14ac:dyDescent="0.35">
      <c r="A24" t="s">
        <v>82</v>
      </c>
      <c r="B24" s="56" t="s">
        <v>3020</v>
      </c>
      <c r="C24" s="56" t="s">
        <v>3021</v>
      </c>
      <c r="D24" s="56" t="s">
        <v>3022</v>
      </c>
      <c r="E24" s="56">
        <v>21.47044</v>
      </c>
      <c r="F24" s="56">
        <v>109.06446</v>
      </c>
      <c r="G24" s="56">
        <v>12000</v>
      </c>
      <c r="H24" s="13" t="s">
        <v>2978</v>
      </c>
    </row>
    <row r="25" spans="1:8" x14ac:dyDescent="0.35">
      <c r="A25" t="s">
        <v>82</v>
      </c>
      <c r="B25" s="56" t="s">
        <v>3023</v>
      </c>
      <c r="C25" s="56" t="s">
        <v>3024</v>
      </c>
      <c r="D25" s="56" t="s">
        <v>3025</v>
      </c>
      <c r="E25" s="56">
        <v>38.338889999999999</v>
      </c>
      <c r="F25" s="56">
        <v>116.87434</v>
      </c>
      <c r="G25" s="56">
        <v>70000</v>
      </c>
      <c r="H25" s="13" t="s">
        <v>2978</v>
      </c>
    </row>
    <row r="26" spans="1:8" x14ac:dyDescent="0.35">
      <c r="A26" t="s">
        <v>82</v>
      </c>
      <c r="B26" s="56" t="s">
        <v>3026</v>
      </c>
      <c r="C26" s="56" t="s">
        <v>3027</v>
      </c>
      <c r="D26" s="56" t="s">
        <v>3028</v>
      </c>
      <c r="E26" s="56">
        <v>46.561570000000003</v>
      </c>
      <c r="F26" s="56">
        <v>124.82719</v>
      </c>
      <c r="G26" s="56">
        <v>122000</v>
      </c>
      <c r="H26" s="13" t="s">
        <v>2978</v>
      </c>
    </row>
    <row r="27" spans="1:8" x14ac:dyDescent="0.35">
      <c r="A27" t="s">
        <v>82</v>
      </c>
      <c r="B27" s="56" t="s">
        <v>3029</v>
      </c>
      <c r="C27" s="56" t="s">
        <v>3030</v>
      </c>
      <c r="D27" s="56" t="s">
        <v>3031</v>
      </c>
      <c r="E27" s="56">
        <v>34.700530000000001</v>
      </c>
      <c r="F27" s="56">
        <v>112.51956</v>
      </c>
      <c r="G27" s="56">
        <v>100000</v>
      </c>
      <c r="H27" s="13" t="s">
        <v>2978</v>
      </c>
    </row>
    <row r="28" spans="1:8" x14ac:dyDescent="0.35">
      <c r="A28" t="s">
        <v>82</v>
      </c>
      <c r="B28" s="56" t="s">
        <v>3032</v>
      </c>
      <c r="C28" s="56" t="s">
        <v>3033</v>
      </c>
      <c r="D28" s="56" t="s">
        <v>3034</v>
      </c>
      <c r="E28" s="56">
        <v>30.978069999999999</v>
      </c>
      <c r="F28" s="56">
        <v>112.1857</v>
      </c>
      <c r="G28" s="56">
        <v>100000</v>
      </c>
      <c r="H28" s="13" t="s">
        <v>2978</v>
      </c>
    </row>
    <row r="29" spans="1:8" x14ac:dyDescent="0.35">
      <c r="A29" t="s">
        <v>82</v>
      </c>
      <c r="B29" s="56" t="s">
        <v>3035</v>
      </c>
      <c r="C29" s="56" t="s">
        <v>3033</v>
      </c>
      <c r="D29" s="56" t="s">
        <v>3036</v>
      </c>
      <c r="E29" s="56">
        <v>30.652329999999999</v>
      </c>
      <c r="F29" s="56">
        <v>114.42901000000001</v>
      </c>
      <c r="G29" s="56">
        <v>80000</v>
      </c>
      <c r="H29" s="13" t="s">
        <v>2978</v>
      </c>
    </row>
    <row r="30" spans="1:8" x14ac:dyDescent="0.35">
      <c r="A30" t="s">
        <v>82</v>
      </c>
      <c r="B30" s="56" t="s">
        <v>3037</v>
      </c>
      <c r="C30" s="56" t="s">
        <v>3038</v>
      </c>
      <c r="D30" s="56" t="s">
        <v>3039</v>
      </c>
      <c r="E30" s="56">
        <v>29.372630000000001</v>
      </c>
      <c r="F30" s="56">
        <v>113.16294000000001</v>
      </c>
      <c r="G30" s="56">
        <v>100000</v>
      </c>
      <c r="H30" s="13" t="s">
        <v>2978</v>
      </c>
    </row>
    <row r="31" spans="1:8" x14ac:dyDescent="0.35">
      <c r="A31" t="s">
        <v>82</v>
      </c>
      <c r="B31" s="56" t="s">
        <v>3040</v>
      </c>
      <c r="C31" s="56" t="s">
        <v>3041</v>
      </c>
      <c r="D31" s="56" t="s">
        <v>3042</v>
      </c>
      <c r="E31" s="56">
        <v>32.261960000000002</v>
      </c>
      <c r="F31" s="56">
        <v>118.78811</v>
      </c>
      <c r="G31" s="56">
        <v>265000</v>
      </c>
      <c r="H31" s="13" t="s">
        <v>2978</v>
      </c>
    </row>
    <row r="32" spans="1:8" x14ac:dyDescent="0.35">
      <c r="A32" t="s">
        <v>82</v>
      </c>
      <c r="B32" s="56" t="s">
        <v>3043</v>
      </c>
      <c r="C32" s="56" t="s">
        <v>3044</v>
      </c>
      <c r="D32" s="56" t="s">
        <v>3045</v>
      </c>
      <c r="E32" s="56">
        <v>29.73893</v>
      </c>
      <c r="F32" s="56">
        <v>116.06622</v>
      </c>
      <c r="G32" s="56">
        <v>98000</v>
      </c>
      <c r="H32" s="13" t="s">
        <v>2978</v>
      </c>
    </row>
    <row r="33" spans="1:8" x14ac:dyDescent="0.35">
      <c r="A33" t="s">
        <v>82</v>
      </c>
      <c r="B33" s="56" t="s">
        <v>3046</v>
      </c>
      <c r="C33" s="56" t="s">
        <v>3047</v>
      </c>
      <c r="D33" s="56" t="s">
        <v>3047</v>
      </c>
      <c r="E33" s="56">
        <v>43.967649999999999</v>
      </c>
      <c r="F33" s="56">
        <v>126.48232</v>
      </c>
      <c r="G33" s="56">
        <v>115000</v>
      </c>
      <c r="H33" s="13" t="s">
        <v>2978</v>
      </c>
    </row>
    <row r="34" spans="1:8" x14ac:dyDescent="0.35">
      <c r="A34" t="s">
        <v>82</v>
      </c>
      <c r="B34" s="56" t="s">
        <v>3048</v>
      </c>
      <c r="C34" s="56" t="s">
        <v>3049</v>
      </c>
      <c r="D34" s="56" t="s">
        <v>3050</v>
      </c>
      <c r="E34" s="56">
        <v>39.020600000000002</v>
      </c>
      <c r="F34" s="56">
        <v>121.81665</v>
      </c>
      <c r="G34" s="56">
        <v>144000</v>
      </c>
      <c r="H34" s="13" t="s">
        <v>2978</v>
      </c>
    </row>
    <row r="35" spans="1:8" x14ac:dyDescent="0.35">
      <c r="A35" t="s">
        <v>82</v>
      </c>
      <c r="B35" s="56" t="s">
        <v>3051</v>
      </c>
      <c r="C35" s="56" t="s">
        <v>3049</v>
      </c>
      <c r="D35" s="56" t="s">
        <v>3052</v>
      </c>
      <c r="E35" s="56">
        <v>41.834739999999996</v>
      </c>
      <c r="F35" s="56">
        <v>124.03888999999999</v>
      </c>
      <c r="G35" s="56">
        <v>186000</v>
      </c>
      <c r="H35" s="13" t="s">
        <v>2978</v>
      </c>
    </row>
    <row r="36" spans="1:8" x14ac:dyDescent="0.35">
      <c r="A36" t="s">
        <v>82</v>
      </c>
      <c r="B36" s="56" t="s">
        <v>3053</v>
      </c>
      <c r="C36" s="56" t="s">
        <v>3049</v>
      </c>
      <c r="D36" s="56" t="s">
        <v>3054</v>
      </c>
      <c r="E36" s="56">
        <v>40.834000000000003</v>
      </c>
      <c r="F36" s="56">
        <v>121.04504</v>
      </c>
      <c r="G36" s="56">
        <v>112000</v>
      </c>
      <c r="H36" s="13" t="s">
        <v>2978</v>
      </c>
    </row>
    <row r="37" spans="1:8" x14ac:dyDescent="0.35">
      <c r="A37" t="s">
        <v>82</v>
      </c>
      <c r="B37" s="56" t="s">
        <v>3055</v>
      </c>
      <c r="C37" s="56" t="s">
        <v>3049</v>
      </c>
      <c r="D37" s="56" t="s">
        <v>3054</v>
      </c>
      <c r="E37" s="56">
        <v>41.051630000000003</v>
      </c>
      <c r="F37" s="56">
        <v>120.98251</v>
      </c>
      <c r="G37" s="56">
        <v>112000</v>
      </c>
      <c r="H37" s="13" t="s">
        <v>2978</v>
      </c>
    </row>
    <row r="38" spans="1:8" x14ac:dyDescent="0.35">
      <c r="A38" t="s">
        <v>82</v>
      </c>
      <c r="B38" s="56" t="s">
        <v>3056</v>
      </c>
      <c r="C38" s="56" t="s">
        <v>3049</v>
      </c>
      <c r="D38" s="56" t="s">
        <v>3050</v>
      </c>
      <c r="E38" s="56">
        <v>38.98856</v>
      </c>
      <c r="F38" s="56">
        <v>121.85343</v>
      </c>
      <c r="G38" s="56">
        <v>200000</v>
      </c>
      <c r="H38" s="13" t="s">
        <v>2978</v>
      </c>
    </row>
    <row r="39" spans="1:8" x14ac:dyDescent="0.35">
      <c r="A39" t="s">
        <v>82</v>
      </c>
      <c r="B39" s="56" t="s">
        <v>3057</v>
      </c>
      <c r="C39" s="56" t="s">
        <v>3058</v>
      </c>
      <c r="D39" s="56" t="s">
        <v>3059</v>
      </c>
      <c r="E39" s="56">
        <v>36.737659999999998</v>
      </c>
      <c r="F39" s="56">
        <v>117.17722999999999</v>
      </c>
      <c r="G39" s="56">
        <v>21000</v>
      </c>
      <c r="H39" s="13" t="s">
        <v>2978</v>
      </c>
    </row>
    <row r="40" spans="1:8" x14ac:dyDescent="0.35">
      <c r="A40" t="s">
        <v>82</v>
      </c>
      <c r="B40" s="56" t="s">
        <v>3060</v>
      </c>
      <c r="C40" s="56" t="s">
        <v>3058</v>
      </c>
      <c r="D40" s="56" t="s">
        <v>3061</v>
      </c>
      <c r="E40" s="56">
        <v>36.765509999999999</v>
      </c>
      <c r="F40" s="56">
        <v>118.05707</v>
      </c>
      <c r="G40" s="56">
        <v>195000</v>
      </c>
      <c r="H40" s="13" t="s">
        <v>2978</v>
      </c>
    </row>
    <row r="41" spans="1:8" x14ac:dyDescent="0.35">
      <c r="A41" t="s">
        <v>82</v>
      </c>
      <c r="B41" s="56" t="s">
        <v>3062</v>
      </c>
      <c r="C41" s="56" t="s">
        <v>3063</v>
      </c>
      <c r="D41" s="56" t="s">
        <v>3063</v>
      </c>
      <c r="E41" s="56">
        <v>31.463529999999999</v>
      </c>
      <c r="F41" s="56">
        <v>121.40325</v>
      </c>
      <c r="G41" s="56">
        <v>220000</v>
      </c>
      <c r="H41" s="13" t="s">
        <v>2978</v>
      </c>
    </row>
    <row r="42" spans="1:8" x14ac:dyDescent="0.35">
      <c r="A42" t="s">
        <v>82</v>
      </c>
      <c r="B42" s="56" t="s">
        <v>3064</v>
      </c>
      <c r="C42" s="56" t="s">
        <v>3065</v>
      </c>
      <c r="D42" s="56" t="s">
        <v>3065</v>
      </c>
      <c r="E42" s="56">
        <v>38.975709999999999</v>
      </c>
      <c r="F42" s="56">
        <v>117.73339</v>
      </c>
      <c r="G42" s="56">
        <v>100000</v>
      </c>
      <c r="H42" s="13" t="s">
        <v>2978</v>
      </c>
    </row>
    <row r="43" spans="1:8" x14ac:dyDescent="0.35">
      <c r="A43" t="s">
        <v>82</v>
      </c>
      <c r="B43" s="56" t="s">
        <v>3066</v>
      </c>
      <c r="C43" s="56" t="s">
        <v>3067</v>
      </c>
      <c r="D43" s="56" t="s">
        <v>3068</v>
      </c>
      <c r="E43" s="56">
        <v>44.363970000000002</v>
      </c>
      <c r="F43" s="56">
        <v>84.863799999999998</v>
      </c>
      <c r="G43" s="56">
        <v>120000</v>
      </c>
      <c r="H43" s="13" t="s">
        <v>2978</v>
      </c>
    </row>
    <row r="44" spans="1:8" x14ac:dyDescent="0.35">
      <c r="A44" t="s">
        <v>82</v>
      </c>
      <c r="B44" s="56" t="s">
        <v>3069</v>
      </c>
      <c r="C44" s="56" t="s">
        <v>3067</v>
      </c>
      <c r="D44" s="56" t="s">
        <v>3070</v>
      </c>
      <c r="E44" s="56">
        <v>43.746380000000002</v>
      </c>
      <c r="F44" s="56">
        <v>87.650480000000002</v>
      </c>
      <c r="G44" s="56">
        <v>101000</v>
      </c>
      <c r="H44" s="13" t="s">
        <v>2978</v>
      </c>
    </row>
    <row r="45" spans="1:8" x14ac:dyDescent="0.35">
      <c r="A45" t="s">
        <v>82</v>
      </c>
      <c r="B45" s="56" t="s">
        <v>3071</v>
      </c>
      <c r="C45" s="56" t="s">
        <v>3072</v>
      </c>
      <c r="D45" s="56" t="s">
        <v>3073</v>
      </c>
      <c r="E45" s="56">
        <v>29.980969999999999</v>
      </c>
      <c r="F45" s="56">
        <v>121.66683999999999</v>
      </c>
      <c r="G45" s="56">
        <v>345000</v>
      </c>
      <c r="H45" s="13" t="s">
        <v>2978</v>
      </c>
    </row>
    <row r="46" spans="1:8" x14ac:dyDescent="0.35">
      <c r="A46" t="s">
        <v>382</v>
      </c>
      <c r="B46" s="56" t="s">
        <v>3074</v>
      </c>
      <c r="C46" s="56" t="s">
        <v>3075</v>
      </c>
      <c r="D46" s="56" t="s">
        <v>3076</v>
      </c>
      <c r="E46" s="56">
        <v>17.704799999999999</v>
      </c>
      <c r="F46" s="56">
        <v>83.244649999999993</v>
      </c>
      <c r="G46" s="56">
        <v>150000</v>
      </c>
      <c r="H46" s="13" t="s">
        <v>2978</v>
      </c>
    </row>
    <row r="47" spans="1:8" x14ac:dyDescent="0.35">
      <c r="A47" t="s">
        <v>382</v>
      </c>
      <c r="B47" s="56" t="s">
        <v>3077</v>
      </c>
      <c r="C47" s="56" t="s">
        <v>3078</v>
      </c>
      <c r="D47" s="56" t="s">
        <v>2706</v>
      </c>
      <c r="E47" s="56">
        <v>26.51502</v>
      </c>
      <c r="F47" s="56">
        <v>90.532939999999996</v>
      </c>
      <c r="G47" s="56">
        <v>48000</v>
      </c>
      <c r="H47" s="13" t="s">
        <v>2978</v>
      </c>
    </row>
    <row r="48" spans="1:8" x14ac:dyDescent="0.35">
      <c r="A48" t="s">
        <v>382</v>
      </c>
      <c r="B48" s="56" t="s">
        <v>3079</v>
      </c>
      <c r="C48" s="56" t="s">
        <v>3078</v>
      </c>
      <c r="D48" s="56" t="s">
        <v>3080</v>
      </c>
      <c r="E48" s="56">
        <v>27.385020000000001</v>
      </c>
      <c r="F48" s="56">
        <v>95.619870000000006</v>
      </c>
      <c r="G48" s="56">
        <v>13000</v>
      </c>
      <c r="H48" s="13" t="s">
        <v>2978</v>
      </c>
    </row>
    <row r="49" spans="1:8" x14ac:dyDescent="0.35">
      <c r="A49" t="s">
        <v>382</v>
      </c>
      <c r="B49" s="56" t="s">
        <v>3081</v>
      </c>
      <c r="C49" s="56" t="s">
        <v>3078</v>
      </c>
      <c r="D49" s="56" t="s">
        <v>3082</v>
      </c>
      <c r="E49" s="56">
        <v>26.184709999999999</v>
      </c>
      <c r="F49" s="56">
        <v>91.807249999999996</v>
      </c>
      <c r="G49" s="56">
        <v>20000</v>
      </c>
      <c r="H49" s="13" t="s">
        <v>2978</v>
      </c>
    </row>
    <row r="50" spans="1:8" x14ac:dyDescent="0.35">
      <c r="A50" t="s">
        <v>382</v>
      </c>
      <c r="B50" s="56" t="s">
        <v>3083</v>
      </c>
      <c r="C50" s="56" t="s">
        <v>3078</v>
      </c>
      <c r="D50" s="56" t="s">
        <v>3084</v>
      </c>
      <c r="E50" s="56">
        <v>26.580680000000001</v>
      </c>
      <c r="F50" s="56">
        <v>93.789090000000002</v>
      </c>
      <c r="G50" s="56">
        <v>58000</v>
      </c>
      <c r="H50" s="13" t="s">
        <v>2978</v>
      </c>
    </row>
    <row r="51" spans="1:8" x14ac:dyDescent="0.35">
      <c r="A51" t="s">
        <v>382</v>
      </c>
      <c r="B51" s="56" t="s">
        <v>3085</v>
      </c>
      <c r="C51" s="56" t="s">
        <v>3086</v>
      </c>
      <c r="D51" s="56" t="s">
        <v>3087</v>
      </c>
      <c r="E51" s="56">
        <v>25.427779999999998</v>
      </c>
      <c r="F51" s="56">
        <v>86.060010000000005</v>
      </c>
      <c r="G51" s="56">
        <v>116000</v>
      </c>
      <c r="H51" s="13" t="s">
        <v>2978</v>
      </c>
    </row>
    <row r="52" spans="1:8" x14ac:dyDescent="0.35">
      <c r="A52" t="s">
        <v>382</v>
      </c>
      <c r="B52" s="56" t="s">
        <v>3088</v>
      </c>
      <c r="C52" s="56" t="s">
        <v>3089</v>
      </c>
      <c r="D52" s="56" t="s">
        <v>3090</v>
      </c>
      <c r="E52" s="56">
        <v>22.32912</v>
      </c>
      <c r="F52" s="56">
        <v>69.747389999999996</v>
      </c>
      <c r="G52" s="56">
        <v>240000</v>
      </c>
      <c r="H52" s="13" t="s">
        <v>2978</v>
      </c>
    </row>
    <row r="53" spans="1:8" x14ac:dyDescent="0.35">
      <c r="A53" t="s">
        <v>382</v>
      </c>
      <c r="B53" s="56" t="s">
        <v>3091</v>
      </c>
      <c r="C53" s="56" t="s">
        <v>3089</v>
      </c>
      <c r="D53" s="56" t="s">
        <v>3092</v>
      </c>
      <c r="E53" s="56">
        <v>22.37425</v>
      </c>
      <c r="F53" s="56">
        <v>73.119479999999996</v>
      </c>
      <c r="G53" s="56">
        <v>170000</v>
      </c>
      <c r="H53" s="13" t="s">
        <v>2978</v>
      </c>
    </row>
    <row r="54" spans="1:8" x14ac:dyDescent="0.35">
      <c r="A54" t="s">
        <v>382</v>
      </c>
      <c r="B54" s="56" t="s">
        <v>3093</v>
      </c>
      <c r="C54" s="56" t="s">
        <v>3089</v>
      </c>
      <c r="D54" s="56" t="s">
        <v>3094</v>
      </c>
      <c r="E54" s="56">
        <v>22.34516</v>
      </c>
      <c r="F54" s="56">
        <v>69.8596</v>
      </c>
      <c r="G54" s="56">
        <v>660000</v>
      </c>
      <c r="H54" s="13" t="s">
        <v>2978</v>
      </c>
    </row>
    <row r="55" spans="1:8" x14ac:dyDescent="0.35">
      <c r="A55" t="s">
        <v>382</v>
      </c>
      <c r="B55" s="56" t="s">
        <v>3095</v>
      </c>
      <c r="C55" s="56" t="s">
        <v>3096</v>
      </c>
      <c r="D55" s="56" t="s">
        <v>3097</v>
      </c>
      <c r="E55" s="56">
        <v>29.47308</v>
      </c>
      <c r="F55" s="56">
        <v>76.878309999999999</v>
      </c>
      <c r="G55" s="56">
        <v>240000</v>
      </c>
      <c r="H55" s="13" t="s">
        <v>2978</v>
      </c>
    </row>
    <row r="56" spans="1:8" x14ac:dyDescent="0.35">
      <c r="A56" t="s">
        <v>382</v>
      </c>
      <c r="B56" s="56" t="s">
        <v>3098</v>
      </c>
      <c r="C56" s="56" t="s">
        <v>3099</v>
      </c>
      <c r="D56" s="56" t="s">
        <v>3100</v>
      </c>
      <c r="E56" s="56">
        <v>12.9869</v>
      </c>
      <c r="F56" s="56">
        <v>74.847390000000004</v>
      </c>
      <c r="G56" s="56">
        <v>190000</v>
      </c>
      <c r="H56" s="13" t="s">
        <v>2978</v>
      </c>
    </row>
    <row r="57" spans="1:8" x14ac:dyDescent="0.35">
      <c r="A57" t="s">
        <v>382</v>
      </c>
      <c r="B57" s="56" t="s">
        <v>3101</v>
      </c>
      <c r="C57" s="56" t="s">
        <v>3102</v>
      </c>
      <c r="D57" s="56" t="s">
        <v>2749</v>
      </c>
      <c r="E57" s="56">
        <v>9.9722000000000008</v>
      </c>
      <c r="F57" s="56">
        <v>76.378</v>
      </c>
      <c r="G57" s="56">
        <v>146000</v>
      </c>
      <c r="H57" s="13" t="s">
        <v>2978</v>
      </c>
    </row>
    <row r="58" spans="1:8" x14ac:dyDescent="0.35">
      <c r="A58" t="s">
        <v>382</v>
      </c>
      <c r="B58" s="56" t="s">
        <v>3103</v>
      </c>
      <c r="C58" s="56" t="s">
        <v>3104</v>
      </c>
      <c r="D58" s="56" t="s">
        <v>2681</v>
      </c>
      <c r="E58" s="56">
        <v>24.248000000000001</v>
      </c>
      <c r="F58" s="56">
        <v>78.153000000000006</v>
      </c>
      <c r="G58" s="56">
        <v>120000</v>
      </c>
      <c r="H58" s="13" t="s">
        <v>2978</v>
      </c>
    </row>
    <row r="59" spans="1:8" x14ac:dyDescent="0.35">
      <c r="A59" t="s">
        <v>382</v>
      </c>
      <c r="B59" s="56" t="s">
        <v>3105</v>
      </c>
      <c r="C59" s="56" t="s">
        <v>3106</v>
      </c>
      <c r="D59" s="56" t="s">
        <v>3107</v>
      </c>
      <c r="E59" s="56">
        <v>19.016819999999999</v>
      </c>
      <c r="F59" s="56">
        <v>72.894149999999996</v>
      </c>
      <c r="G59" s="56">
        <v>135000</v>
      </c>
      <c r="H59" s="13" t="s">
        <v>2978</v>
      </c>
    </row>
    <row r="60" spans="1:8" x14ac:dyDescent="0.35">
      <c r="A60" t="s">
        <v>382</v>
      </c>
      <c r="B60" s="56" t="s">
        <v>3108</v>
      </c>
      <c r="C60" s="56" t="s">
        <v>3106</v>
      </c>
      <c r="D60" s="56" t="s">
        <v>3107</v>
      </c>
      <c r="E60" s="56">
        <v>19.017939999999999</v>
      </c>
      <c r="F60" s="56">
        <v>72.903210000000001</v>
      </c>
      <c r="G60" s="56">
        <v>107000</v>
      </c>
      <c r="H60" s="13" t="s">
        <v>2978</v>
      </c>
    </row>
    <row r="61" spans="1:8" x14ac:dyDescent="0.35">
      <c r="A61" t="s">
        <v>382</v>
      </c>
      <c r="B61" s="56" t="s">
        <v>3109</v>
      </c>
      <c r="C61" s="56" t="s">
        <v>3106</v>
      </c>
      <c r="D61" s="56" t="s">
        <v>3110</v>
      </c>
      <c r="E61" s="56">
        <v>18.86525</v>
      </c>
      <c r="F61" s="56">
        <v>72.927840000000003</v>
      </c>
      <c r="G61" s="56">
        <v>320000</v>
      </c>
      <c r="H61" s="13" t="s">
        <v>2978</v>
      </c>
    </row>
    <row r="62" spans="1:8" x14ac:dyDescent="0.35">
      <c r="A62" t="s">
        <v>382</v>
      </c>
      <c r="B62" s="56" t="s">
        <v>3111</v>
      </c>
      <c r="C62" s="56" t="s">
        <v>3112</v>
      </c>
      <c r="D62" s="56" t="s">
        <v>3113</v>
      </c>
      <c r="E62" s="56">
        <v>13.159940000000001</v>
      </c>
      <c r="F62" s="56">
        <v>80.277659999999997</v>
      </c>
      <c r="G62" s="56">
        <v>210000</v>
      </c>
      <c r="H62" s="13" t="s">
        <v>2978</v>
      </c>
    </row>
    <row r="63" spans="1:8" x14ac:dyDescent="0.35">
      <c r="A63" t="s">
        <v>382</v>
      </c>
      <c r="B63" s="56" t="s">
        <v>3114</v>
      </c>
      <c r="C63" s="56" t="s">
        <v>3112</v>
      </c>
      <c r="D63" s="56" t="s">
        <v>3115</v>
      </c>
      <c r="E63" s="56">
        <v>10.827529999999999</v>
      </c>
      <c r="F63" s="56">
        <v>79.810990000000004</v>
      </c>
      <c r="G63" s="56">
        <v>20000</v>
      </c>
      <c r="H63" s="13" t="s">
        <v>2978</v>
      </c>
    </row>
    <row r="64" spans="1:8" x14ac:dyDescent="0.35">
      <c r="A64" t="s">
        <v>382</v>
      </c>
      <c r="B64" s="56" t="s">
        <v>3116</v>
      </c>
      <c r="C64" s="56" t="s">
        <v>3117</v>
      </c>
      <c r="D64" s="56" t="s">
        <v>2715</v>
      </c>
      <c r="E64" s="56">
        <v>27.37846</v>
      </c>
      <c r="F64" s="56">
        <v>77.686620000000005</v>
      </c>
      <c r="G64" s="56">
        <v>156000</v>
      </c>
      <c r="H64" s="13" t="s">
        <v>2978</v>
      </c>
    </row>
    <row r="65" spans="1:8" x14ac:dyDescent="0.35">
      <c r="A65" t="s">
        <v>382</v>
      </c>
      <c r="B65" s="56" t="s">
        <v>3118</v>
      </c>
      <c r="C65" s="56" t="s">
        <v>2787</v>
      </c>
      <c r="D65" s="56" t="s">
        <v>3119</v>
      </c>
      <c r="E65" s="56">
        <v>22.045809999999999</v>
      </c>
      <c r="F65" s="56">
        <v>88.104330000000004</v>
      </c>
      <c r="G65" s="56">
        <v>116000</v>
      </c>
      <c r="H65" s="13" t="s">
        <v>2978</v>
      </c>
    </row>
    <row r="66" spans="1:8" x14ac:dyDescent="0.35">
      <c r="A66" t="s">
        <v>343</v>
      </c>
      <c r="B66" s="56" t="s">
        <v>3120</v>
      </c>
      <c r="C66" s="56" t="s">
        <v>3121</v>
      </c>
      <c r="D66" s="56" t="s">
        <v>3121</v>
      </c>
      <c r="E66" s="56">
        <v>28.2072</v>
      </c>
      <c r="F66" s="56">
        <v>-0.15626000000000001</v>
      </c>
      <c r="G66" s="56">
        <v>12000</v>
      </c>
    </row>
    <row r="67" spans="1:8" x14ac:dyDescent="0.35">
      <c r="A67" t="s">
        <v>343</v>
      </c>
      <c r="B67" s="56" t="s">
        <v>3122</v>
      </c>
      <c r="C67" s="56" t="s">
        <v>3123</v>
      </c>
      <c r="D67" s="56" t="s">
        <v>3124</v>
      </c>
      <c r="E67" s="56">
        <v>36.6753</v>
      </c>
      <c r="F67" s="56">
        <v>3.1182599999999998</v>
      </c>
      <c r="G67" s="56">
        <v>59000</v>
      </c>
    </row>
    <row r="68" spans="1:8" x14ac:dyDescent="0.35">
      <c r="A68" t="s">
        <v>343</v>
      </c>
      <c r="B68" s="56" t="s">
        <v>3125</v>
      </c>
      <c r="C68" s="56" t="s">
        <v>3126</v>
      </c>
      <c r="D68" s="56" t="s">
        <v>3127</v>
      </c>
      <c r="E68" s="56">
        <v>35.829920000000001</v>
      </c>
      <c r="F68" s="56">
        <v>-0.32427</v>
      </c>
      <c r="G68" s="56">
        <v>54000</v>
      </c>
    </row>
    <row r="69" spans="1:8" x14ac:dyDescent="0.35">
      <c r="A69" t="s">
        <v>343</v>
      </c>
      <c r="B69" s="56" t="s">
        <v>3128</v>
      </c>
      <c r="C69" s="56" t="s">
        <v>3129</v>
      </c>
      <c r="D69" s="56" t="s">
        <v>3130</v>
      </c>
      <c r="E69" s="56">
        <v>31.792200000000001</v>
      </c>
      <c r="F69" s="56">
        <v>6.0568200000000001</v>
      </c>
      <c r="G69" s="56">
        <v>27000</v>
      </c>
    </row>
    <row r="70" spans="1:8" x14ac:dyDescent="0.35">
      <c r="A70" t="s">
        <v>343</v>
      </c>
      <c r="B70" s="56" t="s">
        <v>3131</v>
      </c>
      <c r="C70" s="56" t="s">
        <v>3132</v>
      </c>
      <c r="D70" s="56" t="s">
        <v>3132</v>
      </c>
      <c r="E70" s="56">
        <v>36.873109999999997</v>
      </c>
      <c r="F70" s="56">
        <v>6.97438</v>
      </c>
      <c r="G70" s="56">
        <v>323000</v>
      </c>
    </row>
    <row r="71" spans="1:8" x14ac:dyDescent="0.35">
      <c r="A71" t="s">
        <v>346</v>
      </c>
      <c r="B71" s="56" t="s">
        <v>3133</v>
      </c>
      <c r="C71" s="56" t="s">
        <v>3134</v>
      </c>
      <c r="D71" s="56" t="s">
        <v>3135</v>
      </c>
      <c r="E71" s="56">
        <v>-8.7786000000000008</v>
      </c>
      <c r="F71" s="56">
        <v>13.297000000000001</v>
      </c>
      <c r="G71" s="56">
        <v>39000</v>
      </c>
    </row>
    <row r="72" spans="1:8" x14ac:dyDescent="0.35">
      <c r="A72" t="s">
        <v>350</v>
      </c>
      <c r="B72" s="56" t="s">
        <v>3136</v>
      </c>
      <c r="C72" s="56" t="s">
        <v>3137</v>
      </c>
      <c r="D72" s="56" t="s">
        <v>3138</v>
      </c>
      <c r="E72" s="56">
        <v>-34.161960000000001</v>
      </c>
      <c r="F72" s="56">
        <v>-58.94717</v>
      </c>
      <c r="G72" s="56">
        <v>84500</v>
      </c>
    </row>
    <row r="73" spans="1:8" x14ac:dyDescent="0.35">
      <c r="A73" t="s">
        <v>350</v>
      </c>
      <c r="B73" s="56" t="s">
        <v>3139</v>
      </c>
      <c r="C73" s="56" t="s">
        <v>3137</v>
      </c>
      <c r="D73" s="56" t="s">
        <v>3140</v>
      </c>
      <c r="E73" s="56">
        <v>-34.87567</v>
      </c>
      <c r="F73" s="56">
        <v>-57.923819999999999</v>
      </c>
      <c r="G73" s="56">
        <v>189000</v>
      </c>
    </row>
    <row r="74" spans="1:8" x14ac:dyDescent="0.35">
      <c r="A74" t="s">
        <v>350</v>
      </c>
      <c r="B74" s="56" t="s">
        <v>3141</v>
      </c>
      <c r="C74" s="56" t="s">
        <v>3142</v>
      </c>
      <c r="D74" s="56" t="s">
        <v>3143</v>
      </c>
      <c r="E74" s="56">
        <v>-33.067570000000003</v>
      </c>
      <c r="F74" s="56">
        <v>-68.970479999999995</v>
      </c>
      <c r="G74" s="56">
        <v>106000</v>
      </c>
    </row>
    <row r="75" spans="1:8" x14ac:dyDescent="0.35">
      <c r="A75" t="s">
        <v>350</v>
      </c>
      <c r="B75" s="56" t="s">
        <v>3144</v>
      </c>
      <c r="C75" s="56" t="s">
        <v>3145</v>
      </c>
      <c r="D75" s="56" t="s">
        <v>3146</v>
      </c>
      <c r="E75" s="56">
        <v>-38.92718</v>
      </c>
      <c r="F75" s="56">
        <v>-69.183779999999999</v>
      </c>
      <c r="G75" s="56">
        <v>25000</v>
      </c>
    </row>
    <row r="76" spans="1:8" x14ac:dyDescent="0.35">
      <c r="A76" t="s">
        <v>350</v>
      </c>
      <c r="B76" s="56" t="s">
        <v>3147</v>
      </c>
      <c r="C76" s="56" t="s">
        <v>3148</v>
      </c>
      <c r="D76" s="56" t="s">
        <v>3149</v>
      </c>
      <c r="E76" s="56">
        <v>-22.203469999999999</v>
      </c>
      <c r="F76" s="56">
        <v>-63.66516</v>
      </c>
      <c r="G76" s="56">
        <v>32500</v>
      </c>
    </row>
    <row r="77" spans="1:8" x14ac:dyDescent="0.35">
      <c r="A77" t="s">
        <v>350</v>
      </c>
      <c r="B77" s="56" t="s">
        <v>3150</v>
      </c>
      <c r="C77" s="56" t="s">
        <v>3151</v>
      </c>
      <c r="D77" s="56" t="s">
        <v>3152</v>
      </c>
      <c r="E77" s="56">
        <v>-32.7271</v>
      </c>
      <c r="F77" s="56">
        <v>-60.743110000000001</v>
      </c>
      <c r="G77" s="56">
        <v>51000</v>
      </c>
    </row>
    <row r="78" spans="1:8" x14ac:dyDescent="0.35">
      <c r="A78" t="s">
        <v>31</v>
      </c>
      <c r="B78" s="56" t="s">
        <v>3153</v>
      </c>
      <c r="C78" s="56" t="s">
        <v>3154</v>
      </c>
      <c r="D78" s="56" t="s">
        <v>3155</v>
      </c>
      <c r="E78" s="56">
        <v>12.43146</v>
      </c>
      <c r="F78" s="56">
        <v>-69.902720000000002</v>
      </c>
      <c r="G78" s="56">
        <v>275000</v>
      </c>
    </row>
    <row r="79" spans="1:8" x14ac:dyDescent="0.35">
      <c r="A79" t="s">
        <v>355</v>
      </c>
      <c r="B79" s="56" t="s">
        <v>3156</v>
      </c>
      <c r="C79" s="56" t="s">
        <v>3157</v>
      </c>
      <c r="D79" s="56" t="s">
        <v>3158</v>
      </c>
      <c r="E79" s="56">
        <v>48.144419999999997</v>
      </c>
      <c r="F79" s="56">
        <v>16.499680000000001</v>
      </c>
      <c r="G79" s="56">
        <v>175000</v>
      </c>
    </row>
    <row r="80" spans="1:8" x14ac:dyDescent="0.35">
      <c r="A80" t="s">
        <v>34</v>
      </c>
      <c r="B80" s="56" t="s">
        <v>3159</v>
      </c>
      <c r="C80" s="56" t="s">
        <v>3160</v>
      </c>
      <c r="D80" s="56" t="s">
        <v>3161</v>
      </c>
      <c r="E80" s="56">
        <v>40.396410000000003</v>
      </c>
      <c r="F80" s="56">
        <v>49.911250000000003</v>
      </c>
      <c r="G80" s="56">
        <v>239000</v>
      </c>
    </row>
    <row r="81" spans="1:7" x14ac:dyDescent="0.35">
      <c r="A81" t="s">
        <v>34</v>
      </c>
      <c r="B81" s="56" t="s">
        <v>3162</v>
      </c>
      <c r="C81" s="56" t="s">
        <v>3160</v>
      </c>
      <c r="D81" s="56" t="s">
        <v>3161</v>
      </c>
      <c r="E81" s="56">
        <v>40.431150000000002</v>
      </c>
      <c r="F81" s="56">
        <v>50.276119999999999</v>
      </c>
      <c r="G81" s="56">
        <v>200000</v>
      </c>
    </row>
    <row r="82" spans="1:7" x14ac:dyDescent="0.35">
      <c r="A82" t="s">
        <v>37</v>
      </c>
      <c r="B82" s="56" t="s">
        <v>3163</v>
      </c>
      <c r="C82" s="56" t="s">
        <v>2678</v>
      </c>
      <c r="D82" s="56" t="s">
        <v>2678</v>
      </c>
      <c r="E82" s="56">
        <v>22.266749999999998</v>
      </c>
      <c r="F82" s="56">
        <v>91.804630000000003</v>
      </c>
      <c r="G82" s="56">
        <v>33000</v>
      </c>
    </row>
    <row r="83" spans="1:7" x14ac:dyDescent="0.35">
      <c r="A83" t="s">
        <v>42</v>
      </c>
      <c r="B83" t="s">
        <v>3164</v>
      </c>
      <c r="C83" t="s">
        <v>3165</v>
      </c>
      <c r="D83" t="s">
        <v>3166</v>
      </c>
      <c r="E83" s="56">
        <v>51.891309999999997</v>
      </c>
      <c r="F83" s="56">
        <v>29.321950000000001</v>
      </c>
      <c r="G83" s="56">
        <v>95000</v>
      </c>
    </row>
    <row r="84" spans="1:7" x14ac:dyDescent="0.35">
      <c r="A84" t="s">
        <v>45</v>
      </c>
      <c r="B84" s="56" t="s">
        <v>3167</v>
      </c>
      <c r="C84" s="56" t="s">
        <v>1208</v>
      </c>
      <c r="D84" s="56" t="s">
        <v>3168</v>
      </c>
      <c r="E84" s="56">
        <v>51.250779999999999</v>
      </c>
      <c r="F84" s="56">
        <v>4.3722099999999999</v>
      </c>
      <c r="G84" s="56">
        <v>35000</v>
      </c>
    </row>
    <row r="85" spans="1:7" x14ac:dyDescent="0.35">
      <c r="A85" t="s">
        <v>45</v>
      </c>
      <c r="B85" s="56" t="s">
        <v>3169</v>
      </c>
      <c r="C85" s="56" t="s">
        <v>1208</v>
      </c>
      <c r="D85" s="56" t="s">
        <v>3168</v>
      </c>
      <c r="E85" s="56">
        <v>51.265569999999997</v>
      </c>
      <c r="F85" s="56">
        <v>4.32158</v>
      </c>
      <c r="G85" s="56">
        <v>360000</v>
      </c>
    </row>
    <row r="86" spans="1:7" x14ac:dyDescent="0.35">
      <c r="A86" t="s">
        <v>45</v>
      </c>
      <c r="B86" s="56" t="s">
        <v>3170</v>
      </c>
      <c r="C86" s="56" t="s">
        <v>1208</v>
      </c>
      <c r="D86" s="56" t="s">
        <v>3168</v>
      </c>
      <c r="E86" s="56">
        <v>51.334299999999999</v>
      </c>
      <c r="F86" s="56">
        <v>4.2907000000000002</v>
      </c>
      <c r="G86" s="56">
        <v>107500</v>
      </c>
    </row>
    <row r="87" spans="1:7" x14ac:dyDescent="0.35">
      <c r="A87" t="s">
        <v>45</v>
      </c>
      <c r="B87" s="56" t="s">
        <v>3171</v>
      </c>
      <c r="C87" s="56" t="s">
        <v>1208</v>
      </c>
      <c r="D87" s="56" t="s">
        <v>3168</v>
      </c>
      <c r="E87" s="56">
        <v>51.254770000000001</v>
      </c>
      <c r="F87" s="56">
        <v>4.3404499999999997</v>
      </c>
      <c r="G87" s="56">
        <v>270000</v>
      </c>
    </row>
    <row r="88" spans="1:7" x14ac:dyDescent="0.35">
      <c r="A88" t="s">
        <v>54</v>
      </c>
      <c r="B88" s="56" t="s">
        <v>3172</v>
      </c>
      <c r="C88" s="56" t="s">
        <v>3173</v>
      </c>
      <c r="D88" s="56" t="s">
        <v>3174</v>
      </c>
      <c r="E88" s="56">
        <v>-19.007020000000001</v>
      </c>
      <c r="F88" s="56">
        <v>-65.238929999999996</v>
      </c>
      <c r="G88" s="56">
        <v>3000</v>
      </c>
    </row>
    <row r="89" spans="1:7" x14ac:dyDescent="0.35">
      <c r="A89" t="s">
        <v>54</v>
      </c>
      <c r="B89" s="56" t="s">
        <v>3175</v>
      </c>
      <c r="C89" s="56" t="s">
        <v>3176</v>
      </c>
      <c r="D89" s="56" t="s">
        <v>3177</v>
      </c>
      <c r="E89" s="56">
        <v>-17.354299999999999</v>
      </c>
      <c r="F89" s="56">
        <v>-66.12</v>
      </c>
      <c r="G89" s="56">
        <v>40000</v>
      </c>
    </row>
    <row r="90" spans="1:7" x14ac:dyDescent="0.35">
      <c r="A90" t="s">
        <v>54</v>
      </c>
      <c r="B90" s="56" t="s">
        <v>3178</v>
      </c>
      <c r="C90" s="56" t="s">
        <v>3179</v>
      </c>
      <c r="D90" s="56" t="s">
        <v>3180</v>
      </c>
      <c r="E90" s="56">
        <v>-17.87</v>
      </c>
      <c r="F90" s="56">
        <v>-63.2</v>
      </c>
      <c r="G90" s="56">
        <v>20000</v>
      </c>
    </row>
    <row r="91" spans="1:7" x14ac:dyDescent="0.35">
      <c r="A91" t="s">
        <v>363</v>
      </c>
      <c r="B91" s="56" t="s">
        <v>3181</v>
      </c>
      <c r="C91" s="56" t="s">
        <v>3182</v>
      </c>
      <c r="D91" s="56" t="s">
        <v>3183</v>
      </c>
      <c r="E91" s="56">
        <v>-3.16655</v>
      </c>
      <c r="F91" s="56">
        <v>-60.094769999999997</v>
      </c>
      <c r="G91" s="56">
        <v>46000</v>
      </c>
    </row>
    <row r="92" spans="1:7" x14ac:dyDescent="0.35">
      <c r="A92" t="s">
        <v>363</v>
      </c>
      <c r="B92" s="56" t="s">
        <v>3184</v>
      </c>
      <c r="C92" s="56" t="s">
        <v>3185</v>
      </c>
      <c r="D92" s="56" t="s">
        <v>3186</v>
      </c>
      <c r="E92" s="56">
        <v>-12.708529</v>
      </c>
      <c r="F92" s="56">
        <v>-38.570008999999999</v>
      </c>
      <c r="G92" s="56">
        <v>307000</v>
      </c>
    </row>
    <row r="93" spans="1:7" x14ac:dyDescent="0.35">
      <c r="A93" t="s">
        <v>363</v>
      </c>
      <c r="B93" s="56" t="s">
        <v>3187</v>
      </c>
      <c r="C93" s="56" t="s">
        <v>3188</v>
      </c>
      <c r="D93" s="56" t="s">
        <v>3189</v>
      </c>
      <c r="E93" s="56">
        <v>-3.7165699999999999</v>
      </c>
      <c r="F93" s="56">
        <v>-38.46931</v>
      </c>
      <c r="G93" s="56">
        <v>6000</v>
      </c>
    </row>
    <row r="94" spans="1:7" x14ac:dyDescent="0.35">
      <c r="A94" t="s">
        <v>363</v>
      </c>
      <c r="B94" s="56" t="s">
        <v>3190</v>
      </c>
      <c r="C94" s="56" t="s">
        <v>3191</v>
      </c>
      <c r="D94" s="56" t="s">
        <v>3192</v>
      </c>
      <c r="E94" s="56">
        <v>-19.976759999999999</v>
      </c>
      <c r="F94" s="56">
        <v>-44.096809999999998</v>
      </c>
      <c r="G94" s="56">
        <v>151000</v>
      </c>
    </row>
    <row r="95" spans="1:7" x14ac:dyDescent="0.35">
      <c r="A95" t="s">
        <v>363</v>
      </c>
      <c r="B95" s="56" t="s">
        <v>3193</v>
      </c>
      <c r="C95" s="56" t="s">
        <v>3194</v>
      </c>
      <c r="D95" s="56" t="s">
        <v>3195</v>
      </c>
      <c r="E95" s="56">
        <v>-25.567630000000001</v>
      </c>
      <c r="F95" s="56">
        <v>-49.35821</v>
      </c>
      <c r="G95" s="56">
        <v>196000</v>
      </c>
    </row>
    <row r="96" spans="1:7" x14ac:dyDescent="0.35">
      <c r="A96" t="s">
        <v>363</v>
      </c>
      <c r="B96" s="56" t="s">
        <v>3196</v>
      </c>
      <c r="C96" s="56" t="s">
        <v>3197</v>
      </c>
      <c r="D96" s="56" t="s">
        <v>3198</v>
      </c>
      <c r="E96" s="56">
        <v>-22.959309999999999</v>
      </c>
      <c r="F96" s="56">
        <v>-42.030970000000003</v>
      </c>
      <c r="G96" s="56">
        <v>14000</v>
      </c>
    </row>
    <row r="97" spans="1:7" x14ac:dyDescent="0.35">
      <c r="A97" t="s">
        <v>363</v>
      </c>
      <c r="B97" s="56" t="s">
        <v>3199</v>
      </c>
      <c r="C97" s="56" t="s">
        <v>3197</v>
      </c>
      <c r="D97" s="56" t="s">
        <v>3200</v>
      </c>
      <c r="E97" s="56">
        <v>-22.71987</v>
      </c>
      <c r="F97" s="56">
        <v>-43.266979999999997</v>
      </c>
      <c r="G97" s="56">
        <v>242000</v>
      </c>
    </row>
    <row r="98" spans="1:7" x14ac:dyDescent="0.35">
      <c r="A98" t="s">
        <v>363</v>
      </c>
      <c r="B98" s="56" t="s">
        <v>3201</v>
      </c>
      <c r="C98" s="56" t="s">
        <v>3202</v>
      </c>
      <c r="D98" s="56" t="s">
        <v>3203</v>
      </c>
      <c r="E98" s="56">
        <v>-31.758320000000001</v>
      </c>
      <c r="F98" s="56">
        <v>-52.270539999999997</v>
      </c>
      <c r="G98" s="56">
        <v>12500</v>
      </c>
    </row>
    <row r="99" spans="1:7" x14ac:dyDescent="0.35">
      <c r="A99" t="s">
        <v>363</v>
      </c>
      <c r="B99" s="56" t="s">
        <v>3204</v>
      </c>
      <c r="C99" s="56" t="s">
        <v>3202</v>
      </c>
      <c r="D99" s="56" t="s">
        <v>3205</v>
      </c>
      <c r="E99" s="56">
        <v>-29.874389999999998</v>
      </c>
      <c r="F99" s="56">
        <v>-51.165439999999997</v>
      </c>
      <c r="G99" s="56">
        <v>189000</v>
      </c>
    </row>
    <row r="100" spans="1:7" x14ac:dyDescent="0.35">
      <c r="A100" t="s">
        <v>363</v>
      </c>
      <c r="B100" s="56" t="s">
        <v>3206</v>
      </c>
      <c r="C100" s="56" t="s">
        <v>3207</v>
      </c>
      <c r="D100" s="56" t="s">
        <v>3208</v>
      </c>
      <c r="E100" s="56">
        <v>-23.641120000000001</v>
      </c>
      <c r="F100" s="56">
        <v>-46.475639999999999</v>
      </c>
      <c r="G100" s="56">
        <v>53000</v>
      </c>
    </row>
    <row r="101" spans="1:7" x14ac:dyDescent="0.35">
      <c r="A101" t="s">
        <v>363</v>
      </c>
      <c r="B101" s="56" t="s">
        <v>3209</v>
      </c>
      <c r="C101" s="56" t="s">
        <v>3207</v>
      </c>
      <c r="D101" s="56" t="s">
        <v>3210</v>
      </c>
      <c r="E101" s="56">
        <v>-22.72756</v>
      </c>
      <c r="F101" s="56">
        <v>-47.128360000000001</v>
      </c>
      <c r="G101" s="56">
        <v>360000</v>
      </c>
    </row>
    <row r="102" spans="1:7" x14ac:dyDescent="0.35">
      <c r="A102" t="s">
        <v>363</v>
      </c>
      <c r="B102" s="56" t="s">
        <v>3211</v>
      </c>
      <c r="C102" s="56" t="s">
        <v>3207</v>
      </c>
      <c r="D102" s="56" t="s">
        <v>3212</v>
      </c>
      <c r="E102" s="56">
        <v>-23.190850000000001</v>
      </c>
      <c r="F102" s="56">
        <v>-45.820720000000001</v>
      </c>
      <c r="G102" s="56">
        <v>226000</v>
      </c>
    </row>
    <row r="103" spans="1:7" x14ac:dyDescent="0.35">
      <c r="A103" t="s">
        <v>363</v>
      </c>
      <c r="B103" s="56" t="s">
        <v>3213</v>
      </c>
      <c r="C103" s="56" t="s">
        <v>3207</v>
      </c>
      <c r="D103" s="56" t="s">
        <v>3214</v>
      </c>
      <c r="E103" s="56">
        <v>-23.867789999999999</v>
      </c>
      <c r="F103" s="56">
        <v>-46.434620000000002</v>
      </c>
      <c r="G103" s="56">
        <v>170000</v>
      </c>
    </row>
    <row r="104" spans="1:7" x14ac:dyDescent="0.35">
      <c r="A104" t="s">
        <v>61</v>
      </c>
      <c r="B104" s="56" t="s">
        <v>3215</v>
      </c>
      <c r="C104" s="56" t="s">
        <v>3216</v>
      </c>
      <c r="D104" s="56" t="s">
        <v>3217</v>
      </c>
      <c r="E104" s="56">
        <v>4.61965</v>
      </c>
      <c r="F104" s="56">
        <v>114.3433</v>
      </c>
      <c r="G104" s="56">
        <v>8600</v>
      </c>
    </row>
    <row r="105" spans="1:7" x14ac:dyDescent="0.35">
      <c r="A105" t="s">
        <v>63</v>
      </c>
      <c r="B105" s="56" t="s">
        <v>3218</v>
      </c>
      <c r="C105" s="56" t="s">
        <v>3219</v>
      </c>
      <c r="D105" s="56" t="s">
        <v>3219</v>
      </c>
      <c r="E105" s="56">
        <v>42.540300000000002</v>
      </c>
      <c r="F105" s="56">
        <v>27.326889999999999</v>
      </c>
      <c r="G105" s="56">
        <v>208000</v>
      </c>
    </row>
    <row r="106" spans="1:7" x14ac:dyDescent="0.35">
      <c r="A106" t="s">
        <v>70</v>
      </c>
      <c r="B106" s="56" t="s">
        <v>3220</v>
      </c>
      <c r="C106" s="56" t="s">
        <v>3221</v>
      </c>
      <c r="D106" s="56" t="s">
        <v>3222</v>
      </c>
      <c r="E106" s="56">
        <v>4.0134699999999999</v>
      </c>
      <c r="F106" s="56">
        <v>9.1273199999999992</v>
      </c>
      <c r="G106" s="56">
        <v>42000</v>
      </c>
    </row>
    <row r="107" spans="1:7" x14ac:dyDescent="0.35">
      <c r="A107" t="s">
        <v>80</v>
      </c>
      <c r="B107" s="56" t="s">
        <v>3223</v>
      </c>
      <c r="C107" s="56" t="s">
        <v>3224</v>
      </c>
      <c r="D107" s="56" t="s">
        <v>3225</v>
      </c>
      <c r="E107" s="56">
        <v>-32.928519999999999</v>
      </c>
      <c r="F107" s="56">
        <v>-71.501130000000003</v>
      </c>
      <c r="G107" s="56">
        <v>97650</v>
      </c>
    </row>
    <row r="108" spans="1:7" x14ac:dyDescent="0.35">
      <c r="A108" t="s">
        <v>80</v>
      </c>
      <c r="B108" s="56" t="s">
        <v>3226</v>
      </c>
      <c r="C108" s="56" t="s">
        <v>3227</v>
      </c>
      <c r="D108" s="56" t="s">
        <v>3228</v>
      </c>
      <c r="E108" s="56">
        <v>-36.779179999999997</v>
      </c>
      <c r="F108" s="56">
        <v>-73.125129999999999</v>
      </c>
      <c r="G108" s="56">
        <v>113400</v>
      </c>
    </row>
    <row r="109" spans="1:7" x14ac:dyDescent="0.35">
      <c r="A109" t="s">
        <v>80</v>
      </c>
      <c r="B109" s="56" t="s">
        <v>3229</v>
      </c>
      <c r="C109" s="56" t="s">
        <v>3230</v>
      </c>
      <c r="D109" s="56" t="s">
        <v>3231</v>
      </c>
      <c r="E109" s="56">
        <v>-53.134529999999998</v>
      </c>
      <c r="F109" s="56">
        <v>-70.874440000000007</v>
      </c>
      <c r="G109" s="56">
        <v>15700</v>
      </c>
    </row>
    <row r="110" spans="1:7" x14ac:dyDescent="0.35">
      <c r="A110" t="s">
        <v>85</v>
      </c>
      <c r="B110" s="56" t="s">
        <v>3232</v>
      </c>
      <c r="C110" s="56" t="s">
        <v>3233</v>
      </c>
      <c r="D110" s="56" t="s">
        <v>3234</v>
      </c>
      <c r="E110" s="56">
        <v>10.316599999999999</v>
      </c>
      <c r="F110" s="56">
        <v>-75.502560000000003</v>
      </c>
      <c r="G110" s="56">
        <v>76700</v>
      </c>
    </row>
    <row r="111" spans="1:7" x14ac:dyDescent="0.35">
      <c r="A111" t="s">
        <v>85</v>
      </c>
      <c r="B111" s="56" t="s">
        <v>3235</v>
      </c>
      <c r="C111" s="56" t="s">
        <v>3236</v>
      </c>
      <c r="D111" s="56" t="s">
        <v>3237</v>
      </c>
      <c r="E111" s="56">
        <v>7.0720200000000002</v>
      </c>
      <c r="F111" s="56">
        <v>-73.878230000000002</v>
      </c>
      <c r="G111" s="56">
        <v>250000</v>
      </c>
    </row>
    <row r="112" spans="1:7" x14ac:dyDescent="0.35">
      <c r="A112" t="s">
        <v>105</v>
      </c>
      <c r="B112" s="56" t="s">
        <v>3238</v>
      </c>
      <c r="C112" s="56" t="s">
        <v>3239</v>
      </c>
      <c r="D112" s="56" t="s">
        <v>3240</v>
      </c>
      <c r="E112" s="56">
        <v>-4.7892099999999997</v>
      </c>
      <c r="F112" s="56">
        <v>11.83433</v>
      </c>
      <c r="G112" s="56">
        <v>21000</v>
      </c>
    </row>
    <row r="113" spans="1:7" x14ac:dyDescent="0.35">
      <c r="A113" t="s">
        <v>91</v>
      </c>
      <c r="B113" s="56" t="s">
        <v>3241</v>
      </c>
      <c r="C113" s="56" t="s">
        <v>3242</v>
      </c>
      <c r="D113" s="56" t="s">
        <v>3242</v>
      </c>
      <c r="E113" s="56">
        <v>9.9939900000000002</v>
      </c>
      <c r="F113" s="56">
        <v>-83.029640000000001</v>
      </c>
      <c r="G113" s="56">
        <v>25000</v>
      </c>
    </row>
    <row r="114" spans="1:7" x14ac:dyDescent="0.35">
      <c r="A114" t="s">
        <v>393</v>
      </c>
      <c r="B114" s="56" t="s">
        <v>3243</v>
      </c>
      <c r="C114" s="56" t="s">
        <v>3244</v>
      </c>
      <c r="D114" s="56" t="s">
        <v>2607</v>
      </c>
      <c r="E114" s="56">
        <v>5.25976</v>
      </c>
      <c r="F114" s="56">
        <v>-3.9923899999999999</v>
      </c>
      <c r="G114" s="56">
        <v>65200</v>
      </c>
    </row>
    <row r="115" spans="1:7" x14ac:dyDescent="0.35">
      <c r="A115" t="s">
        <v>93</v>
      </c>
      <c r="B115" s="56" t="s">
        <v>3245</v>
      </c>
      <c r="C115" s="56" t="s">
        <v>3246</v>
      </c>
      <c r="D115" s="56" t="s">
        <v>3247</v>
      </c>
      <c r="E115" s="56">
        <v>45.282879999999999</v>
      </c>
      <c r="F115" s="56">
        <v>14.5352</v>
      </c>
      <c r="G115" s="56">
        <v>102000</v>
      </c>
    </row>
    <row r="116" spans="1:7" x14ac:dyDescent="0.35">
      <c r="A116" t="s">
        <v>93</v>
      </c>
      <c r="B116" s="56" t="s">
        <v>3248</v>
      </c>
      <c r="C116" s="56" t="s">
        <v>3249</v>
      </c>
      <c r="D116" s="56" t="s">
        <v>3250</v>
      </c>
      <c r="E116" s="56">
        <v>45.454819999999998</v>
      </c>
      <c r="F116" s="56">
        <v>16.407</v>
      </c>
      <c r="G116" s="56">
        <v>61000</v>
      </c>
    </row>
    <row r="117" spans="1:7" x14ac:dyDescent="0.35">
      <c r="A117" t="s">
        <v>95</v>
      </c>
      <c r="B117" s="56" t="s">
        <v>3251</v>
      </c>
      <c r="C117" s="56" t="s">
        <v>3252</v>
      </c>
      <c r="D117" s="56" t="s">
        <v>3252</v>
      </c>
      <c r="E117" s="56">
        <v>22.191099999999999</v>
      </c>
      <c r="F117" s="56">
        <v>-80.520409999999998</v>
      </c>
      <c r="G117" s="56">
        <v>76000</v>
      </c>
    </row>
    <row r="118" spans="1:7" x14ac:dyDescent="0.35">
      <c r="A118" t="s">
        <v>95</v>
      </c>
      <c r="B118" s="56" t="s">
        <v>3253</v>
      </c>
      <c r="C118" s="56" t="s">
        <v>3254</v>
      </c>
      <c r="D118" s="56" t="s">
        <v>3255</v>
      </c>
      <c r="E118" s="56">
        <v>23.136510000000001</v>
      </c>
      <c r="F118" s="56">
        <v>-82.321860000000001</v>
      </c>
      <c r="G118" s="56">
        <v>122000</v>
      </c>
    </row>
    <row r="119" spans="1:7" x14ac:dyDescent="0.35">
      <c r="A119" t="s">
        <v>95</v>
      </c>
      <c r="B119" s="56" t="s">
        <v>3256</v>
      </c>
      <c r="C119" s="56" t="s">
        <v>3257</v>
      </c>
      <c r="D119" s="56" t="s">
        <v>3257</v>
      </c>
      <c r="E119" s="56">
        <v>20.00581</v>
      </c>
      <c r="F119" s="56">
        <v>-75.872730000000004</v>
      </c>
      <c r="G119" s="56">
        <v>102500</v>
      </c>
    </row>
    <row r="120" spans="1:7" x14ac:dyDescent="0.35">
      <c r="A120" t="s">
        <v>101</v>
      </c>
      <c r="B120" s="56" t="s">
        <v>3258</v>
      </c>
      <c r="C120" s="56" t="s">
        <v>3259</v>
      </c>
      <c r="D120" s="56" t="s">
        <v>3260</v>
      </c>
      <c r="E120" s="56">
        <v>50.027138000000001</v>
      </c>
      <c r="F120" s="56">
        <v>15.743622999999999</v>
      </c>
      <c r="G120" s="56">
        <v>15000</v>
      </c>
    </row>
    <row r="121" spans="1:7" x14ac:dyDescent="0.35">
      <c r="A121" t="s">
        <v>101</v>
      </c>
      <c r="B121" s="56" t="s">
        <v>3261</v>
      </c>
      <c r="C121" s="56" t="s">
        <v>3262</v>
      </c>
      <c r="D121" s="56" t="s">
        <v>3263</v>
      </c>
      <c r="E121" s="56">
        <v>50.257710000000003</v>
      </c>
      <c r="F121" s="56">
        <v>14.326840000000001</v>
      </c>
      <c r="G121" s="56">
        <v>66000</v>
      </c>
    </row>
    <row r="122" spans="1:7" x14ac:dyDescent="0.35">
      <c r="A122" t="s">
        <v>101</v>
      </c>
      <c r="B122" s="56" t="s">
        <v>3264</v>
      </c>
      <c r="C122" s="56" t="s">
        <v>3265</v>
      </c>
      <c r="D122" s="56" t="s">
        <v>3266</v>
      </c>
      <c r="E122" s="56">
        <v>50.56326</v>
      </c>
      <c r="F122" s="56">
        <v>13.612299999999999</v>
      </c>
      <c r="G122" s="56">
        <v>110000</v>
      </c>
    </row>
    <row r="123" spans="1:7" x14ac:dyDescent="0.35">
      <c r="A123" t="s">
        <v>107</v>
      </c>
      <c r="B123" s="56" t="s">
        <v>3267</v>
      </c>
      <c r="C123" s="56" t="s">
        <v>3268</v>
      </c>
      <c r="D123" s="56" t="s">
        <v>3269</v>
      </c>
      <c r="E123" s="56">
        <v>55.593285000000002</v>
      </c>
      <c r="F123" s="56">
        <v>9.7471049999999995</v>
      </c>
      <c r="G123" s="56">
        <v>68000</v>
      </c>
    </row>
    <row r="124" spans="1:7" x14ac:dyDescent="0.35">
      <c r="A124" t="s">
        <v>107</v>
      </c>
      <c r="B124" s="56" t="s">
        <v>3270</v>
      </c>
      <c r="C124" s="56" t="s">
        <v>3271</v>
      </c>
      <c r="D124" s="56" t="s">
        <v>1248</v>
      </c>
      <c r="E124" s="56">
        <v>55.656219999999998</v>
      </c>
      <c r="F124" s="56">
        <v>11.096399999999999</v>
      </c>
      <c r="G124" s="56">
        <v>110000</v>
      </c>
    </row>
    <row r="125" spans="1:7" x14ac:dyDescent="0.35">
      <c r="A125" t="s">
        <v>369</v>
      </c>
      <c r="B125" s="56" t="s">
        <v>3272</v>
      </c>
      <c r="C125" s="56" t="s">
        <v>3273</v>
      </c>
      <c r="D125" s="56" t="s">
        <v>3274</v>
      </c>
      <c r="E125" s="56">
        <v>30.793399999999998</v>
      </c>
      <c r="F125" s="56">
        <v>30.962569999999999</v>
      </c>
      <c r="G125" s="56">
        <v>35000</v>
      </c>
    </row>
    <row r="126" spans="1:7" x14ac:dyDescent="0.35">
      <c r="A126" t="s">
        <v>369</v>
      </c>
      <c r="B126" s="56" t="s">
        <v>3275</v>
      </c>
      <c r="C126" s="56" t="s">
        <v>3276</v>
      </c>
      <c r="D126" s="56" t="s">
        <v>2613</v>
      </c>
      <c r="E126" s="56">
        <v>31.012740000000001</v>
      </c>
      <c r="F126" s="56">
        <v>29.840920000000001</v>
      </c>
      <c r="G126" s="56">
        <v>75000</v>
      </c>
    </row>
    <row r="127" spans="1:7" x14ac:dyDescent="0.35">
      <c r="A127" t="s">
        <v>369</v>
      </c>
      <c r="B127" s="56" t="s">
        <v>3277</v>
      </c>
      <c r="C127" s="56" t="s">
        <v>3276</v>
      </c>
      <c r="D127" s="56" t="s">
        <v>2613</v>
      </c>
      <c r="E127" s="56">
        <v>31.04917</v>
      </c>
      <c r="F127" s="56">
        <v>29.67108</v>
      </c>
      <c r="G127" s="56">
        <v>115000</v>
      </c>
    </row>
    <row r="128" spans="1:7" x14ac:dyDescent="0.35">
      <c r="A128" t="s">
        <v>369</v>
      </c>
      <c r="B128" s="56" t="s">
        <v>3278</v>
      </c>
      <c r="C128" s="56" t="s">
        <v>3276</v>
      </c>
      <c r="D128" s="56" t="s">
        <v>2613</v>
      </c>
      <c r="E128" s="56">
        <v>31.098299999999998</v>
      </c>
      <c r="F128" s="56">
        <v>29.863109999999999</v>
      </c>
      <c r="G128" s="56">
        <v>100000</v>
      </c>
    </row>
    <row r="129" spans="1:7" x14ac:dyDescent="0.35">
      <c r="A129" t="s">
        <v>369</v>
      </c>
      <c r="B129" s="56" t="s">
        <v>3279</v>
      </c>
      <c r="C129" s="56" t="s">
        <v>3280</v>
      </c>
      <c r="D129" s="56" t="s">
        <v>3281</v>
      </c>
      <c r="E129" s="56">
        <v>30.142759999999999</v>
      </c>
      <c r="F129" s="56">
        <v>31.298819999999999</v>
      </c>
      <c r="G129" s="56">
        <v>145000</v>
      </c>
    </row>
    <row r="130" spans="1:7" x14ac:dyDescent="0.35">
      <c r="A130" t="s">
        <v>369</v>
      </c>
      <c r="B130" s="56" t="s">
        <v>3282</v>
      </c>
      <c r="C130" s="56" t="s">
        <v>3283</v>
      </c>
      <c r="D130" s="56" t="s">
        <v>3284</v>
      </c>
      <c r="E130" s="56">
        <v>29.958629999999999</v>
      </c>
      <c r="F130" s="56">
        <v>32.520240000000001</v>
      </c>
      <c r="G130" s="56">
        <v>65000</v>
      </c>
    </row>
    <row r="131" spans="1:7" x14ac:dyDescent="0.35">
      <c r="A131" t="s">
        <v>369</v>
      </c>
      <c r="B131" s="56" t="s">
        <v>3285</v>
      </c>
      <c r="C131" s="56" t="s">
        <v>3283</v>
      </c>
      <c r="D131" s="56" t="s">
        <v>3284</v>
      </c>
      <c r="E131" s="56">
        <v>29.95729</v>
      </c>
      <c r="F131" s="56">
        <v>32.532760000000003</v>
      </c>
      <c r="G131" s="56">
        <v>80000</v>
      </c>
    </row>
    <row r="132" spans="1:7" x14ac:dyDescent="0.35">
      <c r="A132" t="s">
        <v>369</v>
      </c>
      <c r="B132" s="56" t="s">
        <v>3286</v>
      </c>
      <c r="C132" s="56" t="s">
        <v>3287</v>
      </c>
      <c r="D132" s="56" t="s">
        <v>3287</v>
      </c>
      <c r="E132" s="56">
        <v>27.211030000000001</v>
      </c>
      <c r="F132" s="56">
        <v>31.162759999999999</v>
      </c>
      <c r="G132" s="56">
        <v>52000</v>
      </c>
    </row>
    <row r="133" spans="1:7" x14ac:dyDescent="0.35">
      <c r="A133" t="s">
        <v>369</v>
      </c>
      <c r="B133" s="56" t="s">
        <v>3288</v>
      </c>
      <c r="C133" s="56" t="s">
        <v>3289</v>
      </c>
      <c r="D133" s="56" t="s">
        <v>3290</v>
      </c>
      <c r="E133" s="56">
        <v>28.729780000000002</v>
      </c>
      <c r="F133" s="56">
        <v>33.222790000000003</v>
      </c>
      <c r="G133" s="56">
        <v>10000</v>
      </c>
    </row>
    <row r="134" spans="1:7" x14ac:dyDescent="0.35">
      <c r="A134" t="s">
        <v>117</v>
      </c>
      <c r="B134" s="56" t="s">
        <v>3291</v>
      </c>
      <c r="C134" s="56" t="s">
        <v>3292</v>
      </c>
      <c r="D134" s="56" t="s">
        <v>3293</v>
      </c>
      <c r="E134" s="56">
        <v>13.56718</v>
      </c>
      <c r="F134" s="56">
        <v>-89.827709999999996</v>
      </c>
      <c r="G134" s="56">
        <v>22000</v>
      </c>
    </row>
    <row r="135" spans="1:7" x14ac:dyDescent="0.35">
      <c r="A135" t="s">
        <v>129</v>
      </c>
      <c r="B135" s="56" t="s">
        <v>3294</v>
      </c>
      <c r="C135" s="56" t="s">
        <v>3295</v>
      </c>
      <c r="D135" s="56" t="s">
        <v>3296</v>
      </c>
      <c r="E135" s="56">
        <v>60.31073</v>
      </c>
      <c r="F135" s="56">
        <v>25.53548</v>
      </c>
      <c r="G135" s="56">
        <v>160000</v>
      </c>
    </row>
    <row r="136" spans="1:7" x14ac:dyDescent="0.35">
      <c r="A136" t="s">
        <v>129</v>
      </c>
      <c r="B136" s="56" t="s">
        <v>3297</v>
      </c>
      <c r="C136" s="56" t="s">
        <v>3298</v>
      </c>
      <c r="D136" s="56" t="s">
        <v>3299</v>
      </c>
      <c r="E136" s="56">
        <v>60.450670000000002</v>
      </c>
      <c r="F136" s="56">
        <v>22.092870000000001</v>
      </c>
      <c r="G136" s="56">
        <v>40000</v>
      </c>
    </row>
    <row r="137" spans="1:7" x14ac:dyDescent="0.35">
      <c r="A137" t="s">
        <v>131</v>
      </c>
      <c r="B137" s="56" t="s">
        <v>3300</v>
      </c>
      <c r="C137" s="56" t="s">
        <v>3301</v>
      </c>
      <c r="D137" s="56" t="s">
        <v>3301</v>
      </c>
      <c r="E137" s="56">
        <v>48.66104</v>
      </c>
      <c r="F137" s="56">
        <v>7.7667900000000003</v>
      </c>
      <c r="G137" s="56">
        <v>77000</v>
      </c>
    </row>
    <row r="138" spans="1:7" x14ac:dyDescent="0.35">
      <c r="A138" t="s">
        <v>131</v>
      </c>
      <c r="B138" s="56" t="s">
        <v>3302</v>
      </c>
      <c r="C138" s="56" t="s">
        <v>3303</v>
      </c>
      <c r="D138" s="56" t="s">
        <v>3304</v>
      </c>
      <c r="E138" s="56">
        <v>43.39076</v>
      </c>
      <c r="F138" s="56">
        <v>5.0039600000000002</v>
      </c>
      <c r="G138" s="56">
        <v>220000</v>
      </c>
    </row>
    <row r="139" spans="1:7" x14ac:dyDescent="0.35">
      <c r="A139" t="s">
        <v>131</v>
      </c>
      <c r="B139" s="56" t="s">
        <v>3305</v>
      </c>
      <c r="C139" s="56" t="s">
        <v>3303</v>
      </c>
      <c r="D139" s="56" t="s">
        <v>1257</v>
      </c>
      <c r="E139" s="56">
        <v>43.450319999999998</v>
      </c>
      <c r="F139" s="56">
        <v>4.9242999999999997</v>
      </c>
      <c r="G139" s="56">
        <v>140000</v>
      </c>
    </row>
    <row r="140" spans="1:7" x14ac:dyDescent="0.35">
      <c r="A140" t="s">
        <v>131</v>
      </c>
      <c r="B140" s="56" t="s">
        <v>3306</v>
      </c>
      <c r="C140" s="56" t="s">
        <v>3303</v>
      </c>
      <c r="D140" s="56" t="s">
        <v>3307</v>
      </c>
      <c r="E140" s="56">
        <v>43.503</v>
      </c>
      <c r="F140" s="56">
        <v>5.1875299999999998</v>
      </c>
      <c r="G140" s="56">
        <v>80000</v>
      </c>
    </row>
    <row r="141" spans="1:7" x14ac:dyDescent="0.35">
      <c r="A141" t="s">
        <v>131</v>
      </c>
      <c r="B141" s="56" t="s">
        <v>3308</v>
      </c>
      <c r="C141" s="56" t="s">
        <v>3303</v>
      </c>
      <c r="D141" s="56" t="s">
        <v>3309</v>
      </c>
      <c r="E141" s="56">
        <v>43.395859999999999</v>
      </c>
      <c r="F141" s="56">
        <v>5.1031399999999998</v>
      </c>
      <c r="G141" s="56">
        <v>155000</v>
      </c>
    </row>
    <row r="142" spans="1:7" x14ac:dyDescent="0.35">
      <c r="A142" t="s">
        <v>131</v>
      </c>
      <c r="B142" s="56" t="s">
        <v>3310</v>
      </c>
      <c r="C142" s="56" t="s">
        <v>3311</v>
      </c>
      <c r="D142" s="56" t="s">
        <v>3311</v>
      </c>
      <c r="E142" s="56">
        <v>47.314250000000001</v>
      </c>
      <c r="F142" s="56">
        <v>-2.0720900000000002</v>
      </c>
      <c r="G142" s="56">
        <v>231000</v>
      </c>
    </row>
    <row r="143" spans="1:7" x14ac:dyDescent="0.35">
      <c r="A143" t="s">
        <v>131</v>
      </c>
      <c r="B143" s="56" t="s">
        <v>3312</v>
      </c>
      <c r="C143" s="56" t="s">
        <v>3313</v>
      </c>
      <c r="D143" s="56" t="s">
        <v>1270</v>
      </c>
      <c r="E143" s="56">
        <v>51.021590000000003</v>
      </c>
      <c r="F143" s="56">
        <v>2.2581799999999999</v>
      </c>
      <c r="G143" s="56">
        <v>160000</v>
      </c>
    </row>
    <row r="144" spans="1:7" x14ac:dyDescent="0.35">
      <c r="A144" t="s">
        <v>131</v>
      </c>
      <c r="B144" s="56" t="s">
        <v>3314</v>
      </c>
      <c r="C144" s="56" t="s">
        <v>3315</v>
      </c>
      <c r="D144" s="56" t="s">
        <v>3315</v>
      </c>
      <c r="E144" s="56">
        <v>45.670070000000003</v>
      </c>
      <c r="F144" s="56">
        <v>4.84185</v>
      </c>
      <c r="G144" s="56">
        <v>119000</v>
      </c>
    </row>
    <row r="145" spans="1:7" x14ac:dyDescent="0.35">
      <c r="A145" t="s">
        <v>131</v>
      </c>
      <c r="B145" s="56" t="s">
        <v>3316</v>
      </c>
      <c r="C145" s="56" t="s">
        <v>3317</v>
      </c>
      <c r="D145" s="56" t="s">
        <v>3318</v>
      </c>
      <c r="E145" s="56">
        <v>48.590589999999999</v>
      </c>
      <c r="F145" s="56">
        <v>2.9451399999999999</v>
      </c>
      <c r="G145" s="56">
        <v>99000</v>
      </c>
    </row>
    <row r="146" spans="1:7" x14ac:dyDescent="0.35">
      <c r="A146" t="s">
        <v>131</v>
      </c>
      <c r="B146" s="56" t="s">
        <v>3319</v>
      </c>
      <c r="C146" s="56" t="s">
        <v>3320</v>
      </c>
      <c r="D146" s="56" t="s">
        <v>3320</v>
      </c>
      <c r="E146" s="56">
        <v>49.475000000000001</v>
      </c>
      <c r="F146" s="56">
        <v>0.55076999999999998</v>
      </c>
      <c r="G146" s="56">
        <v>270000</v>
      </c>
    </row>
    <row r="147" spans="1:7" x14ac:dyDescent="0.35">
      <c r="A147" t="s">
        <v>131</v>
      </c>
      <c r="B147" s="56" t="s">
        <v>3321</v>
      </c>
      <c r="C147" s="56" t="s">
        <v>3320</v>
      </c>
      <c r="D147" s="56" t="s">
        <v>3320</v>
      </c>
      <c r="E147" s="56">
        <v>49.486800000000002</v>
      </c>
      <c r="F147" s="56">
        <v>0.24085999999999999</v>
      </c>
      <c r="G147" s="56">
        <v>343000</v>
      </c>
    </row>
    <row r="148" spans="1:7" x14ac:dyDescent="0.35">
      <c r="A148" t="s">
        <v>137</v>
      </c>
      <c r="B148" s="56" t="s">
        <v>3322</v>
      </c>
      <c r="C148" s="56" t="s">
        <v>3323</v>
      </c>
      <c r="D148" s="56" t="s">
        <v>3324</v>
      </c>
      <c r="E148" s="56">
        <v>-0.68884999999999996</v>
      </c>
      <c r="F148" s="56">
        <v>8.7676200000000009</v>
      </c>
      <c r="G148" s="56">
        <v>21000</v>
      </c>
    </row>
    <row r="149" spans="1:7" x14ac:dyDescent="0.35">
      <c r="A149" t="s">
        <v>141</v>
      </c>
      <c r="B149" s="56" t="s">
        <v>3325</v>
      </c>
      <c r="C149" s="56" t="s">
        <v>3326</v>
      </c>
      <c r="D149" s="56" t="s">
        <v>3327</v>
      </c>
      <c r="E149" s="56">
        <v>49.058950000000003</v>
      </c>
      <c r="F149" s="56">
        <v>8.3298799999999993</v>
      </c>
      <c r="G149" s="56">
        <v>285000</v>
      </c>
    </row>
    <row r="150" spans="1:7" x14ac:dyDescent="0.35">
      <c r="A150" t="s">
        <v>141</v>
      </c>
      <c r="B150" s="56" t="s">
        <v>3328</v>
      </c>
      <c r="C150" s="56" t="s">
        <v>3329</v>
      </c>
      <c r="D150" s="56" t="s">
        <v>3330</v>
      </c>
      <c r="E150" s="56">
        <v>48.749250000000004</v>
      </c>
      <c r="F150" s="56">
        <v>11.484299999999999</v>
      </c>
      <c r="G150" s="56">
        <v>262000</v>
      </c>
    </row>
    <row r="151" spans="1:7" x14ac:dyDescent="0.35">
      <c r="A151" t="s">
        <v>141</v>
      </c>
      <c r="B151" s="56" t="s">
        <v>3331</v>
      </c>
      <c r="C151" s="56" t="s">
        <v>3329</v>
      </c>
      <c r="D151" s="56" t="s">
        <v>3330</v>
      </c>
      <c r="E151" s="56">
        <v>48.789430000000003</v>
      </c>
      <c r="F151" s="56">
        <v>11.47254</v>
      </c>
      <c r="G151" s="56">
        <v>106000</v>
      </c>
    </row>
    <row r="152" spans="1:7" x14ac:dyDescent="0.35">
      <c r="A152" t="s">
        <v>141</v>
      </c>
      <c r="B152" s="56" t="s">
        <v>3332</v>
      </c>
      <c r="C152" s="56" t="s">
        <v>3329</v>
      </c>
      <c r="D152" s="56" t="s">
        <v>3330</v>
      </c>
      <c r="E152" s="56">
        <v>48.192540000000001</v>
      </c>
      <c r="F152" s="56">
        <v>12.84201</v>
      </c>
      <c r="G152" s="56">
        <v>70000</v>
      </c>
    </row>
    <row r="153" spans="1:7" x14ac:dyDescent="0.35">
      <c r="A153" t="s">
        <v>141</v>
      </c>
      <c r="B153" s="56" t="s">
        <v>3333</v>
      </c>
      <c r="C153" s="56" t="s">
        <v>3334</v>
      </c>
      <c r="D153" s="56" t="s">
        <v>3334</v>
      </c>
      <c r="E153" s="56">
        <v>53.096519999999998</v>
      </c>
      <c r="F153" s="56">
        <v>14.235200000000001</v>
      </c>
      <c r="G153" s="56">
        <v>210000</v>
      </c>
    </row>
    <row r="154" spans="1:7" x14ac:dyDescent="0.35">
      <c r="A154" t="s">
        <v>141</v>
      </c>
      <c r="B154" s="56" t="s">
        <v>3335</v>
      </c>
      <c r="C154" s="56" t="s">
        <v>1405</v>
      </c>
      <c r="D154" s="56" t="s">
        <v>1405</v>
      </c>
      <c r="E154" s="56">
        <v>53.486600000000003</v>
      </c>
      <c r="F154" s="56">
        <v>9.9707100000000004</v>
      </c>
      <c r="G154" s="56">
        <v>110000</v>
      </c>
    </row>
    <row r="155" spans="1:7" x14ac:dyDescent="0.35">
      <c r="A155" t="s">
        <v>141</v>
      </c>
      <c r="B155" s="56" t="s">
        <v>3336</v>
      </c>
      <c r="C155" s="56" t="s">
        <v>1405</v>
      </c>
      <c r="D155" s="56" t="s">
        <v>1405</v>
      </c>
      <c r="E155" s="56">
        <v>53.486609999999999</v>
      </c>
      <c r="F155" s="56">
        <v>9.9707799999999995</v>
      </c>
      <c r="G155" s="56">
        <v>95000</v>
      </c>
    </row>
    <row r="156" spans="1:7" x14ac:dyDescent="0.35">
      <c r="A156" t="s">
        <v>141</v>
      </c>
      <c r="B156" s="56" t="s">
        <v>3337</v>
      </c>
      <c r="C156" s="56" t="s">
        <v>3338</v>
      </c>
      <c r="D156" s="56" t="s">
        <v>3339</v>
      </c>
      <c r="E156" s="56">
        <v>53.546770000000002</v>
      </c>
      <c r="F156" s="56">
        <v>8.15151</v>
      </c>
      <c r="G156" s="56">
        <v>220000</v>
      </c>
    </row>
    <row r="157" spans="1:7" x14ac:dyDescent="0.35">
      <c r="A157" t="s">
        <v>141</v>
      </c>
      <c r="B157" s="56" t="s">
        <v>3340</v>
      </c>
      <c r="C157" s="56" t="s">
        <v>3338</v>
      </c>
      <c r="D157" s="56" t="s">
        <v>3339</v>
      </c>
      <c r="E157" s="56">
        <v>52.561199999999999</v>
      </c>
      <c r="F157" s="56">
        <v>7.3078700000000003</v>
      </c>
      <c r="G157" s="56">
        <v>80000</v>
      </c>
    </row>
    <row r="158" spans="1:7" x14ac:dyDescent="0.35">
      <c r="A158" t="s">
        <v>141</v>
      </c>
      <c r="B158" s="56" t="s">
        <v>3341</v>
      </c>
      <c r="C158" s="56" t="s">
        <v>3342</v>
      </c>
      <c r="D158" s="56" t="s">
        <v>3343</v>
      </c>
      <c r="E158" s="56">
        <v>51.537669999999999</v>
      </c>
      <c r="F158" s="56">
        <v>7.0473600000000003</v>
      </c>
      <c r="G158" s="56">
        <v>246000</v>
      </c>
    </row>
    <row r="159" spans="1:7" x14ac:dyDescent="0.35">
      <c r="A159" t="s">
        <v>141</v>
      </c>
      <c r="B159" s="56" t="s">
        <v>3344</v>
      </c>
      <c r="C159" s="56" t="s">
        <v>3342</v>
      </c>
      <c r="D159" s="56" t="s">
        <v>3345</v>
      </c>
      <c r="E159" s="56">
        <v>50.860799999999998</v>
      </c>
      <c r="F159" s="56">
        <v>6.9865599999999999</v>
      </c>
      <c r="G159" s="56">
        <v>162000</v>
      </c>
    </row>
    <row r="160" spans="1:7" x14ac:dyDescent="0.35">
      <c r="A160" t="s">
        <v>141</v>
      </c>
      <c r="B160" s="56" t="s">
        <v>3346</v>
      </c>
      <c r="C160" s="56" t="s">
        <v>3347</v>
      </c>
      <c r="D160" s="56" t="s">
        <v>3348</v>
      </c>
      <c r="E160" s="56">
        <v>51.191850000000002</v>
      </c>
      <c r="F160" s="56">
        <v>12.35685</v>
      </c>
      <c r="G160" s="56">
        <v>222000</v>
      </c>
    </row>
    <row r="161" spans="1:7" x14ac:dyDescent="0.35">
      <c r="A161" t="s">
        <v>141</v>
      </c>
      <c r="B161" s="56" t="s">
        <v>3349</v>
      </c>
      <c r="C161" s="56" t="s">
        <v>3350</v>
      </c>
      <c r="D161" s="56" t="s">
        <v>3351</v>
      </c>
      <c r="E161" s="56">
        <v>51.288049999999998</v>
      </c>
      <c r="F161" s="56">
        <v>11.99325</v>
      </c>
      <c r="G161" s="56">
        <v>227000</v>
      </c>
    </row>
    <row r="162" spans="1:7" x14ac:dyDescent="0.35">
      <c r="A162" t="s">
        <v>141</v>
      </c>
      <c r="B162" s="56" t="s">
        <v>3352</v>
      </c>
      <c r="C162" s="56" t="s">
        <v>3353</v>
      </c>
      <c r="D162" s="56" t="s">
        <v>3353</v>
      </c>
      <c r="E162" s="56">
        <v>54.157780000000002</v>
      </c>
      <c r="F162" s="56">
        <v>9.0735100000000006</v>
      </c>
      <c r="G162" s="56">
        <v>84000</v>
      </c>
    </row>
    <row r="163" spans="1:7" x14ac:dyDescent="0.35">
      <c r="A163" t="s">
        <v>372</v>
      </c>
      <c r="B163" s="56" t="s">
        <v>3354</v>
      </c>
      <c r="C163" s="56" t="s">
        <v>3355</v>
      </c>
      <c r="D163" s="56" t="s">
        <v>3356</v>
      </c>
      <c r="E163" s="56">
        <v>5.6673999999999998</v>
      </c>
      <c r="F163" s="56">
        <v>5.3800000000000002E-3</v>
      </c>
      <c r="G163" s="56">
        <v>45000</v>
      </c>
    </row>
    <row r="164" spans="1:7" x14ac:dyDescent="0.35">
      <c r="A164" t="s">
        <v>143</v>
      </c>
      <c r="B164" s="56" t="s">
        <v>3357</v>
      </c>
      <c r="C164" s="56" t="s">
        <v>3358</v>
      </c>
      <c r="D164" s="56" t="s">
        <v>3358</v>
      </c>
      <c r="E164" s="56">
        <v>38.032899999999998</v>
      </c>
      <c r="F164" s="56">
        <v>23.603999999999999</v>
      </c>
      <c r="G164" s="56">
        <v>135000</v>
      </c>
    </row>
    <row r="165" spans="1:7" x14ac:dyDescent="0.35">
      <c r="A165" t="s">
        <v>143</v>
      </c>
      <c r="B165" s="56" t="s">
        <v>3359</v>
      </c>
      <c r="C165" s="56" t="s">
        <v>3358</v>
      </c>
      <c r="D165" s="56" t="s">
        <v>3358</v>
      </c>
      <c r="E165" s="56">
        <v>38.044969999999999</v>
      </c>
      <c r="F165" s="56">
        <v>23.50778</v>
      </c>
      <c r="G165" s="56">
        <v>100000</v>
      </c>
    </row>
    <row r="166" spans="1:7" x14ac:dyDescent="0.35">
      <c r="A166" t="s">
        <v>143</v>
      </c>
      <c r="B166" s="56" t="s">
        <v>3360</v>
      </c>
      <c r="C166" s="56" t="s">
        <v>1415</v>
      </c>
      <c r="D166" s="56" t="s">
        <v>1415</v>
      </c>
      <c r="E166" s="56">
        <v>37.918500000000002</v>
      </c>
      <c r="F166" s="56">
        <v>23.075199999999999</v>
      </c>
      <c r="G166" s="56">
        <v>100000</v>
      </c>
    </row>
    <row r="167" spans="1:7" x14ac:dyDescent="0.35">
      <c r="A167" t="s">
        <v>143</v>
      </c>
      <c r="B167" s="56" t="s">
        <v>3361</v>
      </c>
      <c r="C167" s="56" t="s">
        <v>1414</v>
      </c>
      <c r="D167" s="56" t="s">
        <v>1414</v>
      </c>
      <c r="E167" s="56">
        <v>40.680079999999997</v>
      </c>
      <c r="F167" s="56">
        <v>22.881540000000001</v>
      </c>
      <c r="G167" s="56">
        <v>66500</v>
      </c>
    </row>
    <row r="168" spans="1:7" x14ac:dyDescent="0.35">
      <c r="A168" t="s">
        <v>159</v>
      </c>
      <c r="B168" s="56" t="s">
        <v>3362</v>
      </c>
      <c r="C168" s="56" t="s">
        <v>3363</v>
      </c>
      <c r="D168" s="56" t="s">
        <v>3364</v>
      </c>
      <c r="E168" s="56">
        <v>47.286439999999999</v>
      </c>
      <c r="F168" s="56">
        <v>18.898029999999999</v>
      </c>
      <c r="G168" s="56">
        <v>161000</v>
      </c>
    </row>
    <row r="169" spans="1:7" x14ac:dyDescent="0.35">
      <c r="A169" t="s">
        <v>384</v>
      </c>
      <c r="B169" s="56" t="s">
        <v>3365</v>
      </c>
      <c r="C169" s="56" t="s">
        <v>3366</v>
      </c>
      <c r="D169" s="56" t="s">
        <v>3367</v>
      </c>
      <c r="E169" s="56">
        <v>5.22349</v>
      </c>
      <c r="F169" s="56">
        <v>97.082899999999995</v>
      </c>
      <c r="G169" s="56">
        <v>135200</v>
      </c>
    </row>
    <row r="170" spans="1:7" x14ac:dyDescent="0.35">
      <c r="A170" t="s">
        <v>384</v>
      </c>
      <c r="B170" s="56" t="s">
        <v>3368</v>
      </c>
      <c r="C170" s="56" t="s">
        <v>3369</v>
      </c>
      <c r="D170" s="56" t="s">
        <v>3370</v>
      </c>
      <c r="E170" s="56">
        <v>-6.3716999999999997</v>
      </c>
      <c r="F170" s="56">
        <v>108.38807</v>
      </c>
      <c r="G170" s="56">
        <v>125000</v>
      </c>
    </row>
    <row r="171" spans="1:7" x14ac:dyDescent="0.35">
      <c r="A171" t="s">
        <v>384</v>
      </c>
      <c r="B171" s="56" t="s">
        <v>3371</v>
      </c>
      <c r="C171" s="56" t="s">
        <v>3372</v>
      </c>
      <c r="D171" s="56" t="s">
        <v>3373</v>
      </c>
      <c r="E171" s="56">
        <v>-7.69963</v>
      </c>
      <c r="F171" s="56">
        <v>109.00093</v>
      </c>
      <c r="G171" s="56">
        <v>348000</v>
      </c>
    </row>
    <row r="172" spans="1:7" x14ac:dyDescent="0.35">
      <c r="A172" t="s">
        <v>384</v>
      </c>
      <c r="B172" s="56" t="s">
        <v>3374</v>
      </c>
      <c r="C172" s="56" t="s">
        <v>3375</v>
      </c>
      <c r="D172" s="56" t="s">
        <v>3376</v>
      </c>
      <c r="E172" s="56">
        <v>-1.2626999999999999</v>
      </c>
      <c r="F172" s="56">
        <v>116.81618</v>
      </c>
      <c r="G172" s="56">
        <v>260000</v>
      </c>
    </row>
    <row r="173" spans="1:7" x14ac:dyDescent="0.35">
      <c r="A173" t="s">
        <v>384</v>
      </c>
      <c r="B173" s="56" t="s">
        <v>3377</v>
      </c>
      <c r="C173" s="56" t="s">
        <v>3378</v>
      </c>
      <c r="D173" s="56" t="s">
        <v>3379</v>
      </c>
      <c r="E173" s="56">
        <v>1.6784600000000001</v>
      </c>
      <c r="F173" s="56">
        <v>101.47248</v>
      </c>
      <c r="G173" s="56">
        <v>120000</v>
      </c>
    </row>
    <row r="174" spans="1:7" x14ac:dyDescent="0.35">
      <c r="A174" t="s">
        <v>384</v>
      </c>
      <c r="B174" s="56" t="s">
        <v>3380</v>
      </c>
      <c r="C174" s="56" t="s">
        <v>3381</v>
      </c>
      <c r="D174" s="56" t="s">
        <v>3382</v>
      </c>
      <c r="E174" s="56">
        <v>-2.9781599999999999</v>
      </c>
      <c r="F174" s="56">
        <v>104.79944</v>
      </c>
      <c r="G174" s="56">
        <v>50000</v>
      </c>
    </row>
    <row r="175" spans="1:7" x14ac:dyDescent="0.35">
      <c r="A175" t="s">
        <v>389</v>
      </c>
      <c r="B175" s="56" t="s">
        <v>3383</v>
      </c>
      <c r="C175" s="56" t="s">
        <v>3384</v>
      </c>
      <c r="D175" s="56" t="s">
        <v>3385</v>
      </c>
      <c r="E175" s="56">
        <v>34.070039999999999</v>
      </c>
      <c r="F175" s="56">
        <v>42.360759999999999</v>
      </c>
      <c r="G175" s="56">
        <v>14000</v>
      </c>
    </row>
    <row r="176" spans="1:7" x14ac:dyDescent="0.35">
      <c r="A176" t="s">
        <v>389</v>
      </c>
      <c r="B176" s="56" t="s">
        <v>3386</v>
      </c>
      <c r="C176" s="56" t="s">
        <v>3387</v>
      </c>
      <c r="D176" s="56" t="s">
        <v>3388</v>
      </c>
      <c r="E176" s="56">
        <v>30.53828</v>
      </c>
      <c r="F176" s="56">
        <v>47.822240000000001</v>
      </c>
      <c r="G176" s="56">
        <v>126000</v>
      </c>
    </row>
    <row r="177" spans="1:7" x14ac:dyDescent="0.35">
      <c r="A177" t="s">
        <v>389</v>
      </c>
      <c r="B177" s="56" t="s">
        <v>3389</v>
      </c>
      <c r="C177" s="56" t="s">
        <v>3390</v>
      </c>
      <c r="D177" s="56" t="s">
        <v>3391</v>
      </c>
      <c r="E177" s="56">
        <v>31.33652</v>
      </c>
      <c r="F177" s="56">
        <v>45.262259999999998</v>
      </c>
      <c r="G177" s="56">
        <v>27000</v>
      </c>
    </row>
    <row r="178" spans="1:7" x14ac:dyDescent="0.35">
      <c r="A178" t="s">
        <v>389</v>
      </c>
      <c r="B178" s="56" t="s">
        <v>3392</v>
      </c>
      <c r="C178" s="56" t="s">
        <v>3393</v>
      </c>
      <c r="D178" s="56" t="s">
        <v>3394</v>
      </c>
      <c r="E178" s="56">
        <v>35.516150000000003</v>
      </c>
      <c r="F178" s="56">
        <v>44.313130000000001</v>
      </c>
      <c r="G178" s="56">
        <v>27000</v>
      </c>
    </row>
    <row r="179" spans="1:7" x14ac:dyDescent="0.35">
      <c r="A179" t="s">
        <v>389</v>
      </c>
      <c r="B179" s="56" t="s">
        <v>3395</v>
      </c>
      <c r="C179" s="56" t="s">
        <v>3396</v>
      </c>
      <c r="D179" s="56" t="s">
        <v>3397</v>
      </c>
      <c r="E179" s="56">
        <v>33.274920000000002</v>
      </c>
      <c r="F179" s="56">
        <v>44.432360000000003</v>
      </c>
      <c r="G179" s="56">
        <v>100000</v>
      </c>
    </row>
    <row r="180" spans="1:7" x14ac:dyDescent="0.35">
      <c r="A180" t="s">
        <v>389</v>
      </c>
      <c r="B180" s="56" t="s">
        <v>3398</v>
      </c>
      <c r="C180" s="56" t="s">
        <v>3399</v>
      </c>
      <c r="D180" s="56" t="s">
        <v>3400</v>
      </c>
      <c r="E180" s="56">
        <v>34.320599999999999</v>
      </c>
      <c r="F180" s="56">
        <v>45.380360000000003</v>
      </c>
      <c r="G180" s="56">
        <v>10000</v>
      </c>
    </row>
    <row r="181" spans="1:7" x14ac:dyDescent="0.35">
      <c r="A181" t="s">
        <v>389</v>
      </c>
      <c r="B181" s="56" t="s">
        <v>3401</v>
      </c>
      <c r="C181" s="56" t="s">
        <v>3402</v>
      </c>
      <c r="D181" s="56" t="s">
        <v>3403</v>
      </c>
      <c r="E181" s="56">
        <v>35.012</v>
      </c>
      <c r="F181" s="56">
        <v>43.505000000000003</v>
      </c>
      <c r="G181" s="56">
        <v>150000</v>
      </c>
    </row>
    <row r="182" spans="1:7" x14ac:dyDescent="0.35">
      <c r="A182" t="s">
        <v>389</v>
      </c>
      <c r="B182" s="56" t="s">
        <v>3404</v>
      </c>
      <c r="C182" s="56" t="s">
        <v>3402</v>
      </c>
      <c r="D182" s="56" t="s">
        <v>3403</v>
      </c>
      <c r="E182" s="56">
        <v>35.012</v>
      </c>
      <c r="F182" s="56">
        <v>43.505000000000003</v>
      </c>
      <c r="G182" s="56">
        <v>140000</v>
      </c>
    </row>
    <row r="183" spans="1:7" x14ac:dyDescent="0.35">
      <c r="A183" t="s">
        <v>161</v>
      </c>
      <c r="B183" s="56" t="s">
        <v>3405</v>
      </c>
      <c r="C183" s="56" t="s">
        <v>3406</v>
      </c>
      <c r="D183" s="56" t="s">
        <v>3407</v>
      </c>
      <c r="E183" s="56">
        <v>51.819800000000001</v>
      </c>
      <c r="F183" s="56">
        <v>-8.2440999999999995</v>
      </c>
      <c r="G183" s="56">
        <v>71000</v>
      </c>
    </row>
    <row r="184" spans="1:7" x14ac:dyDescent="0.35">
      <c r="A184" t="s">
        <v>386</v>
      </c>
      <c r="B184" s="56" t="s">
        <v>3408</v>
      </c>
      <c r="C184" s="56" t="s">
        <v>3409</v>
      </c>
      <c r="D184" s="56" t="s">
        <v>3410</v>
      </c>
      <c r="E184" s="56">
        <v>37.490549999999999</v>
      </c>
      <c r="F184" s="56">
        <v>45.92754</v>
      </c>
      <c r="G184" s="56">
        <v>40000</v>
      </c>
    </row>
    <row r="185" spans="1:7" x14ac:dyDescent="0.35">
      <c r="A185" t="s">
        <v>386</v>
      </c>
      <c r="B185" s="56" t="s">
        <v>3411</v>
      </c>
      <c r="C185" s="56" t="s">
        <v>3409</v>
      </c>
      <c r="D185" s="56" t="s">
        <v>2374</v>
      </c>
      <c r="E185" s="56">
        <v>38.05921</v>
      </c>
      <c r="F185" s="56">
        <v>46.16122</v>
      </c>
      <c r="G185" s="56">
        <v>112000</v>
      </c>
    </row>
    <row r="186" spans="1:7" x14ac:dyDescent="0.35">
      <c r="A186" t="s">
        <v>386</v>
      </c>
      <c r="B186" s="56" t="s">
        <v>3412</v>
      </c>
      <c r="C186" s="56" t="s">
        <v>3413</v>
      </c>
      <c r="D186" s="56" t="s">
        <v>2461</v>
      </c>
      <c r="E186" s="56">
        <v>30.349830000000001</v>
      </c>
      <c r="F186" s="56">
        <v>48.277979999999999</v>
      </c>
      <c r="G186" s="56">
        <v>400000</v>
      </c>
    </row>
    <row r="187" spans="1:7" x14ac:dyDescent="0.35">
      <c r="A187" t="s">
        <v>386</v>
      </c>
      <c r="B187" s="56" t="s">
        <v>3414</v>
      </c>
      <c r="C187" s="56" t="s">
        <v>3415</v>
      </c>
      <c r="D187" s="56" t="s">
        <v>2497</v>
      </c>
      <c r="E187" s="56">
        <v>34.008049999999997</v>
      </c>
      <c r="F187" s="56">
        <v>49.476779999999998</v>
      </c>
      <c r="G187" s="56">
        <v>150000</v>
      </c>
    </row>
    <row r="188" spans="1:7" x14ac:dyDescent="0.35">
      <c r="A188" t="s">
        <v>386</v>
      </c>
      <c r="B188" s="56" t="s">
        <v>3416</v>
      </c>
      <c r="C188" s="56" t="s">
        <v>2376</v>
      </c>
      <c r="D188" s="56" t="s">
        <v>3417</v>
      </c>
      <c r="E188" s="56">
        <v>35.538870000000003</v>
      </c>
      <c r="F188" s="56">
        <v>51.427950000000003</v>
      </c>
      <c r="G188" s="56">
        <v>225000</v>
      </c>
    </row>
    <row r="189" spans="1:7" x14ac:dyDescent="0.35">
      <c r="A189" t="s">
        <v>391</v>
      </c>
      <c r="B189" s="56" t="s">
        <v>3418</v>
      </c>
      <c r="C189" s="56" t="s">
        <v>3419</v>
      </c>
      <c r="D189" s="56" t="s">
        <v>3420</v>
      </c>
      <c r="E189" s="56">
        <v>31.844529999999999</v>
      </c>
      <c r="F189" s="56">
        <v>34.682810000000003</v>
      </c>
      <c r="G189" s="56">
        <v>115000</v>
      </c>
    </row>
    <row r="190" spans="1:7" x14ac:dyDescent="0.35">
      <c r="A190" t="s">
        <v>391</v>
      </c>
      <c r="B190" s="56" t="s">
        <v>3421</v>
      </c>
      <c r="C190" s="56" t="s">
        <v>3419</v>
      </c>
      <c r="D190" s="56" t="s">
        <v>3422</v>
      </c>
      <c r="E190" s="56">
        <v>31.635619999999999</v>
      </c>
      <c r="F190" s="56">
        <v>34.528820000000003</v>
      </c>
      <c r="G190" s="56">
        <v>125000</v>
      </c>
    </row>
    <row r="191" spans="1:7" x14ac:dyDescent="0.35">
      <c r="A191" t="s">
        <v>163</v>
      </c>
      <c r="B191" s="56" t="s">
        <v>3423</v>
      </c>
      <c r="C191" s="56" t="s">
        <v>3424</v>
      </c>
      <c r="D191" s="56" t="s">
        <v>3425</v>
      </c>
      <c r="E191" s="56">
        <v>43.6387</v>
      </c>
      <c r="F191" s="56">
        <v>13.37947</v>
      </c>
      <c r="G191" s="56">
        <v>85000</v>
      </c>
    </row>
    <row r="192" spans="1:7" x14ac:dyDescent="0.35">
      <c r="A192" t="s">
        <v>163</v>
      </c>
      <c r="B192" s="56" t="s">
        <v>3426</v>
      </c>
      <c r="C192" s="56" t="s">
        <v>3427</v>
      </c>
      <c r="D192" s="56" t="s">
        <v>1464</v>
      </c>
      <c r="E192" s="56">
        <v>39.07734</v>
      </c>
      <c r="F192" s="56">
        <v>9.0183999999999997</v>
      </c>
      <c r="G192" s="56">
        <v>300000</v>
      </c>
    </row>
    <row r="193" spans="1:7" x14ac:dyDescent="0.35">
      <c r="A193" t="s">
        <v>163</v>
      </c>
      <c r="B193" s="56" t="s">
        <v>3428</v>
      </c>
      <c r="C193" s="56" t="s">
        <v>3429</v>
      </c>
      <c r="D193" s="56" t="s">
        <v>1437</v>
      </c>
      <c r="E193" s="56">
        <v>37.054490000000001</v>
      </c>
      <c r="F193" s="56">
        <v>14.2745</v>
      </c>
      <c r="G193" s="56">
        <v>100000</v>
      </c>
    </row>
    <row r="194" spans="1:7" x14ac:dyDescent="0.35">
      <c r="A194" t="s">
        <v>163</v>
      </c>
      <c r="B194" s="56" t="s">
        <v>3430</v>
      </c>
      <c r="C194" s="56" t="s">
        <v>3431</v>
      </c>
      <c r="D194" s="56" t="s">
        <v>3431</v>
      </c>
      <c r="E194" s="56">
        <v>45.138080000000002</v>
      </c>
      <c r="F194" s="56">
        <v>9.9906799999999993</v>
      </c>
      <c r="G194" s="56">
        <v>96000</v>
      </c>
    </row>
    <row r="195" spans="1:7" x14ac:dyDescent="0.35">
      <c r="A195" t="s">
        <v>163</v>
      </c>
      <c r="B195" s="56" t="s">
        <v>3432</v>
      </c>
      <c r="C195" s="56" t="s">
        <v>3433</v>
      </c>
      <c r="D195" s="56" t="s">
        <v>1449</v>
      </c>
      <c r="E195" s="56">
        <v>44.574710000000003</v>
      </c>
      <c r="F195" s="56">
        <v>8.9476099999999992</v>
      </c>
      <c r="G195" s="56">
        <v>40000</v>
      </c>
    </row>
    <row r="196" spans="1:7" x14ac:dyDescent="0.35">
      <c r="A196" t="s">
        <v>163</v>
      </c>
      <c r="B196" s="56" t="s">
        <v>3434</v>
      </c>
      <c r="C196" s="56" t="s">
        <v>3435</v>
      </c>
      <c r="D196" s="56" t="s">
        <v>3436</v>
      </c>
      <c r="E196" s="56">
        <v>43.587380000000003</v>
      </c>
      <c r="F196" s="56">
        <v>10.337400000000001</v>
      </c>
      <c r="G196" s="56">
        <v>84000</v>
      </c>
    </row>
    <row r="197" spans="1:7" x14ac:dyDescent="0.35">
      <c r="A197" t="s">
        <v>163</v>
      </c>
      <c r="B197" s="56" t="s">
        <v>3437</v>
      </c>
      <c r="C197" s="56" t="s">
        <v>3438</v>
      </c>
      <c r="D197" s="56" t="s">
        <v>3439</v>
      </c>
      <c r="E197" s="56">
        <v>45.148389999999999</v>
      </c>
      <c r="F197" s="56">
        <v>10.8217</v>
      </c>
      <c r="G197" s="56">
        <v>55000</v>
      </c>
    </row>
    <row r="198" spans="1:7" x14ac:dyDescent="0.35">
      <c r="A198" t="s">
        <v>163</v>
      </c>
      <c r="B198" s="56" t="s">
        <v>3440</v>
      </c>
      <c r="C198" s="56" t="s">
        <v>3441</v>
      </c>
      <c r="D198" s="56" t="s">
        <v>1457</v>
      </c>
      <c r="E198" s="56">
        <v>38.203409999999998</v>
      </c>
      <c r="F198" s="56">
        <v>15.27267</v>
      </c>
      <c r="G198" s="56">
        <v>80000</v>
      </c>
    </row>
    <row r="199" spans="1:7" x14ac:dyDescent="0.35">
      <c r="A199" t="s">
        <v>163</v>
      </c>
      <c r="B199" s="56" t="s">
        <v>3442</v>
      </c>
      <c r="C199" s="56" t="s">
        <v>1454</v>
      </c>
      <c r="D199" s="56" t="s">
        <v>3443</v>
      </c>
      <c r="E199" s="56">
        <v>45.439799999999998</v>
      </c>
      <c r="F199" s="56">
        <v>8.7873900000000003</v>
      </c>
      <c r="G199" s="56">
        <v>200000</v>
      </c>
    </row>
    <row r="200" spans="1:7" x14ac:dyDescent="0.35">
      <c r="A200" t="s">
        <v>163</v>
      </c>
      <c r="B200" s="56" t="s">
        <v>3444</v>
      </c>
      <c r="C200" s="56" t="s">
        <v>3445</v>
      </c>
      <c r="D200" s="56" t="s">
        <v>3446</v>
      </c>
      <c r="E200" s="56">
        <v>45.099850000000004</v>
      </c>
      <c r="F200" s="56">
        <v>8.8768200000000004</v>
      </c>
      <c r="G200" s="56">
        <v>170000</v>
      </c>
    </row>
    <row r="201" spans="1:7" x14ac:dyDescent="0.35">
      <c r="A201" t="s">
        <v>163</v>
      </c>
      <c r="B201" s="56" t="s">
        <v>3447</v>
      </c>
      <c r="C201" s="56" t="s">
        <v>3448</v>
      </c>
      <c r="D201" s="56" t="s">
        <v>3448</v>
      </c>
      <c r="E201" s="56">
        <v>41.858080000000001</v>
      </c>
      <c r="F201" s="56">
        <v>12.32272</v>
      </c>
      <c r="G201" s="56">
        <v>90000</v>
      </c>
    </row>
    <row r="202" spans="1:7" x14ac:dyDescent="0.35">
      <c r="A202" t="s">
        <v>163</v>
      </c>
      <c r="B202" s="56" t="s">
        <v>3449</v>
      </c>
      <c r="C202" s="56" t="s">
        <v>3450</v>
      </c>
      <c r="D202" s="56" t="s">
        <v>938</v>
      </c>
      <c r="E202" s="56">
        <v>37.212670000000003</v>
      </c>
      <c r="F202" s="56">
        <v>15.17163</v>
      </c>
      <c r="G202" s="56">
        <v>190000</v>
      </c>
    </row>
    <row r="203" spans="1:7" x14ac:dyDescent="0.35">
      <c r="A203" t="s">
        <v>163</v>
      </c>
      <c r="B203" s="56" t="s">
        <v>3451</v>
      </c>
      <c r="C203" s="56" t="s">
        <v>3450</v>
      </c>
      <c r="D203" s="56" t="s">
        <v>3450</v>
      </c>
      <c r="E203" s="56">
        <v>37.181829999999998</v>
      </c>
      <c r="F203" s="56">
        <v>15.188599999999999</v>
      </c>
      <c r="G203" s="56">
        <v>160000</v>
      </c>
    </row>
    <row r="204" spans="1:7" x14ac:dyDescent="0.35">
      <c r="A204" t="s">
        <v>163</v>
      </c>
      <c r="B204" s="56" t="s">
        <v>3452</v>
      </c>
      <c r="C204" s="56" t="s">
        <v>3450</v>
      </c>
      <c r="D204" s="56" t="s">
        <v>3450</v>
      </c>
      <c r="E204" s="56">
        <v>37.124209999999998</v>
      </c>
      <c r="F204" s="56">
        <v>15.2155</v>
      </c>
      <c r="G204" s="56">
        <v>214000</v>
      </c>
    </row>
    <row r="205" spans="1:7" x14ac:dyDescent="0.35">
      <c r="A205" t="s">
        <v>163</v>
      </c>
      <c r="B205" s="56" t="s">
        <v>3453</v>
      </c>
      <c r="C205" s="56" t="s">
        <v>1442</v>
      </c>
      <c r="D205" s="56" t="s">
        <v>3454</v>
      </c>
      <c r="E205" s="56">
        <v>40.489469999999997</v>
      </c>
      <c r="F205" s="56">
        <v>17.19333</v>
      </c>
      <c r="G205" s="56">
        <v>110000</v>
      </c>
    </row>
    <row r="206" spans="1:7" x14ac:dyDescent="0.35">
      <c r="A206" t="s">
        <v>163</v>
      </c>
      <c r="B206" s="56" t="s">
        <v>3455</v>
      </c>
      <c r="C206" s="56" t="s">
        <v>3456</v>
      </c>
      <c r="D206" s="56" t="s">
        <v>3457</v>
      </c>
      <c r="E206" s="56">
        <v>45.459899999999998</v>
      </c>
      <c r="F206" s="56">
        <v>12.26971</v>
      </c>
      <c r="G206" s="56">
        <v>80000</v>
      </c>
    </row>
    <row r="207" spans="1:7" x14ac:dyDescent="0.35">
      <c r="A207" t="s">
        <v>167</v>
      </c>
      <c r="B207" s="56" t="s">
        <v>3458</v>
      </c>
      <c r="C207" s="56" t="s">
        <v>3459</v>
      </c>
      <c r="D207" s="56" t="s">
        <v>3460</v>
      </c>
      <c r="E207" s="56">
        <v>47.165140000000001</v>
      </c>
      <c r="F207" s="56">
        <v>51.869100000000003</v>
      </c>
      <c r="G207" s="56">
        <v>104400</v>
      </c>
    </row>
    <row r="208" spans="1:7" x14ac:dyDescent="0.35">
      <c r="A208" t="s">
        <v>167</v>
      </c>
      <c r="B208" s="56" t="s">
        <v>3461</v>
      </c>
      <c r="C208" s="56" t="s">
        <v>3462</v>
      </c>
      <c r="D208" s="56" t="s">
        <v>3463</v>
      </c>
      <c r="E208" s="56">
        <v>52.370809999999999</v>
      </c>
      <c r="F208" s="56">
        <v>76.912629999999993</v>
      </c>
      <c r="G208" s="56">
        <v>162666</v>
      </c>
    </row>
    <row r="209" spans="1:7" x14ac:dyDescent="0.35">
      <c r="A209" t="s">
        <v>167</v>
      </c>
      <c r="B209" s="56" t="s">
        <v>3464</v>
      </c>
      <c r="C209" s="56" t="s">
        <v>3465</v>
      </c>
      <c r="D209" s="56" t="s">
        <v>3466</v>
      </c>
      <c r="E209" s="56">
        <v>42.26126</v>
      </c>
      <c r="F209" s="56">
        <v>69.652609999999996</v>
      </c>
      <c r="G209" s="56">
        <v>160000</v>
      </c>
    </row>
    <row r="210" spans="1:7" x14ac:dyDescent="0.35">
      <c r="A210" t="s">
        <v>169</v>
      </c>
      <c r="B210" s="56" t="s">
        <v>3467</v>
      </c>
      <c r="C210" s="56" t="s">
        <v>3468</v>
      </c>
      <c r="D210" s="56" t="s">
        <v>3469</v>
      </c>
      <c r="E210" s="56">
        <v>-4.0575299999999999</v>
      </c>
      <c r="F210" s="56">
        <v>39.651980000000002</v>
      </c>
      <c r="G210" s="56">
        <v>90000</v>
      </c>
    </row>
    <row r="211" spans="1:7" x14ac:dyDescent="0.35">
      <c r="A211" t="s">
        <v>399</v>
      </c>
      <c r="B211" s="56" t="s">
        <v>3470</v>
      </c>
      <c r="C211" s="56" t="s">
        <v>3471</v>
      </c>
      <c r="D211" s="56" t="s">
        <v>3472</v>
      </c>
      <c r="E211" s="56">
        <v>29.006900000000002</v>
      </c>
      <c r="F211" s="56">
        <v>48.151249999999997</v>
      </c>
      <c r="G211" s="56">
        <v>240000</v>
      </c>
    </row>
    <row r="212" spans="1:7" x14ac:dyDescent="0.35">
      <c r="A212" t="s">
        <v>399</v>
      </c>
      <c r="B212" s="56" t="s">
        <v>3473</v>
      </c>
      <c r="C212" s="56" t="s">
        <v>3471</v>
      </c>
      <c r="D212" s="56" t="s">
        <v>3472</v>
      </c>
      <c r="E212" s="56">
        <v>29.066569999999999</v>
      </c>
      <c r="F212" s="56">
        <v>48.134810000000002</v>
      </c>
      <c r="G212" s="56">
        <v>412000</v>
      </c>
    </row>
    <row r="213" spans="1:7" x14ac:dyDescent="0.35">
      <c r="A213" t="s">
        <v>399</v>
      </c>
      <c r="B213" s="56" t="s">
        <v>3474</v>
      </c>
      <c r="C213" s="56" t="s">
        <v>3471</v>
      </c>
      <c r="D213" s="56" t="s">
        <v>3472</v>
      </c>
      <c r="E213" s="56">
        <v>29.034610000000001</v>
      </c>
      <c r="F213" s="56">
        <v>48.140250000000002</v>
      </c>
      <c r="G213" s="56">
        <v>179000</v>
      </c>
    </row>
    <row r="214" spans="1:7" x14ac:dyDescent="0.35">
      <c r="A214" t="s">
        <v>403</v>
      </c>
      <c r="B214" s="56" t="s">
        <v>3475</v>
      </c>
      <c r="C214" s="56" t="s">
        <v>3476</v>
      </c>
      <c r="D214" s="56" t="s">
        <v>3477</v>
      </c>
      <c r="E214" s="56">
        <v>30.396380000000001</v>
      </c>
      <c r="F214" s="56">
        <v>19.61702</v>
      </c>
      <c r="G214" s="56">
        <v>10000</v>
      </c>
    </row>
    <row r="215" spans="1:7" x14ac:dyDescent="0.35">
      <c r="A215" t="s">
        <v>403</v>
      </c>
      <c r="B215" s="56" t="s">
        <v>3478</v>
      </c>
      <c r="C215" s="56" t="s">
        <v>3479</v>
      </c>
      <c r="D215" s="56" t="s">
        <v>3480</v>
      </c>
      <c r="E215" s="56">
        <v>32.786180000000002</v>
      </c>
      <c r="F215" s="56">
        <v>12.69664</v>
      </c>
      <c r="G215" s="56">
        <v>120000</v>
      </c>
    </row>
    <row r="216" spans="1:7" x14ac:dyDescent="0.35">
      <c r="A216" t="s">
        <v>403</v>
      </c>
      <c r="B216" s="56" t="s">
        <v>3481</v>
      </c>
      <c r="C216" s="56" t="s">
        <v>3482</v>
      </c>
      <c r="D216" s="56" t="s">
        <v>3483</v>
      </c>
      <c r="E216" s="56">
        <v>30.47701</v>
      </c>
      <c r="F216" s="56">
        <v>18.574739999999998</v>
      </c>
      <c r="G216" s="56">
        <v>220000</v>
      </c>
    </row>
    <row r="217" spans="1:7" x14ac:dyDescent="0.35">
      <c r="A217" t="s">
        <v>185</v>
      </c>
      <c r="B217" s="56" t="s">
        <v>3484</v>
      </c>
      <c r="C217" s="56" t="s">
        <v>3485</v>
      </c>
      <c r="D217" s="56" t="s">
        <v>3486</v>
      </c>
      <c r="E217" s="56">
        <v>56.060200000000002</v>
      </c>
      <c r="F217" s="56">
        <v>21.105920000000001</v>
      </c>
      <c r="G217" s="56">
        <v>263000</v>
      </c>
    </row>
    <row r="218" spans="1:7" x14ac:dyDescent="0.35">
      <c r="A218" t="s">
        <v>197</v>
      </c>
      <c r="B218" s="56" t="s">
        <v>3487</v>
      </c>
      <c r="C218" s="56" t="s">
        <v>3488</v>
      </c>
      <c r="D218" s="56" t="s">
        <v>3489</v>
      </c>
      <c r="E218" s="56">
        <v>2.2690800000000002</v>
      </c>
      <c r="F218" s="56">
        <v>102.13342</v>
      </c>
      <c r="G218" s="56">
        <v>93000</v>
      </c>
    </row>
    <row r="219" spans="1:7" x14ac:dyDescent="0.35">
      <c r="A219" t="s">
        <v>197</v>
      </c>
      <c r="B219" s="56" t="s">
        <v>3490</v>
      </c>
      <c r="C219" s="56" t="s">
        <v>3488</v>
      </c>
      <c r="D219" s="56" t="s">
        <v>3489</v>
      </c>
      <c r="E219" s="56">
        <v>2.2586400000000002</v>
      </c>
      <c r="F219" s="56">
        <v>102.13786</v>
      </c>
      <c r="G219" s="56">
        <v>126000</v>
      </c>
    </row>
    <row r="220" spans="1:7" x14ac:dyDescent="0.35">
      <c r="A220" t="s">
        <v>197</v>
      </c>
      <c r="B220" s="56" t="s">
        <v>3491</v>
      </c>
      <c r="C220" s="56" t="s">
        <v>3492</v>
      </c>
      <c r="D220" s="56" t="s">
        <v>3493</v>
      </c>
      <c r="E220" s="56">
        <v>2.5311900000000001</v>
      </c>
      <c r="F220" s="56">
        <v>101.82398000000001</v>
      </c>
      <c r="G220" s="56">
        <v>86000</v>
      </c>
    </row>
    <row r="221" spans="1:7" x14ac:dyDescent="0.35">
      <c r="A221" t="s">
        <v>197</v>
      </c>
      <c r="B221" s="56" t="s">
        <v>3494</v>
      </c>
      <c r="C221" s="56" t="s">
        <v>3492</v>
      </c>
      <c r="D221" s="56" t="s">
        <v>3493</v>
      </c>
      <c r="E221" s="56">
        <v>2.5331800000000002</v>
      </c>
      <c r="F221" s="56">
        <v>101.81247999999999</v>
      </c>
      <c r="G221" s="56">
        <v>155000</v>
      </c>
    </row>
    <row r="222" spans="1:7" x14ac:dyDescent="0.35">
      <c r="A222" t="s">
        <v>197</v>
      </c>
      <c r="B222" s="56" t="s">
        <v>3495</v>
      </c>
      <c r="C222" s="56" t="s">
        <v>3496</v>
      </c>
      <c r="D222" s="56" t="s">
        <v>3497</v>
      </c>
      <c r="E222" s="56">
        <v>4.4766199999999996</v>
      </c>
      <c r="F222" s="56">
        <v>114.00301</v>
      </c>
      <c r="G222" s="56">
        <v>45000</v>
      </c>
    </row>
    <row r="223" spans="1:7" x14ac:dyDescent="0.35">
      <c r="A223" t="s">
        <v>197</v>
      </c>
      <c r="B223" s="56" t="s">
        <v>3498</v>
      </c>
      <c r="C223" s="56" t="s">
        <v>3499</v>
      </c>
      <c r="D223" s="56" t="s">
        <v>3500</v>
      </c>
      <c r="E223" s="56">
        <v>4.5673399999999997</v>
      </c>
      <c r="F223" s="56">
        <v>103.4537</v>
      </c>
      <c r="G223" s="56">
        <v>40000</v>
      </c>
    </row>
    <row r="224" spans="1:7" x14ac:dyDescent="0.35">
      <c r="A224" t="s">
        <v>407</v>
      </c>
      <c r="B224" s="56" t="s">
        <v>3501</v>
      </c>
      <c r="C224" s="56" t="s">
        <v>3502</v>
      </c>
      <c r="D224" s="56" t="s">
        <v>3503</v>
      </c>
      <c r="E224" s="56">
        <v>34.227739999999997</v>
      </c>
      <c r="F224" s="56">
        <v>-5.7276899999999999</v>
      </c>
      <c r="G224" s="56">
        <v>50000</v>
      </c>
    </row>
    <row r="225" spans="1:7" x14ac:dyDescent="0.35">
      <c r="A225" t="s">
        <v>407</v>
      </c>
      <c r="B225" s="56" t="s">
        <v>3504</v>
      </c>
      <c r="C225" s="56" t="s">
        <v>3505</v>
      </c>
      <c r="D225" s="56" t="s">
        <v>3506</v>
      </c>
      <c r="E225" s="56">
        <v>33.682270000000003</v>
      </c>
      <c r="F225" s="56">
        <v>-7.4251500000000004</v>
      </c>
      <c r="G225" s="56">
        <v>104900</v>
      </c>
    </row>
    <row r="226" spans="1:7" x14ac:dyDescent="0.35">
      <c r="A226" t="s">
        <v>225</v>
      </c>
      <c r="B226" s="56" t="s">
        <v>3507</v>
      </c>
      <c r="C226" s="56" t="s">
        <v>3508</v>
      </c>
      <c r="D226" s="56" t="s">
        <v>1892</v>
      </c>
      <c r="E226" s="56">
        <v>51.341169999999998</v>
      </c>
      <c r="F226" s="56">
        <v>3.78077</v>
      </c>
      <c r="G226" s="56">
        <v>265000</v>
      </c>
    </row>
    <row r="227" spans="1:7" x14ac:dyDescent="0.35">
      <c r="A227" t="s">
        <v>225</v>
      </c>
      <c r="B227" s="56" t="s">
        <v>3509</v>
      </c>
      <c r="C227" s="56" t="s">
        <v>3508</v>
      </c>
      <c r="D227" s="56" t="s">
        <v>3510</v>
      </c>
      <c r="E227" s="56">
        <v>51.445630000000001</v>
      </c>
      <c r="F227" s="56">
        <v>3.72905</v>
      </c>
      <c r="G227" s="56">
        <v>160000</v>
      </c>
    </row>
    <row r="228" spans="1:7" x14ac:dyDescent="0.35">
      <c r="A228" t="s">
        <v>225</v>
      </c>
      <c r="B228" s="56" t="s">
        <v>3511</v>
      </c>
      <c r="C228" s="56" t="s">
        <v>3512</v>
      </c>
      <c r="D228" s="56" t="s">
        <v>3513</v>
      </c>
      <c r="E228" s="56">
        <v>51.93009</v>
      </c>
      <c r="F228" s="56">
        <v>4.1781800000000002</v>
      </c>
      <c r="G228" s="56">
        <v>400000</v>
      </c>
    </row>
    <row r="229" spans="1:7" x14ac:dyDescent="0.35">
      <c r="A229" t="s">
        <v>225</v>
      </c>
      <c r="B229" s="56" t="s">
        <v>3514</v>
      </c>
      <c r="C229" s="56" t="s">
        <v>3512</v>
      </c>
      <c r="D229" s="56" t="s">
        <v>3513</v>
      </c>
      <c r="E229" s="56">
        <v>51.876199999999997</v>
      </c>
      <c r="F229" s="56">
        <v>4.29</v>
      </c>
      <c r="G229" s="56">
        <v>190000</v>
      </c>
    </row>
    <row r="230" spans="1:7" x14ac:dyDescent="0.35">
      <c r="A230" t="s">
        <v>225</v>
      </c>
      <c r="B230" s="56" t="s">
        <v>3515</v>
      </c>
      <c r="C230" s="56" t="s">
        <v>3516</v>
      </c>
      <c r="D230" s="56" t="s">
        <v>3517</v>
      </c>
      <c r="E230" s="56">
        <v>12.130710000000001</v>
      </c>
      <c r="F230" s="56">
        <v>-68.929140000000004</v>
      </c>
      <c r="G230" s="56">
        <v>320000</v>
      </c>
    </row>
    <row r="231" spans="1:7" x14ac:dyDescent="0.35">
      <c r="A231" t="s">
        <v>409</v>
      </c>
      <c r="B231" s="56" t="s">
        <v>3518</v>
      </c>
      <c r="C231" s="56" t="s">
        <v>3519</v>
      </c>
      <c r="D231" s="56" t="s">
        <v>3520</v>
      </c>
      <c r="E231" s="56">
        <v>-35.841790000000003</v>
      </c>
      <c r="F231" s="56">
        <v>174.49395999999999</v>
      </c>
      <c r="G231" s="56">
        <v>90000</v>
      </c>
    </row>
    <row r="232" spans="1:7" x14ac:dyDescent="0.35">
      <c r="A232" t="s">
        <v>229</v>
      </c>
      <c r="B232" s="56" t="s">
        <v>3521</v>
      </c>
      <c r="C232" s="56" t="s">
        <v>3522</v>
      </c>
      <c r="D232" s="56" t="s">
        <v>3522</v>
      </c>
      <c r="E232" s="56">
        <v>12.145709999999999</v>
      </c>
      <c r="F232" s="56">
        <v>-86.319379999999995</v>
      </c>
      <c r="G232" s="56">
        <v>20000</v>
      </c>
    </row>
    <row r="233" spans="1:7" x14ac:dyDescent="0.35">
      <c r="A233" t="s">
        <v>413</v>
      </c>
      <c r="B233" s="56" t="s">
        <v>3523</v>
      </c>
      <c r="C233" s="56" t="s">
        <v>3524</v>
      </c>
      <c r="D233" s="56" t="s">
        <v>3525</v>
      </c>
      <c r="E233" s="56">
        <v>5.5678999999999998</v>
      </c>
      <c r="F233" s="56">
        <v>5.71685</v>
      </c>
      <c r="G233" s="56">
        <v>125000</v>
      </c>
    </row>
    <row r="234" spans="1:7" x14ac:dyDescent="0.35">
      <c r="A234" t="s">
        <v>413</v>
      </c>
      <c r="B234" s="56" t="s">
        <v>3526</v>
      </c>
      <c r="C234" s="56" t="s">
        <v>3527</v>
      </c>
      <c r="D234" s="56" t="s">
        <v>3528</v>
      </c>
      <c r="E234" s="56">
        <v>10.41159</v>
      </c>
      <c r="F234" s="56">
        <v>7.4906499999999996</v>
      </c>
      <c r="G234" s="56">
        <v>110000</v>
      </c>
    </row>
    <row r="235" spans="1:7" x14ac:dyDescent="0.35">
      <c r="A235" t="s">
        <v>413</v>
      </c>
      <c r="B235" s="56" t="s">
        <v>3529</v>
      </c>
      <c r="C235" s="56" t="s">
        <v>3530</v>
      </c>
      <c r="D235" s="56" t="s">
        <v>3531</v>
      </c>
      <c r="E235" s="56">
        <v>4.76</v>
      </c>
      <c r="F235" s="56">
        <v>7.1055000000000001</v>
      </c>
      <c r="G235" s="56">
        <v>210000</v>
      </c>
    </row>
    <row r="236" spans="1:7" x14ac:dyDescent="0.35">
      <c r="A236" t="s">
        <v>415</v>
      </c>
      <c r="B236" s="56" t="s">
        <v>3532</v>
      </c>
      <c r="C236" s="56" t="s">
        <v>3533</v>
      </c>
      <c r="D236" s="56" t="s">
        <v>3534</v>
      </c>
      <c r="E236" s="56">
        <v>60.810200000000002</v>
      </c>
      <c r="F236" s="56">
        <v>5.0313999999999997</v>
      </c>
      <c r="G236" s="56">
        <v>200000</v>
      </c>
    </row>
    <row r="237" spans="1:7" x14ac:dyDescent="0.35">
      <c r="A237" t="s">
        <v>415</v>
      </c>
      <c r="B237" s="56" t="s">
        <v>3535</v>
      </c>
      <c r="C237" s="56" t="s">
        <v>3536</v>
      </c>
      <c r="D237" s="56" t="s">
        <v>3537</v>
      </c>
      <c r="E237" s="56">
        <v>59.314160000000001</v>
      </c>
      <c r="F237" s="56">
        <v>10.51568</v>
      </c>
      <c r="G237" s="56">
        <v>116000</v>
      </c>
    </row>
    <row r="238" spans="1:7" x14ac:dyDescent="0.35">
      <c r="A238" t="s">
        <v>231</v>
      </c>
      <c r="B238" s="56" t="s">
        <v>3538</v>
      </c>
      <c r="C238" s="56" t="s">
        <v>3539</v>
      </c>
      <c r="D238" s="56" t="s">
        <v>3540</v>
      </c>
      <c r="E238" s="56">
        <v>30.444579999999998</v>
      </c>
      <c r="F238" s="56">
        <v>70.983909999999995</v>
      </c>
      <c r="G238" s="56">
        <v>100000</v>
      </c>
    </row>
    <row r="239" spans="1:7" x14ac:dyDescent="0.35">
      <c r="A239" t="s">
        <v>231</v>
      </c>
      <c r="B239" s="56" t="s">
        <v>3541</v>
      </c>
      <c r="C239" s="56" t="s">
        <v>3542</v>
      </c>
      <c r="D239" s="56" t="s">
        <v>3543</v>
      </c>
      <c r="E239" s="56">
        <v>24.816739999999999</v>
      </c>
      <c r="F239" s="56">
        <v>66.982830000000007</v>
      </c>
      <c r="G239" s="56">
        <v>30000</v>
      </c>
    </row>
    <row r="240" spans="1:7" x14ac:dyDescent="0.35">
      <c r="A240" t="s">
        <v>241</v>
      </c>
      <c r="B240" s="56" t="s">
        <v>3544</v>
      </c>
      <c r="C240" s="56" t="s">
        <v>3545</v>
      </c>
      <c r="D240" s="56" t="s">
        <v>3546</v>
      </c>
      <c r="E240" s="56">
        <v>-25.388252000000001</v>
      </c>
      <c r="F240" s="56">
        <v>-57.605699000000001</v>
      </c>
      <c r="G240" s="56">
        <v>7500</v>
      </c>
    </row>
    <row r="241" spans="1:7" x14ac:dyDescent="0.35">
      <c r="A241" t="s">
        <v>243</v>
      </c>
      <c r="B241" s="56" t="s">
        <v>3547</v>
      </c>
      <c r="C241" s="56" t="s">
        <v>3548</v>
      </c>
      <c r="D241" s="56" t="s">
        <v>3549</v>
      </c>
      <c r="E241" s="56">
        <v>-17.163609999999998</v>
      </c>
      <c r="F241" s="56">
        <v>-71.791740000000004</v>
      </c>
      <c r="G241" s="56">
        <v>102000</v>
      </c>
    </row>
    <row r="242" spans="1:7" x14ac:dyDescent="0.35">
      <c r="A242" t="s">
        <v>245</v>
      </c>
      <c r="B242" s="56" t="s">
        <v>3550</v>
      </c>
      <c r="C242" s="56" t="s">
        <v>3551</v>
      </c>
      <c r="D242" s="56" t="s">
        <v>3552</v>
      </c>
      <c r="E242" s="56">
        <v>14.53139</v>
      </c>
      <c r="F242" s="56">
        <v>120.60171</v>
      </c>
      <c r="G242" s="56">
        <v>180000</v>
      </c>
    </row>
    <row r="243" spans="1:7" x14ac:dyDescent="0.35">
      <c r="A243" t="s">
        <v>245</v>
      </c>
      <c r="B243" s="56" t="s">
        <v>3553</v>
      </c>
      <c r="C243" s="56" t="s">
        <v>3554</v>
      </c>
      <c r="D243" s="56" t="s">
        <v>3555</v>
      </c>
      <c r="E243" s="56">
        <v>13.67679</v>
      </c>
      <c r="F243" s="56">
        <v>121.05595</v>
      </c>
      <c r="G243" s="56">
        <v>86000</v>
      </c>
    </row>
    <row r="244" spans="1:7" x14ac:dyDescent="0.35">
      <c r="A244" t="s">
        <v>245</v>
      </c>
      <c r="B244" s="56" t="s">
        <v>3556</v>
      </c>
      <c r="C244" s="56" t="s">
        <v>3554</v>
      </c>
      <c r="D244" s="56" t="s">
        <v>3555</v>
      </c>
      <c r="E244" s="56">
        <v>13.723459999999999</v>
      </c>
      <c r="F244" s="56">
        <v>121.06726</v>
      </c>
      <c r="G244" s="56">
        <v>120000</v>
      </c>
    </row>
    <row r="245" spans="1:7" x14ac:dyDescent="0.35">
      <c r="A245" t="s">
        <v>247</v>
      </c>
      <c r="B245" s="56" t="s">
        <v>3557</v>
      </c>
      <c r="C245" s="56" t="s">
        <v>3558</v>
      </c>
      <c r="D245" s="56" t="s">
        <v>3559</v>
      </c>
      <c r="E245" s="56">
        <v>50.206539999999997</v>
      </c>
      <c r="F245" s="56">
        <v>19.464659999999999</v>
      </c>
      <c r="G245" s="56">
        <v>4000</v>
      </c>
    </row>
    <row r="246" spans="1:7" x14ac:dyDescent="0.35">
      <c r="A246" t="s">
        <v>247</v>
      </c>
      <c r="B246" s="56" t="s">
        <v>3560</v>
      </c>
      <c r="C246" s="56" t="s">
        <v>3561</v>
      </c>
      <c r="D246" s="56" t="s">
        <v>3562</v>
      </c>
      <c r="E246" s="56">
        <v>52.588070000000002</v>
      </c>
      <c r="F246" s="56">
        <v>19.67793</v>
      </c>
      <c r="G246" s="56">
        <v>260000</v>
      </c>
    </row>
    <row r="247" spans="1:7" x14ac:dyDescent="0.35">
      <c r="A247" t="s">
        <v>247</v>
      </c>
      <c r="B247" s="56" t="s">
        <v>3563</v>
      </c>
      <c r="C247" s="56" t="s">
        <v>3564</v>
      </c>
      <c r="D247" s="56" t="s">
        <v>3565</v>
      </c>
      <c r="E247" s="56">
        <v>54.348370000000003</v>
      </c>
      <c r="F247" s="56">
        <v>18.735410000000002</v>
      </c>
      <c r="G247" s="56">
        <v>120000</v>
      </c>
    </row>
    <row r="248" spans="1:7" x14ac:dyDescent="0.35">
      <c r="A248" t="s">
        <v>247</v>
      </c>
      <c r="B248" s="56" t="s">
        <v>3566</v>
      </c>
      <c r="C248" s="56" t="s">
        <v>3567</v>
      </c>
      <c r="D248" s="56" t="s">
        <v>3568</v>
      </c>
      <c r="E248" s="56">
        <v>49.940049999999999</v>
      </c>
      <c r="F248" s="56">
        <v>19.015709999999999</v>
      </c>
      <c r="G248" s="56">
        <v>10000</v>
      </c>
    </row>
    <row r="249" spans="1:7" x14ac:dyDescent="0.35">
      <c r="A249" t="s">
        <v>249</v>
      </c>
      <c r="B249" s="56" t="s">
        <v>3569</v>
      </c>
      <c r="C249" s="56" t="s">
        <v>3570</v>
      </c>
      <c r="D249" s="56" t="s">
        <v>3571</v>
      </c>
      <c r="E249" s="56">
        <v>41.209119999999999</v>
      </c>
      <c r="F249" s="56">
        <v>-8.7041799999999991</v>
      </c>
      <c r="G249" s="56">
        <v>100000</v>
      </c>
    </row>
    <row r="250" spans="1:7" x14ac:dyDescent="0.35">
      <c r="A250" t="s">
        <v>249</v>
      </c>
      <c r="B250" s="56" t="s">
        <v>3572</v>
      </c>
      <c r="C250" s="56" t="s">
        <v>3573</v>
      </c>
      <c r="D250" s="56" t="s">
        <v>1561</v>
      </c>
      <c r="E250" s="56">
        <v>37.96134</v>
      </c>
      <c r="F250" s="56">
        <v>-8.8113799999999998</v>
      </c>
      <c r="G250" s="56">
        <v>200000</v>
      </c>
    </row>
    <row r="251" spans="1:7" x14ac:dyDescent="0.35">
      <c r="A251" t="s">
        <v>419</v>
      </c>
      <c r="B251" s="56" t="s">
        <v>3574</v>
      </c>
      <c r="C251" s="56" t="s">
        <v>3575</v>
      </c>
      <c r="D251" s="56" t="s">
        <v>3576</v>
      </c>
      <c r="E251" s="56">
        <v>25.89096</v>
      </c>
      <c r="F251" s="56">
        <v>51.544420000000002</v>
      </c>
      <c r="G251" s="56">
        <v>80000</v>
      </c>
    </row>
    <row r="252" spans="1:7" x14ac:dyDescent="0.35">
      <c r="A252" t="s">
        <v>440</v>
      </c>
      <c r="B252" s="56" t="s">
        <v>3577</v>
      </c>
      <c r="C252" s="56" t="s">
        <v>441</v>
      </c>
      <c r="D252" s="56" t="s">
        <v>2837</v>
      </c>
      <c r="E252" s="56">
        <v>22.711780000000001</v>
      </c>
      <c r="F252" s="56">
        <v>120.31995000000001</v>
      </c>
      <c r="G252" s="56">
        <v>270000</v>
      </c>
    </row>
    <row r="253" spans="1:7" x14ac:dyDescent="0.35">
      <c r="A253" t="s">
        <v>440</v>
      </c>
      <c r="B253" s="56" t="s">
        <v>3578</v>
      </c>
      <c r="C253" s="56" t="s">
        <v>441</v>
      </c>
      <c r="D253" s="56" t="s">
        <v>3579</v>
      </c>
      <c r="E253" s="56">
        <v>23.769020000000001</v>
      </c>
      <c r="F253" s="56">
        <v>120.18335</v>
      </c>
      <c r="G253" s="56">
        <v>300000</v>
      </c>
    </row>
    <row r="254" spans="1:7" x14ac:dyDescent="0.35">
      <c r="A254" t="s">
        <v>440</v>
      </c>
      <c r="B254" s="56" t="s">
        <v>3580</v>
      </c>
      <c r="C254" s="56" t="s">
        <v>441</v>
      </c>
      <c r="D254" s="56" t="s">
        <v>3581</v>
      </c>
      <c r="E254" s="56">
        <v>25.034859999999998</v>
      </c>
      <c r="F254" s="56">
        <v>121.30951</v>
      </c>
      <c r="G254" s="56">
        <v>200000</v>
      </c>
    </row>
    <row r="255" spans="1:7" x14ac:dyDescent="0.35">
      <c r="A255" t="s">
        <v>440</v>
      </c>
      <c r="B255" s="56" t="s">
        <v>3582</v>
      </c>
      <c r="C255" s="56" t="s">
        <v>441</v>
      </c>
      <c r="D255" s="56" t="s">
        <v>3583</v>
      </c>
      <c r="E255" s="56">
        <v>23.805910000000001</v>
      </c>
      <c r="F255" s="56">
        <v>120.20842</v>
      </c>
      <c r="G255" s="56">
        <v>450000</v>
      </c>
    </row>
    <row r="256" spans="1:7" x14ac:dyDescent="0.35">
      <c r="A256" t="s">
        <v>432</v>
      </c>
      <c r="B256" s="56" t="s">
        <v>3584</v>
      </c>
      <c r="C256" s="56" t="s">
        <v>3585</v>
      </c>
      <c r="D256" s="56" t="s">
        <v>3586</v>
      </c>
      <c r="E256" s="56">
        <v>36.994599999999998</v>
      </c>
      <c r="F256" s="56">
        <v>126.3494</v>
      </c>
      <c r="G256" s="56">
        <v>275000</v>
      </c>
    </row>
    <row r="257" spans="1:7" x14ac:dyDescent="0.35">
      <c r="A257" t="s">
        <v>432</v>
      </c>
      <c r="B257" s="56" t="s">
        <v>3587</v>
      </c>
      <c r="C257" s="56" t="s">
        <v>3585</v>
      </c>
      <c r="D257" s="56" t="s">
        <v>3586</v>
      </c>
      <c r="E257" s="56">
        <v>37.002180000000003</v>
      </c>
      <c r="F257" s="56">
        <v>126.37703999999999</v>
      </c>
      <c r="G257" s="56">
        <v>340000</v>
      </c>
    </row>
    <row r="258" spans="1:7" x14ac:dyDescent="0.35">
      <c r="A258" t="s">
        <v>432</v>
      </c>
      <c r="B258" s="56" t="s">
        <v>3588</v>
      </c>
      <c r="C258" s="56" t="s">
        <v>3589</v>
      </c>
      <c r="D258" s="56" t="s">
        <v>2816</v>
      </c>
      <c r="E258" s="56">
        <v>34.720039999999997</v>
      </c>
      <c r="F258" s="56">
        <v>127.75221000000001</v>
      </c>
      <c r="G258" s="56">
        <v>650000</v>
      </c>
    </row>
    <row r="259" spans="1:7" x14ac:dyDescent="0.35">
      <c r="A259" t="s">
        <v>432</v>
      </c>
      <c r="B259" s="56" t="s">
        <v>3590</v>
      </c>
      <c r="C259" s="56" t="s">
        <v>2822</v>
      </c>
      <c r="D259" s="56" t="s">
        <v>3591</v>
      </c>
      <c r="E259" s="56">
        <v>35.477910000000001</v>
      </c>
      <c r="F259" s="56">
        <v>129.36162999999999</v>
      </c>
      <c r="G259" s="56">
        <v>500000</v>
      </c>
    </row>
    <row r="260" spans="1:7" x14ac:dyDescent="0.35">
      <c r="A260" t="s">
        <v>432</v>
      </c>
      <c r="B260" s="56" t="s">
        <v>3592</v>
      </c>
      <c r="C260" s="56" t="s">
        <v>2822</v>
      </c>
      <c r="D260" s="56" t="s">
        <v>3593</v>
      </c>
      <c r="E260" s="56">
        <v>35.433169999999997</v>
      </c>
      <c r="F260" s="56">
        <v>129.34289999999999</v>
      </c>
      <c r="G260" s="56">
        <v>880000</v>
      </c>
    </row>
    <row r="261" spans="1:7" x14ac:dyDescent="0.35">
      <c r="A261" t="s">
        <v>191</v>
      </c>
      <c r="B261" s="56" t="s">
        <v>3594</v>
      </c>
      <c r="C261" s="56" t="s">
        <v>3595</v>
      </c>
      <c r="D261" s="56" t="s">
        <v>3596</v>
      </c>
      <c r="E261" s="56">
        <v>42.026389999999999</v>
      </c>
      <c r="F261" s="56">
        <v>21.45919</v>
      </c>
      <c r="G261" s="56">
        <v>50000</v>
      </c>
    </row>
    <row r="262" spans="1:7" x14ac:dyDescent="0.35">
      <c r="A262" t="s">
        <v>255</v>
      </c>
      <c r="B262" s="56" t="s">
        <v>3597</v>
      </c>
      <c r="C262" s="56" t="s">
        <v>3598</v>
      </c>
      <c r="D262" s="56" t="s">
        <v>3290</v>
      </c>
      <c r="E262" s="56">
        <v>44.798349999999999</v>
      </c>
      <c r="F262" s="56">
        <v>24.932670000000002</v>
      </c>
      <c r="G262" s="56">
        <v>70000</v>
      </c>
    </row>
    <row r="263" spans="1:7" x14ac:dyDescent="0.35">
      <c r="A263" t="s">
        <v>255</v>
      </c>
      <c r="B263" s="56" t="s">
        <v>3599</v>
      </c>
      <c r="C263" s="56" t="s">
        <v>3598</v>
      </c>
      <c r="D263" s="56" t="s">
        <v>3290</v>
      </c>
      <c r="E263" s="56">
        <v>44.807729999999999</v>
      </c>
      <c r="F263" s="56">
        <v>24.93421</v>
      </c>
      <c r="G263" s="56">
        <v>68000</v>
      </c>
    </row>
    <row r="264" spans="1:7" x14ac:dyDescent="0.35">
      <c r="A264" t="s">
        <v>255</v>
      </c>
      <c r="B264" s="56" t="s">
        <v>3600</v>
      </c>
      <c r="C264" s="56" t="s">
        <v>3601</v>
      </c>
      <c r="D264" s="56" t="s">
        <v>3601</v>
      </c>
      <c r="E264" s="56">
        <v>44.134010000000004</v>
      </c>
      <c r="F264" s="56">
        <v>28.626139999999999</v>
      </c>
      <c r="G264" s="56">
        <v>100000</v>
      </c>
    </row>
    <row r="265" spans="1:7" x14ac:dyDescent="0.35">
      <c r="A265" t="s">
        <v>255</v>
      </c>
      <c r="B265" s="56" t="s">
        <v>3602</v>
      </c>
      <c r="C265" s="56" t="s">
        <v>3603</v>
      </c>
      <c r="D265" s="56" t="s">
        <v>3604</v>
      </c>
      <c r="E265" s="56">
        <v>44.871760000000002</v>
      </c>
      <c r="F265" s="56">
        <v>26.015989999999999</v>
      </c>
      <c r="G265" s="56">
        <v>90000</v>
      </c>
    </row>
    <row r="266" spans="1:7" x14ac:dyDescent="0.35">
      <c r="A266" t="s">
        <v>255</v>
      </c>
      <c r="B266" s="56" t="s">
        <v>3605</v>
      </c>
      <c r="C266" s="56" t="s">
        <v>3603</v>
      </c>
      <c r="D266" s="56" t="s">
        <v>3606</v>
      </c>
      <c r="E266" s="56">
        <v>44.961849999999998</v>
      </c>
      <c r="F266" s="56">
        <v>26.025130000000001</v>
      </c>
      <c r="G266" s="56">
        <v>20000</v>
      </c>
    </row>
    <row r="267" spans="1:7" x14ac:dyDescent="0.35">
      <c r="A267" t="s">
        <v>421</v>
      </c>
      <c r="B267" s="56" t="s">
        <v>3607</v>
      </c>
      <c r="C267" s="56" t="s">
        <v>3608</v>
      </c>
      <c r="D267" s="56" t="s">
        <v>3609</v>
      </c>
      <c r="E267" s="56">
        <v>54.86139</v>
      </c>
      <c r="F267" s="56">
        <v>56.085329999999999</v>
      </c>
      <c r="G267" s="56">
        <v>380000</v>
      </c>
    </row>
    <row r="268" spans="1:7" x14ac:dyDescent="0.35">
      <c r="A268" t="s">
        <v>421</v>
      </c>
      <c r="B268" s="56" t="s">
        <v>3610</v>
      </c>
      <c r="C268" s="56" t="s">
        <v>3608</v>
      </c>
      <c r="D268" s="56" t="s">
        <v>3611</v>
      </c>
      <c r="E268" s="56">
        <v>53.421559999999999</v>
      </c>
      <c r="F268" s="56">
        <v>55.890700000000002</v>
      </c>
      <c r="G268" s="56">
        <v>250000</v>
      </c>
    </row>
    <row r="269" spans="1:7" x14ac:dyDescent="0.35">
      <c r="A269" t="s">
        <v>421</v>
      </c>
      <c r="B269" s="56" t="s">
        <v>3612</v>
      </c>
      <c r="C269" s="56" t="s">
        <v>3608</v>
      </c>
      <c r="D269" s="56" t="s">
        <v>3613</v>
      </c>
      <c r="E269" s="56">
        <v>54.931579999999997</v>
      </c>
      <c r="F269" s="56">
        <v>56.062040000000003</v>
      </c>
      <c r="G269" s="56">
        <v>250000</v>
      </c>
    </row>
    <row r="270" spans="1:7" x14ac:dyDescent="0.35">
      <c r="A270" t="s">
        <v>421</v>
      </c>
      <c r="B270" s="56" t="s">
        <v>3614</v>
      </c>
      <c r="C270" s="56" t="s">
        <v>3615</v>
      </c>
      <c r="D270" s="56" t="s">
        <v>3616</v>
      </c>
      <c r="E270" s="56">
        <v>52.515509999999999</v>
      </c>
      <c r="F270" s="56">
        <v>103.92894</v>
      </c>
      <c r="G270" s="56">
        <v>384000</v>
      </c>
    </row>
    <row r="271" spans="1:7" x14ac:dyDescent="0.35">
      <c r="A271" t="s">
        <v>421</v>
      </c>
      <c r="B271" s="56" t="s">
        <v>3617</v>
      </c>
      <c r="C271" s="56" t="s">
        <v>3618</v>
      </c>
      <c r="D271" s="56" t="s">
        <v>3619</v>
      </c>
      <c r="E271" s="56">
        <v>60.983580000000003</v>
      </c>
      <c r="F271" s="56">
        <v>76.448499999999996</v>
      </c>
      <c r="G271" s="56">
        <v>25100</v>
      </c>
    </row>
    <row r="272" spans="1:7" x14ac:dyDescent="0.35">
      <c r="A272" t="s">
        <v>421</v>
      </c>
      <c r="B272" s="56" t="s">
        <v>3620</v>
      </c>
      <c r="C272" s="56" t="s">
        <v>3621</v>
      </c>
      <c r="D272" s="56" t="s">
        <v>3622</v>
      </c>
      <c r="E272" s="56">
        <v>63.640430000000002</v>
      </c>
      <c r="F272" s="56">
        <v>53.818959999999997</v>
      </c>
      <c r="G272" s="56">
        <v>72000</v>
      </c>
    </row>
    <row r="273" spans="1:7" x14ac:dyDescent="0.35">
      <c r="A273" t="s">
        <v>421</v>
      </c>
      <c r="B273" s="56" t="s">
        <v>3623</v>
      </c>
      <c r="C273" s="56" t="s">
        <v>3624</v>
      </c>
      <c r="D273" s="56" t="s">
        <v>3625</v>
      </c>
      <c r="E273" s="56">
        <v>56.235149999999997</v>
      </c>
      <c r="F273" s="56">
        <v>90.418260000000004</v>
      </c>
      <c r="G273" s="56">
        <v>131000</v>
      </c>
    </row>
    <row r="274" spans="1:7" x14ac:dyDescent="0.35">
      <c r="A274" t="s">
        <v>421</v>
      </c>
      <c r="B274" s="56" t="s">
        <v>3626</v>
      </c>
      <c r="C274" s="56" t="s">
        <v>3627</v>
      </c>
      <c r="D274" s="56" t="s">
        <v>3628</v>
      </c>
      <c r="E274" s="56">
        <v>59.483620000000002</v>
      </c>
      <c r="F274" s="56">
        <v>32.070799999999998</v>
      </c>
      <c r="G274" s="56">
        <v>337000</v>
      </c>
    </row>
    <row r="275" spans="1:7" x14ac:dyDescent="0.35">
      <c r="A275" t="s">
        <v>421</v>
      </c>
      <c r="B275" s="56" t="s">
        <v>3629</v>
      </c>
      <c r="C275" s="56" t="s">
        <v>3630</v>
      </c>
      <c r="D275" s="56" t="s">
        <v>3631</v>
      </c>
      <c r="E275" s="56">
        <v>55.651820000000001</v>
      </c>
      <c r="F275" s="56">
        <v>37.806420000000003</v>
      </c>
      <c r="G275" s="56">
        <v>213000</v>
      </c>
    </row>
    <row r="276" spans="1:7" x14ac:dyDescent="0.35">
      <c r="A276" t="s">
        <v>421</v>
      </c>
      <c r="B276" s="56" t="s">
        <v>3632</v>
      </c>
      <c r="C276" s="56" t="s">
        <v>3633</v>
      </c>
      <c r="D276" s="56" t="s">
        <v>3634</v>
      </c>
      <c r="E276" s="56">
        <v>56.12191</v>
      </c>
      <c r="F276" s="56">
        <v>44.14273</v>
      </c>
      <c r="G276" s="56">
        <v>292000</v>
      </c>
    </row>
    <row r="277" spans="1:7" x14ac:dyDescent="0.35">
      <c r="A277" t="s">
        <v>421</v>
      </c>
      <c r="B277" s="56" t="s">
        <v>3635</v>
      </c>
      <c r="C277" s="56" t="s">
        <v>3636</v>
      </c>
      <c r="D277" s="56" t="s">
        <v>3637</v>
      </c>
      <c r="E277" s="56">
        <v>55.427840000000003</v>
      </c>
      <c r="F277" s="56">
        <v>78.320970000000003</v>
      </c>
      <c r="G277" s="56">
        <v>139800</v>
      </c>
    </row>
    <row r="278" spans="1:7" x14ac:dyDescent="0.35">
      <c r="A278" t="s">
        <v>421</v>
      </c>
      <c r="B278" s="56" t="s">
        <v>3638</v>
      </c>
      <c r="C278" s="56" t="s">
        <v>3639</v>
      </c>
      <c r="D278" s="56" t="s">
        <v>3640</v>
      </c>
      <c r="E278" s="56">
        <v>55.077249999999999</v>
      </c>
      <c r="F278" s="56">
        <v>73.241420000000005</v>
      </c>
      <c r="G278" s="56">
        <v>380000</v>
      </c>
    </row>
    <row r="279" spans="1:7" x14ac:dyDescent="0.35">
      <c r="A279" t="s">
        <v>421</v>
      </c>
      <c r="B279" s="56" t="s">
        <v>3641</v>
      </c>
      <c r="C279" s="56" t="s">
        <v>3642</v>
      </c>
      <c r="D279" s="56" t="s">
        <v>3643</v>
      </c>
      <c r="E279" s="56">
        <v>51.259480000000003</v>
      </c>
      <c r="F279" s="56">
        <v>58.52666</v>
      </c>
      <c r="G279" s="56">
        <v>159000</v>
      </c>
    </row>
    <row r="280" spans="1:7" x14ac:dyDescent="0.35">
      <c r="A280" t="s">
        <v>421</v>
      </c>
      <c r="B280" s="56" t="s">
        <v>3644</v>
      </c>
      <c r="C280" s="56" t="s">
        <v>3645</v>
      </c>
      <c r="D280" s="56" t="s">
        <v>3646</v>
      </c>
      <c r="E280" s="56">
        <v>57.911070000000002</v>
      </c>
      <c r="F280" s="56">
        <v>56.151719999999997</v>
      </c>
      <c r="G280" s="56">
        <v>235000</v>
      </c>
    </row>
    <row r="281" spans="1:7" x14ac:dyDescent="0.35">
      <c r="A281" t="s">
        <v>421</v>
      </c>
      <c r="B281" s="56" t="s">
        <v>3647</v>
      </c>
      <c r="C281" s="56" t="s">
        <v>3648</v>
      </c>
      <c r="D281" s="56" t="s">
        <v>3649</v>
      </c>
      <c r="E281" s="56">
        <v>54.562510000000003</v>
      </c>
      <c r="F281" s="56">
        <v>39.754649999999998</v>
      </c>
      <c r="G281" s="56">
        <v>253000</v>
      </c>
    </row>
    <row r="282" spans="1:7" x14ac:dyDescent="0.35">
      <c r="A282" t="s">
        <v>421</v>
      </c>
      <c r="B282" s="56" t="s">
        <v>3650</v>
      </c>
      <c r="C282" s="56" t="s">
        <v>3651</v>
      </c>
      <c r="D282" s="56" t="s">
        <v>3652</v>
      </c>
      <c r="E282" s="56">
        <v>53.143500000000003</v>
      </c>
      <c r="F282" s="56">
        <v>50.043170000000003</v>
      </c>
      <c r="G282" s="56">
        <v>191500</v>
      </c>
    </row>
    <row r="283" spans="1:7" x14ac:dyDescent="0.35">
      <c r="A283" t="s">
        <v>421</v>
      </c>
      <c r="B283" s="56" t="s">
        <v>3653</v>
      </c>
      <c r="C283" s="56" t="s">
        <v>3651</v>
      </c>
      <c r="D283" s="56" t="s">
        <v>3654</v>
      </c>
      <c r="E283" s="56">
        <v>53.089280000000002</v>
      </c>
      <c r="F283" s="56">
        <v>48.387810000000002</v>
      </c>
      <c r="G283" s="56">
        <v>213400</v>
      </c>
    </row>
    <row r="284" spans="1:7" x14ac:dyDescent="0.35">
      <c r="A284" t="s">
        <v>421</v>
      </c>
      <c r="B284" s="56" t="s">
        <v>3655</v>
      </c>
      <c r="C284" s="56" t="s">
        <v>3656</v>
      </c>
      <c r="D284" s="56" t="s">
        <v>3657</v>
      </c>
      <c r="E284" s="56">
        <v>51.450890000000001</v>
      </c>
      <c r="F284" s="56">
        <v>45.943289999999998</v>
      </c>
      <c r="G284" s="56">
        <v>108000</v>
      </c>
    </row>
    <row r="285" spans="1:7" x14ac:dyDescent="0.35">
      <c r="A285" t="s">
        <v>421</v>
      </c>
      <c r="B285" s="56" t="s">
        <v>3658</v>
      </c>
      <c r="C285" s="56" t="s">
        <v>3659</v>
      </c>
      <c r="D285" s="56" t="s">
        <v>3660</v>
      </c>
      <c r="E285" s="56">
        <v>60.666400000000003</v>
      </c>
      <c r="F285" s="56">
        <v>77.481549999999999</v>
      </c>
      <c r="G285" s="56">
        <v>5400</v>
      </c>
    </row>
    <row r="286" spans="1:7" x14ac:dyDescent="0.35">
      <c r="A286" t="s">
        <v>421</v>
      </c>
      <c r="B286" s="56" t="s">
        <v>3661</v>
      </c>
      <c r="C286" s="56" t="s">
        <v>3662</v>
      </c>
      <c r="D286" s="56" t="s">
        <v>3663</v>
      </c>
      <c r="E286" s="56">
        <v>48.504950000000001</v>
      </c>
      <c r="F286" s="56">
        <v>44.650739999999999</v>
      </c>
      <c r="G286" s="56">
        <v>193000</v>
      </c>
    </row>
    <row r="287" spans="1:7" x14ac:dyDescent="0.35">
      <c r="A287" t="s">
        <v>421</v>
      </c>
      <c r="B287" s="56" t="s">
        <v>3664</v>
      </c>
      <c r="C287" s="56" t="s">
        <v>3665</v>
      </c>
      <c r="D287" s="56" t="s">
        <v>3666</v>
      </c>
      <c r="E287" s="56">
        <v>57.55753</v>
      </c>
      <c r="F287" s="56">
        <v>39.785119999999999</v>
      </c>
      <c r="G287" s="56">
        <v>132000</v>
      </c>
    </row>
    <row r="288" spans="1:7" x14ac:dyDescent="0.35">
      <c r="A288" t="s">
        <v>424</v>
      </c>
      <c r="B288" s="56" t="s">
        <v>3667</v>
      </c>
      <c r="C288" s="56" t="s">
        <v>3668</v>
      </c>
      <c r="D288" s="56" t="s">
        <v>2345</v>
      </c>
      <c r="E288" s="56">
        <v>23.943999999999999</v>
      </c>
      <c r="F288" s="56">
        <v>38.297690000000003</v>
      </c>
      <c r="G288" s="56">
        <v>170000</v>
      </c>
    </row>
    <row r="289" spans="1:7" x14ac:dyDescent="0.35">
      <c r="A289" t="s">
        <v>424</v>
      </c>
      <c r="B289" s="56" t="s">
        <v>3669</v>
      </c>
      <c r="C289" s="56" t="s">
        <v>3668</v>
      </c>
      <c r="D289" s="56" t="s">
        <v>2345</v>
      </c>
      <c r="E289" s="56">
        <v>23.981390000000001</v>
      </c>
      <c r="F289" s="56">
        <v>38.232770000000002</v>
      </c>
      <c r="G289" s="56">
        <v>400000</v>
      </c>
    </row>
    <row r="290" spans="1:7" x14ac:dyDescent="0.35">
      <c r="A290" t="s">
        <v>424</v>
      </c>
      <c r="B290" s="56" t="s">
        <v>3670</v>
      </c>
      <c r="C290" s="56" t="s">
        <v>3671</v>
      </c>
      <c r="D290" s="56" t="s">
        <v>2422</v>
      </c>
      <c r="E290" s="56">
        <v>24.518519999999999</v>
      </c>
      <c r="F290" s="56">
        <v>46.867980000000003</v>
      </c>
      <c r="G290" s="56">
        <v>120000</v>
      </c>
    </row>
    <row r="291" spans="1:7" x14ac:dyDescent="0.35">
      <c r="A291" t="s">
        <v>424</v>
      </c>
      <c r="B291" s="56" t="s">
        <v>3672</v>
      </c>
      <c r="C291" s="56" t="s">
        <v>3673</v>
      </c>
      <c r="D291" s="56" t="s">
        <v>3674</v>
      </c>
      <c r="E291" s="56">
        <v>28.407129999999999</v>
      </c>
      <c r="F291" s="56">
        <v>48.534219999999998</v>
      </c>
      <c r="G291" s="56">
        <v>30000</v>
      </c>
    </row>
    <row r="292" spans="1:7" x14ac:dyDescent="0.35">
      <c r="A292" t="s">
        <v>424</v>
      </c>
      <c r="B292" s="56" t="s">
        <v>3675</v>
      </c>
      <c r="C292" s="56" t="s">
        <v>3673</v>
      </c>
      <c r="D292" s="56" t="s">
        <v>2420</v>
      </c>
      <c r="E292" s="56">
        <v>26.70243</v>
      </c>
      <c r="F292" s="56">
        <v>50.09207</v>
      </c>
      <c r="G292" s="56">
        <v>325000</v>
      </c>
    </row>
    <row r="293" spans="1:7" x14ac:dyDescent="0.35">
      <c r="A293" t="s">
        <v>424</v>
      </c>
      <c r="B293" s="56" t="s">
        <v>3676</v>
      </c>
      <c r="C293" s="56" t="s">
        <v>3673</v>
      </c>
      <c r="D293" s="56" t="s">
        <v>2348</v>
      </c>
      <c r="E293" s="56">
        <v>27.049600000000002</v>
      </c>
      <c r="F293" s="56">
        <v>49.598269999999999</v>
      </c>
      <c r="G293" s="56">
        <v>305000</v>
      </c>
    </row>
    <row r="294" spans="1:7" x14ac:dyDescent="0.35">
      <c r="A294" t="s">
        <v>424</v>
      </c>
      <c r="B294" s="56" t="s">
        <v>3677</v>
      </c>
      <c r="C294" s="56" t="s">
        <v>3678</v>
      </c>
      <c r="D294" s="56" t="s">
        <v>3290</v>
      </c>
      <c r="E294" s="56">
        <v>22.72165</v>
      </c>
      <c r="F294" s="56">
        <v>39.015349999999998</v>
      </c>
      <c r="G294" s="56">
        <v>400000</v>
      </c>
    </row>
    <row r="295" spans="1:7" x14ac:dyDescent="0.35">
      <c r="A295" t="s">
        <v>424</v>
      </c>
      <c r="B295" s="56" t="s">
        <v>3679</v>
      </c>
      <c r="C295" s="56" t="s">
        <v>3678</v>
      </c>
      <c r="D295" s="56" t="s">
        <v>3290</v>
      </c>
      <c r="E295" s="56">
        <v>20.674499999999998</v>
      </c>
      <c r="F295" s="56">
        <v>39.535200000000003</v>
      </c>
      <c r="G295" s="56">
        <v>100000</v>
      </c>
    </row>
    <row r="296" spans="1:7" x14ac:dyDescent="0.35">
      <c r="A296" t="s">
        <v>428</v>
      </c>
      <c r="B296" s="56" t="s">
        <v>3680</v>
      </c>
      <c r="C296" s="56" t="s">
        <v>3681</v>
      </c>
      <c r="D296" s="56" t="s">
        <v>2929</v>
      </c>
      <c r="E296" s="56">
        <v>1.2799400000000001</v>
      </c>
      <c r="F296" s="56">
        <v>103.72131</v>
      </c>
      <c r="G296" s="56">
        <v>605000</v>
      </c>
    </row>
    <row r="297" spans="1:7" x14ac:dyDescent="0.35">
      <c r="A297" t="s">
        <v>428</v>
      </c>
      <c r="B297" s="56" t="s">
        <v>3682</v>
      </c>
      <c r="C297" s="56" t="s">
        <v>3681</v>
      </c>
      <c r="D297" s="56" t="s">
        <v>3683</v>
      </c>
      <c r="E297" s="56">
        <v>1.2339199999999999</v>
      </c>
      <c r="F297" s="56">
        <v>103.76577</v>
      </c>
      <c r="G297" s="56">
        <v>458000</v>
      </c>
    </row>
    <row r="298" spans="1:7" x14ac:dyDescent="0.35">
      <c r="A298" t="s">
        <v>428</v>
      </c>
      <c r="B298" s="56" t="s">
        <v>3684</v>
      </c>
      <c r="C298" s="56" t="s">
        <v>3681</v>
      </c>
      <c r="D298" s="56" t="s">
        <v>2929</v>
      </c>
      <c r="E298" s="56">
        <v>1.2742500000000001</v>
      </c>
      <c r="F298" s="56">
        <v>103.70086999999999</v>
      </c>
      <c r="G298" s="56">
        <v>285000</v>
      </c>
    </row>
    <row r="299" spans="1:7" x14ac:dyDescent="0.35">
      <c r="A299" t="s">
        <v>273</v>
      </c>
      <c r="B299" s="56" t="s">
        <v>3685</v>
      </c>
      <c r="C299" s="56" t="s">
        <v>3686</v>
      </c>
      <c r="D299" s="56" t="s">
        <v>3687</v>
      </c>
      <c r="E299" s="56">
        <v>48.15</v>
      </c>
      <c r="F299" s="56">
        <v>17.116669999999999</v>
      </c>
      <c r="G299" s="56">
        <v>110000</v>
      </c>
    </row>
    <row r="300" spans="1:7" x14ac:dyDescent="0.35">
      <c r="A300" t="s">
        <v>430</v>
      </c>
      <c r="B300" s="56" t="s">
        <v>3688</v>
      </c>
      <c r="C300" s="56" t="s">
        <v>3689</v>
      </c>
      <c r="D300" s="56" t="s">
        <v>2668</v>
      </c>
      <c r="E300" s="56">
        <v>-26.806280000000001</v>
      </c>
      <c r="F300" s="56">
        <v>27.855920000000001</v>
      </c>
      <c r="G300" s="56">
        <v>87500</v>
      </c>
    </row>
    <row r="301" spans="1:7" x14ac:dyDescent="0.35">
      <c r="A301" t="s">
        <v>430</v>
      </c>
      <c r="B301" s="56" t="s">
        <v>3690</v>
      </c>
      <c r="C301" s="56" t="s">
        <v>3691</v>
      </c>
      <c r="D301" s="56" t="s">
        <v>2662</v>
      </c>
      <c r="E301" s="56">
        <v>-29.893450000000001</v>
      </c>
      <c r="F301" s="56">
        <v>31.02216</v>
      </c>
      <c r="G301" s="56">
        <v>125000</v>
      </c>
    </row>
    <row r="302" spans="1:7" x14ac:dyDescent="0.35">
      <c r="A302" t="s">
        <v>430</v>
      </c>
      <c r="B302" s="56" t="s">
        <v>3692</v>
      </c>
      <c r="C302" s="56" t="s">
        <v>3691</v>
      </c>
      <c r="D302" s="56" t="s">
        <v>2662</v>
      </c>
      <c r="E302" s="56">
        <v>-29.889420000000001</v>
      </c>
      <c r="F302" s="56">
        <v>31.034690000000001</v>
      </c>
      <c r="G302" s="56">
        <v>172000</v>
      </c>
    </row>
    <row r="303" spans="1:7" x14ac:dyDescent="0.35">
      <c r="A303" t="s">
        <v>430</v>
      </c>
      <c r="B303" s="56" t="s">
        <v>3693</v>
      </c>
      <c r="C303" s="56" t="s">
        <v>3694</v>
      </c>
      <c r="D303" s="56" t="s">
        <v>3695</v>
      </c>
      <c r="E303" s="56">
        <v>-33.841059999999999</v>
      </c>
      <c r="F303" s="56">
        <v>18.530190000000001</v>
      </c>
      <c r="G303" s="56">
        <v>112000</v>
      </c>
    </row>
    <row r="304" spans="1:7" x14ac:dyDescent="0.35">
      <c r="A304" t="s">
        <v>283</v>
      </c>
      <c r="B304" s="56" t="s">
        <v>3696</v>
      </c>
      <c r="C304" s="56" t="s">
        <v>3697</v>
      </c>
      <c r="D304" s="56" t="s">
        <v>3698</v>
      </c>
      <c r="E304" s="56">
        <v>36.185690000000001</v>
      </c>
      <c r="F304" s="56">
        <v>-5.3972499999999997</v>
      </c>
      <c r="G304" s="56">
        <v>240000</v>
      </c>
    </row>
    <row r="305" spans="1:7" x14ac:dyDescent="0.35">
      <c r="A305" t="s">
        <v>283</v>
      </c>
      <c r="B305" s="56" t="s">
        <v>3699</v>
      </c>
      <c r="C305" s="56" t="s">
        <v>3697</v>
      </c>
      <c r="D305" s="56" t="s">
        <v>3700</v>
      </c>
      <c r="E305" s="56">
        <v>37.184080000000002</v>
      </c>
      <c r="F305" s="56">
        <v>-6.9039400000000004</v>
      </c>
      <c r="G305" s="56">
        <v>100000</v>
      </c>
    </row>
    <row r="306" spans="1:7" x14ac:dyDescent="0.35">
      <c r="A306" t="s">
        <v>283</v>
      </c>
      <c r="B306" s="56" t="s">
        <v>3701</v>
      </c>
      <c r="C306" s="56" t="s">
        <v>3702</v>
      </c>
      <c r="D306" s="56" t="s">
        <v>3703</v>
      </c>
      <c r="E306" s="56">
        <v>43.32893</v>
      </c>
      <c r="F306" s="56">
        <v>-3.1105999999999998</v>
      </c>
      <c r="G306" s="56">
        <v>220000</v>
      </c>
    </row>
    <row r="307" spans="1:7" x14ac:dyDescent="0.35">
      <c r="A307" t="s">
        <v>283</v>
      </c>
      <c r="B307" s="56" t="s">
        <v>3704</v>
      </c>
      <c r="C307" s="56" t="s">
        <v>3705</v>
      </c>
      <c r="D307" s="56" t="s">
        <v>3706</v>
      </c>
      <c r="E307" s="56">
        <v>28.453720000000001</v>
      </c>
      <c r="F307" s="56">
        <v>-16.265519999999999</v>
      </c>
      <c r="G307" s="56">
        <v>90000</v>
      </c>
    </row>
    <row r="308" spans="1:7" x14ac:dyDescent="0.35">
      <c r="A308" t="s">
        <v>283</v>
      </c>
      <c r="B308" s="56" t="s">
        <v>3707</v>
      </c>
      <c r="C308" s="56" t="s">
        <v>3708</v>
      </c>
      <c r="D308" s="56" t="s">
        <v>3709</v>
      </c>
      <c r="E308" s="56">
        <v>38.673099999999998</v>
      </c>
      <c r="F308" s="56">
        <v>-4.0494500000000002</v>
      </c>
      <c r="G308" s="56">
        <v>140000</v>
      </c>
    </row>
    <row r="309" spans="1:7" x14ac:dyDescent="0.35">
      <c r="A309" t="s">
        <v>283</v>
      </c>
      <c r="B309" s="56" t="s">
        <v>3710</v>
      </c>
      <c r="C309" s="56" t="s">
        <v>3711</v>
      </c>
      <c r="D309" s="56" t="s">
        <v>1568</v>
      </c>
      <c r="E309" s="56">
        <v>41.183050000000001</v>
      </c>
      <c r="F309" s="56">
        <v>1.22275</v>
      </c>
      <c r="G309" s="56">
        <v>160000</v>
      </c>
    </row>
    <row r="310" spans="1:7" x14ac:dyDescent="0.35">
      <c r="A310" t="s">
        <v>283</v>
      </c>
      <c r="B310" s="56" t="s">
        <v>3712</v>
      </c>
      <c r="C310" s="56" t="s">
        <v>3713</v>
      </c>
      <c r="D310" s="56" t="s">
        <v>3714</v>
      </c>
      <c r="E310" s="56">
        <v>43.352640000000001</v>
      </c>
      <c r="F310" s="56">
        <v>-8.4452999999999996</v>
      </c>
      <c r="G310" s="56">
        <v>120000</v>
      </c>
    </row>
    <row r="311" spans="1:7" x14ac:dyDescent="0.35">
      <c r="A311" t="s">
        <v>283</v>
      </c>
      <c r="B311" s="56" t="s">
        <v>3715</v>
      </c>
      <c r="C311" s="56" t="s">
        <v>3716</v>
      </c>
      <c r="D311" s="56" t="s">
        <v>3716</v>
      </c>
      <c r="E311" s="56">
        <v>37.575119999999998</v>
      </c>
      <c r="F311" s="56">
        <v>-0.92927999999999999</v>
      </c>
      <c r="G311" s="56">
        <v>100000</v>
      </c>
    </row>
    <row r="312" spans="1:7" x14ac:dyDescent="0.35">
      <c r="A312" t="s">
        <v>434</v>
      </c>
      <c r="B312" s="56" t="s">
        <v>3717</v>
      </c>
      <c r="C312" s="56" t="s">
        <v>3718</v>
      </c>
      <c r="D312" s="56" t="s">
        <v>3719</v>
      </c>
      <c r="E312" s="56">
        <v>16.980830000000001</v>
      </c>
      <c r="F312" s="56">
        <v>32.296799999999998</v>
      </c>
      <c r="G312" s="56">
        <v>50000</v>
      </c>
    </row>
    <row r="313" spans="1:7" x14ac:dyDescent="0.35">
      <c r="A313" t="s">
        <v>434</v>
      </c>
      <c r="B313" s="56" t="s">
        <v>3720</v>
      </c>
      <c r="C313" s="56" t="s">
        <v>3718</v>
      </c>
      <c r="D313" s="56" t="s">
        <v>3721</v>
      </c>
      <c r="E313" s="56">
        <v>16.13</v>
      </c>
      <c r="F313" s="56">
        <v>32.491999999999997</v>
      </c>
      <c r="G313" s="56">
        <v>70000</v>
      </c>
    </row>
    <row r="314" spans="1:7" x14ac:dyDescent="0.35">
      <c r="A314" t="s">
        <v>434</v>
      </c>
      <c r="B314" s="56" t="s">
        <v>3722</v>
      </c>
      <c r="C314" s="56" t="s">
        <v>3723</v>
      </c>
      <c r="D314" s="56" t="s">
        <v>3724</v>
      </c>
      <c r="E314" s="56">
        <v>13.2714</v>
      </c>
      <c r="F314" s="56">
        <v>30.2362</v>
      </c>
      <c r="G314" s="56">
        <v>10000</v>
      </c>
    </row>
    <row r="315" spans="1:7" x14ac:dyDescent="0.35">
      <c r="A315" t="s">
        <v>434</v>
      </c>
      <c r="B315" s="56" t="s">
        <v>3725</v>
      </c>
      <c r="C315" s="56" t="s">
        <v>3726</v>
      </c>
      <c r="D315" s="56" t="s">
        <v>3727</v>
      </c>
      <c r="E315" s="56">
        <v>19.5563</v>
      </c>
      <c r="F315" s="56">
        <v>37.234299999999998</v>
      </c>
      <c r="G315" s="56">
        <v>21700</v>
      </c>
    </row>
    <row r="316" spans="1:7" x14ac:dyDescent="0.35">
      <c r="A316" t="s">
        <v>297</v>
      </c>
      <c r="B316" s="56" t="s">
        <v>3728</v>
      </c>
      <c r="C316" s="56" t="s">
        <v>3729</v>
      </c>
      <c r="D316" s="56" t="s">
        <v>3730</v>
      </c>
      <c r="E316" s="56">
        <v>58.921810000000001</v>
      </c>
      <c r="F316" s="56">
        <v>17.964469999999999</v>
      </c>
      <c r="G316" s="56">
        <v>90000</v>
      </c>
    </row>
    <row r="317" spans="1:7" x14ac:dyDescent="0.35">
      <c r="A317" t="s">
        <v>297</v>
      </c>
      <c r="B317" s="56" t="s">
        <v>3731</v>
      </c>
      <c r="C317" s="56" t="s">
        <v>3732</v>
      </c>
      <c r="D317" s="56" t="s">
        <v>3733</v>
      </c>
      <c r="E317" s="56">
        <v>57.704120000000003</v>
      </c>
      <c r="F317" s="56">
        <v>11.883760000000001</v>
      </c>
      <c r="G317" s="56">
        <v>90000</v>
      </c>
    </row>
    <row r="318" spans="1:7" x14ac:dyDescent="0.35">
      <c r="A318" t="s">
        <v>297</v>
      </c>
      <c r="B318" s="56" t="s">
        <v>3734</v>
      </c>
      <c r="C318" s="56" t="s">
        <v>3732</v>
      </c>
      <c r="D318" s="56" t="s">
        <v>1636</v>
      </c>
      <c r="E318" s="56">
        <v>58.344580000000001</v>
      </c>
      <c r="F318" s="56">
        <v>11.42427</v>
      </c>
      <c r="G318" s="56">
        <v>210000</v>
      </c>
    </row>
    <row r="319" spans="1:7" x14ac:dyDescent="0.35">
      <c r="A319" t="s">
        <v>436</v>
      </c>
      <c r="B319" s="56" t="s">
        <v>3735</v>
      </c>
      <c r="C319" s="56" t="s">
        <v>3736</v>
      </c>
      <c r="D319" s="56" t="s">
        <v>3737</v>
      </c>
      <c r="E319" s="56">
        <v>47.038989999999998</v>
      </c>
      <c r="F319" s="56">
        <v>7.0361700000000003</v>
      </c>
      <c r="G319" s="56">
        <v>68000</v>
      </c>
    </row>
    <row r="320" spans="1:7" x14ac:dyDescent="0.35">
      <c r="A320" t="s">
        <v>436</v>
      </c>
      <c r="B320" s="56" t="s">
        <v>3738</v>
      </c>
      <c r="C320" s="56" t="s">
        <v>3739</v>
      </c>
      <c r="D320" s="56" t="s">
        <v>3740</v>
      </c>
      <c r="E320" s="56">
        <v>46.284320000000001</v>
      </c>
      <c r="F320" s="56">
        <v>6.9511599999999998</v>
      </c>
      <c r="G320" s="56">
        <v>45000</v>
      </c>
    </row>
    <row r="321" spans="1:7" x14ac:dyDescent="0.35">
      <c r="A321" t="s">
        <v>303</v>
      </c>
      <c r="B321" s="56" t="s">
        <v>3741</v>
      </c>
      <c r="C321" s="56" t="s">
        <v>3742</v>
      </c>
      <c r="D321" s="56" t="s">
        <v>3743</v>
      </c>
      <c r="E321" s="56">
        <v>13.112299999999999</v>
      </c>
      <c r="F321" s="56">
        <v>100.90304999999999</v>
      </c>
      <c r="G321" s="56">
        <v>173500</v>
      </c>
    </row>
    <row r="322" spans="1:7" x14ac:dyDescent="0.35">
      <c r="A322" t="s">
        <v>303</v>
      </c>
      <c r="B322" s="56" t="s">
        <v>3744</v>
      </c>
      <c r="C322" s="56" t="s">
        <v>3742</v>
      </c>
      <c r="D322" s="56" t="s">
        <v>3743</v>
      </c>
      <c r="E322" s="56">
        <v>13.102779999999999</v>
      </c>
      <c r="F322" s="56">
        <v>100.88902</v>
      </c>
      <c r="G322" s="56">
        <v>193000</v>
      </c>
    </row>
    <row r="323" spans="1:7" x14ac:dyDescent="0.35">
      <c r="A323" t="s">
        <v>303</v>
      </c>
      <c r="B323" s="56" t="s">
        <v>3745</v>
      </c>
      <c r="C323" s="56" t="s">
        <v>2949</v>
      </c>
      <c r="D323" s="56" t="s">
        <v>3746</v>
      </c>
      <c r="E323" s="56">
        <v>12.700900000000001</v>
      </c>
      <c r="F323" s="56">
        <v>101.1564</v>
      </c>
      <c r="G323" s="56">
        <v>150000</v>
      </c>
    </row>
    <row r="324" spans="1:7" x14ac:dyDescent="0.35">
      <c r="A324" t="s">
        <v>303</v>
      </c>
      <c r="B324" s="56" t="s">
        <v>3747</v>
      </c>
      <c r="C324" s="56" t="s">
        <v>2949</v>
      </c>
      <c r="D324" s="56" t="s">
        <v>3746</v>
      </c>
      <c r="E324" s="56">
        <v>12.70004</v>
      </c>
      <c r="F324" s="56">
        <v>101.14697</v>
      </c>
      <c r="G324" s="56">
        <v>275000</v>
      </c>
    </row>
    <row r="325" spans="1:7" x14ac:dyDescent="0.35">
      <c r="A325" t="s">
        <v>311</v>
      </c>
      <c r="B325" s="56" t="s">
        <v>3748</v>
      </c>
      <c r="C325" s="56" t="s">
        <v>3749</v>
      </c>
      <c r="D325" s="56" t="s">
        <v>3750</v>
      </c>
      <c r="E325" s="56">
        <v>10.316269999999999</v>
      </c>
      <c r="F325" s="56">
        <v>-61.460990000000002</v>
      </c>
      <c r="G325" s="56">
        <v>165000</v>
      </c>
    </row>
    <row r="326" spans="1:7" x14ac:dyDescent="0.35">
      <c r="A326" t="s">
        <v>444</v>
      </c>
      <c r="B326" s="56" t="s">
        <v>3751</v>
      </c>
      <c r="C326" s="56" t="s">
        <v>3752</v>
      </c>
      <c r="D326" s="56" t="s">
        <v>3753</v>
      </c>
      <c r="E326" s="56">
        <v>37.256219999999999</v>
      </c>
      <c r="F326" s="56">
        <v>9.8896200000000007</v>
      </c>
      <c r="G326" s="56">
        <v>34000</v>
      </c>
    </row>
    <row r="327" spans="1:7" x14ac:dyDescent="0.35">
      <c r="A327" t="s">
        <v>313</v>
      </c>
      <c r="B327" s="56" t="s">
        <v>3754</v>
      </c>
      <c r="C327" s="56" t="s">
        <v>3755</v>
      </c>
      <c r="D327" s="56" t="s">
        <v>3756</v>
      </c>
      <c r="E327" s="56">
        <v>39.74427</v>
      </c>
      <c r="F327" s="56">
        <v>33.460099999999997</v>
      </c>
      <c r="G327" s="56">
        <v>100000</v>
      </c>
    </row>
    <row r="328" spans="1:7" x14ac:dyDescent="0.35">
      <c r="A328" t="s">
        <v>313</v>
      </c>
      <c r="B328" s="56" t="s">
        <v>3757</v>
      </c>
      <c r="C328" s="56" t="s">
        <v>3758</v>
      </c>
      <c r="D328" s="56" t="s">
        <v>3759</v>
      </c>
      <c r="E328" s="56">
        <v>37.872630000000001</v>
      </c>
      <c r="F328" s="56">
        <v>41.14123</v>
      </c>
      <c r="G328" s="56">
        <v>22000</v>
      </c>
    </row>
    <row r="329" spans="1:7" x14ac:dyDescent="0.35">
      <c r="A329" t="s">
        <v>313</v>
      </c>
      <c r="B329" s="56" t="s">
        <v>3760</v>
      </c>
      <c r="C329" s="56" t="s">
        <v>3761</v>
      </c>
      <c r="D329" s="56" t="s">
        <v>3290</v>
      </c>
      <c r="E329" s="56">
        <v>38.476349999999996</v>
      </c>
      <c r="F329" s="56">
        <v>27.005559999999999</v>
      </c>
      <c r="G329" s="56">
        <v>200000</v>
      </c>
    </row>
    <row r="330" spans="1:7" x14ac:dyDescent="0.35">
      <c r="A330" t="s">
        <v>313</v>
      </c>
      <c r="B330" s="56" t="s">
        <v>3762</v>
      </c>
      <c r="C330" s="56" t="s">
        <v>3763</v>
      </c>
      <c r="D330" s="56" t="s">
        <v>3764</v>
      </c>
      <c r="E330" s="56">
        <v>40.750630000000001</v>
      </c>
      <c r="F330" s="56">
        <v>29.770440000000001</v>
      </c>
      <c r="G330" s="56">
        <v>226000</v>
      </c>
    </row>
    <row r="331" spans="1:7" x14ac:dyDescent="0.35">
      <c r="A331" t="s">
        <v>321</v>
      </c>
      <c r="B331" s="56" t="s">
        <v>3765</v>
      </c>
      <c r="C331" s="56" t="s">
        <v>3766</v>
      </c>
      <c r="D331" s="56" t="s">
        <v>3767</v>
      </c>
      <c r="E331" s="56">
        <v>48.647880000000001</v>
      </c>
      <c r="F331" s="56">
        <v>24.58456</v>
      </c>
      <c r="G331" s="56">
        <v>39000</v>
      </c>
    </row>
    <row r="332" spans="1:7" x14ac:dyDescent="0.35">
      <c r="A332" t="s">
        <v>321</v>
      </c>
      <c r="B332" s="56" t="s">
        <v>3768</v>
      </c>
      <c r="C332" s="56" t="s">
        <v>3769</v>
      </c>
      <c r="D332" s="56" t="s">
        <v>3770</v>
      </c>
      <c r="E332" s="56">
        <v>46.674930000000003</v>
      </c>
      <c r="F332" s="56">
        <v>32.568649999999998</v>
      </c>
      <c r="G332" s="56">
        <v>36000</v>
      </c>
    </row>
    <row r="333" spans="1:7" x14ac:dyDescent="0.35">
      <c r="A333" t="s">
        <v>321</v>
      </c>
      <c r="B333" s="56" t="s">
        <v>3771</v>
      </c>
      <c r="C333" s="56" t="s">
        <v>3772</v>
      </c>
      <c r="D333" s="56" t="s">
        <v>3773</v>
      </c>
      <c r="E333" s="56">
        <v>48.850149999999999</v>
      </c>
      <c r="F333" s="56">
        <v>38.307830000000003</v>
      </c>
      <c r="G333" s="56">
        <v>320000</v>
      </c>
    </row>
    <row r="334" spans="1:7" x14ac:dyDescent="0.35">
      <c r="A334" t="s">
        <v>321</v>
      </c>
      <c r="B334" s="56" t="s">
        <v>3774</v>
      </c>
      <c r="C334" s="56" t="s">
        <v>3772</v>
      </c>
      <c r="D334" s="56" t="s">
        <v>3775</v>
      </c>
      <c r="E334" s="56">
        <v>49.341349999999998</v>
      </c>
      <c r="F334" s="56">
        <v>23.481649999999998</v>
      </c>
      <c r="G334" s="56">
        <v>40000</v>
      </c>
    </row>
    <row r="335" spans="1:7" x14ac:dyDescent="0.35">
      <c r="A335" t="s">
        <v>321</v>
      </c>
      <c r="B335" s="56" t="s">
        <v>3776</v>
      </c>
      <c r="C335" s="56" t="s">
        <v>3777</v>
      </c>
      <c r="D335" s="56" t="s">
        <v>3777</v>
      </c>
      <c r="E335" s="56">
        <v>46.521650000000001</v>
      </c>
      <c r="F335" s="56">
        <v>30.717669999999998</v>
      </c>
      <c r="G335" s="56">
        <v>70000</v>
      </c>
    </row>
    <row r="336" spans="1:7" x14ac:dyDescent="0.35">
      <c r="A336" t="s">
        <v>321</v>
      </c>
      <c r="B336" s="56" t="s">
        <v>3778</v>
      </c>
      <c r="C336" s="56" t="s">
        <v>3779</v>
      </c>
      <c r="D336" s="56" t="s">
        <v>3780</v>
      </c>
      <c r="E336" s="56">
        <v>49.160269999999997</v>
      </c>
      <c r="F336" s="56">
        <v>33.463529999999999</v>
      </c>
      <c r="G336" s="56">
        <v>180000</v>
      </c>
    </row>
    <row r="337" spans="1:7" x14ac:dyDescent="0.35">
      <c r="A337" t="s">
        <v>446</v>
      </c>
      <c r="B337" s="56" t="s">
        <v>3781</v>
      </c>
      <c r="C337" s="56" t="s">
        <v>2580</v>
      </c>
      <c r="D337" s="56" t="s">
        <v>2580</v>
      </c>
      <c r="E337" s="56">
        <v>24.436959999999999</v>
      </c>
      <c r="F337" s="56">
        <v>54.492620000000002</v>
      </c>
      <c r="G337" s="56">
        <v>90000</v>
      </c>
    </row>
    <row r="338" spans="1:7" x14ac:dyDescent="0.35">
      <c r="A338" t="s">
        <v>446</v>
      </c>
      <c r="B338" s="56" t="s">
        <v>3782</v>
      </c>
      <c r="C338" s="56" t="s">
        <v>2580</v>
      </c>
      <c r="D338" s="56" t="s">
        <v>3783</v>
      </c>
      <c r="E338" s="56">
        <v>24.12462</v>
      </c>
      <c r="F338" s="56">
        <v>52.719880000000003</v>
      </c>
      <c r="G338" s="56">
        <v>280000</v>
      </c>
    </row>
    <row r="339" spans="1:7" x14ac:dyDescent="0.35">
      <c r="A339" t="s">
        <v>446</v>
      </c>
      <c r="B339" s="56" t="s">
        <v>3784</v>
      </c>
      <c r="C339" s="56" t="s">
        <v>3785</v>
      </c>
      <c r="D339" s="56" t="s">
        <v>3786</v>
      </c>
      <c r="E339" s="56">
        <v>25.462669999999999</v>
      </c>
      <c r="F339" s="56">
        <v>55.49015</v>
      </c>
      <c r="G339" s="56">
        <v>71300</v>
      </c>
    </row>
    <row r="340" spans="1:7" x14ac:dyDescent="0.35">
      <c r="A340" t="s">
        <v>446</v>
      </c>
      <c r="B340" s="56" t="s">
        <v>3787</v>
      </c>
      <c r="C340" s="56" t="s">
        <v>3788</v>
      </c>
      <c r="D340" s="56" t="s">
        <v>3788</v>
      </c>
      <c r="E340" s="56">
        <v>25.00761</v>
      </c>
      <c r="F340" s="56">
        <v>55.0593</v>
      </c>
      <c r="G340" s="56">
        <v>120000</v>
      </c>
    </row>
    <row r="341" spans="1:7" x14ac:dyDescent="0.35">
      <c r="A341" t="s">
        <v>446</v>
      </c>
      <c r="B341" s="56" t="s">
        <v>3789</v>
      </c>
      <c r="C341" s="56" t="s">
        <v>3790</v>
      </c>
      <c r="D341" s="56" t="s">
        <v>3791</v>
      </c>
      <c r="E341" s="56">
        <v>25.194269999999999</v>
      </c>
      <c r="F341" s="56">
        <v>56.354909999999997</v>
      </c>
      <c r="G341" s="56">
        <v>70000</v>
      </c>
    </row>
    <row r="342" spans="1:7" x14ac:dyDescent="0.35">
      <c r="A342" t="s">
        <v>448</v>
      </c>
      <c r="B342" s="56" t="s">
        <v>3792</v>
      </c>
      <c r="C342" s="56" t="s">
        <v>3793</v>
      </c>
      <c r="D342" s="56" t="s">
        <v>3793</v>
      </c>
      <c r="E342" s="56">
        <v>53.273789999999998</v>
      </c>
      <c r="F342" s="56">
        <v>-2.8449200000000001</v>
      </c>
      <c r="G342" s="56">
        <v>246000</v>
      </c>
    </row>
    <row r="343" spans="1:7" x14ac:dyDescent="0.35">
      <c r="A343" t="s">
        <v>448</v>
      </c>
      <c r="B343" s="56" t="s">
        <v>3794</v>
      </c>
      <c r="C343" s="56" t="s">
        <v>3795</v>
      </c>
      <c r="D343" s="56" t="s">
        <v>3796</v>
      </c>
      <c r="E343" s="56">
        <v>51.513710000000003</v>
      </c>
      <c r="F343" s="56">
        <v>0.51861000000000002</v>
      </c>
      <c r="G343" s="56">
        <v>208000</v>
      </c>
    </row>
    <row r="344" spans="1:7" x14ac:dyDescent="0.35">
      <c r="A344" t="s">
        <v>448</v>
      </c>
      <c r="B344" s="56" t="s">
        <v>3797</v>
      </c>
      <c r="C344" s="56" t="s">
        <v>3798</v>
      </c>
      <c r="D344" s="56" t="s">
        <v>3799</v>
      </c>
      <c r="E344" s="56">
        <v>50.833159999999999</v>
      </c>
      <c r="F344" s="56">
        <v>-1.3667800000000001</v>
      </c>
      <c r="G344" s="56">
        <v>330000</v>
      </c>
    </row>
    <row r="345" spans="1:7" x14ac:dyDescent="0.35">
      <c r="A345" t="s">
        <v>448</v>
      </c>
      <c r="B345" s="56" t="s">
        <v>3800</v>
      </c>
      <c r="C345" s="56" t="s">
        <v>2049</v>
      </c>
      <c r="D345" s="56" t="s">
        <v>3801</v>
      </c>
      <c r="E345" s="56">
        <v>54.646329999999999</v>
      </c>
      <c r="F345" s="56">
        <v>-1.2030099999999999</v>
      </c>
      <c r="G345" s="56">
        <v>117000</v>
      </c>
    </row>
    <row r="346" spans="1:7" x14ac:dyDescent="0.35">
      <c r="A346" t="s">
        <v>448</v>
      </c>
      <c r="B346" s="56" t="s">
        <v>3802</v>
      </c>
      <c r="C346" s="56" t="s">
        <v>3803</v>
      </c>
      <c r="D346" s="56" t="s">
        <v>3804</v>
      </c>
      <c r="E346" s="56">
        <v>53.632539999999999</v>
      </c>
      <c r="F346" s="56">
        <v>-0.24234</v>
      </c>
      <c r="G346" s="56">
        <v>221000</v>
      </c>
    </row>
    <row r="347" spans="1:7" x14ac:dyDescent="0.35">
      <c r="A347" t="s">
        <v>448</v>
      </c>
      <c r="B347" s="56" t="s">
        <v>3805</v>
      </c>
      <c r="C347" s="56" t="s">
        <v>3803</v>
      </c>
      <c r="D347" s="56" t="s">
        <v>3804</v>
      </c>
      <c r="E347" s="56">
        <v>53.647080000000003</v>
      </c>
      <c r="F347" s="56">
        <v>-0.25691999999999998</v>
      </c>
      <c r="G347" s="56">
        <v>223000</v>
      </c>
    </row>
    <row r="348" spans="1:7" x14ac:dyDescent="0.35">
      <c r="A348" t="s">
        <v>448</v>
      </c>
      <c r="B348" s="56" t="s">
        <v>3806</v>
      </c>
      <c r="C348" s="56" t="s">
        <v>3807</v>
      </c>
      <c r="D348" s="56" t="s">
        <v>3808</v>
      </c>
      <c r="E348" s="56">
        <v>51.685699999999997</v>
      </c>
      <c r="F348" s="56">
        <v>-5.0270999999999999</v>
      </c>
      <c r="G348" s="56">
        <v>210000</v>
      </c>
    </row>
    <row r="349" spans="1:7" x14ac:dyDescent="0.35">
      <c r="A349" t="s">
        <v>448</v>
      </c>
      <c r="B349" s="56" t="s">
        <v>3809</v>
      </c>
      <c r="C349" s="56" t="s">
        <v>3807</v>
      </c>
      <c r="D349" s="56" t="s">
        <v>3810</v>
      </c>
      <c r="E349" s="56">
        <v>51.709150000000001</v>
      </c>
      <c r="F349" s="56">
        <v>-4.99308</v>
      </c>
      <c r="G349" s="56">
        <v>100000</v>
      </c>
    </row>
    <row r="350" spans="1:7" x14ac:dyDescent="0.35">
      <c r="A350" t="s">
        <v>448</v>
      </c>
      <c r="B350" s="56" t="s">
        <v>3811</v>
      </c>
      <c r="C350" s="56" t="s">
        <v>3812</v>
      </c>
      <c r="D350" s="56" t="s">
        <v>3813</v>
      </c>
      <c r="E350" s="56">
        <v>56.016779999999997</v>
      </c>
      <c r="F350" s="56">
        <v>-3.6849699999999999</v>
      </c>
      <c r="G350" s="56">
        <v>205000</v>
      </c>
    </row>
    <row r="351" spans="1:7" x14ac:dyDescent="0.35">
      <c r="A351" t="s">
        <v>329</v>
      </c>
      <c r="B351" s="56" t="s">
        <v>3814</v>
      </c>
      <c r="C351" s="56" t="s">
        <v>3815</v>
      </c>
      <c r="D351" s="56" t="s">
        <v>3816</v>
      </c>
      <c r="E351" s="56">
        <v>10.22289</v>
      </c>
      <c r="F351" s="56">
        <v>-64.617040000000003</v>
      </c>
      <c r="G351" s="56">
        <v>200000</v>
      </c>
    </row>
    <row r="352" spans="1:7" x14ac:dyDescent="0.35">
      <c r="A352" t="s">
        <v>329</v>
      </c>
      <c r="B352" s="56" t="s">
        <v>3817</v>
      </c>
      <c r="C352" s="56" t="s">
        <v>3818</v>
      </c>
      <c r="D352" s="56" t="s">
        <v>3819</v>
      </c>
      <c r="E352" s="56">
        <v>10.483090000000001</v>
      </c>
      <c r="F352" s="56">
        <v>-68.12</v>
      </c>
      <c r="G352" s="56">
        <v>176000</v>
      </c>
    </row>
    <row r="353" spans="1:7" x14ac:dyDescent="0.35">
      <c r="A353" t="s">
        <v>329</v>
      </c>
      <c r="B353" s="56" t="s">
        <v>3820</v>
      </c>
      <c r="C353" s="56" t="s">
        <v>3821</v>
      </c>
      <c r="D353" s="56" t="s">
        <v>3822</v>
      </c>
      <c r="E353" s="56">
        <v>11.74934</v>
      </c>
      <c r="F353" s="56">
        <v>-70.195580000000007</v>
      </c>
      <c r="G353" s="56">
        <v>635000</v>
      </c>
    </row>
    <row r="354" spans="1:7" x14ac:dyDescent="0.35">
      <c r="A354" t="s">
        <v>329</v>
      </c>
      <c r="B354" s="56" t="s">
        <v>3823</v>
      </c>
      <c r="C354" s="56" t="s">
        <v>3821</v>
      </c>
      <c r="D354" s="56" t="s">
        <v>3824</v>
      </c>
      <c r="E354" s="56">
        <v>11.631069999999999</v>
      </c>
      <c r="F354" s="56">
        <v>-70.224590000000006</v>
      </c>
      <c r="G354" s="56">
        <v>297000</v>
      </c>
    </row>
    <row r="355" spans="1:7" x14ac:dyDescent="0.35">
      <c r="A355" t="s">
        <v>450</v>
      </c>
      <c r="B355" s="59" t="s">
        <v>3825</v>
      </c>
      <c r="C355" t="s">
        <v>643</v>
      </c>
      <c r="D355" t="s">
        <v>3826</v>
      </c>
      <c r="E355">
        <v>31.181151809999999</v>
      </c>
      <c r="F355">
        <v>-87.439482560000002</v>
      </c>
      <c r="G355" s="8">
        <v>4100</v>
      </c>
    </row>
    <row r="356" spans="1:7" x14ac:dyDescent="0.35">
      <c r="A356" t="s">
        <v>450</v>
      </c>
      <c r="B356" s="59" t="s">
        <v>3827</v>
      </c>
      <c r="C356" t="s">
        <v>643</v>
      </c>
      <c r="D356" t="s">
        <v>841</v>
      </c>
      <c r="E356">
        <v>33.314419440000002</v>
      </c>
      <c r="F356">
        <v>-87.618891059999996</v>
      </c>
      <c r="G356" s="8">
        <v>49500</v>
      </c>
    </row>
    <row r="357" spans="1:7" x14ac:dyDescent="0.35">
      <c r="A357" t="s">
        <v>450</v>
      </c>
      <c r="B357" s="59" t="s">
        <v>3828</v>
      </c>
      <c r="C357" t="s">
        <v>643</v>
      </c>
      <c r="D357" t="s">
        <v>655</v>
      </c>
      <c r="E357">
        <v>30.862235269999999</v>
      </c>
      <c r="F357">
        <v>-88.059720330000005</v>
      </c>
      <c r="G357" s="8">
        <v>87500</v>
      </c>
    </row>
    <row r="358" spans="1:7" x14ac:dyDescent="0.35">
      <c r="A358" t="s">
        <v>450</v>
      </c>
      <c r="B358" s="59" t="s">
        <v>3829</v>
      </c>
      <c r="C358" t="s">
        <v>896</v>
      </c>
      <c r="D358" t="s">
        <v>3830</v>
      </c>
      <c r="E358">
        <v>70.425385469999995</v>
      </c>
      <c r="F358">
        <v>-149.29516000000001</v>
      </c>
      <c r="G358" s="8">
        <v>6500</v>
      </c>
    </row>
    <row r="359" spans="1:7" x14ac:dyDescent="0.35">
      <c r="A359" t="s">
        <v>450</v>
      </c>
      <c r="B359" s="59" t="s">
        <v>3831</v>
      </c>
      <c r="C359" t="s">
        <v>896</v>
      </c>
      <c r="D359" t="s">
        <v>3830</v>
      </c>
      <c r="E359">
        <v>71.405298950000002</v>
      </c>
      <c r="F359">
        <v>-148.2732857</v>
      </c>
      <c r="G359" s="8">
        <v>15000</v>
      </c>
    </row>
    <row r="360" spans="1:7" x14ac:dyDescent="0.35">
      <c r="A360" t="s">
        <v>450</v>
      </c>
      <c r="B360" s="59" t="s">
        <v>3832</v>
      </c>
      <c r="C360" t="s">
        <v>896</v>
      </c>
      <c r="D360" t="s">
        <v>3833</v>
      </c>
      <c r="E360">
        <v>64.826274400000003</v>
      </c>
      <c r="F360">
        <v>-147.35051770000001</v>
      </c>
      <c r="G360" s="8">
        <v>19700</v>
      </c>
    </row>
    <row r="361" spans="1:7" x14ac:dyDescent="0.35">
      <c r="A361" t="s">
        <v>450</v>
      </c>
      <c r="B361" s="59" t="s">
        <v>3832</v>
      </c>
      <c r="C361" t="s">
        <v>896</v>
      </c>
      <c r="D361" t="s">
        <v>3834</v>
      </c>
      <c r="E361">
        <v>61.276979670000003</v>
      </c>
      <c r="F361">
        <v>-146.32819509999999</v>
      </c>
      <c r="G361" s="8">
        <v>55000</v>
      </c>
    </row>
    <row r="362" spans="1:7" x14ac:dyDescent="0.35">
      <c r="A362" t="s">
        <v>450</v>
      </c>
      <c r="B362" s="59" t="s">
        <v>3835</v>
      </c>
      <c r="C362" t="s">
        <v>896</v>
      </c>
      <c r="D362" t="s">
        <v>895</v>
      </c>
      <c r="E362">
        <v>60.66137432</v>
      </c>
      <c r="F362">
        <v>-151.22805650000001</v>
      </c>
      <c r="G362" s="8">
        <v>68000</v>
      </c>
    </row>
    <row r="363" spans="1:7" x14ac:dyDescent="0.35">
      <c r="A363" t="s">
        <v>450</v>
      </c>
      <c r="B363" s="59" t="s">
        <v>3836</v>
      </c>
      <c r="C363" t="s">
        <v>564</v>
      </c>
      <c r="D363" t="s">
        <v>809</v>
      </c>
      <c r="E363">
        <v>33.373372940000003</v>
      </c>
      <c r="F363">
        <v>-92.717451299999993</v>
      </c>
      <c r="G363" s="8">
        <v>7500</v>
      </c>
    </row>
    <row r="364" spans="1:7" x14ac:dyDescent="0.35">
      <c r="A364" t="s">
        <v>450</v>
      </c>
      <c r="B364" s="59" t="s">
        <v>3837</v>
      </c>
      <c r="C364" t="s">
        <v>564</v>
      </c>
      <c r="D364" t="s">
        <v>839</v>
      </c>
      <c r="E364">
        <v>33.201532950000001</v>
      </c>
      <c r="F364">
        <v>-92.673398250000005</v>
      </c>
      <c r="G364" s="8">
        <v>83000</v>
      </c>
    </row>
    <row r="365" spans="1:7" x14ac:dyDescent="0.35">
      <c r="A365" t="s">
        <v>450</v>
      </c>
      <c r="B365" s="59" t="s">
        <v>3838</v>
      </c>
      <c r="C365" t="s">
        <v>490</v>
      </c>
      <c r="D365" t="s">
        <v>3839</v>
      </c>
      <c r="E365">
        <v>35.145942570000003</v>
      </c>
      <c r="F365">
        <v>-119.42731790000001</v>
      </c>
      <c r="G365" t="s">
        <v>3840</v>
      </c>
    </row>
    <row r="366" spans="1:7" x14ac:dyDescent="0.35">
      <c r="A366" t="s">
        <v>450</v>
      </c>
      <c r="B366" s="59" t="s">
        <v>3841</v>
      </c>
      <c r="C366" t="s">
        <v>490</v>
      </c>
      <c r="D366" t="s">
        <v>3842</v>
      </c>
      <c r="E366">
        <v>33.780888769999997</v>
      </c>
      <c r="F366">
        <v>-118.23265120000001</v>
      </c>
      <c r="G366" s="8">
        <v>6300</v>
      </c>
    </row>
    <row r="367" spans="1:7" x14ac:dyDescent="0.35">
      <c r="A367" t="s">
        <v>450</v>
      </c>
      <c r="B367" s="59" t="s">
        <v>3843</v>
      </c>
      <c r="C367" t="s">
        <v>490</v>
      </c>
      <c r="D367" t="s">
        <v>3844</v>
      </c>
      <c r="E367">
        <v>34.953728400000003</v>
      </c>
      <c r="F367">
        <v>-120.437106</v>
      </c>
      <c r="G367" s="8">
        <v>9500</v>
      </c>
    </row>
    <row r="368" spans="1:7" x14ac:dyDescent="0.35">
      <c r="A368" t="s">
        <v>450</v>
      </c>
      <c r="B368" s="59" t="s">
        <v>3845</v>
      </c>
      <c r="C368" t="s">
        <v>490</v>
      </c>
      <c r="D368" t="s">
        <v>3846</v>
      </c>
      <c r="E368">
        <v>38.014582400000002</v>
      </c>
      <c r="F368">
        <v>-122.1064489</v>
      </c>
      <c r="G368" s="8">
        <v>8500</v>
      </c>
    </row>
    <row r="369" spans="1:7" x14ac:dyDescent="0.35">
      <c r="A369" t="s">
        <v>450</v>
      </c>
      <c r="B369" s="59" t="s">
        <v>3847</v>
      </c>
      <c r="C369" t="s">
        <v>490</v>
      </c>
      <c r="D369" t="s">
        <v>747</v>
      </c>
      <c r="E369">
        <v>35.395529949999997</v>
      </c>
      <c r="F369">
        <v>-119.0458004</v>
      </c>
      <c r="G369" s="8">
        <v>150000</v>
      </c>
    </row>
    <row r="370" spans="1:7" x14ac:dyDescent="0.35">
      <c r="A370" t="s">
        <v>450</v>
      </c>
      <c r="B370" s="59" t="s">
        <v>3848</v>
      </c>
      <c r="C370" t="s">
        <v>490</v>
      </c>
      <c r="D370" t="s">
        <v>747</v>
      </c>
      <c r="E370">
        <v>35.324623959999997</v>
      </c>
      <c r="F370">
        <v>-118.91030480000001</v>
      </c>
      <c r="G370" s="8">
        <v>26000</v>
      </c>
    </row>
    <row r="371" spans="1:7" x14ac:dyDescent="0.35">
      <c r="A371" t="s">
        <v>450</v>
      </c>
      <c r="B371" s="59" t="s">
        <v>3849</v>
      </c>
      <c r="C371" t="s">
        <v>490</v>
      </c>
      <c r="D371" t="s">
        <v>3842</v>
      </c>
      <c r="E371">
        <v>33.778081530000001</v>
      </c>
      <c r="F371">
        <v>-118.2227644</v>
      </c>
      <c r="G371" s="8">
        <v>85000</v>
      </c>
    </row>
    <row r="372" spans="1:7" x14ac:dyDescent="0.35">
      <c r="A372" t="s">
        <v>450</v>
      </c>
      <c r="B372" s="59" t="s">
        <v>3850</v>
      </c>
      <c r="C372" t="s">
        <v>490</v>
      </c>
      <c r="D372" t="s">
        <v>510</v>
      </c>
      <c r="E372">
        <v>38.046099460000001</v>
      </c>
      <c r="F372">
        <v>-122.2586009</v>
      </c>
      <c r="G372" s="8">
        <v>114200</v>
      </c>
    </row>
    <row r="373" spans="1:7" x14ac:dyDescent="0.35">
      <c r="A373" t="s">
        <v>450</v>
      </c>
      <c r="B373" s="59" t="s">
        <v>3850</v>
      </c>
      <c r="C373" t="s">
        <v>490</v>
      </c>
      <c r="D373" t="s">
        <v>3842</v>
      </c>
      <c r="E373">
        <v>33.779948349999998</v>
      </c>
      <c r="F373">
        <v>-118.2868927</v>
      </c>
      <c r="G373" s="8">
        <v>139000</v>
      </c>
    </row>
    <row r="374" spans="1:7" x14ac:dyDescent="0.35">
      <c r="A374" t="s">
        <v>450</v>
      </c>
      <c r="B374" s="59" t="s">
        <v>3841</v>
      </c>
      <c r="C374" t="s">
        <v>490</v>
      </c>
      <c r="D374" t="s">
        <v>904</v>
      </c>
      <c r="E374">
        <v>38.07455599</v>
      </c>
      <c r="F374">
        <v>-122.1449028</v>
      </c>
      <c r="G374" s="8">
        <v>145000</v>
      </c>
    </row>
    <row r="375" spans="1:7" x14ac:dyDescent="0.35">
      <c r="A375" t="s">
        <v>450</v>
      </c>
      <c r="B375" s="59" t="s">
        <v>3851</v>
      </c>
      <c r="C375" t="s">
        <v>490</v>
      </c>
      <c r="D375" t="s">
        <v>551</v>
      </c>
      <c r="E375">
        <v>38.02634158</v>
      </c>
      <c r="F375">
        <v>-122.1248164</v>
      </c>
      <c r="G375" s="8">
        <v>156400</v>
      </c>
    </row>
    <row r="376" spans="1:7" x14ac:dyDescent="0.35">
      <c r="A376" t="s">
        <v>450</v>
      </c>
      <c r="B376" s="59" t="s">
        <v>3852</v>
      </c>
      <c r="C376" t="s">
        <v>490</v>
      </c>
      <c r="D376" t="s">
        <v>746</v>
      </c>
      <c r="E376">
        <v>33.853560170000002</v>
      </c>
      <c r="F376">
        <v>-118.3359304</v>
      </c>
    </row>
    <row r="377" spans="1:7" x14ac:dyDescent="0.35">
      <c r="A377" t="s">
        <v>450</v>
      </c>
      <c r="B377" s="59" t="s">
        <v>3853</v>
      </c>
      <c r="C377" t="s">
        <v>490</v>
      </c>
      <c r="D377" t="s">
        <v>688</v>
      </c>
      <c r="E377">
        <v>37.933143800000003</v>
      </c>
      <c r="F377">
        <v>-122.3912754</v>
      </c>
      <c r="G377" s="8">
        <v>245271</v>
      </c>
    </row>
    <row r="378" spans="1:7" x14ac:dyDescent="0.35">
      <c r="A378" t="s">
        <v>450</v>
      </c>
      <c r="B378" s="59" t="s">
        <v>3853</v>
      </c>
      <c r="C378" t="s">
        <v>490</v>
      </c>
      <c r="D378" t="s">
        <v>489</v>
      </c>
      <c r="E378">
        <v>33.91693592</v>
      </c>
      <c r="F378">
        <v>-118.4190949</v>
      </c>
      <c r="G378" s="8">
        <v>269000</v>
      </c>
    </row>
    <row r="379" spans="1:7" x14ac:dyDescent="0.35">
      <c r="A379" t="s">
        <v>450</v>
      </c>
      <c r="B379" s="59" t="s">
        <v>3854</v>
      </c>
      <c r="C379" t="s">
        <v>490</v>
      </c>
      <c r="D379" t="s">
        <v>527</v>
      </c>
      <c r="E379">
        <v>33.822865829999998</v>
      </c>
      <c r="F379">
        <v>-118.2431289</v>
      </c>
      <c r="G379" s="8">
        <v>363000</v>
      </c>
    </row>
    <row r="380" spans="1:7" x14ac:dyDescent="0.35">
      <c r="A380" t="s">
        <v>450</v>
      </c>
      <c r="B380" s="59" t="s">
        <v>3855</v>
      </c>
      <c r="C380" t="s">
        <v>891</v>
      </c>
      <c r="D380" t="s">
        <v>3856</v>
      </c>
      <c r="E380">
        <v>39.798720260000003</v>
      </c>
      <c r="F380">
        <v>-104.9567993</v>
      </c>
      <c r="G380" s="8">
        <v>36000</v>
      </c>
    </row>
    <row r="381" spans="1:7" x14ac:dyDescent="0.35">
      <c r="A381" t="s">
        <v>450</v>
      </c>
      <c r="B381" s="59" t="s">
        <v>3855</v>
      </c>
      <c r="C381" t="s">
        <v>891</v>
      </c>
      <c r="D381" t="s">
        <v>3856</v>
      </c>
      <c r="E381">
        <v>39.797931740000003</v>
      </c>
      <c r="F381">
        <v>-104.9454089</v>
      </c>
      <c r="G381" s="8">
        <v>67000</v>
      </c>
    </row>
    <row r="382" spans="1:7" x14ac:dyDescent="0.35">
      <c r="A382" t="s">
        <v>450</v>
      </c>
      <c r="B382" s="59" t="s">
        <v>3857</v>
      </c>
      <c r="C382" t="s">
        <v>537</v>
      </c>
      <c r="D382" t="s">
        <v>536</v>
      </c>
      <c r="E382">
        <v>39.58662425</v>
      </c>
      <c r="F382">
        <v>-75.62921446</v>
      </c>
      <c r="G382" s="8">
        <v>171000</v>
      </c>
    </row>
    <row r="383" spans="1:7" x14ac:dyDescent="0.35">
      <c r="A383" t="s">
        <v>450</v>
      </c>
      <c r="B383" s="59" t="s">
        <v>3858</v>
      </c>
      <c r="C383" t="s">
        <v>468</v>
      </c>
      <c r="D383" t="s">
        <v>467</v>
      </c>
      <c r="E383">
        <v>21.30551307</v>
      </c>
      <c r="F383">
        <v>-158.09516070000001</v>
      </c>
      <c r="G383" s="8">
        <v>93500</v>
      </c>
    </row>
    <row r="384" spans="1:7" x14ac:dyDescent="0.35">
      <c r="A384" t="s">
        <v>450</v>
      </c>
      <c r="B384" s="59" t="s">
        <v>3859</v>
      </c>
      <c r="C384" t="s">
        <v>475</v>
      </c>
      <c r="D384" t="s">
        <v>647</v>
      </c>
      <c r="E384">
        <v>41.645175960000003</v>
      </c>
      <c r="F384">
        <v>-88.05255769</v>
      </c>
      <c r="G384" s="8">
        <v>179265</v>
      </c>
    </row>
    <row r="385" spans="1:7" x14ac:dyDescent="0.35">
      <c r="A385" t="s">
        <v>450</v>
      </c>
      <c r="B385" s="59" t="s">
        <v>3860</v>
      </c>
      <c r="C385" t="s">
        <v>475</v>
      </c>
      <c r="D385" t="s">
        <v>3861</v>
      </c>
      <c r="E385">
        <v>39.002109529999998</v>
      </c>
      <c r="F385">
        <v>-87.724006169999996</v>
      </c>
      <c r="G385" s="8">
        <v>253000</v>
      </c>
    </row>
    <row r="386" spans="1:7" x14ac:dyDescent="0.35">
      <c r="A386" t="s">
        <v>450</v>
      </c>
      <c r="B386" s="59" t="s">
        <v>3862</v>
      </c>
      <c r="C386" t="s">
        <v>475</v>
      </c>
      <c r="D386" t="s">
        <v>545</v>
      </c>
      <c r="E386">
        <v>41.423312189999997</v>
      </c>
      <c r="F386">
        <v>-88.186656900000003</v>
      </c>
      <c r="G386" s="8">
        <v>251800</v>
      </c>
    </row>
    <row r="387" spans="1:7" x14ac:dyDescent="0.35">
      <c r="A387" t="s">
        <v>450</v>
      </c>
      <c r="B387" s="59" t="s">
        <v>3863</v>
      </c>
      <c r="C387" t="s">
        <v>475</v>
      </c>
      <c r="D387" t="s">
        <v>910</v>
      </c>
      <c r="E387">
        <v>38.838581599999998</v>
      </c>
      <c r="F387">
        <v>-90.072996579999995</v>
      </c>
      <c r="G387" s="8">
        <v>356000</v>
      </c>
    </row>
    <row r="388" spans="1:7" x14ac:dyDescent="0.35">
      <c r="A388" t="s">
        <v>450</v>
      </c>
      <c r="B388" s="59" t="s">
        <v>3864</v>
      </c>
      <c r="C388" t="s">
        <v>508</v>
      </c>
      <c r="D388" t="s">
        <v>966</v>
      </c>
      <c r="E388">
        <v>37.942058850000002</v>
      </c>
      <c r="F388">
        <v>-87.909854319999994</v>
      </c>
      <c r="G388" s="8">
        <v>32300</v>
      </c>
    </row>
    <row r="389" spans="1:7" x14ac:dyDescent="0.35">
      <c r="A389" t="s">
        <v>450</v>
      </c>
      <c r="B389" s="59" t="s">
        <v>3865</v>
      </c>
      <c r="C389" t="s">
        <v>508</v>
      </c>
      <c r="D389" t="s">
        <v>708</v>
      </c>
      <c r="E389">
        <v>41.662658839999999</v>
      </c>
      <c r="F389">
        <v>-87.483161699999997</v>
      </c>
      <c r="G389" s="8">
        <v>435000</v>
      </c>
    </row>
    <row r="390" spans="1:7" x14ac:dyDescent="0.35">
      <c r="A390" t="s">
        <v>450</v>
      </c>
      <c r="B390" s="59" t="s">
        <v>3866</v>
      </c>
      <c r="C390" t="s">
        <v>479</v>
      </c>
      <c r="D390" t="s">
        <v>854</v>
      </c>
      <c r="E390">
        <v>38.347272680000003</v>
      </c>
      <c r="F390">
        <v>-97.668273940000006</v>
      </c>
      <c r="G390" s="8">
        <v>110200</v>
      </c>
    </row>
    <row r="391" spans="1:7" x14ac:dyDescent="0.35">
      <c r="A391" t="s">
        <v>450</v>
      </c>
      <c r="B391" s="59" t="s">
        <v>3867</v>
      </c>
      <c r="C391" t="s">
        <v>479</v>
      </c>
      <c r="D391" t="s">
        <v>627</v>
      </c>
      <c r="E391">
        <v>37.037707509999997</v>
      </c>
      <c r="F391">
        <v>-95.616183710000001</v>
      </c>
      <c r="G391" s="8">
        <v>132000</v>
      </c>
    </row>
    <row r="392" spans="1:7" x14ac:dyDescent="0.35">
      <c r="A392" t="s">
        <v>450</v>
      </c>
      <c r="B392" s="59" t="s">
        <v>3868</v>
      </c>
      <c r="C392" t="s">
        <v>479</v>
      </c>
      <c r="D392" t="s">
        <v>3869</v>
      </c>
      <c r="E392">
        <v>37.800461040000002</v>
      </c>
      <c r="F392">
        <v>-96.866777799999994</v>
      </c>
      <c r="G392" s="8">
        <v>162000</v>
      </c>
    </row>
    <row r="393" spans="1:7" x14ac:dyDescent="0.35">
      <c r="A393" t="s">
        <v>450</v>
      </c>
      <c r="B393" s="59" t="s">
        <v>3860</v>
      </c>
      <c r="C393" t="s">
        <v>530</v>
      </c>
      <c r="D393" t="s">
        <v>529</v>
      </c>
      <c r="E393">
        <v>38.384832879999998</v>
      </c>
      <c r="F393">
        <v>-82.599449469999996</v>
      </c>
      <c r="G393" s="8">
        <v>291000</v>
      </c>
    </row>
    <row r="394" spans="1:7" x14ac:dyDescent="0.35">
      <c r="A394" t="s">
        <v>450</v>
      </c>
      <c r="B394" s="59" t="s">
        <v>3870</v>
      </c>
      <c r="C394" t="s">
        <v>497</v>
      </c>
      <c r="D394" t="s">
        <v>777</v>
      </c>
      <c r="E394">
        <v>32.596589760000001</v>
      </c>
      <c r="F394">
        <v>-93.516152090000006</v>
      </c>
      <c r="G394" s="8">
        <v>8300</v>
      </c>
    </row>
    <row r="395" spans="1:7" x14ac:dyDescent="0.35">
      <c r="A395" t="s">
        <v>450</v>
      </c>
      <c r="B395" s="59" t="s">
        <v>3871</v>
      </c>
      <c r="C395" t="s">
        <v>497</v>
      </c>
      <c r="D395" t="s">
        <v>3872</v>
      </c>
      <c r="E395">
        <v>32.798398050000003</v>
      </c>
      <c r="F395">
        <v>-93.413772499999993</v>
      </c>
      <c r="G395" s="8">
        <v>13020</v>
      </c>
    </row>
    <row r="396" spans="1:7" x14ac:dyDescent="0.35">
      <c r="A396" t="s">
        <v>450</v>
      </c>
      <c r="B396" s="59" t="s">
        <v>3873</v>
      </c>
      <c r="C396" t="s">
        <v>497</v>
      </c>
      <c r="D396" t="s">
        <v>778</v>
      </c>
      <c r="E396">
        <v>32.47282147</v>
      </c>
      <c r="F396">
        <v>-93.789840949999999</v>
      </c>
      <c r="G396" s="8">
        <v>57000</v>
      </c>
    </row>
    <row r="397" spans="1:7" x14ac:dyDescent="0.35">
      <c r="A397" t="s">
        <v>450</v>
      </c>
      <c r="B397" s="59" t="s">
        <v>3874</v>
      </c>
      <c r="C397" t="s">
        <v>497</v>
      </c>
      <c r="D397" t="s">
        <v>3875</v>
      </c>
      <c r="E397">
        <v>30.444733469999999</v>
      </c>
      <c r="F397">
        <v>-91.2023169</v>
      </c>
      <c r="G397" s="8">
        <v>75000</v>
      </c>
    </row>
    <row r="398" spans="1:7" x14ac:dyDescent="0.35">
      <c r="A398" t="s">
        <v>450</v>
      </c>
      <c r="B398" s="59" t="s">
        <v>3876</v>
      </c>
      <c r="C398" t="s">
        <v>497</v>
      </c>
      <c r="D398" t="s">
        <v>3877</v>
      </c>
      <c r="E398">
        <v>30.534963739999998</v>
      </c>
      <c r="F398">
        <v>-91.748673260000004</v>
      </c>
      <c r="G398" s="8">
        <v>80000</v>
      </c>
    </row>
    <row r="399" spans="1:7" x14ac:dyDescent="0.35">
      <c r="A399" t="s">
        <v>450</v>
      </c>
      <c r="B399" s="59" t="s">
        <v>3878</v>
      </c>
      <c r="C399" t="s">
        <v>497</v>
      </c>
      <c r="D399" t="s">
        <v>3879</v>
      </c>
      <c r="E399">
        <v>29.93292709</v>
      </c>
      <c r="F399">
        <v>-89.941647979999999</v>
      </c>
      <c r="G399" s="8">
        <v>125000</v>
      </c>
    </row>
    <row r="400" spans="1:7" x14ac:dyDescent="0.35">
      <c r="A400" t="s">
        <v>450</v>
      </c>
      <c r="B400" s="59" t="s">
        <v>3880</v>
      </c>
      <c r="C400" t="s">
        <v>497</v>
      </c>
      <c r="D400" t="s">
        <v>610</v>
      </c>
      <c r="E400">
        <v>30.134736719999999</v>
      </c>
      <c r="F400">
        <v>-93.318147940000003</v>
      </c>
      <c r="G400" s="8">
        <v>135000</v>
      </c>
    </row>
    <row r="401" spans="1:7" x14ac:dyDescent="0.35">
      <c r="A401" t="s">
        <v>450</v>
      </c>
      <c r="B401" s="59" t="s">
        <v>3881</v>
      </c>
      <c r="C401" t="s">
        <v>497</v>
      </c>
      <c r="D401" t="s">
        <v>3882</v>
      </c>
      <c r="E401">
        <v>29.940549560000001</v>
      </c>
      <c r="F401">
        <v>-89.971333040000005</v>
      </c>
      <c r="G401" s="8">
        <v>190000</v>
      </c>
    </row>
    <row r="402" spans="1:7" x14ac:dyDescent="0.35">
      <c r="A402" t="s">
        <v>450</v>
      </c>
      <c r="B402" s="59" t="s">
        <v>3883</v>
      </c>
      <c r="C402" t="s">
        <v>497</v>
      </c>
      <c r="D402" t="s">
        <v>3884</v>
      </c>
      <c r="E402">
        <v>29.99179359</v>
      </c>
      <c r="F402">
        <v>-90.399441859999996</v>
      </c>
      <c r="G402" s="8">
        <v>215000</v>
      </c>
    </row>
    <row r="403" spans="1:7" x14ac:dyDescent="0.35">
      <c r="A403" t="s">
        <v>450</v>
      </c>
      <c r="B403" s="59" t="s">
        <v>3885</v>
      </c>
      <c r="C403" t="s">
        <v>497</v>
      </c>
      <c r="D403" t="s">
        <v>3884</v>
      </c>
      <c r="E403">
        <v>29.997824340000001</v>
      </c>
      <c r="F403">
        <v>-90.411968939999994</v>
      </c>
      <c r="G403" s="8">
        <v>236721</v>
      </c>
    </row>
    <row r="404" spans="1:7" x14ac:dyDescent="0.35">
      <c r="A404" t="s">
        <v>450</v>
      </c>
      <c r="B404" s="59" t="s">
        <v>3850</v>
      </c>
      <c r="C404" t="s">
        <v>497</v>
      </c>
      <c r="D404" t="s">
        <v>578</v>
      </c>
      <c r="E404">
        <v>30.238998280000001</v>
      </c>
      <c r="F404">
        <v>-93.255894710000007</v>
      </c>
      <c r="G404" s="8">
        <v>264000</v>
      </c>
    </row>
    <row r="405" spans="1:7" x14ac:dyDescent="0.35">
      <c r="A405" t="s">
        <v>450</v>
      </c>
      <c r="B405" s="59" t="s">
        <v>3886</v>
      </c>
      <c r="C405" t="s">
        <v>497</v>
      </c>
      <c r="D405" t="s">
        <v>505</v>
      </c>
      <c r="E405">
        <v>30.188072040000002</v>
      </c>
      <c r="F405">
        <v>-93.32209589</v>
      </c>
      <c r="G405" s="8">
        <v>418000</v>
      </c>
    </row>
    <row r="406" spans="1:7" x14ac:dyDescent="0.35">
      <c r="A406" t="s">
        <v>450</v>
      </c>
      <c r="B406" s="59" t="s">
        <v>3862</v>
      </c>
      <c r="C406" t="s">
        <v>497</v>
      </c>
      <c r="D406" t="s">
        <v>585</v>
      </c>
      <c r="E406">
        <v>30.4766768</v>
      </c>
      <c r="F406">
        <v>-91.183585809999997</v>
      </c>
      <c r="G406" s="8">
        <v>520000</v>
      </c>
    </row>
    <row r="407" spans="1:7" x14ac:dyDescent="0.35">
      <c r="A407" t="s">
        <v>450</v>
      </c>
      <c r="B407" s="59" t="s">
        <v>3860</v>
      </c>
      <c r="C407" t="s">
        <v>497</v>
      </c>
      <c r="D407" t="s">
        <v>590</v>
      </c>
      <c r="E407">
        <v>30.066743890000001</v>
      </c>
      <c r="F407">
        <v>-90.594790329999995</v>
      </c>
      <c r="G407" s="8">
        <v>585000</v>
      </c>
    </row>
    <row r="408" spans="1:7" x14ac:dyDescent="0.35">
      <c r="A408" t="s">
        <v>450</v>
      </c>
      <c r="B408" s="59" t="s">
        <v>3860</v>
      </c>
      <c r="C408" t="s">
        <v>556</v>
      </c>
      <c r="D408" t="s">
        <v>608</v>
      </c>
      <c r="E408">
        <v>42.283188299999999</v>
      </c>
      <c r="F408">
        <v>-83.152527789999994</v>
      </c>
      <c r="G408" s="8">
        <v>140000</v>
      </c>
    </row>
    <row r="409" spans="1:7" x14ac:dyDescent="0.35">
      <c r="A409" t="s">
        <v>450</v>
      </c>
      <c r="B409" s="59" t="s">
        <v>3887</v>
      </c>
      <c r="C409" t="s">
        <v>759</v>
      </c>
      <c r="D409" t="s">
        <v>3888</v>
      </c>
      <c r="E409">
        <v>44.853104330000001</v>
      </c>
      <c r="F409">
        <v>-92.997314500000002</v>
      </c>
      <c r="G409" s="8">
        <v>104000</v>
      </c>
    </row>
    <row r="410" spans="1:7" x14ac:dyDescent="0.35">
      <c r="A410" t="s">
        <v>450</v>
      </c>
      <c r="B410" s="59" t="s">
        <v>3889</v>
      </c>
      <c r="C410" t="s">
        <v>759</v>
      </c>
      <c r="D410" t="s">
        <v>3888</v>
      </c>
      <c r="E410">
        <v>44.931814719999998</v>
      </c>
      <c r="F410">
        <v>-93.047028510000004</v>
      </c>
      <c r="G410" s="8">
        <v>335000</v>
      </c>
    </row>
    <row r="411" spans="1:7" x14ac:dyDescent="0.35">
      <c r="A411" t="s">
        <v>450</v>
      </c>
      <c r="B411" s="59" t="s">
        <v>3853</v>
      </c>
      <c r="C411" t="s">
        <v>799</v>
      </c>
      <c r="D411" t="s">
        <v>798</v>
      </c>
      <c r="E411">
        <v>30.34419836</v>
      </c>
      <c r="F411">
        <v>-88.493115520000003</v>
      </c>
      <c r="G411" s="8">
        <v>356440</v>
      </c>
    </row>
    <row r="412" spans="1:7" x14ac:dyDescent="0.35">
      <c r="A412" t="s">
        <v>450</v>
      </c>
      <c r="B412" s="59" t="s">
        <v>822</v>
      </c>
      <c r="C412" t="s">
        <v>799</v>
      </c>
      <c r="D412" t="s">
        <v>821</v>
      </c>
      <c r="E412">
        <v>32.389659999999999</v>
      </c>
      <c r="F412">
        <v>-90.910310870000004</v>
      </c>
      <c r="G412" s="8">
        <v>26500</v>
      </c>
    </row>
    <row r="413" spans="1:7" x14ac:dyDescent="0.35">
      <c r="A413" t="s">
        <v>450</v>
      </c>
      <c r="B413" s="59" t="s">
        <v>3890</v>
      </c>
      <c r="C413" t="s">
        <v>799</v>
      </c>
      <c r="D413" t="s">
        <v>3891</v>
      </c>
      <c r="E413">
        <v>31.880811529999999</v>
      </c>
      <c r="F413">
        <v>-88.997480460000006</v>
      </c>
      <c r="G413" s="8">
        <v>11000</v>
      </c>
    </row>
    <row r="414" spans="1:7" x14ac:dyDescent="0.35">
      <c r="A414" t="s">
        <v>450</v>
      </c>
      <c r="B414" s="59" t="s">
        <v>3892</v>
      </c>
      <c r="C414" t="s">
        <v>667</v>
      </c>
      <c r="D414" t="s">
        <v>779</v>
      </c>
      <c r="E414">
        <v>47.524844940000001</v>
      </c>
      <c r="F414">
        <v>-111.2878571</v>
      </c>
      <c r="G414" s="8">
        <v>28000</v>
      </c>
    </row>
    <row r="415" spans="1:7" x14ac:dyDescent="0.35">
      <c r="A415" t="s">
        <v>450</v>
      </c>
      <c r="B415" s="59" t="s">
        <v>3862</v>
      </c>
      <c r="C415" t="s">
        <v>667</v>
      </c>
      <c r="D415" t="s">
        <v>828</v>
      </c>
      <c r="E415">
        <v>45.811936930000002</v>
      </c>
      <c r="F415">
        <v>-108.4325604</v>
      </c>
      <c r="G415" s="8">
        <v>61500</v>
      </c>
    </row>
    <row r="416" spans="1:7" x14ac:dyDescent="0.35">
      <c r="A416" t="s">
        <v>450</v>
      </c>
      <c r="B416" s="59" t="s">
        <v>3893</v>
      </c>
      <c r="C416" t="s">
        <v>667</v>
      </c>
      <c r="D416" t="s">
        <v>802</v>
      </c>
      <c r="E416">
        <v>45.658876450000001</v>
      </c>
      <c r="F416">
        <v>-108.76943799999999</v>
      </c>
      <c r="G416" s="8">
        <v>62500</v>
      </c>
    </row>
    <row r="417" spans="1:7" x14ac:dyDescent="0.35">
      <c r="A417" t="s">
        <v>450</v>
      </c>
      <c r="B417" s="59" t="s">
        <v>3850</v>
      </c>
      <c r="C417" t="s">
        <v>667</v>
      </c>
      <c r="D417" t="s">
        <v>828</v>
      </c>
      <c r="E417">
        <v>45.782475230000003</v>
      </c>
      <c r="F417">
        <v>-108.4946192</v>
      </c>
      <c r="G417" s="8">
        <v>66000</v>
      </c>
    </row>
    <row r="418" spans="1:7" x14ac:dyDescent="0.35">
      <c r="A418" t="s">
        <v>450</v>
      </c>
      <c r="B418" s="59" t="s">
        <v>3894</v>
      </c>
      <c r="C418" t="s">
        <v>958</v>
      </c>
      <c r="D418" t="s">
        <v>3895</v>
      </c>
      <c r="E418">
        <v>39.575610519999998</v>
      </c>
      <c r="F418">
        <v>-114.7841935</v>
      </c>
      <c r="G418" s="8">
        <v>2000</v>
      </c>
    </row>
    <row r="419" spans="1:7" x14ac:dyDescent="0.35">
      <c r="A419" t="s">
        <v>450</v>
      </c>
      <c r="B419" s="59" t="s">
        <v>3896</v>
      </c>
      <c r="C419" t="s">
        <v>664</v>
      </c>
      <c r="D419" t="s">
        <v>3897</v>
      </c>
      <c r="E419">
        <v>39.844435160000003</v>
      </c>
      <c r="F419">
        <v>-75.255072369999993</v>
      </c>
      <c r="G419" s="8">
        <v>100000</v>
      </c>
    </row>
    <row r="420" spans="1:7" x14ac:dyDescent="0.35">
      <c r="A420" t="s">
        <v>450</v>
      </c>
      <c r="B420" s="59" t="s">
        <v>3850</v>
      </c>
      <c r="C420" t="s">
        <v>664</v>
      </c>
      <c r="D420" t="s">
        <v>870</v>
      </c>
      <c r="E420">
        <v>40.640495289999997</v>
      </c>
      <c r="F420">
        <v>-74.218940549999999</v>
      </c>
      <c r="G420" s="8">
        <v>258500</v>
      </c>
    </row>
    <row r="421" spans="1:7" x14ac:dyDescent="0.35">
      <c r="A421" t="s">
        <v>450</v>
      </c>
      <c r="B421" s="59" t="s">
        <v>3898</v>
      </c>
      <c r="C421" t="s">
        <v>837</v>
      </c>
      <c r="D421" t="s">
        <v>836</v>
      </c>
      <c r="E421">
        <v>32.844463220000002</v>
      </c>
      <c r="F421">
        <v>-104.3906262</v>
      </c>
      <c r="G421" s="8">
        <v>110000</v>
      </c>
    </row>
    <row r="422" spans="1:7" x14ac:dyDescent="0.35">
      <c r="A422" t="s">
        <v>450</v>
      </c>
      <c r="B422" s="59" t="s">
        <v>3854</v>
      </c>
      <c r="C422" t="s">
        <v>3899</v>
      </c>
      <c r="D422" t="s">
        <v>3900</v>
      </c>
      <c r="E422">
        <v>46.846017740000001</v>
      </c>
      <c r="F422">
        <v>-100.88104300000001</v>
      </c>
      <c r="G422" s="8">
        <v>71000</v>
      </c>
    </row>
    <row r="423" spans="1:7" x14ac:dyDescent="0.35">
      <c r="A423" t="s">
        <v>450</v>
      </c>
      <c r="B423" s="59" t="s">
        <v>3860</v>
      </c>
      <c r="C423" t="s">
        <v>533</v>
      </c>
      <c r="D423" t="s">
        <v>3901</v>
      </c>
      <c r="E423">
        <v>40.775328049999999</v>
      </c>
      <c r="F423">
        <v>-81.413110000000003</v>
      </c>
      <c r="G423" s="8">
        <v>100000</v>
      </c>
    </row>
    <row r="424" spans="1:7" x14ac:dyDescent="0.35">
      <c r="A424" t="s">
        <v>450</v>
      </c>
      <c r="B424" s="59" t="s">
        <v>3902</v>
      </c>
      <c r="C424" t="s">
        <v>533</v>
      </c>
      <c r="D424" t="s">
        <v>657</v>
      </c>
      <c r="E424">
        <v>41.67729302</v>
      </c>
      <c r="F424">
        <v>-83.450427739999995</v>
      </c>
      <c r="G424" s="8">
        <v>150800</v>
      </c>
    </row>
    <row r="425" spans="1:7" x14ac:dyDescent="0.35">
      <c r="A425" t="s">
        <v>450</v>
      </c>
      <c r="B425" s="59" t="s">
        <v>3903</v>
      </c>
      <c r="C425" t="s">
        <v>533</v>
      </c>
      <c r="D425" t="s">
        <v>657</v>
      </c>
      <c r="E425">
        <v>41.630349520000003</v>
      </c>
      <c r="F425">
        <v>-83.505531039999994</v>
      </c>
      <c r="G425" s="8">
        <v>172800</v>
      </c>
    </row>
    <row r="426" spans="1:7" x14ac:dyDescent="0.35">
      <c r="A426" t="s">
        <v>450</v>
      </c>
      <c r="B426" s="59" t="s">
        <v>3904</v>
      </c>
      <c r="C426" t="s">
        <v>533</v>
      </c>
      <c r="D426" t="s">
        <v>712</v>
      </c>
      <c r="E426">
        <v>40.721163779999998</v>
      </c>
      <c r="F426">
        <v>-84.114126060000004</v>
      </c>
      <c r="G426" s="8">
        <v>179000</v>
      </c>
    </row>
    <row r="427" spans="1:7" x14ac:dyDescent="0.35">
      <c r="A427" t="s">
        <v>450</v>
      </c>
      <c r="B427" s="59" t="s">
        <v>3905</v>
      </c>
      <c r="C427" t="s">
        <v>812</v>
      </c>
      <c r="D427" t="s">
        <v>3906</v>
      </c>
      <c r="E427">
        <v>36.138866049999997</v>
      </c>
      <c r="F427">
        <v>-96.010571720000002</v>
      </c>
      <c r="G427" s="8">
        <v>70300</v>
      </c>
    </row>
    <row r="428" spans="1:7" x14ac:dyDescent="0.35">
      <c r="A428" t="s">
        <v>450</v>
      </c>
      <c r="B428" s="59" t="s">
        <v>3907</v>
      </c>
      <c r="C428" t="s">
        <v>812</v>
      </c>
      <c r="D428" t="s">
        <v>811</v>
      </c>
      <c r="E428">
        <v>34.63507645</v>
      </c>
      <c r="F428">
        <v>-97.168135280000001</v>
      </c>
      <c r="G428" s="8">
        <v>74500</v>
      </c>
    </row>
    <row r="429" spans="1:7" x14ac:dyDescent="0.35">
      <c r="A429" t="s">
        <v>450</v>
      </c>
      <c r="B429" s="59" t="s">
        <v>3908</v>
      </c>
      <c r="C429" t="s">
        <v>812</v>
      </c>
      <c r="D429" t="s">
        <v>902</v>
      </c>
      <c r="E429">
        <v>34.204308320000003</v>
      </c>
      <c r="F429">
        <v>-97.110188359999995</v>
      </c>
      <c r="G429" s="8">
        <v>86000</v>
      </c>
    </row>
    <row r="430" spans="1:7" x14ac:dyDescent="0.35">
      <c r="A430" t="s">
        <v>450</v>
      </c>
      <c r="B430" s="59" t="s">
        <v>3909</v>
      </c>
      <c r="C430" t="s">
        <v>812</v>
      </c>
      <c r="D430" t="s">
        <v>3906</v>
      </c>
      <c r="E430">
        <v>36.122395679999997</v>
      </c>
      <c r="F430">
        <v>-95.999768639999999</v>
      </c>
      <c r="G430" s="8">
        <v>85000</v>
      </c>
    </row>
    <row r="431" spans="1:7" x14ac:dyDescent="0.35">
      <c r="A431" t="s">
        <v>450</v>
      </c>
      <c r="B431" s="59" t="s">
        <v>3910</v>
      </c>
      <c r="C431" t="s">
        <v>812</v>
      </c>
      <c r="D431" t="s">
        <v>871</v>
      </c>
      <c r="E431">
        <v>36.697401069999998</v>
      </c>
      <c r="F431">
        <v>-97.088916569999995</v>
      </c>
      <c r="G431" s="8">
        <v>208000</v>
      </c>
    </row>
    <row r="432" spans="1:7" x14ac:dyDescent="0.35">
      <c r="A432" t="s">
        <v>450</v>
      </c>
      <c r="B432" s="59" t="s">
        <v>3911</v>
      </c>
      <c r="C432" t="s">
        <v>513</v>
      </c>
      <c r="D432" t="s">
        <v>3912</v>
      </c>
      <c r="E432">
        <v>41.96706133</v>
      </c>
      <c r="F432">
        <v>-78.628438110000005</v>
      </c>
      <c r="G432" s="8">
        <v>11000</v>
      </c>
    </row>
    <row r="433" spans="1:7" x14ac:dyDescent="0.35">
      <c r="A433" t="s">
        <v>450</v>
      </c>
      <c r="B433" s="59" t="s">
        <v>3913</v>
      </c>
      <c r="C433" t="s">
        <v>513</v>
      </c>
      <c r="D433" t="s">
        <v>3914</v>
      </c>
      <c r="E433">
        <v>41.830007449999997</v>
      </c>
      <c r="F433">
        <v>-79.124567709999994</v>
      </c>
      <c r="G433" s="8">
        <v>65000</v>
      </c>
    </row>
    <row r="434" spans="1:7" x14ac:dyDescent="0.35">
      <c r="A434" t="s">
        <v>450</v>
      </c>
      <c r="B434" s="59" t="s">
        <v>3915</v>
      </c>
      <c r="C434" t="s">
        <v>513</v>
      </c>
      <c r="D434" t="s">
        <v>3916</v>
      </c>
      <c r="E434">
        <v>39.823179660000001</v>
      </c>
      <c r="F434">
        <v>-75.408658290000005</v>
      </c>
      <c r="G434" s="8">
        <v>190000</v>
      </c>
    </row>
    <row r="435" spans="1:7" x14ac:dyDescent="0.35">
      <c r="A435" t="s">
        <v>450</v>
      </c>
      <c r="B435" s="59" t="s">
        <v>3917</v>
      </c>
      <c r="C435" t="s">
        <v>540</v>
      </c>
      <c r="D435" t="s">
        <v>760</v>
      </c>
      <c r="E435">
        <v>35.090568959999999</v>
      </c>
      <c r="F435">
        <v>-90.079440840000004</v>
      </c>
      <c r="G435" s="8">
        <v>180000</v>
      </c>
    </row>
    <row r="436" spans="1:7" x14ac:dyDescent="0.35">
      <c r="A436" t="s">
        <v>450</v>
      </c>
      <c r="B436" s="59" t="s">
        <v>3918</v>
      </c>
      <c r="C436" t="s">
        <v>486</v>
      </c>
      <c r="D436" t="s">
        <v>3919</v>
      </c>
      <c r="E436">
        <v>29.262510720000002</v>
      </c>
      <c r="F436">
        <v>-97.785910099999995</v>
      </c>
      <c r="G436" s="8">
        <v>14000</v>
      </c>
    </row>
    <row r="437" spans="1:7" x14ac:dyDescent="0.35">
      <c r="A437" t="s">
        <v>450</v>
      </c>
      <c r="B437" s="59" t="s">
        <v>3920</v>
      </c>
      <c r="C437" t="s">
        <v>486</v>
      </c>
      <c r="D437" t="s">
        <v>3921</v>
      </c>
      <c r="E437">
        <v>29.375949039999998</v>
      </c>
      <c r="F437">
        <v>-98.453096389999999</v>
      </c>
      <c r="G437" s="8">
        <v>20000</v>
      </c>
    </row>
    <row r="438" spans="1:7" x14ac:dyDescent="0.35">
      <c r="A438" t="s">
        <v>450</v>
      </c>
      <c r="B438" s="59" t="s">
        <v>3922</v>
      </c>
      <c r="C438" t="s">
        <v>486</v>
      </c>
      <c r="D438" t="s">
        <v>3923</v>
      </c>
      <c r="E438">
        <v>29.751601789999999</v>
      </c>
      <c r="F438">
        <v>-95.123676160000002</v>
      </c>
      <c r="G438" s="8">
        <v>25000</v>
      </c>
    </row>
    <row r="439" spans="1:7" x14ac:dyDescent="0.35">
      <c r="A439" t="s">
        <v>450</v>
      </c>
      <c r="B439" s="59" t="s">
        <v>3924</v>
      </c>
      <c r="C439" t="s">
        <v>486</v>
      </c>
      <c r="D439" t="s">
        <v>700</v>
      </c>
      <c r="E439">
        <v>29.767098350000001</v>
      </c>
      <c r="F439">
        <v>-95.102389479999999</v>
      </c>
      <c r="G439" s="8">
        <v>45000</v>
      </c>
    </row>
    <row r="440" spans="1:7" x14ac:dyDescent="0.35">
      <c r="A440" t="s">
        <v>450</v>
      </c>
      <c r="B440" s="59" t="s">
        <v>3925</v>
      </c>
      <c r="C440" t="s">
        <v>486</v>
      </c>
      <c r="D440" t="s">
        <v>517</v>
      </c>
      <c r="E440">
        <v>29.76210421</v>
      </c>
      <c r="F440">
        <v>-95.203417110000004</v>
      </c>
      <c r="G440" s="8">
        <v>42500</v>
      </c>
    </row>
    <row r="441" spans="1:7" x14ac:dyDescent="0.35">
      <c r="A441" t="s">
        <v>450</v>
      </c>
      <c r="B441" s="59" t="s">
        <v>3926</v>
      </c>
      <c r="C441" t="s">
        <v>486</v>
      </c>
      <c r="D441" t="s">
        <v>517</v>
      </c>
      <c r="E441">
        <v>27.818332250000001</v>
      </c>
      <c r="F441">
        <v>-97.503171190000003</v>
      </c>
      <c r="G441" s="8">
        <v>60000</v>
      </c>
    </row>
    <row r="442" spans="1:7" x14ac:dyDescent="0.35">
      <c r="A442" t="s">
        <v>450</v>
      </c>
      <c r="B442" s="59" t="s">
        <v>3927</v>
      </c>
      <c r="C442" t="s">
        <v>486</v>
      </c>
      <c r="D442" t="s">
        <v>3928</v>
      </c>
      <c r="E442">
        <v>32.268128500000003</v>
      </c>
      <c r="F442">
        <v>-101.4196353</v>
      </c>
      <c r="G442" s="8">
        <v>73000</v>
      </c>
    </row>
    <row r="443" spans="1:7" x14ac:dyDescent="0.35">
      <c r="A443" t="s">
        <v>450</v>
      </c>
      <c r="B443" s="59" t="s">
        <v>3929</v>
      </c>
      <c r="C443" t="s">
        <v>486</v>
      </c>
      <c r="D443" t="s">
        <v>3930</v>
      </c>
      <c r="E443">
        <v>27.842067799999999</v>
      </c>
      <c r="F443">
        <v>-97.521436519999995</v>
      </c>
      <c r="G443" s="8">
        <v>73500</v>
      </c>
    </row>
    <row r="444" spans="1:7" x14ac:dyDescent="0.35">
      <c r="A444" t="s">
        <v>450</v>
      </c>
      <c r="B444" s="59" t="s">
        <v>3931</v>
      </c>
      <c r="C444" t="s">
        <v>486</v>
      </c>
      <c r="D444" t="s">
        <v>3932</v>
      </c>
      <c r="E444">
        <v>32.362269019999999</v>
      </c>
      <c r="F444">
        <v>-95.280229309999996</v>
      </c>
      <c r="G444" s="8">
        <v>75000</v>
      </c>
    </row>
    <row r="445" spans="1:7" x14ac:dyDescent="0.35">
      <c r="A445" t="s">
        <v>450</v>
      </c>
      <c r="B445" s="59" t="s">
        <v>3933</v>
      </c>
      <c r="C445" t="s">
        <v>486</v>
      </c>
      <c r="D445" t="s">
        <v>905</v>
      </c>
      <c r="E445">
        <v>28.46135752</v>
      </c>
      <c r="F445">
        <v>-98.185498229999993</v>
      </c>
      <c r="G445" s="8">
        <v>89000</v>
      </c>
    </row>
    <row r="446" spans="1:7" x14ac:dyDescent="0.35">
      <c r="A446" t="s">
        <v>450</v>
      </c>
      <c r="B446" s="59" t="s">
        <v>3934</v>
      </c>
      <c r="C446" t="s">
        <v>486</v>
      </c>
      <c r="D446" t="s">
        <v>3935</v>
      </c>
      <c r="E446">
        <v>29.73497171</v>
      </c>
      <c r="F446">
        <v>-95.227071300000006</v>
      </c>
      <c r="G446" s="8">
        <v>84000</v>
      </c>
    </row>
    <row r="447" spans="1:7" x14ac:dyDescent="0.35">
      <c r="A447" t="s">
        <v>450</v>
      </c>
      <c r="B447" s="59" t="s">
        <v>3936</v>
      </c>
      <c r="C447" t="s">
        <v>486</v>
      </c>
      <c r="D447" t="s">
        <v>617</v>
      </c>
      <c r="E447">
        <v>29.719355100000001</v>
      </c>
      <c r="F447">
        <v>-95.210527529999993</v>
      </c>
      <c r="G447" s="8">
        <v>112229</v>
      </c>
    </row>
    <row r="448" spans="1:7" x14ac:dyDescent="0.35">
      <c r="A448" t="s">
        <v>450</v>
      </c>
      <c r="B448" s="59" t="s">
        <v>3937</v>
      </c>
      <c r="C448" t="s">
        <v>486</v>
      </c>
      <c r="D448" t="s">
        <v>3938</v>
      </c>
      <c r="E448">
        <v>31.773418249999999</v>
      </c>
      <c r="F448">
        <v>-106.4127727</v>
      </c>
      <c r="G448" s="8">
        <v>131000</v>
      </c>
    </row>
    <row r="449" spans="1:7" x14ac:dyDescent="0.35">
      <c r="A449" t="s">
        <v>450</v>
      </c>
      <c r="B449" s="59" t="s">
        <v>3863</v>
      </c>
      <c r="C449" t="s">
        <v>486</v>
      </c>
      <c r="D449" t="s">
        <v>801</v>
      </c>
      <c r="E449">
        <v>35.690619159999997</v>
      </c>
      <c r="F449">
        <v>-101.3648932</v>
      </c>
      <c r="G449" s="8">
        <v>149000</v>
      </c>
    </row>
    <row r="450" spans="1:7" x14ac:dyDescent="0.35">
      <c r="A450" t="s">
        <v>450</v>
      </c>
      <c r="B450" s="59" t="s">
        <v>3939</v>
      </c>
      <c r="C450" t="s">
        <v>486</v>
      </c>
      <c r="D450" t="s">
        <v>517</v>
      </c>
      <c r="E450">
        <v>27.825429440000001</v>
      </c>
      <c r="F450">
        <v>-97.492023970000005</v>
      </c>
      <c r="G450" s="8">
        <v>167500</v>
      </c>
    </row>
    <row r="451" spans="1:7" x14ac:dyDescent="0.35">
      <c r="A451" t="s">
        <v>450</v>
      </c>
      <c r="B451" s="59" t="s">
        <v>3940</v>
      </c>
      <c r="C451" t="s">
        <v>486</v>
      </c>
      <c r="D451" t="s">
        <v>3941</v>
      </c>
      <c r="E451">
        <v>35.951508840000002</v>
      </c>
      <c r="F451">
        <v>-101.8776561</v>
      </c>
      <c r="G451" s="8">
        <v>195000</v>
      </c>
    </row>
    <row r="452" spans="1:7" x14ac:dyDescent="0.35">
      <c r="A452" t="s">
        <v>450</v>
      </c>
      <c r="B452" s="59" t="s">
        <v>3942</v>
      </c>
      <c r="C452" t="s">
        <v>486</v>
      </c>
      <c r="D452" t="s">
        <v>3943</v>
      </c>
      <c r="E452">
        <v>29.730891159999999</v>
      </c>
      <c r="F452">
        <v>-95.253403210000002</v>
      </c>
      <c r="G452" s="8">
        <v>205000</v>
      </c>
    </row>
    <row r="453" spans="1:7" x14ac:dyDescent="0.35">
      <c r="A453" t="s">
        <v>450</v>
      </c>
      <c r="B453" s="59" t="s">
        <v>3944</v>
      </c>
      <c r="C453" t="s">
        <v>486</v>
      </c>
      <c r="D453" t="s">
        <v>3945</v>
      </c>
      <c r="E453">
        <v>29.369201830000002</v>
      </c>
      <c r="F453">
        <v>-94.913446530000002</v>
      </c>
      <c r="G453" s="8">
        <v>225000</v>
      </c>
    </row>
    <row r="454" spans="1:7" x14ac:dyDescent="0.35">
      <c r="A454" t="s">
        <v>450</v>
      </c>
      <c r="B454" s="59" t="s">
        <v>3946</v>
      </c>
      <c r="C454" t="s">
        <v>486</v>
      </c>
      <c r="D454" t="s">
        <v>566</v>
      </c>
      <c r="E454">
        <v>29.727893590000001</v>
      </c>
      <c r="F454">
        <v>-95.089263919999993</v>
      </c>
      <c r="G454" s="8">
        <v>238000</v>
      </c>
    </row>
    <row r="455" spans="1:7" x14ac:dyDescent="0.35">
      <c r="A455" t="s">
        <v>450</v>
      </c>
      <c r="B455" s="59" t="s">
        <v>3947</v>
      </c>
      <c r="C455" t="s">
        <v>486</v>
      </c>
      <c r="D455" t="s">
        <v>3948</v>
      </c>
      <c r="E455">
        <v>27.81929697</v>
      </c>
      <c r="F455">
        <v>-97.495000669999996</v>
      </c>
      <c r="G455" s="8">
        <v>265000</v>
      </c>
    </row>
    <row r="456" spans="1:7" x14ac:dyDescent="0.35">
      <c r="A456" t="s">
        <v>450</v>
      </c>
      <c r="B456" s="59" t="s">
        <v>3910</v>
      </c>
      <c r="C456" t="s">
        <v>486</v>
      </c>
      <c r="D456" t="s">
        <v>3949</v>
      </c>
      <c r="E456">
        <v>29.07479098</v>
      </c>
      <c r="F456">
        <v>-95.748861270000006</v>
      </c>
      <c r="G456" s="8">
        <v>265000</v>
      </c>
    </row>
    <row r="457" spans="1:7" x14ac:dyDescent="0.35">
      <c r="A457" t="s">
        <v>450</v>
      </c>
      <c r="B457" s="59" t="s">
        <v>3950</v>
      </c>
      <c r="C457" t="s">
        <v>486</v>
      </c>
      <c r="D457" t="s">
        <v>3943</v>
      </c>
      <c r="E457">
        <v>29.726015570000001</v>
      </c>
      <c r="F457">
        <v>-95.240687080000001</v>
      </c>
      <c r="G457" s="8">
        <v>263776</v>
      </c>
    </row>
    <row r="458" spans="1:7" x14ac:dyDescent="0.35">
      <c r="A458" t="s">
        <v>450</v>
      </c>
      <c r="B458" s="59" t="s">
        <v>3951</v>
      </c>
      <c r="C458" t="s">
        <v>486</v>
      </c>
      <c r="D458" t="s">
        <v>3952</v>
      </c>
      <c r="E458">
        <v>27.817243860000001</v>
      </c>
      <c r="F458">
        <v>-97.476681940000006</v>
      </c>
      <c r="G458" s="8">
        <v>290000</v>
      </c>
    </row>
    <row r="459" spans="1:7" x14ac:dyDescent="0.35">
      <c r="A459" t="s">
        <v>450</v>
      </c>
      <c r="B459" s="59" t="s">
        <v>3953</v>
      </c>
      <c r="C459" t="s">
        <v>486</v>
      </c>
      <c r="D459" t="s">
        <v>3954</v>
      </c>
      <c r="E459">
        <v>29.715613099999999</v>
      </c>
      <c r="F459">
        <v>-95.126769030000006</v>
      </c>
      <c r="G459" s="8">
        <v>312500</v>
      </c>
    </row>
    <row r="460" spans="1:7" x14ac:dyDescent="0.35">
      <c r="A460" t="s">
        <v>450</v>
      </c>
      <c r="B460" s="59" t="s">
        <v>3955</v>
      </c>
      <c r="C460" t="s">
        <v>486</v>
      </c>
      <c r="D460" t="s">
        <v>3956</v>
      </c>
      <c r="E460">
        <v>30.074105190000001</v>
      </c>
      <c r="F460">
        <v>-94.07601536</v>
      </c>
      <c r="G460" s="8">
        <v>369024</v>
      </c>
    </row>
    <row r="461" spans="1:7" x14ac:dyDescent="0.35">
      <c r="A461" t="s">
        <v>450</v>
      </c>
      <c r="B461" s="59" t="s">
        <v>3957</v>
      </c>
      <c r="C461" t="s">
        <v>486</v>
      </c>
      <c r="D461" t="s">
        <v>566</v>
      </c>
      <c r="E461">
        <v>29.956075479999999</v>
      </c>
      <c r="F461">
        <v>-93.967935850000003</v>
      </c>
      <c r="G461" s="8">
        <v>335000</v>
      </c>
    </row>
    <row r="462" spans="1:7" x14ac:dyDescent="0.35">
      <c r="A462" t="s">
        <v>450</v>
      </c>
      <c r="B462" s="59" t="s">
        <v>3958</v>
      </c>
      <c r="C462" t="s">
        <v>486</v>
      </c>
      <c r="D462" t="s">
        <v>604</v>
      </c>
      <c r="E462">
        <v>29.74954134</v>
      </c>
      <c r="F462">
        <v>-95.023478130000001</v>
      </c>
      <c r="G462" s="8">
        <v>560500</v>
      </c>
    </row>
    <row r="463" spans="1:7" x14ac:dyDescent="0.35">
      <c r="A463" t="s">
        <v>450</v>
      </c>
      <c r="B463" s="59" t="s">
        <v>3860</v>
      </c>
      <c r="C463" t="s">
        <v>486</v>
      </c>
      <c r="D463" t="s">
        <v>3959</v>
      </c>
      <c r="E463">
        <v>29.727965220000002</v>
      </c>
      <c r="F463">
        <v>-95.1767909</v>
      </c>
      <c r="G463" s="8">
        <v>593000</v>
      </c>
    </row>
    <row r="464" spans="1:7" x14ac:dyDescent="0.35">
      <c r="A464" t="s">
        <v>450</v>
      </c>
      <c r="B464" s="59" t="s">
        <v>852</v>
      </c>
      <c r="C464" t="s">
        <v>486</v>
      </c>
      <c r="D464" t="s">
        <v>566</v>
      </c>
      <c r="E464">
        <v>29.888823030000001</v>
      </c>
      <c r="F464">
        <v>-93.951063950000005</v>
      </c>
      <c r="G464" s="8">
        <v>626000</v>
      </c>
    </row>
    <row r="465" spans="1:7" x14ac:dyDescent="0.35">
      <c r="A465" t="s">
        <v>450</v>
      </c>
      <c r="B465" s="59" t="s">
        <v>3960</v>
      </c>
      <c r="C465" t="s">
        <v>653</v>
      </c>
      <c r="D465" t="s">
        <v>3961</v>
      </c>
      <c r="E465">
        <v>40.86746385</v>
      </c>
      <c r="F465">
        <v>-111.9115446</v>
      </c>
      <c r="G465" s="8">
        <v>15000</v>
      </c>
    </row>
    <row r="466" spans="1:7" x14ac:dyDescent="0.35">
      <c r="A466" t="s">
        <v>450</v>
      </c>
      <c r="B466" s="59" t="s">
        <v>3962</v>
      </c>
      <c r="C466" t="s">
        <v>653</v>
      </c>
      <c r="D466" t="s">
        <v>3963</v>
      </c>
      <c r="E466">
        <v>40.869892319999998</v>
      </c>
      <c r="F466">
        <v>-111.94645060000001</v>
      </c>
      <c r="G466" s="8">
        <v>31664</v>
      </c>
    </row>
    <row r="467" spans="1:7" x14ac:dyDescent="0.35">
      <c r="A467" t="s">
        <v>450</v>
      </c>
      <c r="B467" s="59" t="s">
        <v>3964</v>
      </c>
      <c r="C467" t="s">
        <v>653</v>
      </c>
      <c r="D467" t="s">
        <v>3961</v>
      </c>
      <c r="E467">
        <v>40.888402839999998</v>
      </c>
      <c r="F467">
        <v>-111.90403360000001</v>
      </c>
      <c r="G467" s="8">
        <v>39330</v>
      </c>
    </row>
    <row r="468" spans="1:7" x14ac:dyDescent="0.35">
      <c r="A468" t="s">
        <v>450</v>
      </c>
      <c r="B468" s="59" t="s">
        <v>3853</v>
      </c>
      <c r="C468" t="s">
        <v>653</v>
      </c>
      <c r="D468" t="s">
        <v>652</v>
      </c>
      <c r="E468">
        <v>40.831801589999998</v>
      </c>
      <c r="F468">
        <v>-111.9356442</v>
      </c>
      <c r="G468" s="8">
        <v>54720</v>
      </c>
    </row>
    <row r="469" spans="1:7" x14ac:dyDescent="0.35">
      <c r="A469" t="s">
        <v>450</v>
      </c>
      <c r="B469" s="59" t="s">
        <v>3854</v>
      </c>
      <c r="C469" t="s">
        <v>653</v>
      </c>
      <c r="D469" t="s">
        <v>652</v>
      </c>
      <c r="E469">
        <v>40.79416595</v>
      </c>
      <c r="F469">
        <v>-111.9091914</v>
      </c>
      <c r="G469" s="8">
        <v>66000</v>
      </c>
    </row>
    <row r="470" spans="1:7" x14ac:dyDescent="0.35">
      <c r="A470" t="s">
        <v>450</v>
      </c>
      <c r="B470" s="59" t="s">
        <v>3965</v>
      </c>
      <c r="C470" t="s">
        <v>482</v>
      </c>
      <c r="D470" t="s">
        <v>3966</v>
      </c>
      <c r="E470">
        <v>47.257047800000002</v>
      </c>
      <c r="F470">
        <v>-122.3949222</v>
      </c>
      <c r="G470" s="8">
        <v>40700</v>
      </c>
    </row>
    <row r="471" spans="1:7" x14ac:dyDescent="0.35">
      <c r="A471" t="s">
        <v>450</v>
      </c>
      <c r="B471" s="59" t="s">
        <v>3910</v>
      </c>
      <c r="C471" t="s">
        <v>482</v>
      </c>
      <c r="D471" t="s">
        <v>768</v>
      </c>
      <c r="E471">
        <v>48.855612630000003</v>
      </c>
      <c r="F471">
        <v>-122.688468</v>
      </c>
      <c r="G471" s="8">
        <v>105000</v>
      </c>
    </row>
    <row r="472" spans="1:7" x14ac:dyDescent="0.35">
      <c r="A472" t="s">
        <v>450</v>
      </c>
      <c r="B472" s="59" t="s">
        <v>3854</v>
      </c>
      <c r="C472" t="s">
        <v>482</v>
      </c>
      <c r="D472" t="s">
        <v>3967</v>
      </c>
      <c r="E472">
        <v>48.46821559</v>
      </c>
      <c r="F472">
        <v>-122.5630328</v>
      </c>
      <c r="G472" s="8">
        <v>119000</v>
      </c>
    </row>
    <row r="473" spans="1:7" x14ac:dyDescent="0.35">
      <c r="A473" t="s">
        <v>450</v>
      </c>
      <c r="B473" s="59" t="s">
        <v>3968</v>
      </c>
      <c r="C473" t="s">
        <v>482</v>
      </c>
      <c r="D473" t="s">
        <v>3967</v>
      </c>
      <c r="E473">
        <v>48.482808660000003</v>
      </c>
      <c r="F473">
        <v>-122.5725338</v>
      </c>
      <c r="G473" s="8">
        <v>145000</v>
      </c>
    </row>
    <row r="474" spans="1:7" x14ac:dyDescent="0.35">
      <c r="A474" t="s">
        <v>450</v>
      </c>
      <c r="B474" s="59" t="s">
        <v>3865</v>
      </c>
      <c r="C474" t="s">
        <v>482</v>
      </c>
      <c r="D474" t="s">
        <v>768</v>
      </c>
      <c r="E474">
        <v>48.898481869999998</v>
      </c>
      <c r="F474">
        <v>-122.7403163</v>
      </c>
      <c r="G474" s="8">
        <v>240000</v>
      </c>
    </row>
    <row r="475" spans="1:7" x14ac:dyDescent="0.35">
      <c r="A475" t="s">
        <v>450</v>
      </c>
      <c r="B475" s="59" t="s">
        <v>3969</v>
      </c>
      <c r="C475" t="s">
        <v>634</v>
      </c>
      <c r="D475" t="s">
        <v>823</v>
      </c>
      <c r="E475">
        <v>40.612262870000002</v>
      </c>
      <c r="F475">
        <v>-80.628675860000001</v>
      </c>
      <c r="G475" s="8">
        <v>22300</v>
      </c>
    </row>
    <row r="476" spans="1:7" x14ac:dyDescent="0.35">
      <c r="A476" t="s">
        <v>450</v>
      </c>
      <c r="B476" s="59" t="s">
        <v>3970</v>
      </c>
      <c r="C476" t="s">
        <v>931</v>
      </c>
      <c r="D476" t="s">
        <v>3971</v>
      </c>
      <c r="E476">
        <v>46.692167910000002</v>
      </c>
      <c r="F476">
        <v>-92.067849969999997</v>
      </c>
      <c r="G476" s="8">
        <v>38000</v>
      </c>
    </row>
    <row r="477" spans="1:7" x14ac:dyDescent="0.35">
      <c r="A477" t="s">
        <v>450</v>
      </c>
      <c r="B477" s="59" t="s">
        <v>3972</v>
      </c>
      <c r="C477" t="s">
        <v>751</v>
      </c>
      <c r="D477" t="s">
        <v>3973</v>
      </c>
      <c r="E477">
        <v>41.260447120000002</v>
      </c>
      <c r="F477">
        <v>-110.80683999999999</v>
      </c>
      <c r="G477" s="8">
        <v>3000</v>
      </c>
    </row>
    <row r="478" spans="1:7" x14ac:dyDescent="0.35">
      <c r="A478" t="s">
        <v>450</v>
      </c>
      <c r="B478" s="59" t="s">
        <v>3974</v>
      </c>
      <c r="C478" t="s">
        <v>751</v>
      </c>
      <c r="D478" t="s">
        <v>845</v>
      </c>
      <c r="E478">
        <v>43.851748030000003</v>
      </c>
      <c r="F478">
        <v>-104.21227380000001</v>
      </c>
      <c r="G478" s="8">
        <v>18000</v>
      </c>
    </row>
    <row r="479" spans="1:7" x14ac:dyDescent="0.35">
      <c r="A479" t="s">
        <v>450</v>
      </c>
      <c r="B479" s="59" t="s">
        <v>3975</v>
      </c>
      <c r="C479" t="s">
        <v>751</v>
      </c>
      <c r="D479" t="s">
        <v>3976</v>
      </c>
      <c r="E479">
        <v>42.89934057</v>
      </c>
      <c r="F479">
        <v>-106.2509798</v>
      </c>
      <c r="G479" s="8">
        <v>29850</v>
      </c>
    </row>
    <row r="480" spans="1:7" x14ac:dyDescent="0.35">
      <c r="A480" t="s">
        <v>450</v>
      </c>
      <c r="B480" s="59" t="s">
        <v>3977</v>
      </c>
      <c r="C480" t="s">
        <v>751</v>
      </c>
      <c r="D480" t="s">
        <v>3978</v>
      </c>
      <c r="E480">
        <v>41.8114816</v>
      </c>
      <c r="F480">
        <v>-107.1243929</v>
      </c>
      <c r="G480" s="8">
        <v>75000</v>
      </c>
    </row>
    <row r="481" spans="1:7" x14ac:dyDescent="0.35">
      <c r="A481" t="s">
        <v>367</v>
      </c>
      <c r="B481" s="35" t="s">
        <v>3979</v>
      </c>
      <c r="C481" s="35" t="s">
        <v>989</v>
      </c>
      <c r="D481" s="35" t="s">
        <v>1041</v>
      </c>
      <c r="E481" s="35">
        <v>-111.252537</v>
      </c>
      <c r="F481" s="35">
        <v>56.669238</v>
      </c>
      <c r="G481" s="35">
        <v>428000</v>
      </c>
    </row>
    <row r="482" spans="1:7" x14ac:dyDescent="0.35">
      <c r="A482" t="s">
        <v>367</v>
      </c>
      <c r="B482" s="35" t="s">
        <v>1041</v>
      </c>
      <c r="C482" s="35" t="s">
        <v>989</v>
      </c>
      <c r="D482" s="35" t="s">
        <v>1041</v>
      </c>
      <c r="E482" s="35">
        <v>-111.380278</v>
      </c>
      <c r="F482" s="35">
        <v>56.726388999999998</v>
      </c>
      <c r="G482" s="35">
        <v>407000</v>
      </c>
    </row>
    <row r="483" spans="1:7" x14ac:dyDescent="0.35">
      <c r="A483" t="s">
        <v>367</v>
      </c>
      <c r="B483" s="35" t="s">
        <v>3980</v>
      </c>
      <c r="C483" s="35" t="s">
        <v>1023</v>
      </c>
      <c r="D483" s="35" t="s">
        <v>3981</v>
      </c>
      <c r="E483" s="35">
        <v>-66.012500000000003</v>
      </c>
      <c r="F483" s="35">
        <v>45.278888999999999</v>
      </c>
      <c r="G483" s="35">
        <v>300000</v>
      </c>
    </row>
    <row r="484" spans="1:7" x14ac:dyDescent="0.35">
      <c r="A484" t="s">
        <v>367</v>
      </c>
      <c r="B484" s="35" t="s">
        <v>3982</v>
      </c>
      <c r="C484" s="35" t="s">
        <v>986</v>
      </c>
      <c r="D484" s="35" t="s">
        <v>1040</v>
      </c>
      <c r="E484" s="35">
        <v>-73.574368000000007</v>
      </c>
      <c r="F484" s="35">
        <v>45.503326000000001</v>
      </c>
      <c r="G484" s="35">
        <v>265000</v>
      </c>
    </row>
    <row r="485" spans="1:7" x14ac:dyDescent="0.35">
      <c r="A485" t="s">
        <v>367</v>
      </c>
      <c r="B485" s="35" t="s">
        <v>3983</v>
      </c>
      <c r="C485" s="35" t="s">
        <v>3981</v>
      </c>
      <c r="D485" s="35" t="s">
        <v>998</v>
      </c>
      <c r="E485" s="35">
        <v>-113.09395000000001</v>
      </c>
      <c r="F485" s="35">
        <v>53.798580000000001</v>
      </c>
      <c r="G485" s="35">
        <v>255000</v>
      </c>
    </row>
    <row r="486" spans="1:7" x14ac:dyDescent="0.35">
      <c r="A486" t="s">
        <v>367</v>
      </c>
      <c r="B486" s="35" t="s">
        <v>3984</v>
      </c>
      <c r="C486" s="35" t="s">
        <v>533</v>
      </c>
      <c r="D486" s="35" t="s">
        <v>529</v>
      </c>
      <c r="E486" s="35">
        <v>-82.598611000000005</v>
      </c>
      <c r="F486" s="35">
        <v>38.374167</v>
      </c>
      <c r="G486" s="35">
        <v>240000</v>
      </c>
    </row>
    <row r="487" spans="1:7" x14ac:dyDescent="0.35">
      <c r="A487" t="s">
        <v>367</v>
      </c>
      <c r="B487" s="35" t="s">
        <v>988</v>
      </c>
      <c r="C487" s="35" t="s">
        <v>989</v>
      </c>
      <c r="D487" s="35" t="s">
        <v>988</v>
      </c>
      <c r="E487" s="35">
        <v>-113.498323</v>
      </c>
      <c r="F487" s="35">
        <v>53.542892000000002</v>
      </c>
      <c r="G487" s="35">
        <v>187000</v>
      </c>
    </row>
    <row r="488" spans="1:7" x14ac:dyDescent="0.35">
      <c r="A488" t="s">
        <v>367</v>
      </c>
      <c r="B488" s="35" t="s">
        <v>1013</v>
      </c>
      <c r="C488" s="35" t="s">
        <v>1014</v>
      </c>
      <c r="D488" s="35" t="s">
        <v>1013</v>
      </c>
      <c r="E488" s="35">
        <v>-104.60586499999999</v>
      </c>
      <c r="F488" s="35">
        <v>50.444777999999999</v>
      </c>
      <c r="G488" s="35">
        <v>145000</v>
      </c>
    </row>
    <row r="489" spans="1:7" x14ac:dyDescent="0.35">
      <c r="A489" t="s">
        <v>367</v>
      </c>
      <c r="B489" s="35" t="s">
        <v>3985</v>
      </c>
      <c r="C489" s="35" t="s">
        <v>989</v>
      </c>
      <c r="D489" s="35" t="s">
        <v>988</v>
      </c>
      <c r="E489" s="35">
        <v>-113.498323</v>
      </c>
      <c r="F489" s="35">
        <v>53.542892000000002</v>
      </c>
      <c r="G489" s="35">
        <v>140000</v>
      </c>
    </row>
    <row r="490" spans="1:7" x14ac:dyDescent="0.35">
      <c r="A490" t="s">
        <v>367</v>
      </c>
      <c r="B490" s="35" t="s">
        <v>3986</v>
      </c>
      <c r="C490" s="35" t="s">
        <v>986</v>
      </c>
      <c r="D490" s="35" t="s">
        <v>1040</v>
      </c>
      <c r="E490" s="35">
        <v>-73.515493000000006</v>
      </c>
      <c r="F490" s="35">
        <v>45.639496999999999</v>
      </c>
      <c r="G490" s="35">
        <v>137000</v>
      </c>
    </row>
    <row r="491" spans="1:7" x14ac:dyDescent="0.35">
      <c r="A491" t="s">
        <v>367</v>
      </c>
      <c r="B491" s="35" t="s">
        <v>1041</v>
      </c>
      <c r="C491" s="35" t="s">
        <v>989</v>
      </c>
      <c r="D491" s="35" t="s">
        <v>1041</v>
      </c>
      <c r="E491" s="35">
        <v>-111.380278</v>
      </c>
      <c r="F491" s="35">
        <v>56.726388999999998</v>
      </c>
      <c r="G491" s="35">
        <v>135000</v>
      </c>
    </row>
    <row r="492" spans="1:7" x14ac:dyDescent="0.35">
      <c r="A492" t="s">
        <v>367</v>
      </c>
      <c r="B492" s="35" t="s">
        <v>3987</v>
      </c>
      <c r="C492" s="35" t="s">
        <v>983</v>
      </c>
      <c r="D492" s="35" t="s">
        <v>991</v>
      </c>
      <c r="E492" s="35">
        <v>-82.415396999999999</v>
      </c>
      <c r="F492" s="35">
        <v>42.954428</v>
      </c>
      <c r="G492" s="35">
        <v>121000</v>
      </c>
    </row>
    <row r="493" spans="1:7" x14ac:dyDescent="0.35">
      <c r="A493" t="s">
        <v>367</v>
      </c>
      <c r="B493" s="35" t="s">
        <v>3988</v>
      </c>
      <c r="C493" s="35" t="s">
        <v>3989</v>
      </c>
      <c r="D493" s="35" t="s">
        <v>1030</v>
      </c>
      <c r="E493" s="35">
        <v>-53.857717999999998</v>
      </c>
      <c r="F493" s="35">
        <v>47.363993000000001</v>
      </c>
      <c r="G493" s="35">
        <v>115000</v>
      </c>
    </row>
    <row r="494" spans="1:7" x14ac:dyDescent="0.35">
      <c r="A494" t="s">
        <v>367</v>
      </c>
      <c r="B494" s="35" t="s">
        <v>3990</v>
      </c>
      <c r="C494" s="35" t="s">
        <v>983</v>
      </c>
      <c r="D494" s="35" t="s">
        <v>1025</v>
      </c>
      <c r="E494" s="35">
        <v>-79.948179999999994</v>
      </c>
      <c r="F494" s="35">
        <v>42.924982</v>
      </c>
      <c r="G494" s="35">
        <v>112000</v>
      </c>
    </row>
    <row r="495" spans="1:7" x14ac:dyDescent="0.35">
      <c r="A495" t="s">
        <v>367</v>
      </c>
      <c r="B495" s="35" t="s">
        <v>988</v>
      </c>
      <c r="C495" s="35" t="s">
        <v>989</v>
      </c>
      <c r="D495" s="35" t="s">
        <v>3981</v>
      </c>
      <c r="E495" s="35">
        <v>-113.387778</v>
      </c>
      <c r="F495" s="35">
        <v>53.541111000000001</v>
      </c>
      <c r="G495" s="35">
        <v>100000</v>
      </c>
    </row>
    <row r="496" spans="1:7" x14ac:dyDescent="0.35">
      <c r="A496" t="s">
        <v>367</v>
      </c>
      <c r="B496" s="35" t="s">
        <v>3991</v>
      </c>
      <c r="C496" s="35" t="s">
        <v>1023</v>
      </c>
      <c r="D496" s="35" t="s">
        <v>3992</v>
      </c>
      <c r="E496" s="35">
        <v>-63.506940999999998</v>
      </c>
      <c r="F496" s="35">
        <v>44.667757000000002</v>
      </c>
      <c r="G496" s="35">
        <v>88000</v>
      </c>
    </row>
    <row r="497" spans="1:7" x14ac:dyDescent="0.35">
      <c r="A497" t="s">
        <v>367</v>
      </c>
      <c r="B497" s="35" t="s">
        <v>3993</v>
      </c>
      <c r="C497" s="35" t="s">
        <v>983</v>
      </c>
      <c r="D497" s="35" t="s">
        <v>991</v>
      </c>
      <c r="E497" s="35">
        <v>-82.323222999999999</v>
      </c>
      <c r="F497" s="35">
        <v>42.947316999999998</v>
      </c>
      <c r="G497" s="35">
        <v>85000</v>
      </c>
    </row>
    <row r="498" spans="1:7" x14ac:dyDescent="0.35">
      <c r="A498" t="s">
        <v>367</v>
      </c>
      <c r="B498" s="35" t="s">
        <v>1021</v>
      </c>
      <c r="C498" s="35" t="s">
        <v>1014</v>
      </c>
      <c r="D498" s="35" t="s">
        <v>3981</v>
      </c>
      <c r="E498" s="35">
        <v>-109.94607999999999</v>
      </c>
      <c r="F498" s="35">
        <v>53.262999999999998</v>
      </c>
      <c r="G498" s="35">
        <v>82000</v>
      </c>
    </row>
    <row r="499" spans="1:7" x14ac:dyDescent="0.35">
      <c r="A499" t="s">
        <v>367</v>
      </c>
      <c r="B499" s="35" t="s">
        <v>3987</v>
      </c>
      <c r="C499" s="35" t="s">
        <v>983</v>
      </c>
      <c r="D499" s="35" t="s">
        <v>1008</v>
      </c>
      <c r="E499" s="35">
        <v>-82.401280999999997</v>
      </c>
      <c r="F499" s="35">
        <v>42.887625999999997</v>
      </c>
      <c r="G499" s="35">
        <v>80000</v>
      </c>
    </row>
    <row r="500" spans="1:7" x14ac:dyDescent="0.35">
      <c r="A500" t="s">
        <v>367</v>
      </c>
      <c r="B500" s="35" t="s">
        <v>3987</v>
      </c>
      <c r="C500" s="35" t="s">
        <v>983</v>
      </c>
      <c r="D500" s="35" t="s">
        <v>1008</v>
      </c>
      <c r="E500" s="35">
        <v>-82.457710000000006</v>
      </c>
      <c r="F500" s="35">
        <v>42.903449999999999</v>
      </c>
      <c r="G500" s="35">
        <v>75000</v>
      </c>
    </row>
    <row r="501" spans="1:7" x14ac:dyDescent="0.35">
      <c r="A501" t="s">
        <v>367</v>
      </c>
      <c r="B501" s="35" t="s">
        <v>3994</v>
      </c>
      <c r="C501" s="35" t="s">
        <v>989</v>
      </c>
      <c r="D501" s="35" t="s">
        <v>3995</v>
      </c>
      <c r="E501" s="35">
        <v>-110.964444</v>
      </c>
      <c r="F501" s="35">
        <v>56.424166999999997</v>
      </c>
      <c r="G501" s="35">
        <v>72000</v>
      </c>
    </row>
    <row r="502" spans="1:7" x14ac:dyDescent="0.35">
      <c r="A502" t="s">
        <v>367</v>
      </c>
      <c r="B502" s="35" t="s">
        <v>3996</v>
      </c>
      <c r="C502" s="35" t="s">
        <v>1020</v>
      </c>
      <c r="D502" s="35" t="s">
        <v>1034</v>
      </c>
      <c r="E502" s="35">
        <v>-123.003212</v>
      </c>
      <c r="F502" s="35">
        <v>49.281410000000001</v>
      </c>
      <c r="G502" s="35">
        <v>55000</v>
      </c>
    </row>
    <row r="503" spans="1:7" x14ac:dyDescent="0.35">
      <c r="A503" t="s">
        <v>367</v>
      </c>
      <c r="B503" s="35" t="s">
        <v>3997</v>
      </c>
      <c r="C503" s="35" t="s">
        <v>1014</v>
      </c>
      <c r="D503" s="35" t="s">
        <v>3981</v>
      </c>
      <c r="E503" s="35">
        <v>-109.94607999999999</v>
      </c>
      <c r="F503" s="35">
        <v>53.262999999999998</v>
      </c>
      <c r="G503" s="35">
        <v>29000</v>
      </c>
    </row>
    <row r="504" spans="1:7" x14ac:dyDescent="0.35">
      <c r="A504" t="s">
        <v>367</v>
      </c>
      <c r="B504" s="35" t="s">
        <v>3998</v>
      </c>
      <c r="C504" s="35" t="s">
        <v>1014</v>
      </c>
      <c r="D504" s="35" t="s">
        <v>3999</v>
      </c>
      <c r="E504" s="35">
        <v>-105.517415</v>
      </c>
      <c r="F504" s="35">
        <v>50.389699999999998</v>
      </c>
      <c r="G504" s="35">
        <v>15000</v>
      </c>
    </row>
    <row r="505" spans="1:7" x14ac:dyDescent="0.35">
      <c r="A505" t="s">
        <v>367</v>
      </c>
      <c r="B505" s="35" t="s">
        <v>1019</v>
      </c>
      <c r="C505" s="35" t="s">
        <v>1020</v>
      </c>
      <c r="D505" s="35" t="s">
        <v>3981</v>
      </c>
      <c r="E505" s="35">
        <v>-122.69888899999999</v>
      </c>
      <c r="F505" s="35">
        <v>53.928333000000002</v>
      </c>
      <c r="G505" s="35">
        <v>12000</v>
      </c>
    </row>
    <row r="506" spans="1:7" x14ac:dyDescent="0.35">
      <c r="A506" t="s">
        <v>405</v>
      </c>
      <c r="B506" s="35" t="s">
        <v>4000</v>
      </c>
      <c r="C506" s="35" t="s">
        <v>4001</v>
      </c>
      <c r="E506" s="35">
        <v>-97.810620999999998</v>
      </c>
      <c r="F506" s="35">
        <v>22.280654999999999</v>
      </c>
      <c r="G506" s="35">
        <v>152000</v>
      </c>
    </row>
    <row r="507" spans="1:7" x14ac:dyDescent="0.35">
      <c r="A507" t="s">
        <v>405</v>
      </c>
      <c r="B507" s="35" t="s">
        <v>4002</v>
      </c>
      <c r="C507" s="35" t="s">
        <v>4003</v>
      </c>
      <c r="E507" s="35">
        <v>-101.180159</v>
      </c>
      <c r="F507" s="35">
        <v>20.580328999999999</v>
      </c>
      <c r="G507" s="35">
        <v>207000</v>
      </c>
    </row>
    <row r="508" spans="1:7" x14ac:dyDescent="0.35">
      <c r="A508" t="s">
        <v>405</v>
      </c>
      <c r="B508" s="35" t="s">
        <v>4004</v>
      </c>
      <c r="C508" s="35" t="s">
        <v>4005</v>
      </c>
      <c r="E508" s="35">
        <v>-99.277163999999999</v>
      </c>
      <c r="F508" s="35">
        <v>20.044141</v>
      </c>
      <c r="G508" s="35">
        <v>340000</v>
      </c>
    </row>
    <row r="509" spans="1:7" x14ac:dyDescent="0.35">
      <c r="A509" t="s">
        <v>405</v>
      </c>
      <c r="B509" s="35" t="s">
        <v>4006</v>
      </c>
      <c r="C509" s="35" t="s">
        <v>4007</v>
      </c>
      <c r="E509" s="35">
        <v>-94.528944999999993</v>
      </c>
      <c r="F509" s="35">
        <v>17.980340999999999</v>
      </c>
      <c r="G509" s="35">
        <v>167000</v>
      </c>
    </row>
    <row r="510" spans="1:7" x14ac:dyDescent="0.35">
      <c r="A510" t="s">
        <v>405</v>
      </c>
      <c r="B510" s="35" t="s">
        <v>4008</v>
      </c>
      <c r="C510" s="35" t="s">
        <v>4009</v>
      </c>
      <c r="E510" s="35">
        <v>-99.937898000000004</v>
      </c>
      <c r="F510" s="35">
        <v>25.595915999999999</v>
      </c>
      <c r="G510" s="35">
        <v>246000</v>
      </c>
    </row>
    <row r="511" spans="1:7" x14ac:dyDescent="0.35">
      <c r="A511" t="s">
        <v>405</v>
      </c>
      <c r="B511" s="35" t="s">
        <v>4010</v>
      </c>
      <c r="C511" s="35" t="s">
        <v>4011</v>
      </c>
      <c r="E511" s="35">
        <v>-95.202070000000006</v>
      </c>
      <c r="F511" s="35">
        <v>16.167172000000001</v>
      </c>
      <c r="G511" s="35">
        <v>258500</v>
      </c>
    </row>
  </sheetData>
  <phoneticPr fontId="3" type="noConversion"/>
  <hyperlinks>
    <hyperlink ref="H4" r:id="rId1" xr:uid="{985E7CEF-E618-4EC3-B2B5-296AAD96587B}"/>
    <hyperlink ref="H5:H18" r:id="rId2" display="https://www.fractracker.org/data/" xr:uid="{D0E060A3-CEAC-4B83-96F4-DF5F17408711}"/>
    <hyperlink ref="H19:H45" r:id="rId3" display="https://www.fractracker.org/data/" xr:uid="{39D99B2C-1916-4608-84C2-D422D2DA41F7}"/>
    <hyperlink ref="H46:H65" r:id="rId4" display="https://www.fractracker.org/data/" xr:uid="{180BC548-6970-4B86-B05A-45A1B00428BA}"/>
  </hyperlinks>
  <pageMargins left="0.7" right="0.7" top="0.75" bottom="0.75" header="0.3" footer="0.3"/>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F074-1228-4018-BBFB-9F140BFF970D}">
  <dimension ref="A1:L1434"/>
  <sheetViews>
    <sheetView workbookViewId="0">
      <selection activeCell="H66" sqref="H66"/>
    </sheetView>
  </sheetViews>
  <sheetFormatPr defaultRowHeight="14.5" x14ac:dyDescent="0.35"/>
  <cols>
    <col min="1" max="1" width="32.453125" customWidth="1"/>
    <col min="6" max="7" width="15" customWidth="1"/>
    <col min="8" max="8" width="23.54296875" customWidth="1"/>
    <col min="9" max="9" width="22.54296875" customWidth="1"/>
    <col min="10" max="10" width="22" customWidth="1"/>
    <col min="11" max="11" width="9.81640625" customWidth="1"/>
    <col min="12" max="12" width="11.453125" customWidth="1"/>
  </cols>
  <sheetData>
    <row r="1" spans="1:12" x14ac:dyDescent="0.35">
      <c r="A1" t="s">
        <v>4012</v>
      </c>
      <c r="B1" t="s">
        <v>2965</v>
      </c>
      <c r="C1" t="s">
        <v>455</v>
      </c>
      <c r="D1" t="s">
        <v>28</v>
      </c>
      <c r="E1" t="s">
        <v>29</v>
      </c>
      <c r="F1" t="s">
        <v>4013</v>
      </c>
      <c r="G1" t="s">
        <v>4014</v>
      </c>
      <c r="H1" s="3" t="s">
        <v>4015</v>
      </c>
      <c r="I1" s="3" t="s">
        <v>4016</v>
      </c>
      <c r="J1" t="s">
        <v>4017</v>
      </c>
      <c r="K1" t="s">
        <v>464</v>
      </c>
      <c r="L1" t="s">
        <v>465</v>
      </c>
    </row>
    <row r="2" spans="1:12" hidden="1" x14ac:dyDescent="0.35">
      <c r="A2" s="60" t="s">
        <v>4018</v>
      </c>
      <c r="B2" s="60" t="s">
        <v>4019</v>
      </c>
      <c r="C2" s="60" t="s">
        <v>4020</v>
      </c>
      <c r="D2" s="60" t="s">
        <v>344</v>
      </c>
      <c r="E2" t="str">
        <f>VLOOKUP(Table10[[#This Row],[Country]],Countries!$A$1:$D$205,2,TRUE)</f>
        <v>DZA</v>
      </c>
      <c r="F2" s="60">
        <v>2023</v>
      </c>
      <c r="G2" s="60" t="s">
        <v>4021</v>
      </c>
      <c r="H2" s="65">
        <v>1150</v>
      </c>
      <c r="I2" s="65" t="s">
        <v>4022</v>
      </c>
      <c r="J2" s="60" t="s">
        <v>4023</v>
      </c>
      <c r="K2" s="60">
        <v>36.834412</v>
      </c>
      <c r="L2">
        <v>7.4549399999999997</v>
      </c>
    </row>
    <row r="3" spans="1:12" hidden="1" x14ac:dyDescent="0.35">
      <c r="A3" s="60" t="s">
        <v>4024</v>
      </c>
      <c r="B3" s="60" t="s">
        <v>4025</v>
      </c>
      <c r="C3" s="60" t="s">
        <v>4020</v>
      </c>
      <c r="D3" s="60" t="s">
        <v>344</v>
      </c>
      <c r="E3" t="str">
        <f>VLOOKUP(Table10[[#This Row],[Country]],Countries!$A$1:$D$205,2,TRUE)</f>
        <v>DZA</v>
      </c>
      <c r="F3" s="60">
        <v>1969</v>
      </c>
      <c r="G3" s="60" t="s">
        <v>4026</v>
      </c>
      <c r="H3" s="65">
        <v>1800</v>
      </c>
      <c r="I3" s="65">
        <v>1200</v>
      </c>
      <c r="J3" s="60" t="s">
        <v>4027</v>
      </c>
      <c r="K3" s="60">
        <v>36.795923999999999</v>
      </c>
      <c r="L3">
        <v>7.7076330000000004</v>
      </c>
    </row>
    <row r="4" spans="1:12" hidden="1" x14ac:dyDescent="0.35">
      <c r="A4" s="60" t="s">
        <v>4028</v>
      </c>
      <c r="B4" s="60" t="s">
        <v>4025</v>
      </c>
      <c r="C4" s="60" t="s">
        <v>4020</v>
      </c>
      <c r="D4" s="60" t="s">
        <v>344</v>
      </c>
      <c r="E4" t="str">
        <f>VLOOKUP(Table10[[#This Row],[Country]],Countries!$A$1:$D$205,2,TRUE)</f>
        <v>DZA</v>
      </c>
      <c r="F4" s="60">
        <v>2021</v>
      </c>
      <c r="G4" s="60" t="s">
        <v>4029</v>
      </c>
      <c r="H4" s="65" t="s">
        <v>4022</v>
      </c>
      <c r="I4" s="65">
        <v>2500</v>
      </c>
      <c r="J4" s="60" t="s">
        <v>4030</v>
      </c>
      <c r="K4" s="60">
        <v>36.795923999999999</v>
      </c>
      <c r="L4">
        <v>7.7076330000000004</v>
      </c>
    </row>
    <row r="5" spans="1:12" hidden="1" x14ac:dyDescent="0.35">
      <c r="A5" s="60" t="s">
        <v>4031</v>
      </c>
      <c r="B5" s="60" t="s">
        <v>4032</v>
      </c>
      <c r="C5" s="60" t="s">
        <v>4033</v>
      </c>
      <c r="D5" s="60" t="s">
        <v>344</v>
      </c>
      <c r="E5" t="str">
        <f>VLOOKUP(Table10[[#This Row],[Country]],Countries!$A$1:$D$205,2,TRUE)</f>
        <v>DZA</v>
      </c>
      <c r="F5" s="60">
        <v>2017</v>
      </c>
      <c r="G5" s="60" t="s">
        <v>4026</v>
      </c>
      <c r="H5" s="65">
        <v>2200</v>
      </c>
      <c r="I5" s="65">
        <v>2500</v>
      </c>
      <c r="J5" s="60" t="s">
        <v>4034</v>
      </c>
      <c r="K5" s="60">
        <v>36.753960999999997</v>
      </c>
      <c r="L5">
        <v>6.2444199999999999</v>
      </c>
    </row>
    <row r="6" spans="1:12" hidden="1" x14ac:dyDescent="0.35">
      <c r="A6" s="60" t="s">
        <v>4035</v>
      </c>
      <c r="B6" s="60" t="s">
        <v>4032</v>
      </c>
      <c r="C6" s="60" t="s">
        <v>4033</v>
      </c>
      <c r="D6" s="60" t="s">
        <v>344</v>
      </c>
      <c r="E6" t="str">
        <f>VLOOKUP(Table10[[#This Row],[Country]],Countries!$A$1:$D$205,2,TRUE)</f>
        <v>DZA</v>
      </c>
      <c r="F6" s="60" t="s">
        <v>4036</v>
      </c>
      <c r="G6" s="60" t="s">
        <v>4037</v>
      </c>
      <c r="H6" s="65">
        <v>1800</v>
      </c>
      <c r="I6" s="65" t="s">
        <v>4036</v>
      </c>
      <c r="J6" s="60" t="s">
        <v>4034</v>
      </c>
      <c r="K6" s="60">
        <v>36.753960999999997</v>
      </c>
      <c r="L6">
        <v>6.2444199999999999</v>
      </c>
    </row>
    <row r="7" spans="1:12" hidden="1" x14ac:dyDescent="0.35">
      <c r="A7" s="60" t="s">
        <v>4038</v>
      </c>
      <c r="B7" s="60" t="s">
        <v>4039</v>
      </c>
      <c r="C7" s="60" t="s">
        <v>3126</v>
      </c>
      <c r="D7" s="60" t="s">
        <v>344</v>
      </c>
      <c r="E7" t="str">
        <f>VLOOKUP(Table10[[#This Row],[Country]],Countries!$A$1:$D$205,2,TRUE)</f>
        <v>DZA</v>
      </c>
      <c r="F7" s="60">
        <v>2008</v>
      </c>
      <c r="G7" s="60" t="s">
        <v>4026</v>
      </c>
      <c r="H7" s="65">
        <v>3700</v>
      </c>
      <c r="I7" s="65">
        <v>2500</v>
      </c>
      <c r="J7" s="60" t="s">
        <v>4034</v>
      </c>
      <c r="K7" s="60">
        <v>35.770912000000003</v>
      </c>
      <c r="L7">
        <v>-0.26303100000000001</v>
      </c>
    </row>
    <row r="8" spans="1:12" hidden="1" x14ac:dyDescent="0.35">
      <c r="A8" s="60" t="s">
        <v>4040</v>
      </c>
      <c r="B8" s="60" t="s">
        <v>4039</v>
      </c>
      <c r="C8" s="60" t="s">
        <v>3126</v>
      </c>
      <c r="D8" s="60" t="s">
        <v>344</v>
      </c>
      <c r="E8" t="str">
        <f>VLOOKUP(Table10[[#This Row],[Country]],Countries!$A$1:$D$205,2,TRUE)</f>
        <v>DZA</v>
      </c>
      <c r="F8" s="60">
        <v>2024</v>
      </c>
      <c r="G8" s="60" t="s">
        <v>4037</v>
      </c>
      <c r="H8" s="65">
        <v>2000</v>
      </c>
      <c r="I8" s="65">
        <v>2500</v>
      </c>
      <c r="J8" s="60" t="s">
        <v>4034</v>
      </c>
      <c r="K8" s="60">
        <v>35.770912000000003</v>
      </c>
      <c r="L8">
        <v>-0.26303100000000001</v>
      </c>
    </row>
    <row r="9" spans="1:12" hidden="1" x14ac:dyDescent="0.35">
      <c r="A9" s="60" t="s">
        <v>4041</v>
      </c>
      <c r="B9" s="60" t="s">
        <v>4042</v>
      </c>
      <c r="C9" s="60" t="s">
        <v>4043</v>
      </c>
      <c r="D9" s="60" t="s">
        <v>347</v>
      </c>
      <c r="E9" t="str">
        <f>VLOOKUP(Table10[[#This Row],[Country]],Countries!$A$1:$D$205,2,TRUE)</f>
        <v>AGO</v>
      </c>
      <c r="F9" s="60">
        <v>2015</v>
      </c>
      <c r="G9" s="60" t="s">
        <v>4026</v>
      </c>
      <c r="H9" s="65">
        <v>500</v>
      </c>
      <c r="I9" s="65" t="s">
        <v>4022</v>
      </c>
      <c r="J9" s="60" t="s">
        <v>4023</v>
      </c>
      <c r="K9" s="60">
        <v>-8.5823999999999998</v>
      </c>
      <c r="L9">
        <v>13.405271000000001</v>
      </c>
    </row>
    <row r="10" spans="1:12" hidden="1" x14ac:dyDescent="0.35">
      <c r="A10" s="60" t="s">
        <v>4044</v>
      </c>
      <c r="B10" s="60" t="s">
        <v>2613</v>
      </c>
      <c r="C10" s="60" t="s">
        <v>2613</v>
      </c>
      <c r="D10" s="60" t="s">
        <v>370</v>
      </c>
      <c r="E10" t="str">
        <f>VLOOKUP(Table10[[#This Row],[Country]],Countries!$A$1:$D$205,2,TRUE)</f>
        <v>EGY</v>
      </c>
      <c r="F10" s="60">
        <v>1986</v>
      </c>
      <c r="G10" s="60" t="s">
        <v>4026</v>
      </c>
      <c r="H10" s="65">
        <v>3200</v>
      </c>
      <c r="I10" s="65">
        <v>3100</v>
      </c>
      <c r="J10" s="60" t="s">
        <v>4034</v>
      </c>
      <c r="K10" s="60">
        <v>31.123467000000002</v>
      </c>
      <c r="L10">
        <v>29.80987</v>
      </c>
    </row>
    <row r="11" spans="1:12" hidden="1" x14ac:dyDescent="0.35">
      <c r="A11" s="60" t="s">
        <v>4045</v>
      </c>
      <c r="B11" s="60" t="s">
        <v>4046</v>
      </c>
      <c r="C11" s="60" t="s">
        <v>4046</v>
      </c>
      <c r="D11" s="60" t="s">
        <v>370</v>
      </c>
      <c r="E11" t="str">
        <f>VLOOKUP(Table10[[#This Row],[Country]],Countries!$A$1:$D$205,2,TRUE)</f>
        <v>EGY</v>
      </c>
      <c r="F11" s="60">
        <v>2016</v>
      </c>
      <c r="G11" s="60" t="s">
        <v>4026</v>
      </c>
      <c r="H11" s="65">
        <v>600</v>
      </c>
      <c r="I11" s="65" t="s">
        <v>4022</v>
      </c>
      <c r="J11" s="60" t="s">
        <v>4023</v>
      </c>
      <c r="K11" s="60">
        <v>29.152604</v>
      </c>
      <c r="L11">
        <v>31.247401</v>
      </c>
    </row>
    <row r="12" spans="1:12" hidden="1" x14ac:dyDescent="0.35">
      <c r="A12" s="60" t="s">
        <v>4047</v>
      </c>
      <c r="B12" s="60" t="s">
        <v>3289</v>
      </c>
      <c r="C12" s="60" t="s">
        <v>3281</v>
      </c>
      <c r="D12" s="60" t="s">
        <v>370</v>
      </c>
      <c r="E12" t="str">
        <f>VLOOKUP(Table10[[#This Row],[Country]],Countries!$A$1:$D$205,2,TRUE)</f>
        <v>EGY</v>
      </c>
      <c r="F12" s="60">
        <v>1957</v>
      </c>
      <c r="G12" s="60" t="s">
        <v>4048</v>
      </c>
      <c r="H12" s="65">
        <v>3200</v>
      </c>
      <c r="I12" s="65">
        <v>1400</v>
      </c>
      <c r="J12" s="60" t="s">
        <v>4049</v>
      </c>
      <c r="K12" s="60">
        <v>29.774457999999999</v>
      </c>
      <c r="L12">
        <v>31.312013</v>
      </c>
    </row>
    <row r="13" spans="1:12" hidden="1" x14ac:dyDescent="0.35">
      <c r="A13" s="60" t="s">
        <v>4050</v>
      </c>
      <c r="B13" s="60" t="s">
        <v>4051</v>
      </c>
      <c r="C13" s="60" t="s">
        <v>4052</v>
      </c>
      <c r="D13" s="60" t="s">
        <v>370</v>
      </c>
      <c r="E13" t="str">
        <f>VLOOKUP(Table10[[#This Row],[Country]],Countries!$A$1:$D$205,2,TRUE)</f>
        <v>EGY</v>
      </c>
      <c r="F13" s="60">
        <v>1998</v>
      </c>
      <c r="G13" s="60" t="s">
        <v>4026</v>
      </c>
      <c r="H13" s="65">
        <v>1200</v>
      </c>
      <c r="I13" s="65" t="s">
        <v>4022</v>
      </c>
      <c r="J13" s="60" t="s">
        <v>4023</v>
      </c>
      <c r="K13" s="60">
        <v>30.389174000000001</v>
      </c>
      <c r="L13">
        <v>30.571894</v>
      </c>
    </row>
    <row r="14" spans="1:12" hidden="1" x14ac:dyDescent="0.35">
      <c r="A14" s="60" t="s">
        <v>4053</v>
      </c>
      <c r="B14" s="60" t="s">
        <v>4051</v>
      </c>
      <c r="C14" s="60" t="s">
        <v>4052</v>
      </c>
      <c r="D14" s="60" t="s">
        <v>370</v>
      </c>
      <c r="E14" t="str">
        <f>VLOOKUP(Table10[[#This Row],[Country]],Countries!$A$1:$D$205,2,TRUE)</f>
        <v>EGY</v>
      </c>
      <c r="F14" s="60">
        <v>2008</v>
      </c>
      <c r="G14" s="60" t="s">
        <v>4026</v>
      </c>
      <c r="H14" s="65">
        <v>3000</v>
      </c>
      <c r="I14" s="65">
        <v>2000</v>
      </c>
      <c r="J14" s="60" t="s">
        <v>4034</v>
      </c>
      <c r="K14" s="60">
        <v>30.393079</v>
      </c>
      <c r="L14">
        <v>30.587730000000001</v>
      </c>
    </row>
    <row r="15" spans="1:12" hidden="1" x14ac:dyDescent="0.35">
      <c r="A15" s="60" t="s">
        <v>4054</v>
      </c>
      <c r="B15" s="60" t="s">
        <v>4051</v>
      </c>
      <c r="C15" s="60" t="s">
        <v>4052</v>
      </c>
      <c r="D15" s="60" t="s">
        <v>370</v>
      </c>
      <c r="E15" t="str">
        <f>VLOOKUP(Table10[[#This Row],[Country]],Countries!$A$1:$D$205,2,TRUE)</f>
        <v>EGY</v>
      </c>
      <c r="F15" s="60">
        <v>1994</v>
      </c>
      <c r="G15" s="60" t="s">
        <v>4026</v>
      </c>
      <c r="H15" s="65">
        <v>1000</v>
      </c>
      <c r="I15" s="65" t="s">
        <v>4022</v>
      </c>
      <c r="J15" s="60" t="s">
        <v>4023</v>
      </c>
      <c r="K15" s="60">
        <v>30.382179000000001</v>
      </c>
      <c r="L15">
        <v>30.563029</v>
      </c>
    </row>
    <row r="16" spans="1:12" hidden="1" x14ac:dyDescent="0.35">
      <c r="A16" s="60" t="s">
        <v>4055</v>
      </c>
      <c r="B16" s="60" t="s">
        <v>2610</v>
      </c>
      <c r="C16" s="60" t="s">
        <v>3284</v>
      </c>
      <c r="D16" s="60" t="s">
        <v>370</v>
      </c>
      <c r="E16" t="str">
        <f>VLOOKUP(Table10[[#This Row],[Country]],Countries!$A$1:$D$205,2,TRUE)</f>
        <v>EGY</v>
      </c>
      <c r="F16" s="60">
        <v>1998</v>
      </c>
      <c r="G16" s="60" t="s">
        <v>4026</v>
      </c>
      <c r="H16" s="65">
        <v>2300</v>
      </c>
      <c r="I16" s="65">
        <v>1900</v>
      </c>
      <c r="J16" s="60" t="s">
        <v>4034</v>
      </c>
      <c r="K16" s="60">
        <v>29.692045</v>
      </c>
      <c r="L16">
        <v>32.322116999999999</v>
      </c>
    </row>
    <row r="17" spans="1:12" hidden="1" x14ac:dyDescent="0.35">
      <c r="A17" s="60" t="s">
        <v>4056</v>
      </c>
      <c r="B17" s="60" t="s">
        <v>2610</v>
      </c>
      <c r="C17" s="60" t="s">
        <v>3284</v>
      </c>
      <c r="D17" s="60" t="s">
        <v>370</v>
      </c>
      <c r="E17" t="str">
        <f>VLOOKUP(Table10[[#This Row],[Country]],Countries!$A$1:$D$205,2,TRUE)</f>
        <v>EGY</v>
      </c>
      <c r="F17" s="60">
        <v>2023</v>
      </c>
      <c r="G17" s="60" t="s">
        <v>4021</v>
      </c>
      <c r="H17" s="65">
        <v>1600</v>
      </c>
      <c r="I17" s="65" t="s">
        <v>4022</v>
      </c>
      <c r="J17" s="60" t="s">
        <v>4023</v>
      </c>
      <c r="K17" s="60">
        <v>29.692045</v>
      </c>
      <c r="L17">
        <v>32.322116999999999</v>
      </c>
    </row>
    <row r="18" spans="1:12" hidden="1" x14ac:dyDescent="0.35">
      <c r="A18" s="60" t="s">
        <v>4057</v>
      </c>
      <c r="B18" s="60" t="s">
        <v>4058</v>
      </c>
      <c r="C18" s="60" t="s">
        <v>3284</v>
      </c>
      <c r="D18" s="60" t="s">
        <v>370</v>
      </c>
      <c r="E18" t="str">
        <f>VLOOKUP(Table10[[#This Row],[Country]],Countries!$A$1:$D$205,2,TRUE)</f>
        <v>EGY</v>
      </c>
      <c r="F18" s="60">
        <v>2000</v>
      </c>
      <c r="G18" s="60" t="s">
        <v>4026</v>
      </c>
      <c r="H18" s="65">
        <v>2100</v>
      </c>
      <c r="I18" s="65">
        <v>2100</v>
      </c>
      <c r="J18" s="60" t="s">
        <v>4034</v>
      </c>
      <c r="K18" s="60">
        <v>29.923176000000002</v>
      </c>
      <c r="L18">
        <v>32.466586999999997</v>
      </c>
    </row>
    <row r="19" spans="1:12" hidden="1" x14ac:dyDescent="0.35">
      <c r="A19" s="60" t="s">
        <v>4059</v>
      </c>
      <c r="B19" s="60" t="s">
        <v>4058</v>
      </c>
      <c r="C19" s="60" t="s">
        <v>3284</v>
      </c>
      <c r="D19" s="60" t="s">
        <v>370</v>
      </c>
      <c r="E19" t="str">
        <f>VLOOKUP(Table10[[#This Row],[Country]],Countries!$A$1:$D$205,2,TRUE)</f>
        <v>EGY</v>
      </c>
      <c r="F19" s="60">
        <v>2018</v>
      </c>
      <c r="G19" s="60" t="s">
        <v>4026</v>
      </c>
      <c r="H19" s="65">
        <v>600</v>
      </c>
      <c r="I19" s="65" t="s">
        <v>4022</v>
      </c>
      <c r="J19" s="60" t="s">
        <v>4023</v>
      </c>
      <c r="K19" s="60">
        <v>29.872757</v>
      </c>
      <c r="L19">
        <v>32.469341999999997</v>
      </c>
    </row>
    <row r="20" spans="1:12" hidden="1" x14ac:dyDescent="0.35">
      <c r="A20" s="60" t="s">
        <v>4060</v>
      </c>
      <c r="B20" s="60" t="s">
        <v>3356</v>
      </c>
      <c r="C20" s="60" t="s">
        <v>3355</v>
      </c>
      <c r="D20" s="60" t="s">
        <v>371</v>
      </c>
      <c r="E20" t="str">
        <f>VLOOKUP(Table10[[#This Row],[Country]],Countries!$A$1:$D$205,2,TRUE)</f>
        <v>GHA</v>
      </c>
      <c r="F20" s="60">
        <v>2015</v>
      </c>
      <c r="G20" s="60" t="s">
        <v>4026</v>
      </c>
      <c r="H20" s="65">
        <v>800</v>
      </c>
      <c r="I20" s="65" t="s">
        <v>4036</v>
      </c>
      <c r="J20" s="60" t="s">
        <v>4036</v>
      </c>
      <c r="K20" s="60">
        <v>5.7094899999999997</v>
      </c>
      <c r="L20">
        <v>-2.3595000000000001E-2</v>
      </c>
    </row>
    <row r="21" spans="1:12" hidden="1" x14ac:dyDescent="0.35">
      <c r="A21" s="60" t="s">
        <v>4061</v>
      </c>
      <c r="B21" s="60" t="s">
        <v>4062</v>
      </c>
      <c r="C21" s="60" t="s">
        <v>4063</v>
      </c>
      <c r="D21" s="60" t="s">
        <v>4064</v>
      </c>
      <c r="E21" t="str">
        <f>VLOOKUP(Table10[[#This Row],[Country]],Countries!$A$1:$D$205,2,TRUE)</f>
        <v>JOR</v>
      </c>
      <c r="F21" s="60">
        <v>2022</v>
      </c>
      <c r="G21" s="60" t="s">
        <v>4026</v>
      </c>
      <c r="H21" s="65">
        <v>1000</v>
      </c>
      <c r="I21" s="65">
        <v>500</v>
      </c>
      <c r="J21" s="60" t="s">
        <v>4034</v>
      </c>
      <c r="K21" s="60">
        <v>-3.7773400000000001</v>
      </c>
      <c r="L21">
        <v>39.279963000000002</v>
      </c>
    </row>
    <row r="22" spans="1:12" hidden="1" x14ac:dyDescent="0.35">
      <c r="A22" s="60" t="s">
        <v>4065</v>
      </c>
      <c r="B22" s="60" t="s">
        <v>4036</v>
      </c>
      <c r="C22" s="60" t="s">
        <v>4036</v>
      </c>
      <c r="D22" s="60" t="s">
        <v>4064</v>
      </c>
      <c r="E22" t="str">
        <f>VLOOKUP(Table10[[#This Row],[Country]],Countries!$A$1:$D$205,2,TRUE)</f>
        <v>JOR</v>
      </c>
      <c r="F22" s="60" t="s">
        <v>4022</v>
      </c>
      <c r="G22" s="60" t="s">
        <v>4029</v>
      </c>
      <c r="H22" s="65">
        <v>1000</v>
      </c>
      <c r="I22" s="65" t="s">
        <v>4036</v>
      </c>
      <c r="J22" s="60" t="s">
        <v>4036</v>
      </c>
      <c r="K22" s="60">
        <v>0.46169700000000002</v>
      </c>
      <c r="L22">
        <v>37.991283000000003</v>
      </c>
    </row>
    <row r="23" spans="1:12" hidden="1" x14ac:dyDescent="0.35">
      <c r="A23" s="62" t="s">
        <v>4066</v>
      </c>
      <c r="B23" s="60" t="s">
        <v>4067</v>
      </c>
      <c r="C23" s="60" t="s">
        <v>4067</v>
      </c>
      <c r="D23" s="60" t="s">
        <v>404</v>
      </c>
      <c r="E23" t="str">
        <f>VLOOKUP(Table10[[#This Row],[Country]],Countries!$A$1:$D$205,2,TRUE)</f>
        <v>LBY</v>
      </c>
      <c r="F23" s="60">
        <v>1979</v>
      </c>
      <c r="G23" s="60" t="s">
        <v>4026</v>
      </c>
      <c r="H23" s="65">
        <v>1750</v>
      </c>
      <c r="I23" s="65">
        <v>1750</v>
      </c>
      <c r="J23" s="60" t="s">
        <v>4034</v>
      </c>
      <c r="K23" s="60">
        <v>32.335185000000003</v>
      </c>
      <c r="L23">
        <v>15.215052999999999</v>
      </c>
    </row>
    <row r="24" spans="1:12" hidden="1" x14ac:dyDescent="0.35">
      <c r="A24" s="60" t="s">
        <v>4068</v>
      </c>
      <c r="B24" s="60" t="s">
        <v>4069</v>
      </c>
      <c r="C24" s="60" t="s">
        <v>4070</v>
      </c>
      <c r="D24" s="60" t="s">
        <v>408</v>
      </c>
      <c r="E24" t="str">
        <f>VLOOKUP(Table10[[#This Row],[Country]],Countries!$A$1:$D$205,2,TRUE)</f>
        <v>MAR</v>
      </c>
      <c r="F24" s="60">
        <v>2002</v>
      </c>
      <c r="G24" s="60" t="s">
        <v>4026</v>
      </c>
      <c r="H24" s="65">
        <v>800</v>
      </c>
      <c r="I24" s="65" t="s">
        <v>4022</v>
      </c>
      <c r="J24" s="60" t="s">
        <v>4023</v>
      </c>
      <c r="K24" s="60">
        <v>33.136529000000003</v>
      </c>
      <c r="L24">
        <v>-8.6035550000000001</v>
      </c>
    </row>
    <row r="25" spans="1:12" hidden="1" x14ac:dyDescent="0.35">
      <c r="A25" s="60" t="s">
        <v>4071</v>
      </c>
      <c r="B25" s="60" t="s">
        <v>4069</v>
      </c>
      <c r="C25" s="60" t="s">
        <v>4070</v>
      </c>
      <c r="D25" s="60" t="s">
        <v>408</v>
      </c>
      <c r="E25" t="str">
        <f>VLOOKUP(Table10[[#This Row],[Country]],Countries!$A$1:$D$205,2,TRUE)</f>
        <v>MAR</v>
      </c>
      <c r="F25" s="60">
        <v>2022</v>
      </c>
      <c r="G25" s="60" t="s">
        <v>4021</v>
      </c>
      <c r="H25" s="65">
        <v>800</v>
      </c>
      <c r="I25" s="65" t="s">
        <v>4022</v>
      </c>
      <c r="J25" s="60" t="s">
        <v>4023</v>
      </c>
      <c r="K25" s="60">
        <v>33.165438000000002</v>
      </c>
      <c r="L25">
        <v>-8.5883000000000003</v>
      </c>
    </row>
    <row r="26" spans="1:12" hidden="1" x14ac:dyDescent="0.35">
      <c r="A26" s="60" t="s">
        <v>4072</v>
      </c>
      <c r="B26" s="60" t="s">
        <v>4073</v>
      </c>
      <c r="C26" s="60" t="s">
        <v>4070</v>
      </c>
      <c r="D26" s="60" t="s">
        <v>408</v>
      </c>
      <c r="E26" t="str">
        <f>VLOOKUP(Table10[[#This Row],[Country]],Countries!$A$1:$D$205,2,TRUE)</f>
        <v>MAR</v>
      </c>
      <c r="F26" s="60">
        <v>1975</v>
      </c>
      <c r="G26" s="60" t="s">
        <v>4026</v>
      </c>
      <c r="H26" s="65">
        <v>1000</v>
      </c>
      <c r="I26" s="65" t="s">
        <v>4022</v>
      </c>
      <c r="J26" s="60" t="s">
        <v>4023</v>
      </c>
      <c r="K26" s="60">
        <v>33.592793</v>
      </c>
      <c r="L26">
        <v>-7.4756130000000001</v>
      </c>
    </row>
    <row r="27" spans="1:12" hidden="1" x14ac:dyDescent="0.35">
      <c r="A27" s="60" t="s">
        <v>4074</v>
      </c>
      <c r="B27" s="60" t="s">
        <v>4075</v>
      </c>
      <c r="C27" s="60" t="s">
        <v>4076</v>
      </c>
      <c r="D27" s="60" t="s">
        <v>4077</v>
      </c>
      <c r="E27" t="str">
        <f>VLOOKUP(Table10[[#This Row],[Country]],Countries!$A$1:$D$205,2,TRUE)</f>
        <v>MAR</v>
      </c>
      <c r="F27" s="60" t="s">
        <v>4036</v>
      </c>
      <c r="G27" s="60" t="s">
        <v>4021</v>
      </c>
      <c r="H27" s="65">
        <v>500</v>
      </c>
      <c r="I27" s="65">
        <v>1100</v>
      </c>
      <c r="J27" s="60" t="s">
        <v>4034</v>
      </c>
      <c r="K27" s="60">
        <v>-25.968857</v>
      </c>
      <c r="L27">
        <v>32.574621999999998</v>
      </c>
    </row>
    <row r="28" spans="1:12" hidden="1" x14ac:dyDescent="0.35">
      <c r="A28" s="60" t="s">
        <v>4078</v>
      </c>
      <c r="B28" s="60" t="s">
        <v>4079</v>
      </c>
      <c r="C28" s="60" t="s">
        <v>4080</v>
      </c>
      <c r="D28" s="60" t="s">
        <v>4081</v>
      </c>
      <c r="E28" t="str">
        <f>VLOOKUP(Table10[[#This Row],[Country]],Countries!$A$1:$D$205,2,TRUE)</f>
        <v>MAR</v>
      </c>
      <c r="F28" s="60">
        <v>2022</v>
      </c>
      <c r="G28" s="60" t="s">
        <v>4021</v>
      </c>
      <c r="H28" s="65">
        <v>3000</v>
      </c>
      <c r="I28" s="65" t="s">
        <v>4022</v>
      </c>
      <c r="J28" s="60" t="s">
        <v>4023</v>
      </c>
      <c r="K28" s="60">
        <v>-17.777380000000001</v>
      </c>
      <c r="L28">
        <v>15.763280999999999</v>
      </c>
    </row>
    <row r="29" spans="1:12" hidden="1" x14ac:dyDescent="0.35">
      <c r="A29" s="60" t="s">
        <v>4082</v>
      </c>
      <c r="B29" s="60" t="s">
        <v>4036</v>
      </c>
      <c r="C29" s="60" t="s">
        <v>4036</v>
      </c>
      <c r="D29" s="60" t="s">
        <v>4081</v>
      </c>
      <c r="E29" t="str">
        <f>VLOOKUP(Table10[[#This Row],[Country]],Countries!$A$1:$D$205,2,TRUE)</f>
        <v>MAR</v>
      </c>
      <c r="F29" s="60" t="s">
        <v>4036</v>
      </c>
      <c r="G29" s="60" t="s">
        <v>4037</v>
      </c>
      <c r="H29" s="65">
        <v>1500</v>
      </c>
      <c r="I29" s="65">
        <v>2500</v>
      </c>
      <c r="J29" s="60" t="s">
        <v>4034</v>
      </c>
      <c r="K29" s="60">
        <v>-22.084182999999999</v>
      </c>
      <c r="L29">
        <v>17.409915399999999</v>
      </c>
    </row>
    <row r="30" spans="1:12" hidden="1" x14ac:dyDescent="0.35">
      <c r="A30" s="60" t="s">
        <v>4083</v>
      </c>
      <c r="B30" s="60" t="s">
        <v>3525</v>
      </c>
      <c r="C30" s="60" t="s">
        <v>4084</v>
      </c>
      <c r="D30" s="60" t="s">
        <v>414</v>
      </c>
      <c r="E30" t="str">
        <f>VLOOKUP(Table10[[#This Row],[Country]],Countries!$A$1:$D$205,2,TRUE)</f>
        <v>NGA</v>
      </c>
      <c r="F30" s="60">
        <v>1982</v>
      </c>
      <c r="G30" s="60" t="s">
        <v>4026</v>
      </c>
      <c r="H30" s="65">
        <v>1300</v>
      </c>
      <c r="I30" s="65">
        <v>1020</v>
      </c>
      <c r="J30" s="60" t="s">
        <v>4034</v>
      </c>
      <c r="K30" s="60">
        <v>5.4807629999999996</v>
      </c>
      <c r="L30">
        <v>5.7698390000000002</v>
      </c>
    </row>
    <row r="31" spans="1:12" hidden="1" x14ac:dyDescent="0.35">
      <c r="A31" s="60" t="s">
        <v>4085</v>
      </c>
      <c r="B31" s="60" t="s">
        <v>4086</v>
      </c>
      <c r="C31" s="60" t="s">
        <v>4087</v>
      </c>
      <c r="D31" s="60" t="s">
        <v>414</v>
      </c>
      <c r="E31" t="str">
        <f>VLOOKUP(Table10[[#This Row],[Country]],Countries!$A$1:$D$205,2,TRUE)</f>
        <v>NGA</v>
      </c>
      <c r="F31" s="60">
        <v>2023</v>
      </c>
      <c r="G31" s="60" t="s">
        <v>4021</v>
      </c>
      <c r="H31" s="65">
        <v>1000</v>
      </c>
      <c r="I31" s="65">
        <v>1000</v>
      </c>
      <c r="J31" s="60" t="s">
        <v>4034</v>
      </c>
      <c r="K31" s="60">
        <v>9.4909920000000003</v>
      </c>
      <c r="L31">
        <v>7.6954310000000001</v>
      </c>
    </row>
    <row r="32" spans="1:12" hidden="1" x14ac:dyDescent="0.35">
      <c r="A32" s="60" t="s">
        <v>4088</v>
      </c>
      <c r="B32" s="60" t="s">
        <v>4089</v>
      </c>
      <c r="C32" s="60" t="s">
        <v>4090</v>
      </c>
      <c r="D32" s="60" t="s">
        <v>414</v>
      </c>
      <c r="E32" t="str">
        <f>VLOOKUP(Table10[[#This Row],[Country]],Countries!$A$1:$D$205,2,TRUE)</f>
        <v>NGA</v>
      </c>
      <c r="F32" s="60" t="s">
        <v>4036</v>
      </c>
      <c r="G32" s="60" t="s">
        <v>4021</v>
      </c>
      <c r="H32" s="65">
        <v>1300</v>
      </c>
      <c r="I32" s="65">
        <v>1355</v>
      </c>
      <c r="J32" s="60" t="s">
        <v>4049</v>
      </c>
      <c r="K32" s="60">
        <v>7.511336</v>
      </c>
      <c r="L32">
        <v>6.6893640000000003</v>
      </c>
    </row>
    <row r="33" spans="1:12" hidden="1" x14ac:dyDescent="0.35">
      <c r="A33" s="60" t="s">
        <v>4091</v>
      </c>
      <c r="B33" s="60" t="s">
        <v>4092</v>
      </c>
      <c r="C33" s="60" t="s">
        <v>4093</v>
      </c>
      <c r="D33" s="60" t="s">
        <v>431</v>
      </c>
      <c r="E33" t="str">
        <f>VLOOKUP(Table10[[#This Row],[Country]],Countries!$A$1:$D$205,2,TRUE)</f>
        <v>ZAF</v>
      </c>
      <c r="F33" s="60">
        <v>1947</v>
      </c>
      <c r="G33" s="60" t="s">
        <v>4026</v>
      </c>
      <c r="H33" s="65">
        <v>4500</v>
      </c>
      <c r="I33" s="65">
        <v>4150</v>
      </c>
      <c r="J33" s="60" t="s">
        <v>4094</v>
      </c>
      <c r="K33" s="60">
        <v>-26.657367000000001</v>
      </c>
      <c r="L33">
        <v>27.822310000000002</v>
      </c>
    </row>
    <row r="34" spans="1:12" hidden="1" x14ac:dyDescent="0.35">
      <c r="A34" s="60" t="s">
        <v>4095</v>
      </c>
      <c r="B34" s="60" t="s">
        <v>4092</v>
      </c>
      <c r="C34" s="60" t="s">
        <v>4093</v>
      </c>
      <c r="D34" s="60" t="s">
        <v>431</v>
      </c>
      <c r="E34" t="str">
        <f>VLOOKUP(Table10[[#This Row],[Country]],Countries!$A$1:$D$205,2,TRUE)</f>
        <v>ZAF</v>
      </c>
      <c r="F34" s="60">
        <v>2030</v>
      </c>
      <c r="G34" s="60" t="s">
        <v>4037</v>
      </c>
      <c r="H34" s="65">
        <v>4500</v>
      </c>
      <c r="I34" s="65" t="s">
        <v>4036</v>
      </c>
      <c r="J34" s="60" t="s">
        <v>4023</v>
      </c>
      <c r="K34" s="60">
        <v>-26.657367000000001</v>
      </c>
      <c r="L34">
        <v>27.822310000000002</v>
      </c>
    </row>
    <row r="35" spans="1:12" hidden="1" x14ac:dyDescent="0.35">
      <c r="A35" s="60" t="s">
        <v>4096</v>
      </c>
      <c r="B35" s="60" t="s">
        <v>4092</v>
      </c>
      <c r="C35" s="60" t="s">
        <v>4093</v>
      </c>
      <c r="D35" s="60" t="s">
        <v>431</v>
      </c>
      <c r="E35" t="str">
        <f>VLOOKUP(Table10[[#This Row],[Country]],Countries!$A$1:$D$205,2,TRUE)</f>
        <v>ZAF</v>
      </c>
      <c r="F35" s="60" t="s">
        <v>4022</v>
      </c>
      <c r="G35" s="60" t="s">
        <v>4048</v>
      </c>
      <c r="H35" s="65">
        <v>2671.875</v>
      </c>
      <c r="I35" s="65">
        <v>1900</v>
      </c>
      <c r="J35" s="60" t="s">
        <v>4049</v>
      </c>
      <c r="K35" s="60">
        <v>-26.657367000000001</v>
      </c>
      <c r="L35">
        <v>27.822310000000002</v>
      </c>
    </row>
    <row r="36" spans="1:12" hidden="1" x14ac:dyDescent="0.35">
      <c r="A36" s="60" t="s">
        <v>4097</v>
      </c>
      <c r="B36" s="60" t="s">
        <v>4092</v>
      </c>
      <c r="C36" s="60" t="s">
        <v>4093</v>
      </c>
      <c r="D36" s="60" t="s">
        <v>431</v>
      </c>
      <c r="E36" t="str">
        <f>VLOOKUP(Table10[[#This Row],[Country]],Countries!$A$1:$D$205,2,TRUE)</f>
        <v>ZAF</v>
      </c>
      <c r="F36" s="60" t="s">
        <v>4022</v>
      </c>
      <c r="G36" s="60" t="s">
        <v>4048</v>
      </c>
      <c r="H36" s="65">
        <v>1828.125</v>
      </c>
      <c r="I36" s="65">
        <v>1300</v>
      </c>
      <c r="J36" s="60" t="s">
        <v>4049</v>
      </c>
      <c r="K36" s="60">
        <v>-26.657367000000001</v>
      </c>
      <c r="L36">
        <v>27.822310000000002</v>
      </c>
    </row>
    <row r="37" spans="1:12" hidden="1" x14ac:dyDescent="0.35">
      <c r="A37" s="60" t="s">
        <v>4098</v>
      </c>
      <c r="B37" s="60" t="s">
        <v>4099</v>
      </c>
      <c r="C37" s="60" t="s">
        <v>4100</v>
      </c>
      <c r="D37" s="60" t="s">
        <v>431</v>
      </c>
      <c r="E37" t="str">
        <f>VLOOKUP(Table10[[#This Row],[Country]],Countries!$A$1:$D$205,2,TRUE)</f>
        <v>ZAF</v>
      </c>
      <c r="F37" s="60">
        <v>1971</v>
      </c>
      <c r="G37" s="60" t="s">
        <v>4026</v>
      </c>
      <c r="H37" s="65">
        <v>1900</v>
      </c>
      <c r="I37" s="65">
        <v>2043.9999999999998</v>
      </c>
      <c r="J37" s="60" t="s">
        <v>4049</v>
      </c>
      <c r="K37" s="60">
        <v>-27.705376000000001</v>
      </c>
      <c r="L37">
        <v>30.014063</v>
      </c>
    </row>
    <row r="38" spans="1:12" hidden="1" x14ac:dyDescent="0.35">
      <c r="A38" s="60" t="s">
        <v>4101</v>
      </c>
      <c r="B38" s="60" t="s">
        <v>4099</v>
      </c>
      <c r="C38" s="60" t="s">
        <v>4100</v>
      </c>
      <c r="D38" s="60" t="s">
        <v>431</v>
      </c>
      <c r="E38" t="str">
        <f>VLOOKUP(Table10[[#This Row],[Country]],Countries!$A$1:$D$205,2,TRUE)</f>
        <v>ZAF</v>
      </c>
      <c r="F38" s="60">
        <v>2034</v>
      </c>
      <c r="G38" s="60" t="s">
        <v>4037</v>
      </c>
      <c r="H38" s="65">
        <v>1900</v>
      </c>
      <c r="I38" s="65" t="s">
        <v>4022</v>
      </c>
      <c r="J38" s="60" t="s">
        <v>4049</v>
      </c>
      <c r="K38" s="60">
        <v>-27.705376000000001</v>
      </c>
      <c r="L38">
        <v>30.014063</v>
      </c>
    </row>
    <row r="39" spans="1:12" hidden="1" x14ac:dyDescent="0.35">
      <c r="A39" s="60" t="s">
        <v>4102</v>
      </c>
      <c r="B39" s="60" t="s">
        <v>4099</v>
      </c>
      <c r="C39" s="60" t="s">
        <v>4100</v>
      </c>
      <c r="D39" s="60" t="s">
        <v>431</v>
      </c>
      <c r="E39" t="str">
        <f>VLOOKUP(Table10[[#This Row],[Country]],Countries!$A$1:$D$205,2,TRUE)</f>
        <v>ZAF</v>
      </c>
      <c r="F39" s="60" t="s">
        <v>4022</v>
      </c>
      <c r="G39" s="60" t="s">
        <v>4048</v>
      </c>
      <c r="H39" s="65">
        <v>1900</v>
      </c>
      <c r="I39" s="65">
        <v>2044</v>
      </c>
      <c r="J39" s="60" t="s">
        <v>4049</v>
      </c>
      <c r="K39" s="60">
        <v>-27.705376000000001</v>
      </c>
      <c r="L39">
        <v>30.014063</v>
      </c>
    </row>
    <row r="40" spans="1:12" hidden="1" x14ac:dyDescent="0.35">
      <c r="A40" s="60" t="s">
        <v>4103</v>
      </c>
      <c r="B40" s="60" t="s">
        <v>1481</v>
      </c>
      <c r="C40" s="60" t="s">
        <v>4104</v>
      </c>
      <c r="D40" s="60" t="s">
        <v>431</v>
      </c>
      <c r="E40" t="str">
        <f>VLOOKUP(Table10[[#This Row],[Country]],Countries!$A$1:$D$205,2,TRUE)</f>
        <v>ZAF</v>
      </c>
      <c r="F40" s="60">
        <v>1966</v>
      </c>
      <c r="G40" s="60" t="s">
        <v>4026</v>
      </c>
      <c r="H40" s="65">
        <v>750</v>
      </c>
      <c r="I40" s="65" t="s">
        <v>4022</v>
      </c>
      <c r="J40" s="60" t="s">
        <v>4023</v>
      </c>
      <c r="K40" s="60">
        <v>-25.796313000000001</v>
      </c>
      <c r="L40">
        <v>29.497972000000001</v>
      </c>
    </row>
    <row r="41" spans="1:12" hidden="1" x14ac:dyDescent="0.35">
      <c r="A41" s="60" t="s">
        <v>4105</v>
      </c>
      <c r="B41" s="60" t="s">
        <v>4106</v>
      </c>
      <c r="C41" s="60" t="s">
        <v>3694</v>
      </c>
      <c r="D41" s="60" t="s">
        <v>431</v>
      </c>
      <c r="E41" t="str">
        <f>VLOOKUP(Table10[[#This Row],[Country]],Countries!$A$1:$D$205,2,TRUE)</f>
        <v>ZAF</v>
      </c>
      <c r="F41" s="60">
        <v>1998</v>
      </c>
      <c r="G41" s="60" t="s">
        <v>4107</v>
      </c>
      <c r="H41" s="65">
        <v>1200</v>
      </c>
      <c r="I41" s="65">
        <v>1560</v>
      </c>
      <c r="J41" s="60" t="s">
        <v>4108</v>
      </c>
      <c r="K41" s="60">
        <v>-32.979520000000001</v>
      </c>
      <c r="L41">
        <v>18.023228</v>
      </c>
    </row>
    <row r="42" spans="1:12" hidden="1" x14ac:dyDescent="0.35">
      <c r="A42" s="60" t="s">
        <v>4109</v>
      </c>
      <c r="B42" s="60" t="s">
        <v>4106</v>
      </c>
      <c r="C42" s="60" t="s">
        <v>3694</v>
      </c>
      <c r="D42" s="60" t="s">
        <v>431</v>
      </c>
      <c r="E42" t="str">
        <f>VLOOKUP(Table10[[#This Row],[Country]],Countries!$A$1:$D$205,2,TRUE)</f>
        <v>ZAF</v>
      </c>
      <c r="F42" s="60" t="s">
        <v>4022</v>
      </c>
      <c r="G42" s="60" t="s">
        <v>4048</v>
      </c>
      <c r="H42" s="65" t="s">
        <v>4110</v>
      </c>
      <c r="I42" s="65" t="s">
        <v>4110</v>
      </c>
      <c r="J42" s="60" t="s">
        <v>4111</v>
      </c>
      <c r="K42" s="60">
        <v>-32.979520000000001</v>
      </c>
      <c r="L42">
        <v>18.023228</v>
      </c>
    </row>
    <row r="43" spans="1:12" hidden="1" x14ac:dyDescent="0.35">
      <c r="A43" s="60" t="s">
        <v>4112</v>
      </c>
      <c r="B43" s="60" t="s">
        <v>4113</v>
      </c>
      <c r="C43" s="60" t="s">
        <v>4114</v>
      </c>
      <c r="D43" s="60" t="s">
        <v>4115</v>
      </c>
      <c r="E43" t="str">
        <f>VLOOKUP(Table10[[#This Row],[Country]],Countries!$A$1:$D$205,2,TRUE)</f>
        <v>TUN</v>
      </c>
      <c r="F43" s="60">
        <v>2000</v>
      </c>
      <c r="G43" s="60" t="s">
        <v>4026</v>
      </c>
      <c r="H43" s="65">
        <v>450</v>
      </c>
      <c r="I43" s="65" t="s">
        <v>4022</v>
      </c>
      <c r="J43" s="60" t="s">
        <v>4023</v>
      </c>
      <c r="K43" s="60">
        <v>0.61197500000000005</v>
      </c>
      <c r="L43">
        <v>33.457628999999997</v>
      </c>
    </row>
    <row r="44" spans="1:12" hidden="1" x14ac:dyDescent="0.35">
      <c r="A44" s="60" t="s">
        <v>4116</v>
      </c>
      <c r="B44" s="60" t="s">
        <v>4113</v>
      </c>
      <c r="C44" s="60" t="s">
        <v>4114</v>
      </c>
      <c r="D44" s="60" t="s">
        <v>4115</v>
      </c>
      <c r="E44" t="str">
        <f>VLOOKUP(Table10[[#This Row],[Country]],Countries!$A$1:$D$205,2,TRUE)</f>
        <v>TUN</v>
      </c>
      <c r="F44" s="60">
        <v>2022</v>
      </c>
      <c r="G44" s="60" t="s">
        <v>4026</v>
      </c>
      <c r="H44" s="65" t="s">
        <v>4022</v>
      </c>
      <c r="I44" s="65">
        <v>1200</v>
      </c>
      <c r="J44" s="60" t="s">
        <v>4030</v>
      </c>
      <c r="K44" s="60">
        <v>0.61197500000000005</v>
      </c>
      <c r="L44">
        <v>33.457628999999997</v>
      </c>
    </row>
    <row r="45" spans="1:12" hidden="1" x14ac:dyDescent="0.35">
      <c r="A45" s="60" t="s">
        <v>4117</v>
      </c>
      <c r="B45" s="60" t="s">
        <v>4118</v>
      </c>
      <c r="C45" s="60" t="s">
        <v>4119</v>
      </c>
      <c r="D45" s="60" t="s">
        <v>4120</v>
      </c>
      <c r="E45" t="str">
        <f>VLOOKUP(Table10[[#This Row],[Country]],Countries!$A$1:$D$205,2,TRUE)</f>
        <v>YEM</v>
      </c>
      <c r="F45" s="60">
        <v>2023</v>
      </c>
      <c r="G45" s="60" t="s">
        <v>4021</v>
      </c>
      <c r="H45" s="65">
        <v>1200</v>
      </c>
      <c r="I45" s="65" t="s">
        <v>4110</v>
      </c>
      <c r="J45" s="60" t="s">
        <v>4023</v>
      </c>
      <c r="K45" s="60">
        <v>-18.937163000000002</v>
      </c>
      <c r="L45">
        <v>30.599748000000002</v>
      </c>
    </row>
    <row r="46" spans="1:12" hidden="1" x14ac:dyDescent="0.35">
      <c r="A46" s="60" t="s">
        <v>4121</v>
      </c>
      <c r="B46" s="60" t="s">
        <v>4118</v>
      </c>
      <c r="C46" s="60" t="s">
        <v>4119</v>
      </c>
      <c r="D46" s="60" t="s">
        <v>4120</v>
      </c>
      <c r="E46" t="str">
        <f>VLOOKUP(Table10[[#This Row],[Country]],Countries!$A$1:$D$205,2,TRUE)</f>
        <v>YEM</v>
      </c>
      <c r="F46" s="60" t="s">
        <v>4036</v>
      </c>
      <c r="G46" s="60" t="s">
        <v>4037</v>
      </c>
      <c r="H46" s="65">
        <v>1000</v>
      </c>
      <c r="I46" s="65" t="s">
        <v>4110</v>
      </c>
      <c r="J46" s="60" t="s">
        <v>4023</v>
      </c>
      <c r="K46" s="60">
        <v>-18.937163000000002</v>
      </c>
      <c r="L46">
        <v>30.599748000000002</v>
      </c>
    </row>
    <row r="47" spans="1:12" hidden="1" x14ac:dyDescent="0.35">
      <c r="A47" s="60" t="s">
        <v>4122</v>
      </c>
      <c r="B47" s="60" t="s">
        <v>4123</v>
      </c>
      <c r="C47" s="60" t="s">
        <v>4124</v>
      </c>
      <c r="D47" s="60" t="s">
        <v>24</v>
      </c>
      <c r="E47" t="str">
        <f>VLOOKUP(Table10[[#This Row],[Country]],Countries!$A$1:$D$205,2,TRUE)</f>
        <v>AUS</v>
      </c>
      <c r="F47" s="60">
        <v>1928</v>
      </c>
      <c r="G47" s="60" t="s">
        <v>4026</v>
      </c>
      <c r="H47" s="65">
        <v>3200</v>
      </c>
      <c r="I47" s="65">
        <v>3000</v>
      </c>
      <c r="J47" s="60" t="s">
        <v>4049</v>
      </c>
      <c r="K47" s="60">
        <v>-34.463833999999999</v>
      </c>
      <c r="L47">
        <v>150.886191</v>
      </c>
    </row>
    <row r="48" spans="1:12" hidden="1" x14ac:dyDescent="0.35">
      <c r="A48" s="60" t="s">
        <v>4125</v>
      </c>
      <c r="B48" s="60" t="s">
        <v>4126</v>
      </c>
      <c r="C48" s="60" t="s">
        <v>4124</v>
      </c>
      <c r="D48" s="61" t="s">
        <v>24</v>
      </c>
      <c r="E48" t="str">
        <f>VLOOKUP(Table10[[#This Row],[Country]],Countries!$A$1:$D$205,2,TRUE)</f>
        <v>AUS</v>
      </c>
      <c r="F48" s="60">
        <v>1982</v>
      </c>
      <c r="G48" s="60" t="s">
        <v>4026</v>
      </c>
      <c r="H48" s="65">
        <v>750</v>
      </c>
      <c r="I48" s="65" t="s">
        <v>4022</v>
      </c>
      <c r="J48" s="60" t="s">
        <v>4023</v>
      </c>
      <c r="K48" s="60">
        <v>-33.766010000000001</v>
      </c>
      <c r="L48">
        <v>150.849819</v>
      </c>
    </row>
    <row r="49" spans="1:12" hidden="1" x14ac:dyDescent="0.35">
      <c r="A49" s="60" t="s">
        <v>4127</v>
      </c>
      <c r="B49" s="60" t="s">
        <v>4128</v>
      </c>
      <c r="C49" s="60" t="s">
        <v>4129</v>
      </c>
      <c r="D49" s="60" t="s">
        <v>24</v>
      </c>
      <c r="E49" t="str">
        <f>VLOOKUP(Table10[[#This Row],[Country]],Countries!$A$1:$D$205,2,TRUE)</f>
        <v>AUS</v>
      </c>
      <c r="F49" s="60">
        <v>1941</v>
      </c>
      <c r="G49" s="60" t="s">
        <v>4026</v>
      </c>
      <c r="H49" s="65">
        <v>1200</v>
      </c>
      <c r="I49" s="65">
        <v>1200</v>
      </c>
      <c r="J49" s="60" t="s">
        <v>4049</v>
      </c>
      <c r="K49" s="60">
        <v>-33.009380999999998</v>
      </c>
      <c r="L49">
        <v>137.58783600000001</v>
      </c>
    </row>
    <row r="50" spans="1:12" hidden="1" x14ac:dyDescent="0.35">
      <c r="A50" s="60" t="s">
        <v>4130</v>
      </c>
      <c r="B50" s="60" t="s">
        <v>4128</v>
      </c>
      <c r="C50" s="60" t="s">
        <v>4129</v>
      </c>
      <c r="D50" s="61" t="s">
        <v>24</v>
      </c>
      <c r="E50" t="str">
        <f>VLOOKUP(Table10[[#This Row],[Country]],Countries!$A$1:$D$205,2,TRUE)</f>
        <v>AUS</v>
      </c>
      <c r="F50" s="60">
        <v>2030</v>
      </c>
      <c r="G50" s="60" t="s">
        <v>4037</v>
      </c>
      <c r="H50" s="65">
        <v>2400</v>
      </c>
      <c r="I50" s="65">
        <v>2400</v>
      </c>
      <c r="J50" s="60" t="s">
        <v>4034</v>
      </c>
      <c r="K50" s="60">
        <v>-33.009380999999998</v>
      </c>
      <c r="L50">
        <v>137.58783600000001</v>
      </c>
    </row>
    <row r="51" spans="1:12" hidden="1" x14ac:dyDescent="0.35">
      <c r="A51" s="60" t="s">
        <v>4131</v>
      </c>
      <c r="B51" s="60" t="s">
        <v>4132</v>
      </c>
      <c r="C51" s="60" t="s">
        <v>2969</v>
      </c>
      <c r="D51" s="61" t="s">
        <v>24</v>
      </c>
      <c r="E51" t="str">
        <f>VLOOKUP(Table10[[#This Row],[Country]],Countries!$A$1:$D$205,2,TRUE)</f>
        <v>AUS</v>
      </c>
      <c r="F51" s="60">
        <v>1992</v>
      </c>
      <c r="G51" s="60" t="s">
        <v>4026</v>
      </c>
      <c r="H51" s="65">
        <v>660</v>
      </c>
      <c r="I51" s="65" t="s">
        <v>4022</v>
      </c>
      <c r="J51" s="60" t="s">
        <v>4023</v>
      </c>
      <c r="K51" s="60">
        <v>-37.831378999999998</v>
      </c>
      <c r="L51">
        <v>144.78816900000001</v>
      </c>
    </row>
    <row r="52" spans="1:12" hidden="1" x14ac:dyDescent="0.35">
      <c r="A52" s="60" t="s">
        <v>4133</v>
      </c>
      <c r="B52" s="60" t="s">
        <v>4134</v>
      </c>
      <c r="C52" s="60" t="s">
        <v>4135</v>
      </c>
      <c r="D52" s="60" t="s">
        <v>4136</v>
      </c>
      <c r="E52" t="str">
        <f>VLOOKUP(Table10[[#This Row],[Country]],Countries!$A$1:$D$205,2,TRUE)</f>
        <v>BHR</v>
      </c>
      <c r="F52" s="60">
        <v>1996</v>
      </c>
      <c r="G52" s="60" t="s">
        <v>4026</v>
      </c>
      <c r="H52" s="65">
        <v>1012</v>
      </c>
      <c r="I52" s="65" t="s">
        <v>4022</v>
      </c>
      <c r="J52" s="60" t="s">
        <v>4023</v>
      </c>
      <c r="K52" s="60">
        <v>22.381060000000002</v>
      </c>
      <c r="L52">
        <v>91.768619999999999</v>
      </c>
    </row>
    <row r="53" spans="1:12" hidden="1" x14ac:dyDescent="0.35">
      <c r="A53" s="60" t="s">
        <v>4137</v>
      </c>
      <c r="B53" s="60" t="s">
        <v>4134</v>
      </c>
      <c r="C53" s="60" t="s">
        <v>4135</v>
      </c>
      <c r="D53" s="60" t="s">
        <v>4136</v>
      </c>
      <c r="E53" t="str">
        <f>VLOOKUP(Table10[[#This Row],[Country]],Countries!$A$1:$D$205,2,TRUE)</f>
        <v>BHR</v>
      </c>
      <c r="F53" s="60">
        <v>2023</v>
      </c>
      <c r="G53" s="60" t="s">
        <v>4037</v>
      </c>
      <c r="H53" s="65">
        <v>500</v>
      </c>
      <c r="I53" s="65" t="s">
        <v>4022</v>
      </c>
      <c r="J53" s="60" t="s">
        <v>4023</v>
      </c>
      <c r="K53" s="60">
        <v>22.381060000000002</v>
      </c>
      <c r="L53">
        <v>91.768619999999999</v>
      </c>
    </row>
    <row r="54" spans="1:12" hidden="1" x14ac:dyDescent="0.35">
      <c r="A54" s="60" t="s">
        <v>4138</v>
      </c>
      <c r="B54" s="60" t="s">
        <v>4139</v>
      </c>
      <c r="C54" s="60" t="s">
        <v>2678</v>
      </c>
      <c r="D54" s="61" t="s">
        <v>4136</v>
      </c>
      <c r="E54" t="str">
        <f>VLOOKUP(Table10[[#This Row],[Country]],Countries!$A$1:$D$205,2,TRUE)</f>
        <v>BHR</v>
      </c>
      <c r="F54" s="60">
        <v>2023</v>
      </c>
      <c r="G54" s="60" t="s">
        <v>4037</v>
      </c>
      <c r="H54" s="65">
        <v>2000</v>
      </c>
      <c r="I54" s="65" t="s">
        <v>4022</v>
      </c>
      <c r="J54" s="60" t="s">
        <v>4023</v>
      </c>
      <c r="K54" s="60">
        <v>22.873920999999999</v>
      </c>
      <c r="L54">
        <v>91.546486999999999</v>
      </c>
    </row>
    <row r="55" spans="1:12" hidden="1" x14ac:dyDescent="0.35">
      <c r="A55" s="60" t="s">
        <v>4140</v>
      </c>
      <c r="B55" s="60" t="s">
        <v>4139</v>
      </c>
      <c r="C55" s="60" t="s">
        <v>2678</v>
      </c>
      <c r="D55" s="60" t="s">
        <v>4136</v>
      </c>
      <c r="E55" t="str">
        <f>VLOOKUP(Table10[[#This Row],[Country]],Countries!$A$1:$D$205,2,TRUE)</f>
        <v>BHR</v>
      </c>
      <c r="F55" s="60">
        <v>2023</v>
      </c>
      <c r="G55" s="60" t="s">
        <v>4037</v>
      </c>
      <c r="H55" s="65">
        <v>2000</v>
      </c>
      <c r="I55" s="65">
        <v>2000</v>
      </c>
      <c r="J55" s="60" t="s">
        <v>4049</v>
      </c>
      <c r="K55" s="60">
        <v>22.774190999999998</v>
      </c>
      <c r="L55">
        <v>91.574601000000001</v>
      </c>
    </row>
    <row r="56" spans="1:12" hidden="1" x14ac:dyDescent="0.35">
      <c r="A56" s="60" t="s">
        <v>4141</v>
      </c>
      <c r="B56" s="60" t="s">
        <v>4142</v>
      </c>
      <c r="C56" s="60" t="s">
        <v>2678</v>
      </c>
      <c r="D56" s="61" t="s">
        <v>4136</v>
      </c>
      <c r="E56" t="str">
        <f>VLOOKUP(Table10[[#This Row],[Country]],Countries!$A$1:$D$205,2,TRUE)</f>
        <v>BHR</v>
      </c>
      <c r="F56" s="60">
        <v>2008</v>
      </c>
      <c r="G56" s="60" t="s">
        <v>4026</v>
      </c>
      <c r="H56" s="65">
        <v>1008</v>
      </c>
      <c r="I56" s="65" t="s">
        <v>4022</v>
      </c>
      <c r="J56" s="60" t="s">
        <v>4023</v>
      </c>
      <c r="K56" s="60">
        <v>22.536569</v>
      </c>
      <c r="L56">
        <v>91.700728999999995</v>
      </c>
    </row>
    <row r="57" spans="1:12" hidden="1" x14ac:dyDescent="0.35">
      <c r="A57" s="60" t="s">
        <v>4143</v>
      </c>
      <c r="B57" s="60" t="s">
        <v>4142</v>
      </c>
      <c r="C57" s="60" t="s">
        <v>2678</v>
      </c>
      <c r="D57" s="61" t="s">
        <v>4136</v>
      </c>
      <c r="E57" t="str">
        <f>VLOOKUP(Table10[[#This Row],[Country]],Countries!$A$1:$D$205,2,TRUE)</f>
        <v>BHR</v>
      </c>
      <c r="F57" s="60">
        <v>2015</v>
      </c>
      <c r="G57" s="60" t="s">
        <v>4026</v>
      </c>
      <c r="H57" s="65">
        <v>1400</v>
      </c>
      <c r="I57" s="65" t="s">
        <v>4022</v>
      </c>
      <c r="J57" s="60" t="s">
        <v>4023</v>
      </c>
      <c r="K57" s="60">
        <v>22.472007999999999</v>
      </c>
      <c r="L57">
        <v>91.734826999999996</v>
      </c>
    </row>
    <row r="58" spans="1:12" hidden="1" x14ac:dyDescent="0.35">
      <c r="A58" s="60" t="s">
        <v>4144</v>
      </c>
      <c r="B58" s="60" t="s">
        <v>4142</v>
      </c>
      <c r="C58" s="60" t="s">
        <v>2678</v>
      </c>
      <c r="D58" s="60" t="s">
        <v>4136</v>
      </c>
      <c r="E58" t="str">
        <f>VLOOKUP(Table10[[#This Row],[Country]],Countries!$A$1:$D$205,2,TRUE)</f>
        <v>BHR</v>
      </c>
      <c r="F58" s="60">
        <v>1984</v>
      </c>
      <c r="G58" s="60" t="s">
        <v>4026</v>
      </c>
      <c r="H58" s="65">
        <v>800</v>
      </c>
      <c r="I58" s="65" t="s">
        <v>4022</v>
      </c>
      <c r="J58" s="60" t="s">
        <v>4023</v>
      </c>
      <c r="K58" s="60">
        <v>22.499834</v>
      </c>
      <c r="L58">
        <v>91.715778</v>
      </c>
    </row>
    <row r="59" spans="1:12" hidden="1" x14ac:dyDescent="0.35">
      <c r="A59" s="60" t="s">
        <v>4145</v>
      </c>
      <c r="B59" s="60" t="s">
        <v>4146</v>
      </c>
      <c r="C59" s="60" t="s">
        <v>4139</v>
      </c>
      <c r="D59" s="61" t="s">
        <v>4136</v>
      </c>
      <c r="E59" t="str">
        <f>VLOOKUP(Table10[[#This Row],[Country]],Countries!$A$1:$D$205,2,TRUE)</f>
        <v>BHR</v>
      </c>
      <c r="F59" s="60">
        <v>2008</v>
      </c>
      <c r="G59" s="60" t="s">
        <v>4026</v>
      </c>
      <c r="H59" s="65">
        <v>1000</v>
      </c>
      <c r="I59" s="65" t="s">
        <v>4022</v>
      </c>
      <c r="J59" s="60" t="s">
        <v>4023</v>
      </c>
      <c r="K59" s="60">
        <v>22.871759999999998</v>
      </c>
      <c r="L59">
        <v>91.546567999999994</v>
      </c>
    </row>
    <row r="60" spans="1:12" hidden="1" x14ac:dyDescent="0.35">
      <c r="A60" s="60" t="s">
        <v>4147</v>
      </c>
      <c r="B60" s="60" t="s">
        <v>4148</v>
      </c>
      <c r="C60" s="60" t="s">
        <v>4148</v>
      </c>
      <c r="D60" s="60" t="s">
        <v>4149</v>
      </c>
      <c r="E60" t="str">
        <f>VLOOKUP(Table10[[#This Row],[Country]],Countries!$A$1:$D$205,2,TRUE)</f>
        <v>BFA</v>
      </c>
      <c r="F60" s="60" t="s">
        <v>4036</v>
      </c>
      <c r="G60" s="60" t="s">
        <v>4037</v>
      </c>
      <c r="H60" s="65">
        <v>3100</v>
      </c>
      <c r="I60" s="65">
        <v>3100</v>
      </c>
      <c r="J60" s="60" t="s">
        <v>4049</v>
      </c>
      <c r="K60" s="60">
        <v>11.567030000000001</v>
      </c>
      <c r="L60">
        <v>104.863893</v>
      </c>
    </row>
    <row r="61" spans="1:12" x14ac:dyDescent="0.35">
      <c r="A61" s="60" t="s">
        <v>4150</v>
      </c>
      <c r="B61" s="60" t="s">
        <v>4151</v>
      </c>
      <c r="C61" s="60" t="s">
        <v>3008</v>
      </c>
      <c r="D61" s="61" t="s">
        <v>84</v>
      </c>
      <c r="E61" t="str">
        <f>VLOOKUP(Table10[[#This Row],[Country]],Countries!$A$1:$D$205,2,TRUE)</f>
        <v>CAN</v>
      </c>
      <c r="F61" s="60">
        <v>2010</v>
      </c>
      <c r="G61" s="60" t="s">
        <v>4026</v>
      </c>
      <c r="H61" s="65">
        <v>2000</v>
      </c>
      <c r="I61" s="65">
        <v>1962</v>
      </c>
      <c r="J61" s="60" t="s">
        <v>4049</v>
      </c>
      <c r="K61" s="60">
        <v>30.531068000000001</v>
      </c>
      <c r="L61">
        <v>117.251147</v>
      </c>
    </row>
    <row r="62" spans="1:12" x14ac:dyDescent="0.35">
      <c r="A62" s="60" t="s">
        <v>4152</v>
      </c>
      <c r="B62" s="60" t="s">
        <v>4151</v>
      </c>
      <c r="C62" s="60" t="s">
        <v>3008</v>
      </c>
      <c r="D62" s="60" t="s">
        <v>84</v>
      </c>
      <c r="E62" t="str">
        <f>VLOOKUP(Table10[[#This Row],[Country]],Countries!$A$1:$D$205,2,TRUE)</f>
        <v>CAN</v>
      </c>
      <c r="F62" s="60">
        <v>2000</v>
      </c>
      <c r="G62" s="60" t="s">
        <v>4026</v>
      </c>
      <c r="H62" s="65">
        <v>1000</v>
      </c>
      <c r="I62" s="65" t="s">
        <v>4022</v>
      </c>
      <c r="J62" s="60" t="s">
        <v>4023</v>
      </c>
      <c r="K62" s="60">
        <v>30.532786000000002</v>
      </c>
      <c r="L62">
        <v>117.25166</v>
      </c>
    </row>
    <row r="63" spans="1:12" x14ac:dyDescent="0.35">
      <c r="A63" s="60" t="s">
        <v>4153</v>
      </c>
      <c r="B63" s="60" t="s">
        <v>4154</v>
      </c>
      <c r="C63" s="60" t="s">
        <v>3008</v>
      </c>
      <c r="D63" s="60" t="s">
        <v>84</v>
      </c>
      <c r="E63" t="str">
        <f>VLOOKUP(Table10[[#This Row],[Country]],Countries!$A$1:$D$205,2,TRUE)</f>
        <v>CAN</v>
      </c>
      <c r="F63" s="60">
        <v>2001</v>
      </c>
      <c r="G63" s="60" t="s">
        <v>4026</v>
      </c>
      <c r="H63" s="65">
        <v>500</v>
      </c>
      <c r="I63" s="65" t="s">
        <v>4022</v>
      </c>
      <c r="J63" s="60" t="s">
        <v>4023</v>
      </c>
      <c r="K63" s="60">
        <v>32.619247999999999</v>
      </c>
      <c r="L63">
        <v>116.905869</v>
      </c>
    </row>
    <row r="64" spans="1:12" x14ac:dyDescent="0.35">
      <c r="A64" s="60" t="s">
        <v>4155</v>
      </c>
      <c r="B64" s="60" t="s">
        <v>4156</v>
      </c>
      <c r="C64" s="60" t="s">
        <v>3008</v>
      </c>
      <c r="D64" s="61" t="s">
        <v>84</v>
      </c>
      <c r="E64" t="str">
        <f>VLOOKUP(Table10[[#This Row],[Country]],Countries!$A$1:$D$205,2,TRUE)</f>
        <v>CAN</v>
      </c>
      <c r="F64" s="60">
        <v>2010</v>
      </c>
      <c r="G64" s="60" t="s">
        <v>4026</v>
      </c>
      <c r="H64" s="65">
        <v>3000</v>
      </c>
      <c r="I64" s="65">
        <v>2942.24</v>
      </c>
      <c r="J64" s="60" t="s">
        <v>4049</v>
      </c>
      <c r="K64" s="60">
        <v>32.329171000000002</v>
      </c>
      <c r="L64">
        <v>115.95496300000001</v>
      </c>
    </row>
    <row r="65" spans="1:12" x14ac:dyDescent="0.35">
      <c r="A65" s="60" t="s">
        <v>4157</v>
      </c>
      <c r="B65" s="60" t="s">
        <v>4158</v>
      </c>
      <c r="C65" s="60" t="s">
        <v>3008</v>
      </c>
      <c r="D65" s="61" t="s">
        <v>84</v>
      </c>
      <c r="E65" t="str">
        <f>VLOOKUP(Table10[[#This Row],[Country]],Countries!$A$1:$D$205,2,TRUE)</f>
        <v>CAN</v>
      </c>
      <c r="F65" s="60">
        <v>2022</v>
      </c>
      <c r="G65" s="60" t="s">
        <v>4026</v>
      </c>
      <c r="H65" s="65">
        <v>500</v>
      </c>
      <c r="I65" s="65" t="s">
        <v>4022</v>
      </c>
      <c r="J65" s="60" t="s">
        <v>4023</v>
      </c>
      <c r="K65" s="60">
        <v>31.763956</v>
      </c>
      <c r="L65">
        <v>115.92437200000001</v>
      </c>
    </row>
    <row r="66" spans="1:12" x14ac:dyDescent="0.35">
      <c r="A66" s="60" t="s">
        <v>4159</v>
      </c>
      <c r="B66" s="60" t="s">
        <v>4160</v>
      </c>
      <c r="C66" s="60" t="s">
        <v>3008</v>
      </c>
      <c r="D66" s="61" t="s">
        <v>84</v>
      </c>
      <c r="E66" t="str">
        <f>VLOOKUP(Table10[[#This Row],[Country]],Countries!$A$1:$D$205,2,TRUE)</f>
        <v>CAN</v>
      </c>
      <c r="F66" s="60">
        <v>1953</v>
      </c>
      <c r="G66" s="60" t="s">
        <v>4026</v>
      </c>
      <c r="H66" s="65">
        <v>17600</v>
      </c>
      <c r="I66" s="65">
        <v>14500</v>
      </c>
      <c r="J66" s="60" t="s">
        <v>4161</v>
      </c>
      <c r="K66" s="60">
        <v>31.698884</v>
      </c>
      <c r="L66">
        <v>118.468194</v>
      </c>
    </row>
    <row r="67" spans="1:12" x14ac:dyDescent="0.35">
      <c r="A67" s="60" t="s">
        <v>4162</v>
      </c>
      <c r="B67" s="60" t="s">
        <v>4160</v>
      </c>
      <c r="C67" s="60" t="s">
        <v>3008</v>
      </c>
      <c r="D67" s="61" t="s">
        <v>84</v>
      </c>
      <c r="E67" t="str">
        <f>VLOOKUP(Table10[[#This Row],[Country]],Countries!$A$1:$D$205,2,TRUE)</f>
        <v>CAN</v>
      </c>
      <c r="F67" s="60">
        <v>2023</v>
      </c>
      <c r="G67" s="60" t="s">
        <v>4021</v>
      </c>
      <c r="H67" s="65">
        <v>1600</v>
      </c>
      <c r="I67" s="65" t="s">
        <v>4022</v>
      </c>
      <c r="J67" s="60" t="s">
        <v>4163</v>
      </c>
      <c r="K67" s="60">
        <v>31.698884</v>
      </c>
      <c r="L67">
        <v>118.468194</v>
      </c>
    </row>
    <row r="68" spans="1:12" x14ac:dyDescent="0.35">
      <c r="A68" s="60" t="s">
        <v>4162</v>
      </c>
      <c r="B68" s="60" t="s">
        <v>4160</v>
      </c>
      <c r="C68" s="60" t="s">
        <v>3008</v>
      </c>
      <c r="D68" s="61" t="s">
        <v>84</v>
      </c>
      <c r="E68" t="str">
        <f>VLOOKUP(Table10[[#This Row],[Country]],Countries!$A$1:$D$205,2,TRUE)</f>
        <v>CAN</v>
      </c>
      <c r="F68" s="60">
        <v>2024</v>
      </c>
      <c r="G68" s="60" t="s">
        <v>4037</v>
      </c>
      <c r="H68" s="65">
        <v>1600</v>
      </c>
      <c r="I68" s="65" t="s">
        <v>4022</v>
      </c>
      <c r="J68" s="60" t="s">
        <v>4163</v>
      </c>
      <c r="K68" s="60">
        <v>31.698884</v>
      </c>
      <c r="L68">
        <v>118.468194</v>
      </c>
    </row>
    <row r="69" spans="1:12" x14ac:dyDescent="0.35">
      <c r="A69" s="60" t="s">
        <v>4164</v>
      </c>
      <c r="B69" s="60" t="s">
        <v>4160</v>
      </c>
      <c r="C69" s="60" t="s">
        <v>3008</v>
      </c>
      <c r="D69" s="61" t="s">
        <v>84</v>
      </c>
      <c r="E69" t="str">
        <f>VLOOKUP(Table10[[#This Row],[Country]],Countries!$A$1:$D$205,2,TRUE)</f>
        <v>CAN</v>
      </c>
      <c r="F69" s="60">
        <v>2003</v>
      </c>
      <c r="G69" s="60" t="s">
        <v>4026</v>
      </c>
      <c r="H69" s="65">
        <v>3800</v>
      </c>
      <c r="I69" s="65">
        <v>3250</v>
      </c>
      <c r="J69" s="60" t="s">
        <v>4161</v>
      </c>
      <c r="K69" s="60">
        <v>31.502272000000001</v>
      </c>
      <c r="L69">
        <v>118.46516200000001</v>
      </c>
    </row>
    <row r="70" spans="1:12" x14ac:dyDescent="0.35">
      <c r="A70" s="60" t="s">
        <v>4165</v>
      </c>
      <c r="B70" s="60" t="s">
        <v>4166</v>
      </c>
      <c r="C70" s="60" t="s">
        <v>3008</v>
      </c>
      <c r="D70" s="61" t="s">
        <v>84</v>
      </c>
      <c r="E70" t="str">
        <f>VLOOKUP(Table10[[#This Row],[Country]],Countries!$A$1:$D$205,2,TRUE)</f>
        <v>CAN</v>
      </c>
      <c r="F70" s="60">
        <v>1970</v>
      </c>
      <c r="G70" s="60" t="s">
        <v>4026</v>
      </c>
      <c r="H70" s="65">
        <v>1260</v>
      </c>
      <c r="I70" s="65">
        <v>1200</v>
      </c>
      <c r="J70" s="60" t="s">
        <v>4049</v>
      </c>
      <c r="K70" s="60">
        <v>30.907561000000001</v>
      </c>
      <c r="L70">
        <v>117.77286599999999</v>
      </c>
    </row>
    <row r="71" spans="1:12" x14ac:dyDescent="0.35">
      <c r="A71" s="60" t="s">
        <v>4167</v>
      </c>
      <c r="B71" s="60" t="s">
        <v>4166</v>
      </c>
      <c r="C71" s="60" t="s">
        <v>3008</v>
      </c>
      <c r="D71" s="61" t="s">
        <v>84</v>
      </c>
      <c r="E71" t="str">
        <f>VLOOKUP(Table10[[#This Row],[Country]],Countries!$A$1:$D$205,2,TRUE)</f>
        <v>CAN</v>
      </c>
      <c r="F71" s="60">
        <v>2009</v>
      </c>
      <c r="G71" s="60" t="s">
        <v>4026</v>
      </c>
      <c r="H71" s="65">
        <v>1000</v>
      </c>
      <c r="I71" s="65">
        <v>1013</v>
      </c>
      <c r="J71" s="60" t="s">
        <v>4049</v>
      </c>
      <c r="K71" s="60">
        <v>31.062806999999999</v>
      </c>
      <c r="L71">
        <v>117.95601499999999</v>
      </c>
    </row>
    <row r="72" spans="1:12" x14ac:dyDescent="0.35">
      <c r="A72" s="60" t="s">
        <v>4168</v>
      </c>
      <c r="B72" s="60" t="s">
        <v>4169</v>
      </c>
      <c r="C72" s="60" t="s">
        <v>3008</v>
      </c>
      <c r="D72" s="61" t="s">
        <v>84</v>
      </c>
      <c r="E72" t="str">
        <f>VLOOKUP(Table10[[#This Row],[Country]],Countries!$A$1:$D$205,2,TRUE)</f>
        <v>CAN</v>
      </c>
      <c r="F72" s="60">
        <v>2003</v>
      </c>
      <c r="G72" s="60" t="s">
        <v>4026</v>
      </c>
      <c r="H72" s="65">
        <v>1500</v>
      </c>
      <c r="I72" s="65">
        <v>1980</v>
      </c>
      <c r="J72" s="60" t="s">
        <v>4049</v>
      </c>
      <c r="K72" s="60">
        <v>31.229893000000001</v>
      </c>
      <c r="L72">
        <v>118.15086700000001</v>
      </c>
    </row>
    <row r="73" spans="1:12" x14ac:dyDescent="0.35">
      <c r="A73" s="60" t="s">
        <v>4170</v>
      </c>
      <c r="B73" s="60" t="s">
        <v>4169</v>
      </c>
      <c r="C73" s="60" t="s">
        <v>3008</v>
      </c>
      <c r="D73" s="61" t="s">
        <v>84</v>
      </c>
      <c r="E73" t="str">
        <f>VLOOKUP(Table10[[#This Row],[Country]],Countries!$A$1:$D$205,2,TRUE)</f>
        <v>CAN</v>
      </c>
      <c r="F73" s="60">
        <v>2003</v>
      </c>
      <c r="G73" s="60" t="s">
        <v>4026</v>
      </c>
      <c r="H73" s="65">
        <v>2000</v>
      </c>
      <c r="I73" s="65">
        <v>938.83999999999992</v>
      </c>
      <c r="J73" s="60" t="s">
        <v>4049</v>
      </c>
      <c r="K73" s="60">
        <v>31.194504999999999</v>
      </c>
      <c r="L73">
        <v>118.06783299999999</v>
      </c>
    </row>
    <row r="74" spans="1:12" x14ac:dyDescent="0.35">
      <c r="A74" s="60" t="s">
        <v>4171</v>
      </c>
      <c r="B74" s="60" t="s">
        <v>4172</v>
      </c>
      <c r="C74" s="60" t="s">
        <v>3008</v>
      </c>
      <c r="D74" s="61" t="s">
        <v>84</v>
      </c>
      <c r="E74" t="str">
        <f>VLOOKUP(Table10[[#This Row],[Country]],Countries!$A$1:$D$205,2,TRUE)</f>
        <v>CAN</v>
      </c>
      <c r="F74" s="60">
        <v>2002</v>
      </c>
      <c r="G74" s="60" t="s">
        <v>4048</v>
      </c>
      <c r="H74" s="65">
        <v>1100</v>
      </c>
      <c r="I74" s="65" t="s">
        <v>4022</v>
      </c>
      <c r="J74" s="60" t="s">
        <v>4023</v>
      </c>
      <c r="K74" s="60">
        <v>31.246635000000001</v>
      </c>
      <c r="L74">
        <v>119.12044299999999</v>
      </c>
    </row>
    <row r="75" spans="1:12" x14ac:dyDescent="0.35">
      <c r="A75" s="60" t="s">
        <v>4173</v>
      </c>
      <c r="B75" s="60" t="s">
        <v>4172</v>
      </c>
      <c r="C75" s="60" t="s">
        <v>3008</v>
      </c>
      <c r="D75" s="61" t="s">
        <v>84</v>
      </c>
      <c r="E75" t="str">
        <f>VLOOKUP(Table10[[#This Row],[Country]],Countries!$A$1:$D$205,2,TRUE)</f>
        <v>CAN</v>
      </c>
      <c r="F75" s="60">
        <v>2022</v>
      </c>
      <c r="G75" s="60" t="s">
        <v>4026</v>
      </c>
      <c r="H75" s="65">
        <v>1000</v>
      </c>
      <c r="I75" s="65" t="s">
        <v>4022</v>
      </c>
      <c r="J75" s="60" t="s">
        <v>4023</v>
      </c>
      <c r="K75" s="60">
        <v>31.246635000000001</v>
      </c>
      <c r="L75">
        <v>119.12044299999999</v>
      </c>
    </row>
    <row r="76" spans="1:12" x14ac:dyDescent="0.35">
      <c r="A76" s="60" t="s">
        <v>4174</v>
      </c>
      <c r="B76" s="60" t="s">
        <v>4172</v>
      </c>
      <c r="C76" s="60" t="s">
        <v>3008</v>
      </c>
      <c r="D76" s="60" t="s">
        <v>84</v>
      </c>
      <c r="E76" t="str">
        <f>VLOOKUP(Table10[[#This Row],[Country]],Countries!$A$1:$D$205,2,TRUE)</f>
        <v>CAN</v>
      </c>
      <c r="F76" s="60">
        <v>2008</v>
      </c>
      <c r="G76" s="60" t="s">
        <v>4026</v>
      </c>
      <c r="H76" s="65">
        <v>500</v>
      </c>
      <c r="I76" s="65" t="s">
        <v>4022</v>
      </c>
      <c r="J76" s="60" t="s">
        <v>4023</v>
      </c>
      <c r="K76" s="60">
        <v>30.709057999999999</v>
      </c>
      <c r="L76">
        <v>118.436638</v>
      </c>
    </row>
    <row r="77" spans="1:12" x14ac:dyDescent="0.35">
      <c r="A77" s="60" t="s">
        <v>4175</v>
      </c>
      <c r="B77" s="60" t="s">
        <v>4172</v>
      </c>
      <c r="C77" s="60" t="s">
        <v>3008</v>
      </c>
      <c r="D77" s="60" t="s">
        <v>84</v>
      </c>
      <c r="E77" t="str">
        <f>VLOOKUP(Table10[[#This Row],[Country]],Countries!$A$1:$D$205,2,TRUE)</f>
        <v>CAN</v>
      </c>
      <c r="F77" s="60">
        <v>2024</v>
      </c>
      <c r="G77" s="60" t="s">
        <v>4037</v>
      </c>
      <c r="H77" s="65">
        <v>500</v>
      </c>
      <c r="I77" s="65" t="s">
        <v>4022</v>
      </c>
      <c r="J77" s="60" t="s">
        <v>4023</v>
      </c>
      <c r="K77" s="60">
        <v>30.709057999999999</v>
      </c>
      <c r="L77">
        <v>118.436638</v>
      </c>
    </row>
    <row r="78" spans="1:12" x14ac:dyDescent="0.35">
      <c r="A78" s="60" t="s">
        <v>4176</v>
      </c>
      <c r="B78" s="60" t="s">
        <v>4177</v>
      </c>
      <c r="C78" s="60" t="s">
        <v>4178</v>
      </c>
      <c r="D78" s="61" t="s">
        <v>84</v>
      </c>
      <c r="E78" t="str">
        <f>VLOOKUP(Table10[[#This Row],[Country]],Countries!$A$1:$D$205,2,TRUE)</f>
        <v>CAN</v>
      </c>
      <c r="F78" s="60">
        <v>1997</v>
      </c>
      <c r="G78" s="60" t="s">
        <v>4026</v>
      </c>
      <c r="H78" s="65">
        <v>8400</v>
      </c>
      <c r="I78" s="65">
        <v>7916.5</v>
      </c>
      <c r="J78" s="60" t="s">
        <v>4049</v>
      </c>
      <c r="K78" s="60">
        <v>29.790253</v>
      </c>
      <c r="L78">
        <v>107.040368</v>
      </c>
    </row>
    <row r="79" spans="1:12" x14ac:dyDescent="0.35">
      <c r="A79" s="60" t="s">
        <v>4179</v>
      </c>
      <c r="B79" s="60" t="s">
        <v>4180</v>
      </c>
      <c r="C79" s="60" t="s">
        <v>4178</v>
      </c>
      <c r="D79" s="61" t="s">
        <v>84</v>
      </c>
      <c r="E79" t="str">
        <f>VLOOKUP(Table10[[#This Row],[Country]],Countries!$A$1:$D$205,2,TRUE)</f>
        <v>CAN</v>
      </c>
      <c r="F79" s="60">
        <v>1997</v>
      </c>
      <c r="G79" s="60" t="s">
        <v>4026</v>
      </c>
      <c r="H79" s="65">
        <v>1300</v>
      </c>
      <c r="I79" s="65">
        <v>2200</v>
      </c>
      <c r="J79" s="60" t="s">
        <v>4049</v>
      </c>
      <c r="K79" s="60">
        <v>29.39798</v>
      </c>
      <c r="L79">
        <v>103.54253199999999</v>
      </c>
    </row>
    <row r="80" spans="1:12" x14ac:dyDescent="0.35">
      <c r="A80" s="60" t="s">
        <v>4181</v>
      </c>
      <c r="B80" s="60" t="s">
        <v>4180</v>
      </c>
      <c r="C80" s="60" t="s">
        <v>4178</v>
      </c>
      <c r="D80" s="61" t="s">
        <v>84</v>
      </c>
      <c r="E80" t="str">
        <f>VLOOKUP(Table10[[#This Row],[Country]],Countries!$A$1:$D$205,2,TRUE)</f>
        <v>CAN</v>
      </c>
      <c r="F80" s="60">
        <v>2022</v>
      </c>
      <c r="G80" s="60" t="s">
        <v>4021</v>
      </c>
      <c r="H80" s="65" t="s">
        <v>4022</v>
      </c>
      <c r="I80" s="65">
        <v>1100</v>
      </c>
      <c r="J80" s="60" t="s">
        <v>4111</v>
      </c>
      <c r="K80" s="60">
        <v>29.39798</v>
      </c>
      <c r="L80">
        <v>103.54253199999999</v>
      </c>
    </row>
    <row r="81" spans="1:12" x14ac:dyDescent="0.35">
      <c r="A81" s="60" t="s">
        <v>4182</v>
      </c>
      <c r="B81" s="60" t="s">
        <v>4183</v>
      </c>
      <c r="C81" s="60" t="s">
        <v>4178</v>
      </c>
      <c r="D81" s="61" t="s">
        <v>84</v>
      </c>
      <c r="E81" t="str">
        <f>VLOOKUP(Table10[[#This Row],[Country]],Countries!$A$1:$D$205,2,TRUE)</f>
        <v>CAN</v>
      </c>
      <c r="F81" s="60">
        <v>2008</v>
      </c>
      <c r="G81" s="60" t="s">
        <v>4026</v>
      </c>
      <c r="H81" s="65">
        <v>1010</v>
      </c>
      <c r="I81" s="65" t="s">
        <v>4036</v>
      </c>
      <c r="J81" s="60" t="s">
        <v>4023</v>
      </c>
      <c r="K81" s="60">
        <v>29.440055999999998</v>
      </c>
      <c r="L81">
        <v>105.741929</v>
      </c>
    </row>
    <row r="82" spans="1:12" x14ac:dyDescent="0.35">
      <c r="A82" s="60" t="s">
        <v>4184</v>
      </c>
      <c r="B82" s="60" t="s">
        <v>4183</v>
      </c>
      <c r="C82" s="60" t="s">
        <v>4178</v>
      </c>
      <c r="D82" s="61" t="s">
        <v>84</v>
      </c>
      <c r="E82" t="str">
        <f>VLOOKUP(Table10[[#This Row],[Country]],Countries!$A$1:$D$205,2,TRUE)</f>
        <v>CAN</v>
      </c>
      <c r="F82" s="60">
        <v>2023</v>
      </c>
      <c r="G82" s="60" t="s">
        <v>4037</v>
      </c>
      <c r="H82" s="65">
        <v>1010</v>
      </c>
      <c r="I82" s="65" t="s">
        <v>4036</v>
      </c>
      <c r="J82" s="60" t="s">
        <v>4023</v>
      </c>
      <c r="K82" s="60">
        <v>29.440055999999998</v>
      </c>
      <c r="L82">
        <v>105.741929</v>
      </c>
    </row>
    <row r="83" spans="1:12" x14ac:dyDescent="0.35">
      <c r="A83" s="60" t="s">
        <v>4185</v>
      </c>
      <c r="B83" s="60" t="s">
        <v>4186</v>
      </c>
      <c r="C83" s="60" t="s">
        <v>4178</v>
      </c>
      <c r="D83" s="61" t="s">
        <v>84</v>
      </c>
      <c r="E83" t="str">
        <f>VLOOKUP(Table10[[#This Row],[Country]],Countries!$A$1:$D$205,2,TRUE)</f>
        <v>CAN</v>
      </c>
      <c r="F83" s="60">
        <v>2003</v>
      </c>
      <c r="G83" s="60" t="s">
        <v>4026</v>
      </c>
      <c r="H83" s="65">
        <v>700</v>
      </c>
      <c r="I83" s="65" t="s">
        <v>4022</v>
      </c>
      <c r="J83" s="60" t="s">
        <v>4023</v>
      </c>
      <c r="K83" s="60">
        <v>29.836162999999999</v>
      </c>
      <c r="L83">
        <v>106.98813800000001</v>
      </c>
    </row>
    <row r="84" spans="1:12" x14ac:dyDescent="0.35">
      <c r="A84" s="60" t="s">
        <v>4187</v>
      </c>
      <c r="B84" s="60" t="s">
        <v>4188</v>
      </c>
      <c r="C84" s="60" t="s">
        <v>4189</v>
      </c>
      <c r="D84" s="61" t="s">
        <v>84</v>
      </c>
      <c r="E84" t="str">
        <f>VLOOKUP(Table10[[#This Row],[Country]],Countries!$A$1:$D$205,2,TRUE)</f>
        <v>CAN</v>
      </c>
      <c r="F84" s="60">
        <v>2006</v>
      </c>
      <c r="G84" s="60" t="s">
        <v>4026</v>
      </c>
      <c r="H84" s="65">
        <v>1150</v>
      </c>
      <c r="I84" s="65">
        <v>1130</v>
      </c>
      <c r="J84" s="60" t="s">
        <v>4049</v>
      </c>
      <c r="K84" s="60">
        <v>26.491308</v>
      </c>
      <c r="L84">
        <v>119.63624</v>
      </c>
    </row>
    <row r="85" spans="1:12" x14ac:dyDescent="0.35">
      <c r="A85" s="60" t="s">
        <v>4190</v>
      </c>
      <c r="B85" s="60" t="s">
        <v>4188</v>
      </c>
      <c r="C85" s="60" t="s">
        <v>4189</v>
      </c>
      <c r="D85" s="61" t="s">
        <v>84</v>
      </c>
      <c r="E85" t="str">
        <f>VLOOKUP(Table10[[#This Row],[Country]],Countries!$A$1:$D$205,2,TRUE)</f>
        <v>CAN</v>
      </c>
      <c r="F85" s="60" t="s">
        <v>4036</v>
      </c>
      <c r="G85" s="60" t="s">
        <v>4037</v>
      </c>
      <c r="H85" s="65">
        <v>1150</v>
      </c>
      <c r="I85" s="65">
        <v>1130</v>
      </c>
      <c r="J85" s="60" t="s">
        <v>4049</v>
      </c>
      <c r="K85" s="60">
        <v>26.491308</v>
      </c>
      <c r="L85">
        <v>119.63624</v>
      </c>
    </row>
    <row r="86" spans="1:12" x14ac:dyDescent="0.35">
      <c r="A86" s="60" t="s">
        <v>4191</v>
      </c>
      <c r="B86" s="60" t="s">
        <v>4188</v>
      </c>
      <c r="C86" s="60" t="s">
        <v>4189</v>
      </c>
      <c r="D86" s="61" t="s">
        <v>84</v>
      </c>
      <c r="E86" t="str">
        <f>VLOOKUP(Table10[[#This Row],[Country]],Countries!$A$1:$D$205,2,TRUE)</f>
        <v>CAN</v>
      </c>
      <c r="F86" s="60">
        <v>2014</v>
      </c>
      <c r="G86" s="60" t="s">
        <v>4026</v>
      </c>
      <c r="H86" s="65">
        <v>1800</v>
      </c>
      <c r="I86" s="65" t="s">
        <v>4036</v>
      </c>
      <c r="J86" s="60" t="s">
        <v>4049</v>
      </c>
      <c r="K86" s="60">
        <v>26.483815</v>
      </c>
      <c r="L86">
        <v>119.67104999999999</v>
      </c>
    </row>
    <row r="87" spans="1:12" x14ac:dyDescent="0.35">
      <c r="A87" s="60" t="s">
        <v>4192</v>
      </c>
      <c r="B87" s="60" t="s">
        <v>4188</v>
      </c>
      <c r="C87" s="60" t="s">
        <v>4189</v>
      </c>
      <c r="D87" s="61" t="s">
        <v>84</v>
      </c>
      <c r="E87" t="str">
        <f>VLOOKUP(Table10[[#This Row],[Country]],Countries!$A$1:$D$205,2,TRUE)</f>
        <v>CAN</v>
      </c>
      <c r="F87" s="60">
        <v>2023</v>
      </c>
      <c r="G87" s="60" t="s">
        <v>4037</v>
      </c>
      <c r="H87" s="65">
        <v>1250</v>
      </c>
      <c r="I87" s="65" t="s">
        <v>4022</v>
      </c>
      <c r="J87" s="60" t="s">
        <v>4163</v>
      </c>
      <c r="K87" s="60">
        <v>26.483815</v>
      </c>
      <c r="L87">
        <v>119.67104999999999</v>
      </c>
    </row>
    <row r="88" spans="1:12" x14ac:dyDescent="0.35">
      <c r="A88" s="60" t="s">
        <v>4193</v>
      </c>
      <c r="B88" s="60" t="s">
        <v>4188</v>
      </c>
      <c r="C88" s="60" t="s">
        <v>4189</v>
      </c>
      <c r="D88" s="61" t="s">
        <v>84</v>
      </c>
      <c r="E88" t="str">
        <f>VLOOKUP(Table10[[#This Row],[Country]],Countries!$A$1:$D$205,2,TRUE)</f>
        <v>CAN</v>
      </c>
      <c r="F88" s="60">
        <v>2022</v>
      </c>
      <c r="G88" s="60" t="s">
        <v>4026</v>
      </c>
      <c r="H88" s="65" t="s">
        <v>4022</v>
      </c>
      <c r="I88" s="65">
        <v>1180</v>
      </c>
      <c r="J88" s="60" t="s">
        <v>4111</v>
      </c>
      <c r="K88" s="60">
        <v>26.483815</v>
      </c>
      <c r="L88">
        <v>119.67104999999999</v>
      </c>
    </row>
    <row r="89" spans="1:12" x14ac:dyDescent="0.35">
      <c r="A89" s="60" t="s">
        <v>4194</v>
      </c>
      <c r="B89" s="60" t="s">
        <v>4188</v>
      </c>
      <c r="C89" s="60" t="s">
        <v>4189</v>
      </c>
      <c r="D89" s="61" t="s">
        <v>84</v>
      </c>
      <c r="E89" t="str">
        <f>VLOOKUP(Table10[[#This Row],[Country]],Countries!$A$1:$D$205,2,TRUE)</f>
        <v>CAN</v>
      </c>
      <c r="F89" s="60">
        <v>2021</v>
      </c>
      <c r="G89" s="60" t="s">
        <v>4026</v>
      </c>
      <c r="H89" s="65" t="s">
        <v>4022</v>
      </c>
      <c r="I89" s="65">
        <v>1150</v>
      </c>
      <c r="J89" s="60" t="s">
        <v>4111</v>
      </c>
      <c r="K89" s="60">
        <v>26.483815</v>
      </c>
      <c r="L89">
        <v>119.67104999999999</v>
      </c>
    </row>
    <row r="90" spans="1:12" x14ac:dyDescent="0.35">
      <c r="A90" s="60" t="s">
        <v>4195</v>
      </c>
      <c r="B90" s="60" t="s">
        <v>4188</v>
      </c>
      <c r="C90" s="60" t="s">
        <v>4189</v>
      </c>
      <c r="D90" s="61" t="s">
        <v>84</v>
      </c>
      <c r="E90" t="str">
        <f>VLOOKUP(Table10[[#This Row],[Country]],Countries!$A$1:$D$205,2,TRUE)</f>
        <v>CAN</v>
      </c>
      <c r="F90" s="60" t="s">
        <v>4036</v>
      </c>
      <c r="G90" s="60" t="s">
        <v>4021</v>
      </c>
      <c r="H90" s="65">
        <v>1400</v>
      </c>
      <c r="I90" s="65" t="s">
        <v>4022</v>
      </c>
      <c r="J90" s="60" t="s">
        <v>4163</v>
      </c>
      <c r="K90" s="60">
        <v>26.483815</v>
      </c>
      <c r="L90">
        <v>119.67104999999999</v>
      </c>
    </row>
    <row r="91" spans="1:12" x14ac:dyDescent="0.35">
      <c r="A91" s="60" t="s">
        <v>4196</v>
      </c>
      <c r="B91" s="60" t="s">
        <v>4188</v>
      </c>
      <c r="C91" s="60" t="s">
        <v>4189</v>
      </c>
      <c r="D91" s="61" t="s">
        <v>84</v>
      </c>
      <c r="E91" t="str">
        <f>VLOOKUP(Table10[[#This Row],[Country]],Countries!$A$1:$D$205,2,TRUE)</f>
        <v>CAN</v>
      </c>
      <c r="F91" s="60">
        <v>1993</v>
      </c>
      <c r="G91" s="60" t="s">
        <v>4026</v>
      </c>
      <c r="H91" s="65">
        <v>800</v>
      </c>
      <c r="I91" s="65" t="s">
        <v>4022</v>
      </c>
      <c r="J91" s="60" t="s">
        <v>4023</v>
      </c>
      <c r="K91" s="60">
        <v>25.959230000000002</v>
      </c>
      <c r="L91">
        <v>119.452018</v>
      </c>
    </row>
    <row r="92" spans="1:12" x14ac:dyDescent="0.35">
      <c r="A92" s="60" t="s">
        <v>4197</v>
      </c>
      <c r="B92" s="60" t="s">
        <v>4188</v>
      </c>
      <c r="C92" s="60" t="s">
        <v>4189</v>
      </c>
      <c r="D92" s="61" t="s">
        <v>84</v>
      </c>
      <c r="E92" t="str">
        <f>VLOOKUP(Table10[[#This Row],[Country]],Countries!$A$1:$D$205,2,TRUE)</f>
        <v>CAN</v>
      </c>
      <c r="F92" s="60">
        <v>2011</v>
      </c>
      <c r="G92" s="60" t="s">
        <v>4026</v>
      </c>
      <c r="H92" s="65">
        <v>3410</v>
      </c>
      <c r="I92" s="65">
        <v>2520</v>
      </c>
      <c r="J92" s="60" t="s">
        <v>4049</v>
      </c>
      <c r="K92" s="60">
        <v>26.487469999999998</v>
      </c>
      <c r="L92">
        <v>119.654461</v>
      </c>
    </row>
    <row r="93" spans="1:12" x14ac:dyDescent="0.35">
      <c r="A93" s="60" t="s">
        <v>4198</v>
      </c>
      <c r="B93" s="60" t="s">
        <v>4188</v>
      </c>
      <c r="C93" s="60" t="s">
        <v>4189</v>
      </c>
      <c r="D93" s="61" t="s">
        <v>84</v>
      </c>
      <c r="E93" t="str">
        <f>VLOOKUP(Table10[[#This Row],[Country]],Countries!$A$1:$D$205,2,TRUE)</f>
        <v>CAN</v>
      </c>
      <c r="F93" s="60">
        <v>2022</v>
      </c>
      <c r="G93" s="60" t="s">
        <v>4021</v>
      </c>
      <c r="H93" s="65">
        <v>3220</v>
      </c>
      <c r="I93" s="65">
        <v>2241</v>
      </c>
      <c r="J93" s="60" t="s">
        <v>4049</v>
      </c>
      <c r="K93" s="60">
        <v>26.487469999999998</v>
      </c>
      <c r="L93">
        <v>119.654461</v>
      </c>
    </row>
    <row r="94" spans="1:12" x14ac:dyDescent="0.35">
      <c r="A94" s="60" t="s">
        <v>4199</v>
      </c>
      <c r="B94" s="60" t="s">
        <v>4188</v>
      </c>
      <c r="C94" s="60" t="s">
        <v>4189</v>
      </c>
      <c r="D94" s="61" t="s">
        <v>84</v>
      </c>
      <c r="E94" t="str">
        <f>VLOOKUP(Table10[[#This Row],[Country]],Countries!$A$1:$D$205,2,TRUE)</f>
        <v>CAN</v>
      </c>
      <c r="F94" s="60">
        <v>2018</v>
      </c>
      <c r="G94" s="60" t="s">
        <v>4026</v>
      </c>
      <c r="H94" s="65">
        <v>2200</v>
      </c>
      <c r="I94" s="65">
        <v>1750</v>
      </c>
      <c r="J94" s="60" t="s">
        <v>4049</v>
      </c>
      <c r="K94" s="60">
        <v>25.737777000000001</v>
      </c>
      <c r="L94">
        <v>119.59223900000001</v>
      </c>
    </row>
    <row r="95" spans="1:12" x14ac:dyDescent="0.35">
      <c r="A95" s="60" t="s">
        <v>4200</v>
      </c>
      <c r="B95" s="60" t="s">
        <v>4188</v>
      </c>
      <c r="C95" s="60" t="s">
        <v>4189</v>
      </c>
      <c r="D95" s="61" t="s">
        <v>84</v>
      </c>
      <c r="E95" t="str">
        <f>VLOOKUP(Table10[[#This Row],[Country]],Countries!$A$1:$D$205,2,TRUE)</f>
        <v>CAN</v>
      </c>
      <c r="F95" s="60" t="s">
        <v>4036</v>
      </c>
      <c r="G95" s="60" t="s">
        <v>4021</v>
      </c>
      <c r="H95" s="65">
        <v>2299.9999999999995</v>
      </c>
      <c r="I95" s="65">
        <v>1750</v>
      </c>
      <c r="J95" s="60" t="s">
        <v>4049</v>
      </c>
      <c r="K95" s="60">
        <v>25.737777000000001</v>
      </c>
      <c r="L95">
        <v>119.59223900000001</v>
      </c>
    </row>
    <row r="96" spans="1:12" x14ac:dyDescent="0.35">
      <c r="A96" s="60" t="s">
        <v>4200</v>
      </c>
      <c r="B96" s="60" t="s">
        <v>4188</v>
      </c>
      <c r="C96" s="60" t="s">
        <v>4189</v>
      </c>
      <c r="D96" s="61" t="s">
        <v>84</v>
      </c>
      <c r="E96" t="str">
        <f>VLOOKUP(Table10[[#This Row],[Country]],Countries!$A$1:$D$205,2,TRUE)</f>
        <v>CAN</v>
      </c>
      <c r="F96" s="60" t="s">
        <v>4036</v>
      </c>
      <c r="G96" s="60" t="s">
        <v>4021</v>
      </c>
      <c r="H96" s="65">
        <v>1495</v>
      </c>
      <c r="I96" s="65">
        <v>3480</v>
      </c>
      <c r="J96" s="60" t="s">
        <v>4049</v>
      </c>
      <c r="K96" s="60">
        <v>25.737777000000001</v>
      </c>
      <c r="L96">
        <v>119.59223900000001</v>
      </c>
    </row>
    <row r="97" spans="1:12" x14ac:dyDescent="0.35">
      <c r="A97" s="60" t="s">
        <v>4201</v>
      </c>
      <c r="B97" s="60" t="s">
        <v>4188</v>
      </c>
      <c r="C97" s="60" t="s">
        <v>4189</v>
      </c>
      <c r="D97" s="61" t="s">
        <v>84</v>
      </c>
      <c r="E97" t="str">
        <f>VLOOKUP(Table10[[#This Row],[Country]],Countries!$A$1:$D$205,2,TRUE)</f>
        <v>CAN</v>
      </c>
      <c r="F97" s="60" t="s">
        <v>4036</v>
      </c>
      <c r="G97" s="60" t="s">
        <v>4037</v>
      </c>
      <c r="H97" s="65">
        <v>1433</v>
      </c>
      <c r="I97" s="65" t="s">
        <v>4036</v>
      </c>
      <c r="J97" s="60" t="s">
        <v>4163</v>
      </c>
      <c r="K97" s="60">
        <v>25.737777000000001</v>
      </c>
      <c r="L97">
        <v>119.59223900000001</v>
      </c>
    </row>
    <row r="98" spans="1:12" x14ac:dyDescent="0.35">
      <c r="A98" s="60" t="s">
        <v>4202</v>
      </c>
      <c r="B98" s="60" t="s">
        <v>4188</v>
      </c>
      <c r="C98" s="60" t="s">
        <v>4189</v>
      </c>
      <c r="D98" s="61" t="s">
        <v>84</v>
      </c>
      <c r="E98" t="str">
        <f>VLOOKUP(Table10[[#This Row],[Country]],Countries!$A$1:$D$205,2,TRUE)</f>
        <v>CAN</v>
      </c>
      <c r="F98" s="60">
        <v>2021</v>
      </c>
      <c r="G98" s="60" t="s">
        <v>4026</v>
      </c>
      <c r="H98" s="65">
        <v>2000</v>
      </c>
      <c r="I98" s="65" t="s">
        <v>4022</v>
      </c>
      <c r="J98" s="60" t="s">
        <v>4023</v>
      </c>
      <c r="K98" s="60">
        <v>25.995100999999998</v>
      </c>
      <c r="L98">
        <v>119.49572499999999</v>
      </c>
    </row>
    <row r="99" spans="1:12" x14ac:dyDescent="0.35">
      <c r="A99" s="60" t="s">
        <v>4203</v>
      </c>
      <c r="B99" s="60" t="s">
        <v>4204</v>
      </c>
      <c r="C99" s="60" t="s">
        <v>4189</v>
      </c>
      <c r="D99" s="61" t="s">
        <v>84</v>
      </c>
      <c r="E99" t="str">
        <f>VLOOKUP(Table10[[#This Row],[Country]],Countries!$A$1:$D$205,2,TRUE)</f>
        <v>CAN</v>
      </c>
      <c r="F99" s="60" t="s">
        <v>4036</v>
      </c>
      <c r="G99" s="60" t="s">
        <v>4021</v>
      </c>
      <c r="H99" s="65">
        <v>1210</v>
      </c>
      <c r="I99" s="65">
        <v>1203</v>
      </c>
      <c r="J99" s="60" t="s">
        <v>4049</v>
      </c>
      <c r="K99" s="60">
        <v>25.357408</v>
      </c>
      <c r="L99">
        <v>117.36209599999999</v>
      </c>
    </row>
    <row r="100" spans="1:12" x14ac:dyDescent="0.35">
      <c r="A100" s="60" t="s">
        <v>4205</v>
      </c>
      <c r="B100" s="60" t="s">
        <v>4206</v>
      </c>
      <c r="C100" s="60" t="s">
        <v>4189</v>
      </c>
      <c r="D100" s="61" t="s">
        <v>84</v>
      </c>
      <c r="E100" t="str">
        <f>VLOOKUP(Table10[[#This Row],[Country]],Countries!$A$1:$D$205,2,TRUE)</f>
        <v>CAN</v>
      </c>
      <c r="F100" s="60">
        <v>2011</v>
      </c>
      <c r="G100" s="60" t="s">
        <v>4026</v>
      </c>
      <c r="H100" s="65">
        <v>3000</v>
      </c>
      <c r="I100" s="65">
        <v>1080</v>
      </c>
      <c r="J100" s="60" t="s">
        <v>4027</v>
      </c>
      <c r="K100" s="60">
        <v>26.768924999999999</v>
      </c>
      <c r="L100">
        <v>119.765203</v>
      </c>
    </row>
    <row r="101" spans="1:12" x14ac:dyDescent="0.35">
      <c r="A101" s="60" t="s">
        <v>4207</v>
      </c>
      <c r="B101" s="60" t="s">
        <v>4206</v>
      </c>
      <c r="C101" s="60" t="s">
        <v>4189</v>
      </c>
      <c r="D101" s="61" t="s">
        <v>84</v>
      </c>
      <c r="E101" t="str">
        <f>VLOOKUP(Table10[[#This Row],[Country]],Countries!$A$1:$D$205,2,TRUE)</f>
        <v>CAN</v>
      </c>
      <c r="F101" s="60">
        <v>2008</v>
      </c>
      <c r="G101" s="60" t="s">
        <v>4026</v>
      </c>
      <c r="H101" s="65">
        <v>600</v>
      </c>
      <c r="I101" s="65" t="s">
        <v>4022</v>
      </c>
      <c r="J101" s="60" t="s">
        <v>4023</v>
      </c>
      <c r="K101" s="60">
        <v>26.769500000000001</v>
      </c>
      <c r="L101">
        <v>119.738519</v>
      </c>
    </row>
    <row r="102" spans="1:12" x14ac:dyDescent="0.35">
      <c r="A102" s="60" t="s">
        <v>4208</v>
      </c>
      <c r="B102" s="60" t="s">
        <v>4206</v>
      </c>
      <c r="C102" s="60" t="s">
        <v>4189</v>
      </c>
      <c r="D102" s="61" t="s">
        <v>84</v>
      </c>
      <c r="E102" t="str">
        <f>VLOOKUP(Table10[[#This Row],[Country]],Countries!$A$1:$D$205,2,TRUE)</f>
        <v>CAN</v>
      </c>
      <c r="F102" s="60">
        <v>2021</v>
      </c>
      <c r="G102" s="60" t="s">
        <v>4026</v>
      </c>
      <c r="H102" s="65">
        <v>1725</v>
      </c>
      <c r="I102" s="65" t="s">
        <v>4022</v>
      </c>
      <c r="J102" s="60" t="s">
        <v>4023</v>
      </c>
      <c r="K102" s="60">
        <v>27.224477</v>
      </c>
      <c r="L102">
        <v>120.328828</v>
      </c>
    </row>
    <row r="103" spans="1:12" x14ac:dyDescent="0.35">
      <c r="A103" s="60" t="s">
        <v>4209</v>
      </c>
      <c r="B103" s="60" t="s">
        <v>4206</v>
      </c>
      <c r="C103" s="60" t="s">
        <v>4189</v>
      </c>
      <c r="D103" s="61" t="s">
        <v>84</v>
      </c>
      <c r="E103" t="str">
        <f>VLOOKUP(Table10[[#This Row],[Country]],Countries!$A$1:$D$205,2,TRUE)</f>
        <v>CAN</v>
      </c>
      <c r="F103" s="60" t="s">
        <v>4036</v>
      </c>
      <c r="G103" s="60" t="s">
        <v>4037</v>
      </c>
      <c r="H103" s="65" t="s">
        <v>4022</v>
      </c>
      <c r="I103" s="65">
        <v>1460</v>
      </c>
      <c r="J103" s="60" t="s">
        <v>4111</v>
      </c>
      <c r="K103" s="60">
        <v>27.224477</v>
      </c>
      <c r="L103">
        <v>120.328828</v>
      </c>
    </row>
    <row r="104" spans="1:12" x14ac:dyDescent="0.35">
      <c r="A104" s="60" t="s">
        <v>4210</v>
      </c>
      <c r="B104" s="60" t="s">
        <v>4206</v>
      </c>
      <c r="C104" s="60" t="s">
        <v>4189</v>
      </c>
      <c r="D104" s="61" t="s">
        <v>84</v>
      </c>
      <c r="E104" t="str">
        <f>VLOOKUP(Table10[[#This Row],[Country]],Countries!$A$1:$D$205,2,TRUE)</f>
        <v>CAN</v>
      </c>
      <c r="F104" s="60">
        <v>2023</v>
      </c>
      <c r="G104" s="60" t="s">
        <v>4021</v>
      </c>
      <c r="H104" s="65">
        <v>958</v>
      </c>
      <c r="I104" s="65" t="s">
        <v>4022</v>
      </c>
      <c r="J104" s="60" t="s">
        <v>4023</v>
      </c>
      <c r="K104" s="60">
        <v>26.779301</v>
      </c>
      <c r="L104">
        <v>119.76793499999999</v>
      </c>
    </row>
    <row r="105" spans="1:12" x14ac:dyDescent="0.35">
      <c r="A105" s="60" t="s">
        <v>4211</v>
      </c>
      <c r="B105" s="60" t="s">
        <v>4206</v>
      </c>
      <c r="C105" s="60" t="s">
        <v>4189</v>
      </c>
      <c r="D105" s="61" t="s">
        <v>84</v>
      </c>
      <c r="E105" t="str">
        <f>VLOOKUP(Table10[[#This Row],[Country]],Countries!$A$1:$D$205,2,TRUE)</f>
        <v>CAN</v>
      </c>
      <c r="F105" s="60">
        <v>1999</v>
      </c>
      <c r="G105" s="60" t="s">
        <v>4026</v>
      </c>
      <c r="H105" s="65">
        <v>500</v>
      </c>
      <c r="I105" s="65" t="s">
        <v>4022</v>
      </c>
      <c r="J105" s="60" t="s">
        <v>4023</v>
      </c>
      <c r="K105" s="60">
        <v>26.961516</v>
      </c>
      <c r="L105">
        <v>119.65427200000001</v>
      </c>
    </row>
    <row r="106" spans="1:12" x14ac:dyDescent="0.35">
      <c r="A106" s="60" t="s">
        <v>4212</v>
      </c>
      <c r="B106" s="60" t="s">
        <v>4206</v>
      </c>
      <c r="C106" s="60" t="s">
        <v>4189</v>
      </c>
      <c r="D106" s="61" t="s">
        <v>84</v>
      </c>
      <c r="E106" t="str">
        <f>VLOOKUP(Table10[[#This Row],[Country]],Countries!$A$1:$D$205,2,TRUE)</f>
        <v>CAN</v>
      </c>
      <c r="F106" s="60">
        <v>2026</v>
      </c>
      <c r="G106" s="60" t="s">
        <v>4037</v>
      </c>
      <c r="H106" s="65">
        <v>825</v>
      </c>
      <c r="I106" s="65" t="s">
        <v>4022</v>
      </c>
      <c r="J106" s="60" t="s">
        <v>4023</v>
      </c>
      <c r="K106" s="60">
        <v>26.961516</v>
      </c>
      <c r="L106">
        <v>119.65427200000001</v>
      </c>
    </row>
    <row r="107" spans="1:12" x14ac:dyDescent="0.35">
      <c r="A107" s="60" t="s">
        <v>4213</v>
      </c>
      <c r="B107" s="60" t="s">
        <v>4214</v>
      </c>
      <c r="C107" s="60" t="s">
        <v>4189</v>
      </c>
      <c r="D107" s="61" t="s">
        <v>84</v>
      </c>
      <c r="E107" t="str">
        <f>VLOOKUP(Table10[[#This Row],[Country]],Countries!$A$1:$D$205,2,TRUE)</f>
        <v>CAN</v>
      </c>
      <c r="F107" s="60">
        <v>2001</v>
      </c>
      <c r="G107" s="60" t="s">
        <v>4026</v>
      </c>
      <c r="H107" s="65">
        <v>2550</v>
      </c>
      <c r="I107" s="65">
        <v>1560.8999999999999</v>
      </c>
      <c r="J107" s="60" t="s">
        <v>4049</v>
      </c>
      <c r="K107" s="60">
        <v>25.244395999999998</v>
      </c>
      <c r="L107">
        <v>118.029905</v>
      </c>
    </row>
    <row r="108" spans="1:12" x14ac:dyDescent="0.35">
      <c r="A108" s="60" t="s">
        <v>4215</v>
      </c>
      <c r="B108" s="60" t="s">
        <v>4214</v>
      </c>
      <c r="C108" s="60" t="s">
        <v>4189</v>
      </c>
      <c r="D108" s="61" t="s">
        <v>84</v>
      </c>
      <c r="E108" t="str">
        <f>VLOOKUP(Table10[[#This Row],[Country]],Countries!$A$1:$D$205,2,TRUE)</f>
        <v>CAN</v>
      </c>
      <c r="F108" s="60">
        <v>2024</v>
      </c>
      <c r="G108" s="60" t="s">
        <v>4037</v>
      </c>
      <c r="H108" s="65">
        <v>2300</v>
      </c>
      <c r="I108" s="65" t="s">
        <v>4022</v>
      </c>
      <c r="J108" s="60" t="s">
        <v>4163</v>
      </c>
      <c r="K108" s="60">
        <v>25.244395999999998</v>
      </c>
      <c r="L108">
        <v>118.029905</v>
      </c>
    </row>
    <row r="109" spans="1:12" x14ac:dyDescent="0.35">
      <c r="A109" s="60" t="s">
        <v>4216</v>
      </c>
      <c r="B109" s="60" t="s">
        <v>4217</v>
      </c>
      <c r="C109" s="60" t="s">
        <v>4189</v>
      </c>
      <c r="D109" s="61" t="s">
        <v>84</v>
      </c>
      <c r="E109" t="str">
        <f>VLOOKUP(Table10[[#This Row],[Country]],Countries!$A$1:$D$205,2,TRUE)</f>
        <v>CAN</v>
      </c>
      <c r="F109" s="60">
        <v>2001</v>
      </c>
      <c r="G109" s="60" t="s">
        <v>4026</v>
      </c>
      <c r="H109" s="65">
        <v>6800</v>
      </c>
      <c r="I109" s="65">
        <v>5100</v>
      </c>
      <c r="J109" s="60" t="s">
        <v>4049</v>
      </c>
      <c r="K109" s="60">
        <v>26.261109000000001</v>
      </c>
      <c r="L109">
        <v>117.614709</v>
      </c>
    </row>
    <row r="110" spans="1:12" x14ac:dyDescent="0.35">
      <c r="A110" s="60" t="s">
        <v>4218</v>
      </c>
      <c r="B110" s="60" t="s">
        <v>4217</v>
      </c>
      <c r="C110" s="60" t="s">
        <v>4189</v>
      </c>
      <c r="D110" s="61" t="s">
        <v>84</v>
      </c>
      <c r="E110" t="str">
        <f>VLOOKUP(Table10[[#This Row],[Country]],Countries!$A$1:$D$205,2,TRUE)</f>
        <v>CAN</v>
      </c>
      <c r="F110" s="60">
        <v>2023</v>
      </c>
      <c r="G110" s="60" t="s">
        <v>4021</v>
      </c>
      <c r="H110" s="65" t="s">
        <v>4022</v>
      </c>
      <c r="I110" s="65">
        <v>1659</v>
      </c>
      <c r="J110" s="60" t="s">
        <v>4111</v>
      </c>
      <c r="K110" s="60">
        <v>26.261109000000001</v>
      </c>
      <c r="L110">
        <v>117.614709</v>
      </c>
    </row>
    <row r="111" spans="1:12" x14ac:dyDescent="0.35">
      <c r="A111" s="60" t="s">
        <v>4218</v>
      </c>
      <c r="B111" s="60" t="s">
        <v>4217</v>
      </c>
      <c r="C111" s="60" t="s">
        <v>4189</v>
      </c>
      <c r="D111" s="61" t="s">
        <v>84</v>
      </c>
      <c r="E111" t="str">
        <f>VLOOKUP(Table10[[#This Row],[Country]],Countries!$A$1:$D$205,2,TRUE)</f>
        <v>CAN</v>
      </c>
      <c r="F111" s="60">
        <v>2025</v>
      </c>
      <c r="G111" s="60" t="s">
        <v>4021</v>
      </c>
      <c r="H111" s="65" t="s">
        <v>4022</v>
      </c>
      <c r="I111" s="65">
        <v>1659</v>
      </c>
      <c r="J111" s="60" t="s">
        <v>4111</v>
      </c>
      <c r="K111" s="60">
        <v>26.261109000000001</v>
      </c>
      <c r="L111">
        <v>117.614709</v>
      </c>
    </row>
    <row r="112" spans="1:12" x14ac:dyDescent="0.35">
      <c r="A112" s="60" t="s">
        <v>4219</v>
      </c>
      <c r="B112" s="60" t="s">
        <v>4220</v>
      </c>
      <c r="C112" s="60" t="s">
        <v>4189</v>
      </c>
      <c r="D112" s="61" t="s">
        <v>84</v>
      </c>
      <c r="E112" t="str">
        <f>VLOOKUP(Table10[[#This Row],[Country]],Countries!$A$1:$D$205,2,TRUE)</f>
        <v>CAN</v>
      </c>
      <c r="F112" s="60">
        <v>1999</v>
      </c>
      <c r="G112" s="60" t="s">
        <v>4026</v>
      </c>
      <c r="H112" s="65">
        <v>4620</v>
      </c>
      <c r="I112" s="65">
        <v>2660</v>
      </c>
      <c r="J112" s="60" t="s">
        <v>4161</v>
      </c>
      <c r="K112" s="60">
        <v>24.635769</v>
      </c>
      <c r="L112">
        <v>117.603677</v>
      </c>
    </row>
    <row r="113" spans="1:12" x14ac:dyDescent="0.35">
      <c r="A113" s="60" t="s">
        <v>4221</v>
      </c>
      <c r="B113" s="60" t="s">
        <v>4220</v>
      </c>
      <c r="C113" s="60" t="s">
        <v>4189</v>
      </c>
      <c r="D113" s="61" t="s">
        <v>84</v>
      </c>
      <c r="E113" t="str">
        <f>VLOOKUP(Table10[[#This Row],[Country]],Countries!$A$1:$D$205,2,TRUE)</f>
        <v>CAN</v>
      </c>
      <c r="F113" s="60">
        <v>2023</v>
      </c>
      <c r="G113" s="60" t="s">
        <v>4026</v>
      </c>
      <c r="H113" s="65">
        <v>788</v>
      </c>
      <c r="I113" s="65" t="s">
        <v>4022</v>
      </c>
      <c r="J113" s="60" t="s">
        <v>4023</v>
      </c>
      <c r="K113" s="60">
        <v>24.635769</v>
      </c>
      <c r="L113">
        <v>117.603677</v>
      </c>
    </row>
    <row r="114" spans="1:12" x14ac:dyDescent="0.35">
      <c r="A114" s="60" t="s">
        <v>4221</v>
      </c>
      <c r="B114" s="60" t="s">
        <v>4220</v>
      </c>
      <c r="C114" s="60" t="s">
        <v>4189</v>
      </c>
      <c r="D114" s="61" t="s">
        <v>84</v>
      </c>
      <c r="E114" t="str">
        <f>VLOOKUP(Table10[[#This Row],[Country]],Countries!$A$1:$D$205,2,TRUE)</f>
        <v>CAN</v>
      </c>
      <c r="F114" s="60">
        <v>2024</v>
      </c>
      <c r="G114" s="60" t="s">
        <v>4037</v>
      </c>
      <c r="H114" s="65">
        <v>788</v>
      </c>
      <c r="I114" s="65" t="s">
        <v>4022</v>
      </c>
      <c r="J114" s="60" t="s">
        <v>4023</v>
      </c>
      <c r="K114" s="60">
        <v>24.635769</v>
      </c>
      <c r="L114">
        <v>117.603677</v>
      </c>
    </row>
    <row r="115" spans="1:12" x14ac:dyDescent="0.35">
      <c r="A115" s="60" t="s">
        <v>4222</v>
      </c>
      <c r="B115" s="60" t="s">
        <v>4220</v>
      </c>
      <c r="C115" s="60" t="s">
        <v>4189</v>
      </c>
      <c r="D115" s="61" t="s">
        <v>84</v>
      </c>
      <c r="E115" t="str">
        <f>VLOOKUP(Table10[[#This Row],[Country]],Countries!$A$1:$D$205,2,TRUE)</f>
        <v>CAN</v>
      </c>
      <c r="F115" s="60">
        <v>2007</v>
      </c>
      <c r="G115" s="60" t="s">
        <v>4026</v>
      </c>
      <c r="H115" s="65">
        <v>720</v>
      </c>
      <c r="I115" s="65" t="s">
        <v>4022</v>
      </c>
      <c r="J115" s="60" t="s">
        <v>4023</v>
      </c>
      <c r="K115" s="60">
        <v>24.472439000000001</v>
      </c>
      <c r="L115">
        <v>117.94884999999999</v>
      </c>
    </row>
    <row r="116" spans="1:12" x14ac:dyDescent="0.35">
      <c r="A116" s="60" t="s">
        <v>4223</v>
      </c>
      <c r="B116" s="60" t="s">
        <v>4224</v>
      </c>
      <c r="C116" s="60" t="s">
        <v>3013</v>
      </c>
      <c r="D116" s="61" t="s">
        <v>84</v>
      </c>
      <c r="E116" t="str">
        <f>VLOOKUP(Table10[[#This Row],[Country]],Countries!$A$1:$D$205,2,TRUE)</f>
        <v>CAN</v>
      </c>
      <c r="F116" s="60">
        <v>1999</v>
      </c>
      <c r="G116" s="60" t="s">
        <v>4026</v>
      </c>
      <c r="H116" s="65">
        <v>6500</v>
      </c>
      <c r="I116" s="65">
        <v>6000</v>
      </c>
      <c r="J116" s="60" t="s">
        <v>4161</v>
      </c>
      <c r="K116" s="60">
        <v>39.812120999999998</v>
      </c>
      <c r="L116">
        <v>98.295554999999993</v>
      </c>
    </row>
    <row r="117" spans="1:12" x14ac:dyDescent="0.35">
      <c r="A117" s="60" t="s">
        <v>4225</v>
      </c>
      <c r="B117" s="60" t="s">
        <v>4224</v>
      </c>
      <c r="C117" s="60" t="s">
        <v>3013</v>
      </c>
      <c r="D117" s="61" t="s">
        <v>84</v>
      </c>
      <c r="E117" t="str">
        <f>VLOOKUP(Table10[[#This Row],[Country]],Countries!$A$1:$D$205,2,TRUE)</f>
        <v>CAN</v>
      </c>
      <c r="F117" s="60">
        <v>2024</v>
      </c>
      <c r="G117" s="60" t="s">
        <v>4037</v>
      </c>
      <c r="H117" s="65" t="s">
        <v>4022</v>
      </c>
      <c r="I117" s="65">
        <v>1760</v>
      </c>
      <c r="J117" s="60" t="s">
        <v>4111</v>
      </c>
      <c r="K117" s="60">
        <v>39.812120999999998</v>
      </c>
      <c r="L117">
        <v>98.295554999999993</v>
      </c>
    </row>
    <row r="118" spans="1:12" x14ac:dyDescent="0.35">
      <c r="A118" s="60" t="s">
        <v>4226</v>
      </c>
      <c r="B118" s="60" t="s">
        <v>3014</v>
      </c>
      <c r="C118" s="60" t="s">
        <v>3013</v>
      </c>
      <c r="D118" s="61" t="s">
        <v>84</v>
      </c>
      <c r="E118" t="str">
        <f>VLOOKUP(Table10[[#This Row],[Country]],Countries!$A$1:$D$205,2,TRUE)</f>
        <v>CAN</v>
      </c>
      <c r="F118" s="60">
        <v>2003</v>
      </c>
      <c r="G118" s="60" t="s">
        <v>4026</v>
      </c>
      <c r="H118" s="65">
        <v>4000</v>
      </c>
      <c r="I118" s="65">
        <v>3600</v>
      </c>
      <c r="J118" s="60" t="s">
        <v>4049</v>
      </c>
      <c r="K118" s="60">
        <v>36.033645999999997</v>
      </c>
      <c r="L118">
        <v>104.035535</v>
      </c>
    </row>
    <row r="119" spans="1:12" x14ac:dyDescent="0.35">
      <c r="A119" s="60" t="s">
        <v>4227</v>
      </c>
      <c r="B119" s="60" t="s">
        <v>3014</v>
      </c>
      <c r="C119" s="60" t="s">
        <v>3013</v>
      </c>
      <c r="D119" s="61" t="s">
        <v>84</v>
      </c>
      <c r="E119" t="str">
        <f>VLOOKUP(Table10[[#This Row],[Country]],Countries!$A$1:$D$205,2,TRUE)</f>
        <v>CAN</v>
      </c>
      <c r="F119" s="60">
        <v>2001</v>
      </c>
      <c r="G119" s="60" t="s">
        <v>4026</v>
      </c>
      <c r="H119" s="65">
        <v>1060</v>
      </c>
      <c r="I119" s="65">
        <v>710</v>
      </c>
      <c r="J119" s="60" t="s">
        <v>4161</v>
      </c>
      <c r="K119" s="60">
        <v>36.488866000000002</v>
      </c>
      <c r="L119">
        <v>103.922</v>
      </c>
    </row>
    <row r="120" spans="1:12" x14ac:dyDescent="0.35">
      <c r="A120" s="60" t="s">
        <v>4228</v>
      </c>
      <c r="B120" s="60" t="s">
        <v>3014</v>
      </c>
      <c r="C120" s="60" t="s">
        <v>3013</v>
      </c>
      <c r="D120" s="61" t="s">
        <v>84</v>
      </c>
      <c r="E120" t="str">
        <f>VLOOKUP(Table10[[#This Row],[Country]],Countries!$A$1:$D$205,2,TRUE)</f>
        <v>CAN</v>
      </c>
      <c r="F120" s="60">
        <v>2024</v>
      </c>
      <c r="G120" s="60" t="s">
        <v>4037</v>
      </c>
      <c r="H120" s="65" t="s">
        <v>4022</v>
      </c>
      <c r="I120" s="65">
        <v>1150</v>
      </c>
      <c r="J120" s="60" t="s">
        <v>4111</v>
      </c>
      <c r="K120" s="60">
        <v>36.488866000000002</v>
      </c>
      <c r="L120">
        <v>103.922</v>
      </c>
    </row>
    <row r="121" spans="1:12" x14ac:dyDescent="0.35">
      <c r="A121" s="60" t="s">
        <v>4229</v>
      </c>
      <c r="B121" s="60" t="s">
        <v>4230</v>
      </c>
      <c r="C121" s="60" t="s">
        <v>3016</v>
      </c>
      <c r="D121" s="61" t="s">
        <v>84</v>
      </c>
      <c r="E121" t="str">
        <f>VLOOKUP(Table10[[#This Row],[Country]],Countries!$A$1:$D$205,2,TRUE)</f>
        <v>CAN</v>
      </c>
      <c r="F121" s="60">
        <v>2001</v>
      </c>
      <c r="G121" s="60" t="s">
        <v>4026</v>
      </c>
      <c r="H121" s="65">
        <v>3219.9999999999995</v>
      </c>
      <c r="I121" s="65" t="s">
        <v>4036</v>
      </c>
      <c r="J121" s="60" t="s">
        <v>4023</v>
      </c>
      <c r="K121" s="60">
        <v>23.126822000000001</v>
      </c>
      <c r="L121">
        <v>113.50581699999999</v>
      </c>
    </row>
    <row r="122" spans="1:12" x14ac:dyDescent="0.35">
      <c r="A122" s="60" t="s">
        <v>4231</v>
      </c>
      <c r="B122" s="60" t="s">
        <v>4232</v>
      </c>
      <c r="C122" s="60" t="s">
        <v>3016</v>
      </c>
      <c r="D122" s="61" t="s">
        <v>84</v>
      </c>
      <c r="E122" t="str">
        <f>VLOOKUP(Table10[[#This Row],[Country]],Countries!$A$1:$D$205,2,TRUE)</f>
        <v>CAN</v>
      </c>
      <c r="F122" s="60">
        <v>1974</v>
      </c>
      <c r="G122" s="60" t="s">
        <v>4026</v>
      </c>
      <c r="H122" s="65">
        <v>1200</v>
      </c>
      <c r="I122" s="65" t="s">
        <v>4036</v>
      </c>
      <c r="J122" s="60" t="s">
        <v>4023</v>
      </c>
      <c r="K122" s="60">
        <v>23.693659</v>
      </c>
      <c r="L122">
        <v>114.743048</v>
      </c>
    </row>
    <row r="123" spans="1:12" x14ac:dyDescent="0.35">
      <c r="A123" s="60" t="s">
        <v>4233</v>
      </c>
      <c r="B123" s="60" t="s">
        <v>4232</v>
      </c>
      <c r="C123" s="60" t="s">
        <v>3016</v>
      </c>
      <c r="D123" s="61" t="s">
        <v>84</v>
      </c>
      <c r="E123" t="str">
        <f>VLOOKUP(Table10[[#This Row],[Country]],Countries!$A$1:$D$205,2,TRUE)</f>
        <v>CAN</v>
      </c>
      <c r="F123" s="60" t="s">
        <v>4036</v>
      </c>
      <c r="G123" s="60" t="s">
        <v>4021</v>
      </c>
      <c r="H123" s="65">
        <v>900</v>
      </c>
      <c r="I123" s="65" t="s">
        <v>4022</v>
      </c>
      <c r="J123" s="60" t="s">
        <v>4023</v>
      </c>
      <c r="K123" s="60">
        <v>23.411594000000001</v>
      </c>
      <c r="L123">
        <v>114.935509</v>
      </c>
    </row>
    <row r="124" spans="1:12" x14ac:dyDescent="0.35">
      <c r="A124" s="60" t="s">
        <v>4234</v>
      </c>
      <c r="B124" s="60" t="s">
        <v>4232</v>
      </c>
      <c r="C124" s="60" t="s">
        <v>3016</v>
      </c>
      <c r="D124" s="61" t="s">
        <v>84</v>
      </c>
      <c r="E124" t="str">
        <f>VLOOKUP(Table10[[#This Row],[Country]],Countries!$A$1:$D$205,2,TRUE)</f>
        <v>CAN</v>
      </c>
      <c r="F124" s="60">
        <v>2011</v>
      </c>
      <c r="G124" s="60" t="s">
        <v>4026</v>
      </c>
      <c r="H124" s="65">
        <v>1400</v>
      </c>
      <c r="I124" s="65" t="s">
        <v>4036</v>
      </c>
      <c r="J124" s="60" t="s">
        <v>4023</v>
      </c>
      <c r="K124" s="60">
        <v>24.497959999999999</v>
      </c>
      <c r="L124">
        <v>114.93888</v>
      </c>
    </row>
    <row r="125" spans="1:12" x14ac:dyDescent="0.35">
      <c r="A125" s="60" t="s">
        <v>4235</v>
      </c>
      <c r="B125" s="60" t="s">
        <v>4236</v>
      </c>
      <c r="C125" s="60" t="s">
        <v>3016</v>
      </c>
      <c r="D125" s="61" t="s">
        <v>84</v>
      </c>
      <c r="E125" t="str">
        <f>VLOOKUP(Table10[[#This Row],[Country]],Countries!$A$1:$D$205,2,TRUE)</f>
        <v>CAN</v>
      </c>
      <c r="F125" s="60">
        <v>2020</v>
      </c>
      <c r="G125" s="60" t="s">
        <v>4026</v>
      </c>
      <c r="H125" s="65">
        <v>1200</v>
      </c>
      <c r="I125" s="65">
        <v>1200</v>
      </c>
      <c r="J125" s="60" t="s">
        <v>4049</v>
      </c>
      <c r="K125" s="60">
        <v>23.454666</v>
      </c>
      <c r="L125">
        <v>116.49848299999999</v>
      </c>
    </row>
    <row r="126" spans="1:12" x14ac:dyDescent="0.35">
      <c r="A126" s="60" t="s">
        <v>4237</v>
      </c>
      <c r="B126" s="60" t="s">
        <v>4238</v>
      </c>
      <c r="C126" s="60" t="s">
        <v>3016</v>
      </c>
      <c r="D126" s="61" t="s">
        <v>84</v>
      </c>
      <c r="E126" t="str">
        <f>VLOOKUP(Table10[[#This Row],[Country]],Countries!$A$1:$D$205,2,TRUE)</f>
        <v>CAN</v>
      </c>
      <c r="F126" s="60">
        <v>1997</v>
      </c>
      <c r="G126" s="60" t="s">
        <v>4026</v>
      </c>
      <c r="H126" s="65">
        <v>8000</v>
      </c>
      <c r="I126" s="65">
        <v>6500</v>
      </c>
      <c r="J126" s="60" t="s">
        <v>4049</v>
      </c>
      <c r="K126" s="60">
        <v>24.708231999999999</v>
      </c>
      <c r="L126">
        <v>113.635898</v>
      </c>
    </row>
    <row r="127" spans="1:12" x14ac:dyDescent="0.35">
      <c r="A127" s="60" t="s">
        <v>4239</v>
      </c>
      <c r="B127" s="60" t="s">
        <v>4240</v>
      </c>
      <c r="C127" s="60" t="s">
        <v>3016</v>
      </c>
      <c r="D127" s="61" t="s">
        <v>84</v>
      </c>
      <c r="E127" t="str">
        <f>VLOOKUP(Table10[[#This Row],[Country]],Countries!$A$1:$D$205,2,TRUE)</f>
        <v>CAN</v>
      </c>
      <c r="F127" s="60">
        <v>2010</v>
      </c>
      <c r="G127" s="60" t="s">
        <v>4026</v>
      </c>
      <c r="H127" s="65">
        <v>2000</v>
      </c>
      <c r="I127" s="65" t="s">
        <v>4036</v>
      </c>
      <c r="J127" s="60" t="s">
        <v>4023</v>
      </c>
      <c r="K127" s="60">
        <v>21.697068999999999</v>
      </c>
      <c r="L127">
        <v>111.84884099999999</v>
      </c>
    </row>
    <row r="128" spans="1:12" x14ac:dyDescent="0.35">
      <c r="A128" s="60" t="s">
        <v>4241</v>
      </c>
      <c r="B128" s="60" t="s">
        <v>4240</v>
      </c>
      <c r="C128" s="60" t="s">
        <v>3016</v>
      </c>
      <c r="D128" s="61" t="s">
        <v>84</v>
      </c>
      <c r="E128" t="str">
        <f>VLOOKUP(Table10[[#This Row],[Country]],Countries!$A$1:$D$205,2,TRUE)</f>
        <v>CAN</v>
      </c>
      <c r="F128" s="60">
        <v>2007</v>
      </c>
      <c r="G128" s="60" t="s">
        <v>4026</v>
      </c>
      <c r="H128" s="65">
        <v>2400</v>
      </c>
      <c r="I128" s="65">
        <v>2200</v>
      </c>
      <c r="J128" s="60" t="s">
        <v>4049</v>
      </c>
      <c r="K128" s="60">
        <v>22.084904000000002</v>
      </c>
      <c r="L128">
        <v>111.64218700000001</v>
      </c>
    </row>
    <row r="129" spans="1:12" x14ac:dyDescent="0.35">
      <c r="A129" s="60" t="s">
        <v>4242</v>
      </c>
      <c r="B129" s="60" t="s">
        <v>4240</v>
      </c>
      <c r="C129" s="60" t="s">
        <v>3016</v>
      </c>
      <c r="D129" s="61" t="s">
        <v>84</v>
      </c>
      <c r="E129" t="str">
        <f>VLOOKUP(Table10[[#This Row],[Country]],Countries!$A$1:$D$205,2,TRUE)</f>
        <v>CAN</v>
      </c>
      <c r="F129" s="60">
        <v>2015</v>
      </c>
      <c r="G129" s="60" t="s">
        <v>4026</v>
      </c>
      <c r="H129" s="65" t="s">
        <v>4022</v>
      </c>
      <c r="I129" s="65">
        <v>700</v>
      </c>
      <c r="J129" s="60" t="s">
        <v>4036</v>
      </c>
      <c r="K129" s="60">
        <v>22.099139999999998</v>
      </c>
      <c r="L129">
        <v>111.665479</v>
      </c>
    </row>
    <row r="130" spans="1:12" x14ac:dyDescent="0.35">
      <c r="A130" s="60" t="s">
        <v>4243</v>
      </c>
      <c r="B130" s="60" t="s">
        <v>4244</v>
      </c>
      <c r="C130" s="60" t="s">
        <v>3016</v>
      </c>
      <c r="D130" s="60" t="s">
        <v>84</v>
      </c>
      <c r="E130" t="str">
        <f>VLOOKUP(Table10[[#This Row],[Country]],Countries!$A$1:$D$205,2,TRUE)</f>
        <v>CAN</v>
      </c>
      <c r="F130" s="60">
        <v>2010</v>
      </c>
      <c r="G130" s="60" t="s">
        <v>4026</v>
      </c>
      <c r="H130" s="65">
        <v>2000</v>
      </c>
      <c r="I130" s="65">
        <v>800</v>
      </c>
      <c r="J130" s="60" t="s">
        <v>4161</v>
      </c>
      <c r="K130" s="60">
        <v>24.262452</v>
      </c>
      <c r="L130">
        <v>113.72819800000001</v>
      </c>
    </row>
    <row r="131" spans="1:12" x14ac:dyDescent="0.35">
      <c r="A131" s="60" t="s">
        <v>4245</v>
      </c>
      <c r="B131" s="60" t="s">
        <v>4246</v>
      </c>
      <c r="C131" s="60" t="s">
        <v>3016</v>
      </c>
      <c r="D131" s="61" t="s">
        <v>84</v>
      </c>
      <c r="E131" t="str">
        <f>VLOOKUP(Table10[[#This Row],[Country]],Countries!$A$1:$D$205,2,TRUE)</f>
        <v>CAN</v>
      </c>
      <c r="F131" s="60">
        <v>2021</v>
      </c>
      <c r="G131" s="60" t="s">
        <v>4026</v>
      </c>
      <c r="H131" s="65">
        <v>1200</v>
      </c>
      <c r="I131" s="65" t="s">
        <v>4022</v>
      </c>
      <c r="J131" s="60" t="s">
        <v>4023</v>
      </c>
      <c r="K131" s="60">
        <v>22.888729000000001</v>
      </c>
      <c r="L131">
        <v>112.263081</v>
      </c>
    </row>
    <row r="132" spans="1:12" x14ac:dyDescent="0.35">
      <c r="A132" s="60" t="s">
        <v>4247</v>
      </c>
      <c r="B132" s="60" t="s">
        <v>4246</v>
      </c>
      <c r="C132" s="60" t="s">
        <v>3016</v>
      </c>
      <c r="D132" s="61" t="s">
        <v>84</v>
      </c>
      <c r="E132" t="str">
        <f>VLOOKUP(Table10[[#This Row],[Country]],Countries!$A$1:$D$205,2,TRUE)</f>
        <v>CAN</v>
      </c>
      <c r="F132" s="60">
        <v>2022</v>
      </c>
      <c r="G132" s="60" t="s">
        <v>4026</v>
      </c>
      <c r="H132" s="65">
        <v>1200</v>
      </c>
      <c r="I132" s="65" t="s">
        <v>4022</v>
      </c>
      <c r="J132" s="60" t="s">
        <v>4023</v>
      </c>
      <c r="K132" s="60">
        <v>22.888729000000001</v>
      </c>
      <c r="L132">
        <v>112.263081</v>
      </c>
    </row>
    <row r="133" spans="1:12" x14ac:dyDescent="0.35">
      <c r="A133" s="60" t="s">
        <v>4247</v>
      </c>
      <c r="B133" s="60" t="s">
        <v>4246</v>
      </c>
      <c r="C133" s="60" t="s">
        <v>3016</v>
      </c>
      <c r="D133" s="61" t="s">
        <v>84</v>
      </c>
      <c r="E133" t="str">
        <f>VLOOKUP(Table10[[#This Row],[Country]],Countries!$A$1:$D$205,2,TRUE)</f>
        <v>CAN</v>
      </c>
      <c r="F133" s="60" t="s">
        <v>4036</v>
      </c>
      <c r="G133" s="60" t="s">
        <v>4037</v>
      </c>
      <c r="H133" s="65">
        <v>1200</v>
      </c>
      <c r="I133" s="65" t="s">
        <v>4022</v>
      </c>
      <c r="J133" s="60" t="s">
        <v>4023</v>
      </c>
      <c r="K133" s="60">
        <v>22.888729000000001</v>
      </c>
      <c r="L133">
        <v>112.263081</v>
      </c>
    </row>
    <row r="134" spans="1:12" x14ac:dyDescent="0.35">
      <c r="A134" s="60" t="s">
        <v>4248</v>
      </c>
      <c r="B134" s="60" t="s">
        <v>4246</v>
      </c>
      <c r="C134" s="60" t="s">
        <v>3016</v>
      </c>
      <c r="D134" s="61" t="s">
        <v>84</v>
      </c>
      <c r="E134" t="str">
        <f>VLOOKUP(Table10[[#This Row],[Country]],Countries!$A$1:$D$205,2,TRUE)</f>
        <v>CAN</v>
      </c>
      <c r="F134" s="60">
        <v>2023</v>
      </c>
      <c r="G134" s="60" t="s">
        <v>4107</v>
      </c>
      <c r="H134" s="65">
        <v>1200</v>
      </c>
      <c r="I134" s="65" t="s">
        <v>4022</v>
      </c>
      <c r="J134" s="60" t="s">
        <v>4023</v>
      </c>
      <c r="K134" s="60">
        <v>22.907613999999999</v>
      </c>
      <c r="L134">
        <v>112.224952</v>
      </c>
    </row>
    <row r="135" spans="1:12" x14ac:dyDescent="0.35">
      <c r="A135" s="60" t="s">
        <v>4249</v>
      </c>
      <c r="B135" s="60" t="s">
        <v>4250</v>
      </c>
      <c r="C135" s="60" t="s">
        <v>3016</v>
      </c>
      <c r="D135" s="61" t="s">
        <v>84</v>
      </c>
      <c r="E135" t="str">
        <f>VLOOKUP(Table10[[#This Row],[Country]],Countries!$A$1:$D$205,2,TRUE)</f>
        <v>CAN</v>
      </c>
      <c r="F135" s="60">
        <v>2011</v>
      </c>
      <c r="G135" s="60" t="s">
        <v>4026</v>
      </c>
      <c r="H135" s="65">
        <v>12528</v>
      </c>
      <c r="I135" s="65">
        <v>12250</v>
      </c>
      <c r="J135" s="60" t="s">
        <v>4049</v>
      </c>
      <c r="K135" s="60">
        <v>21.056035000000001</v>
      </c>
      <c r="L135">
        <v>110.48657</v>
      </c>
    </row>
    <row r="136" spans="1:12" x14ac:dyDescent="0.35">
      <c r="A136" s="60" t="s">
        <v>4251</v>
      </c>
      <c r="B136" s="60" t="s">
        <v>4250</v>
      </c>
      <c r="C136" s="60" t="s">
        <v>3016</v>
      </c>
      <c r="D136" s="61" t="s">
        <v>84</v>
      </c>
      <c r="E136" t="str">
        <f>VLOOKUP(Table10[[#This Row],[Country]],Countries!$A$1:$D$205,2,TRUE)</f>
        <v>CAN</v>
      </c>
      <c r="F136" s="60">
        <v>2023</v>
      </c>
      <c r="G136" s="60" t="s">
        <v>4021</v>
      </c>
      <c r="H136" s="65" t="s">
        <v>4022</v>
      </c>
      <c r="I136" s="65">
        <v>856</v>
      </c>
      <c r="J136" s="60" t="s">
        <v>4030</v>
      </c>
      <c r="K136" s="60">
        <v>21.056035000000001</v>
      </c>
      <c r="L136">
        <v>110.48657</v>
      </c>
    </row>
    <row r="137" spans="1:12" x14ac:dyDescent="0.35">
      <c r="A137" s="60" t="s">
        <v>4252</v>
      </c>
      <c r="B137" s="60" t="s">
        <v>4253</v>
      </c>
      <c r="C137" s="60" t="s">
        <v>3016</v>
      </c>
      <c r="D137" s="61" t="s">
        <v>84</v>
      </c>
      <c r="E137" t="str">
        <f>VLOOKUP(Table10[[#This Row],[Country]],Countries!$A$1:$D$205,2,TRUE)</f>
        <v>CAN</v>
      </c>
      <c r="F137" s="60">
        <v>2002</v>
      </c>
      <c r="G137" s="60" t="s">
        <v>4026</v>
      </c>
      <c r="H137" s="65">
        <v>3050</v>
      </c>
      <c r="I137" s="65">
        <v>2200</v>
      </c>
      <c r="J137" s="60" t="s">
        <v>4049</v>
      </c>
      <c r="K137" s="60">
        <v>21.960920000000002</v>
      </c>
      <c r="L137">
        <v>113.198718</v>
      </c>
    </row>
    <row r="138" spans="1:12" x14ac:dyDescent="0.35">
      <c r="A138" s="60" t="s">
        <v>4254</v>
      </c>
      <c r="B138" s="60" t="s">
        <v>3022</v>
      </c>
      <c r="C138" s="60" t="s">
        <v>4255</v>
      </c>
      <c r="D138" s="61" t="s">
        <v>84</v>
      </c>
      <c r="E138" t="str">
        <f>VLOOKUP(Table10[[#This Row],[Country]],Countries!$A$1:$D$205,2,TRUE)</f>
        <v>CAN</v>
      </c>
      <c r="F138" s="60">
        <v>2009</v>
      </c>
      <c r="G138" s="60" t="s">
        <v>4026</v>
      </c>
      <c r="H138" s="65">
        <v>3400</v>
      </c>
      <c r="I138" s="65">
        <v>1190.7999999999997</v>
      </c>
      <c r="J138" s="60" t="s">
        <v>4027</v>
      </c>
      <c r="K138" s="60">
        <v>21.519924</v>
      </c>
      <c r="L138">
        <v>109.506427</v>
      </c>
    </row>
    <row r="139" spans="1:12" x14ac:dyDescent="0.35">
      <c r="A139" s="60" t="s">
        <v>4256</v>
      </c>
      <c r="B139" s="60" t="s">
        <v>4257</v>
      </c>
      <c r="C139" s="60" t="s">
        <v>4255</v>
      </c>
      <c r="D139" s="61" t="s">
        <v>84</v>
      </c>
      <c r="E139" t="str">
        <f>VLOOKUP(Table10[[#This Row],[Country]],Countries!$A$1:$D$205,2,TRUE)</f>
        <v>CAN</v>
      </c>
      <c r="F139" s="60">
        <v>2003</v>
      </c>
      <c r="G139" s="60" t="s">
        <v>4026</v>
      </c>
      <c r="H139" s="65">
        <v>6000</v>
      </c>
      <c r="I139" s="65">
        <v>5000</v>
      </c>
      <c r="J139" s="60" t="s">
        <v>4049</v>
      </c>
      <c r="K139" s="60">
        <v>21.687636999999999</v>
      </c>
      <c r="L139">
        <v>108.412344</v>
      </c>
    </row>
    <row r="140" spans="1:12" x14ac:dyDescent="0.35">
      <c r="A140" s="60" t="s">
        <v>4258</v>
      </c>
      <c r="B140" s="60" t="s">
        <v>4257</v>
      </c>
      <c r="C140" s="60" t="s">
        <v>4255</v>
      </c>
      <c r="D140" s="61" t="s">
        <v>84</v>
      </c>
      <c r="E140" t="str">
        <f>VLOOKUP(Table10[[#This Row],[Country]],Countries!$A$1:$D$205,2,TRUE)</f>
        <v>CAN</v>
      </c>
      <c r="F140" s="60">
        <v>2022</v>
      </c>
      <c r="G140" s="60" t="s">
        <v>4021</v>
      </c>
      <c r="H140" s="65">
        <v>6383</v>
      </c>
      <c r="I140" s="65">
        <v>4540</v>
      </c>
      <c r="J140" s="60" t="s">
        <v>4049</v>
      </c>
      <c r="K140" s="60">
        <v>21.687636999999999</v>
      </c>
      <c r="L140">
        <v>108.412344</v>
      </c>
    </row>
    <row r="141" spans="1:12" x14ac:dyDescent="0.35">
      <c r="A141" s="60" t="s">
        <v>4259</v>
      </c>
      <c r="B141" s="60" t="s">
        <v>4257</v>
      </c>
      <c r="C141" s="60" t="s">
        <v>4255</v>
      </c>
      <c r="D141" s="61" t="s">
        <v>84</v>
      </c>
      <c r="E141" t="str">
        <f>VLOOKUP(Table10[[#This Row],[Country]],Countries!$A$1:$D$205,2,TRUE)</f>
        <v>CAN</v>
      </c>
      <c r="F141" s="60">
        <v>2020</v>
      </c>
      <c r="G141" s="60" t="s">
        <v>4026</v>
      </c>
      <c r="H141" s="65">
        <v>9200</v>
      </c>
      <c r="I141" s="65">
        <v>6080</v>
      </c>
      <c r="J141" s="60" t="s">
        <v>4049</v>
      </c>
      <c r="K141" s="60">
        <v>21.580722999999999</v>
      </c>
      <c r="L141">
        <v>108.400896</v>
      </c>
    </row>
    <row r="142" spans="1:12" x14ac:dyDescent="0.35">
      <c r="A142" s="60" t="s">
        <v>4260</v>
      </c>
      <c r="B142" s="60" t="s">
        <v>4257</v>
      </c>
      <c r="C142" s="60" t="s">
        <v>4255</v>
      </c>
      <c r="D142" s="61" t="s">
        <v>84</v>
      </c>
      <c r="E142" t="str">
        <f>VLOOKUP(Table10[[#This Row],[Country]],Countries!$A$1:$D$205,2,TRUE)</f>
        <v>CAN</v>
      </c>
      <c r="F142" s="60" t="s">
        <v>4036</v>
      </c>
      <c r="G142" s="60" t="s">
        <v>4037</v>
      </c>
      <c r="H142" s="65">
        <v>2300</v>
      </c>
      <c r="I142" s="65">
        <v>2800</v>
      </c>
      <c r="J142" s="60" t="s">
        <v>4049</v>
      </c>
      <c r="K142" s="60">
        <v>21.580722999999999</v>
      </c>
      <c r="L142">
        <v>108.400896</v>
      </c>
    </row>
    <row r="143" spans="1:12" x14ac:dyDescent="0.35">
      <c r="A143" s="60" t="s">
        <v>4261</v>
      </c>
      <c r="B143" s="60" t="s">
        <v>4257</v>
      </c>
      <c r="C143" s="60" t="s">
        <v>4255</v>
      </c>
      <c r="D143" s="61" t="s">
        <v>84</v>
      </c>
      <c r="E143" t="str">
        <f>VLOOKUP(Table10[[#This Row],[Country]],Countries!$A$1:$D$205,2,TRUE)</f>
        <v>CAN</v>
      </c>
      <c r="F143" s="60" t="s">
        <v>4036</v>
      </c>
      <c r="G143" s="60" t="s">
        <v>4037</v>
      </c>
      <c r="H143" s="65">
        <v>4000</v>
      </c>
      <c r="I143" s="65">
        <v>5008</v>
      </c>
      <c r="J143" s="60" t="s">
        <v>4049</v>
      </c>
      <c r="K143" s="60">
        <v>21.646525</v>
      </c>
      <c r="L143">
        <v>108.36958199999999</v>
      </c>
    </row>
    <row r="144" spans="1:12" x14ac:dyDescent="0.35">
      <c r="A144" s="60" t="s">
        <v>4262</v>
      </c>
      <c r="B144" s="60" t="s">
        <v>4263</v>
      </c>
      <c r="C144" s="60" t="s">
        <v>4255</v>
      </c>
      <c r="D144" s="61" t="s">
        <v>84</v>
      </c>
      <c r="E144" t="str">
        <f>VLOOKUP(Table10[[#This Row],[Country]],Countries!$A$1:$D$205,2,TRUE)</f>
        <v>CAN</v>
      </c>
      <c r="F144" s="60">
        <v>2003</v>
      </c>
      <c r="G144" s="60" t="s">
        <v>4026</v>
      </c>
      <c r="H144" s="65">
        <v>2600</v>
      </c>
      <c r="I144" s="65">
        <v>1660</v>
      </c>
      <c r="J144" s="60" t="s">
        <v>4049</v>
      </c>
      <c r="K144" s="60">
        <v>23.088182</v>
      </c>
      <c r="L144">
        <v>109.634638</v>
      </c>
    </row>
    <row r="145" spans="1:12" x14ac:dyDescent="0.35">
      <c r="A145" s="60" t="s">
        <v>4264</v>
      </c>
      <c r="B145" s="60" t="s">
        <v>4263</v>
      </c>
      <c r="C145" s="60" t="s">
        <v>4255</v>
      </c>
      <c r="D145" s="61" t="s">
        <v>84</v>
      </c>
      <c r="E145" t="str">
        <f>VLOOKUP(Table10[[#This Row],[Country]],Countries!$A$1:$D$205,2,TRUE)</f>
        <v>CAN</v>
      </c>
      <c r="F145" s="60">
        <v>2025</v>
      </c>
      <c r="G145" s="60" t="s">
        <v>4037</v>
      </c>
      <c r="H145" s="65" t="s">
        <v>4022</v>
      </c>
      <c r="I145" s="65">
        <v>1743</v>
      </c>
      <c r="J145" s="60" t="s">
        <v>4111</v>
      </c>
      <c r="K145" s="60">
        <v>23.088182</v>
      </c>
      <c r="L145">
        <v>109.634638</v>
      </c>
    </row>
    <row r="146" spans="1:12" x14ac:dyDescent="0.35">
      <c r="A146" s="60" t="s">
        <v>4265</v>
      </c>
      <c r="B146" s="60" t="s">
        <v>4263</v>
      </c>
      <c r="C146" s="60" t="s">
        <v>4255</v>
      </c>
      <c r="D146" s="61" t="s">
        <v>84</v>
      </c>
      <c r="E146" t="str">
        <f>VLOOKUP(Table10[[#This Row],[Country]],Countries!$A$1:$D$205,2,TRUE)</f>
        <v>CAN</v>
      </c>
      <c r="F146" s="60">
        <v>2018</v>
      </c>
      <c r="G146" s="60" t="s">
        <v>4026</v>
      </c>
      <c r="H146" s="65">
        <v>1200</v>
      </c>
      <c r="I146" s="65" t="s">
        <v>4022</v>
      </c>
      <c r="J146" s="60" t="s">
        <v>4023</v>
      </c>
      <c r="K146" s="60">
        <v>23.089502</v>
      </c>
      <c r="L146">
        <v>109.63938</v>
      </c>
    </row>
    <row r="147" spans="1:12" x14ac:dyDescent="0.35">
      <c r="A147" s="60" t="s">
        <v>4266</v>
      </c>
      <c r="B147" s="60" t="s">
        <v>4267</v>
      </c>
      <c r="C147" s="60" t="s">
        <v>4255</v>
      </c>
      <c r="D147" s="61" t="s">
        <v>84</v>
      </c>
      <c r="E147" t="str">
        <f>VLOOKUP(Table10[[#This Row],[Country]],Countries!$A$1:$D$205,2,TRUE)</f>
        <v>CAN</v>
      </c>
      <c r="F147" s="60">
        <v>1997</v>
      </c>
      <c r="G147" s="60" t="s">
        <v>4026</v>
      </c>
      <c r="H147" s="65">
        <v>1200</v>
      </c>
      <c r="I147" s="65" t="s">
        <v>4022</v>
      </c>
      <c r="J147" s="60" t="s">
        <v>4023</v>
      </c>
      <c r="K147" s="60">
        <v>24.673566999999998</v>
      </c>
      <c r="L147">
        <v>110.78959</v>
      </c>
    </row>
    <row r="148" spans="1:12" x14ac:dyDescent="0.35">
      <c r="A148" s="60" t="s">
        <v>4268</v>
      </c>
      <c r="B148" s="60" t="s">
        <v>4269</v>
      </c>
      <c r="C148" s="60" t="s">
        <v>4255</v>
      </c>
      <c r="D148" s="61" t="s">
        <v>84</v>
      </c>
      <c r="E148" t="str">
        <f>VLOOKUP(Table10[[#This Row],[Country]],Countries!$A$1:$D$205,2,TRUE)</f>
        <v>CAN</v>
      </c>
      <c r="F148" s="60">
        <v>1993</v>
      </c>
      <c r="G148" s="60" t="s">
        <v>4026</v>
      </c>
      <c r="H148" s="65">
        <v>2000</v>
      </c>
      <c r="I148" s="65" t="s">
        <v>4022</v>
      </c>
      <c r="J148" s="60" t="s">
        <v>4023</v>
      </c>
      <c r="K148" s="60">
        <v>23.978961999999999</v>
      </c>
      <c r="L148">
        <v>111.735523</v>
      </c>
    </row>
    <row r="149" spans="1:12" x14ac:dyDescent="0.35">
      <c r="A149" s="60" t="s">
        <v>4270</v>
      </c>
      <c r="B149" s="60" t="s">
        <v>4269</v>
      </c>
      <c r="C149" s="60" t="s">
        <v>4255</v>
      </c>
      <c r="D149" s="61" t="s">
        <v>84</v>
      </c>
      <c r="E149" t="str">
        <f>VLOOKUP(Table10[[#This Row],[Country]],Countries!$A$1:$D$205,2,TRUE)</f>
        <v>CAN</v>
      </c>
      <c r="F149" s="60">
        <v>2000</v>
      </c>
      <c r="G149" s="60" t="s">
        <v>4026</v>
      </c>
      <c r="H149" s="65">
        <v>1000</v>
      </c>
      <c r="I149" s="65" t="s">
        <v>4022</v>
      </c>
      <c r="J149" s="60" t="s">
        <v>4023</v>
      </c>
      <c r="K149" s="60">
        <v>23.978567000000002</v>
      </c>
      <c r="L149">
        <v>111.735529</v>
      </c>
    </row>
    <row r="150" spans="1:12" x14ac:dyDescent="0.35">
      <c r="A150" s="60" t="s">
        <v>4271</v>
      </c>
      <c r="B150" s="60" t="s">
        <v>4269</v>
      </c>
      <c r="C150" s="60" t="s">
        <v>4255</v>
      </c>
      <c r="D150" s="61" t="s">
        <v>84</v>
      </c>
      <c r="E150" t="str">
        <f>VLOOKUP(Table10[[#This Row],[Country]],Countries!$A$1:$D$205,2,TRUE)</f>
        <v>CAN</v>
      </c>
      <c r="F150" s="60">
        <v>2002</v>
      </c>
      <c r="G150" s="60" t="s">
        <v>4026</v>
      </c>
      <c r="H150" s="65">
        <v>1725</v>
      </c>
      <c r="I150" s="65" t="s">
        <v>4022</v>
      </c>
      <c r="J150" s="60" t="s">
        <v>4023</v>
      </c>
      <c r="K150" s="60">
        <v>23.987136</v>
      </c>
      <c r="L150">
        <v>111.914197</v>
      </c>
    </row>
    <row r="151" spans="1:12" x14ac:dyDescent="0.35">
      <c r="A151" s="60" t="s">
        <v>4272</v>
      </c>
      <c r="B151" s="60" t="s">
        <v>4269</v>
      </c>
      <c r="C151" s="60" t="s">
        <v>4255</v>
      </c>
      <c r="D151" s="61" t="s">
        <v>84</v>
      </c>
      <c r="E151" t="str">
        <f>VLOOKUP(Table10[[#This Row],[Country]],Countries!$A$1:$D$205,2,TRUE)</f>
        <v>CAN</v>
      </c>
      <c r="F151" s="60">
        <v>2016</v>
      </c>
      <c r="G151" s="60" t="s">
        <v>4026</v>
      </c>
      <c r="H151" s="65">
        <v>780</v>
      </c>
      <c r="I151" s="65" t="s">
        <v>4022</v>
      </c>
      <c r="J151" s="60" t="s">
        <v>4023</v>
      </c>
      <c r="K151" s="60">
        <v>23.987006999999998</v>
      </c>
      <c r="L151">
        <v>111.73977499999999</v>
      </c>
    </row>
    <row r="152" spans="1:12" x14ac:dyDescent="0.35">
      <c r="A152" s="60" t="s">
        <v>4273</v>
      </c>
      <c r="B152" s="60" t="s">
        <v>4269</v>
      </c>
      <c r="C152" s="60" t="s">
        <v>4255</v>
      </c>
      <c r="D152" s="61" t="s">
        <v>84</v>
      </c>
      <c r="E152" t="str">
        <f>VLOOKUP(Table10[[#This Row],[Country]],Countries!$A$1:$D$205,2,TRUE)</f>
        <v>CAN</v>
      </c>
      <c r="F152" s="60">
        <v>2004</v>
      </c>
      <c r="G152" s="60" t="s">
        <v>4026</v>
      </c>
      <c r="H152" s="65">
        <v>1150</v>
      </c>
      <c r="I152" s="65" t="s">
        <v>4022</v>
      </c>
      <c r="J152" s="60" t="s">
        <v>4023</v>
      </c>
      <c r="K152" s="60">
        <v>23.979937</v>
      </c>
      <c r="L152">
        <v>111.745037</v>
      </c>
    </row>
    <row r="153" spans="1:12" x14ac:dyDescent="0.35">
      <c r="A153" s="60" t="s">
        <v>4274</v>
      </c>
      <c r="B153" s="60" t="s">
        <v>4275</v>
      </c>
      <c r="C153" s="60" t="s">
        <v>4255</v>
      </c>
      <c r="D153" s="61" t="s">
        <v>84</v>
      </c>
      <c r="E153" t="str">
        <f>VLOOKUP(Table10[[#This Row],[Country]],Countries!$A$1:$D$205,2,TRUE)</f>
        <v>CAN</v>
      </c>
      <c r="F153" s="60">
        <v>2000</v>
      </c>
      <c r="G153" s="60" t="s">
        <v>4026</v>
      </c>
      <c r="H153" s="65">
        <v>12500</v>
      </c>
      <c r="I153" s="65">
        <v>8840</v>
      </c>
      <c r="J153" s="60" t="s">
        <v>4049</v>
      </c>
      <c r="K153" s="60">
        <v>24.385304000000001</v>
      </c>
      <c r="L153">
        <v>109.37963000000001</v>
      </c>
    </row>
    <row r="154" spans="1:12" x14ac:dyDescent="0.35">
      <c r="A154" s="60" t="s">
        <v>4276</v>
      </c>
      <c r="B154" s="60" t="s">
        <v>4277</v>
      </c>
      <c r="C154" s="60" t="s">
        <v>4255</v>
      </c>
      <c r="D154" s="61" t="s">
        <v>84</v>
      </c>
      <c r="E154" t="str">
        <f>VLOOKUP(Table10[[#This Row],[Country]],Countries!$A$1:$D$205,2,TRUE)</f>
        <v>CAN</v>
      </c>
      <c r="F154" s="60">
        <v>2015</v>
      </c>
      <c r="G154" s="60" t="s">
        <v>4026</v>
      </c>
      <c r="H154" s="65" t="s">
        <v>4022</v>
      </c>
      <c r="I154" s="65">
        <v>550</v>
      </c>
      <c r="J154" s="60" t="s">
        <v>4111</v>
      </c>
      <c r="K154" s="60">
        <v>22.326360999999999</v>
      </c>
      <c r="L154">
        <v>106.94616000000001</v>
      </c>
    </row>
    <row r="155" spans="1:12" x14ac:dyDescent="0.35">
      <c r="A155" s="60" t="s">
        <v>4278</v>
      </c>
      <c r="B155" s="60" t="s">
        <v>4279</v>
      </c>
      <c r="C155" s="60" t="s">
        <v>4255</v>
      </c>
      <c r="D155" s="61" t="s">
        <v>84</v>
      </c>
      <c r="E155" t="str">
        <f>VLOOKUP(Table10[[#This Row],[Country]],Countries!$A$1:$D$205,2,TRUE)</f>
        <v>CAN</v>
      </c>
      <c r="F155" s="60">
        <v>1990</v>
      </c>
      <c r="G155" s="60" t="s">
        <v>4026</v>
      </c>
      <c r="H155" s="65">
        <v>1300</v>
      </c>
      <c r="I155" s="65" t="s">
        <v>4022</v>
      </c>
      <c r="J155" s="60" t="s">
        <v>4023</v>
      </c>
      <c r="K155" s="60">
        <v>22.712996</v>
      </c>
      <c r="L155">
        <v>109.33725</v>
      </c>
    </row>
    <row r="156" spans="1:12" x14ac:dyDescent="0.35">
      <c r="A156" s="60" t="s">
        <v>4280</v>
      </c>
      <c r="B156" s="60" t="s">
        <v>4281</v>
      </c>
      <c r="C156" s="60" t="s">
        <v>4255</v>
      </c>
      <c r="D156" s="61" t="s">
        <v>84</v>
      </c>
      <c r="E156" t="str">
        <f>VLOOKUP(Table10[[#This Row],[Country]],Countries!$A$1:$D$205,2,TRUE)</f>
        <v>CAN</v>
      </c>
      <c r="F156" s="60">
        <v>2009</v>
      </c>
      <c r="G156" s="60" t="s">
        <v>4026</v>
      </c>
      <c r="H156" s="65">
        <v>1800</v>
      </c>
      <c r="I156" s="65" t="s">
        <v>4022</v>
      </c>
      <c r="J156" s="60" t="s">
        <v>4023</v>
      </c>
      <c r="K156" s="60">
        <v>23.524464999999999</v>
      </c>
      <c r="L156">
        <v>111.2402</v>
      </c>
    </row>
    <row r="157" spans="1:12" x14ac:dyDescent="0.35">
      <c r="A157" s="60" t="s">
        <v>4282</v>
      </c>
      <c r="B157" s="60" t="s">
        <v>4281</v>
      </c>
      <c r="C157" s="60" t="s">
        <v>4255</v>
      </c>
      <c r="D157" s="61" t="s">
        <v>84</v>
      </c>
      <c r="E157" t="str">
        <f>VLOOKUP(Table10[[#This Row],[Country]],Countries!$A$1:$D$205,2,TRUE)</f>
        <v>CAN</v>
      </c>
      <c r="F157" s="60">
        <v>2011</v>
      </c>
      <c r="G157" s="60" t="s">
        <v>4026</v>
      </c>
      <c r="H157" s="65">
        <v>1000</v>
      </c>
      <c r="I157" s="65" t="s">
        <v>4022</v>
      </c>
      <c r="J157" s="60" t="s">
        <v>4023</v>
      </c>
      <c r="K157" s="60">
        <v>23.520306999999999</v>
      </c>
      <c r="L157">
        <v>111.229981</v>
      </c>
    </row>
    <row r="158" spans="1:12" x14ac:dyDescent="0.35">
      <c r="A158" s="60" t="s">
        <v>4283</v>
      </c>
      <c r="B158" s="60" t="s">
        <v>4281</v>
      </c>
      <c r="C158" s="60" t="s">
        <v>4255</v>
      </c>
      <c r="D158" s="61" t="s">
        <v>84</v>
      </c>
      <c r="E158" t="str">
        <f>VLOOKUP(Table10[[#This Row],[Country]],Countries!$A$1:$D$205,2,TRUE)</f>
        <v>CAN</v>
      </c>
      <c r="F158" s="60">
        <v>2010</v>
      </c>
      <c r="G158" s="60" t="s">
        <v>4026</v>
      </c>
      <c r="H158" s="65">
        <v>600</v>
      </c>
      <c r="I158" s="65">
        <v>650</v>
      </c>
      <c r="J158" s="60" t="s">
        <v>4027</v>
      </c>
      <c r="K158" s="60">
        <v>23.518229000000002</v>
      </c>
      <c r="L158">
        <v>111.23550899999999</v>
      </c>
    </row>
    <row r="159" spans="1:12" x14ac:dyDescent="0.35">
      <c r="A159" s="60" t="s">
        <v>4284</v>
      </c>
      <c r="B159" s="60" t="s">
        <v>4281</v>
      </c>
      <c r="C159" s="60" t="s">
        <v>4255</v>
      </c>
      <c r="D159" s="61" t="s">
        <v>84</v>
      </c>
      <c r="E159" t="str">
        <f>VLOOKUP(Table10[[#This Row],[Country]],Countries!$A$1:$D$205,2,TRUE)</f>
        <v>CAN</v>
      </c>
      <c r="F159" s="60" t="s">
        <v>4036</v>
      </c>
      <c r="G159" s="60" t="s">
        <v>4037</v>
      </c>
      <c r="H159" s="65">
        <v>4800</v>
      </c>
      <c r="I159" s="65">
        <v>5253</v>
      </c>
      <c r="J159" s="60" t="s">
        <v>4049</v>
      </c>
      <c r="K159" s="60">
        <v>23.402121000000001</v>
      </c>
      <c r="L159">
        <v>111.13460600000001</v>
      </c>
    </row>
    <row r="160" spans="1:12" x14ac:dyDescent="0.35">
      <c r="A160" s="60" t="s">
        <v>4284</v>
      </c>
      <c r="B160" s="60" t="s">
        <v>4281</v>
      </c>
      <c r="C160" s="60" t="s">
        <v>4255</v>
      </c>
      <c r="D160" s="61" t="s">
        <v>84</v>
      </c>
      <c r="E160" t="str">
        <f>VLOOKUP(Table10[[#This Row],[Country]],Countries!$A$1:$D$205,2,TRUE)</f>
        <v>CAN</v>
      </c>
      <c r="F160" s="60">
        <v>2023</v>
      </c>
      <c r="G160" s="60" t="s">
        <v>4037</v>
      </c>
      <c r="H160" s="65">
        <v>1600</v>
      </c>
      <c r="I160" s="65">
        <v>1751</v>
      </c>
      <c r="J160" s="60" t="s">
        <v>4049</v>
      </c>
      <c r="K160" s="60">
        <v>23.402121000000001</v>
      </c>
      <c r="L160">
        <v>111.13460600000001</v>
      </c>
    </row>
    <row r="161" spans="1:12" x14ac:dyDescent="0.35">
      <c r="A161" s="60" t="s">
        <v>4284</v>
      </c>
      <c r="B161" s="60" t="s">
        <v>4281</v>
      </c>
      <c r="C161" s="60" t="s">
        <v>4255</v>
      </c>
      <c r="D161" s="61" t="s">
        <v>84</v>
      </c>
      <c r="E161" t="str">
        <f>VLOOKUP(Table10[[#This Row],[Country]],Countries!$A$1:$D$205,2,TRUE)</f>
        <v>CAN</v>
      </c>
      <c r="F161" s="60">
        <v>2023</v>
      </c>
      <c r="G161" s="60" t="s">
        <v>4037</v>
      </c>
      <c r="H161" s="65">
        <v>1600</v>
      </c>
      <c r="I161" s="65">
        <v>427</v>
      </c>
      <c r="J161" s="60" t="s">
        <v>4285</v>
      </c>
      <c r="K161" s="60">
        <v>23.402121000000001</v>
      </c>
      <c r="L161">
        <v>111.13460600000001</v>
      </c>
    </row>
    <row r="162" spans="1:12" x14ac:dyDescent="0.35">
      <c r="A162" s="60" t="s">
        <v>4286</v>
      </c>
      <c r="B162" s="60" t="s">
        <v>4287</v>
      </c>
      <c r="C162" s="60" t="s">
        <v>4255</v>
      </c>
      <c r="D162" s="61" t="s">
        <v>84</v>
      </c>
      <c r="E162" t="str">
        <f>VLOOKUP(Table10[[#This Row],[Country]],Countries!$A$1:$D$205,2,TRUE)</f>
        <v>CAN</v>
      </c>
      <c r="F162" s="60">
        <v>2013</v>
      </c>
      <c r="G162" s="60" t="s">
        <v>4026</v>
      </c>
      <c r="H162" s="65">
        <v>1200</v>
      </c>
      <c r="I162" s="65">
        <v>650</v>
      </c>
      <c r="J162" s="60" t="s">
        <v>4049</v>
      </c>
      <c r="K162" s="60">
        <v>21.672609999999999</v>
      </c>
      <c r="L162">
        <v>109.741866</v>
      </c>
    </row>
    <row r="163" spans="1:12" x14ac:dyDescent="0.35">
      <c r="A163" s="60" t="s">
        <v>4288</v>
      </c>
      <c r="B163" s="60" t="s">
        <v>4287</v>
      </c>
      <c r="C163" s="60" t="s">
        <v>4255</v>
      </c>
      <c r="D163" s="61" t="s">
        <v>84</v>
      </c>
      <c r="E163" t="str">
        <f>VLOOKUP(Table10[[#This Row],[Country]],Countries!$A$1:$D$205,2,TRUE)</f>
        <v>CAN</v>
      </c>
      <c r="F163" s="60">
        <v>2021</v>
      </c>
      <c r="G163" s="60" t="s">
        <v>4026</v>
      </c>
      <c r="H163" s="65" t="s">
        <v>4022</v>
      </c>
      <c r="I163" s="65">
        <v>1460</v>
      </c>
      <c r="J163" s="60" t="s">
        <v>4111</v>
      </c>
      <c r="K163" s="60">
        <v>21.672609999999999</v>
      </c>
      <c r="L163">
        <v>109.741866</v>
      </c>
    </row>
    <row r="164" spans="1:12" x14ac:dyDescent="0.35">
      <c r="A164" s="60" t="s">
        <v>4289</v>
      </c>
      <c r="B164" s="60" t="s">
        <v>4290</v>
      </c>
      <c r="C164" s="60" t="s">
        <v>4291</v>
      </c>
      <c r="D164" s="61" t="s">
        <v>84</v>
      </c>
      <c r="E164" t="str">
        <f>VLOOKUP(Table10[[#This Row],[Country]],Countries!$A$1:$D$205,2,TRUE)</f>
        <v>CAN</v>
      </c>
      <c r="F164" s="60">
        <v>1958</v>
      </c>
      <c r="G164" s="60" t="s">
        <v>4026</v>
      </c>
      <c r="H164" s="65">
        <v>500</v>
      </c>
      <c r="I164" s="65" t="s">
        <v>4022</v>
      </c>
      <c r="J164" s="60" t="s">
        <v>4023</v>
      </c>
      <c r="K164" s="60">
        <v>26.873591999999999</v>
      </c>
      <c r="L164">
        <v>106.73215</v>
      </c>
    </row>
    <row r="165" spans="1:12" x14ac:dyDescent="0.35">
      <c r="A165" s="60" t="s">
        <v>4292</v>
      </c>
      <c r="B165" s="60" t="s">
        <v>4293</v>
      </c>
      <c r="C165" s="60" t="s">
        <v>4291</v>
      </c>
      <c r="D165" s="61" t="s">
        <v>84</v>
      </c>
      <c r="E165" t="str">
        <f>VLOOKUP(Table10[[#This Row],[Country]],Countries!$A$1:$D$205,2,TRUE)</f>
        <v>CAN</v>
      </c>
      <c r="F165" s="60">
        <v>1966</v>
      </c>
      <c r="G165" s="60" t="s">
        <v>4026</v>
      </c>
      <c r="H165" s="65">
        <v>3500</v>
      </c>
      <c r="I165" s="65">
        <v>3300</v>
      </c>
      <c r="J165" s="60" t="s">
        <v>4049</v>
      </c>
      <c r="K165" s="60">
        <v>26.595229</v>
      </c>
      <c r="L165">
        <v>104.877413</v>
      </c>
    </row>
    <row r="166" spans="1:12" x14ac:dyDescent="0.35">
      <c r="A166" s="60" t="s">
        <v>4294</v>
      </c>
      <c r="B166" s="60" t="s">
        <v>4295</v>
      </c>
      <c r="C166" s="60" t="s">
        <v>4291</v>
      </c>
      <c r="D166" s="61" t="s">
        <v>84</v>
      </c>
      <c r="E166" t="str">
        <f>VLOOKUP(Table10[[#This Row],[Country]],Countries!$A$1:$D$205,2,TRUE)</f>
        <v>CAN</v>
      </c>
      <c r="F166" s="60">
        <v>2012</v>
      </c>
      <c r="G166" s="60" t="s">
        <v>4026</v>
      </c>
      <c r="H166" s="65">
        <v>520</v>
      </c>
      <c r="I166" s="65" t="s">
        <v>4022</v>
      </c>
      <c r="J166" s="60" t="s">
        <v>4023</v>
      </c>
      <c r="K166" s="60">
        <v>26.509525</v>
      </c>
      <c r="L166">
        <v>107.570458</v>
      </c>
    </row>
    <row r="167" spans="1:12" x14ac:dyDescent="0.35">
      <c r="A167" s="60" t="s">
        <v>4296</v>
      </c>
      <c r="B167" s="60" t="s">
        <v>4295</v>
      </c>
      <c r="C167" s="60" t="s">
        <v>4291</v>
      </c>
      <c r="D167" s="61" t="s">
        <v>84</v>
      </c>
      <c r="E167" t="str">
        <f>VLOOKUP(Table10[[#This Row],[Country]],Countries!$A$1:$D$205,2,TRUE)</f>
        <v>CAN</v>
      </c>
      <c r="F167" s="60">
        <v>2023</v>
      </c>
      <c r="G167" s="60" t="s">
        <v>4021</v>
      </c>
      <c r="H167" s="65">
        <v>500</v>
      </c>
      <c r="I167" s="65" t="s">
        <v>4022</v>
      </c>
      <c r="J167" s="60" t="s">
        <v>4023</v>
      </c>
      <c r="K167" s="60">
        <v>26.509525</v>
      </c>
      <c r="L167">
        <v>107.570458</v>
      </c>
    </row>
    <row r="168" spans="1:12" x14ac:dyDescent="0.35">
      <c r="A168" s="60" t="s">
        <v>4297</v>
      </c>
      <c r="B168" s="60" t="s">
        <v>4298</v>
      </c>
      <c r="C168" s="60" t="s">
        <v>4291</v>
      </c>
      <c r="D168" s="61" t="s">
        <v>84</v>
      </c>
      <c r="E168" t="str">
        <f>VLOOKUP(Table10[[#This Row],[Country]],Countries!$A$1:$D$205,2,TRUE)</f>
        <v>CAN</v>
      </c>
      <c r="F168" s="60">
        <v>1993</v>
      </c>
      <c r="G168" s="60" t="s">
        <v>4026</v>
      </c>
      <c r="H168" s="65">
        <v>500</v>
      </c>
      <c r="I168" s="65" t="s">
        <v>4022</v>
      </c>
      <c r="J168" s="60" t="s">
        <v>4023</v>
      </c>
      <c r="K168" s="60">
        <v>25.150856999999998</v>
      </c>
      <c r="L168">
        <v>105.04172199999999</v>
      </c>
    </row>
    <row r="169" spans="1:12" x14ac:dyDescent="0.35">
      <c r="A169" s="60" t="s">
        <v>4299</v>
      </c>
      <c r="B169" s="60" t="s">
        <v>4298</v>
      </c>
      <c r="C169" s="60" t="s">
        <v>4291</v>
      </c>
      <c r="D169" s="61" t="s">
        <v>84</v>
      </c>
      <c r="E169" t="str">
        <f>VLOOKUP(Table10[[#This Row],[Country]],Countries!$A$1:$D$205,2,TRUE)</f>
        <v>CAN</v>
      </c>
      <c r="F169" s="60">
        <v>2025</v>
      </c>
      <c r="G169" s="60" t="s">
        <v>4037</v>
      </c>
      <c r="H169" s="65">
        <v>500</v>
      </c>
      <c r="I169" s="65" t="s">
        <v>4022</v>
      </c>
      <c r="J169" s="60" t="s">
        <v>4023</v>
      </c>
      <c r="K169" s="60">
        <v>25.150856999999998</v>
      </c>
      <c r="L169">
        <v>105.04172199999999</v>
      </c>
    </row>
    <row r="170" spans="1:12" x14ac:dyDescent="0.35">
      <c r="A170" s="60" t="s">
        <v>4300</v>
      </c>
      <c r="B170" s="60" t="s">
        <v>4301</v>
      </c>
      <c r="C170" s="60" t="s">
        <v>4291</v>
      </c>
      <c r="D170" s="61" t="s">
        <v>84</v>
      </c>
      <c r="E170" t="str">
        <f>VLOOKUP(Table10[[#This Row],[Country]],Countries!$A$1:$D$205,2,TRUE)</f>
        <v>CAN</v>
      </c>
      <c r="F170" s="60">
        <v>2014</v>
      </c>
      <c r="G170" s="60" t="s">
        <v>4026</v>
      </c>
      <c r="H170" s="65">
        <v>3334.9999999999995</v>
      </c>
      <c r="I170" s="65" t="s">
        <v>4036</v>
      </c>
      <c r="J170" s="60" t="s">
        <v>4023</v>
      </c>
      <c r="K170" s="60">
        <v>27.591691000000001</v>
      </c>
      <c r="L170">
        <v>106.814024</v>
      </c>
    </row>
    <row r="171" spans="1:12" x14ac:dyDescent="0.35">
      <c r="A171" s="60" t="s">
        <v>4302</v>
      </c>
      <c r="B171" s="60" t="s">
        <v>4301</v>
      </c>
      <c r="C171" s="60" t="s">
        <v>4291</v>
      </c>
      <c r="D171" s="61" t="s">
        <v>84</v>
      </c>
      <c r="E171" t="str">
        <f>VLOOKUP(Table10[[#This Row],[Country]],Countries!$A$1:$D$205,2,TRUE)</f>
        <v>CAN</v>
      </c>
      <c r="F171" s="60">
        <v>2014</v>
      </c>
      <c r="G171" s="60" t="s">
        <v>4026</v>
      </c>
      <c r="H171" s="65">
        <v>2069.9999999999995</v>
      </c>
      <c r="I171" s="65" t="s">
        <v>4036</v>
      </c>
      <c r="J171" s="60" t="s">
        <v>4023</v>
      </c>
      <c r="K171" s="60">
        <v>27.615147</v>
      </c>
      <c r="L171">
        <v>106.949926</v>
      </c>
    </row>
    <row r="172" spans="1:12" x14ac:dyDescent="0.35">
      <c r="A172" s="60" t="s">
        <v>4303</v>
      </c>
      <c r="B172" s="60" t="s">
        <v>4301</v>
      </c>
      <c r="C172" s="60" t="s">
        <v>4291</v>
      </c>
      <c r="D172" s="61" t="s">
        <v>84</v>
      </c>
      <c r="E172" t="str">
        <f>VLOOKUP(Table10[[#This Row],[Country]],Countries!$A$1:$D$205,2,TRUE)</f>
        <v>CAN</v>
      </c>
      <c r="F172" s="60">
        <v>1993</v>
      </c>
      <c r="G172" s="60" t="s">
        <v>4026</v>
      </c>
      <c r="H172" s="65">
        <v>1660</v>
      </c>
      <c r="I172" s="65" t="s">
        <v>4022</v>
      </c>
      <c r="J172" s="60" t="s">
        <v>4023</v>
      </c>
      <c r="K172" s="60">
        <v>27.591697</v>
      </c>
      <c r="L172">
        <v>106.81545300000001</v>
      </c>
    </row>
    <row r="173" spans="1:12" x14ac:dyDescent="0.35">
      <c r="A173" s="60" t="s">
        <v>4304</v>
      </c>
      <c r="B173" s="60" t="s">
        <v>4301</v>
      </c>
      <c r="C173" s="60" t="s">
        <v>4291</v>
      </c>
      <c r="D173" s="61" t="s">
        <v>84</v>
      </c>
      <c r="E173" t="str">
        <f>VLOOKUP(Table10[[#This Row],[Country]],Countries!$A$1:$D$205,2,TRUE)</f>
        <v>CAN</v>
      </c>
      <c r="F173" s="60">
        <v>2025</v>
      </c>
      <c r="G173" s="60" t="s">
        <v>4037</v>
      </c>
      <c r="H173" s="65">
        <v>1110</v>
      </c>
      <c r="I173" s="65" t="s">
        <v>4022</v>
      </c>
      <c r="J173" s="60" t="s">
        <v>4023</v>
      </c>
      <c r="K173" s="60">
        <v>27.591697</v>
      </c>
      <c r="L173">
        <v>106.81545300000001</v>
      </c>
    </row>
    <row r="174" spans="1:12" x14ac:dyDescent="0.35">
      <c r="A174" s="60" t="s">
        <v>4305</v>
      </c>
      <c r="B174" s="60" t="s">
        <v>4301</v>
      </c>
      <c r="C174" s="60" t="s">
        <v>4291</v>
      </c>
      <c r="D174" s="61" t="s">
        <v>84</v>
      </c>
      <c r="E174" t="str">
        <f>VLOOKUP(Table10[[#This Row],[Country]],Countries!$A$1:$D$205,2,TRUE)</f>
        <v>CAN</v>
      </c>
      <c r="F174" s="60">
        <v>2004</v>
      </c>
      <c r="G174" s="60" t="s">
        <v>4026</v>
      </c>
      <c r="H174" s="65">
        <v>1100</v>
      </c>
      <c r="I174" s="65" t="s">
        <v>4022</v>
      </c>
      <c r="J174" s="60" t="s">
        <v>4023</v>
      </c>
      <c r="K174" s="60">
        <v>27.614947000000001</v>
      </c>
      <c r="L174">
        <v>106.949752</v>
      </c>
    </row>
    <row r="175" spans="1:12" x14ac:dyDescent="0.35">
      <c r="A175" s="60" t="s">
        <v>4306</v>
      </c>
      <c r="B175" s="60" t="s">
        <v>4301</v>
      </c>
      <c r="C175" s="60" t="s">
        <v>4291</v>
      </c>
      <c r="D175" s="61" t="s">
        <v>84</v>
      </c>
      <c r="E175" t="str">
        <f>VLOOKUP(Table10[[#This Row],[Country]],Countries!$A$1:$D$205,2,TRUE)</f>
        <v>CAN</v>
      </c>
      <c r="F175" s="60">
        <v>2023</v>
      </c>
      <c r="G175" s="60" t="s">
        <v>4037</v>
      </c>
      <c r="H175" s="65">
        <v>825</v>
      </c>
      <c r="I175" s="65" t="s">
        <v>4022</v>
      </c>
      <c r="J175" s="60" t="s">
        <v>4023</v>
      </c>
      <c r="K175" s="60">
        <v>27.614947000000001</v>
      </c>
      <c r="L175">
        <v>106.949752</v>
      </c>
    </row>
    <row r="176" spans="1:12" x14ac:dyDescent="0.35">
      <c r="A176" s="60" t="s">
        <v>4307</v>
      </c>
      <c r="B176" s="60" t="s">
        <v>3025</v>
      </c>
      <c r="C176" s="60" t="s">
        <v>3024</v>
      </c>
      <c r="D176" s="61" t="s">
        <v>84</v>
      </c>
      <c r="E176" t="str">
        <f>VLOOKUP(Table10[[#This Row],[Country]],Countries!$A$1:$D$205,2,TRUE)</f>
        <v>CAN</v>
      </c>
      <c r="F176" s="60">
        <v>1995</v>
      </c>
      <c r="G176" s="60" t="s">
        <v>4026</v>
      </c>
      <c r="H176" s="65">
        <v>1000</v>
      </c>
      <c r="I176" s="65" t="s">
        <v>4022</v>
      </c>
      <c r="J176" s="60" t="s">
        <v>4023</v>
      </c>
      <c r="K176" s="60">
        <v>38.311737999999998</v>
      </c>
      <c r="L176">
        <v>117.457779</v>
      </c>
    </row>
    <row r="177" spans="1:12" x14ac:dyDescent="0.35">
      <c r="A177" s="60" t="s">
        <v>4308</v>
      </c>
      <c r="B177" s="60" t="s">
        <v>3025</v>
      </c>
      <c r="C177" s="60" t="s">
        <v>3024</v>
      </c>
      <c r="D177" s="61" t="s">
        <v>84</v>
      </c>
      <c r="E177" t="str">
        <f>VLOOKUP(Table10[[#This Row],[Country]],Countries!$A$1:$D$205,2,TRUE)</f>
        <v>CAN</v>
      </c>
      <c r="F177" s="60">
        <v>2024</v>
      </c>
      <c r="G177" s="60" t="s">
        <v>4037</v>
      </c>
      <c r="H177" s="65">
        <v>1000</v>
      </c>
      <c r="I177" s="65" t="s">
        <v>4022</v>
      </c>
      <c r="J177" s="60" t="s">
        <v>4023</v>
      </c>
      <c r="K177" s="60">
        <v>38.311737999999998</v>
      </c>
      <c r="L177">
        <v>117.457779</v>
      </c>
    </row>
    <row r="178" spans="1:12" x14ac:dyDescent="0.35">
      <c r="A178" s="60" t="s">
        <v>4309</v>
      </c>
      <c r="B178" s="60" t="s">
        <v>4310</v>
      </c>
      <c r="C178" s="60" t="s">
        <v>3024</v>
      </c>
      <c r="D178" s="61" t="s">
        <v>84</v>
      </c>
      <c r="E178" t="str">
        <f>VLOOKUP(Table10[[#This Row],[Country]],Countries!$A$1:$D$205,2,TRUE)</f>
        <v>CAN</v>
      </c>
      <c r="F178" s="60">
        <v>1954</v>
      </c>
      <c r="G178" s="60" t="s">
        <v>4026</v>
      </c>
      <c r="H178" s="65">
        <v>8000</v>
      </c>
      <c r="I178" s="65">
        <v>6795</v>
      </c>
      <c r="J178" s="60" t="s">
        <v>4049</v>
      </c>
      <c r="K178" s="60">
        <v>40.947707000000001</v>
      </c>
      <c r="L178">
        <v>117.719747</v>
      </c>
    </row>
    <row r="179" spans="1:12" x14ac:dyDescent="0.35">
      <c r="A179" s="60" t="s">
        <v>4311</v>
      </c>
      <c r="B179" s="60" t="s">
        <v>4310</v>
      </c>
      <c r="C179" s="60" t="s">
        <v>3024</v>
      </c>
      <c r="D179" s="61" t="s">
        <v>84</v>
      </c>
      <c r="E179" t="str">
        <f>VLOOKUP(Table10[[#This Row],[Country]],Countries!$A$1:$D$205,2,TRUE)</f>
        <v>CAN</v>
      </c>
      <c r="F179" s="60">
        <v>2001</v>
      </c>
      <c r="G179" s="60" t="s">
        <v>4026</v>
      </c>
      <c r="H179" s="65">
        <v>3250</v>
      </c>
      <c r="I179" s="65">
        <v>1060.8999999999999</v>
      </c>
      <c r="J179" s="60" t="s">
        <v>4049</v>
      </c>
      <c r="K179" s="60">
        <v>40.515034999999997</v>
      </c>
      <c r="L179">
        <v>117.59607099999999</v>
      </c>
    </row>
    <row r="180" spans="1:12" x14ac:dyDescent="0.35">
      <c r="A180" s="60" t="s">
        <v>4312</v>
      </c>
      <c r="B180" s="60" t="s">
        <v>4310</v>
      </c>
      <c r="C180" s="60" t="s">
        <v>3024</v>
      </c>
      <c r="D180" s="61" t="s">
        <v>84</v>
      </c>
      <c r="E180" t="str">
        <f>VLOOKUP(Table10[[#This Row],[Country]],Countries!$A$1:$D$205,2,TRUE)</f>
        <v>CAN</v>
      </c>
      <c r="F180" s="60">
        <v>2021</v>
      </c>
      <c r="G180" s="60" t="s">
        <v>4026</v>
      </c>
      <c r="H180" s="65" t="s">
        <v>4022</v>
      </c>
      <c r="I180" s="65">
        <v>1130</v>
      </c>
      <c r="J180" s="60" t="s">
        <v>4111</v>
      </c>
      <c r="K180" s="60">
        <v>40.515034999999997</v>
      </c>
      <c r="L180">
        <v>117.59607099999999</v>
      </c>
    </row>
    <row r="181" spans="1:12" x14ac:dyDescent="0.35">
      <c r="A181" s="60" t="s">
        <v>4313</v>
      </c>
      <c r="B181" s="60" t="s">
        <v>4310</v>
      </c>
      <c r="C181" s="60" t="s">
        <v>3024</v>
      </c>
      <c r="D181" s="61" t="s">
        <v>84</v>
      </c>
      <c r="E181" t="str">
        <f>VLOOKUP(Table10[[#This Row],[Country]],Countries!$A$1:$D$205,2,TRUE)</f>
        <v>CAN</v>
      </c>
      <c r="F181" s="60">
        <v>2021</v>
      </c>
      <c r="G181" s="60" t="s">
        <v>4026</v>
      </c>
      <c r="H181" s="65">
        <v>1150</v>
      </c>
      <c r="I181" s="65" t="s">
        <v>4022</v>
      </c>
      <c r="J181" s="60" t="s">
        <v>4163</v>
      </c>
      <c r="K181" s="60">
        <v>40.515034999999997</v>
      </c>
      <c r="L181">
        <v>117.59607099999999</v>
      </c>
    </row>
    <row r="182" spans="1:12" x14ac:dyDescent="0.35">
      <c r="A182" s="60" t="s">
        <v>4314</v>
      </c>
      <c r="B182" s="60" t="s">
        <v>4310</v>
      </c>
      <c r="C182" s="60" t="s">
        <v>3024</v>
      </c>
      <c r="D182" s="61" t="s">
        <v>84</v>
      </c>
      <c r="E182" t="str">
        <f>VLOOKUP(Table10[[#This Row],[Country]],Countries!$A$1:$D$205,2,TRUE)</f>
        <v>CAN</v>
      </c>
      <c r="F182" s="60">
        <v>2001</v>
      </c>
      <c r="G182" s="60" t="s">
        <v>4048</v>
      </c>
      <c r="H182" s="65">
        <v>1700</v>
      </c>
      <c r="I182" s="65">
        <v>1480</v>
      </c>
      <c r="J182" s="60" t="s">
        <v>4049</v>
      </c>
      <c r="K182" s="60">
        <v>40.593874999999997</v>
      </c>
      <c r="L182">
        <v>118.633334</v>
      </c>
    </row>
    <row r="183" spans="1:12" x14ac:dyDescent="0.35">
      <c r="A183" s="60" t="s">
        <v>4315</v>
      </c>
      <c r="B183" s="60" t="s">
        <v>4310</v>
      </c>
      <c r="C183" s="60" t="s">
        <v>3024</v>
      </c>
      <c r="D183" s="61" t="s">
        <v>84</v>
      </c>
      <c r="E183" t="str">
        <f>VLOOKUP(Table10[[#This Row],[Country]],Countries!$A$1:$D$205,2,TRUE)</f>
        <v>CAN</v>
      </c>
      <c r="F183" s="60">
        <v>2003</v>
      </c>
      <c r="G183" s="60" t="s">
        <v>4048</v>
      </c>
      <c r="H183" s="65">
        <v>1300</v>
      </c>
      <c r="I183" s="65">
        <v>1300</v>
      </c>
      <c r="J183" s="60" t="s">
        <v>4049</v>
      </c>
      <c r="K183" s="60">
        <v>40.622466000000003</v>
      </c>
      <c r="L183">
        <v>118.49084499999999</v>
      </c>
    </row>
    <row r="184" spans="1:12" x14ac:dyDescent="0.35">
      <c r="A184" s="60" t="s">
        <v>4316</v>
      </c>
      <c r="B184" s="60" t="s">
        <v>4317</v>
      </c>
      <c r="C184" s="60" t="s">
        <v>3024</v>
      </c>
      <c r="D184" s="61" t="s">
        <v>84</v>
      </c>
      <c r="E184" t="str">
        <f>VLOOKUP(Table10[[#This Row],[Country]],Countries!$A$1:$D$205,2,TRUE)</f>
        <v>CAN</v>
      </c>
      <c r="F184" s="60">
        <v>1993</v>
      </c>
      <c r="G184" s="60" t="s">
        <v>4026</v>
      </c>
      <c r="H184" s="65">
        <v>2500</v>
      </c>
      <c r="I184" s="65">
        <v>1180</v>
      </c>
      <c r="J184" s="60" t="s">
        <v>4049</v>
      </c>
      <c r="K184" s="60">
        <v>36.621504000000002</v>
      </c>
      <c r="L184">
        <v>114.12818900000001</v>
      </c>
    </row>
    <row r="185" spans="1:12" x14ac:dyDescent="0.35">
      <c r="A185" s="60" t="s">
        <v>4318</v>
      </c>
      <c r="B185" s="60" t="s">
        <v>4317</v>
      </c>
      <c r="C185" s="60" t="s">
        <v>3024</v>
      </c>
      <c r="D185" s="61" t="s">
        <v>84</v>
      </c>
      <c r="E185" t="str">
        <f>VLOOKUP(Table10[[#This Row],[Country]],Countries!$A$1:$D$205,2,TRUE)</f>
        <v>CAN</v>
      </c>
      <c r="F185" s="60">
        <v>1958</v>
      </c>
      <c r="G185" s="60" t="s">
        <v>4048</v>
      </c>
      <c r="H185" s="65">
        <v>5950</v>
      </c>
      <c r="I185" s="65">
        <v>7070</v>
      </c>
      <c r="J185" s="60" t="s">
        <v>4049</v>
      </c>
      <c r="K185" s="60">
        <v>36.601308000000003</v>
      </c>
      <c r="L185">
        <v>114.43988899999999</v>
      </c>
    </row>
    <row r="186" spans="1:12" x14ac:dyDescent="0.35">
      <c r="A186" s="60" t="s">
        <v>4319</v>
      </c>
      <c r="B186" s="60" t="s">
        <v>4317</v>
      </c>
      <c r="C186" s="60" t="s">
        <v>3024</v>
      </c>
      <c r="D186" s="61" t="s">
        <v>84</v>
      </c>
      <c r="E186" t="str">
        <f>VLOOKUP(Table10[[#This Row],[Country]],Countries!$A$1:$D$205,2,TRUE)</f>
        <v>CAN</v>
      </c>
      <c r="F186" s="60">
        <v>1992</v>
      </c>
      <c r="G186" s="60" t="s">
        <v>4026</v>
      </c>
      <c r="H186" s="65">
        <v>7000</v>
      </c>
      <c r="I186" s="65">
        <v>6000</v>
      </c>
      <c r="J186" s="60" t="s">
        <v>4049</v>
      </c>
      <c r="K186" s="60">
        <v>36.733674999999998</v>
      </c>
      <c r="L186">
        <v>113.925994</v>
      </c>
    </row>
    <row r="187" spans="1:12" x14ac:dyDescent="0.35">
      <c r="A187" s="60" t="s">
        <v>4320</v>
      </c>
      <c r="B187" s="60" t="s">
        <v>4317</v>
      </c>
      <c r="C187" s="60" t="s">
        <v>3024</v>
      </c>
      <c r="D187" s="61" t="s">
        <v>84</v>
      </c>
      <c r="E187" t="str">
        <f>VLOOKUP(Table10[[#This Row],[Country]],Countries!$A$1:$D$205,2,TRUE)</f>
        <v>CAN</v>
      </c>
      <c r="F187" s="60">
        <v>2021</v>
      </c>
      <c r="G187" s="60" t="s">
        <v>4021</v>
      </c>
      <c r="H187" s="65">
        <v>1517</v>
      </c>
      <c r="I187" s="65">
        <v>1370</v>
      </c>
      <c r="J187" s="60" t="s">
        <v>4049</v>
      </c>
      <c r="K187" s="60">
        <v>36.733674999999998</v>
      </c>
      <c r="L187">
        <v>113.925995</v>
      </c>
    </row>
    <row r="188" spans="1:12" x14ac:dyDescent="0.35">
      <c r="A188" s="60" t="s">
        <v>4321</v>
      </c>
      <c r="B188" s="60" t="s">
        <v>4317</v>
      </c>
      <c r="C188" s="60" t="s">
        <v>3024</v>
      </c>
      <c r="D188" s="61" t="s">
        <v>84</v>
      </c>
      <c r="E188" t="str">
        <f>VLOOKUP(Table10[[#This Row],[Country]],Countries!$A$1:$D$205,2,TRUE)</f>
        <v>CAN</v>
      </c>
      <c r="F188" s="60">
        <v>2023</v>
      </c>
      <c r="G188" s="60" t="s">
        <v>4037</v>
      </c>
      <c r="H188" s="65">
        <v>2100</v>
      </c>
      <c r="I188" s="65">
        <v>2740</v>
      </c>
      <c r="J188" s="60" t="s">
        <v>4161</v>
      </c>
      <c r="K188" s="60">
        <v>36.733674999999998</v>
      </c>
      <c r="L188">
        <v>113.925995</v>
      </c>
    </row>
    <row r="189" spans="1:12" x14ac:dyDescent="0.35">
      <c r="A189" s="60" t="s">
        <v>4322</v>
      </c>
      <c r="B189" s="60" t="s">
        <v>4317</v>
      </c>
      <c r="C189" s="60" t="s">
        <v>3024</v>
      </c>
      <c r="D189" s="61" t="s">
        <v>84</v>
      </c>
      <c r="E189" t="str">
        <f>VLOOKUP(Table10[[#This Row],[Country]],Countries!$A$1:$D$205,2,TRUE)</f>
        <v>CAN</v>
      </c>
      <c r="F189" s="60">
        <v>1988</v>
      </c>
      <c r="G189" s="60" t="s">
        <v>4026</v>
      </c>
      <c r="H189" s="65">
        <v>6800</v>
      </c>
      <c r="I189" s="65">
        <v>2642.8399999999997</v>
      </c>
      <c r="J189" s="60" t="s">
        <v>4049</v>
      </c>
      <c r="K189" s="60">
        <v>36.731752</v>
      </c>
      <c r="L189">
        <v>114.098377</v>
      </c>
    </row>
    <row r="190" spans="1:12" x14ac:dyDescent="0.35">
      <c r="A190" s="60" t="s">
        <v>4323</v>
      </c>
      <c r="B190" s="60" t="s">
        <v>4317</v>
      </c>
      <c r="C190" s="60" t="s">
        <v>3024</v>
      </c>
      <c r="D190" s="61" t="s">
        <v>84</v>
      </c>
      <c r="E190" t="str">
        <f>VLOOKUP(Table10[[#This Row],[Country]],Countries!$A$1:$D$205,2,TRUE)</f>
        <v>CAN</v>
      </c>
      <c r="F190" s="60">
        <v>2001</v>
      </c>
      <c r="G190" s="60" t="s">
        <v>4048</v>
      </c>
      <c r="H190" s="65">
        <v>3500</v>
      </c>
      <c r="I190" s="65">
        <v>3500</v>
      </c>
      <c r="J190" s="60" t="s">
        <v>4049</v>
      </c>
      <c r="K190" s="60">
        <v>36.645769999999999</v>
      </c>
      <c r="L190">
        <v>114.124258</v>
      </c>
    </row>
    <row r="191" spans="1:12" x14ac:dyDescent="0.35">
      <c r="A191" s="60" t="s">
        <v>4324</v>
      </c>
      <c r="B191" s="60" t="s">
        <v>4317</v>
      </c>
      <c r="C191" s="60" t="s">
        <v>3024</v>
      </c>
      <c r="D191" s="61" t="s">
        <v>84</v>
      </c>
      <c r="E191" t="str">
        <f>VLOOKUP(Table10[[#This Row],[Country]],Countries!$A$1:$D$205,2,TRUE)</f>
        <v>CAN</v>
      </c>
      <c r="F191" s="60">
        <v>2003</v>
      </c>
      <c r="G191" s="60" t="s">
        <v>4026</v>
      </c>
      <c r="H191" s="65">
        <v>3000</v>
      </c>
      <c r="I191" s="65">
        <v>3000</v>
      </c>
      <c r="J191" s="60" t="s">
        <v>4049</v>
      </c>
      <c r="K191" s="60">
        <v>36.721375999999999</v>
      </c>
      <c r="L191">
        <v>113.91027099999999</v>
      </c>
    </row>
    <row r="192" spans="1:12" x14ac:dyDescent="0.35">
      <c r="A192" s="60" t="s">
        <v>4325</v>
      </c>
      <c r="B192" s="60" t="s">
        <v>4317</v>
      </c>
      <c r="C192" s="60" t="s">
        <v>3024</v>
      </c>
      <c r="D192" s="61" t="s">
        <v>84</v>
      </c>
      <c r="E192" t="str">
        <f>VLOOKUP(Table10[[#This Row],[Country]],Countries!$A$1:$D$205,2,TRUE)</f>
        <v>CAN</v>
      </c>
      <c r="F192" s="60">
        <v>2000</v>
      </c>
      <c r="G192" s="60" t="s">
        <v>4048</v>
      </c>
      <c r="H192" s="65">
        <v>2000</v>
      </c>
      <c r="I192" s="65">
        <v>1500</v>
      </c>
      <c r="J192" s="60" t="s">
        <v>4049</v>
      </c>
      <c r="K192" s="60">
        <v>36.664096999999998</v>
      </c>
      <c r="L192">
        <v>114.115263</v>
      </c>
    </row>
    <row r="193" spans="1:12" x14ac:dyDescent="0.35">
      <c r="A193" s="60" t="s">
        <v>4326</v>
      </c>
      <c r="B193" s="60" t="s">
        <v>4317</v>
      </c>
      <c r="C193" s="60" t="s">
        <v>3024</v>
      </c>
      <c r="D193" s="61" t="s">
        <v>84</v>
      </c>
      <c r="E193" t="str">
        <f>VLOOKUP(Table10[[#This Row],[Country]],Countries!$A$1:$D$205,2,TRUE)</f>
        <v>CAN</v>
      </c>
      <c r="F193" s="60">
        <v>2021</v>
      </c>
      <c r="G193" s="60" t="s">
        <v>4026</v>
      </c>
      <c r="H193" s="65">
        <v>750</v>
      </c>
      <c r="I193" s="65" t="s">
        <v>4022</v>
      </c>
      <c r="J193" s="60" t="s">
        <v>4023</v>
      </c>
      <c r="K193" s="60">
        <v>36.664096999999998</v>
      </c>
      <c r="L193">
        <v>114.115263</v>
      </c>
    </row>
    <row r="194" spans="1:12" x14ac:dyDescent="0.35">
      <c r="A194" s="60" t="s">
        <v>4326</v>
      </c>
      <c r="B194" s="60" t="s">
        <v>4317</v>
      </c>
      <c r="C194" s="60" t="s">
        <v>3024</v>
      </c>
      <c r="D194" s="61" t="s">
        <v>84</v>
      </c>
      <c r="E194" t="str">
        <f>VLOOKUP(Table10[[#This Row],[Country]],Countries!$A$1:$D$205,2,TRUE)</f>
        <v>CAN</v>
      </c>
      <c r="F194" s="60">
        <v>2023</v>
      </c>
      <c r="G194" s="60" t="s">
        <v>4021</v>
      </c>
      <c r="H194" s="65">
        <v>825</v>
      </c>
      <c r="I194" s="65" t="s">
        <v>4022</v>
      </c>
      <c r="J194" s="60" t="s">
        <v>4023</v>
      </c>
      <c r="K194" s="60">
        <v>36.664096999999998</v>
      </c>
      <c r="L194">
        <v>114.115263</v>
      </c>
    </row>
    <row r="195" spans="1:12" x14ac:dyDescent="0.35">
      <c r="A195" s="60" t="s">
        <v>4327</v>
      </c>
      <c r="B195" s="60" t="s">
        <v>4317</v>
      </c>
      <c r="C195" s="60" t="s">
        <v>3024</v>
      </c>
      <c r="D195" s="61" t="s">
        <v>84</v>
      </c>
      <c r="E195" t="str">
        <f>VLOOKUP(Table10[[#This Row],[Country]],Countries!$A$1:$D$205,2,TRUE)</f>
        <v>CAN</v>
      </c>
      <c r="F195" s="60">
        <v>1993</v>
      </c>
      <c r="G195" s="60" t="s">
        <v>4026</v>
      </c>
      <c r="H195" s="65">
        <v>1200</v>
      </c>
      <c r="I195" s="65">
        <v>1160</v>
      </c>
      <c r="J195" s="60" t="s">
        <v>4027</v>
      </c>
      <c r="K195" s="60">
        <v>36.786850999999999</v>
      </c>
      <c r="L195">
        <v>114.376132</v>
      </c>
    </row>
    <row r="196" spans="1:12" x14ac:dyDescent="0.35">
      <c r="A196" s="60" t="s">
        <v>4328</v>
      </c>
      <c r="B196" s="60" t="s">
        <v>4317</v>
      </c>
      <c r="C196" s="60" t="s">
        <v>3024</v>
      </c>
      <c r="D196" s="61" t="s">
        <v>84</v>
      </c>
      <c r="E196" t="str">
        <f>VLOOKUP(Table10[[#This Row],[Country]],Countries!$A$1:$D$205,2,TRUE)</f>
        <v>CAN</v>
      </c>
      <c r="F196" s="60">
        <v>2022</v>
      </c>
      <c r="G196" s="60" t="s">
        <v>4037</v>
      </c>
      <c r="H196" s="65">
        <v>410</v>
      </c>
      <c r="I196" s="65">
        <v>1160</v>
      </c>
      <c r="J196" s="60" t="s">
        <v>4027</v>
      </c>
      <c r="K196" s="60">
        <v>36.786850999999999</v>
      </c>
      <c r="L196">
        <v>114.376132</v>
      </c>
    </row>
    <row r="197" spans="1:12" x14ac:dyDescent="0.35">
      <c r="A197" s="60" t="s">
        <v>4329</v>
      </c>
      <c r="B197" s="60" t="s">
        <v>4317</v>
      </c>
      <c r="C197" s="60" t="s">
        <v>3024</v>
      </c>
      <c r="D197" s="61" t="s">
        <v>84</v>
      </c>
      <c r="E197" t="str">
        <f>VLOOKUP(Table10[[#This Row],[Country]],Countries!$A$1:$D$205,2,TRUE)</f>
        <v>CAN</v>
      </c>
      <c r="F197" s="60">
        <v>1995</v>
      </c>
      <c r="G197" s="60" t="s">
        <v>4026</v>
      </c>
      <c r="H197" s="65">
        <v>3000</v>
      </c>
      <c r="I197" s="65">
        <v>3000</v>
      </c>
      <c r="J197" s="60" t="s">
        <v>4049</v>
      </c>
      <c r="K197" s="60">
        <v>36.718952000000002</v>
      </c>
      <c r="L197">
        <v>114.111677</v>
      </c>
    </row>
    <row r="198" spans="1:12" x14ac:dyDescent="0.35">
      <c r="A198" s="60" t="s">
        <v>4330</v>
      </c>
      <c r="B198" s="60" t="s">
        <v>4317</v>
      </c>
      <c r="C198" s="60" t="s">
        <v>3024</v>
      </c>
      <c r="D198" s="61" t="s">
        <v>84</v>
      </c>
      <c r="E198" t="str">
        <f>VLOOKUP(Table10[[#This Row],[Country]],Countries!$A$1:$D$205,2,TRUE)</f>
        <v>CAN</v>
      </c>
      <c r="F198" s="60">
        <v>2003</v>
      </c>
      <c r="G198" s="60" t="s">
        <v>4026</v>
      </c>
      <c r="H198" s="65">
        <v>2200</v>
      </c>
      <c r="I198" s="65">
        <v>3400</v>
      </c>
      <c r="J198" s="60" t="s">
        <v>4049</v>
      </c>
      <c r="K198" s="60">
        <v>36.679431000000001</v>
      </c>
      <c r="L198">
        <v>114.16902399999999</v>
      </c>
    </row>
    <row r="199" spans="1:12" x14ac:dyDescent="0.35">
      <c r="A199" s="60" t="s">
        <v>4331</v>
      </c>
      <c r="B199" s="60" t="s">
        <v>4317</v>
      </c>
      <c r="C199" s="60" t="s">
        <v>3024</v>
      </c>
      <c r="D199" s="61" t="s">
        <v>84</v>
      </c>
      <c r="E199" t="str">
        <f>VLOOKUP(Table10[[#This Row],[Country]],Countries!$A$1:$D$205,2,TRUE)</f>
        <v>CAN</v>
      </c>
      <c r="F199" s="60">
        <v>2023</v>
      </c>
      <c r="G199" s="60" t="s">
        <v>4037</v>
      </c>
      <c r="H199" s="65">
        <v>1350</v>
      </c>
      <c r="I199" s="65">
        <v>1279</v>
      </c>
      <c r="J199" s="60" t="s">
        <v>4049</v>
      </c>
      <c r="K199" s="60">
        <v>36.725791999999998</v>
      </c>
      <c r="L199">
        <v>114.23971400000001</v>
      </c>
    </row>
    <row r="200" spans="1:12" x14ac:dyDescent="0.35">
      <c r="A200" s="60" t="s">
        <v>4332</v>
      </c>
      <c r="B200" s="60" t="s">
        <v>4317</v>
      </c>
      <c r="C200" s="60" t="s">
        <v>3024</v>
      </c>
      <c r="D200" s="61" t="s">
        <v>84</v>
      </c>
      <c r="E200" t="str">
        <f>VLOOKUP(Table10[[#This Row],[Country]],Countries!$A$1:$D$205,2,TRUE)</f>
        <v>CAN</v>
      </c>
      <c r="F200" s="60">
        <v>1984</v>
      </c>
      <c r="G200" s="60" t="s">
        <v>4048</v>
      </c>
      <c r="H200" s="65">
        <v>3000</v>
      </c>
      <c r="I200" s="65">
        <v>3300</v>
      </c>
      <c r="J200" s="60" t="s">
        <v>4049</v>
      </c>
      <c r="K200" s="60">
        <v>36.710754000000001</v>
      </c>
      <c r="L200">
        <v>114.207855</v>
      </c>
    </row>
    <row r="201" spans="1:12" x14ac:dyDescent="0.35">
      <c r="A201" s="60" t="s">
        <v>4333</v>
      </c>
      <c r="B201" s="60" t="s">
        <v>4317</v>
      </c>
      <c r="C201" s="60" t="s">
        <v>3024</v>
      </c>
      <c r="D201" s="61" t="s">
        <v>84</v>
      </c>
      <c r="E201" t="str">
        <f>VLOOKUP(Table10[[#This Row],[Country]],Countries!$A$1:$D$205,2,TRUE)</f>
        <v>CAN</v>
      </c>
      <c r="F201" s="60">
        <v>2002</v>
      </c>
      <c r="G201" s="60" t="s">
        <v>4048</v>
      </c>
      <c r="H201" s="65">
        <v>1600</v>
      </c>
      <c r="I201" s="65">
        <v>1040</v>
      </c>
      <c r="J201" s="60" t="s">
        <v>4049</v>
      </c>
      <c r="K201" s="60">
        <v>36.555205000000001</v>
      </c>
      <c r="L201">
        <v>114.108273</v>
      </c>
    </row>
    <row r="202" spans="1:12" x14ac:dyDescent="0.35">
      <c r="A202" s="60" t="s">
        <v>4334</v>
      </c>
      <c r="B202" s="60" t="s">
        <v>4317</v>
      </c>
      <c r="C202" s="60" t="s">
        <v>3024</v>
      </c>
      <c r="D202" s="61" t="s">
        <v>84</v>
      </c>
      <c r="E202" t="str">
        <f>VLOOKUP(Table10[[#This Row],[Country]],Countries!$A$1:$D$205,2,TRUE)</f>
        <v>CAN</v>
      </c>
      <c r="F202" s="60">
        <v>1984</v>
      </c>
      <c r="G202" s="60" t="s">
        <v>4026</v>
      </c>
      <c r="H202" s="65">
        <v>2250</v>
      </c>
      <c r="I202" s="65">
        <v>1730</v>
      </c>
      <c r="J202" s="60" t="s">
        <v>4049</v>
      </c>
      <c r="K202" s="60">
        <v>36.640411</v>
      </c>
      <c r="L202">
        <v>113.981172</v>
      </c>
    </row>
    <row r="203" spans="1:12" x14ac:dyDescent="0.35">
      <c r="A203" s="60" t="s">
        <v>4335</v>
      </c>
      <c r="B203" s="60" t="s">
        <v>4317</v>
      </c>
      <c r="C203" s="60" t="s">
        <v>3024</v>
      </c>
      <c r="D203" s="61" t="s">
        <v>84</v>
      </c>
      <c r="E203" t="str">
        <f>VLOOKUP(Table10[[#This Row],[Country]],Countries!$A$1:$D$205,2,TRUE)</f>
        <v>CAN</v>
      </c>
      <c r="F203" s="60" t="s">
        <v>4022</v>
      </c>
      <c r="G203" s="60" t="s">
        <v>4048</v>
      </c>
      <c r="H203" s="65" t="s">
        <v>4022</v>
      </c>
      <c r="I203" s="65">
        <v>1370</v>
      </c>
      <c r="J203" s="60" t="s">
        <v>4111</v>
      </c>
      <c r="K203" s="60">
        <v>36.640411</v>
      </c>
      <c r="L203">
        <v>113.981172</v>
      </c>
    </row>
    <row r="204" spans="1:12" x14ac:dyDescent="0.35">
      <c r="A204" s="60" t="s">
        <v>4336</v>
      </c>
      <c r="B204" s="60" t="s">
        <v>4317</v>
      </c>
      <c r="C204" s="60" t="s">
        <v>3024</v>
      </c>
      <c r="D204" s="61" t="s">
        <v>84</v>
      </c>
      <c r="E204" t="str">
        <f>VLOOKUP(Table10[[#This Row],[Country]],Countries!$A$1:$D$205,2,TRUE)</f>
        <v>CAN</v>
      </c>
      <c r="F204" s="60">
        <v>1993</v>
      </c>
      <c r="G204" s="60" t="s">
        <v>4026</v>
      </c>
      <c r="H204" s="65">
        <v>3219.9999999999995</v>
      </c>
      <c r="I204" s="65">
        <v>2011.2399999999998</v>
      </c>
      <c r="J204" s="60" t="s">
        <v>4049</v>
      </c>
      <c r="K204" s="60">
        <v>36.715631999999999</v>
      </c>
      <c r="L204">
        <v>114.20899199999999</v>
      </c>
    </row>
    <row r="205" spans="1:12" x14ac:dyDescent="0.35">
      <c r="A205" s="60" t="s">
        <v>4337</v>
      </c>
      <c r="B205" s="60" t="s">
        <v>4317</v>
      </c>
      <c r="C205" s="60" t="s">
        <v>3024</v>
      </c>
      <c r="D205" s="61" t="s">
        <v>84</v>
      </c>
      <c r="E205" t="str">
        <f>VLOOKUP(Table10[[#This Row],[Country]],Countries!$A$1:$D$205,2,TRUE)</f>
        <v>CAN</v>
      </c>
      <c r="F205" s="60" t="s">
        <v>4022</v>
      </c>
      <c r="G205" s="60" t="s">
        <v>4048</v>
      </c>
      <c r="H205" s="65" t="s">
        <v>4022</v>
      </c>
      <c r="I205" s="65">
        <v>1160</v>
      </c>
      <c r="J205" s="60" t="s">
        <v>4111</v>
      </c>
      <c r="K205" s="60">
        <v>36.715631999999999</v>
      </c>
      <c r="L205">
        <v>114.20899199999999</v>
      </c>
    </row>
    <row r="206" spans="1:12" x14ac:dyDescent="0.35">
      <c r="A206" s="60" t="s">
        <v>4338</v>
      </c>
      <c r="B206" s="60" t="s">
        <v>4317</v>
      </c>
      <c r="C206" s="60" t="s">
        <v>3024</v>
      </c>
      <c r="D206" s="61" t="s">
        <v>84</v>
      </c>
      <c r="E206" t="str">
        <f>VLOOKUP(Table10[[#This Row],[Country]],Countries!$A$1:$D$205,2,TRUE)</f>
        <v>CAN</v>
      </c>
      <c r="F206" s="60">
        <v>2002</v>
      </c>
      <c r="G206" s="60" t="s">
        <v>4026</v>
      </c>
      <c r="H206" s="65">
        <v>1700</v>
      </c>
      <c r="I206" s="65">
        <v>1280</v>
      </c>
      <c r="J206" s="60" t="s">
        <v>4049</v>
      </c>
      <c r="K206" s="60">
        <v>36.744936000000003</v>
      </c>
      <c r="L206">
        <v>114.111602</v>
      </c>
    </row>
    <row r="207" spans="1:12" x14ac:dyDescent="0.35">
      <c r="A207" s="60" t="s">
        <v>4339</v>
      </c>
      <c r="B207" s="60" t="s">
        <v>4317</v>
      </c>
      <c r="C207" s="60" t="s">
        <v>3024</v>
      </c>
      <c r="D207" s="61" t="s">
        <v>84</v>
      </c>
      <c r="E207" t="str">
        <f>VLOOKUP(Table10[[#This Row],[Country]],Countries!$A$1:$D$205,2,TRUE)</f>
        <v>CAN</v>
      </c>
      <c r="F207" s="60">
        <v>2019</v>
      </c>
      <c r="G207" s="60" t="s">
        <v>4037</v>
      </c>
      <c r="H207" s="65">
        <v>6000</v>
      </c>
      <c r="I207" s="65" t="s">
        <v>4036</v>
      </c>
      <c r="J207" s="60" t="s">
        <v>4036</v>
      </c>
      <c r="K207" s="60">
        <v>36.631490999999997</v>
      </c>
      <c r="L207">
        <v>113.96863500000001</v>
      </c>
    </row>
    <row r="208" spans="1:12" x14ac:dyDescent="0.35">
      <c r="A208" s="60" t="s">
        <v>4340</v>
      </c>
      <c r="B208" s="60" t="s">
        <v>4317</v>
      </c>
      <c r="C208" s="60" t="s">
        <v>3024</v>
      </c>
      <c r="D208" s="61" t="s">
        <v>84</v>
      </c>
      <c r="E208" t="str">
        <f>VLOOKUP(Table10[[#This Row],[Country]],Countries!$A$1:$D$205,2,TRUE)</f>
        <v>CAN</v>
      </c>
      <c r="F208" s="60">
        <v>2021</v>
      </c>
      <c r="G208" s="60" t="s">
        <v>4026</v>
      </c>
      <c r="H208" s="65" t="s">
        <v>4022</v>
      </c>
      <c r="I208" s="65">
        <v>2680</v>
      </c>
      <c r="J208" s="60" t="s">
        <v>4049</v>
      </c>
      <c r="K208" s="60">
        <v>36.613715999999997</v>
      </c>
      <c r="L208">
        <v>114.08234899999999</v>
      </c>
    </row>
    <row r="209" spans="1:12" x14ac:dyDescent="0.35">
      <c r="A209" s="60" t="s">
        <v>4341</v>
      </c>
      <c r="B209" s="60" t="s">
        <v>4317</v>
      </c>
      <c r="C209" s="60" t="s">
        <v>3024</v>
      </c>
      <c r="D209" s="61" t="s">
        <v>84</v>
      </c>
      <c r="E209" t="str">
        <f>VLOOKUP(Table10[[#This Row],[Country]],Countries!$A$1:$D$205,2,TRUE)</f>
        <v>CAN</v>
      </c>
      <c r="F209" s="60">
        <v>2021</v>
      </c>
      <c r="G209" s="60" t="s">
        <v>4026</v>
      </c>
      <c r="H209" s="65">
        <v>2800</v>
      </c>
      <c r="I209" s="65" t="s">
        <v>4022</v>
      </c>
      <c r="J209" s="60" t="s">
        <v>4163</v>
      </c>
      <c r="K209" s="60">
        <v>36.613715999999997</v>
      </c>
      <c r="L209">
        <v>114.08234899999999</v>
      </c>
    </row>
    <row r="210" spans="1:12" x14ac:dyDescent="0.35">
      <c r="A210" s="60" t="s">
        <v>4342</v>
      </c>
      <c r="B210" s="60" t="s">
        <v>4317</v>
      </c>
      <c r="C210" s="60" t="s">
        <v>3024</v>
      </c>
      <c r="D210" s="61" t="s">
        <v>84</v>
      </c>
      <c r="E210" t="str">
        <f>VLOOKUP(Table10[[#This Row],[Country]],Countries!$A$1:$D$205,2,TRUE)</f>
        <v>CAN</v>
      </c>
      <c r="F210" s="60" t="s">
        <v>4036</v>
      </c>
      <c r="G210" s="60" t="s">
        <v>4021</v>
      </c>
      <c r="H210" s="65">
        <v>1150</v>
      </c>
      <c r="I210" s="65">
        <v>1130</v>
      </c>
      <c r="J210" s="60" t="s">
        <v>4049</v>
      </c>
      <c r="K210" s="60">
        <v>36.613715999999997</v>
      </c>
      <c r="L210">
        <v>114.08234899999999</v>
      </c>
    </row>
    <row r="211" spans="1:12" x14ac:dyDescent="0.35">
      <c r="A211" s="60" t="s">
        <v>4343</v>
      </c>
      <c r="B211" s="60" t="s">
        <v>4317</v>
      </c>
      <c r="C211" s="60" t="s">
        <v>3024</v>
      </c>
      <c r="D211" s="61" t="s">
        <v>84</v>
      </c>
      <c r="E211" t="str">
        <f>VLOOKUP(Table10[[#This Row],[Country]],Countries!$A$1:$D$205,2,TRUE)</f>
        <v>CAN</v>
      </c>
      <c r="F211" s="60">
        <v>2022</v>
      </c>
      <c r="G211" s="60" t="s">
        <v>4026</v>
      </c>
      <c r="H211" s="65">
        <v>4700</v>
      </c>
      <c r="I211" s="65">
        <v>5650</v>
      </c>
      <c r="J211" s="60" t="s">
        <v>4049</v>
      </c>
      <c r="K211" s="60">
        <v>36.685881000000002</v>
      </c>
      <c r="L211">
        <v>113.837073</v>
      </c>
    </row>
    <row r="212" spans="1:12" x14ac:dyDescent="0.35">
      <c r="A212" s="60" t="s">
        <v>4344</v>
      </c>
      <c r="B212" s="60" t="s">
        <v>4317</v>
      </c>
      <c r="C212" s="60" t="s">
        <v>3024</v>
      </c>
      <c r="D212" s="61" t="s">
        <v>84</v>
      </c>
      <c r="E212" t="str">
        <f>VLOOKUP(Table10[[#This Row],[Country]],Countries!$A$1:$D$205,2,TRUE)</f>
        <v>CAN</v>
      </c>
      <c r="F212" s="60">
        <v>1993</v>
      </c>
      <c r="G212" s="60" t="s">
        <v>4026</v>
      </c>
      <c r="H212" s="65" t="s">
        <v>4022</v>
      </c>
      <c r="I212" s="65">
        <v>2000</v>
      </c>
      <c r="J212" s="60" t="s">
        <v>4111</v>
      </c>
      <c r="K212" s="60">
        <v>36.705105000000003</v>
      </c>
      <c r="L212">
        <v>114.10538699999999</v>
      </c>
    </row>
    <row r="213" spans="1:12" x14ac:dyDescent="0.35">
      <c r="A213" s="60" t="s">
        <v>4345</v>
      </c>
      <c r="B213" s="60" t="s">
        <v>4317</v>
      </c>
      <c r="C213" s="60" t="s">
        <v>3024</v>
      </c>
      <c r="D213" s="61" t="s">
        <v>84</v>
      </c>
      <c r="E213" t="str">
        <f>VLOOKUP(Table10[[#This Row],[Country]],Countries!$A$1:$D$205,2,TRUE)</f>
        <v>CAN</v>
      </c>
      <c r="F213" s="60">
        <v>2022</v>
      </c>
      <c r="G213" s="60" t="s">
        <v>4026</v>
      </c>
      <c r="H213" s="65">
        <v>2700</v>
      </c>
      <c r="I213" s="65">
        <v>2320</v>
      </c>
      <c r="J213" s="60" t="s">
        <v>4049</v>
      </c>
      <c r="K213" s="60">
        <v>36.718952000000002</v>
      </c>
      <c r="L213">
        <v>114.111677</v>
      </c>
    </row>
    <row r="214" spans="1:12" x14ac:dyDescent="0.35">
      <c r="A214" s="60" t="s">
        <v>4346</v>
      </c>
      <c r="B214" s="60" t="s">
        <v>4317</v>
      </c>
      <c r="C214" s="60" t="s">
        <v>3024</v>
      </c>
      <c r="D214" s="61" t="s">
        <v>84</v>
      </c>
      <c r="E214" t="str">
        <f>VLOOKUP(Table10[[#This Row],[Country]],Countries!$A$1:$D$205,2,TRUE)</f>
        <v>CAN</v>
      </c>
      <c r="F214" s="60">
        <v>2023</v>
      </c>
      <c r="G214" s="60" t="s">
        <v>4037</v>
      </c>
      <c r="H214" s="65">
        <v>2500</v>
      </c>
      <c r="I214" s="65">
        <v>5946</v>
      </c>
      <c r="J214" s="60" t="s">
        <v>4049</v>
      </c>
      <c r="K214" s="60">
        <v>36.718952000000002</v>
      </c>
      <c r="L214">
        <v>114.111677</v>
      </c>
    </row>
    <row r="215" spans="1:12" x14ac:dyDescent="0.35">
      <c r="A215" s="60" t="s">
        <v>4347</v>
      </c>
      <c r="B215" s="60" t="s">
        <v>4317</v>
      </c>
      <c r="C215" s="60" t="s">
        <v>3024</v>
      </c>
      <c r="D215" s="61" t="s">
        <v>84</v>
      </c>
      <c r="E215" t="str">
        <f>VLOOKUP(Table10[[#This Row],[Country]],Countries!$A$1:$D$205,2,TRUE)</f>
        <v>CAN</v>
      </c>
      <c r="F215" s="60">
        <v>2021</v>
      </c>
      <c r="G215" s="60" t="s">
        <v>4026</v>
      </c>
      <c r="H215" s="65">
        <v>1350</v>
      </c>
      <c r="I215" s="65">
        <v>1140</v>
      </c>
      <c r="J215" s="60" t="s">
        <v>4049</v>
      </c>
      <c r="K215" s="60">
        <v>36.530479999999997</v>
      </c>
      <c r="L215">
        <v>114.245262</v>
      </c>
    </row>
    <row r="216" spans="1:12" x14ac:dyDescent="0.35">
      <c r="A216" s="60" t="s">
        <v>4348</v>
      </c>
      <c r="B216" s="60" t="s">
        <v>4349</v>
      </c>
      <c r="C216" s="60" t="s">
        <v>3024</v>
      </c>
      <c r="D216" s="61" t="s">
        <v>84</v>
      </c>
      <c r="E216" t="str">
        <f>VLOOKUP(Table10[[#This Row],[Country]],Countries!$A$1:$D$205,2,TRUE)</f>
        <v>CAN</v>
      </c>
      <c r="F216" s="60">
        <v>2006</v>
      </c>
      <c r="G216" s="60" t="s">
        <v>4026</v>
      </c>
      <c r="H216" s="65">
        <v>7500</v>
      </c>
      <c r="I216" s="65">
        <v>7500</v>
      </c>
      <c r="J216" s="60" t="s">
        <v>4049</v>
      </c>
      <c r="K216" s="60">
        <v>38.289220999999998</v>
      </c>
      <c r="L216">
        <v>117.814367</v>
      </c>
    </row>
    <row r="217" spans="1:12" x14ac:dyDescent="0.35">
      <c r="A217" s="60" t="s">
        <v>4350</v>
      </c>
      <c r="B217" s="60" t="s">
        <v>4351</v>
      </c>
      <c r="C217" s="60" t="s">
        <v>3024</v>
      </c>
      <c r="D217" s="61" t="s">
        <v>84</v>
      </c>
      <c r="E217" t="str">
        <f>VLOOKUP(Table10[[#This Row],[Country]],Countries!$A$1:$D$205,2,TRUE)</f>
        <v>CAN</v>
      </c>
      <c r="F217" s="60">
        <v>2007</v>
      </c>
      <c r="G217" s="60" t="s">
        <v>4048</v>
      </c>
      <c r="H217" s="65">
        <v>4000</v>
      </c>
      <c r="I217" s="65">
        <v>4080</v>
      </c>
      <c r="J217" s="60" t="s">
        <v>4049</v>
      </c>
      <c r="K217" s="60">
        <v>39.181466</v>
      </c>
      <c r="L217">
        <v>116.838667</v>
      </c>
    </row>
    <row r="218" spans="1:12" x14ac:dyDescent="0.35">
      <c r="A218" s="60" t="s">
        <v>4352</v>
      </c>
      <c r="B218" s="60" t="s">
        <v>4353</v>
      </c>
      <c r="C218" s="60" t="s">
        <v>3024</v>
      </c>
      <c r="D218" s="61" t="s">
        <v>84</v>
      </c>
      <c r="E218" t="str">
        <f>VLOOKUP(Table10[[#This Row],[Country]],Countries!$A$1:$D$205,2,TRUE)</f>
        <v>CAN</v>
      </c>
      <c r="F218" s="60">
        <v>2022</v>
      </c>
      <c r="G218" s="60" t="s">
        <v>4021</v>
      </c>
      <c r="H218" s="65">
        <v>1500</v>
      </c>
      <c r="I218" s="65">
        <v>1330</v>
      </c>
      <c r="J218" s="60" t="s">
        <v>4049</v>
      </c>
      <c r="K218" s="60">
        <v>39.293146999999998</v>
      </c>
      <c r="L218">
        <v>119.046972</v>
      </c>
    </row>
    <row r="219" spans="1:12" x14ac:dyDescent="0.35">
      <c r="A219" s="60" t="s">
        <v>4354</v>
      </c>
      <c r="B219" s="60" t="s">
        <v>4353</v>
      </c>
      <c r="C219" s="60" t="s">
        <v>3024</v>
      </c>
      <c r="D219" s="61" t="s">
        <v>84</v>
      </c>
      <c r="E219" t="str">
        <f>VLOOKUP(Table10[[#This Row],[Country]],Countries!$A$1:$D$205,2,TRUE)</f>
        <v>CAN</v>
      </c>
      <c r="F219" s="60">
        <v>2022</v>
      </c>
      <c r="G219" s="60" t="s">
        <v>4021</v>
      </c>
      <c r="H219" s="65">
        <v>1500</v>
      </c>
      <c r="I219" s="65">
        <v>1330</v>
      </c>
      <c r="J219" s="60" t="s">
        <v>4049</v>
      </c>
      <c r="K219" s="60">
        <v>39.293146999999998</v>
      </c>
      <c r="L219">
        <v>119.046972</v>
      </c>
    </row>
    <row r="220" spans="1:12" x14ac:dyDescent="0.35">
      <c r="A220" s="60" t="s">
        <v>4355</v>
      </c>
      <c r="B220" s="60" t="s">
        <v>4356</v>
      </c>
      <c r="C220" s="60" t="s">
        <v>3024</v>
      </c>
      <c r="D220" s="61" t="s">
        <v>84</v>
      </c>
      <c r="E220" t="str">
        <f>VLOOKUP(Table10[[#This Row],[Country]],Countries!$A$1:$D$205,2,TRUE)</f>
        <v>CAN</v>
      </c>
      <c r="F220" s="60">
        <v>2002</v>
      </c>
      <c r="G220" s="60" t="s">
        <v>4026</v>
      </c>
      <c r="H220" s="65">
        <v>4100</v>
      </c>
      <c r="I220" s="65">
        <v>3540</v>
      </c>
      <c r="J220" s="60" t="s">
        <v>4049</v>
      </c>
      <c r="K220" s="60">
        <v>39.700721000000001</v>
      </c>
      <c r="L220">
        <v>118.871477</v>
      </c>
    </row>
    <row r="221" spans="1:12" x14ac:dyDescent="0.35">
      <c r="A221" s="60" t="s">
        <v>4357</v>
      </c>
      <c r="B221" s="60" t="s">
        <v>4356</v>
      </c>
      <c r="C221" s="60" t="s">
        <v>3024</v>
      </c>
      <c r="D221" s="61" t="s">
        <v>84</v>
      </c>
      <c r="E221" t="str">
        <f>VLOOKUP(Table10[[#This Row],[Country]],Countries!$A$1:$D$205,2,TRUE)</f>
        <v>CAN</v>
      </c>
      <c r="F221" s="60" t="s">
        <v>4036</v>
      </c>
      <c r="G221" s="60" t="s">
        <v>4037</v>
      </c>
      <c r="H221" s="65">
        <v>1150</v>
      </c>
      <c r="I221" s="65">
        <v>1130</v>
      </c>
      <c r="J221" s="60" t="s">
        <v>4049</v>
      </c>
      <c r="K221" s="60">
        <v>39.700721000000001</v>
      </c>
      <c r="L221">
        <v>118.871477</v>
      </c>
    </row>
    <row r="222" spans="1:12" x14ac:dyDescent="0.35">
      <c r="A222" s="60" t="s">
        <v>4358</v>
      </c>
      <c r="B222" s="60" t="s">
        <v>4356</v>
      </c>
      <c r="C222" s="60" t="s">
        <v>3024</v>
      </c>
      <c r="D222" s="61" t="s">
        <v>84</v>
      </c>
      <c r="E222" t="str">
        <f>VLOOKUP(Table10[[#This Row],[Country]],Countries!$A$1:$D$205,2,TRUE)</f>
        <v>CAN</v>
      </c>
      <c r="F222" s="60">
        <v>2006</v>
      </c>
      <c r="G222" s="60" t="s">
        <v>4026</v>
      </c>
      <c r="H222" s="65">
        <v>1500</v>
      </c>
      <c r="I222" s="65">
        <v>1820</v>
      </c>
      <c r="J222" s="60" t="s">
        <v>4049</v>
      </c>
      <c r="K222" s="60">
        <v>39.748773</v>
      </c>
      <c r="L222">
        <v>118.819472</v>
      </c>
    </row>
    <row r="223" spans="1:12" x14ac:dyDescent="0.35">
      <c r="A223" s="60" t="s">
        <v>4359</v>
      </c>
      <c r="B223" s="60" t="s">
        <v>4356</v>
      </c>
      <c r="C223" s="60" t="s">
        <v>3024</v>
      </c>
      <c r="D223" s="61" t="s">
        <v>84</v>
      </c>
      <c r="E223" t="str">
        <f>VLOOKUP(Table10[[#This Row],[Country]],Countries!$A$1:$D$205,2,TRUE)</f>
        <v>CAN</v>
      </c>
      <c r="F223" s="60" t="s">
        <v>4036</v>
      </c>
      <c r="G223" s="60" t="s">
        <v>4021</v>
      </c>
      <c r="H223" s="65">
        <v>1510</v>
      </c>
      <c r="I223" s="65" t="s">
        <v>4022</v>
      </c>
      <c r="J223" s="60" t="s">
        <v>4360</v>
      </c>
      <c r="K223" s="60">
        <v>39.748773</v>
      </c>
      <c r="L223">
        <v>118.819472</v>
      </c>
    </row>
    <row r="224" spans="1:12" x14ac:dyDescent="0.35">
      <c r="A224" s="60" t="s">
        <v>4361</v>
      </c>
      <c r="B224" s="60" t="s">
        <v>4356</v>
      </c>
      <c r="C224" s="60" t="s">
        <v>3024</v>
      </c>
      <c r="D224" s="60" t="s">
        <v>84</v>
      </c>
      <c r="E224" t="str">
        <f>VLOOKUP(Table10[[#This Row],[Country]],Countries!$A$1:$D$205,2,TRUE)</f>
        <v>CAN</v>
      </c>
      <c r="F224" s="60">
        <v>2002</v>
      </c>
      <c r="G224" s="60" t="s">
        <v>4026</v>
      </c>
      <c r="H224" s="65">
        <v>7100</v>
      </c>
      <c r="I224" s="65">
        <v>5370</v>
      </c>
      <c r="J224" s="60" t="s">
        <v>4049</v>
      </c>
      <c r="K224" s="60">
        <v>39.65849</v>
      </c>
      <c r="L224">
        <v>118.89480399999999</v>
      </c>
    </row>
    <row r="225" spans="1:12" x14ac:dyDescent="0.35">
      <c r="A225" s="60" t="s">
        <v>4362</v>
      </c>
      <c r="B225" s="60" t="s">
        <v>4363</v>
      </c>
      <c r="C225" s="60" t="s">
        <v>3024</v>
      </c>
      <c r="D225" s="61" t="s">
        <v>84</v>
      </c>
      <c r="E225" t="str">
        <f>VLOOKUP(Table10[[#This Row],[Country]],Countries!$A$1:$D$205,2,TRUE)</f>
        <v>CAN</v>
      </c>
      <c r="F225" s="60">
        <v>1957</v>
      </c>
      <c r="G225" s="60" t="s">
        <v>4048</v>
      </c>
      <c r="H225" s="65">
        <v>2160</v>
      </c>
      <c r="I225" s="65">
        <v>9690</v>
      </c>
      <c r="J225" s="60" t="s">
        <v>4161</v>
      </c>
      <c r="K225" s="60">
        <v>38.060735000000001</v>
      </c>
      <c r="L225">
        <v>114.56035799999999</v>
      </c>
    </row>
    <row r="226" spans="1:12" x14ac:dyDescent="0.35">
      <c r="A226" s="60" t="s">
        <v>4364</v>
      </c>
      <c r="B226" s="60" t="s">
        <v>4363</v>
      </c>
      <c r="C226" s="60" t="s">
        <v>3024</v>
      </c>
      <c r="D226" s="61" t="s">
        <v>84</v>
      </c>
      <c r="E226" t="str">
        <f>VLOOKUP(Table10[[#This Row],[Country]],Countries!$A$1:$D$205,2,TRUE)</f>
        <v>CAN</v>
      </c>
      <c r="F226" s="60">
        <v>1996</v>
      </c>
      <c r="G226" s="60" t="s">
        <v>4026</v>
      </c>
      <c r="H226" s="65">
        <v>12000</v>
      </c>
      <c r="I226" s="65">
        <v>12000</v>
      </c>
      <c r="J226" s="60" t="s">
        <v>4049</v>
      </c>
      <c r="K226" s="60">
        <v>38.391371999999997</v>
      </c>
      <c r="L226">
        <v>114.13999800000001</v>
      </c>
    </row>
    <row r="227" spans="1:12" x14ac:dyDescent="0.35">
      <c r="A227" s="60" t="s">
        <v>4365</v>
      </c>
      <c r="B227" s="60" t="s">
        <v>4363</v>
      </c>
      <c r="C227" s="60" t="s">
        <v>3024</v>
      </c>
      <c r="D227" s="61" t="s">
        <v>84</v>
      </c>
      <c r="E227" t="str">
        <f>VLOOKUP(Table10[[#This Row],[Country]],Countries!$A$1:$D$205,2,TRUE)</f>
        <v>CAN</v>
      </c>
      <c r="F227" s="60">
        <v>2022</v>
      </c>
      <c r="G227" s="60" t="s">
        <v>4026</v>
      </c>
      <c r="H227" s="65" t="s">
        <v>4022</v>
      </c>
      <c r="I227" s="65">
        <v>1330</v>
      </c>
      <c r="J227" s="60" t="s">
        <v>4111</v>
      </c>
      <c r="K227" s="60">
        <v>38.391371999999997</v>
      </c>
      <c r="L227">
        <v>114.13999800000001</v>
      </c>
    </row>
    <row r="228" spans="1:12" x14ac:dyDescent="0.35">
      <c r="A228" s="60" t="s">
        <v>4366</v>
      </c>
      <c r="B228" s="60" t="s">
        <v>4363</v>
      </c>
      <c r="C228" s="60" t="s">
        <v>3024</v>
      </c>
      <c r="D228" s="61" t="s">
        <v>84</v>
      </c>
      <c r="E228" t="str">
        <f>VLOOKUP(Table10[[#This Row],[Country]],Countries!$A$1:$D$205,2,TRUE)</f>
        <v>CAN</v>
      </c>
      <c r="F228" s="60">
        <v>2022</v>
      </c>
      <c r="G228" s="60" t="s">
        <v>4026</v>
      </c>
      <c r="H228" s="65" t="s">
        <v>4022</v>
      </c>
      <c r="I228" s="65">
        <v>1330</v>
      </c>
      <c r="J228" s="60" t="s">
        <v>4111</v>
      </c>
      <c r="K228" s="60">
        <v>38.391371999999997</v>
      </c>
      <c r="L228">
        <v>114.13999800000001</v>
      </c>
    </row>
    <row r="229" spans="1:12" x14ac:dyDescent="0.35">
      <c r="A229" s="60" t="s">
        <v>4367</v>
      </c>
      <c r="B229" s="60" t="s">
        <v>4363</v>
      </c>
      <c r="C229" s="60" t="s">
        <v>3024</v>
      </c>
      <c r="D229" s="61" t="s">
        <v>84</v>
      </c>
      <c r="E229" t="str">
        <f>VLOOKUP(Table10[[#This Row],[Country]],Countries!$A$1:$D$205,2,TRUE)</f>
        <v>CAN</v>
      </c>
      <c r="F229" s="60">
        <v>2022</v>
      </c>
      <c r="G229" s="60" t="s">
        <v>4026</v>
      </c>
      <c r="H229" s="65">
        <v>1600</v>
      </c>
      <c r="I229" s="65" t="s">
        <v>4022</v>
      </c>
      <c r="J229" s="60" t="s">
        <v>4163</v>
      </c>
      <c r="K229" s="60">
        <v>38.391371999999997</v>
      </c>
      <c r="L229">
        <v>114.13999800000001</v>
      </c>
    </row>
    <row r="230" spans="1:12" x14ac:dyDescent="0.35">
      <c r="A230" s="60" t="s">
        <v>4368</v>
      </c>
      <c r="B230" s="60" t="s">
        <v>4363</v>
      </c>
      <c r="C230" s="60" t="s">
        <v>3024</v>
      </c>
      <c r="D230" s="61" t="s">
        <v>84</v>
      </c>
      <c r="E230" t="str">
        <f>VLOOKUP(Table10[[#This Row],[Country]],Countries!$A$1:$D$205,2,TRUE)</f>
        <v>CAN</v>
      </c>
      <c r="F230" s="60">
        <v>2002</v>
      </c>
      <c r="G230" s="60" t="s">
        <v>4026</v>
      </c>
      <c r="H230" s="65">
        <v>3600</v>
      </c>
      <c r="I230" s="65">
        <v>1330</v>
      </c>
      <c r="J230" s="60" t="s">
        <v>4049</v>
      </c>
      <c r="K230" s="60">
        <v>37.752350999999997</v>
      </c>
      <c r="L230">
        <v>115.184798</v>
      </c>
    </row>
    <row r="231" spans="1:12" x14ac:dyDescent="0.35">
      <c r="A231" s="60" t="s">
        <v>4369</v>
      </c>
      <c r="B231" s="60" t="s">
        <v>4363</v>
      </c>
      <c r="C231" s="60" t="s">
        <v>3024</v>
      </c>
      <c r="D231" s="61" t="s">
        <v>84</v>
      </c>
      <c r="E231" t="str">
        <f>VLOOKUP(Table10[[#This Row],[Country]],Countries!$A$1:$D$205,2,TRUE)</f>
        <v>CAN</v>
      </c>
      <c r="F231" s="60" t="s">
        <v>4036</v>
      </c>
      <c r="G231" s="60" t="s">
        <v>4037</v>
      </c>
      <c r="H231" s="65" t="s">
        <v>4022</v>
      </c>
      <c r="I231" s="65">
        <v>1330</v>
      </c>
      <c r="J231" s="60" t="s">
        <v>4111</v>
      </c>
      <c r="K231" s="60">
        <v>37.752350999999997</v>
      </c>
      <c r="L231">
        <v>115.184798</v>
      </c>
    </row>
    <row r="232" spans="1:12" x14ac:dyDescent="0.35">
      <c r="A232" s="60" t="s">
        <v>4370</v>
      </c>
      <c r="B232" s="60" t="s">
        <v>4363</v>
      </c>
      <c r="C232" s="60" t="s">
        <v>3024</v>
      </c>
      <c r="D232" s="61" t="s">
        <v>84</v>
      </c>
      <c r="E232" t="str">
        <f>VLOOKUP(Table10[[#This Row],[Country]],Countries!$A$1:$D$205,2,TRUE)</f>
        <v>CAN</v>
      </c>
      <c r="F232" s="60">
        <v>2020</v>
      </c>
      <c r="G232" s="60" t="s">
        <v>4026</v>
      </c>
      <c r="H232" s="65">
        <v>2000</v>
      </c>
      <c r="I232" s="65" t="s">
        <v>4036</v>
      </c>
      <c r="J232" s="60" t="s">
        <v>4023</v>
      </c>
      <c r="K232" s="60">
        <v>38.075007999999997</v>
      </c>
      <c r="L232">
        <v>114.03304300000001</v>
      </c>
    </row>
    <row r="233" spans="1:12" x14ac:dyDescent="0.35">
      <c r="A233" s="60" t="s">
        <v>4371</v>
      </c>
      <c r="B233" s="60" t="s">
        <v>4372</v>
      </c>
      <c r="C233" s="60" t="s">
        <v>3024</v>
      </c>
      <c r="D233" s="61" t="s">
        <v>84</v>
      </c>
      <c r="E233" t="str">
        <f>VLOOKUP(Table10[[#This Row],[Country]],Countries!$A$1:$D$205,2,TRUE)</f>
        <v>CAN</v>
      </c>
      <c r="F233" s="60">
        <v>2004</v>
      </c>
      <c r="G233" s="60" t="s">
        <v>4048</v>
      </c>
      <c r="H233" s="65">
        <v>1600</v>
      </c>
      <c r="I233" s="65">
        <v>1240</v>
      </c>
      <c r="J233" s="60" t="s">
        <v>4049</v>
      </c>
      <c r="K233" s="60">
        <v>40.044026000000002</v>
      </c>
      <c r="L233">
        <v>118.552001</v>
      </c>
    </row>
    <row r="234" spans="1:12" x14ac:dyDescent="0.35">
      <c r="A234" s="60" t="s">
        <v>4373</v>
      </c>
      <c r="B234" s="60" t="s">
        <v>4372</v>
      </c>
      <c r="C234" s="60" t="s">
        <v>3024</v>
      </c>
      <c r="D234" s="61" t="s">
        <v>84</v>
      </c>
      <c r="E234" t="str">
        <f>VLOOKUP(Table10[[#This Row],[Country]],Countries!$A$1:$D$205,2,TRUE)</f>
        <v>CAN</v>
      </c>
      <c r="F234" s="60">
        <v>2023</v>
      </c>
      <c r="G234" s="60" t="s">
        <v>4037</v>
      </c>
      <c r="H234" s="65">
        <v>1500</v>
      </c>
      <c r="I234" s="65" t="s">
        <v>4022</v>
      </c>
      <c r="J234" s="60" t="s">
        <v>4023</v>
      </c>
      <c r="K234" s="60">
        <v>40.044026000000002</v>
      </c>
      <c r="L234">
        <v>118.552001</v>
      </c>
    </row>
    <row r="235" spans="1:12" x14ac:dyDescent="0.35">
      <c r="A235" s="60" t="s">
        <v>4374</v>
      </c>
      <c r="B235" s="60" t="s">
        <v>4372</v>
      </c>
      <c r="C235" s="60" t="s">
        <v>3024</v>
      </c>
      <c r="D235" s="61" t="s">
        <v>84</v>
      </c>
      <c r="E235" t="str">
        <f>VLOOKUP(Table10[[#This Row],[Country]],Countries!$A$1:$D$205,2,TRUE)</f>
        <v>CAN</v>
      </c>
      <c r="F235" s="60">
        <v>1943</v>
      </c>
      <c r="G235" s="60" t="s">
        <v>4048</v>
      </c>
      <c r="H235" s="65">
        <v>6840</v>
      </c>
      <c r="I235" s="65">
        <v>7040</v>
      </c>
      <c r="J235" s="60" t="s">
        <v>4049</v>
      </c>
      <c r="K235" s="60">
        <v>39.648586999999999</v>
      </c>
      <c r="L235">
        <v>118.212487</v>
      </c>
    </row>
    <row r="236" spans="1:12" x14ac:dyDescent="0.35">
      <c r="A236" s="60" t="s">
        <v>4375</v>
      </c>
      <c r="B236" s="60" t="s">
        <v>4372</v>
      </c>
      <c r="C236" s="60" t="s">
        <v>3024</v>
      </c>
      <c r="D236" s="61" t="s">
        <v>84</v>
      </c>
      <c r="E236" t="str">
        <f>VLOOKUP(Table10[[#This Row],[Country]],Countries!$A$1:$D$205,2,TRUE)</f>
        <v>CAN</v>
      </c>
      <c r="F236" s="60">
        <v>2005</v>
      </c>
      <c r="G236" s="60" t="s">
        <v>4026</v>
      </c>
      <c r="H236" s="65">
        <v>13700</v>
      </c>
      <c r="I236" s="65">
        <v>13470</v>
      </c>
      <c r="J236" s="60" t="s">
        <v>4049</v>
      </c>
      <c r="K236" s="60">
        <v>38.953664000000003</v>
      </c>
      <c r="L236">
        <v>118.50339</v>
      </c>
    </row>
    <row r="237" spans="1:12" x14ac:dyDescent="0.35">
      <c r="A237" s="60" t="s">
        <v>4376</v>
      </c>
      <c r="B237" s="60" t="s">
        <v>4372</v>
      </c>
      <c r="C237" s="60" t="s">
        <v>3024</v>
      </c>
      <c r="D237" s="61" t="s">
        <v>84</v>
      </c>
      <c r="E237" t="str">
        <f>VLOOKUP(Table10[[#This Row],[Country]],Countries!$A$1:$D$205,2,TRUE)</f>
        <v>CAN</v>
      </c>
      <c r="F237" s="60">
        <v>2002</v>
      </c>
      <c r="G237" s="60" t="s">
        <v>4026</v>
      </c>
      <c r="H237" s="65">
        <v>8000</v>
      </c>
      <c r="I237" s="65">
        <v>13470</v>
      </c>
      <c r="J237" s="60" t="s">
        <v>4049</v>
      </c>
      <c r="K237" s="60">
        <v>39.976702000000003</v>
      </c>
      <c r="L237">
        <v>118.55878800000001</v>
      </c>
    </row>
    <row r="238" spans="1:12" x14ac:dyDescent="0.35">
      <c r="A238" s="60" t="s">
        <v>4377</v>
      </c>
      <c r="B238" s="60" t="s">
        <v>4372</v>
      </c>
      <c r="C238" s="60" t="s">
        <v>3024</v>
      </c>
      <c r="D238" s="61" t="s">
        <v>84</v>
      </c>
      <c r="E238" t="str">
        <f>VLOOKUP(Table10[[#This Row],[Country]],Countries!$A$1:$D$205,2,TRUE)</f>
        <v>CAN</v>
      </c>
      <c r="F238" s="60">
        <v>2009</v>
      </c>
      <c r="G238" s="60" t="s">
        <v>4026</v>
      </c>
      <c r="H238" s="65">
        <v>5500</v>
      </c>
      <c r="I238" s="65">
        <v>5500</v>
      </c>
      <c r="J238" s="60" t="s">
        <v>4049</v>
      </c>
      <c r="K238" s="60">
        <v>39.468366000000003</v>
      </c>
      <c r="L238">
        <v>118.25677399999999</v>
      </c>
    </row>
    <row r="239" spans="1:12" x14ac:dyDescent="0.35">
      <c r="A239" s="60" t="s">
        <v>4378</v>
      </c>
      <c r="B239" s="60" t="s">
        <v>4372</v>
      </c>
      <c r="C239" s="60" t="s">
        <v>3024</v>
      </c>
      <c r="D239" s="61" t="s">
        <v>84</v>
      </c>
      <c r="E239" t="str">
        <f>VLOOKUP(Table10[[#This Row],[Country]],Countries!$A$1:$D$205,2,TRUE)</f>
        <v>CAN</v>
      </c>
      <c r="F239" s="60">
        <v>2024</v>
      </c>
      <c r="G239" s="60" t="s">
        <v>4037</v>
      </c>
      <c r="H239" s="65">
        <v>4600</v>
      </c>
      <c r="I239" s="65">
        <v>1453</v>
      </c>
      <c r="J239" s="60" t="s">
        <v>4161</v>
      </c>
      <c r="K239" s="60">
        <v>39.468366000000003</v>
      </c>
      <c r="L239">
        <v>118.25677399999999</v>
      </c>
    </row>
    <row r="240" spans="1:12" x14ac:dyDescent="0.35">
      <c r="A240" s="60" t="s">
        <v>4379</v>
      </c>
      <c r="B240" s="60" t="s">
        <v>4372</v>
      </c>
      <c r="C240" s="60" t="s">
        <v>3024</v>
      </c>
      <c r="D240" s="61" t="s">
        <v>84</v>
      </c>
      <c r="E240" t="str">
        <f>VLOOKUP(Table10[[#This Row],[Country]],Countries!$A$1:$D$205,2,TRUE)</f>
        <v>CAN</v>
      </c>
      <c r="F240" s="60">
        <v>2002</v>
      </c>
      <c r="G240" s="60" t="s">
        <v>4026</v>
      </c>
      <c r="H240" s="65">
        <v>2400</v>
      </c>
      <c r="I240" s="65">
        <v>2950</v>
      </c>
      <c r="J240" s="60" t="s">
        <v>4049</v>
      </c>
      <c r="K240" s="60">
        <v>39.497472000000002</v>
      </c>
      <c r="L240">
        <v>118.27205600000001</v>
      </c>
    </row>
    <row r="241" spans="1:12" x14ac:dyDescent="0.35">
      <c r="A241" s="60" t="s">
        <v>4380</v>
      </c>
      <c r="B241" s="60" t="s">
        <v>4372</v>
      </c>
      <c r="C241" s="60" t="s">
        <v>3024</v>
      </c>
      <c r="D241" s="61" t="s">
        <v>84</v>
      </c>
      <c r="E241" t="str">
        <f>VLOOKUP(Table10[[#This Row],[Country]],Countries!$A$1:$D$205,2,TRUE)</f>
        <v>CAN</v>
      </c>
      <c r="F241" s="60">
        <v>2021</v>
      </c>
      <c r="G241" s="60" t="s">
        <v>4026</v>
      </c>
      <c r="H241" s="65">
        <v>2100</v>
      </c>
      <c r="I241" s="65">
        <v>1610</v>
      </c>
      <c r="J241" s="60" t="s">
        <v>4049</v>
      </c>
      <c r="K241" s="60">
        <v>39.497472000000002</v>
      </c>
      <c r="L241">
        <v>118.27205600000001</v>
      </c>
    </row>
    <row r="242" spans="1:12" x14ac:dyDescent="0.35">
      <c r="A242" s="60" t="s">
        <v>4381</v>
      </c>
      <c r="B242" s="60" t="s">
        <v>4372</v>
      </c>
      <c r="C242" s="60" t="s">
        <v>3024</v>
      </c>
      <c r="D242" s="61" t="s">
        <v>84</v>
      </c>
      <c r="E242" t="str">
        <f>VLOOKUP(Table10[[#This Row],[Country]],Countries!$A$1:$D$205,2,TRUE)</f>
        <v>CAN</v>
      </c>
      <c r="F242" s="60">
        <v>2002</v>
      </c>
      <c r="G242" s="60" t="s">
        <v>4026</v>
      </c>
      <c r="H242" s="65">
        <v>5920</v>
      </c>
      <c r="I242" s="65">
        <v>6540</v>
      </c>
      <c r="J242" s="60" t="s">
        <v>4049</v>
      </c>
      <c r="K242" s="60">
        <v>39.952209000000003</v>
      </c>
      <c r="L242">
        <v>118.559444</v>
      </c>
    </row>
    <row r="243" spans="1:12" x14ac:dyDescent="0.35">
      <c r="A243" s="60" t="s">
        <v>4382</v>
      </c>
      <c r="B243" s="60" t="s">
        <v>4372</v>
      </c>
      <c r="C243" s="60" t="s">
        <v>3024</v>
      </c>
      <c r="D243" s="61" t="s">
        <v>84</v>
      </c>
      <c r="E243" t="str">
        <f>VLOOKUP(Table10[[#This Row],[Country]],Countries!$A$1:$D$205,2,TRUE)</f>
        <v>CAN</v>
      </c>
      <c r="F243" s="60">
        <v>2023</v>
      </c>
      <c r="G243" s="60" t="s">
        <v>4037</v>
      </c>
      <c r="H243" s="65">
        <v>3038</v>
      </c>
      <c r="I243" s="65">
        <v>2300</v>
      </c>
      <c r="J243" s="60" t="s">
        <v>4027</v>
      </c>
      <c r="K243" s="60">
        <v>39.952209000000003</v>
      </c>
      <c r="L243">
        <v>118.559444</v>
      </c>
    </row>
    <row r="244" spans="1:12" x14ac:dyDescent="0.35">
      <c r="A244" s="60" t="s">
        <v>4383</v>
      </c>
      <c r="B244" s="60" t="s">
        <v>4372</v>
      </c>
      <c r="C244" s="60" t="s">
        <v>3024</v>
      </c>
      <c r="D244" s="61" t="s">
        <v>84</v>
      </c>
      <c r="E244" t="str">
        <f>VLOOKUP(Table10[[#This Row],[Country]],Countries!$A$1:$D$205,2,TRUE)</f>
        <v>CAN</v>
      </c>
      <c r="F244" s="60">
        <v>2002</v>
      </c>
      <c r="G244" s="60" t="s">
        <v>4026</v>
      </c>
      <c r="H244" s="65">
        <v>9240</v>
      </c>
      <c r="I244" s="65">
        <v>10000</v>
      </c>
      <c r="J244" s="60" t="s">
        <v>4049</v>
      </c>
      <c r="K244" s="60">
        <v>39.925508000000001</v>
      </c>
      <c r="L244">
        <v>118.67275600000001</v>
      </c>
    </row>
    <row r="245" spans="1:12" x14ac:dyDescent="0.35">
      <c r="A245" s="60" t="s">
        <v>4384</v>
      </c>
      <c r="B245" s="60" t="s">
        <v>4372</v>
      </c>
      <c r="C245" s="60" t="s">
        <v>3024</v>
      </c>
      <c r="D245" s="61" t="s">
        <v>84</v>
      </c>
      <c r="E245" t="str">
        <f>VLOOKUP(Table10[[#This Row],[Country]],Countries!$A$1:$D$205,2,TRUE)</f>
        <v>CAN</v>
      </c>
      <c r="F245" s="60">
        <v>2021</v>
      </c>
      <c r="G245" s="60" t="s">
        <v>4026</v>
      </c>
      <c r="H245" s="65">
        <v>750</v>
      </c>
      <c r="I245" s="65" t="s">
        <v>4022</v>
      </c>
      <c r="J245" s="60" t="s">
        <v>4163</v>
      </c>
      <c r="K245" s="60">
        <v>39.925508000000001</v>
      </c>
      <c r="L245">
        <v>118.672757</v>
      </c>
    </row>
    <row r="246" spans="1:12" x14ac:dyDescent="0.35">
      <c r="A246" s="60" t="s">
        <v>4385</v>
      </c>
      <c r="B246" s="60" t="s">
        <v>4372</v>
      </c>
      <c r="C246" s="60" t="s">
        <v>3024</v>
      </c>
      <c r="D246" s="61" t="s">
        <v>84</v>
      </c>
      <c r="E246" t="str">
        <f>VLOOKUP(Table10[[#This Row],[Country]],Countries!$A$1:$D$205,2,TRUE)</f>
        <v>CAN</v>
      </c>
      <c r="F246" s="60">
        <v>1969</v>
      </c>
      <c r="G246" s="60" t="s">
        <v>4026</v>
      </c>
      <c r="H246" s="65">
        <v>5000</v>
      </c>
      <c r="I246" s="65">
        <v>3440</v>
      </c>
      <c r="J246" s="60" t="s">
        <v>4049</v>
      </c>
      <c r="K246" s="60">
        <v>39.938865999999997</v>
      </c>
      <c r="L246">
        <v>118.576678</v>
      </c>
    </row>
    <row r="247" spans="1:12" x14ac:dyDescent="0.35">
      <c r="A247" s="60" t="s">
        <v>4386</v>
      </c>
      <c r="B247" s="60" t="s">
        <v>4372</v>
      </c>
      <c r="C247" s="60" t="s">
        <v>3024</v>
      </c>
      <c r="D247" s="61" t="s">
        <v>84</v>
      </c>
      <c r="E247" t="str">
        <f>VLOOKUP(Table10[[#This Row],[Country]],Countries!$A$1:$D$205,2,TRUE)</f>
        <v>CAN</v>
      </c>
      <c r="F247" s="60">
        <v>2023</v>
      </c>
      <c r="G247" s="60" t="s">
        <v>4037</v>
      </c>
      <c r="H247" s="65" t="s">
        <v>4022</v>
      </c>
      <c r="I247" s="65">
        <v>1330</v>
      </c>
      <c r="J247" s="60" t="s">
        <v>4111</v>
      </c>
      <c r="K247" s="60">
        <v>39.938865999999997</v>
      </c>
      <c r="L247">
        <v>118.576678</v>
      </c>
    </row>
    <row r="248" spans="1:12" x14ac:dyDescent="0.35">
      <c r="A248" s="60" t="s">
        <v>4387</v>
      </c>
      <c r="B248" s="60" t="s">
        <v>4372</v>
      </c>
      <c r="C248" s="60" t="s">
        <v>3024</v>
      </c>
      <c r="D248" s="61" t="s">
        <v>84</v>
      </c>
      <c r="E248" t="str">
        <f>VLOOKUP(Table10[[#This Row],[Country]],Countries!$A$1:$D$205,2,TRUE)</f>
        <v>CAN</v>
      </c>
      <c r="F248" s="60">
        <v>1986</v>
      </c>
      <c r="G248" s="60" t="s">
        <v>4026</v>
      </c>
      <c r="H248" s="65">
        <v>5000</v>
      </c>
      <c r="I248" s="65">
        <v>7400</v>
      </c>
      <c r="J248" s="60" t="s">
        <v>4049</v>
      </c>
      <c r="K248" s="60">
        <v>40.209843999999997</v>
      </c>
      <c r="L248">
        <v>118.220547</v>
      </c>
    </row>
    <row r="249" spans="1:12" x14ac:dyDescent="0.35">
      <c r="A249" s="60" t="s">
        <v>4388</v>
      </c>
      <c r="B249" s="60" t="s">
        <v>4372</v>
      </c>
      <c r="C249" s="60" t="s">
        <v>3024</v>
      </c>
      <c r="D249" s="61" t="s">
        <v>84</v>
      </c>
      <c r="E249" t="str">
        <f>VLOOKUP(Table10[[#This Row],[Country]],Countries!$A$1:$D$205,2,TRUE)</f>
        <v>CAN</v>
      </c>
      <c r="F249" s="60">
        <v>2002</v>
      </c>
      <c r="G249" s="60" t="s">
        <v>4026</v>
      </c>
      <c r="H249" s="65">
        <v>6500</v>
      </c>
      <c r="I249" s="65">
        <v>6500</v>
      </c>
      <c r="J249" s="60" t="s">
        <v>4049</v>
      </c>
      <c r="K249" s="60">
        <v>40.183912999999997</v>
      </c>
      <c r="L249">
        <v>118.073913</v>
      </c>
    </row>
    <row r="250" spans="1:12" x14ac:dyDescent="0.35">
      <c r="A250" s="60" t="s">
        <v>4389</v>
      </c>
      <c r="B250" s="60" t="s">
        <v>4372</v>
      </c>
      <c r="C250" s="60" t="s">
        <v>3024</v>
      </c>
      <c r="D250" s="61" t="s">
        <v>84</v>
      </c>
      <c r="E250" t="str">
        <f>VLOOKUP(Table10[[#This Row],[Country]],Countries!$A$1:$D$205,2,TRUE)</f>
        <v>CAN</v>
      </c>
      <c r="F250" s="60" t="s">
        <v>4036</v>
      </c>
      <c r="G250" s="60" t="s">
        <v>4037</v>
      </c>
      <c r="H250" s="65">
        <v>1800</v>
      </c>
      <c r="I250" s="65">
        <v>1260</v>
      </c>
      <c r="J250" s="60" t="s">
        <v>4049</v>
      </c>
      <c r="K250" s="60">
        <v>40.183912999999997</v>
      </c>
      <c r="L250">
        <v>118.073913</v>
      </c>
    </row>
    <row r="251" spans="1:12" x14ac:dyDescent="0.35">
      <c r="A251" s="60" t="s">
        <v>4389</v>
      </c>
      <c r="B251" s="60" t="s">
        <v>4372</v>
      </c>
      <c r="C251" s="60" t="s">
        <v>3024</v>
      </c>
      <c r="D251" s="61" t="s">
        <v>84</v>
      </c>
      <c r="E251" t="str">
        <f>VLOOKUP(Table10[[#This Row],[Country]],Countries!$A$1:$D$205,2,TRUE)</f>
        <v>CAN</v>
      </c>
      <c r="F251" s="60">
        <v>2023</v>
      </c>
      <c r="G251" s="60" t="s">
        <v>4037</v>
      </c>
      <c r="H251" s="65">
        <v>1350</v>
      </c>
      <c r="I251" s="65">
        <v>1160</v>
      </c>
      <c r="J251" s="60" t="s">
        <v>4049</v>
      </c>
      <c r="K251" s="60">
        <v>40.183912999999997</v>
      </c>
      <c r="L251">
        <v>118.073913</v>
      </c>
    </row>
    <row r="252" spans="1:12" x14ac:dyDescent="0.35">
      <c r="A252" s="60" t="s">
        <v>4390</v>
      </c>
      <c r="B252" s="60" t="s">
        <v>4372</v>
      </c>
      <c r="C252" s="60" t="s">
        <v>3024</v>
      </c>
      <c r="D252" s="61" t="s">
        <v>84</v>
      </c>
      <c r="E252" t="str">
        <f>VLOOKUP(Table10[[#This Row],[Country]],Countries!$A$1:$D$205,2,TRUE)</f>
        <v>CAN</v>
      </c>
      <c r="F252" s="60">
        <v>2024</v>
      </c>
      <c r="G252" s="60" t="s">
        <v>4037</v>
      </c>
      <c r="H252" s="65" t="s">
        <v>4022</v>
      </c>
      <c r="I252" s="65">
        <v>1170</v>
      </c>
      <c r="J252" s="60" t="s">
        <v>4111</v>
      </c>
      <c r="K252" s="60">
        <v>40.183912999999997</v>
      </c>
      <c r="L252">
        <v>118.073913</v>
      </c>
    </row>
    <row r="253" spans="1:12" x14ac:dyDescent="0.35">
      <c r="A253" s="60" t="s">
        <v>4391</v>
      </c>
      <c r="B253" s="60" t="s">
        <v>4372</v>
      </c>
      <c r="C253" s="60" t="s">
        <v>3024</v>
      </c>
      <c r="D253" s="61" t="s">
        <v>84</v>
      </c>
      <c r="E253" t="str">
        <f>VLOOKUP(Table10[[#This Row],[Country]],Countries!$A$1:$D$205,2,TRUE)</f>
        <v>CAN</v>
      </c>
      <c r="F253" s="60">
        <v>2009</v>
      </c>
      <c r="G253" s="60" t="s">
        <v>4026</v>
      </c>
      <c r="H253" s="65">
        <v>10000</v>
      </c>
      <c r="I253" s="65">
        <v>10000</v>
      </c>
      <c r="J253" s="60" t="s">
        <v>4049</v>
      </c>
      <c r="K253" s="60">
        <v>39.610605</v>
      </c>
      <c r="L253">
        <v>118.474722</v>
      </c>
    </row>
    <row r="254" spans="1:12" x14ac:dyDescent="0.35">
      <c r="A254" s="60" t="s">
        <v>4392</v>
      </c>
      <c r="B254" s="60" t="s">
        <v>4372</v>
      </c>
      <c r="C254" s="60" t="s">
        <v>3024</v>
      </c>
      <c r="D254" s="61" t="s">
        <v>84</v>
      </c>
      <c r="E254" t="str">
        <f>VLOOKUP(Table10[[#This Row],[Country]],Countries!$A$1:$D$205,2,TRUE)</f>
        <v>CAN</v>
      </c>
      <c r="F254" s="60">
        <v>2000</v>
      </c>
      <c r="G254" s="60" t="s">
        <v>4026</v>
      </c>
      <c r="H254" s="65">
        <v>2400</v>
      </c>
      <c r="I254" s="65">
        <v>2400</v>
      </c>
      <c r="J254" s="60" t="s">
        <v>4049</v>
      </c>
      <c r="K254" s="60">
        <v>39.19256</v>
      </c>
      <c r="L254">
        <v>118.89953300000001</v>
      </c>
    </row>
    <row r="255" spans="1:12" x14ac:dyDescent="0.35">
      <c r="A255" s="60" t="s">
        <v>4393</v>
      </c>
      <c r="B255" s="60" t="s">
        <v>4372</v>
      </c>
      <c r="C255" s="60" t="s">
        <v>3024</v>
      </c>
      <c r="D255" s="61" t="s">
        <v>84</v>
      </c>
      <c r="E255" t="str">
        <f>VLOOKUP(Table10[[#This Row],[Country]],Countries!$A$1:$D$205,2,TRUE)</f>
        <v>CAN</v>
      </c>
      <c r="F255" s="60">
        <v>2000</v>
      </c>
      <c r="G255" s="60" t="s">
        <v>4048</v>
      </c>
      <c r="H255" s="65">
        <v>1700</v>
      </c>
      <c r="I255" s="65">
        <v>2000</v>
      </c>
      <c r="J255" s="60" t="s">
        <v>4049</v>
      </c>
      <c r="K255" s="60">
        <v>40.167686000000003</v>
      </c>
      <c r="L255">
        <v>117.964004</v>
      </c>
    </row>
    <row r="256" spans="1:12" x14ac:dyDescent="0.35">
      <c r="A256" s="60" t="s">
        <v>4394</v>
      </c>
      <c r="B256" s="60" t="s">
        <v>4372</v>
      </c>
      <c r="C256" s="60" t="s">
        <v>3024</v>
      </c>
      <c r="D256" s="61" t="s">
        <v>84</v>
      </c>
      <c r="E256" t="str">
        <f>VLOOKUP(Table10[[#This Row],[Country]],Countries!$A$1:$D$205,2,TRUE)</f>
        <v>CAN</v>
      </c>
      <c r="F256" s="60">
        <v>2003</v>
      </c>
      <c r="G256" s="60" t="s">
        <v>4026</v>
      </c>
      <c r="H256" s="65">
        <v>3000</v>
      </c>
      <c r="I256" s="65">
        <v>2800</v>
      </c>
      <c r="J256" s="60" t="s">
        <v>4049</v>
      </c>
      <c r="K256" s="60">
        <v>39.730795000000001</v>
      </c>
      <c r="L256">
        <v>118.467608</v>
      </c>
    </row>
    <row r="257" spans="1:12" x14ac:dyDescent="0.35">
      <c r="A257" s="60" t="s">
        <v>4395</v>
      </c>
      <c r="B257" s="60" t="s">
        <v>4372</v>
      </c>
      <c r="C257" s="60" t="s">
        <v>3024</v>
      </c>
      <c r="D257" s="61" t="s">
        <v>84</v>
      </c>
      <c r="E257" t="str">
        <f>VLOOKUP(Table10[[#This Row],[Country]],Countries!$A$1:$D$205,2,TRUE)</f>
        <v>CAN</v>
      </c>
      <c r="F257" s="60">
        <v>2006</v>
      </c>
      <c r="G257" s="60" t="s">
        <v>4026</v>
      </c>
      <c r="H257" s="65">
        <v>4200</v>
      </c>
      <c r="I257" s="65">
        <v>2890</v>
      </c>
      <c r="J257" s="60" t="s">
        <v>4049</v>
      </c>
      <c r="K257" s="60">
        <v>39.268452000000003</v>
      </c>
      <c r="L257">
        <v>119.02481899999999</v>
      </c>
    </row>
    <row r="258" spans="1:12" x14ac:dyDescent="0.35">
      <c r="A258" s="60" t="s">
        <v>4396</v>
      </c>
      <c r="B258" s="60" t="s">
        <v>4372</v>
      </c>
      <c r="C258" s="60" t="s">
        <v>3024</v>
      </c>
      <c r="D258" s="61" t="s">
        <v>84</v>
      </c>
      <c r="E258" t="str">
        <f>VLOOKUP(Table10[[#This Row],[Country]],Countries!$A$1:$D$205,2,TRUE)</f>
        <v>CAN</v>
      </c>
      <c r="F258" s="60">
        <v>2002</v>
      </c>
      <c r="G258" s="60" t="s">
        <v>4026</v>
      </c>
      <c r="H258" s="65">
        <v>4100</v>
      </c>
      <c r="I258" s="65">
        <v>3500</v>
      </c>
      <c r="J258" s="60" t="s">
        <v>4049</v>
      </c>
      <c r="K258" s="60">
        <v>39.600955999999996</v>
      </c>
      <c r="L258">
        <v>118.358726</v>
      </c>
    </row>
    <row r="259" spans="1:12" x14ac:dyDescent="0.35">
      <c r="A259" s="60" t="s">
        <v>4397</v>
      </c>
      <c r="B259" s="60" t="s">
        <v>4372</v>
      </c>
      <c r="C259" s="60" t="s">
        <v>3024</v>
      </c>
      <c r="D259" s="61" t="s">
        <v>84</v>
      </c>
      <c r="E259" t="str">
        <f>VLOOKUP(Table10[[#This Row],[Country]],Countries!$A$1:$D$205,2,TRUE)</f>
        <v>CAN</v>
      </c>
      <c r="F259" s="60" t="s">
        <v>4036</v>
      </c>
      <c r="G259" s="60" t="s">
        <v>4037</v>
      </c>
      <c r="H259" s="65">
        <v>1700</v>
      </c>
      <c r="I259" s="65" t="s">
        <v>4022</v>
      </c>
      <c r="J259" s="60" t="s">
        <v>4163</v>
      </c>
      <c r="K259" s="60">
        <v>39.600955999999996</v>
      </c>
      <c r="L259">
        <v>118.358726</v>
      </c>
    </row>
    <row r="260" spans="1:12" x14ac:dyDescent="0.35">
      <c r="A260" s="60" t="s">
        <v>4398</v>
      </c>
      <c r="B260" s="60" t="s">
        <v>4372</v>
      </c>
      <c r="C260" s="60" t="s">
        <v>3024</v>
      </c>
      <c r="D260" s="61" t="s">
        <v>84</v>
      </c>
      <c r="E260" t="str">
        <f>VLOOKUP(Table10[[#This Row],[Country]],Countries!$A$1:$D$205,2,TRUE)</f>
        <v>CAN</v>
      </c>
      <c r="F260" s="60">
        <v>2002</v>
      </c>
      <c r="G260" s="60" t="s">
        <v>4048</v>
      </c>
      <c r="H260" s="65">
        <v>3000</v>
      </c>
      <c r="I260" s="65">
        <v>1379.6399999999999</v>
      </c>
      <c r="J260" s="60" t="s">
        <v>4049</v>
      </c>
      <c r="K260" s="60">
        <v>39.861424999999997</v>
      </c>
      <c r="L260">
        <v>118.03667</v>
      </c>
    </row>
    <row r="261" spans="1:12" x14ac:dyDescent="0.35">
      <c r="A261" s="60" t="s">
        <v>4399</v>
      </c>
      <c r="B261" s="60" t="s">
        <v>4372</v>
      </c>
      <c r="C261" s="60" t="s">
        <v>3024</v>
      </c>
      <c r="D261" s="61" t="s">
        <v>84</v>
      </c>
      <c r="E261" t="str">
        <f>VLOOKUP(Table10[[#This Row],[Country]],Countries!$A$1:$D$205,2,TRUE)</f>
        <v>CAN</v>
      </c>
      <c r="F261" s="60">
        <v>2001</v>
      </c>
      <c r="G261" s="60" t="s">
        <v>4048</v>
      </c>
      <c r="H261" s="65">
        <v>2550</v>
      </c>
      <c r="I261" s="65">
        <v>1660</v>
      </c>
      <c r="J261" s="60" t="s">
        <v>4049</v>
      </c>
      <c r="K261" s="60">
        <v>39.847611999999998</v>
      </c>
      <c r="L261">
        <v>118.348448</v>
      </c>
    </row>
    <row r="262" spans="1:12" x14ac:dyDescent="0.35">
      <c r="A262" s="60" t="s">
        <v>4400</v>
      </c>
      <c r="B262" s="60" t="s">
        <v>4372</v>
      </c>
      <c r="C262" s="60" t="s">
        <v>3024</v>
      </c>
      <c r="D262" s="61" t="s">
        <v>84</v>
      </c>
      <c r="E262" t="str">
        <f>VLOOKUP(Table10[[#This Row],[Country]],Countries!$A$1:$D$205,2,TRUE)</f>
        <v>CAN</v>
      </c>
      <c r="F262" s="60" t="s">
        <v>4036</v>
      </c>
      <c r="G262" s="60" t="s">
        <v>4037</v>
      </c>
      <c r="H262" s="65">
        <v>825</v>
      </c>
      <c r="I262" s="65" t="s">
        <v>4036</v>
      </c>
      <c r="J262" s="60" t="s">
        <v>4023</v>
      </c>
      <c r="K262" s="60">
        <v>39.847611999999998</v>
      </c>
      <c r="L262">
        <v>118.348448</v>
      </c>
    </row>
    <row r="263" spans="1:12" x14ac:dyDescent="0.35">
      <c r="A263" s="60" t="s">
        <v>4401</v>
      </c>
      <c r="B263" s="60" t="s">
        <v>4372</v>
      </c>
      <c r="C263" s="60" t="s">
        <v>3024</v>
      </c>
      <c r="D263" s="61" t="s">
        <v>84</v>
      </c>
      <c r="E263" t="str">
        <f>VLOOKUP(Table10[[#This Row],[Country]],Countries!$A$1:$D$205,2,TRUE)</f>
        <v>CAN</v>
      </c>
      <c r="F263" s="60">
        <v>2009</v>
      </c>
      <c r="G263" s="60" t="s">
        <v>4048</v>
      </c>
      <c r="H263" s="65">
        <v>2400</v>
      </c>
      <c r="I263" s="65">
        <v>2590</v>
      </c>
      <c r="J263" s="60" t="s">
        <v>4049</v>
      </c>
      <c r="K263" s="60">
        <v>39.700499000000001</v>
      </c>
      <c r="L263">
        <v>118.45677499999999</v>
      </c>
    </row>
    <row r="264" spans="1:12" x14ac:dyDescent="0.35">
      <c r="A264" s="60" t="s">
        <v>4402</v>
      </c>
      <c r="B264" s="60" t="s">
        <v>4372</v>
      </c>
      <c r="C264" s="60" t="s">
        <v>3024</v>
      </c>
      <c r="D264" s="61" t="s">
        <v>84</v>
      </c>
      <c r="E264" t="str">
        <f>VLOOKUP(Table10[[#This Row],[Country]],Countries!$A$1:$D$205,2,TRUE)</f>
        <v>CAN</v>
      </c>
      <c r="F264" s="60">
        <v>2002</v>
      </c>
      <c r="G264" s="60" t="s">
        <v>4026</v>
      </c>
      <c r="H264" s="65">
        <v>7500</v>
      </c>
      <c r="I264" s="65">
        <v>3539.5999999999995</v>
      </c>
      <c r="J264" s="60" t="s">
        <v>4049</v>
      </c>
      <c r="K264" s="60">
        <v>39.898361999999999</v>
      </c>
      <c r="L264">
        <v>118.579364</v>
      </c>
    </row>
    <row r="265" spans="1:12" x14ac:dyDescent="0.35">
      <c r="A265" s="60" t="s">
        <v>4403</v>
      </c>
      <c r="B265" s="60" t="s">
        <v>4372</v>
      </c>
      <c r="C265" s="60" t="s">
        <v>3024</v>
      </c>
      <c r="D265" s="61" t="s">
        <v>84</v>
      </c>
      <c r="E265" t="str">
        <f>VLOOKUP(Table10[[#This Row],[Country]],Countries!$A$1:$D$205,2,TRUE)</f>
        <v>CAN</v>
      </c>
      <c r="F265" s="60" t="s">
        <v>4036</v>
      </c>
      <c r="G265" s="60" t="s">
        <v>4037</v>
      </c>
      <c r="H265" s="65">
        <v>2300</v>
      </c>
      <c r="I265" s="65">
        <v>2300</v>
      </c>
      <c r="J265" s="60" t="s">
        <v>4049</v>
      </c>
      <c r="K265" s="60">
        <v>39.898361999999999</v>
      </c>
      <c r="L265">
        <v>118.579364</v>
      </c>
    </row>
    <row r="266" spans="1:12" x14ac:dyDescent="0.35">
      <c r="A266" s="60" t="s">
        <v>4404</v>
      </c>
      <c r="B266" s="60" t="s">
        <v>4372</v>
      </c>
      <c r="C266" s="60" t="s">
        <v>3024</v>
      </c>
      <c r="D266" s="61" t="s">
        <v>84</v>
      </c>
      <c r="E266" t="str">
        <f>VLOOKUP(Table10[[#This Row],[Country]],Countries!$A$1:$D$205,2,TRUE)</f>
        <v>CAN</v>
      </c>
      <c r="F266" s="60">
        <v>2002</v>
      </c>
      <c r="G266" s="60" t="s">
        <v>4048</v>
      </c>
      <c r="H266" s="65">
        <v>1800</v>
      </c>
      <c r="I266" s="65">
        <v>1280.32</v>
      </c>
      <c r="J266" s="60" t="s">
        <v>4049</v>
      </c>
      <c r="K266" s="60">
        <v>39.463200000000001</v>
      </c>
      <c r="L266">
        <v>118.247191</v>
      </c>
    </row>
    <row r="267" spans="1:12" x14ac:dyDescent="0.35">
      <c r="A267" s="60" t="s">
        <v>4405</v>
      </c>
      <c r="B267" s="60" t="s">
        <v>4372</v>
      </c>
      <c r="C267" s="60" t="s">
        <v>3024</v>
      </c>
      <c r="D267" s="61" t="s">
        <v>84</v>
      </c>
      <c r="E267" t="str">
        <f>VLOOKUP(Table10[[#This Row],[Country]],Countries!$A$1:$D$205,2,TRUE)</f>
        <v>CAN</v>
      </c>
      <c r="F267" s="60">
        <v>2006</v>
      </c>
      <c r="G267" s="60" t="s">
        <v>4048</v>
      </c>
      <c r="H267" s="65">
        <v>4000</v>
      </c>
      <c r="I267" s="65">
        <v>3425</v>
      </c>
      <c r="J267" s="60" t="s">
        <v>4049</v>
      </c>
      <c r="K267" s="60">
        <v>39.659153000000003</v>
      </c>
      <c r="L267">
        <v>118.41148800000001</v>
      </c>
    </row>
    <row r="268" spans="1:12" x14ac:dyDescent="0.35">
      <c r="A268" s="60" t="s">
        <v>4406</v>
      </c>
      <c r="B268" s="60" t="s">
        <v>4372</v>
      </c>
      <c r="C268" s="60" t="s">
        <v>3024</v>
      </c>
      <c r="D268" s="61" t="s">
        <v>84</v>
      </c>
      <c r="E268" t="str">
        <f>VLOOKUP(Table10[[#This Row],[Country]],Countries!$A$1:$D$205,2,TRUE)</f>
        <v>CAN</v>
      </c>
      <c r="F268" s="60">
        <v>2002</v>
      </c>
      <c r="G268" s="60" t="s">
        <v>4026</v>
      </c>
      <c r="H268" s="65">
        <v>2530</v>
      </c>
      <c r="I268" s="65">
        <v>1837.56</v>
      </c>
      <c r="J268" s="60" t="s">
        <v>4049</v>
      </c>
      <c r="K268" s="60">
        <v>39.880661000000003</v>
      </c>
      <c r="L268">
        <v>118.558755</v>
      </c>
    </row>
    <row r="269" spans="1:12" x14ac:dyDescent="0.35">
      <c r="A269" s="60" t="s">
        <v>4407</v>
      </c>
      <c r="B269" s="60" t="s">
        <v>4372</v>
      </c>
      <c r="C269" s="60" t="s">
        <v>3024</v>
      </c>
      <c r="D269" s="61" t="s">
        <v>84</v>
      </c>
      <c r="E269" t="str">
        <f>VLOOKUP(Table10[[#This Row],[Country]],Countries!$A$1:$D$205,2,TRUE)</f>
        <v>CAN</v>
      </c>
      <c r="F269" s="60" t="s">
        <v>4036</v>
      </c>
      <c r="G269" s="60" t="s">
        <v>4037</v>
      </c>
      <c r="H269" s="65">
        <v>2300</v>
      </c>
      <c r="I269" s="65">
        <v>1330</v>
      </c>
      <c r="J269" s="60" t="s">
        <v>4049</v>
      </c>
      <c r="K269" s="60">
        <v>39.880661000000003</v>
      </c>
      <c r="L269">
        <v>118.558755</v>
      </c>
    </row>
    <row r="270" spans="1:12" x14ac:dyDescent="0.35">
      <c r="A270" s="60" t="s">
        <v>4408</v>
      </c>
      <c r="B270" s="60" t="s">
        <v>4372</v>
      </c>
      <c r="C270" s="60" t="s">
        <v>3024</v>
      </c>
      <c r="D270" s="61" t="s">
        <v>84</v>
      </c>
      <c r="E270" t="str">
        <f>VLOOKUP(Table10[[#This Row],[Country]],Countries!$A$1:$D$205,2,TRUE)</f>
        <v>CAN</v>
      </c>
      <c r="F270" s="60">
        <v>2003</v>
      </c>
      <c r="G270" s="60" t="s">
        <v>4026</v>
      </c>
      <c r="H270" s="65">
        <v>5500</v>
      </c>
      <c r="I270" s="65">
        <v>5000</v>
      </c>
      <c r="J270" s="60" t="s">
        <v>4049</v>
      </c>
      <c r="K270" s="60">
        <v>39.748373000000001</v>
      </c>
      <c r="L270">
        <v>118.62479399999999</v>
      </c>
    </row>
    <row r="271" spans="1:12" x14ac:dyDescent="0.35">
      <c r="A271" s="60" t="s">
        <v>4409</v>
      </c>
      <c r="B271" s="60" t="s">
        <v>4372</v>
      </c>
      <c r="C271" s="60" t="s">
        <v>3024</v>
      </c>
      <c r="D271" s="61" t="s">
        <v>84</v>
      </c>
      <c r="E271" t="str">
        <f>VLOOKUP(Table10[[#This Row],[Country]],Countries!$A$1:$D$205,2,TRUE)</f>
        <v>CAN</v>
      </c>
      <c r="F271" s="60" t="s">
        <v>4036</v>
      </c>
      <c r="G271" s="60" t="s">
        <v>4037</v>
      </c>
      <c r="H271" s="65" t="s">
        <v>4022</v>
      </c>
      <c r="I271" s="65">
        <v>1390</v>
      </c>
      <c r="J271" s="60" t="s">
        <v>4111</v>
      </c>
      <c r="K271" s="60">
        <v>39.748373000000001</v>
      </c>
      <c r="L271">
        <v>118.62479399999999</v>
      </c>
    </row>
    <row r="272" spans="1:12" x14ac:dyDescent="0.35">
      <c r="A272" s="60" t="s">
        <v>4410</v>
      </c>
      <c r="B272" s="60" t="s">
        <v>4372</v>
      </c>
      <c r="C272" s="60" t="s">
        <v>3024</v>
      </c>
      <c r="D272" s="61" t="s">
        <v>84</v>
      </c>
      <c r="E272" t="str">
        <f>VLOOKUP(Table10[[#This Row],[Country]],Countries!$A$1:$D$205,2,TRUE)</f>
        <v>CAN</v>
      </c>
      <c r="F272" s="60">
        <v>2003</v>
      </c>
      <c r="G272" s="60" t="s">
        <v>4026</v>
      </c>
      <c r="H272" s="65">
        <v>2400</v>
      </c>
      <c r="I272" s="65">
        <v>1820</v>
      </c>
      <c r="J272" s="60" t="s">
        <v>4049</v>
      </c>
      <c r="K272" s="60">
        <v>39.676326000000003</v>
      </c>
      <c r="L272">
        <v>118.427914</v>
      </c>
    </row>
    <row r="273" spans="1:12" x14ac:dyDescent="0.35">
      <c r="A273" s="60" t="s">
        <v>4411</v>
      </c>
      <c r="B273" s="60" t="s">
        <v>4372</v>
      </c>
      <c r="C273" s="60" t="s">
        <v>3024</v>
      </c>
      <c r="D273" s="61" t="s">
        <v>84</v>
      </c>
      <c r="E273" t="str">
        <f>VLOOKUP(Table10[[#This Row],[Country]],Countries!$A$1:$D$205,2,TRUE)</f>
        <v>CAN</v>
      </c>
      <c r="F273" s="60">
        <v>2007</v>
      </c>
      <c r="G273" s="60" t="s">
        <v>4026</v>
      </c>
      <c r="H273" s="65">
        <v>2000</v>
      </c>
      <c r="I273" s="65">
        <v>2000</v>
      </c>
      <c r="J273" s="60" t="s">
        <v>4412</v>
      </c>
      <c r="K273" s="60">
        <v>39.146540999999999</v>
      </c>
      <c r="L273">
        <v>118.432261</v>
      </c>
    </row>
    <row r="274" spans="1:12" x14ac:dyDescent="0.35">
      <c r="A274" s="60" t="s">
        <v>4413</v>
      </c>
      <c r="B274" s="60" t="s">
        <v>4372</v>
      </c>
      <c r="C274" s="60" t="s">
        <v>3024</v>
      </c>
      <c r="D274" s="61" t="s">
        <v>84</v>
      </c>
      <c r="E274" t="str">
        <f>VLOOKUP(Table10[[#This Row],[Country]],Countries!$A$1:$D$205,2,TRUE)</f>
        <v>CAN</v>
      </c>
      <c r="F274" s="60">
        <v>2003</v>
      </c>
      <c r="G274" s="60" t="s">
        <v>4048</v>
      </c>
      <c r="H274" s="65">
        <v>3419</v>
      </c>
      <c r="I274" s="65">
        <v>1890</v>
      </c>
      <c r="J274" s="60" t="s">
        <v>4049</v>
      </c>
      <c r="K274" s="60">
        <v>39.803524000000003</v>
      </c>
      <c r="L274">
        <v>118.205663</v>
      </c>
    </row>
    <row r="275" spans="1:12" x14ac:dyDescent="0.35">
      <c r="A275" s="60" t="s">
        <v>4414</v>
      </c>
      <c r="B275" s="60" t="s">
        <v>4372</v>
      </c>
      <c r="C275" s="60" t="s">
        <v>3024</v>
      </c>
      <c r="D275" s="61" t="s">
        <v>84</v>
      </c>
      <c r="E275" t="str">
        <f>VLOOKUP(Table10[[#This Row],[Country]],Countries!$A$1:$D$205,2,TRUE)</f>
        <v>CAN</v>
      </c>
      <c r="F275" s="60">
        <v>2006</v>
      </c>
      <c r="G275" s="60" t="s">
        <v>4048</v>
      </c>
      <c r="H275" s="65">
        <v>2600</v>
      </c>
      <c r="I275" s="65">
        <v>2600</v>
      </c>
      <c r="J275" s="60" t="s">
        <v>4049</v>
      </c>
      <c r="K275" s="60">
        <v>39.699354</v>
      </c>
      <c r="L275">
        <v>118.213188</v>
      </c>
    </row>
    <row r="276" spans="1:12" x14ac:dyDescent="0.35">
      <c r="A276" s="60" t="s">
        <v>4415</v>
      </c>
      <c r="B276" s="60" t="s">
        <v>4372</v>
      </c>
      <c r="C276" s="60" t="s">
        <v>3024</v>
      </c>
      <c r="D276" s="61" t="s">
        <v>84</v>
      </c>
      <c r="E276" t="str">
        <f>VLOOKUP(Table10[[#This Row],[Country]],Countries!$A$1:$D$205,2,TRUE)</f>
        <v>CAN</v>
      </c>
      <c r="F276" s="60">
        <v>2002</v>
      </c>
      <c r="G276" s="60" t="s">
        <v>4048</v>
      </c>
      <c r="H276" s="65">
        <v>2550</v>
      </c>
      <c r="I276" s="65">
        <v>1040</v>
      </c>
      <c r="J276" s="60" t="s">
        <v>4049</v>
      </c>
      <c r="K276" s="60">
        <v>39.518329999999999</v>
      </c>
      <c r="L276">
        <v>118.715766</v>
      </c>
    </row>
    <row r="277" spans="1:12" x14ac:dyDescent="0.35">
      <c r="A277" s="60" t="s">
        <v>4416</v>
      </c>
      <c r="B277" s="60" t="s">
        <v>4372</v>
      </c>
      <c r="C277" s="60" t="s">
        <v>3024</v>
      </c>
      <c r="D277" s="61" t="s">
        <v>84</v>
      </c>
      <c r="E277" t="str">
        <f>VLOOKUP(Table10[[#This Row],[Country]],Countries!$A$1:$D$205,2,TRUE)</f>
        <v>CAN</v>
      </c>
      <c r="F277" s="60">
        <v>2019</v>
      </c>
      <c r="G277" s="60" t="s">
        <v>4026</v>
      </c>
      <c r="H277" s="65">
        <v>7700</v>
      </c>
      <c r="I277" s="65">
        <v>3950</v>
      </c>
      <c r="J277" s="60" t="s">
        <v>4049</v>
      </c>
      <c r="K277" s="60">
        <v>39.222566</v>
      </c>
      <c r="L277">
        <v>118.094201</v>
      </c>
    </row>
    <row r="278" spans="1:12" x14ac:dyDescent="0.35">
      <c r="A278" s="60" t="s">
        <v>4417</v>
      </c>
      <c r="B278" s="60" t="s">
        <v>4372</v>
      </c>
      <c r="C278" s="60" t="s">
        <v>3024</v>
      </c>
      <c r="D278" s="61" t="s">
        <v>84</v>
      </c>
      <c r="E278" t="str">
        <f>VLOOKUP(Table10[[#This Row],[Country]],Countries!$A$1:$D$205,2,TRUE)</f>
        <v>CAN</v>
      </c>
      <c r="F278" s="60">
        <v>2020</v>
      </c>
      <c r="G278" s="60" t="s">
        <v>4026</v>
      </c>
      <c r="H278" s="65">
        <v>3860</v>
      </c>
      <c r="I278" s="65">
        <v>3950</v>
      </c>
      <c r="J278" s="60" t="s">
        <v>4049</v>
      </c>
      <c r="K278" s="60">
        <v>39.222566</v>
      </c>
      <c r="L278">
        <v>118.094201</v>
      </c>
    </row>
    <row r="279" spans="1:12" x14ac:dyDescent="0.35">
      <c r="A279" s="60" t="s">
        <v>4418</v>
      </c>
      <c r="B279" s="60" t="s">
        <v>4372</v>
      </c>
      <c r="C279" s="60" t="s">
        <v>3024</v>
      </c>
      <c r="D279" s="61" t="s">
        <v>84</v>
      </c>
      <c r="E279" t="str">
        <f>VLOOKUP(Table10[[#This Row],[Country]],Countries!$A$1:$D$205,2,TRUE)</f>
        <v>CAN</v>
      </c>
      <c r="F279" s="60">
        <v>2020</v>
      </c>
      <c r="G279" s="60" t="s">
        <v>4026</v>
      </c>
      <c r="H279" s="65">
        <v>7470</v>
      </c>
      <c r="I279" s="65">
        <v>7320</v>
      </c>
      <c r="J279" s="60" t="s">
        <v>4049</v>
      </c>
      <c r="K279" s="60">
        <v>39.257823000000002</v>
      </c>
      <c r="L279">
        <v>119.03356700000001</v>
      </c>
    </row>
    <row r="280" spans="1:12" x14ac:dyDescent="0.35">
      <c r="A280" s="60" t="s">
        <v>4419</v>
      </c>
      <c r="B280" s="60" t="s">
        <v>4372</v>
      </c>
      <c r="C280" s="60" t="s">
        <v>3024</v>
      </c>
      <c r="D280" s="61" t="s">
        <v>84</v>
      </c>
      <c r="E280" t="str">
        <f>VLOOKUP(Table10[[#This Row],[Country]],Countries!$A$1:$D$205,2,TRUE)</f>
        <v>CAN</v>
      </c>
      <c r="F280" s="60">
        <v>2021</v>
      </c>
      <c r="G280" s="60" t="s">
        <v>4026</v>
      </c>
      <c r="H280" s="65">
        <v>1700</v>
      </c>
      <c r="I280" s="65">
        <v>1760</v>
      </c>
      <c r="J280" s="60" t="s">
        <v>4049</v>
      </c>
      <c r="K280" s="60">
        <v>39.260784000000001</v>
      </c>
      <c r="L280">
        <v>119.005925</v>
      </c>
    </row>
    <row r="281" spans="1:12" x14ac:dyDescent="0.35">
      <c r="A281" s="60" t="s">
        <v>4420</v>
      </c>
      <c r="B281" s="60" t="s">
        <v>4372</v>
      </c>
      <c r="C281" s="60" t="s">
        <v>3024</v>
      </c>
      <c r="D281" s="61" t="s">
        <v>84</v>
      </c>
      <c r="E281" t="str">
        <f>VLOOKUP(Table10[[#This Row],[Country]],Countries!$A$1:$D$205,2,TRUE)</f>
        <v>CAN</v>
      </c>
      <c r="F281" s="60">
        <v>2022</v>
      </c>
      <c r="G281" s="60" t="s">
        <v>4026</v>
      </c>
      <c r="H281" s="65">
        <v>3040</v>
      </c>
      <c r="I281" s="65">
        <v>3000</v>
      </c>
      <c r="J281" s="60" t="s">
        <v>4049</v>
      </c>
      <c r="K281" s="60">
        <v>39.270032</v>
      </c>
      <c r="L281">
        <v>119.01376</v>
      </c>
    </row>
    <row r="282" spans="1:12" x14ac:dyDescent="0.35">
      <c r="A282" s="60" t="s">
        <v>4421</v>
      </c>
      <c r="B282" s="60" t="s">
        <v>4372</v>
      </c>
      <c r="C282" s="60" t="s">
        <v>3024</v>
      </c>
      <c r="D282" s="61" t="s">
        <v>84</v>
      </c>
      <c r="E282" t="str">
        <f>VLOOKUP(Table10[[#This Row],[Country]],Countries!$A$1:$D$205,2,TRUE)</f>
        <v>CAN</v>
      </c>
      <c r="F282" s="60">
        <v>2022</v>
      </c>
      <c r="G282" s="60" t="s">
        <v>4026</v>
      </c>
      <c r="H282" s="65">
        <v>2300</v>
      </c>
      <c r="I282" s="65">
        <v>1330</v>
      </c>
      <c r="J282" s="60" t="s">
        <v>4111</v>
      </c>
      <c r="K282" s="60">
        <v>39.160401</v>
      </c>
      <c r="L282">
        <v>118.429806</v>
      </c>
    </row>
    <row r="283" spans="1:12" x14ac:dyDescent="0.35">
      <c r="A283" s="60" t="s">
        <v>4421</v>
      </c>
      <c r="B283" s="60" t="s">
        <v>4372</v>
      </c>
      <c r="C283" s="60" t="s">
        <v>3024</v>
      </c>
      <c r="D283" s="61" t="s">
        <v>84</v>
      </c>
      <c r="E283" t="str">
        <f>VLOOKUP(Table10[[#This Row],[Country]],Countries!$A$1:$D$205,2,TRUE)</f>
        <v>CAN</v>
      </c>
      <c r="F283" s="60">
        <v>2023</v>
      </c>
      <c r="G283" s="60" t="s">
        <v>4026</v>
      </c>
      <c r="H283" s="65" t="s">
        <v>4022</v>
      </c>
      <c r="I283" s="65">
        <v>1330</v>
      </c>
      <c r="J283" s="60" t="s">
        <v>4111</v>
      </c>
      <c r="K283" s="60">
        <v>39.160401</v>
      </c>
      <c r="L283">
        <v>118.429806</v>
      </c>
    </row>
    <row r="284" spans="1:12" x14ac:dyDescent="0.35">
      <c r="A284" s="60" t="s">
        <v>4421</v>
      </c>
      <c r="B284" s="60" t="s">
        <v>4372</v>
      </c>
      <c r="C284" s="60" t="s">
        <v>3024</v>
      </c>
      <c r="D284" s="61" t="s">
        <v>84</v>
      </c>
      <c r="E284" t="str">
        <f>VLOOKUP(Table10[[#This Row],[Country]],Countries!$A$1:$D$205,2,TRUE)</f>
        <v>CAN</v>
      </c>
      <c r="F284" s="60" t="s">
        <v>4036</v>
      </c>
      <c r="G284" s="60" t="s">
        <v>4021</v>
      </c>
      <c r="H284" s="65">
        <v>2300</v>
      </c>
      <c r="I284" s="65" t="s">
        <v>4036</v>
      </c>
      <c r="J284" s="60" t="s">
        <v>4163</v>
      </c>
      <c r="K284" s="60">
        <v>39.160401</v>
      </c>
      <c r="L284">
        <v>118.429806</v>
      </c>
    </row>
    <row r="285" spans="1:12" x14ac:dyDescent="0.35">
      <c r="A285" s="60" t="s">
        <v>4422</v>
      </c>
      <c r="B285" s="60" t="s">
        <v>4372</v>
      </c>
      <c r="C285" s="60" t="s">
        <v>3024</v>
      </c>
      <c r="D285" s="61" t="s">
        <v>84</v>
      </c>
      <c r="E285" t="str">
        <f>VLOOKUP(Table10[[#This Row],[Country]],Countries!$A$1:$D$205,2,TRUE)</f>
        <v>CAN</v>
      </c>
      <c r="F285" s="60">
        <v>2011</v>
      </c>
      <c r="G285" s="60" t="s">
        <v>4026</v>
      </c>
      <c r="H285" s="65">
        <v>700</v>
      </c>
      <c r="I285" s="65" t="s">
        <v>4022</v>
      </c>
      <c r="J285" s="60" t="s">
        <v>4023</v>
      </c>
      <c r="K285" s="60">
        <v>39.967373000000002</v>
      </c>
      <c r="L285">
        <v>117.857659</v>
      </c>
    </row>
    <row r="286" spans="1:12" x14ac:dyDescent="0.35">
      <c r="A286" s="60" t="s">
        <v>4423</v>
      </c>
      <c r="B286" s="60" t="s">
        <v>4372</v>
      </c>
      <c r="C286" s="60" t="s">
        <v>3024</v>
      </c>
      <c r="D286" s="61" t="s">
        <v>84</v>
      </c>
      <c r="E286" t="str">
        <f>VLOOKUP(Table10[[#This Row],[Country]],Countries!$A$1:$D$205,2,TRUE)</f>
        <v>CAN</v>
      </c>
      <c r="F286" s="60">
        <v>2004</v>
      </c>
      <c r="G286" s="60" t="s">
        <v>4026</v>
      </c>
      <c r="H286" s="65">
        <v>2440</v>
      </c>
      <c r="I286" s="65" t="s">
        <v>4022</v>
      </c>
      <c r="J286" s="60" t="s">
        <v>4023</v>
      </c>
      <c r="K286" s="60">
        <v>39.852710000000002</v>
      </c>
      <c r="L286">
        <v>118.181279</v>
      </c>
    </row>
    <row r="287" spans="1:12" x14ac:dyDescent="0.35">
      <c r="A287" s="60" t="s">
        <v>4424</v>
      </c>
      <c r="B287" s="60" t="s">
        <v>4425</v>
      </c>
      <c r="C287" s="60" t="s">
        <v>3024</v>
      </c>
      <c r="D287" s="61" t="s">
        <v>84</v>
      </c>
      <c r="E287" t="str">
        <f>VLOOKUP(Table10[[#This Row],[Country]],Countries!$A$1:$D$205,2,TRUE)</f>
        <v>CAN</v>
      </c>
      <c r="F287" s="60">
        <v>1958</v>
      </c>
      <c r="G287" s="60" t="s">
        <v>4026</v>
      </c>
      <c r="H287" s="65">
        <v>3500</v>
      </c>
      <c r="I287" s="65">
        <v>3150</v>
      </c>
      <c r="J287" s="60" t="s">
        <v>4049</v>
      </c>
      <c r="K287" s="60">
        <v>37.041601</v>
      </c>
      <c r="L287">
        <v>114.452352</v>
      </c>
    </row>
    <row r="288" spans="1:12" x14ac:dyDescent="0.35">
      <c r="A288" s="60" t="s">
        <v>4426</v>
      </c>
      <c r="B288" s="60" t="s">
        <v>4425</v>
      </c>
      <c r="C288" s="60" t="s">
        <v>3024</v>
      </c>
      <c r="D288" s="61" t="s">
        <v>84</v>
      </c>
      <c r="E288" t="str">
        <f>VLOOKUP(Table10[[#This Row],[Country]],Countries!$A$1:$D$205,2,TRUE)</f>
        <v>CAN</v>
      </c>
      <c r="F288" s="60">
        <v>2023</v>
      </c>
      <c r="G288" s="60" t="s">
        <v>4037</v>
      </c>
      <c r="H288" s="65">
        <v>2250</v>
      </c>
      <c r="I288" s="65" t="s">
        <v>4022</v>
      </c>
      <c r="J288" s="60" t="s">
        <v>4023</v>
      </c>
      <c r="K288" s="60">
        <v>37.032088999999999</v>
      </c>
      <c r="L288">
        <v>115.366112</v>
      </c>
    </row>
    <row r="289" spans="1:12" x14ac:dyDescent="0.35">
      <c r="A289" s="60" t="s">
        <v>4427</v>
      </c>
      <c r="B289" s="60" t="s">
        <v>4425</v>
      </c>
      <c r="C289" s="60" t="s">
        <v>3024</v>
      </c>
      <c r="D289" s="61" t="s">
        <v>84</v>
      </c>
      <c r="E289" t="str">
        <f>VLOOKUP(Table10[[#This Row],[Country]],Countries!$A$1:$D$205,2,TRUE)</f>
        <v>CAN</v>
      </c>
      <c r="F289" s="60">
        <v>2023</v>
      </c>
      <c r="G289" s="60" t="s">
        <v>4037</v>
      </c>
      <c r="H289" s="65" t="s">
        <v>4022</v>
      </c>
      <c r="I289" s="65">
        <v>1650</v>
      </c>
      <c r="J289" s="60" t="s">
        <v>4285</v>
      </c>
      <c r="K289" s="60">
        <v>37.032088999999999</v>
      </c>
      <c r="L289">
        <v>115.366112</v>
      </c>
    </row>
    <row r="290" spans="1:12" x14ac:dyDescent="0.35">
      <c r="A290" s="60" t="s">
        <v>4428</v>
      </c>
      <c r="B290" s="60" t="s">
        <v>4425</v>
      </c>
      <c r="C290" s="60" t="s">
        <v>3024</v>
      </c>
      <c r="D290" s="61" t="s">
        <v>84</v>
      </c>
      <c r="E290" t="str">
        <f>VLOOKUP(Table10[[#This Row],[Country]],Countries!$A$1:$D$205,2,TRUE)</f>
        <v>CAN</v>
      </c>
      <c r="F290" s="60">
        <v>2000</v>
      </c>
      <c r="G290" s="60" t="s">
        <v>4026</v>
      </c>
      <c r="H290" s="65">
        <v>3000</v>
      </c>
      <c r="I290" s="65">
        <v>3000</v>
      </c>
      <c r="J290" s="60" t="s">
        <v>4049</v>
      </c>
      <c r="K290" s="60">
        <v>37.086115999999997</v>
      </c>
      <c r="L290">
        <v>114.384832</v>
      </c>
    </row>
    <row r="291" spans="1:12" x14ac:dyDescent="0.35">
      <c r="A291" s="60" t="s">
        <v>4429</v>
      </c>
      <c r="B291" s="60" t="s">
        <v>4430</v>
      </c>
      <c r="C291" s="60" t="s">
        <v>3024</v>
      </c>
      <c r="D291" s="61" t="s">
        <v>84</v>
      </c>
      <c r="E291" t="str">
        <f>VLOOKUP(Table10[[#This Row],[Country]],Countries!$A$1:$D$205,2,TRUE)</f>
        <v>CAN</v>
      </c>
      <c r="F291" s="60">
        <v>1919</v>
      </c>
      <c r="G291" s="60" t="s">
        <v>4048</v>
      </c>
      <c r="H291" s="65">
        <v>6000</v>
      </c>
      <c r="I291" s="65">
        <v>6000</v>
      </c>
      <c r="J291" s="60" t="s">
        <v>4049</v>
      </c>
      <c r="K291" s="60">
        <v>40.589590999999999</v>
      </c>
      <c r="L291">
        <v>115.090889</v>
      </c>
    </row>
    <row r="292" spans="1:12" x14ac:dyDescent="0.35">
      <c r="A292" s="60" t="s">
        <v>4431</v>
      </c>
      <c r="B292" s="60" t="s">
        <v>4430</v>
      </c>
      <c r="C292" s="60" t="s">
        <v>3024</v>
      </c>
      <c r="D292" s="61" t="s">
        <v>84</v>
      </c>
      <c r="E292" t="str">
        <f>VLOOKUP(Table10[[#This Row],[Country]],Countries!$A$1:$D$205,2,TRUE)</f>
        <v>CAN</v>
      </c>
      <c r="F292" s="60">
        <v>2022</v>
      </c>
      <c r="G292" s="60" t="s">
        <v>4037</v>
      </c>
      <c r="H292" s="65">
        <v>1800</v>
      </c>
      <c r="I292" s="65" t="s">
        <v>4022</v>
      </c>
      <c r="J292" s="60" t="s">
        <v>4023</v>
      </c>
      <c r="K292" s="60">
        <v>40.607976999999998</v>
      </c>
      <c r="L292">
        <v>115.067516</v>
      </c>
    </row>
    <row r="293" spans="1:12" x14ac:dyDescent="0.35">
      <c r="A293" s="60" t="s">
        <v>4432</v>
      </c>
      <c r="B293" s="60" t="s">
        <v>4430</v>
      </c>
      <c r="C293" s="60" t="s">
        <v>3024</v>
      </c>
      <c r="D293" s="61" t="s">
        <v>84</v>
      </c>
      <c r="E293" t="str">
        <f>VLOOKUP(Table10[[#This Row],[Country]],Countries!$A$1:$D$205,2,TRUE)</f>
        <v>CAN</v>
      </c>
      <c r="F293" s="60">
        <v>2022</v>
      </c>
      <c r="G293" s="60" t="s">
        <v>4037</v>
      </c>
      <c r="H293" s="65" t="s">
        <v>4022</v>
      </c>
      <c r="I293" s="65">
        <v>1110</v>
      </c>
      <c r="J293" s="60" t="s">
        <v>4030</v>
      </c>
      <c r="K293" s="60">
        <v>40.607976999999998</v>
      </c>
      <c r="L293">
        <v>115.067516</v>
      </c>
    </row>
    <row r="294" spans="1:12" x14ac:dyDescent="0.35">
      <c r="A294" s="60" t="s">
        <v>4433</v>
      </c>
      <c r="B294" s="60" t="s">
        <v>4434</v>
      </c>
      <c r="C294" s="60" t="s">
        <v>3027</v>
      </c>
      <c r="D294" s="60" t="s">
        <v>84</v>
      </c>
      <c r="E294" t="str">
        <f>VLOOKUP(Table10[[#This Row],[Country]],Countries!$A$1:$D$205,2,TRUE)</f>
        <v>CAN</v>
      </c>
      <c r="F294" s="60">
        <v>2001</v>
      </c>
      <c r="G294" s="60" t="s">
        <v>4026</v>
      </c>
      <c r="H294" s="65">
        <v>1100</v>
      </c>
      <c r="I294" s="65">
        <v>1000</v>
      </c>
      <c r="J294" s="60" t="s">
        <v>4049</v>
      </c>
      <c r="K294" s="60">
        <v>45.562002</v>
      </c>
      <c r="L294">
        <v>126.96812799999999</v>
      </c>
    </row>
    <row r="295" spans="1:12" x14ac:dyDescent="0.35">
      <c r="A295" s="60" t="s">
        <v>4435</v>
      </c>
      <c r="B295" s="60" t="s">
        <v>4436</v>
      </c>
      <c r="C295" s="60" t="s">
        <v>3027</v>
      </c>
      <c r="D295" s="61" t="s">
        <v>84</v>
      </c>
      <c r="E295" t="str">
        <f>VLOOKUP(Table10[[#This Row],[Country]],Countries!$A$1:$D$205,2,TRUE)</f>
        <v>CAN</v>
      </c>
      <c r="F295" s="60">
        <v>1952</v>
      </c>
      <c r="G295" s="60" t="s">
        <v>4026</v>
      </c>
      <c r="H295" s="65">
        <v>2200</v>
      </c>
      <c r="I295" s="65">
        <v>404.59999999999991</v>
      </c>
      <c r="J295" s="60" t="s">
        <v>4161</v>
      </c>
      <c r="K295" s="60">
        <v>47.191285000000001</v>
      </c>
      <c r="L295">
        <v>123.616512</v>
      </c>
    </row>
    <row r="296" spans="1:12" x14ac:dyDescent="0.35">
      <c r="A296" s="60" t="s">
        <v>4437</v>
      </c>
      <c r="B296" s="60" t="s">
        <v>4438</v>
      </c>
      <c r="C296" s="60" t="s">
        <v>3027</v>
      </c>
      <c r="D296" s="61" t="s">
        <v>84</v>
      </c>
      <c r="E296" t="str">
        <f>VLOOKUP(Table10[[#This Row],[Country]],Countries!$A$1:$D$205,2,TRUE)</f>
        <v>CAN</v>
      </c>
      <c r="F296" s="60">
        <v>2003</v>
      </c>
      <c r="G296" s="60" t="s">
        <v>4026</v>
      </c>
      <c r="H296" s="65">
        <v>2000</v>
      </c>
      <c r="I296" s="65">
        <v>2000</v>
      </c>
      <c r="J296" s="60" t="s">
        <v>4049</v>
      </c>
      <c r="K296" s="60">
        <v>46.602297</v>
      </c>
      <c r="L296">
        <v>131.071877</v>
      </c>
    </row>
    <row r="297" spans="1:12" x14ac:dyDescent="0.35">
      <c r="A297" s="60" t="s">
        <v>4439</v>
      </c>
      <c r="B297" s="60" t="s">
        <v>4440</v>
      </c>
      <c r="C297" s="60" t="s">
        <v>3027</v>
      </c>
      <c r="D297" s="61" t="s">
        <v>84</v>
      </c>
      <c r="E297" t="str">
        <f>VLOOKUP(Table10[[#This Row],[Country]],Countries!$A$1:$D$205,2,TRUE)</f>
        <v>CAN</v>
      </c>
      <c r="F297" s="60">
        <v>1966</v>
      </c>
      <c r="G297" s="60" t="s">
        <v>4026</v>
      </c>
      <c r="H297" s="65">
        <v>4200</v>
      </c>
      <c r="I297" s="65">
        <v>3360</v>
      </c>
      <c r="J297" s="60" t="s">
        <v>4049</v>
      </c>
      <c r="K297" s="60">
        <v>47.495035999999999</v>
      </c>
      <c r="L297">
        <v>129.28791899999999</v>
      </c>
    </row>
    <row r="298" spans="1:12" x14ac:dyDescent="0.35">
      <c r="A298" s="60" t="s">
        <v>4441</v>
      </c>
      <c r="B298" s="60" t="s">
        <v>4442</v>
      </c>
      <c r="C298" s="60" t="s">
        <v>3030</v>
      </c>
      <c r="D298" s="61" t="s">
        <v>84</v>
      </c>
      <c r="E298" t="str">
        <f>VLOOKUP(Table10[[#This Row],[Country]],Countries!$A$1:$D$205,2,TRUE)</f>
        <v>CAN</v>
      </c>
      <c r="F298" s="60">
        <v>1958</v>
      </c>
      <c r="G298" s="60" t="s">
        <v>4026</v>
      </c>
      <c r="H298" s="65">
        <v>9380</v>
      </c>
      <c r="I298" s="65">
        <v>9820</v>
      </c>
      <c r="J298" s="60" t="s">
        <v>4161</v>
      </c>
      <c r="K298" s="60">
        <v>36.122129000000001</v>
      </c>
      <c r="L298">
        <v>114.283145</v>
      </c>
    </row>
    <row r="299" spans="1:12" x14ac:dyDescent="0.35">
      <c r="A299" s="60" t="s">
        <v>4443</v>
      </c>
      <c r="B299" s="60" t="s">
        <v>4442</v>
      </c>
      <c r="C299" s="60" t="s">
        <v>3030</v>
      </c>
      <c r="D299" s="61" t="s">
        <v>84</v>
      </c>
      <c r="E299" t="str">
        <f>VLOOKUP(Table10[[#This Row],[Country]],Countries!$A$1:$D$205,2,TRUE)</f>
        <v>CAN</v>
      </c>
      <c r="F299" s="60">
        <v>1970</v>
      </c>
      <c r="G299" s="60" t="s">
        <v>4026</v>
      </c>
      <c r="H299" s="65">
        <v>5000</v>
      </c>
      <c r="I299" s="65">
        <v>1124</v>
      </c>
      <c r="J299" s="60" t="s">
        <v>4360</v>
      </c>
      <c r="K299" s="60">
        <v>33.287536000000003</v>
      </c>
      <c r="L299">
        <v>113.474328</v>
      </c>
    </row>
    <row r="300" spans="1:12" x14ac:dyDescent="0.35">
      <c r="A300" s="60" t="s">
        <v>4444</v>
      </c>
      <c r="B300" s="60" t="s">
        <v>4442</v>
      </c>
      <c r="C300" s="60" t="s">
        <v>3030</v>
      </c>
      <c r="D300" s="61" t="s">
        <v>84</v>
      </c>
      <c r="E300" t="str">
        <f>VLOOKUP(Table10[[#This Row],[Country]],Countries!$A$1:$D$205,2,TRUE)</f>
        <v>CAN</v>
      </c>
      <c r="F300" s="60">
        <v>1993</v>
      </c>
      <c r="G300" s="60" t="s">
        <v>4026</v>
      </c>
      <c r="H300" s="65">
        <v>2600</v>
      </c>
      <c r="I300" s="65">
        <v>2600</v>
      </c>
      <c r="J300" s="60" t="s">
        <v>4049</v>
      </c>
      <c r="K300" s="60">
        <v>36.143573000000004</v>
      </c>
      <c r="L300">
        <v>114.149964</v>
      </c>
    </row>
    <row r="301" spans="1:12" x14ac:dyDescent="0.35">
      <c r="A301" s="60" t="s">
        <v>4445</v>
      </c>
      <c r="B301" s="60" t="s">
        <v>4442</v>
      </c>
      <c r="C301" s="60" t="s">
        <v>3030</v>
      </c>
      <c r="D301" s="61" t="s">
        <v>84</v>
      </c>
      <c r="E301" t="str">
        <f>VLOOKUP(Table10[[#This Row],[Country]],Countries!$A$1:$D$205,2,TRUE)</f>
        <v>CAN</v>
      </c>
      <c r="F301" s="60">
        <v>2005</v>
      </c>
      <c r="G301" s="60" t="s">
        <v>4026</v>
      </c>
      <c r="H301" s="65">
        <v>2000</v>
      </c>
      <c r="I301" s="65">
        <v>1600</v>
      </c>
      <c r="J301" s="60" t="s">
        <v>4049</v>
      </c>
      <c r="K301" s="60">
        <v>36.163203000000003</v>
      </c>
      <c r="L301">
        <v>114.296223</v>
      </c>
    </row>
    <row r="302" spans="1:12" x14ac:dyDescent="0.35">
      <c r="A302" s="60" t="s">
        <v>4446</v>
      </c>
      <c r="B302" s="60" t="s">
        <v>4442</v>
      </c>
      <c r="C302" s="60" t="s">
        <v>3030</v>
      </c>
      <c r="D302" s="61" t="s">
        <v>84</v>
      </c>
      <c r="E302" t="str">
        <f>VLOOKUP(Table10[[#This Row],[Country]],Countries!$A$1:$D$205,2,TRUE)</f>
        <v>CAN</v>
      </c>
      <c r="F302" s="60">
        <v>2003</v>
      </c>
      <c r="G302" s="60" t="s">
        <v>4026</v>
      </c>
      <c r="H302" s="65">
        <v>1800</v>
      </c>
      <c r="I302" s="65">
        <v>2190</v>
      </c>
      <c r="J302" s="60" t="s">
        <v>4049</v>
      </c>
      <c r="K302" s="60">
        <v>35.879956</v>
      </c>
      <c r="L302">
        <v>114.334825</v>
      </c>
    </row>
    <row r="303" spans="1:12" x14ac:dyDescent="0.35">
      <c r="A303" s="60" t="s">
        <v>4447</v>
      </c>
      <c r="B303" s="60" t="s">
        <v>4442</v>
      </c>
      <c r="C303" s="60" t="s">
        <v>3030</v>
      </c>
      <c r="D303" s="61" t="s">
        <v>84</v>
      </c>
      <c r="E303" t="str">
        <f>VLOOKUP(Table10[[#This Row],[Country]],Countries!$A$1:$D$205,2,TRUE)</f>
        <v>CAN</v>
      </c>
      <c r="F303" s="60">
        <v>2004</v>
      </c>
      <c r="G303" s="60" t="s">
        <v>4026</v>
      </c>
      <c r="H303" s="65">
        <v>960</v>
      </c>
      <c r="I303" s="65">
        <v>850</v>
      </c>
      <c r="J303" s="60" t="s">
        <v>4049</v>
      </c>
      <c r="K303" s="60">
        <v>36.152417999999997</v>
      </c>
      <c r="L303">
        <v>114.15839</v>
      </c>
    </row>
    <row r="304" spans="1:12" x14ac:dyDescent="0.35">
      <c r="A304" s="60" t="s">
        <v>4448</v>
      </c>
      <c r="B304" s="60" t="s">
        <v>4449</v>
      </c>
      <c r="C304" s="60" t="s">
        <v>3030</v>
      </c>
      <c r="D304" s="61" t="s">
        <v>84</v>
      </c>
      <c r="E304" t="str">
        <f>VLOOKUP(Table10[[#This Row],[Country]],Countries!$A$1:$D$205,2,TRUE)</f>
        <v>CAN</v>
      </c>
      <c r="F304" s="60">
        <v>2005</v>
      </c>
      <c r="G304" s="60" t="s">
        <v>4026</v>
      </c>
      <c r="H304" s="65">
        <v>800</v>
      </c>
      <c r="I304" s="65" t="s">
        <v>4022</v>
      </c>
      <c r="J304" s="60" t="s">
        <v>4023</v>
      </c>
      <c r="K304" s="60">
        <v>34.263508999999999</v>
      </c>
      <c r="L304">
        <v>113.853979</v>
      </c>
    </row>
    <row r="305" spans="1:12" x14ac:dyDescent="0.35">
      <c r="A305" s="60" t="s">
        <v>4450</v>
      </c>
      <c r="B305" s="60" t="s">
        <v>4451</v>
      </c>
      <c r="C305" s="60" t="s">
        <v>3030</v>
      </c>
      <c r="D305" s="61" t="s">
        <v>84</v>
      </c>
      <c r="E305" t="str">
        <f>VLOOKUP(Table10[[#This Row],[Country]],Countries!$A$1:$D$205,2,TRUE)</f>
        <v>CAN</v>
      </c>
      <c r="F305" s="60">
        <v>2008</v>
      </c>
      <c r="G305" s="60" t="s">
        <v>4026</v>
      </c>
      <c r="H305" s="65">
        <v>1900</v>
      </c>
      <c r="I305" s="65">
        <v>1660</v>
      </c>
      <c r="J305" s="60" t="s">
        <v>4049</v>
      </c>
      <c r="K305" s="60">
        <v>34.702950999999999</v>
      </c>
      <c r="L305">
        <v>112.955911</v>
      </c>
    </row>
    <row r="306" spans="1:12" x14ac:dyDescent="0.35">
      <c r="A306" s="60" t="s">
        <v>4452</v>
      </c>
      <c r="B306" s="60" t="s">
        <v>4453</v>
      </c>
      <c r="C306" s="60" t="s">
        <v>3030</v>
      </c>
      <c r="D306" s="61" t="s">
        <v>84</v>
      </c>
      <c r="E306" t="str">
        <f>VLOOKUP(Table10[[#This Row],[Country]],Countries!$A$1:$D$205,2,TRUE)</f>
        <v>CAN</v>
      </c>
      <c r="F306" s="60">
        <v>1958</v>
      </c>
      <c r="G306" s="60" t="s">
        <v>4026</v>
      </c>
      <c r="H306" s="65">
        <v>5000</v>
      </c>
      <c r="I306" s="65">
        <v>1948.328</v>
      </c>
      <c r="J306" s="60" t="s">
        <v>4049</v>
      </c>
      <c r="K306" s="60">
        <v>35.086396000000001</v>
      </c>
      <c r="L306">
        <v>112.553774</v>
      </c>
    </row>
    <row r="307" spans="1:12" x14ac:dyDescent="0.35">
      <c r="A307" s="60" t="s">
        <v>4454</v>
      </c>
      <c r="B307" s="60" t="s">
        <v>4453</v>
      </c>
      <c r="C307" s="60" t="s">
        <v>3030</v>
      </c>
      <c r="D307" s="61" t="s">
        <v>84</v>
      </c>
      <c r="E307" t="str">
        <f>VLOOKUP(Table10[[#This Row],[Country]],Countries!$A$1:$D$205,2,TRUE)</f>
        <v>CAN</v>
      </c>
      <c r="F307" s="60" t="s">
        <v>4036</v>
      </c>
      <c r="G307" s="60" t="s">
        <v>4021</v>
      </c>
      <c r="H307" s="65" t="s">
        <v>4022</v>
      </c>
      <c r="I307" s="65">
        <v>1191</v>
      </c>
      <c r="J307" s="60" t="s">
        <v>4111</v>
      </c>
      <c r="K307" s="60">
        <v>35.086396000000001</v>
      </c>
      <c r="L307">
        <v>112.553774</v>
      </c>
    </row>
    <row r="308" spans="1:12" x14ac:dyDescent="0.35">
      <c r="A308" s="60" t="s">
        <v>4455</v>
      </c>
      <c r="B308" s="60" t="s">
        <v>4453</v>
      </c>
      <c r="C308" s="60" t="s">
        <v>3030</v>
      </c>
      <c r="D308" s="61" t="s">
        <v>84</v>
      </c>
      <c r="E308" t="str">
        <f>VLOOKUP(Table10[[#This Row],[Country]],Countries!$A$1:$D$205,2,TRUE)</f>
        <v>CAN</v>
      </c>
      <c r="F308" s="60">
        <v>2023</v>
      </c>
      <c r="G308" s="60" t="s">
        <v>4037</v>
      </c>
      <c r="H308" s="65">
        <v>1600</v>
      </c>
      <c r="I308" s="65">
        <v>1191</v>
      </c>
      <c r="J308" s="60" t="s">
        <v>4161</v>
      </c>
      <c r="K308" s="60">
        <v>35.086396000000001</v>
      </c>
      <c r="L308">
        <v>112.553774</v>
      </c>
    </row>
    <row r="309" spans="1:12" x14ac:dyDescent="0.35">
      <c r="A309" s="60" t="s">
        <v>4456</v>
      </c>
      <c r="B309" s="60" t="s">
        <v>4457</v>
      </c>
      <c r="C309" s="60" t="s">
        <v>3030</v>
      </c>
      <c r="D309" s="61" t="s">
        <v>84</v>
      </c>
      <c r="E309" t="str">
        <f>VLOOKUP(Table10[[#This Row],[Country]],Countries!$A$1:$D$205,2,TRUE)</f>
        <v>CAN</v>
      </c>
      <c r="F309" s="60">
        <v>2001</v>
      </c>
      <c r="G309" s="60" t="s">
        <v>4026</v>
      </c>
      <c r="H309" s="65">
        <v>2000</v>
      </c>
      <c r="I309" s="65">
        <v>1540</v>
      </c>
      <c r="J309" s="60" t="s">
        <v>4049</v>
      </c>
      <c r="K309" s="60">
        <v>36.131666000000003</v>
      </c>
      <c r="L309">
        <v>113.872158</v>
      </c>
    </row>
    <row r="310" spans="1:12" x14ac:dyDescent="0.35">
      <c r="A310" s="60" t="s">
        <v>4458</v>
      </c>
      <c r="B310" s="60" t="s">
        <v>4457</v>
      </c>
      <c r="C310" s="60" t="s">
        <v>3030</v>
      </c>
      <c r="D310" s="61" t="s">
        <v>84</v>
      </c>
      <c r="E310" t="str">
        <f>VLOOKUP(Table10[[#This Row],[Country]],Countries!$A$1:$D$205,2,TRUE)</f>
        <v>CAN</v>
      </c>
      <c r="F310" s="60">
        <v>2022</v>
      </c>
      <c r="G310" s="60" t="s">
        <v>4021</v>
      </c>
      <c r="H310" s="65" t="s">
        <v>4022</v>
      </c>
      <c r="I310" s="65">
        <v>1520</v>
      </c>
      <c r="J310" s="60" t="s">
        <v>4111</v>
      </c>
      <c r="K310" s="60">
        <v>36.131666000000003</v>
      </c>
      <c r="L310">
        <v>113.872158</v>
      </c>
    </row>
    <row r="311" spans="1:12" x14ac:dyDescent="0.35">
      <c r="A311" s="60" t="s">
        <v>4459</v>
      </c>
      <c r="B311" s="60" t="s">
        <v>4457</v>
      </c>
      <c r="C311" s="60" t="s">
        <v>3030</v>
      </c>
      <c r="D311" s="61" t="s">
        <v>84</v>
      </c>
      <c r="E311" t="str">
        <f>VLOOKUP(Table10[[#This Row],[Country]],Countries!$A$1:$D$205,2,TRUE)</f>
        <v>CAN</v>
      </c>
      <c r="F311" s="60">
        <v>1969</v>
      </c>
      <c r="G311" s="60" t="s">
        <v>4026</v>
      </c>
      <c r="H311" s="65" t="s">
        <v>4022</v>
      </c>
      <c r="I311" s="65">
        <v>600</v>
      </c>
      <c r="J311" s="60" t="s">
        <v>4111</v>
      </c>
      <c r="K311" s="60">
        <v>36.133341999999999</v>
      </c>
      <c r="L311">
        <v>113.873442</v>
      </c>
    </row>
    <row r="312" spans="1:12" x14ac:dyDescent="0.35">
      <c r="A312" s="60" t="s">
        <v>4460</v>
      </c>
      <c r="B312" s="60" t="s">
        <v>3031</v>
      </c>
      <c r="C312" s="60" t="s">
        <v>3030</v>
      </c>
      <c r="D312" s="61" t="s">
        <v>84</v>
      </c>
      <c r="E312" t="str">
        <f>VLOOKUP(Table10[[#This Row],[Country]],Countries!$A$1:$D$205,2,TRUE)</f>
        <v>CAN</v>
      </c>
      <c r="F312" s="60">
        <v>2003</v>
      </c>
      <c r="G312" s="60" t="s">
        <v>4026</v>
      </c>
      <c r="H312" s="65">
        <v>850</v>
      </c>
      <c r="I312" s="65" t="s">
        <v>4022</v>
      </c>
      <c r="J312" s="60" t="s">
        <v>4023</v>
      </c>
      <c r="K312" s="60">
        <v>34.798476999999998</v>
      </c>
      <c r="L312">
        <v>112.580505</v>
      </c>
    </row>
    <row r="313" spans="1:12" x14ac:dyDescent="0.35">
      <c r="A313" s="60" t="s">
        <v>4461</v>
      </c>
      <c r="B313" s="60" t="s">
        <v>4462</v>
      </c>
      <c r="C313" s="60" t="s">
        <v>3030</v>
      </c>
      <c r="D313" s="61" t="s">
        <v>84</v>
      </c>
      <c r="E313" t="str">
        <f>VLOOKUP(Table10[[#This Row],[Country]],Countries!$A$1:$D$205,2,TRUE)</f>
        <v>CAN</v>
      </c>
      <c r="F313" s="60">
        <v>2003</v>
      </c>
      <c r="G313" s="60" t="s">
        <v>4026</v>
      </c>
      <c r="H313" s="65">
        <v>2588</v>
      </c>
      <c r="I313" s="65">
        <v>2244</v>
      </c>
      <c r="J313" s="60" t="s">
        <v>4049</v>
      </c>
      <c r="K313" s="60">
        <v>33.269323999999997</v>
      </c>
      <c r="L313">
        <v>111.53463499999999</v>
      </c>
    </row>
    <row r="314" spans="1:12" x14ac:dyDescent="0.35">
      <c r="A314" s="60" t="s">
        <v>4463</v>
      </c>
      <c r="B314" s="60" t="s">
        <v>4464</v>
      </c>
      <c r="C314" s="60" t="s">
        <v>3030</v>
      </c>
      <c r="D314" s="61" t="s">
        <v>84</v>
      </c>
      <c r="E314" t="str">
        <f>VLOOKUP(Table10[[#This Row],[Country]],Countries!$A$1:$D$205,2,TRUE)</f>
        <v>CAN</v>
      </c>
      <c r="F314" s="60">
        <v>2002</v>
      </c>
      <c r="G314" s="60" t="s">
        <v>4026</v>
      </c>
      <c r="H314" s="65" t="s">
        <v>4022</v>
      </c>
      <c r="I314" s="65">
        <v>1220</v>
      </c>
      <c r="J314" s="60" t="s">
        <v>4111</v>
      </c>
      <c r="K314" s="60">
        <v>33.29175</v>
      </c>
      <c r="L314">
        <v>113.458011</v>
      </c>
    </row>
    <row r="315" spans="1:12" x14ac:dyDescent="0.35">
      <c r="A315" s="60" t="s">
        <v>4465</v>
      </c>
      <c r="B315" s="60" t="s">
        <v>4466</v>
      </c>
      <c r="C315" s="60" t="s">
        <v>3030</v>
      </c>
      <c r="D315" s="61" t="s">
        <v>84</v>
      </c>
      <c r="E315" t="str">
        <f>VLOOKUP(Table10[[#This Row],[Country]],Countries!$A$1:$D$205,2,TRUE)</f>
        <v>CAN</v>
      </c>
      <c r="F315" s="60">
        <v>1970</v>
      </c>
      <c r="G315" s="60" t="s">
        <v>4026</v>
      </c>
      <c r="H315" s="65">
        <v>3600</v>
      </c>
      <c r="I315" s="65">
        <v>1400</v>
      </c>
      <c r="J315" s="60" t="s">
        <v>4049</v>
      </c>
      <c r="K315" s="60">
        <v>32.488703999999998</v>
      </c>
      <c r="L315">
        <v>114.03824299999999</v>
      </c>
    </row>
    <row r="316" spans="1:12" x14ac:dyDescent="0.35">
      <c r="A316" s="60" t="s">
        <v>4467</v>
      </c>
      <c r="B316" s="60" t="s">
        <v>4466</v>
      </c>
      <c r="C316" s="60" t="s">
        <v>3030</v>
      </c>
      <c r="D316" s="61" t="s">
        <v>84</v>
      </c>
      <c r="E316" t="str">
        <f>VLOOKUP(Table10[[#This Row],[Country]],Countries!$A$1:$D$205,2,TRUE)</f>
        <v>CAN</v>
      </c>
      <c r="F316" s="60">
        <v>2022</v>
      </c>
      <c r="G316" s="60" t="s">
        <v>4026</v>
      </c>
      <c r="H316" s="65" t="s">
        <v>4022</v>
      </c>
      <c r="I316" s="65">
        <v>1150</v>
      </c>
      <c r="J316" s="60" t="s">
        <v>4111</v>
      </c>
      <c r="K316" s="60">
        <v>32.488703999999998</v>
      </c>
      <c r="L316">
        <v>114.03824299999999</v>
      </c>
    </row>
    <row r="317" spans="1:12" x14ac:dyDescent="0.35">
      <c r="A317" s="60" t="s">
        <v>4467</v>
      </c>
      <c r="B317" s="60" t="s">
        <v>4466</v>
      </c>
      <c r="C317" s="60" t="s">
        <v>3030</v>
      </c>
      <c r="D317" s="61" t="s">
        <v>84</v>
      </c>
      <c r="E317" t="str">
        <f>VLOOKUP(Table10[[#This Row],[Country]],Countries!$A$1:$D$205,2,TRUE)</f>
        <v>CAN</v>
      </c>
      <c r="F317" s="60">
        <v>2024</v>
      </c>
      <c r="G317" s="60" t="s">
        <v>4037</v>
      </c>
      <c r="H317" s="65" t="s">
        <v>4022</v>
      </c>
      <c r="I317" s="65">
        <v>1138</v>
      </c>
      <c r="J317" s="60" t="s">
        <v>4111</v>
      </c>
      <c r="K317" s="60">
        <v>32.488703999999998</v>
      </c>
      <c r="L317">
        <v>114.03824299999999</v>
      </c>
    </row>
    <row r="318" spans="1:12" x14ac:dyDescent="0.35">
      <c r="A318" s="60" t="s">
        <v>4468</v>
      </c>
      <c r="B318" s="60" t="s">
        <v>4469</v>
      </c>
      <c r="C318" s="60" t="s">
        <v>3030</v>
      </c>
      <c r="D318" s="61" t="s">
        <v>84</v>
      </c>
      <c r="E318" t="str">
        <f>VLOOKUP(Table10[[#This Row],[Country]],Countries!$A$1:$D$205,2,TRUE)</f>
        <v>CAN</v>
      </c>
      <c r="F318" s="60">
        <v>2003</v>
      </c>
      <c r="G318" s="60" t="s">
        <v>4026</v>
      </c>
      <c r="H318" s="65">
        <v>3000</v>
      </c>
      <c r="I318" s="65">
        <v>3000</v>
      </c>
      <c r="J318" s="60" t="s">
        <v>4049</v>
      </c>
      <c r="K318" s="60">
        <v>34.013368999999997</v>
      </c>
      <c r="L318">
        <v>116.42259900000001</v>
      </c>
    </row>
    <row r="319" spans="1:12" x14ac:dyDescent="0.35">
      <c r="A319" s="60" t="s">
        <v>4470</v>
      </c>
      <c r="B319" s="60" t="s">
        <v>4469</v>
      </c>
      <c r="C319" s="60" t="s">
        <v>3030</v>
      </c>
      <c r="D319" s="61" t="s">
        <v>84</v>
      </c>
      <c r="E319" t="str">
        <f>VLOOKUP(Table10[[#This Row],[Country]],Countries!$A$1:$D$205,2,TRUE)</f>
        <v>CAN</v>
      </c>
      <c r="F319" s="60" t="s">
        <v>4036</v>
      </c>
      <c r="G319" s="60" t="s">
        <v>4037</v>
      </c>
      <c r="H319" s="65">
        <v>3375</v>
      </c>
      <c r="I319" s="65">
        <v>1475</v>
      </c>
      <c r="J319" s="60" t="s">
        <v>4036</v>
      </c>
      <c r="K319" s="60">
        <v>34.013368999999997</v>
      </c>
      <c r="L319">
        <v>116.42259900000001</v>
      </c>
    </row>
    <row r="320" spans="1:12" x14ac:dyDescent="0.35">
      <c r="A320" s="60" t="s">
        <v>4471</v>
      </c>
      <c r="B320" s="60" t="s">
        <v>4472</v>
      </c>
      <c r="C320" s="60" t="s">
        <v>3030</v>
      </c>
      <c r="D320" s="61" t="s">
        <v>84</v>
      </c>
      <c r="E320" t="str">
        <f>VLOOKUP(Table10[[#This Row],[Country]],Countries!$A$1:$D$205,2,TRUE)</f>
        <v>CAN</v>
      </c>
      <c r="F320" s="60">
        <v>1993</v>
      </c>
      <c r="G320" s="60" t="s">
        <v>4026</v>
      </c>
      <c r="H320" s="65">
        <v>850</v>
      </c>
      <c r="I320" s="65" t="s">
        <v>4022</v>
      </c>
      <c r="J320" s="60" t="s">
        <v>4023</v>
      </c>
      <c r="K320" s="60">
        <v>34.64443</v>
      </c>
      <c r="L320">
        <v>112.937985</v>
      </c>
    </row>
    <row r="321" spans="1:12" x14ac:dyDescent="0.35">
      <c r="A321" s="60" t="s">
        <v>4473</v>
      </c>
      <c r="B321" s="60" t="s">
        <v>4474</v>
      </c>
      <c r="C321" s="60" t="s">
        <v>3030</v>
      </c>
      <c r="D321" s="61" t="s">
        <v>84</v>
      </c>
      <c r="E321" t="str">
        <f>VLOOKUP(Table10[[#This Row],[Country]],Countries!$A$1:$D$205,2,TRUE)</f>
        <v>CAN</v>
      </c>
      <c r="F321" s="60">
        <v>2021</v>
      </c>
      <c r="G321" s="60" t="s">
        <v>4026</v>
      </c>
      <c r="H321" s="65">
        <v>1750</v>
      </c>
      <c r="I321" s="65">
        <v>1580</v>
      </c>
      <c r="J321" s="60" t="s">
        <v>4049</v>
      </c>
      <c r="K321" s="60">
        <v>33.364533999999999</v>
      </c>
      <c r="L321">
        <v>115.099661</v>
      </c>
    </row>
    <row r="322" spans="1:12" x14ac:dyDescent="0.35">
      <c r="A322" s="60" t="s">
        <v>4475</v>
      </c>
      <c r="B322" s="60" t="s">
        <v>4476</v>
      </c>
      <c r="C322" s="60" t="s">
        <v>3033</v>
      </c>
      <c r="D322" s="61" t="s">
        <v>84</v>
      </c>
      <c r="E322" t="str">
        <f>VLOOKUP(Table10[[#This Row],[Country]],Countries!$A$1:$D$205,2,TRUE)</f>
        <v>CAN</v>
      </c>
      <c r="F322" s="60">
        <v>1958</v>
      </c>
      <c r="G322" s="60" t="s">
        <v>4026</v>
      </c>
      <c r="H322" s="65">
        <v>4400</v>
      </c>
      <c r="I322" s="65">
        <v>3300</v>
      </c>
      <c r="J322" s="60" t="s">
        <v>4049</v>
      </c>
      <c r="K322" s="60">
        <v>30.39574</v>
      </c>
      <c r="L322">
        <v>114.861313</v>
      </c>
    </row>
    <row r="323" spans="1:12" x14ac:dyDescent="0.35">
      <c r="A323" s="60" t="s">
        <v>4477</v>
      </c>
      <c r="B323" s="60" t="s">
        <v>4476</v>
      </c>
      <c r="C323" s="60" t="s">
        <v>3033</v>
      </c>
      <c r="D323" s="61" t="s">
        <v>84</v>
      </c>
      <c r="E323" t="str">
        <f>VLOOKUP(Table10[[#This Row],[Country]],Countries!$A$1:$D$205,2,TRUE)</f>
        <v>CAN</v>
      </c>
      <c r="F323" s="60" t="s">
        <v>4036</v>
      </c>
      <c r="G323" s="60" t="s">
        <v>4021</v>
      </c>
      <c r="H323" s="65">
        <v>1350</v>
      </c>
      <c r="I323" s="65" t="s">
        <v>4022</v>
      </c>
      <c r="J323" s="60" t="s">
        <v>4163</v>
      </c>
      <c r="K323" s="60">
        <v>30.39574</v>
      </c>
      <c r="L323">
        <v>114.861313</v>
      </c>
    </row>
    <row r="324" spans="1:12" x14ac:dyDescent="0.35">
      <c r="A324" s="60" t="s">
        <v>4478</v>
      </c>
      <c r="B324" s="60" t="s">
        <v>4476</v>
      </c>
      <c r="C324" s="60" t="s">
        <v>3033</v>
      </c>
      <c r="D324" s="61" t="s">
        <v>84</v>
      </c>
      <c r="E324" t="str">
        <f>VLOOKUP(Table10[[#This Row],[Country]],Countries!$A$1:$D$205,2,TRUE)</f>
        <v>CAN</v>
      </c>
      <c r="F324" s="60">
        <v>2003</v>
      </c>
      <c r="G324" s="60" t="s">
        <v>4026</v>
      </c>
      <c r="H324" s="65">
        <v>1200</v>
      </c>
      <c r="I324" s="65" t="s">
        <v>4022</v>
      </c>
      <c r="J324" s="60" t="s">
        <v>4023</v>
      </c>
      <c r="K324" s="60">
        <v>30.532351999999999</v>
      </c>
      <c r="L324">
        <v>114.747597</v>
      </c>
    </row>
    <row r="325" spans="1:12" x14ac:dyDescent="0.35">
      <c r="A325" s="60" t="s">
        <v>4479</v>
      </c>
      <c r="B325" s="60" t="s">
        <v>4476</v>
      </c>
      <c r="C325" s="60" t="s">
        <v>3033</v>
      </c>
      <c r="D325" s="61" t="s">
        <v>84</v>
      </c>
      <c r="E325" t="str">
        <f>VLOOKUP(Table10[[#This Row],[Country]],Countries!$A$1:$D$205,2,TRUE)</f>
        <v>CAN</v>
      </c>
      <c r="F325" s="60">
        <v>2023</v>
      </c>
      <c r="G325" s="60" t="s">
        <v>4037</v>
      </c>
      <c r="H325" s="65">
        <v>750</v>
      </c>
      <c r="I325" s="65" t="s">
        <v>4022</v>
      </c>
      <c r="J325" s="60" t="s">
        <v>4023</v>
      </c>
      <c r="K325" s="60">
        <v>30.532351999999999</v>
      </c>
      <c r="L325">
        <v>114.747597</v>
      </c>
    </row>
    <row r="326" spans="1:12" x14ac:dyDescent="0.35">
      <c r="A326" s="60" t="s">
        <v>4480</v>
      </c>
      <c r="B326" s="60" t="s">
        <v>4476</v>
      </c>
      <c r="C326" s="60" t="s">
        <v>3033</v>
      </c>
      <c r="D326" s="61" t="s">
        <v>84</v>
      </c>
      <c r="E326" t="str">
        <f>VLOOKUP(Table10[[#This Row],[Country]],Countries!$A$1:$D$205,2,TRUE)</f>
        <v>CAN</v>
      </c>
      <c r="F326" s="60">
        <v>1997</v>
      </c>
      <c r="G326" s="60" t="s">
        <v>4026</v>
      </c>
      <c r="H326" s="65">
        <v>1100</v>
      </c>
      <c r="I326" s="65" t="s">
        <v>4022</v>
      </c>
      <c r="J326" s="60" t="s">
        <v>4023</v>
      </c>
      <c r="K326" s="60">
        <v>30.341239000000002</v>
      </c>
      <c r="L326">
        <v>114.857744</v>
      </c>
    </row>
    <row r="327" spans="1:12" x14ac:dyDescent="0.35">
      <c r="A327" s="60" t="s">
        <v>4481</v>
      </c>
      <c r="B327" s="60" t="s">
        <v>4482</v>
      </c>
      <c r="C327" s="60" t="s">
        <v>3033</v>
      </c>
      <c r="D327" s="61" t="s">
        <v>84</v>
      </c>
      <c r="E327" t="str">
        <f>VLOOKUP(Table10[[#This Row],[Country]],Countries!$A$1:$D$205,2,TRUE)</f>
        <v>CAN</v>
      </c>
      <c r="F327" s="60">
        <v>2007</v>
      </c>
      <c r="G327" s="60" t="s">
        <v>4026</v>
      </c>
      <c r="H327" s="65">
        <v>3500</v>
      </c>
      <c r="I327" s="65">
        <v>2009.2799999999997</v>
      </c>
      <c r="J327" s="60" t="s">
        <v>4161</v>
      </c>
      <c r="K327" s="60">
        <v>30.204602999999999</v>
      </c>
      <c r="L327">
        <v>115.125838</v>
      </c>
    </row>
    <row r="328" spans="1:12" x14ac:dyDescent="0.35">
      <c r="A328" s="60" t="s">
        <v>4483</v>
      </c>
      <c r="B328" s="60" t="s">
        <v>4482</v>
      </c>
      <c r="C328" s="60" t="s">
        <v>3033</v>
      </c>
      <c r="D328" s="61" t="s">
        <v>84</v>
      </c>
      <c r="E328" t="str">
        <f>VLOOKUP(Table10[[#This Row],[Country]],Countries!$A$1:$D$205,2,TRUE)</f>
        <v>CAN</v>
      </c>
      <c r="F328" s="60" t="s">
        <v>4036</v>
      </c>
      <c r="G328" s="60" t="s">
        <v>4021</v>
      </c>
      <c r="H328" s="65" t="s">
        <v>4022</v>
      </c>
      <c r="I328" s="65">
        <v>1180</v>
      </c>
      <c r="J328" s="60" t="s">
        <v>4111</v>
      </c>
      <c r="K328" s="60">
        <v>30.204602999999999</v>
      </c>
      <c r="L328">
        <v>115.125838</v>
      </c>
    </row>
    <row r="329" spans="1:12" x14ac:dyDescent="0.35">
      <c r="A329" s="60" t="s">
        <v>4484</v>
      </c>
      <c r="B329" s="60" t="s">
        <v>4482</v>
      </c>
      <c r="C329" s="60" t="s">
        <v>3033</v>
      </c>
      <c r="D329" s="61" t="s">
        <v>84</v>
      </c>
      <c r="E329" t="str">
        <f>VLOOKUP(Table10[[#This Row],[Country]],Countries!$A$1:$D$205,2,TRUE)</f>
        <v>CAN</v>
      </c>
      <c r="F329" s="60">
        <v>2024</v>
      </c>
      <c r="G329" s="60" t="s">
        <v>4037</v>
      </c>
      <c r="H329" s="65">
        <v>360</v>
      </c>
      <c r="I329" s="65" t="s">
        <v>4022</v>
      </c>
      <c r="J329" s="60" t="s">
        <v>4023</v>
      </c>
      <c r="K329" s="60">
        <v>30.204602999999999</v>
      </c>
      <c r="L329">
        <v>115.125838</v>
      </c>
    </row>
    <row r="330" spans="1:12" x14ac:dyDescent="0.35">
      <c r="A330" s="60" t="s">
        <v>4485</v>
      </c>
      <c r="B330" s="60" t="s">
        <v>4482</v>
      </c>
      <c r="C330" s="60" t="s">
        <v>3033</v>
      </c>
      <c r="D330" s="61" t="s">
        <v>84</v>
      </c>
      <c r="E330" t="str">
        <f>VLOOKUP(Table10[[#This Row],[Country]],Countries!$A$1:$D$205,2,TRUE)</f>
        <v>CAN</v>
      </c>
      <c r="F330" s="60">
        <v>2000</v>
      </c>
      <c r="G330" s="60" t="s">
        <v>4026</v>
      </c>
      <c r="H330" s="65">
        <v>500</v>
      </c>
      <c r="I330" s="65" t="s">
        <v>4022</v>
      </c>
      <c r="J330" s="60" t="s">
        <v>4049</v>
      </c>
      <c r="K330" s="60">
        <v>30.067468999999999</v>
      </c>
      <c r="L330">
        <v>114.934091</v>
      </c>
    </row>
    <row r="331" spans="1:12" x14ac:dyDescent="0.35">
      <c r="A331" s="60" t="s">
        <v>4486</v>
      </c>
      <c r="B331" s="60" t="s">
        <v>4482</v>
      </c>
      <c r="C331" s="60" t="s">
        <v>3033</v>
      </c>
      <c r="D331" s="61" t="s">
        <v>84</v>
      </c>
      <c r="E331" t="str">
        <f>VLOOKUP(Table10[[#This Row],[Country]],Countries!$A$1:$D$205,2,TRUE)</f>
        <v>CAN</v>
      </c>
      <c r="F331" s="60">
        <v>2003</v>
      </c>
      <c r="G331" s="60" t="s">
        <v>4026</v>
      </c>
      <c r="H331" s="65">
        <v>1215</v>
      </c>
      <c r="I331" s="65">
        <v>1200</v>
      </c>
      <c r="J331" s="60" t="s">
        <v>4049</v>
      </c>
      <c r="K331" s="60">
        <v>30.070219000000002</v>
      </c>
      <c r="L331">
        <v>114.92625099999999</v>
      </c>
    </row>
    <row r="332" spans="1:12" x14ac:dyDescent="0.35">
      <c r="A332" s="60" t="s">
        <v>4487</v>
      </c>
      <c r="B332" s="60" t="s">
        <v>4482</v>
      </c>
      <c r="C332" s="60" t="s">
        <v>3033</v>
      </c>
      <c r="D332" s="61" t="s">
        <v>84</v>
      </c>
      <c r="E332" t="str">
        <f>VLOOKUP(Table10[[#This Row],[Country]],Countries!$A$1:$D$205,2,TRUE)</f>
        <v>CAN</v>
      </c>
      <c r="F332" s="60">
        <v>2024</v>
      </c>
      <c r="G332" s="60" t="s">
        <v>4037</v>
      </c>
      <c r="H332" s="65">
        <v>1433</v>
      </c>
      <c r="I332" s="65" t="s">
        <v>4022</v>
      </c>
      <c r="J332" s="60" t="s">
        <v>4163</v>
      </c>
      <c r="K332" s="60">
        <v>30.070219000000002</v>
      </c>
      <c r="L332">
        <v>114.92625099999999</v>
      </c>
    </row>
    <row r="333" spans="1:12" x14ac:dyDescent="0.35">
      <c r="A333" s="60" t="s">
        <v>4488</v>
      </c>
      <c r="B333" s="60" t="s">
        <v>4482</v>
      </c>
      <c r="C333" s="60" t="s">
        <v>3033</v>
      </c>
      <c r="D333" s="60" t="s">
        <v>84</v>
      </c>
      <c r="E333" t="str">
        <f>VLOOKUP(Table10[[#This Row],[Country]],Countries!$A$1:$D$205,2,TRUE)</f>
        <v>CAN</v>
      </c>
      <c r="F333" s="60" t="s">
        <v>4036</v>
      </c>
      <c r="G333" s="60" t="s">
        <v>4037</v>
      </c>
      <c r="H333" s="65">
        <v>1700</v>
      </c>
      <c r="I333" s="65">
        <v>680</v>
      </c>
      <c r="J333" s="60" t="s">
        <v>4036</v>
      </c>
      <c r="K333" s="60">
        <v>30.097107999999999</v>
      </c>
      <c r="L333">
        <v>115.28465199999999</v>
      </c>
    </row>
    <row r="334" spans="1:12" x14ac:dyDescent="0.35">
      <c r="A334" s="60" t="s">
        <v>4489</v>
      </c>
      <c r="B334" s="60" t="s">
        <v>4490</v>
      </c>
      <c r="C334" s="60" t="s">
        <v>3033</v>
      </c>
      <c r="D334" s="61" t="s">
        <v>84</v>
      </c>
      <c r="E334" t="str">
        <f>VLOOKUP(Table10[[#This Row],[Country]],Countries!$A$1:$D$205,2,TRUE)</f>
        <v>CAN</v>
      </c>
      <c r="F334" s="60">
        <v>1999</v>
      </c>
      <c r="G334" s="60" t="s">
        <v>4026</v>
      </c>
      <c r="H334" s="65">
        <v>1000</v>
      </c>
      <c r="I334" s="65" t="s">
        <v>4036</v>
      </c>
      <c r="J334" s="60" t="s">
        <v>4023</v>
      </c>
      <c r="K334" s="60">
        <v>30.3505</v>
      </c>
      <c r="L334">
        <v>112.353782</v>
      </c>
    </row>
    <row r="335" spans="1:12" x14ac:dyDescent="0.35">
      <c r="A335" s="60" t="s">
        <v>4491</v>
      </c>
      <c r="B335" s="60" t="s">
        <v>4492</v>
      </c>
      <c r="C335" s="60" t="s">
        <v>3033</v>
      </c>
      <c r="D335" s="61" t="s">
        <v>84</v>
      </c>
      <c r="E335" t="str">
        <f>VLOOKUP(Table10[[#This Row],[Country]],Countries!$A$1:$D$205,2,TRUE)</f>
        <v>CAN</v>
      </c>
      <c r="F335" s="60">
        <v>2003</v>
      </c>
      <c r="G335" s="60" t="s">
        <v>4026</v>
      </c>
      <c r="H335" s="65">
        <v>600</v>
      </c>
      <c r="I335" s="65" t="s">
        <v>4022</v>
      </c>
      <c r="J335" s="60" t="s">
        <v>4023</v>
      </c>
      <c r="K335" s="60">
        <v>32.650367000000003</v>
      </c>
      <c r="L335">
        <v>110.654794</v>
      </c>
    </row>
    <row r="336" spans="1:12" x14ac:dyDescent="0.35">
      <c r="A336" s="60" t="s">
        <v>4493</v>
      </c>
      <c r="B336" s="60" t="s">
        <v>4492</v>
      </c>
      <c r="C336" s="60" t="s">
        <v>3033</v>
      </c>
      <c r="D336" s="61" t="s">
        <v>84</v>
      </c>
      <c r="E336" t="str">
        <f>VLOOKUP(Table10[[#This Row],[Country]],Countries!$A$1:$D$205,2,TRUE)</f>
        <v>CAN</v>
      </c>
      <c r="F336" s="60">
        <v>2011</v>
      </c>
      <c r="G336" s="60" t="s">
        <v>4026</v>
      </c>
      <c r="H336" s="65">
        <v>800</v>
      </c>
      <c r="I336" s="65" t="s">
        <v>4022</v>
      </c>
      <c r="J336" s="60" t="s">
        <v>4023</v>
      </c>
      <c r="K336" s="60">
        <v>32.738598000000003</v>
      </c>
      <c r="L336">
        <v>110.793269</v>
      </c>
    </row>
    <row r="337" spans="1:12" x14ac:dyDescent="0.35">
      <c r="A337" s="60" t="s">
        <v>4494</v>
      </c>
      <c r="B337" s="60" t="s">
        <v>4495</v>
      </c>
      <c r="C337" s="60" t="s">
        <v>3033</v>
      </c>
      <c r="D337" s="61" t="s">
        <v>84</v>
      </c>
      <c r="E337" t="str">
        <f>VLOOKUP(Table10[[#This Row],[Country]],Countries!$A$1:$D$205,2,TRUE)</f>
        <v>CAN</v>
      </c>
      <c r="F337" s="60">
        <v>2008</v>
      </c>
      <c r="G337" s="60" t="s">
        <v>4026</v>
      </c>
      <c r="H337" s="65">
        <v>737</v>
      </c>
      <c r="I337" s="65">
        <v>776</v>
      </c>
      <c r="J337" s="60" t="s">
        <v>4027</v>
      </c>
      <c r="K337" s="60">
        <v>31.502210000000002</v>
      </c>
      <c r="L337">
        <v>114.00814200000001</v>
      </c>
    </row>
    <row r="338" spans="1:12" x14ac:dyDescent="0.35">
      <c r="A338" s="60" t="s">
        <v>4496</v>
      </c>
      <c r="B338" s="60" t="s">
        <v>3036</v>
      </c>
      <c r="C338" s="60" t="s">
        <v>3033</v>
      </c>
      <c r="D338" s="61" t="s">
        <v>84</v>
      </c>
      <c r="E338" t="str">
        <f>VLOOKUP(Table10[[#This Row],[Country]],Countries!$A$1:$D$205,2,TRUE)</f>
        <v>CAN</v>
      </c>
      <c r="F338" s="60">
        <v>1955</v>
      </c>
      <c r="G338" s="60" t="s">
        <v>4026</v>
      </c>
      <c r="H338" s="65">
        <v>15910</v>
      </c>
      <c r="I338" s="65">
        <v>14200</v>
      </c>
      <c r="J338" s="60" t="s">
        <v>4049</v>
      </c>
      <c r="K338" s="60">
        <v>30.616222</v>
      </c>
      <c r="L338">
        <v>114.444975</v>
      </c>
    </row>
    <row r="339" spans="1:12" x14ac:dyDescent="0.35">
      <c r="A339" s="60" t="s">
        <v>4497</v>
      </c>
      <c r="B339" s="60" t="s">
        <v>3036</v>
      </c>
      <c r="C339" s="60" t="s">
        <v>3033</v>
      </c>
      <c r="D339" s="61" t="s">
        <v>84</v>
      </c>
      <c r="E339" t="str">
        <f>VLOOKUP(Table10[[#This Row],[Country]],Countries!$A$1:$D$205,2,TRUE)</f>
        <v>CAN</v>
      </c>
      <c r="F339" s="60">
        <v>2023</v>
      </c>
      <c r="G339" s="60" t="s">
        <v>4037</v>
      </c>
      <c r="H339" s="65" t="s">
        <v>4022</v>
      </c>
      <c r="I339" s="65">
        <v>5340</v>
      </c>
      <c r="J339" s="60" t="s">
        <v>4111</v>
      </c>
      <c r="K339" s="60">
        <v>30.616222</v>
      </c>
      <c r="L339">
        <v>114.444975</v>
      </c>
    </row>
    <row r="340" spans="1:12" x14ac:dyDescent="0.35">
      <c r="A340" s="60" t="s">
        <v>4498</v>
      </c>
      <c r="B340" s="60" t="s">
        <v>3036</v>
      </c>
      <c r="C340" s="60" t="s">
        <v>3033</v>
      </c>
      <c r="D340" s="61" t="s">
        <v>84</v>
      </c>
      <c r="E340" t="str">
        <f>VLOOKUP(Table10[[#This Row],[Country]],Countries!$A$1:$D$205,2,TRUE)</f>
        <v>CAN</v>
      </c>
      <c r="F340" s="60">
        <v>1994</v>
      </c>
      <c r="G340" s="60" t="s">
        <v>4026</v>
      </c>
      <c r="H340" s="65">
        <v>1200</v>
      </c>
      <c r="I340" s="65" t="s">
        <v>4036</v>
      </c>
      <c r="J340" s="60" t="s">
        <v>4023</v>
      </c>
      <c r="K340" s="60">
        <v>30.394434</v>
      </c>
      <c r="L340">
        <v>114.257701</v>
      </c>
    </row>
    <row r="341" spans="1:12" x14ac:dyDescent="0.35">
      <c r="A341" s="60" t="s">
        <v>4499</v>
      </c>
      <c r="B341" s="60" t="s">
        <v>4500</v>
      </c>
      <c r="C341" s="60" t="s">
        <v>3033</v>
      </c>
      <c r="D341" s="61" t="s">
        <v>84</v>
      </c>
      <c r="E341" t="str">
        <f>VLOOKUP(Table10[[#This Row],[Country]],Countries!$A$1:$D$205,2,TRUE)</f>
        <v>CAN</v>
      </c>
      <c r="F341" s="60">
        <v>1999</v>
      </c>
      <c r="G341" s="60" t="s">
        <v>4026</v>
      </c>
      <c r="H341" s="65">
        <v>500</v>
      </c>
      <c r="I341" s="65" t="s">
        <v>4022</v>
      </c>
      <c r="J341" s="60" t="s">
        <v>4023</v>
      </c>
      <c r="K341" s="60">
        <v>32.107039999999998</v>
      </c>
      <c r="L341">
        <v>112.23562099999999</v>
      </c>
    </row>
    <row r="342" spans="1:12" x14ac:dyDescent="0.35">
      <c r="A342" s="60" t="s">
        <v>4501</v>
      </c>
      <c r="B342" s="60" t="s">
        <v>4500</v>
      </c>
      <c r="C342" s="60" t="s">
        <v>3033</v>
      </c>
      <c r="D342" s="61" t="s">
        <v>84</v>
      </c>
      <c r="E342" t="str">
        <f>VLOOKUP(Table10[[#This Row],[Country]],Countries!$A$1:$D$205,2,TRUE)</f>
        <v>CAN</v>
      </c>
      <c r="F342" s="60">
        <v>2002</v>
      </c>
      <c r="G342" s="60" t="s">
        <v>4026</v>
      </c>
      <c r="H342" s="65">
        <v>1660</v>
      </c>
      <c r="I342" s="65" t="s">
        <v>4022</v>
      </c>
      <c r="J342" s="60" t="s">
        <v>4023</v>
      </c>
      <c r="K342" s="60">
        <v>32.127262999999999</v>
      </c>
      <c r="L342">
        <v>112.715688</v>
      </c>
    </row>
    <row r="343" spans="1:12" x14ac:dyDescent="0.35">
      <c r="A343" s="60" t="s">
        <v>4502</v>
      </c>
      <c r="B343" s="60" t="s">
        <v>4503</v>
      </c>
      <c r="C343" s="60" t="s">
        <v>3033</v>
      </c>
      <c r="D343" s="61" t="s">
        <v>84</v>
      </c>
      <c r="E343" t="str">
        <f>VLOOKUP(Table10[[#This Row],[Country]],Countries!$A$1:$D$205,2,TRUE)</f>
        <v>CAN</v>
      </c>
      <c r="F343" s="60">
        <v>2016</v>
      </c>
      <c r="G343" s="60" t="s">
        <v>4026</v>
      </c>
      <c r="H343" s="65">
        <v>3250</v>
      </c>
      <c r="I343" s="65">
        <v>3000</v>
      </c>
      <c r="J343" s="60" t="s">
        <v>4049</v>
      </c>
      <c r="K343" s="60">
        <v>29.916729</v>
      </c>
      <c r="L343">
        <v>113.82292099999999</v>
      </c>
    </row>
    <row r="344" spans="1:12" x14ac:dyDescent="0.35">
      <c r="A344" s="60" t="s">
        <v>4504</v>
      </c>
      <c r="B344" s="60" t="s">
        <v>4503</v>
      </c>
      <c r="C344" s="60" t="s">
        <v>3033</v>
      </c>
      <c r="D344" s="61" t="s">
        <v>84</v>
      </c>
      <c r="E344" t="str">
        <f>VLOOKUP(Table10[[#This Row],[Country]],Countries!$A$1:$D$205,2,TRUE)</f>
        <v>CAN</v>
      </c>
      <c r="F344" s="60" t="s">
        <v>4036</v>
      </c>
      <c r="G344" s="60" t="s">
        <v>4021</v>
      </c>
      <c r="H344" s="65">
        <v>2000</v>
      </c>
      <c r="I344" s="65" t="s">
        <v>4022</v>
      </c>
      <c r="J344" s="60" t="s">
        <v>4023</v>
      </c>
      <c r="K344" s="60">
        <v>29.925025999999999</v>
      </c>
      <c r="L344">
        <v>113.82611799999999</v>
      </c>
    </row>
    <row r="345" spans="1:12" x14ac:dyDescent="0.35">
      <c r="A345" s="60" t="s">
        <v>4505</v>
      </c>
      <c r="B345" s="60" t="s">
        <v>4506</v>
      </c>
      <c r="C345" s="60" t="s">
        <v>3033</v>
      </c>
      <c r="D345" s="61" t="s">
        <v>84</v>
      </c>
      <c r="E345" t="str">
        <f>VLOOKUP(Table10[[#This Row],[Country]],Countries!$A$1:$D$205,2,TRUE)</f>
        <v>CAN</v>
      </c>
      <c r="F345" s="60">
        <v>1993</v>
      </c>
      <c r="G345" s="60" t="s">
        <v>4026</v>
      </c>
      <c r="H345" s="65">
        <v>1000</v>
      </c>
      <c r="I345" s="65" t="s">
        <v>4022</v>
      </c>
      <c r="J345" s="60" t="s">
        <v>4023</v>
      </c>
      <c r="K345" s="60">
        <v>31.006751999999999</v>
      </c>
      <c r="L345">
        <v>113.75499499999999</v>
      </c>
    </row>
    <row r="346" spans="1:12" x14ac:dyDescent="0.35">
      <c r="A346" s="60" t="s">
        <v>4507</v>
      </c>
      <c r="B346" s="60" t="s">
        <v>4508</v>
      </c>
      <c r="C346" s="60" t="s">
        <v>3033</v>
      </c>
      <c r="D346" s="61" t="s">
        <v>84</v>
      </c>
      <c r="E346" t="str">
        <f>VLOOKUP(Table10[[#This Row],[Country]],Countries!$A$1:$D$205,2,TRUE)</f>
        <v>CAN</v>
      </c>
      <c r="F346" s="60">
        <v>2003</v>
      </c>
      <c r="G346" s="60" t="s">
        <v>4026</v>
      </c>
      <c r="H346" s="65">
        <v>600</v>
      </c>
      <c r="I346" s="65" t="s">
        <v>4022</v>
      </c>
      <c r="J346" s="60" t="s">
        <v>4023</v>
      </c>
      <c r="K346" s="60">
        <v>30.586331999999999</v>
      </c>
      <c r="L346">
        <v>111.39884600000001</v>
      </c>
    </row>
    <row r="347" spans="1:12" x14ac:dyDescent="0.35">
      <c r="A347" s="60" t="s">
        <v>4509</v>
      </c>
      <c r="B347" s="60" t="s">
        <v>4510</v>
      </c>
      <c r="C347" s="60" t="s">
        <v>3038</v>
      </c>
      <c r="D347" s="61" t="s">
        <v>84</v>
      </c>
      <c r="E347" t="str">
        <f>VLOOKUP(Table10[[#This Row],[Country]],Countries!$A$1:$D$205,2,TRUE)</f>
        <v>CAN</v>
      </c>
      <c r="F347" s="60">
        <v>1958</v>
      </c>
      <c r="G347" s="60" t="s">
        <v>4026</v>
      </c>
      <c r="H347" s="65">
        <v>1300</v>
      </c>
      <c r="I347" s="65">
        <v>830</v>
      </c>
      <c r="J347" s="60" t="s">
        <v>4027</v>
      </c>
      <c r="K347" s="60">
        <v>26.865483999999999</v>
      </c>
      <c r="L347">
        <v>112.576853</v>
      </c>
    </row>
    <row r="348" spans="1:12" x14ac:dyDescent="0.35">
      <c r="A348" s="60" t="s">
        <v>4511</v>
      </c>
      <c r="B348" s="60" t="s">
        <v>4512</v>
      </c>
      <c r="C348" s="60" t="s">
        <v>3038</v>
      </c>
      <c r="D348" s="61" t="s">
        <v>84</v>
      </c>
      <c r="E348" t="str">
        <f>VLOOKUP(Table10[[#This Row],[Country]],Countries!$A$1:$D$205,2,TRUE)</f>
        <v>CAN</v>
      </c>
      <c r="F348" s="60">
        <v>1958</v>
      </c>
      <c r="G348" s="60" t="s">
        <v>4026</v>
      </c>
      <c r="H348" s="65">
        <v>3000</v>
      </c>
      <c r="I348" s="65">
        <v>3000</v>
      </c>
      <c r="J348" s="60" t="s">
        <v>4049</v>
      </c>
      <c r="K348" s="60">
        <v>27.690401000000001</v>
      </c>
      <c r="L348">
        <v>111.437288</v>
      </c>
    </row>
    <row r="349" spans="1:12" x14ac:dyDescent="0.35">
      <c r="A349" s="60" t="s">
        <v>4513</v>
      </c>
      <c r="B349" s="60" t="s">
        <v>4514</v>
      </c>
      <c r="C349" s="60" t="s">
        <v>3038</v>
      </c>
      <c r="D349" s="61" t="s">
        <v>84</v>
      </c>
      <c r="E349" t="str">
        <f>VLOOKUP(Table10[[#This Row],[Country]],Countries!$A$1:$D$205,2,TRUE)</f>
        <v>CAN</v>
      </c>
      <c r="F349" s="60">
        <v>1958</v>
      </c>
      <c r="G349" s="60" t="s">
        <v>4026</v>
      </c>
      <c r="H349" s="65">
        <v>9000</v>
      </c>
      <c r="I349" s="65">
        <v>7300</v>
      </c>
      <c r="J349" s="60" t="s">
        <v>4049</v>
      </c>
      <c r="K349" s="60">
        <v>27.747782000000001</v>
      </c>
      <c r="L349">
        <v>111.967343</v>
      </c>
    </row>
    <row r="350" spans="1:12" x14ac:dyDescent="0.35">
      <c r="A350" s="60" t="s">
        <v>4515</v>
      </c>
      <c r="B350" s="60" t="s">
        <v>4516</v>
      </c>
      <c r="C350" s="60" t="s">
        <v>3038</v>
      </c>
      <c r="D350" s="61" t="s">
        <v>84</v>
      </c>
      <c r="E350" t="str">
        <f>VLOOKUP(Table10[[#This Row],[Country]],Countries!$A$1:$D$205,2,TRUE)</f>
        <v>CAN</v>
      </c>
      <c r="F350" s="60">
        <v>1958</v>
      </c>
      <c r="G350" s="60" t="s">
        <v>4026</v>
      </c>
      <c r="H350" s="65">
        <v>7250</v>
      </c>
      <c r="I350" s="65">
        <v>7400</v>
      </c>
      <c r="J350" s="60" t="s">
        <v>4049</v>
      </c>
      <c r="K350" s="60">
        <v>27.814129999999999</v>
      </c>
      <c r="L350">
        <v>112.89737700000001</v>
      </c>
    </row>
    <row r="351" spans="1:12" x14ac:dyDescent="0.35">
      <c r="A351" s="60" t="s">
        <v>4517</v>
      </c>
      <c r="B351" s="60" t="s">
        <v>4518</v>
      </c>
      <c r="C351" s="60" t="s">
        <v>4519</v>
      </c>
      <c r="D351" s="61" t="s">
        <v>84</v>
      </c>
      <c r="E351" t="str">
        <f>VLOOKUP(Table10[[#This Row],[Country]],Countries!$A$1:$D$205,2,TRUE)</f>
        <v>CAN</v>
      </c>
      <c r="F351" s="60">
        <v>1999</v>
      </c>
      <c r="G351" s="60" t="s">
        <v>4026</v>
      </c>
      <c r="H351" s="65">
        <v>17500</v>
      </c>
      <c r="I351" s="65">
        <v>15900</v>
      </c>
      <c r="J351" s="60" t="s">
        <v>4049</v>
      </c>
      <c r="K351" s="60">
        <v>40.647996999999997</v>
      </c>
      <c r="L351">
        <v>109.740898</v>
      </c>
    </row>
    <row r="352" spans="1:12" x14ac:dyDescent="0.35">
      <c r="A352" s="60" t="s">
        <v>4520</v>
      </c>
      <c r="B352" s="60" t="s">
        <v>4518</v>
      </c>
      <c r="C352" s="60" t="s">
        <v>4519</v>
      </c>
      <c r="D352" s="61" t="s">
        <v>84</v>
      </c>
      <c r="E352" t="str">
        <f>VLOOKUP(Table10[[#This Row],[Country]],Countries!$A$1:$D$205,2,TRUE)</f>
        <v>CAN</v>
      </c>
      <c r="F352" s="60">
        <v>2023</v>
      </c>
      <c r="G352" s="60" t="s">
        <v>4037</v>
      </c>
      <c r="H352" s="65">
        <v>1350</v>
      </c>
      <c r="I352" s="65" t="s">
        <v>4022</v>
      </c>
      <c r="J352" s="60" t="s">
        <v>4163</v>
      </c>
      <c r="K352" s="60">
        <v>40.647996999999997</v>
      </c>
      <c r="L352">
        <v>109.740898</v>
      </c>
    </row>
    <row r="353" spans="1:12" x14ac:dyDescent="0.35">
      <c r="A353" s="60" t="s">
        <v>4521</v>
      </c>
      <c r="B353" s="60" t="s">
        <v>4518</v>
      </c>
      <c r="C353" s="60" t="s">
        <v>4519</v>
      </c>
      <c r="D353" s="61" t="s">
        <v>84</v>
      </c>
      <c r="E353" t="str">
        <f>VLOOKUP(Table10[[#This Row],[Country]],Countries!$A$1:$D$205,2,TRUE)</f>
        <v>CAN</v>
      </c>
      <c r="F353" s="60">
        <v>2024</v>
      </c>
      <c r="G353" s="60" t="s">
        <v>4037</v>
      </c>
      <c r="H353" s="65">
        <v>750</v>
      </c>
      <c r="I353" s="65" t="s">
        <v>4022</v>
      </c>
      <c r="J353" s="60" t="s">
        <v>4023</v>
      </c>
      <c r="K353" s="60">
        <v>40.647996999999997</v>
      </c>
      <c r="L353">
        <v>109.740898</v>
      </c>
    </row>
    <row r="354" spans="1:12" x14ac:dyDescent="0.35">
      <c r="A354" s="60" t="s">
        <v>4522</v>
      </c>
      <c r="B354" s="60" t="s">
        <v>4518</v>
      </c>
      <c r="C354" s="60" t="s">
        <v>4519</v>
      </c>
      <c r="D354" s="61" t="s">
        <v>84</v>
      </c>
      <c r="E354" t="str">
        <f>VLOOKUP(Table10[[#This Row],[Country]],Countries!$A$1:$D$205,2,TRUE)</f>
        <v>CAN</v>
      </c>
      <c r="F354" s="60">
        <v>2002</v>
      </c>
      <c r="G354" s="60" t="s">
        <v>4026</v>
      </c>
      <c r="H354" s="65">
        <v>900</v>
      </c>
      <c r="I354" s="65">
        <v>750</v>
      </c>
      <c r="J354" s="60" t="s">
        <v>4049</v>
      </c>
      <c r="K354" s="60">
        <v>40.662343</v>
      </c>
      <c r="L354">
        <v>109.696243</v>
      </c>
    </row>
    <row r="355" spans="1:12" x14ac:dyDescent="0.35">
      <c r="A355" s="60" t="s">
        <v>4523</v>
      </c>
      <c r="B355" s="60" t="s">
        <v>4518</v>
      </c>
      <c r="C355" s="60" t="s">
        <v>4519</v>
      </c>
      <c r="D355" s="61" t="s">
        <v>84</v>
      </c>
      <c r="E355" t="str">
        <f>VLOOKUP(Table10[[#This Row],[Country]],Countries!$A$1:$D$205,2,TRUE)</f>
        <v>CAN</v>
      </c>
      <c r="F355" s="60">
        <v>2023</v>
      </c>
      <c r="G355" s="60" t="s">
        <v>4021</v>
      </c>
      <c r="H355" s="65">
        <v>1250</v>
      </c>
      <c r="I355" s="65">
        <v>1130</v>
      </c>
      <c r="J355" s="60" t="s">
        <v>4049</v>
      </c>
      <c r="K355" s="60">
        <v>40.901899999999998</v>
      </c>
      <c r="L355">
        <v>110.336253</v>
      </c>
    </row>
    <row r="356" spans="1:12" x14ac:dyDescent="0.35">
      <c r="A356" s="60" t="s">
        <v>4524</v>
      </c>
      <c r="B356" s="60" t="s">
        <v>4518</v>
      </c>
      <c r="C356" s="60" t="s">
        <v>4519</v>
      </c>
      <c r="D356" s="61" t="s">
        <v>84</v>
      </c>
      <c r="E356" t="str">
        <f>VLOOKUP(Table10[[#This Row],[Country]],Countries!$A$1:$D$205,2,TRUE)</f>
        <v>CAN</v>
      </c>
      <c r="F356" s="60">
        <v>2007</v>
      </c>
      <c r="G356" s="60" t="s">
        <v>4026</v>
      </c>
      <c r="H356" s="65">
        <v>600</v>
      </c>
      <c r="I356" s="65">
        <v>800</v>
      </c>
      <c r="J356" s="60" t="s">
        <v>4049</v>
      </c>
      <c r="K356" s="60">
        <v>41.362924999999997</v>
      </c>
      <c r="L356">
        <v>110.988771</v>
      </c>
    </row>
    <row r="357" spans="1:12" x14ac:dyDescent="0.35">
      <c r="A357" s="60" t="s">
        <v>4525</v>
      </c>
      <c r="B357" s="60" t="s">
        <v>4518</v>
      </c>
      <c r="C357" s="60" t="s">
        <v>4519</v>
      </c>
      <c r="D357" s="61" t="s">
        <v>84</v>
      </c>
      <c r="E357" t="str">
        <f>VLOOKUP(Table10[[#This Row],[Country]],Countries!$A$1:$D$205,2,TRUE)</f>
        <v>CAN</v>
      </c>
      <c r="F357" s="60">
        <v>2002</v>
      </c>
      <c r="G357" s="60" t="s">
        <v>4026</v>
      </c>
      <c r="H357" s="65">
        <v>1100</v>
      </c>
      <c r="I357" s="65">
        <v>1170</v>
      </c>
      <c r="J357" s="60" t="s">
        <v>4049</v>
      </c>
      <c r="K357" s="60">
        <v>40.662343</v>
      </c>
      <c r="L357">
        <v>109.69833300000001</v>
      </c>
    </row>
    <row r="358" spans="1:12" x14ac:dyDescent="0.35">
      <c r="A358" s="60" t="s">
        <v>4526</v>
      </c>
      <c r="B358" s="60" t="s">
        <v>4518</v>
      </c>
      <c r="C358" s="60" t="s">
        <v>4519</v>
      </c>
      <c r="D358" s="61" t="s">
        <v>84</v>
      </c>
      <c r="E358" t="str">
        <f>VLOOKUP(Table10[[#This Row],[Country]],Countries!$A$1:$D$205,2,TRUE)</f>
        <v>CAN</v>
      </c>
      <c r="F358" s="60">
        <v>2005</v>
      </c>
      <c r="G358" s="60" t="s">
        <v>4026</v>
      </c>
      <c r="H358" s="65">
        <v>2000</v>
      </c>
      <c r="I358" s="65">
        <v>2000</v>
      </c>
      <c r="J358" s="60" t="s">
        <v>4049</v>
      </c>
      <c r="K358" s="60">
        <v>40.689777999999997</v>
      </c>
      <c r="L358">
        <v>110.214707</v>
      </c>
    </row>
    <row r="359" spans="1:12" x14ac:dyDescent="0.35">
      <c r="A359" s="60" t="s">
        <v>4527</v>
      </c>
      <c r="B359" s="60" t="s">
        <v>4518</v>
      </c>
      <c r="C359" s="60" t="s">
        <v>4519</v>
      </c>
      <c r="D359" s="61" t="s">
        <v>84</v>
      </c>
      <c r="E359" t="str">
        <f>VLOOKUP(Table10[[#This Row],[Country]],Countries!$A$1:$D$205,2,TRUE)</f>
        <v>CAN</v>
      </c>
      <c r="F359" s="60" t="s">
        <v>4036</v>
      </c>
      <c r="G359" s="60" t="s">
        <v>4037</v>
      </c>
      <c r="H359" s="65" t="s">
        <v>4022</v>
      </c>
      <c r="I359" s="65">
        <v>1430</v>
      </c>
      <c r="J359" s="60" t="s">
        <v>4111</v>
      </c>
      <c r="K359" s="60">
        <v>40.689777999999997</v>
      </c>
      <c r="L359">
        <v>110.214707</v>
      </c>
    </row>
    <row r="360" spans="1:12" x14ac:dyDescent="0.35">
      <c r="A360" s="60" t="s">
        <v>4528</v>
      </c>
      <c r="B360" s="60" t="s">
        <v>4518</v>
      </c>
      <c r="C360" s="60" t="s">
        <v>4519</v>
      </c>
      <c r="D360" s="61" t="s">
        <v>84</v>
      </c>
      <c r="E360" t="str">
        <f>VLOOKUP(Table10[[#This Row],[Country]],Countries!$A$1:$D$205,2,TRUE)</f>
        <v>CAN</v>
      </c>
      <c r="F360" s="60">
        <v>2023</v>
      </c>
      <c r="G360" s="60" t="s">
        <v>4037</v>
      </c>
      <c r="H360" s="65">
        <v>800</v>
      </c>
      <c r="I360" s="65" t="s">
        <v>4022</v>
      </c>
      <c r="J360" s="60" t="s">
        <v>4023</v>
      </c>
      <c r="K360" s="60">
        <v>40.597557000000002</v>
      </c>
      <c r="L360">
        <v>109.68320199999999</v>
      </c>
    </row>
    <row r="361" spans="1:12" x14ac:dyDescent="0.35">
      <c r="A361" s="60" t="s">
        <v>4529</v>
      </c>
      <c r="B361" s="60" t="s">
        <v>4518</v>
      </c>
      <c r="C361" s="60" t="s">
        <v>4519</v>
      </c>
      <c r="D361" s="61" t="s">
        <v>84</v>
      </c>
      <c r="E361" t="str">
        <f>VLOOKUP(Table10[[#This Row],[Country]],Countries!$A$1:$D$205,2,TRUE)</f>
        <v>CAN</v>
      </c>
      <c r="F361" s="60" t="s">
        <v>4036</v>
      </c>
      <c r="G361" s="60" t="s">
        <v>4037</v>
      </c>
      <c r="H361" s="65" t="s">
        <v>4022</v>
      </c>
      <c r="I361" s="65">
        <v>1100</v>
      </c>
      <c r="J361" s="60" t="s">
        <v>4023</v>
      </c>
      <c r="K361" s="60">
        <v>40.597557000000002</v>
      </c>
      <c r="L361">
        <v>109.68320199999999</v>
      </c>
    </row>
    <row r="362" spans="1:12" x14ac:dyDescent="0.35">
      <c r="A362" s="60" t="s">
        <v>4530</v>
      </c>
      <c r="B362" s="60" t="s">
        <v>4518</v>
      </c>
      <c r="C362" s="60" t="s">
        <v>4519</v>
      </c>
      <c r="D362" s="61" t="s">
        <v>84</v>
      </c>
      <c r="E362" t="str">
        <f>VLOOKUP(Table10[[#This Row],[Country]],Countries!$A$1:$D$205,2,TRUE)</f>
        <v>CAN</v>
      </c>
      <c r="F362" s="60">
        <v>2023</v>
      </c>
      <c r="G362" s="60" t="s">
        <v>4037</v>
      </c>
      <c r="H362" s="65">
        <v>575</v>
      </c>
      <c r="I362" s="65" t="s">
        <v>4022</v>
      </c>
      <c r="J362" s="60" t="s">
        <v>4023</v>
      </c>
      <c r="K362" s="60">
        <v>40.977328999999997</v>
      </c>
      <c r="L362">
        <v>110.022924</v>
      </c>
    </row>
    <row r="363" spans="1:12" x14ac:dyDescent="0.35">
      <c r="A363" s="60" t="s">
        <v>4531</v>
      </c>
      <c r="B363" s="60" t="s">
        <v>4532</v>
      </c>
      <c r="C363" s="60" t="s">
        <v>4519</v>
      </c>
      <c r="D363" s="61" t="s">
        <v>84</v>
      </c>
      <c r="E363" t="str">
        <f>VLOOKUP(Table10[[#This Row],[Country]],Countries!$A$1:$D$205,2,TRUE)</f>
        <v>CAN</v>
      </c>
      <c r="F363" s="60">
        <v>2002</v>
      </c>
      <c r="G363" s="60" t="s">
        <v>4026</v>
      </c>
      <c r="H363" s="65">
        <v>2450</v>
      </c>
      <c r="I363" s="65">
        <v>3000</v>
      </c>
      <c r="J363" s="60" t="s">
        <v>4049</v>
      </c>
      <c r="K363" s="60">
        <v>42.278115</v>
      </c>
      <c r="L363">
        <v>119.015289</v>
      </c>
    </row>
    <row r="364" spans="1:12" x14ac:dyDescent="0.35">
      <c r="A364" s="60" t="s">
        <v>4533</v>
      </c>
      <c r="B364" s="60" t="s">
        <v>4532</v>
      </c>
      <c r="C364" s="60" t="s">
        <v>4519</v>
      </c>
      <c r="D364" s="61" t="s">
        <v>84</v>
      </c>
      <c r="E364" t="str">
        <f>VLOOKUP(Table10[[#This Row],[Country]],Countries!$A$1:$D$205,2,TRUE)</f>
        <v>CAN</v>
      </c>
      <c r="F364" s="60">
        <v>2022</v>
      </c>
      <c r="G364" s="60" t="s">
        <v>4026</v>
      </c>
      <c r="H364" s="65" t="s">
        <v>4022</v>
      </c>
      <c r="I364" s="65">
        <v>2740</v>
      </c>
      <c r="J364" s="60" t="s">
        <v>4111</v>
      </c>
      <c r="K364" s="60">
        <v>41.834063999999998</v>
      </c>
      <c r="L364">
        <v>119.28188299999999</v>
      </c>
    </row>
    <row r="365" spans="1:12" x14ac:dyDescent="0.35">
      <c r="A365" s="60" t="s">
        <v>4534</v>
      </c>
      <c r="B365" s="60" t="s">
        <v>4532</v>
      </c>
      <c r="C365" s="60" t="s">
        <v>4519</v>
      </c>
      <c r="D365" s="61" t="s">
        <v>84</v>
      </c>
      <c r="E365" t="str">
        <f>VLOOKUP(Table10[[#This Row],[Country]],Countries!$A$1:$D$205,2,TRUE)</f>
        <v>CAN</v>
      </c>
      <c r="F365" s="60" t="s">
        <v>4036</v>
      </c>
      <c r="G365" s="60" t="s">
        <v>4021</v>
      </c>
      <c r="H365" s="65">
        <v>2700</v>
      </c>
      <c r="I365" s="65" t="s">
        <v>4022</v>
      </c>
      <c r="J365" s="60" t="s">
        <v>4163</v>
      </c>
      <c r="K365" s="60">
        <v>41.834063999999998</v>
      </c>
      <c r="L365">
        <v>119.28188299999999</v>
      </c>
    </row>
    <row r="366" spans="1:12" x14ac:dyDescent="0.35">
      <c r="A366" s="60" t="s">
        <v>4535</v>
      </c>
      <c r="B366" s="60" t="s">
        <v>4536</v>
      </c>
      <c r="C366" s="60" t="s">
        <v>4519</v>
      </c>
      <c r="D366" s="61" t="s">
        <v>84</v>
      </c>
      <c r="E366" t="str">
        <f>VLOOKUP(Table10[[#This Row],[Country]],Countries!$A$1:$D$205,2,TRUE)</f>
        <v>CAN</v>
      </c>
      <c r="F366" s="60">
        <v>2011</v>
      </c>
      <c r="G366" s="60" t="s">
        <v>4026</v>
      </c>
      <c r="H366" s="65">
        <v>1095</v>
      </c>
      <c r="I366" s="65">
        <v>1080</v>
      </c>
      <c r="J366" s="60" t="s">
        <v>4049</v>
      </c>
      <c r="K366" s="60">
        <v>39.867015000000002</v>
      </c>
      <c r="L366">
        <v>106.890377</v>
      </c>
    </row>
    <row r="367" spans="1:12" x14ac:dyDescent="0.35">
      <c r="A367" s="60" t="s">
        <v>4537</v>
      </c>
      <c r="B367" s="60" t="s">
        <v>4538</v>
      </c>
      <c r="C367" s="60" t="s">
        <v>4519</v>
      </c>
      <c r="D367" s="61" t="s">
        <v>84</v>
      </c>
      <c r="E367" t="str">
        <f>VLOOKUP(Table10[[#This Row],[Country]],Countries!$A$1:$D$205,2,TRUE)</f>
        <v>CAN</v>
      </c>
      <c r="F367" s="60">
        <v>2011</v>
      </c>
      <c r="G367" s="60" t="s">
        <v>4026</v>
      </c>
      <c r="H367" s="65">
        <v>2000</v>
      </c>
      <c r="I367" s="65">
        <v>2000</v>
      </c>
      <c r="J367" s="60" t="s">
        <v>4049</v>
      </c>
      <c r="K367" s="60">
        <v>39.855970999999997</v>
      </c>
      <c r="L367">
        <v>106.886647</v>
      </c>
    </row>
    <row r="368" spans="1:12" x14ac:dyDescent="0.35">
      <c r="A368" s="60" t="s">
        <v>4539</v>
      </c>
      <c r="B368" s="60" t="s">
        <v>4540</v>
      </c>
      <c r="C368" s="60" t="s">
        <v>4519</v>
      </c>
      <c r="D368" s="61" t="s">
        <v>84</v>
      </c>
      <c r="E368" t="str">
        <f>VLOOKUP(Table10[[#This Row],[Country]],Countries!$A$1:$D$205,2,TRUE)</f>
        <v>CAN</v>
      </c>
      <c r="F368" s="60">
        <v>1999</v>
      </c>
      <c r="G368" s="60" t="s">
        <v>4026</v>
      </c>
      <c r="H368" s="65">
        <v>1050</v>
      </c>
      <c r="I368" s="65">
        <v>1300</v>
      </c>
      <c r="J368" s="60" t="s">
        <v>4049</v>
      </c>
      <c r="K368" s="60">
        <v>46.055684999999997</v>
      </c>
      <c r="L368">
        <v>122.063282</v>
      </c>
    </row>
    <row r="369" spans="1:12" x14ac:dyDescent="0.35">
      <c r="A369" s="60" t="s">
        <v>4541</v>
      </c>
      <c r="B369" s="60" t="s">
        <v>4540</v>
      </c>
      <c r="C369" s="60" t="s">
        <v>4519</v>
      </c>
      <c r="D369" s="61" t="s">
        <v>84</v>
      </c>
      <c r="E369" t="str">
        <f>VLOOKUP(Table10[[#This Row],[Country]],Countries!$A$1:$D$205,2,TRUE)</f>
        <v>CAN</v>
      </c>
      <c r="F369" s="60">
        <v>2022</v>
      </c>
      <c r="G369" s="60" t="s">
        <v>4026</v>
      </c>
      <c r="H369" s="65">
        <v>1350</v>
      </c>
      <c r="I369" s="65" t="s">
        <v>4022</v>
      </c>
      <c r="J369" s="60" t="s">
        <v>4163</v>
      </c>
      <c r="K369" s="60">
        <v>46.055684999999997</v>
      </c>
      <c r="L369">
        <v>122.063283</v>
      </c>
    </row>
    <row r="370" spans="1:12" x14ac:dyDescent="0.35">
      <c r="A370" s="60" t="s">
        <v>4542</v>
      </c>
      <c r="B370" s="60" t="s">
        <v>4540</v>
      </c>
      <c r="C370" s="60" t="s">
        <v>4519</v>
      </c>
      <c r="D370" s="61" t="s">
        <v>84</v>
      </c>
      <c r="E370" t="str">
        <f>VLOOKUP(Table10[[#This Row],[Country]],Countries!$A$1:$D$205,2,TRUE)</f>
        <v>CAN</v>
      </c>
      <c r="F370" s="60">
        <v>2023</v>
      </c>
      <c r="G370" s="60" t="s">
        <v>4021</v>
      </c>
      <c r="H370" s="65" t="s">
        <v>4022</v>
      </c>
      <c r="I370" s="65">
        <v>1130</v>
      </c>
      <c r="J370" s="60" t="s">
        <v>4111</v>
      </c>
      <c r="K370" s="60">
        <v>46.055684999999997</v>
      </c>
      <c r="L370">
        <v>122.063283</v>
      </c>
    </row>
    <row r="371" spans="1:12" x14ac:dyDescent="0.35">
      <c r="A371" s="60" t="s">
        <v>4543</v>
      </c>
      <c r="B371" s="60" t="s">
        <v>4544</v>
      </c>
      <c r="C371" s="60" t="s">
        <v>3041</v>
      </c>
      <c r="D371" s="61" t="s">
        <v>84</v>
      </c>
      <c r="E371" t="str">
        <f>VLOOKUP(Table10[[#This Row],[Country]],Countries!$A$1:$D$205,2,TRUE)</f>
        <v>CAN</v>
      </c>
      <c r="F371" s="60">
        <v>2001</v>
      </c>
      <c r="G371" s="60" t="s">
        <v>4026</v>
      </c>
      <c r="H371" s="65">
        <v>11000</v>
      </c>
      <c r="I371" s="65">
        <v>11000</v>
      </c>
      <c r="J371" s="60" t="s">
        <v>4161</v>
      </c>
      <c r="K371" s="60">
        <v>31.707656</v>
      </c>
      <c r="L371">
        <v>120.07959099999999</v>
      </c>
    </row>
    <row r="372" spans="1:12" x14ac:dyDescent="0.35">
      <c r="A372" s="60" t="s">
        <v>4545</v>
      </c>
      <c r="B372" s="60" t="s">
        <v>4544</v>
      </c>
      <c r="C372" s="60" t="s">
        <v>3041</v>
      </c>
      <c r="D372" s="61" t="s">
        <v>84</v>
      </c>
      <c r="E372" t="str">
        <f>VLOOKUP(Table10[[#This Row],[Country]],Countries!$A$1:$D$205,2,TRUE)</f>
        <v>CAN</v>
      </c>
      <c r="F372" s="60">
        <v>2002</v>
      </c>
      <c r="G372" s="60" t="s">
        <v>4026</v>
      </c>
      <c r="H372" s="65">
        <v>2700</v>
      </c>
      <c r="I372" s="65">
        <v>2250</v>
      </c>
      <c r="J372" s="60" t="s">
        <v>4049</v>
      </c>
      <c r="K372" s="60">
        <v>31.471122999999999</v>
      </c>
      <c r="L372">
        <v>119.485941</v>
      </c>
    </row>
    <row r="373" spans="1:12" x14ac:dyDescent="0.35">
      <c r="A373" s="60" t="s">
        <v>4546</v>
      </c>
      <c r="B373" s="60" t="s">
        <v>4544</v>
      </c>
      <c r="C373" s="60" t="s">
        <v>3041</v>
      </c>
      <c r="D373" s="61" t="s">
        <v>84</v>
      </c>
      <c r="E373" t="str">
        <f>VLOOKUP(Table10[[#This Row],[Country]],Countries!$A$1:$D$205,2,TRUE)</f>
        <v>CAN</v>
      </c>
      <c r="F373" s="60">
        <v>2010</v>
      </c>
      <c r="G373" s="60" t="s">
        <v>4026</v>
      </c>
      <c r="H373" s="65">
        <v>3600</v>
      </c>
      <c r="I373" s="65">
        <v>2600</v>
      </c>
      <c r="J373" s="60" t="s">
        <v>4161</v>
      </c>
      <c r="K373" s="60">
        <v>31.602554000000001</v>
      </c>
      <c r="L373">
        <v>119.724256</v>
      </c>
    </row>
    <row r="374" spans="1:12" x14ac:dyDescent="0.35">
      <c r="A374" s="60" t="s">
        <v>4547</v>
      </c>
      <c r="B374" s="60" t="s">
        <v>4544</v>
      </c>
      <c r="C374" s="60" t="s">
        <v>3041</v>
      </c>
      <c r="D374" s="61" t="s">
        <v>84</v>
      </c>
      <c r="E374" t="str">
        <f>VLOOKUP(Table10[[#This Row],[Country]],Countries!$A$1:$D$205,2,TRUE)</f>
        <v>CAN</v>
      </c>
      <c r="F374" s="60" t="s">
        <v>4036</v>
      </c>
      <c r="G374" s="60" t="s">
        <v>4037</v>
      </c>
      <c r="H374" s="65">
        <v>2300</v>
      </c>
      <c r="I374" s="65">
        <v>1560</v>
      </c>
      <c r="J374" s="60" t="s">
        <v>4049</v>
      </c>
      <c r="K374" s="60">
        <v>31.602554000000001</v>
      </c>
      <c r="L374">
        <v>119.724256</v>
      </c>
    </row>
    <row r="375" spans="1:12" x14ac:dyDescent="0.35">
      <c r="A375" s="60" t="s">
        <v>4548</v>
      </c>
      <c r="B375" s="60" t="s">
        <v>4544</v>
      </c>
      <c r="C375" s="60" t="s">
        <v>3041</v>
      </c>
      <c r="D375" s="61" t="s">
        <v>84</v>
      </c>
      <c r="E375" t="str">
        <f>VLOOKUP(Table10[[#This Row],[Country]],Countries!$A$1:$D$205,2,TRUE)</f>
        <v>CAN</v>
      </c>
      <c r="F375" s="60">
        <v>2022</v>
      </c>
      <c r="G375" s="60" t="s">
        <v>4037</v>
      </c>
      <c r="H375" s="65">
        <v>2760</v>
      </c>
      <c r="I375" s="65" t="s">
        <v>4022</v>
      </c>
      <c r="J375" s="60" t="s">
        <v>4023</v>
      </c>
      <c r="K375" s="60">
        <v>31.471122999999999</v>
      </c>
      <c r="L375">
        <v>119.485941</v>
      </c>
    </row>
    <row r="376" spans="1:12" x14ac:dyDescent="0.35">
      <c r="A376" s="60" t="s">
        <v>4549</v>
      </c>
      <c r="B376" s="60" t="s">
        <v>4550</v>
      </c>
      <c r="C376" s="60" t="s">
        <v>3041</v>
      </c>
      <c r="D376" s="61" t="s">
        <v>84</v>
      </c>
      <c r="E376" t="str">
        <f>VLOOKUP(Table10[[#This Row],[Country]],Countries!$A$1:$D$205,2,TRUE)</f>
        <v>CAN</v>
      </c>
      <c r="F376" s="60">
        <v>2003</v>
      </c>
      <c r="G376" s="60" t="s">
        <v>4026</v>
      </c>
      <c r="H376" s="65">
        <v>1500</v>
      </c>
      <c r="I376" s="65">
        <v>1500</v>
      </c>
      <c r="J376" s="60" t="s">
        <v>4049</v>
      </c>
      <c r="K376" s="60">
        <v>32.027791000000001</v>
      </c>
      <c r="L376">
        <v>119.57706</v>
      </c>
    </row>
    <row r="377" spans="1:12" x14ac:dyDescent="0.35">
      <c r="A377" s="60" t="s">
        <v>4551</v>
      </c>
      <c r="B377" s="60" t="s">
        <v>4550</v>
      </c>
      <c r="C377" s="60" t="s">
        <v>3041</v>
      </c>
      <c r="D377" s="61" t="s">
        <v>84</v>
      </c>
      <c r="E377" t="str">
        <f>VLOOKUP(Table10[[#This Row],[Country]],Countries!$A$1:$D$205,2,TRUE)</f>
        <v>CAN</v>
      </c>
      <c r="F377" s="60">
        <v>2009</v>
      </c>
      <c r="G377" s="60" t="s">
        <v>4026</v>
      </c>
      <c r="H377" s="65">
        <v>2000</v>
      </c>
      <c r="I377" s="65" t="s">
        <v>4022</v>
      </c>
      <c r="J377" s="60" t="s">
        <v>4023</v>
      </c>
      <c r="K377" s="60">
        <v>32.104318999999997</v>
      </c>
      <c r="L377">
        <v>119.792126</v>
      </c>
    </row>
    <row r="378" spans="1:12" x14ac:dyDescent="0.35">
      <c r="A378" s="60" t="s">
        <v>4552</v>
      </c>
      <c r="B378" s="60" t="s">
        <v>4553</v>
      </c>
      <c r="C378" s="60" t="s">
        <v>3041</v>
      </c>
      <c r="D378" s="61" t="s">
        <v>84</v>
      </c>
      <c r="E378" t="str">
        <f>VLOOKUP(Table10[[#This Row],[Country]],Countries!$A$1:$D$205,2,TRUE)</f>
        <v>CAN</v>
      </c>
      <c r="F378" s="60">
        <v>1970</v>
      </c>
      <c r="G378" s="60" t="s">
        <v>4026</v>
      </c>
      <c r="H378" s="65">
        <v>3387</v>
      </c>
      <c r="I378" s="65">
        <v>2440</v>
      </c>
      <c r="J378" s="60" t="s">
        <v>4161</v>
      </c>
      <c r="K378" s="60">
        <v>33.566039000000004</v>
      </c>
      <c r="L378">
        <v>118.98844200000001</v>
      </c>
    </row>
    <row r="379" spans="1:12" x14ac:dyDescent="0.35">
      <c r="A379" s="60" t="s">
        <v>4554</v>
      </c>
      <c r="B379" s="60" t="s">
        <v>4553</v>
      </c>
      <c r="C379" s="60" t="s">
        <v>3041</v>
      </c>
      <c r="D379" s="61" t="s">
        <v>84</v>
      </c>
      <c r="E379" t="str">
        <f>VLOOKUP(Table10[[#This Row],[Country]],Countries!$A$1:$D$205,2,TRUE)</f>
        <v>CAN</v>
      </c>
      <c r="F379" s="60">
        <v>2024</v>
      </c>
      <c r="G379" s="60" t="s">
        <v>4037</v>
      </c>
      <c r="H379" s="65">
        <v>650</v>
      </c>
      <c r="I379" s="65">
        <v>1220</v>
      </c>
      <c r="J379" s="60" t="s">
        <v>4027</v>
      </c>
      <c r="K379" s="60">
        <v>33.566039000000004</v>
      </c>
      <c r="L379">
        <v>118.98844200000001</v>
      </c>
    </row>
    <row r="380" spans="1:12" x14ac:dyDescent="0.35">
      <c r="A380" s="60" t="s">
        <v>4555</v>
      </c>
      <c r="B380" s="60" t="s">
        <v>4553</v>
      </c>
      <c r="C380" s="60" t="s">
        <v>3041</v>
      </c>
      <c r="D380" s="61" t="s">
        <v>84</v>
      </c>
      <c r="E380" t="str">
        <f>VLOOKUP(Table10[[#This Row],[Country]],Countries!$A$1:$D$205,2,TRUE)</f>
        <v>CAN</v>
      </c>
      <c r="F380" s="60">
        <v>2025</v>
      </c>
      <c r="G380" s="60" t="s">
        <v>4037</v>
      </c>
      <c r="H380" s="65" t="s">
        <v>4022</v>
      </c>
      <c r="I380" s="65">
        <v>1220</v>
      </c>
      <c r="J380" s="60" t="s">
        <v>4111</v>
      </c>
      <c r="K380" s="60">
        <v>33.566039000000004</v>
      </c>
      <c r="L380">
        <v>118.98844200000001</v>
      </c>
    </row>
    <row r="381" spans="1:12" x14ac:dyDescent="0.35">
      <c r="A381" s="60" t="s">
        <v>4556</v>
      </c>
      <c r="B381" s="60" t="s">
        <v>4557</v>
      </c>
      <c r="C381" s="60" t="s">
        <v>3041</v>
      </c>
      <c r="D381" s="61" t="s">
        <v>84</v>
      </c>
      <c r="E381" t="str">
        <f>VLOOKUP(Table10[[#This Row],[Country]],Countries!$A$1:$D$205,2,TRUE)</f>
        <v>CAN</v>
      </c>
      <c r="F381" s="60">
        <v>1993</v>
      </c>
      <c r="G381" s="60" t="s">
        <v>4026</v>
      </c>
      <c r="H381" s="65">
        <v>6900</v>
      </c>
      <c r="I381" s="65">
        <v>5000</v>
      </c>
      <c r="J381" s="60" t="s">
        <v>4161</v>
      </c>
      <c r="K381" s="60">
        <v>31.950191</v>
      </c>
      <c r="L381">
        <v>120.32844900000001</v>
      </c>
    </row>
    <row r="382" spans="1:12" x14ac:dyDescent="0.35">
      <c r="A382" s="60" t="s">
        <v>4558</v>
      </c>
      <c r="B382" s="60" t="s">
        <v>4557</v>
      </c>
      <c r="C382" s="60" t="s">
        <v>3041</v>
      </c>
      <c r="D382" s="61" t="s">
        <v>84</v>
      </c>
      <c r="E382" t="str">
        <f>VLOOKUP(Table10[[#This Row],[Country]],Countries!$A$1:$D$205,2,TRUE)</f>
        <v>CAN</v>
      </c>
      <c r="F382" s="60" t="s">
        <v>4036</v>
      </c>
      <c r="G382" s="60" t="s">
        <v>4037</v>
      </c>
      <c r="H382" s="65" t="s">
        <v>4022</v>
      </c>
      <c r="I382" s="65">
        <v>1330</v>
      </c>
      <c r="J382" s="60" t="s">
        <v>4111</v>
      </c>
      <c r="K382" s="60">
        <v>31.950191</v>
      </c>
      <c r="L382">
        <v>120.32844900000001</v>
      </c>
    </row>
    <row r="383" spans="1:12" x14ac:dyDescent="0.35">
      <c r="A383" s="60" t="s">
        <v>4558</v>
      </c>
      <c r="B383" s="60" t="s">
        <v>4557</v>
      </c>
      <c r="C383" s="60" t="s">
        <v>3041</v>
      </c>
      <c r="D383" s="61" t="s">
        <v>84</v>
      </c>
      <c r="E383" t="str">
        <f>VLOOKUP(Table10[[#This Row],[Country]],Countries!$A$1:$D$205,2,TRUE)</f>
        <v>CAN</v>
      </c>
      <c r="F383" s="60">
        <v>2015</v>
      </c>
      <c r="G383" s="60" t="s">
        <v>4026</v>
      </c>
      <c r="H383" s="65" t="s">
        <v>4022</v>
      </c>
      <c r="I383" s="65">
        <v>1180</v>
      </c>
      <c r="J383" s="60" t="s">
        <v>4111</v>
      </c>
      <c r="K383" s="60">
        <v>31.950191</v>
      </c>
      <c r="L383">
        <v>120.32844900000001</v>
      </c>
    </row>
    <row r="384" spans="1:12" x14ac:dyDescent="0.35">
      <c r="A384" s="60" t="s">
        <v>4559</v>
      </c>
      <c r="B384" s="60" t="s">
        <v>4557</v>
      </c>
      <c r="C384" s="60" t="s">
        <v>3041</v>
      </c>
      <c r="D384" s="61" t="s">
        <v>84</v>
      </c>
      <c r="E384" t="str">
        <f>VLOOKUP(Table10[[#This Row],[Country]],Countries!$A$1:$D$205,2,TRUE)</f>
        <v>CAN</v>
      </c>
      <c r="F384" s="60">
        <v>2003</v>
      </c>
      <c r="G384" s="60" t="s">
        <v>4026</v>
      </c>
      <c r="H384" s="65">
        <v>2000</v>
      </c>
      <c r="I384" s="65">
        <v>1700</v>
      </c>
      <c r="J384" s="60" t="s">
        <v>4049</v>
      </c>
      <c r="K384" s="60">
        <v>31.952064</v>
      </c>
      <c r="L384">
        <v>120.18974900000001</v>
      </c>
    </row>
    <row r="385" spans="1:12" x14ac:dyDescent="0.35">
      <c r="A385" s="60" t="s">
        <v>4560</v>
      </c>
      <c r="B385" s="60" t="s">
        <v>4557</v>
      </c>
      <c r="C385" s="60" t="s">
        <v>3041</v>
      </c>
      <c r="D385" s="61" t="s">
        <v>84</v>
      </c>
      <c r="E385" t="str">
        <f>VLOOKUP(Table10[[#This Row],[Country]],Countries!$A$1:$D$205,2,TRUE)</f>
        <v>CAN</v>
      </c>
      <c r="F385" s="60">
        <v>1997</v>
      </c>
      <c r="G385" s="60" t="s">
        <v>4026</v>
      </c>
      <c r="H385" s="65">
        <v>1150</v>
      </c>
      <c r="I385" s="65" t="s">
        <v>4022</v>
      </c>
      <c r="J385" s="60" t="s">
        <v>4023</v>
      </c>
      <c r="K385" s="60">
        <v>31.892299000000001</v>
      </c>
      <c r="L385">
        <v>120.19839399999999</v>
      </c>
    </row>
    <row r="386" spans="1:12" x14ac:dyDescent="0.35">
      <c r="A386" s="60" t="s">
        <v>4561</v>
      </c>
      <c r="B386" s="60" t="s">
        <v>4562</v>
      </c>
      <c r="C386" s="60" t="s">
        <v>3041</v>
      </c>
      <c r="D386" s="60" t="s">
        <v>84</v>
      </c>
      <c r="E386" t="str">
        <f>VLOOKUP(Table10[[#This Row],[Country]],Countries!$A$1:$D$205,2,TRUE)</f>
        <v>CAN</v>
      </c>
      <c r="F386" s="60">
        <v>2003</v>
      </c>
      <c r="G386" s="60" t="s">
        <v>4026</v>
      </c>
      <c r="H386" s="65">
        <v>2300</v>
      </c>
      <c r="I386" s="65" t="s">
        <v>4022</v>
      </c>
      <c r="J386" s="60" t="s">
        <v>4163</v>
      </c>
      <c r="K386" s="60">
        <v>31.985496000000001</v>
      </c>
      <c r="L386">
        <v>120.644565</v>
      </c>
    </row>
    <row r="387" spans="1:12" x14ac:dyDescent="0.35">
      <c r="A387" s="60" t="s">
        <v>4563</v>
      </c>
      <c r="B387" s="60" t="s">
        <v>4564</v>
      </c>
      <c r="C387" s="60" t="s">
        <v>3041</v>
      </c>
      <c r="D387" s="61" t="s">
        <v>84</v>
      </c>
      <c r="E387" t="str">
        <f>VLOOKUP(Table10[[#This Row],[Country]],Countries!$A$1:$D$205,2,TRUE)</f>
        <v>CAN</v>
      </c>
      <c r="F387" s="60">
        <v>2008</v>
      </c>
      <c r="G387" s="60" t="s">
        <v>4026</v>
      </c>
      <c r="H387" s="65">
        <v>4500</v>
      </c>
      <c r="I387" s="65">
        <v>4000</v>
      </c>
      <c r="J387" s="60" t="s">
        <v>4049</v>
      </c>
      <c r="K387" s="60">
        <v>35.095559999999999</v>
      </c>
      <c r="L387">
        <v>119.279989</v>
      </c>
    </row>
    <row r="388" spans="1:12" x14ac:dyDescent="0.35">
      <c r="A388" s="60" t="s">
        <v>4565</v>
      </c>
      <c r="B388" s="60" t="s">
        <v>4564</v>
      </c>
      <c r="C388" s="60" t="s">
        <v>3041</v>
      </c>
      <c r="D388" s="61" t="s">
        <v>84</v>
      </c>
      <c r="E388" t="str">
        <f>VLOOKUP(Table10[[#This Row],[Country]],Countries!$A$1:$D$205,2,TRUE)</f>
        <v>CAN</v>
      </c>
      <c r="F388" s="60" t="s">
        <v>4036</v>
      </c>
      <c r="G388" s="60" t="s">
        <v>4021</v>
      </c>
      <c r="H388" s="65" t="s">
        <v>4022</v>
      </c>
      <c r="I388" s="65">
        <v>1150</v>
      </c>
      <c r="J388" s="60" t="s">
        <v>4111</v>
      </c>
      <c r="K388" s="60">
        <v>35.095559999999999</v>
      </c>
      <c r="L388">
        <v>119.279989</v>
      </c>
    </row>
    <row r="389" spans="1:12" x14ac:dyDescent="0.35">
      <c r="A389" s="60" t="s">
        <v>4566</v>
      </c>
      <c r="B389" s="60" t="s">
        <v>4564</v>
      </c>
      <c r="C389" s="60" t="s">
        <v>3041</v>
      </c>
      <c r="D389" s="61" t="s">
        <v>84</v>
      </c>
      <c r="E389" t="str">
        <f>VLOOKUP(Table10[[#This Row],[Country]],Countries!$A$1:$D$205,2,TRUE)</f>
        <v>CAN</v>
      </c>
      <c r="F389" s="60">
        <v>2003</v>
      </c>
      <c r="G389" s="60" t="s">
        <v>4026</v>
      </c>
      <c r="H389" s="65">
        <v>3000</v>
      </c>
      <c r="I389" s="65">
        <v>3000</v>
      </c>
      <c r="J389" s="60" t="s">
        <v>4049</v>
      </c>
      <c r="K389" s="60">
        <v>34.383809999999997</v>
      </c>
      <c r="L389">
        <v>119.786878</v>
      </c>
    </row>
    <row r="390" spans="1:12" x14ac:dyDescent="0.35">
      <c r="A390" s="60" t="s">
        <v>4567</v>
      </c>
      <c r="B390" s="60" t="s">
        <v>4564</v>
      </c>
      <c r="C390" s="60" t="s">
        <v>3041</v>
      </c>
      <c r="D390" s="61" t="s">
        <v>84</v>
      </c>
      <c r="E390" t="str">
        <f>VLOOKUP(Table10[[#This Row],[Country]],Countries!$A$1:$D$205,2,TRUE)</f>
        <v>CAN</v>
      </c>
      <c r="F390" s="60" t="s">
        <v>4036</v>
      </c>
      <c r="G390" s="60" t="s">
        <v>4026</v>
      </c>
      <c r="H390" s="65">
        <v>620</v>
      </c>
      <c r="I390" s="65">
        <v>460</v>
      </c>
      <c r="J390" s="60" t="s">
        <v>4049</v>
      </c>
      <c r="K390" s="60">
        <v>34.607964000000003</v>
      </c>
      <c r="L390">
        <v>119.447626</v>
      </c>
    </row>
    <row r="391" spans="1:12" x14ac:dyDescent="0.35">
      <c r="A391" s="60" t="s">
        <v>4568</v>
      </c>
      <c r="B391" s="60" t="s">
        <v>4564</v>
      </c>
      <c r="C391" s="60" t="s">
        <v>3041</v>
      </c>
      <c r="D391" s="61" t="s">
        <v>84</v>
      </c>
      <c r="E391" t="str">
        <f>VLOOKUP(Table10[[#This Row],[Country]],Countries!$A$1:$D$205,2,TRUE)</f>
        <v>CAN</v>
      </c>
      <c r="F391" s="60">
        <v>2009</v>
      </c>
      <c r="G391" s="60" t="s">
        <v>4026</v>
      </c>
      <c r="H391" s="65">
        <v>3000</v>
      </c>
      <c r="I391" s="65">
        <v>2800</v>
      </c>
      <c r="J391" s="60" t="s">
        <v>4049</v>
      </c>
      <c r="K391" s="60">
        <v>34.423786</v>
      </c>
      <c r="L391">
        <v>119.778311</v>
      </c>
    </row>
    <row r="392" spans="1:12" x14ac:dyDescent="0.35">
      <c r="A392" s="60" t="s">
        <v>4569</v>
      </c>
      <c r="B392" s="60" t="s">
        <v>3042</v>
      </c>
      <c r="C392" s="60" t="s">
        <v>3041</v>
      </c>
      <c r="D392" s="61" t="s">
        <v>84</v>
      </c>
      <c r="E392" t="str">
        <f>VLOOKUP(Table10[[#This Row],[Country]],Countries!$A$1:$D$205,2,TRUE)</f>
        <v>CAN</v>
      </c>
      <c r="F392" s="60">
        <v>1958</v>
      </c>
      <c r="G392" s="60" t="s">
        <v>4026</v>
      </c>
      <c r="H392" s="65">
        <v>10000</v>
      </c>
      <c r="I392" s="65">
        <v>9000</v>
      </c>
      <c r="J392" s="60" t="s">
        <v>4049</v>
      </c>
      <c r="K392" s="60">
        <v>32.200797000000001</v>
      </c>
      <c r="L392">
        <v>118.746315</v>
      </c>
    </row>
    <row r="393" spans="1:12" x14ac:dyDescent="0.35">
      <c r="A393" s="60" t="s">
        <v>4570</v>
      </c>
      <c r="B393" s="60" t="s">
        <v>3042</v>
      </c>
      <c r="C393" s="60" t="s">
        <v>3041</v>
      </c>
      <c r="D393" s="61" t="s">
        <v>84</v>
      </c>
      <c r="E393" t="str">
        <f>VLOOKUP(Table10[[#This Row],[Country]],Countries!$A$1:$D$205,2,TRUE)</f>
        <v>CAN</v>
      </c>
      <c r="F393" s="60">
        <v>1969</v>
      </c>
      <c r="G393" s="60" t="s">
        <v>4026</v>
      </c>
      <c r="H393" s="65">
        <v>7600</v>
      </c>
      <c r="I393" s="65">
        <v>7300</v>
      </c>
      <c r="J393" s="60" t="s">
        <v>4049</v>
      </c>
      <c r="K393" s="60">
        <v>31.902968999999999</v>
      </c>
      <c r="L393">
        <v>118.61667</v>
      </c>
    </row>
    <row r="394" spans="1:12" x14ac:dyDescent="0.35">
      <c r="A394" s="60" t="s">
        <v>4571</v>
      </c>
      <c r="B394" s="60" t="s">
        <v>4572</v>
      </c>
      <c r="C394" s="60" t="s">
        <v>3041</v>
      </c>
      <c r="D394" s="61" t="s">
        <v>84</v>
      </c>
      <c r="E394" t="str">
        <f>VLOOKUP(Table10[[#This Row],[Country]],Countries!$A$1:$D$205,2,TRUE)</f>
        <v>CAN</v>
      </c>
      <c r="F394" s="60">
        <v>2022</v>
      </c>
      <c r="G394" s="60" t="s">
        <v>4026</v>
      </c>
      <c r="H394" s="65">
        <v>1950</v>
      </c>
      <c r="I394" s="65">
        <v>2050</v>
      </c>
      <c r="J394" s="60" t="s">
        <v>4049</v>
      </c>
      <c r="K394" s="60">
        <v>32.133954000000003</v>
      </c>
      <c r="L394">
        <v>121.51317299999999</v>
      </c>
    </row>
    <row r="395" spans="1:12" x14ac:dyDescent="0.35">
      <c r="A395" s="60" t="s">
        <v>4573</v>
      </c>
      <c r="B395" s="60" t="s">
        <v>4572</v>
      </c>
      <c r="C395" s="60" t="s">
        <v>3041</v>
      </c>
      <c r="D395" s="61" t="s">
        <v>84</v>
      </c>
      <c r="E395" t="str">
        <f>VLOOKUP(Table10[[#This Row],[Country]],Countries!$A$1:$D$205,2,TRUE)</f>
        <v>CAN</v>
      </c>
      <c r="F395" s="60" t="s">
        <v>4036</v>
      </c>
      <c r="G395" s="60" t="s">
        <v>4021</v>
      </c>
      <c r="H395" s="65">
        <v>3900</v>
      </c>
      <c r="I395" s="65">
        <v>4010</v>
      </c>
      <c r="J395" s="60" t="s">
        <v>4049</v>
      </c>
      <c r="K395" s="60">
        <v>32.133954000000003</v>
      </c>
      <c r="L395">
        <v>121.51317299999999</v>
      </c>
    </row>
    <row r="396" spans="1:12" x14ac:dyDescent="0.35">
      <c r="A396" s="60" t="s">
        <v>4574</v>
      </c>
      <c r="B396" s="60" t="s">
        <v>4575</v>
      </c>
      <c r="C396" s="60" t="s">
        <v>3041</v>
      </c>
      <c r="D396" s="61" t="s">
        <v>84</v>
      </c>
      <c r="E396" t="str">
        <f>VLOOKUP(Table10[[#This Row],[Country]],Countries!$A$1:$D$205,2,TRUE)</f>
        <v>CAN</v>
      </c>
      <c r="F396" s="60">
        <v>2002</v>
      </c>
      <c r="G396" s="60" t="s">
        <v>4026</v>
      </c>
      <c r="H396" s="65">
        <v>9000</v>
      </c>
      <c r="I396" s="65">
        <v>7550</v>
      </c>
      <c r="J396" s="60" t="s">
        <v>4161</v>
      </c>
      <c r="K396" s="60">
        <v>31.855205000000002</v>
      </c>
      <c r="L396">
        <v>120.73050499999999</v>
      </c>
    </row>
    <row r="397" spans="1:12" x14ac:dyDescent="0.35">
      <c r="A397" s="60" t="s">
        <v>4576</v>
      </c>
      <c r="B397" s="60" t="s">
        <v>4575</v>
      </c>
      <c r="C397" s="60" t="s">
        <v>3041</v>
      </c>
      <c r="D397" s="61" t="s">
        <v>84</v>
      </c>
      <c r="E397" t="str">
        <f>VLOOKUP(Table10[[#This Row],[Country]],Countries!$A$1:$D$205,2,TRUE)</f>
        <v>CAN</v>
      </c>
      <c r="F397" s="60" t="s">
        <v>4036</v>
      </c>
      <c r="G397" s="60" t="s">
        <v>4021</v>
      </c>
      <c r="H397" s="65" t="s">
        <v>4022</v>
      </c>
      <c r="I397" s="65">
        <v>1203</v>
      </c>
      <c r="J397" s="60" t="s">
        <v>4111</v>
      </c>
      <c r="K397" s="60">
        <v>31.855205000000002</v>
      </c>
      <c r="L397">
        <v>120.73050499999999</v>
      </c>
    </row>
    <row r="398" spans="1:12" x14ac:dyDescent="0.35">
      <c r="A398" s="60" t="s">
        <v>4576</v>
      </c>
      <c r="B398" s="60" t="s">
        <v>4575</v>
      </c>
      <c r="C398" s="60" t="s">
        <v>3041</v>
      </c>
      <c r="D398" s="61" t="s">
        <v>84</v>
      </c>
      <c r="E398" t="str">
        <f>VLOOKUP(Table10[[#This Row],[Country]],Countries!$A$1:$D$205,2,TRUE)</f>
        <v>CAN</v>
      </c>
      <c r="F398" s="60" t="s">
        <v>4036</v>
      </c>
      <c r="G398" s="60" t="s">
        <v>4037</v>
      </c>
      <c r="H398" s="65" t="s">
        <v>4022</v>
      </c>
      <c r="I398" s="65">
        <v>1203</v>
      </c>
      <c r="J398" s="60" t="s">
        <v>4111</v>
      </c>
      <c r="K398" s="60">
        <v>31.855205000000002</v>
      </c>
      <c r="L398">
        <v>120.73050499999999</v>
      </c>
    </row>
    <row r="399" spans="1:12" x14ac:dyDescent="0.35">
      <c r="A399" s="60" t="s">
        <v>4577</v>
      </c>
      <c r="B399" s="60" t="s">
        <v>4575</v>
      </c>
      <c r="C399" s="60" t="s">
        <v>3041</v>
      </c>
      <c r="D399" s="61" t="s">
        <v>84</v>
      </c>
      <c r="E399" t="str">
        <f>VLOOKUP(Table10[[#This Row],[Country]],Countries!$A$1:$D$205,2,TRUE)</f>
        <v>CAN</v>
      </c>
      <c r="F399" s="60" t="s">
        <v>4036</v>
      </c>
      <c r="G399" s="60" t="s">
        <v>4037</v>
      </c>
      <c r="H399" s="65">
        <v>1800</v>
      </c>
      <c r="I399" s="65" t="s">
        <v>4022</v>
      </c>
      <c r="J399" s="60" t="s">
        <v>4163</v>
      </c>
      <c r="K399" s="60">
        <v>31.855205000000002</v>
      </c>
      <c r="L399">
        <v>120.73050499999999</v>
      </c>
    </row>
    <row r="400" spans="1:12" x14ac:dyDescent="0.35">
      <c r="A400" s="60" t="s">
        <v>4578</v>
      </c>
      <c r="B400" s="60" t="s">
        <v>4575</v>
      </c>
      <c r="C400" s="60" t="s">
        <v>3041</v>
      </c>
      <c r="D400" s="61" t="s">
        <v>84</v>
      </c>
      <c r="E400" t="str">
        <f>VLOOKUP(Table10[[#This Row],[Country]],Countries!$A$1:$D$205,2,TRUE)</f>
        <v>CAN</v>
      </c>
      <c r="F400" s="60">
        <v>1993</v>
      </c>
      <c r="G400" s="60" t="s">
        <v>4026</v>
      </c>
      <c r="H400" s="65">
        <v>3180</v>
      </c>
      <c r="I400" s="65">
        <v>2829</v>
      </c>
      <c r="J400" s="60" t="s">
        <v>4161</v>
      </c>
      <c r="K400" s="60">
        <v>31.723832999999999</v>
      </c>
      <c r="L400">
        <v>120.835685</v>
      </c>
    </row>
    <row r="401" spans="1:12" x14ac:dyDescent="0.35">
      <c r="A401" s="60" t="s">
        <v>4579</v>
      </c>
      <c r="B401" s="60" t="s">
        <v>4575</v>
      </c>
      <c r="C401" s="60" t="s">
        <v>3041</v>
      </c>
      <c r="D401" s="61" t="s">
        <v>84</v>
      </c>
      <c r="E401" t="str">
        <f>VLOOKUP(Table10[[#This Row],[Country]],Countries!$A$1:$D$205,2,TRUE)</f>
        <v>CAN</v>
      </c>
      <c r="F401" s="60">
        <v>2023</v>
      </c>
      <c r="G401" s="60" t="s">
        <v>4037</v>
      </c>
      <c r="H401" s="65">
        <v>863</v>
      </c>
      <c r="I401" s="65" t="s">
        <v>4022</v>
      </c>
      <c r="J401" s="60" t="s">
        <v>4023</v>
      </c>
      <c r="K401" s="60">
        <v>31.723832999999999</v>
      </c>
      <c r="L401">
        <v>120.835685</v>
      </c>
    </row>
    <row r="402" spans="1:12" x14ac:dyDescent="0.35">
      <c r="A402" s="60" t="s">
        <v>4580</v>
      </c>
      <c r="B402" s="60" t="s">
        <v>4575</v>
      </c>
      <c r="C402" s="60" t="s">
        <v>3041</v>
      </c>
      <c r="D402" s="61" t="s">
        <v>84</v>
      </c>
      <c r="E402" t="str">
        <f>VLOOKUP(Table10[[#This Row],[Country]],Countries!$A$1:$D$205,2,TRUE)</f>
        <v>CAN</v>
      </c>
      <c r="F402" s="60">
        <v>1957</v>
      </c>
      <c r="G402" s="60" t="s">
        <v>4026</v>
      </c>
      <c r="H402" s="65">
        <v>1000</v>
      </c>
      <c r="I402" s="65">
        <v>550</v>
      </c>
      <c r="J402" s="60" t="s">
        <v>4027</v>
      </c>
      <c r="K402" s="60">
        <v>31.400644</v>
      </c>
      <c r="L402">
        <v>120.475103</v>
      </c>
    </row>
    <row r="403" spans="1:12" x14ac:dyDescent="0.35">
      <c r="A403" s="60" t="s">
        <v>4581</v>
      </c>
      <c r="B403" s="60" t="s">
        <v>4582</v>
      </c>
      <c r="C403" s="60" t="s">
        <v>3041</v>
      </c>
      <c r="D403" s="61" t="s">
        <v>84</v>
      </c>
      <c r="E403" t="str">
        <f>VLOOKUP(Table10[[#This Row],[Country]],Countries!$A$1:$D$205,2,TRUE)</f>
        <v>CAN</v>
      </c>
      <c r="F403" s="60">
        <v>1986</v>
      </c>
      <c r="G403" s="60" t="s">
        <v>4026</v>
      </c>
      <c r="H403" s="65">
        <v>2000</v>
      </c>
      <c r="I403" s="65">
        <v>1300</v>
      </c>
      <c r="J403" s="60" t="s">
        <v>4049</v>
      </c>
      <c r="K403" s="60">
        <v>31.681004999999999</v>
      </c>
      <c r="L403">
        <v>120.251785</v>
      </c>
    </row>
    <row r="404" spans="1:12" x14ac:dyDescent="0.35">
      <c r="A404" s="60" t="s">
        <v>4583</v>
      </c>
      <c r="B404" s="60" t="s">
        <v>4582</v>
      </c>
      <c r="C404" s="60" t="s">
        <v>3041</v>
      </c>
      <c r="D404" s="61" t="s">
        <v>84</v>
      </c>
      <c r="E404" t="str">
        <f>VLOOKUP(Table10[[#This Row],[Country]],Countries!$A$1:$D$205,2,TRUE)</f>
        <v>CAN</v>
      </c>
      <c r="F404" s="60">
        <v>2002</v>
      </c>
      <c r="G404" s="60" t="s">
        <v>4026</v>
      </c>
      <c r="H404" s="65">
        <v>1500</v>
      </c>
      <c r="I404" s="65">
        <v>1500</v>
      </c>
      <c r="J404" s="60" t="s">
        <v>4049</v>
      </c>
      <c r="K404" s="60">
        <v>31.816482000000001</v>
      </c>
      <c r="L404">
        <v>120.424347</v>
      </c>
    </row>
    <row r="405" spans="1:12" x14ac:dyDescent="0.35">
      <c r="A405" s="60" t="s">
        <v>4584</v>
      </c>
      <c r="B405" s="60" t="s">
        <v>4585</v>
      </c>
      <c r="C405" s="60" t="s">
        <v>3041</v>
      </c>
      <c r="D405" s="61" t="s">
        <v>84</v>
      </c>
      <c r="E405" t="str">
        <f>VLOOKUP(Table10[[#This Row],[Country]],Countries!$A$1:$D$205,2,TRUE)</f>
        <v>CAN</v>
      </c>
      <c r="F405" s="60">
        <v>2003</v>
      </c>
      <c r="G405" s="60" t="s">
        <v>4026</v>
      </c>
      <c r="H405" s="65">
        <v>3050</v>
      </c>
      <c r="I405" s="65">
        <v>3080</v>
      </c>
      <c r="J405" s="60" t="s">
        <v>4049</v>
      </c>
      <c r="K405" s="60">
        <v>34.577016</v>
      </c>
      <c r="L405">
        <v>117.33963799999999</v>
      </c>
    </row>
    <row r="406" spans="1:12" x14ac:dyDescent="0.35">
      <c r="A406" s="60" t="s">
        <v>4586</v>
      </c>
      <c r="B406" s="60" t="s">
        <v>4585</v>
      </c>
      <c r="C406" s="60" t="s">
        <v>3041</v>
      </c>
      <c r="D406" s="61" t="s">
        <v>84</v>
      </c>
      <c r="E406" t="str">
        <f>VLOOKUP(Table10[[#This Row],[Country]],Countries!$A$1:$D$205,2,TRUE)</f>
        <v>CAN</v>
      </c>
      <c r="F406" s="60">
        <v>2008</v>
      </c>
      <c r="G406" s="60" t="s">
        <v>4048</v>
      </c>
      <c r="H406" s="65">
        <v>1500</v>
      </c>
      <c r="I406" s="65">
        <v>728.96</v>
      </c>
      <c r="J406" s="60" t="s">
        <v>4049</v>
      </c>
      <c r="K406" s="60">
        <v>34.364871999999998</v>
      </c>
      <c r="L406">
        <v>117.322633</v>
      </c>
    </row>
    <row r="407" spans="1:12" x14ac:dyDescent="0.35">
      <c r="A407" s="60" t="s">
        <v>4587</v>
      </c>
      <c r="B407" s="60" t="s">
        <v>4585</v>
      </c>
      <c r="C407" s="60" t="s">
        <v>3041</v>
      </c>
      <c r="D407" s="61" t="s">
        <v>84</v>
      </c>
      <c r="E407" t="str">
        <f>VLOOKUP(Table10[[#This Row],[Country]],Countries!$A$1:$D$205,2,TRUE)</f>
        <v>CAN</v>
      </c>
      <c r="F407" s="60">
        <v>2004</v>
      </c>
      <c r="G407" s="60" t="s">
        <v>4048</v>
      </c>
      <c r="H407" s="65">
        <v>1500</v>
      </c>
      <c r="I407" s="65">
        <v>800</v>
      </c>
      <c r="J407" s="60" t="s">
        <v>4049</v>
      </c>
      <c r="K407" s="60">
        <v>34.448514000000003</v>
      </c>
      <c r="L407">
        <v>117.27187600000001</v>
      </c>
    </row>
    <row r="408" spans="1:12" x14ac:dyDescent="0.35">
      <c r="A408" s="60" t="s">
        <v>4588</v>
      </c>
      <c r="B408" s="60" t="s">
        <v>4585</v>
      </c>
      <c r="C408" s="60" t="s">
        <v>3041</v>
      </c>
      <c r="D408" s="61" t="s">
        <v>84</v>
      </c>
      <c r="E408" t="str">
        <f>VLOOKUP(Table10[[#This Row],[Country]],Countries!$A$1:$D$205,2,TRUE)</f>
        <v>CAN</v>
      </c>
      <c r="F408" s="60">
        <v>2003</v>
      </c>
      <c r="G408" s="60" t="s">
        <v>4026</v>
      </c>
      <c r="H408" s="65">
        <v>5700</v>
      </c>
      <c r="I408" s="65">
        <v>5985</v>
      </c>
      <c r="J408" s="60" t="s">
        <v>4049</v>
      </c>
      <c r="K408" s="60">
        <v>34.368617999999998</v>
      </c>
      <c r="L408">
        <v>118.31556</v>
      </c>
    </row>
    <row r="409" spans="1:12" x14ac:dyDescent="0.35">
      <c r="A409" s="60" t="s">
        <v>4589</v>
      </c>
      <c r="B409" s="60" t="s">
        <v>4585</v>
      </c>
      <c r="C409" s="60" t="s">
        <v>3041</v>
      </c>
      <c r="D409" s="61" t="s">
        <v>84</v>
      </c>
      <c r="E409" t="str">
        <f>VLOOKUP(Table10[[#This Row],[Country]],Countries!$A$1:$D$205,2,TRUE)</f>
        <v>CAN</v>
      </c>
      <c r="F409" s="60">
        <v>2008</v>
      </c>
      <c r="G409" s="60" t="s">
        <v>4026</v>
      </c>
      <c r="H409" s="65">
        <v>1000</v>
      </c>
      <c r="I409" s="65" t="s">
        <v>4022</v>
      </c>
      <c r="J409" s="60" t="s">
        <v>4023</v>
      </c>
      <c r="K409" s="60">
        <v>34.500121999999998</v>
      </c>
      <c r="L409">
        <v>116.908897</v>
      </c>
    </row>
    <row r="410" spans="1:12" x14ac:dyDescent="0.35">
      <c r="A410" s="60" t="s">
        <v>4590</v>
      </c>
      <c r="B410" s="60" t="s">
        <v>4585</v>
      </c>
      <c r="C410" s="60" t="s">
        <v>3041</v>
      </c>
      <c r="D410" s="61" t="s">
        <v>84</v>
      </c>
      <c r="E410" t="str">
        <f>VLOOKUP(Table10[[#This Row],[Country]],Countries!$A$1:$D$205,2,TRUE)</f>
        <v>CAN</v>
      </c>
      <c r="F410" s="60">
        <v>2023</v>
      </c>
      <c r="G410" s="60" t="s">
        <v>4037</v>
      </c>
      <c r="H410" s="65">
        <v>1000</v>
      </c>
      <c r="I410" s="65" t="s">
        <v>4022</v>
      </c>
      <c r="J410" s="60" t="s">
        <v>4023</v>
      </c>
      <c r="K410" s="60">
        <v>34.500121999999998</v>
      </c>
      <c r="L410">
        <v>116.908897</v>
      </c>
    </row>
    <row r="411" spans="1:12" x14ac:dyDescent="0.35">
      <c r="A411" s="60" t="s">
        <v>4591</v>
      </c>
      <c r="B411" s="60" t="s">
        <v>4592</v>
      </c>
      <c r="C411" s="60" t="s">
        <v>3041</v>
      </c>
      <c r="D411" s="61" t="s">
        <v>84</v>
      </c>
      <c r="E411" t="str">
        <f>VLOOKUP(Table10[[#This Row],[Country]],Countries!$A$1:$D$205,2,TRUE)</f>
        <v>CAN</v>
      </c>
      <c r="F411" s="60">
        <v>1958</v>
      </c>
      <c r="G411" s="60" t="s">
        <v>4026</v>
      </c>
      <c r="H411" s="65">
        <v>3200</v>
      </c>
      <c r="I411" s="65">
        <v>3120</v>
      </c>
      <c r="J411" s="60" t="s">
        <v>4161</v>
      </c>
      <c r="K411" s="60">
        <v>33.211331999999999</v>
      </c>
      <c r="L411">
        <v>120.77489199999999</v>
      </c>
    </row>
    <row r="412" spans="1:12" x14ac:dyDescent="0.35">
      <c r="A412" s="60" t="s">
        <v>4593</v>
      </c>
      <c r="B412" s="60" t="s">
        <v>4592</v>
      </c>
      <c r="C412" s="60" t="s">
        <v>3041</v>
      </c>
      <c r="D412" s="61" t="s">
        <v>84</v>
      </c>
      <c r="E412" t="str">
        <f>VLOOKUP(Table10[[#This Row],[Country]],Countries!$A$1:$D$205,2,TRUE)</f>
        <v>CAN</v>
      </c>
      <c r="F412" s="60" t="s">
        <v>4036</v>
      </c>
      <c r="G412" s="60" t="s">
        <v>4037</v>
      </c>
      <c r="H412" s="65" t="s">
        <v>4022</v>
      </c>
      <c r="I412" s="65">
        <v>1130</v>
      </c>
      <c r="J412" s="60" t="s">
        <v>4111</v>
      </c>
      <c r="K412" s="60">
        <v>33.211331999999999</v>
      </c>
      <c r="L412">
        <v>120.77489199999999</v>
      </c>
    </row>
    <row r="413" spans="1:12" x14ac:dyDescent="0.35">
      <c r="A413" s="60" t="s">
        <v>4594</v>
      </c>
      <c r="B413" s="60" t="s">
        <v>4592</v>
      </c>
      <c r="C413" s="60" t="s">
        <v>3041</v>
      </c>
      <c r="D413" s="61" t="s">
        <v>84</v>
      </c>
      <c r="E413" t="str">
        <f>VLOOKUP(Table10[[#This Row],[Country]],Countries!$A$1:$D$205,2,TRUE)</f>
        <v>CAN</v>
      </c>
      <c r="F413" s="60">
        <v>2010</v>
      </c>
      <c r="G413" s="60" t="s">
        <v>4026</v>
      </c>
      <c r="H413" s="65">
        <v>1120</v>
      </c>
      <c r="I413" s="65" t="s">
        <v>4036</v>
      </c>
      <c r="J413" s="60" t="s">
        <v>4023</v>
      </c>
      <c r="K413" s="60">
        <v>34.443469</v>
      </c>
      <c r="L413">
        <v>119.816574</v>
      </c>
    </row>
    <row r="414" spans="1:12" x14ac:dyDescent="0.35">
      <c r="A414" s="60" t="s">
        <v>4595</v>
      </c>
      <c r="B414" s="60" t="s">
        <v>4592</v>
      </c>
      <c r="C414" s="60" t="s">
        <v>3041</v>
      </c>
      <c r="D414" s="61" t="s">
        <v>84</v>
      </c>
      <c r="E414" t="str">
        <f>VLOOKUP(Table10[[#This Row],[Country]],Countries!$A$1:$D$205,2,TRUE)</f>
        <v>CAN</v>
      </c>
      <c r="F414" s="60">
        <v>2022</v>
      </c>
      <c r="G414" s="60" t="s">
        <v>4026</v>
      </c>
      <c r="H414" s="65">
        <v>1350</v>
      </c>
      <c r="I414" s="65" t="s">
        <v>4022</v>
      </c>
      <c r="J414" s="60" t="s">
        <v>4023</v>
      </c>
      <c r="K414" s="60">
        <v>34.443469</v>
      </c>
      <c r="L414">
        <v>119.816575</v>
      </c>
    </row>
    <row r="415" spans="1:12" x14ac:dyDescent="0.35">
      <c r="A415" s="60" t="s">
        <v>4596</v>
      </c>
      <c r="B415" s="60" t="s">
        <v>4597</v>
      </c>
      <c r="C415" s="60" t="s">
        <v>3041</v>
      </c>
      <c r="D415" s="61" t="s">
        <v>84</v>
      </c>
      <c r="E415" t="str">
        <f>VLOOKUP(Table10[[#This Row],[Country]],Countries!$A$1:$D$205,2,TRUE)</f>
        <v>CAN</v>
      </c>
      <c r="F415" s="60">
        <v>2001</v>
      </c>
      <c r="G415" s="60" t="s">
        <v>4026</v>
      </c>
      <c r="H415" s="65">
        <v>2400</v>
      </c>
      <c r="I415" s="65">
        <v>2400</v>
      </c>
      <c r="J415" s="60" t="s">
        <v>4049</v>
      </c>
      <c r="K415" s="60">
        <v>32.838703000000002</v>
      </c>
      <c r="L415">
        <v>119.425236</v>
      </c>
    </row>
    <row r="416" spans="1:12" x14ac:dyDescent="0.35">
      <c r="A416" s="60" t="s">
        <v>4598</v>
      </c>
      <c r="B416" s="60" t="s">
        <v>4597</v>
      </c>
      <c r="C416" s="60" t="s">
        <v>3041</v>
      </c>
      <c r="D416" s="60" t="s">
        <v>84</v>
      </c>
      <c r="E416" t="str">
        <f>VLOOKUP(Table10[[#This Row],[Country]],Countries!$A$1:$D$205,2,TRUE)</f>
        <v>CAN</v>
      </c>
      <c r="F416" s="60">
        <v>2012</v>
      </c>
      <c r="G416" s="60" t="s">
        <v>4026</v>
      </c>
      <c r="H416" s="65">
        <v>3300</v>
      </c>
      <c r="I416" s="65">
        <v>3500</v>
      </c>
      <c r="J416" s="60" t="s">
        <v>4049</v>
      </c>
      <c r="K416" s="60">
        <v>32.249602000000003</v>
      </c>
      <c r="L416">
        <v>119.62043799999999</v>
      </c>
    </row>
    <row r="417" spans="1:12" x14ac:dyDescent="0.35">
      <c r="A417" s="60" t="s">
        <v>4599</v>
      </c>
      <c r="B417" s="60" t="s">
        <v>4600</v>
      </c>
      <c r="C417" s="60" t="s">
        <v>3041</v>
      </c>
      <c r="D417" s="61" t="s">
        <v>84</v>
      </c>
      <c r="E417" t="str">
        <f>VLOOKUP(Table10[[#This Row],[Country]],Countries!$A$1:$D$205,2,TRUE)</f>
        <v>CAN</v>
      </c>
      <c r="F417" s="60">
        <v>2002</v>
      </c>
      <c r="G417" s="60" t="s">
        <v>4026</v>
      </c>
      <c r="H417" s="65">
        <v>27000</v>
      </c>
      <c r="I417" s="65">
        <v>21410</v>
      </c>
      <c r="J417" s="60" t="s">
        <v>4161</v>
      </c>
      <c r="K417" s="60">
        <v>31.983146000000001</v>
      </c>
      <c r="L417">
        <v>120.638992</v>
      </c>
    </row>
    <row r="418" spans="1:12" x14ac:dyDescent="0.35">
      <c r="A418" s="60" t="s">
        <v>4601</v>
      </c>
      <c r="B418" s="60" t="s">
        <v>4600</v>
      </c>
      <c r="C418" s="60" t="s">
        <v>3041</v>
      </c>
      <c r="D418" s="61" t="s">
        <v>84</v>
      </c>
      <c r="E418" t="str">
        <f>VLOOKUP(Table10[[#This Row],[Country]],Countries!$A$1:$D$205,2,TRUE)</f>
        <v>CAN</v>
      </c>
      <c r="F418" s="60" t="s">
        <v>4036</v>
      </c>
      <c r="G418" s="60" t="s">
        <v>4021</v>
      </c>
      <c r="H418" s="65">
        <v>1350</v>
      </c>
      <c r="I418" s="65" t="s">
        <v>4022</v>
      </c>
      <c r="J418" s="60" t="s">
        <v>4163</v>
      </c>
      <c r="K418" s="60">
        <v>31.983146000000001</v>
      </c>
      <c r="L418">
        <v>120.638992</v>
      </c>
    </row>
    <row r="419" spans="1:12" x14ac:dyDescent="0.35">
      <c r="A419" s="60" t="s">
        <v>4602</v>
      </c>
      <c r="B419" s="60" t="s">
        <v>4600</v>
      </c>
      <c r="C419" s="60" t="s">
        <v>3041</v>
      </c>
      <c r="D419" s="61" t="s">
        <v>84</v>
      </c>
      <c r="E419" t="str">
        <f>VLOOKUP(Table10[[#This Row],[Country]],Countries!$A$1:$D$205,2,TRUE)</f>
        <v>CAN</v>
      </c>
      <c r="F419" s="60" t="s">
        <v>4036</v>
      </c>
      <c r="G419" s="60" t="s">
        <v>4037</v>
      </c>
      <c r="H419" s="65">
        <v>1000</v>
      </c>
      <c r="I419" s="65" t="s">
        <v>4022</v>
      </c>
      <c r="J419" s="60" t="s">
        <v>4023</v>
      </c>
      <c r="K419" s="60">
        <v>31.983146000000001</v>
      </c>
      <c r="L419">
        <v>120.638992</v>
      </c>
    </row>
    <row r="420" spans="1:12" x14ac:dyDescent="0.35">
      <c r="A420" s="60" t="s">
        <v>4601</v>
      </c>
      <c r="B420" s="60" t="s">
        <v>4600</v>
      </c>
      <c r="C420" s="60" t="s">
        <v>3041</v>
      </c>
      <c r="D420" s="61" t="s">
        <v>84</v>
      </c>
      <c r="E420" t="str">
        <f>VLOOKUP(Table10[[#This Row],[Country]],Countries!$A$1:$D$205,2,TRUE)</f>
        <v>CAN</v>
      </c>
      <c r="F420" s="60">
        <v>2022</v>
      </c>
      <c r="G420" s="60" t="s">
        <v>4026</v>
      </c>
      <c r="H420" s="65" t="s">
        <v>4022</v>
      </c>
      <c r="I420" s="65">
        <v>2000</v>
      </c>
      <c r="J420" s="60" t="s">
        <v>4111</v>
      </c>
      <c r="K420" s="60">
        <v>31.983146000000001</v>
      </c>
      <c r="L420">
        <v>120.638992</v>
      </c>
    </row>
    <row r="421" spans="1:12" x14ac:dyDescent="0.35">
      <c r="A421" s="60" t="s">
        <v>4601</v>
      </c>
      <c r="B421" s="60" t="s">
        <v>4600</v>
      </c>
      <c r="C421" s="60" t="s">
        <v>3041</v>
      </c>
      <c r="D421" s="61" t="s">
        <v>84</v>
      </c>
      <c r="E421" t="str">
        <f>VLOOKUP(Table10[[#This Row],[Country]],Countries!$A$1:$D$205,2,TRUE)</f>
        <v>CAN</v>
      </c>
      <c r="F421" s="60">
        <v>2023</v>
      </c>
      <c r="G421" s="60" t="s">
        <v>4037</v>
      </c>
      <c r="H421" s="65" t="s">
        <v>4022</v>
      </c>
      <c r="I421" s="65">
        <v>2000</v>
      </c>
      <c r="J421" s="60" t="s">
        <v>4111</v>
      </c>
      <c r="K421" s="60">
        <v>31.983146000000001</v>
      </c>
      <c r="L421">
        <v>120.638992</v>
      </c>
    </row>
    <row r="422" spans="1:12" x14ac:dyDescent="0.35">
      <c r="A422" s="60" t="s">
        <v>4603</v>
      </c>
      <c r="B422" s="60" t="s">
        <v>4600</v>
      </c>
      <c r="C422" s="60" t="s">
        <v>3041</v>
      </c>
      <c r="D422" s="61" t="s">
        <v>84</v>
      </c>
      <c r="E422" t="str">
        <f>VLOOKUP(Table10[[#This Row],[Country]],Countries!$A$1:$D$205,2,TRUE)</f>
        <v>CAN</v>
      </c>
      <c r="F422" s="60">
        <v>1997</v>
      </c>
      <c r="G422" s="60" t="s">
        <v>4026</v>
      </c>
      <c r="H422" s="65">
        <v>1140</v>
      </c>
      <c r="I422" s="65" t="s">
        <v>4036</v>
      </c>
      <c r="J422" s="60" t="s">
        <v>4023</v>
      </c>
      <c r="K422" s="60">
        <v>31.980236999999999</v>
      </c>
      <c r="L422">
        <v>120.571455</v>
      </c>
    </row>
    <row r="423" spans="1:12" x14ac:dyDescent="0.35">
      <c r="A423" s="60" t="s">
        <v>4604</v>
      </c>
      <c r="B423" s="60" t="s">
        <v>4605</v>
      </c>
      <c r="C423" s="60" t="s">
        <v>3041</v>
      </c>
      <c r="D423" s="61" t="s">
        <v>84</v>
      </c>
      <c r="E423" t="str">
        <f>VLOOKUP(Table10[[#This Row],[Country]],Countries!$A$1:$D$205,2,TRUE)</f>
        <v>CAN</v>
      </c>
      <c r="F423" s="60">
        <v>2000</v>
      </c>
      <c r="G423" s="60" t="s">
        <v>4026</v>
      </c>
      <c r="H423" s="65">
        <v>1575</v>
      </c>
      <c r="I423" s="65" t="s">
        <v>4022</v>
      </c>
      <c r="J423" s="60" t="s">
        <v>4023</v>
      </c>
      <c r="K423" s="60">
        <v>32.138393000000001</v>
      </c>
      <c r="L423">
        <v>119.554693</v>
      </c>
    </row>
    <row r="424" spans="1:12" x14ac:dyDescent="0.35">
      <c r="A424" s="60" t="s">
        <v>4606</v>
      </c>
      <c r="B424" s="60" t="s">
        <v>4607</v>
      </c>
      <c r="C424" s="60" t="s">
        <v>3044</v>
      </c>
      <c r="D424" s="61" t="s">
        <v>84</v>
      </c>
      <c r="E424" t="str">
        <f>VLOOKUP(Table10[[#This Row],[Country]],Countries!$A$1:$D$205,2,TRUE)</f>
        <v>CAN</v>
      </c>
      <c r="F424" s="60">
        <v>2024</v>
      </c>
      <c r="G424" s="60" t="s">
        <v>4037</v>
      </c>
      <c r="H424" s="65">
        <v>1500</v>
      </c>
      <c r="I424" s="65" t="s">
        <v>4022</v>
      </c>
      <c r="J424" s="60" t="s">
        <v>4023</v>
      </c>
      <c r="K424" s="60">
        <v>24.912904000000001</v>
      </c>
      <c r="L424">
        <v>114.844503</v>
      </c>
    </row>
    <row r="425" spans="1:12" x14ac:dyDescent="0.35">
      <c r="A425" s="60" t="s">
        <v>4608</v>
      </c>
      <c r="B425" s="60" t="s">
        <v>4607</v>
      </c>
      <c r="C425" s="60" t="s">
        <v>3044</v>
      </c>
      <c r="D425" s="61" t="s">
        <v>84</v>
      </c>
      <c r="E425" t="str">
        <f>VLOOKUP(Table10[[#This Row],[Country]],Countries!$A$1:$D$205,2,TRUE)</f>
        <v>CAN</v>
      </c>
      <c r="F425" s="60">
        <v>2005</v>
      </c>
      <c r="G425" s="60" t="s">
        <v>4026</v>
      </c>
      <c r="H425" s="65">
        <v>1000</v>
      </c>
      <c r="I425" s="65" t="s">
        <v>4022</v>
      </c>
      <c r="J425" s="60" t="s">
        <v>4023</v>
      </c>
      <c r="K425" s="60">
        <v>24.912904000000001</v>
      </c>
      <c r="L425">
        <v>114.844503</v>
      </c>
    </row>
    <row r="426" spans="1:12" x14ac:dyDescent="0.35">
      <c r="A426" s="60" t="s">
        <v>4609</v>
      </c>
      <c r="B426" s="60" t="s">
        <v>3045</v>
      </c>
      <c r="C426" s="60" t="s">
        <v>3044</v>
      </c>
      <c r="D426" s="61" t="s">
        <v>84</v>
      </c>
      <c r="E426" t="str">
        <f>VLOOKUP(Table10[[#This Row],[Country]],Countries!$A$1:$D$205,2,TRUE)</f>
        <v>CAN</v>
      </c>
      <c r="F426" s="60">
        <v>2003</v>
      </c>
      <c r="G426" s="60" t="s">
        <v>4026</v>
      </c>
      <c r="H426" s="65">
        <v>4700</v>
      </c>
      <c r="I426" s="65">
        <v>4630</v>
      </c>
      <c r="J426" s="60" t="s">
        <v>4049</v>
      </c>
      <c r="K426" s="60">
        <v>29.778431000000001</v>
      </c>
      <c r="L426">
        <v>116.27527000000001</v>
      </c>
    </row>
    <row r="427" spans="1:12" x14ac:dyDescent="0.35">
      <c r="A427" s="60" t="s">
        <v>4610</v>
      </c>
      <c r="B427" s="60" t="s">
        <v>4611</v>
      </c>
      <c r="C427" s="60" t="s">
        <v>3044</v>
      </c>
      <c r="D427" s="61" t="s">
        <v>84</v>
      </c>
      <c r="E427" t="str">
        <f>VLOOKUP(Table10[[#This Row],[Country]],Countries!$A$1:$D$205,2,TRUE)</f>
        <v>CAN</v>
      </c>
      <c r="F427" s="60">
        <v>1958</v>
      </c>
      <c r="G427" s="60" t="s">
        <v>4026</v>
      </c>
      <c r="H427" s="65">
        <v>3600</v>
      </c>
      <c r="I427" s="65">
        <v>3000</v>
      </c>
      <c r="J427" s="60" t="s">
        <v>4049</v>
      </c>
      <c r="K427" s="60">
        <v>28.645441000000002</v>
      </c>
      <c r="L427">
        <v>115.99204</v>
      </c>
    </row>
    <row r="428" spans="1:12" x14ac:dyDescent="0.35">
      <c r="A428" s="60" t="s">
        <v>4612</v>
      </c>
      <c r="B428" s="60" t="s">
        <v>4613</v>
      </c>
      <c r="C428" s="60" t="s">
        <v>3044</v>
      </c>
      <c r="D428" s="61" t="s">
        <v>84</v>
      </c>
      <c r="E428" t="str">
        <f>VLOOKUP(Table10[[#This Row],[Country]],Countries!$A$1:$D$205,2,TRUE)</f>
        <v>CAN</v>
      </c>
      <c r="F428" s="60">
        <v>1954</v>
      </c>
      <c r="G428" s="60" t="s">
        <v>4026</v>
      </c>
      <c r="H428" s="65">
        <v>2650</v>
      </c>
      <c r="I428" s="65">
        <v>2690</v>
      </c>
      <c r="J428" s="60" t="s">
        <v>4049</v>
      </c>
      <c r="K428" s="60">
        <v>27.64555</v>
      </c>
      <c r="L428">
        <v>113.902126</v>
      </c>
    </row>
    <row r="429" spans="1:12" x14ac:dyDescent="0.35">
      <c r="A429" s="60" t="s">
        <v>4614</v>
      </c>
      <c r="B429" s="60" t="s">
        <v>4615</v>
      </c>
      <c r="C429" s="60" t="s">
        <v>3044</v>
      </c>
      <c r="D429" s="60" t="s">
        <v>84</v>
      </c>
      <c r="E429" t="str">
        <f>VLOOKUP(Table10[[#This Row],[Country]],Countries!$A$1:$D$205,2,TRUE)</f>
        <v>CAN</v>
      </c>
      <c r="F429" s="60">
        <v>2003</v>
      </c>
      <c r="G429" s="60" t="s">
        <v>4026</v>
      </c>
      <c r="H429" s="65">
        <v>1000</v>
      </c>
      <c r="I429" s="65" t="s">
        <v>4022</v>
      </c>
      <c r="J429" s="60" t="s">
        <v>4023</v>
      </c>
      <c r="K429" s="60">
        <v>28.60445</v>
      </c>
      <c r="L429">
        <v>118.16361499999999</v>
      </c>
    </row>
    <row r="430" spans="1:12" x14ac:dyDescent="0.35">
      <c r="A430" s="60" t="s">
        <v>4616</v>
      </c>
      <c r="B430" s="60" t="s">
        <v>4617</v>
      </c>
      <c r="C430" s="60" t="s">
        <v>3044</v>
      </c>
      <c r="D430" s="61" t="s">
        <v>84</v>
      </c>
      <c r="E430" t="str">
        <f>VLOOKUP(Table10[[#This Row],[Country]],Countries!$A$1:$D$205,2,TRUE)</f>
        <v>CAN</v>
      </c>
      <c r="F430" s="60">
        <v>1958</v>
      </c>
      <c r="G430" s="60" t="s">
        <v>4026</v>
      </c>
      <c r="H430" s="65">
        <v>10000</v>
      </c>
      <c r="I430" s="65">
        <v>8700</v>
      </c>
      <c r="J430" s="60" t="s">
        <v>4049</v>
      </c>
      <c r="K430" s="60">
        <v>27.786859</v>
      </c>
      <c r="L430">
        <v>114.921595</v>
      </c>
    </row>
    <row r="431" spans="1:12" x14ac:dyDescent="0.35">
      <c r="A431" s="60" t="s">
        <v>4618</v>
      </c>
      <c r="B431" s="60" t="s">
        <v>4617</v>
      </c>
      <c r="C431" s="60" t="s">
        <v>3044</v>
      </c>
      <c r="D431" s="61" t="s">
        <v>84</v>
      </c>
      <c r="E431" t="str">
        <f>VLOOKUP(Table10[[#This Row],[Country]],Countries!$A$1:$D$205,2,TRUE)</f>
        <v>CAN</v>
      </c>
      <c r="F431" s="60">
        <v>2024</v>
      </c>
      <c r="G431" s="60" t="s">
        <v>4021</v>
      </c>
      <c r="H431" s="65">
        <v>1000</v>
      </c>
      <c r="I431" s="65" t="s">
        <v>4022</v>
      </c>
      <c r="J431" s="60" t="s">
        <v>4023</v>
      </c>
      <c r="K431" s="60">
        <v>27.786859</v>
      </c>
      <c r="L431">
        <v>114.921595</v>
      </c>
    </row>
    <row r="432" spans="1:12" x14ac:dyDescent="0.35">
      <c r="A432" s="60" t="s">
        <v>4619</v>
      </c>
      <c r="B432" s="60" t="s">
        <v>4620</v>
      </c>
      <c r="C432" s="60" t="s">
        <v>3047</v>
      </c>
      <c r="D432" s="61" t="s">
        <v>84</v>
      </c>
      <c r="E432" t="str">
        <f>VLOOKUP(Table10[[#This Row],[Country]],Countries!$A$1:$D$205,2,TRUE)</f>
        <v>CAN</v>
      </c>
      <c r="F432" s="60">
        <v>2009</v>
      </c>
      <c r="G432" s="60" t="s">
        <v>4026</v>
      </c>
      <c r="H432" s="65">
        <v>800</v>
      </c>
      <c r="I432" s="65" t="s">
        <v>4022</v>
      </c>
      <c r="J432" s="60" t="s">
        <v>4023</v>
      </c>
      <c r="K432" s="60">
        <v>45.593302999999999</v>
      </c>
      <c r="L432">
        <v>122.895588</v>
      </c>
    </row>
    <row r="433" spans="1:12" x14ac:dyDescent="0.35">
      <c r="A433" s="60" t="s">
        <v>4621</v>
      </c>
      <c r="B433" s="60" t="s">
        <v>4620</v>
      </c>
      <c r="C433" s="60" t="s">
        <v>3047</v>
      </c>
      <c r="D433" s="61" t="s">
        <v>84</v>
      </c>
      <c r="E433" t="str">
        <f>VLOOKUP(Table10[[#This Row],[Country]],Countries!$A$1:$D$205,2,TRUE)</f>
        <v>CAN</v>
      </c>
      <c r="F433" s="60" t="s">
        <v>4036</v>
      </c>
      <c r="G433" s="60" t="s">
        <v>4037</v>
      </c>
      <c r="H433" s="65">
        <v>788</v>
      </c>
      <c r="I433" s="65" t="s">
        <v>4022</v>
      </c>
      <c r="J433" s="60" t="s">
        <v>4023</v>
      </c>
      <c r="K433" s="60">
        <v>45.593302999999999</v>
      </c>
      <c r="L433">
        <v>122.895588</v>
      </c>
    </row>
    <row r="434" spans="1:12" x14ac:dyDescent="0.35">
      <c r="A434" s="60" t="s">
        <v>4622</v>
      </c>
      <c r="B434" s="60" t="s">
        <v>4623</v>
      </c>
      <c r="C434" s="60" t="s">
        <v>3047</v>
      </c>
      <c r="D434" s="61" t="s">
        <v>84</v>
      </c>
      <c r="E434" t="str">
        <f>VLOOKUP(Table10[[#This Row],[Country]],Countries!$A$1:$D$205,2,TRUE)</f>
        <v>CAN</v>
      </c>
      <c r="F434" s="60">
        <v>2008</v>
      </c>
      <c r="G434" s="60" t="s">
        <v>4026</v>
      </c>
      <c r="H434" s="65">
        <v>500</v>
      </c>
      <c r="I434" s="65" t="s">
        <v>4022</v>
      </c>
      <c r="J434" s="60" t="s">
        <v>4023</v>
      </c>
      <c r="K434" s="60">
        <v>44.138826000000002</v>
      </c>
      <c r="L434">
        <v>125.914941</v>
      </c>
    </row>
    <row r="435" spans="1:12" x14ac:dyDescent="0.35">
      <c r="A435" s="60" t="s">
        <v>4624</v>
      </c>
      <c r="B435" s="60" t="s">
        <v>4623</v>
      </c>
      <c r="C435" s="60" t="s">
        <v>3047</v>
      </c>
      <c r="D435" s="61" t="s">
        <v>84</v>
      </c>
      <c r="E435" t="str">
        <f>VLOOKUP(Table10[[#This Row],[Country]],Countries!$A$1:$D$205,2,TRUE)</f>
        <v>CAN</v>
      </c>
      <c r="F435" s="60">
        <v>2024</v>
      </c>
      <c r="G435" s="60" t="s">
        <v>4037</v>
      </c>
      <c r="H435" s="65">
        <v>500</v>
      </c>
      <c r="I435" s="65" t="s">
        <v>4022</v>
      </c>
      <c r="J435" s="60" t="s">
        <v>4023</v>
      </c>
      <c r="K435" s="60">
        <v>44.138826000000002</v>
      </c>
      <c r="L435">
        <v>125.914941</v>
      </c>
    </row>
    <row r="436" spans="1:12" x14ac:dyDescent="0.35">
      <c r="A436" s="60" t="s">
        <v>4625</v>
      </c>
      <c r="B436" s="60" t="s">
        <v>4623</v>
      </c>
      <c r="C436" s="60" t="s">
        <v>3047</v>
      </c>
      <c r="D436" s="61" t="s">
        <v>84</v>
      </c>
      <c r="E436" t="str">
        <f>VLOOKUP(Table10[[#This Row],[Country]],Countries!$A$1:$D$205,2,TRUE)</f>
        <v>CAN</v>
      </c>
      <c r="F436" s="60">
        <v>2008</v>
      </c>
      <c r="G436" s="60" t="s">
        <v>4026</v>
      </c>
      <c r="H436" s="65">
        <v>1500</v>
      </c>
      <c r="I436" s="65" t="s">
        <v>4022</v>
      </c>
      <c r="J436" s="60" t="s">
        <v>4023</v>
      </c>
      <c r="K436" s="60">
        <v>44.022801999999999</v>
      </c>
      <c r="L436">
        <v>125.505627</v>
      </c>
    </row>
    <row r="437" spans="1:12" x14ac:dyDescent="0.35">
      <c r="A437" s="60" t="s">
        <v>4626</v>
      </c>
      <c r="B437" s="60" t="s">
        <v>4623</v>
      </c>
      <c r="C437" s="60" t="s">
        <v>3047</v>
      </c>
      <c r="D437" s="61" t="s">
        <v>84</v>
      </c>
      <c r="E437" t="str">
        <f>VLOOKUP(Table10[[#This Row],[Country]],Countries!$A$1:$D$205,2,TRUE)</f>
        <v>CAN</v>
      </c>
      <c r="F437" s="60">
        <v>2024</v>
      </c>
      <c r="G437" s="60" t="s">
        <v>4037</v>
      </c>
      <c r="H437" s="65">
        <v>1500</v>
      </c>
      <c r="I437" s="65" t="s">
        <v>4022</v>
      </c>
      <c r="J437" s="60" t="s">
        <v>4023</v>
      </c>
      <c r="K437" s="60">
        <v>44.022801999999999</v>
      </c>
      <c r="L437">
        <v>125.505627</v>
      </c>
    </row>
    <row r="438" spans="1:12" x14ac:dyDescent="0.35">
      <c r="A438" s="60" t="s">
        <v>4627</v>
      </c>
      <c r="B438" s="60" t="s">
        <v>3047</v>
      </c>
      <c r="C438" s="60" t="s">
        <v>3047</v>
      </c>
      <c r="D438" s="61" t="s">
        <v>84</v>
      </c>
      <c r="E438" t="str">
        <f>VLOOKUP(Table10[[#This Row],[Country]],Countries!$A$1:$D$205,2,TRUE)</f>
        <v>CAN</v>
      </c>
      <c r="F438" s="60">
        <v>2001</v>
      </c>
      <c r="G438" s="60" t="s">
        <v>4026</v>
      </c>
      <c r="H438" s="65">
        <v>3000</v>
      </c>
      <c r="I438" s="65">
        <v>2980.3999999999996</v>
      </c>
      <c r="J438" s="60" t="s">
        <v>4049</v>
      </c>
      <c r="K438" s="60">
        <v>44.011951000000003</v>
      </c>
      <c r="L438">
        <v>126.537086</v>
      </c>
    </row>
    <row r="439" spans="1:12" x14ac:dyDescent="0.35">
      <c r="A439" s="60" t="s">
        <v>4628</v>
      </c>
      <c r="B439" s="60" t="s">
        <v>4629</v>
      </c>
      <c r="C439" s="60" t="s">
        <v>3047</v>
      </c>
      <c r="D439" s="61" t="s">
        <v>84</v>
      </c>
      <c r="E439" t="str">
        <f>VLOOKUP(Table10[[#This Row],[Country]],Countries!$A$1:$D$205,2,TRUE)</f>
        <v>CAN</v>
      </c>
      <c r="F439" s="60">
        <v>2007</v>
      </c>
      <c r="G439" s="60" t="s">
        <v>4026</v>
      </c>
      <c r="H439" s="65">
        <v>3300</v>
      </c>
      <c r="I439" s="65">
        <v>2700</v>
      </c>
      <c r="J439" s="60" t="s">
        <v>4049</v>
      </c>
      <c r="K439" s="60">
        <v>42.3249</v>
      </c>
      <c r="L439">
        <v>125.246892</v>
      </c>
    </row>
    <row r="440" spans="1:12" x14ac:dyDescent="0.35">
      <c r="A440" s="60" t="s">
        <v>4630</v>
      </c>
      <c r="B440" s="60" t="s">
        <v>4629</v>
      </c>
      <c r="C440" s="60" t="s">
        <v>3047</v>
      </c>
      <c r="D440" s="61" t="s">
        <v>84</v>
      </c>
      <c r="E440" t="str">
        <f>VLOOKUP(Table10[[#This Row],[Country]],Countries!$A$1:$D$205,2,TRUE)</f>
        <v>CAN</v>
      </c>
      <c r="F440" s="60">
        <v>2024</v>
      </c>
      <c r="G440" s="60" t="s">
        <v>4037</v>
      </c>
      <c r="H440" s="65">
        <v>1150</v>
      </c>
      <c r="I440" s="65" t="s">
        <v>4022</v>
      </c>
      <c r="J440" s="60" t="s">
        <v>4163</v>
      </c>
      <c r="K440" s="60">
        <v>42.3249</v>
      </c>
      <c r="L440">
        <v>125.246892</v>
      </c>
    </row>
    <row r="441" spans="1:12" x14ac:dyDescent="0.35">
      <c r="A441" s="60" t="s">
        <v>4631</v>
      </c>
      <c r="B441" s="60" t="s">
        <v>4629</v>
      </c>
      <c r="C441" s="60" t="s">
        <v>3047</v>
      </c>
      <c r="D441" s="61" t="s">
        <v>84</v>
      </c>
      <c r="E441" t="str">
        <f>VLOOKUP(Table10[[#This Row],[Country]],Countries!$A$1:$D$205,2,TRUE)</f>
        <v>CAN</v>
      </c>
      <c r="F441" s="60">
        <v>2024</v>
      </c>
      <c r="G441" s="60" t="s">
        <v>4037</v>
      </c>
      <c r="H441" s="65" t="s">
        <v>4022</v>
      </c>
      <c r="I441" s="65">
        <v>1220</v>
      </c>
      <c r="J441" s="60" t="s">
        <v>4111</v>
      </c>
      <c r="K441" s="60">
        <v>42.3249</v>
      </c>
      <c r="L441">
        <v>125.246892</v>
      </c>
    </row>
    <row r="442" spans="1:12" x14ac:dyDescent="0.35">
      <c r="A442" s="60" t="s">
        <v>4632</v>
      </c>
      <c r="B442" s="60" t="s">
        <v>4633</v>
      </c>
      <c r="C442" s="60" t="s">
        <v>3047</v>
      </c>
      <c r="D442" s="61" t="s">
        <v>84</v>
      </c>
      <c r="E442" t="str">
        <f>VLOOKUP(Table10[[#This Row],[Country]],Countries!$A$1:$D$205,2,TRUE)</f>
        <v>CAN</v>
      </c>
      <c r="F442" s="60">
        <v>2010</v>
      </c>
      <c r="G442" s="60" t="s">
        <v>4026</v>
      </c>
      <c r="H442" s="65">
        <v>1100</v>
      </c>
      <c r="I442" s="65">
        <v>1100</v>
      </c>
      <c r="J442" s="60" t="s">
        <v>4049</v>
      </c>
      <c r="K442" s="60">
        <v>43.196536999999999</v>
      </c>
      <c r="L442">
        <v>126.00063</v>
      </c>
    </row>
    <row r="443" spans="1:12" x14ac:dyDescent="0.35">
      <c r="A443" s="60" t="s">
        <v>4634</v>
      </c>
      <c r="B443" s="60" t="s">
        <v>4635</v>
      </c>
      <c r="C443" s="60" t="s">
        <v>3047</v>
      </c>
      <c r="D443" s="61" t="s">
        <v>84</v>
      </c>
      <c r="E443" t="str">
        <f>VLOOKUP(Table10[[#This Row],[Country]],Countries!$A$1:$D$205,2,TRUE)</f>
        <v>CAN</v>
      </c>
      <c r="F443" s="60">
        <v>1979</v>
      </c>
      <c r="G443" s="60" t="s">
        <v>4026</v>
      </c>
      <c r="H443" s="65">
        <v>1500</v>
      </c>
      <c r="I443" s="65">
        <v>1300</v>
      </c>
      <c r="J443" s="60" t="s">
        <v>4049</v>
      </c>
      <c r="K443" s="60">
        <v>43.200229999999998</v>
      </c>
      <c r="L443">
        <v>124.335697</v>
      </c>
    </row>
    <row r="444" spans="1:12" x14ac:dyDescent="0.35">
      <c r="A444" s="60" t="s">
        <v>4636</v>
      </c>
      <c r="B444" s="60" t="s">
        <v>4637</v>
      </c>
      <c r="C444" s="60" t="s">
        <v>3047</v>
      </c>
      <c r="D444" s="61" t="s">
        <v>84</v>
      </c>
      <c r="E444" t="str">
        <f>VLOOKUP(Table10[[#This Row],[Country]],Countries!$A$1:$D$205,2,TRUE)</f>
        <v>CAN</v>
      </c>
      <c r="F444" s="60">
        <v>2006</v>
      </c>
      <c r="G444" s="60" t="s">
        <v>4026</v>
      </c>
      <c r="H444" s="65">
        <v>4600</v>
      </c>
      <c r="I444" s="65">
        <v>4350</v>
      </c>
      <c r="J444" s="60" t="s">
        <v>4049</v>
      </c>
      <c r="K444" s="60">
        <v>41.779125000000001</v>
      </c>
      <c r="L444">
        <v>126.02234900000001</v>
      </c>
    </row>
    <row r="445" spans="1:12" x14ac:dyDescent="0.35">
      <c r="A445" s="60" t="s">
        <v>4638</v>
      </c>
      <c r="B445" s="60" t="s">
        <v>4639</v>
      </c>
      <c r="C445" s="60" t="s">
        <v>3049</v>
      </c>
      <c r="D445" s="61" t="s">
        <v>84</v>
      </c>
      <c r="E445" t="str">
        <f>VLOOKUP(Table10[[#This Row],[Country]],Countries!$A$1:$D$205,2,TRUE)</f>
        <v>CAN</v>
      </c>
      <c r="F445" s="60">
        <v>1916</v>
      </c>
      <c r="G445" s="60" t="s">
        <v>4026</v>
      </c>
      <c r="H445" s="65">
        <v>18700</v>
      </c>
      <c r="I445" s="65">
        <v>17500</v>
      </c>
      <c r="J445" s="60" t="s">
        <v>4049</v>
      </c>
      <c r="K445" s="60">
        <v>41.148266999999997</v>
      </c>
      <c r="L445">
        <v>122.983054</v>
      </c>
    </row>
    <row r="446" spans="1:12" x14ac:dyDescent="0.35">
      <c r="A446" s="60" t="s">
        <v>4640</v>
      </c>
      <c r="B446" s="60" t="s">
        <v>4639</v>
      </c>
      <c r="C446" s="60" t="s">
        <v>3049</v>
      </c>
      <c r="D446" s="61" t="s">
        <v>84</v>
      </c>
      <c r="E446" t="str">
        <f>VLOOKUP(Table10[[#This Row],[Country]],Countries!$A$1:$D$205,2,TRUE)</f>
        <v>CAN</v>
      </c>
      <c r="F446" s="60">
        <v>1994</v>
      </c>
      <c r="G446" s="60" t="s">
        <v>4026</v>
      </c>
      <c r="H446" s="65">
        <v>2000</v>
      </c>
      <c r="I446" s="65">
        <v>1200</v>
      </c>
      <c r="J446" s="60" t="s">
        <v>4049</v>
      </c>
      <c r="K446" s="60">
        <v>40.981855000000003</v>
      </c>
      <c r="L446">
        <v>122.948643</v>
      </c>
    </row>
    <row r="447" spans="1:12" x14ac:dyDescent="0.35">
      <c r="A447" s="60" t="s">
        <v>4641</v>
      </c>
      <c r="B447" s="60" t="s">
        <v>4639</v>
      </c>
      <c r="C447" s="60" t="s">
        <v>3049</v>
      </c>
      <c r="D447" s="61" t="s">
        <v>84</v>
      </c>
      <c r="E447" t="str">
        <f>VLOOKUP(Table10[[#This Row],[Country]],Countries!$A$1:$D$205,2,TRUE)</f>
        <v>CAN</v>
      </c>
      <c r="F447" s="60">
        <v>1980</v>
      </c>
      <c r="G447" s="60" t="s">
        <v>4026</v>
      </c>
      <c r="H447" s="65">
        <v>1800</v>
      </c>
      <c r="I447" s="65">
        <v>1150</v>
      </c>
      <c r="J447" s="60" t="s">
        <v>4049</v>
      </c>
      <c r="K447" s="60">
        <v>41.173613000000003</v>
      </c>
      <c r="L447">
        <v>122.94550099999999</v>
      </c>
    </row>
    <row r="448" spans="1:12" x14ac:dyDescent="0.35">
      <c r="A448" s="60" t="s">
        <v>4642</v>
      </c>
      <c r="B448" s="60" t="s">
        <v>4643</v>
      </c>
      <c r="C448" s="60" t="s">
        <v>3049</v>
      </c>
      <c r="D448" s="61" t="s">
        <v>84</v>
      </c>
      <c r="E448" t="str">
        <f>VLOOKUP(Table10[[#This Row],[Country]],Countries!$A$1:$D$205,2,TRUE)</f>
        <v>CAN</v>
      </c>
      <c r="F448" s="60">
        <v>1955</v>
      </c>
      <c r="G448" s="60" t="s">
        <v>4026</v>
      </c>
      <c r="H448" s="65">
        <v>12800</v>
      </c>
      <c r="I448" s="65">
        <v>10340</v>
      </c>
      <c r="J448" s="60" t="s">
        <v>4161</v>
      </c>
      <c r="K448" s="60">
        <v>41.274132000000002</v>
      </c>
      <c r="L448">
        <v>123.722099</v>
      </c>
    </row>
    <row r="449" spans="1:12" x14ac:dyDescent="0.35">
      <c r="A449" s="60" t="s">
        <v>4644</v>
      </c>
      <c r="B449" s="60" t="s">
        <v>4643</v>
      </c>
      <c r="C449" s="60" t="s">
        <v>3049</v>
      </c>
      <c r="D449" s="61" t="s">
        <v>84</v>
      </c>
      <c r="E449" t="str">
        <f>VLOOKUP(Table10[[#This Row],[Country]],Countries!$A$1:$D$205,2,TRUE)</f>
        <v>CAN</v>
      </c>
      <c r="F449" s="60">
        <v>2002</v>
      </c>
      <c r="G449" s="60" t="s">
        <v>4026</v>
      </c>
      <c r="H449" s="65">
        <v>8000</v>
      </c>
      <c r="I449" s="65">
        <v>7800</v>
      </c>
      <c r="J449" s="60" t="s">
        <v>4049</v>
      </c>
      <c r="K449" s="60">
        <v>41.224814000000002</v>
      </c>
      <c r="L449">
        <v>123.608374</v>
      </c>
    </row>
    <row r="450" spans="1:12" x14ac:dyDescent="0.35">
      <c r="A450" s="60" t="s">
        <v>4645</v>
      </c>
      <c r="B450" s="60" t="s">
        <v>4643</v>
      </c>
      <c r="C450" s="60" t="s">
        <v>3049</v>
      </c>
      <c r="D450" s="61" t="s">
        <v>84</v>
      </c>
      <c r="E450" t="str">
        <f>VLOOKUP(Table10[[#This Row],[Country]],Countries!$A$1:$D$205,2,TRUE)</f>
        <v>CAN</v>
      </c>
      <c r="F450" s="60" t="s">
        <v>4036</v>
      </c>
      <c r="G450" s="60" t="s">
        <v>4021</v>
      </c>
      <c r="H450" s="65">
        <v>2670</v>
      </c>
      <c r="I450" s="65" t="s">
        <v>4022</v>
      </c>
      <c r="J450" s="60" t="s">
        <v>4163</v>
      </c>
      <c r="K450" s="60">
        <v>41.224814000000002</v>
      </c>
      <c r="L450">
        <v>123.608375</v>
      </c>
    </row>
    <row r="451" spans="1:12" x14ac:dyDescent="0.35">
      <c r="A451" s="60" t="s">
        <v>4646</v>
      </c>
      <c r="B451" s="60" t="s">
        <v>4647</v>
      </c>
      <c r="C451" s="60" t="s">
        <v>3049</v>
      </c>
      <c r="D451" s="61" t="s">
        <v>84</v>
      </c>
      <c r="E451" t="str">
        <f>VLOOKUP(Table10[[#This Row],[Country]],Countries!$A$1:$D$205,2,TRUE)</f>
        <v>CAN</v>
      </c>
      <c r="F451" s="60">
        <v>2007</v>
      </c>
      <c r="G451" s="60" t="s">
        <v>4026</v>
      </c>
      <c r="H451" s="65">
        <v>2100</v>
      </c>
      <c r="I451" s="65">
        <v>2000</v>
      </c>
      <c r="J451" s="60" t="s">
        <v>4049</v>
      </c>
      <c r="K451" s="60">
        <v>41.528945</v>
      </c>
      <c r="L451">
        <v>120.369983</v>
      </c>
    </row>
    <row r="452" spans="1:12" x14ac:dyDescent="0.35">
      <c r="A452" s="60" t="s">
        <v>4648</v>
      </c>
      <c r="B452" s="60" t="s">
        <v>4647</v>
      </c>
      <c r="C452" s="60" t="s">
        <v>3049</v>
      </c>
      <c r="D452" s="61" t="s">
        <v>84</v>
      </c>
      <c r="E452" t="str">
        <f>VLOOKUP(Table10[[#This Row],[Country]],Countries!$A$1:$D$205,2,TRUE)</f>
        <v>CAN</v>
      </c>
      <c r="F452" s="60">
        <v>1994</v>
      </c>
      <c r="G452" s="60" t="s">
        <v>4026</v>
      </c>
      <c r="H452" s="65">
        <v>6000</v>
      </c>
      <c r="I452" s="65">
        <v>5300</v>
      </c>
      <c r="J452" s="60" t="s">
        <v>4049</v>
      </c>
      <c r="K452" s="60">
        <v>41.271048</v>
      </c>
      <c r="L452">
        <v>119.41374</v>
      </c>
    </row>
    <row r="453" spans="1:12" x14ac:dyDescent="0.35">
      <c r="A453" s="60" t="s">
        <v>4649</v>
      </c>
      <c r="B453" s="60" t="s">
        <v>4647</v>
      </c>
      <c r="C453" s="60" t="s">
        <v>3049</v>
      </c>
      <c r="D453" s="61" t="s">
        <v>84</v>
      </c>
      <c r="E453" t="str">
        <f>VLOOKUP(Table10[[#This Row],[Country]],Countries!$A$1:$D$205,2,TRUE)</f>
        <v>CAN</v>
      </c>
      <c r="F453" s="60" t="s">
        <v>4036</v>
      </c>
      <c r="G453" s="60" t="s">
        <v>4037</v>
      </c>
      <c r="H453" s="65">
        <v>1350</v>
      </c>
      <c r="I453" s="65" t="s">
        <v>4022</v>
      </c>
      <c r="J453" s="60" t="s">
        <v>4163</v>
      </c>
      <c r="K453" s="60">
        <v>41.271048</v>
      </c>
      <c r="L453">
        <v>119.41374</v>
      </c>
    </row>
    <row r="454" spans="1:12" x14ac:dyDescent="0.35">
      <c r="A454" s="60" t="s">
        <v>4650</v>
      </c>
      <c r="B454" s="60" t="s">
        <v>3050</v>
      </c>
      <c r="C454" s="60" t="s">
        <v>3049</v>
      </c>
      <c r="D454" s="61" t="s">
        <v>84</v>
      </c>
      <c r="E454" t="str">
        <f>VLOOKUP(Table10[[#This Row],[Country]],Countries!$A$1:$D$205,2,TRUE)</f>
        <v>CAN</v>
      </c>
      <c r="F454" s="60">
        <v>1905</v>
      </c>
      <c r="G454" s="60" t="s">
        <v>4026</v>
      </c>
      <c r="H454" s="65">
        <v>1540</v>
      </c>
      <c r="I454" s="65">
        <v>1244</v>
      </c>
      <c r="J454" s="60" t="s">
        <v>4161</v>
      </c>
      <c r="K454" s="60">
        <v>39.193697</v>
      </c>
      <c r="L454">
        <v>122.057788</v>
      </c>
    </row>
    <row r="455" spans="1:12" x14ac:dyDescent="0.35">
      <c r="A455" s="60" t="s">
        <v>4651</v>
      </c>
      <c r="B455" s="60" t="s">
        <v>3052</v>
      </c>
      <c r="C455" s="60" t="s">
        <v>3049</v>
      </c>
      <c r="D455" s="61" t="s">
        <v>84</v>
      </c>
      <c r="E455" t="str">
        <f>VLOOKUP(Table10[[#This Row],[Country]],Countries!$A$1:$D$205,2,TRUE)</f>
        <v>CAN</v>
      </c>
      <c r="F455" s="60">
        <v>1958</v>
      </c>
      <c r="G455" s="60" t="s">
        <v>4026</v>
      </c>
      <c r="H455" s="65">
        <v>3300</v>
      </c>
      <c r="I455" s="65">
        <v>3150</v>
      </c>
      <c r="J455" s="60" t="s">
        <v>4049</v>
      </c>
      <c r="K455" s="60">
        <v>41.841222999999999</v>
      </c>
      <c r="L455">
        <v>123.753895</v>
      </c>
    </row>
    <row r="456" spans="1:12" x14ac:dyDescent="0.35">
      <c r="A456" s="60" t="s">
        <v>4652</v>
      </c>
      <c r="B456" s="60" t="s">
        <v>3052</v>
      </c>
      <c r="C456" s="60" t="s">
        <v>3049</v>
      </c>
      <c r="D456" s="61" t="s">
        <v>84</v>
      </c>
      <c r="E456" t="str">
        <f>VLOOKUP(Table10[[#This Row],[Country]],Countries!$A$1:$D$205,2,TRUE)</f>
        <v>CAN</v>
      </c>
      <c r="F456" s="60">
        <v>2024</v>
      </c>
      <c r="G456" s="60" t="s">
        <v>4037</v>
      </c>
      <c r="H456" s="65" t="s">
        <v>4022</v>
      </c>
      <c r="I456" s="65">
        <v>1130</v>
      </c>
      <c r="J456" s="60" t="s">
        <v>4111</v>
      </c>
      <c r="K456" s="60">
        <v>41.841222999999999</v>
      </c>
      <c r="L456">
        <v>123.753895</v>
      </c>
    </row>
    <row r="457" spans="1:12" x14ac:dyDescent="0.35">
      <c r="A457" s="60" t="s">
        <v>4652</v>
      </c>
      <c r="B457" s="60" t="s">
        <v>3052</v>
      </c>
      <c r="C457" s="60" t="s">
        <v>3049</v>
      </c>
      <c r="D457" s="61" t="s">
        <v>84</v>
      </c>
      <c r="E457" t="str">
        <f>VLOOKUP(Table10[[#This Row],[Country]],Countries!$A$1:$D$205,2,TRUE)</f>
        <v>CAN</v>
      </c>
      <c r="F457" s="60">
        <v>2025</v>
      </c>
      <c r="G457" s="60" t="s">
        <v>4037</v>
      </c>
      <c r="H457" s="65" t="s">
        <v>4022</v>
      </c>
      <c r="I457" s="65">
        <v>1130</v>
      </c>
      <c r="J457" s="60" t="s">
        <v>4111</v>
      </c>
      <c r="K457" s="60">
        <v>41.841222999999999</v>
      </c>
      <c r="L457">
        <v>123.753895</v>
      </c>
    </row>
    <row r="458" spans="1:12" x14ac:dyDescent="0.35">
      <c r="A458" s="60" t="s">
        <v>4653</v>
      </c>
      <c r="B458" s="60" t="s">
        <v>3052</v>
      </c>
      <c r="C458" s="60" t="s">
        <v>3049</v>
      </c>
      <c r="D458" s="61" t="s">
        <v>84</v>
      </c>
      <c r="E458" t="str">
        <f>VLOOKUP(Table10[[#This Row],[Country]],Countries!$A$1:$D$205,2,TRUE)</f>
        <v>CAN</v>
      </c>
      <c r="F458" s="60" t="s">
        <v>4036</v>
      </c>
      <c r="G458" s="60" t="s">
        <v>4037</v>
      </c>
      <c r="H458" s="65">
        <v>1350</v>
      </c>
      <c r="I458" s="65" t="s">
        <v>4022</v>
      </c>
      <c r="J458" s="60" t="s">
        <v>4163</v>
      </c>
      <c r="K458" s="60">
        <v>41.841222999999999</v>
      </c>
      <c r="L458">
        <v>123.753895</v>
      </c>
    </row>
    <row r="459" spans="1:12" x14ac:dyDescent="0.35">
      <c r="A459" s="60" t="s">
        <v>4654</v>
      </c>
      <c r="B459" s="60" t="s">
        <v>3052</v>
      </c>
      <c r="C459" s="60" t="s">
        <v>3049</v>
      </c>
      <c r="D459" s="61" t="s">
        <v>84</v>
      </c>
      <c r="E459" t="str">
        <f>VLOOKUP(Table10[[#This Row],[Country]],Countries!$A$1:$D$205,2,TRUE)</f>
        <v>CAN</v>
      </c>
      <c r="F459" s="60">
        <v>2025</v>
      </c>
      <c r="G459" s="60" t="s">
        <v>4037</v>
      </c>
      <c r="H459" s="65" t="s">
        <v>4022</v>
      </c>
      <c r="I459" s="65">
        <v>325</v>
      </c>
      <c r="J459" s="60" t="s">
        <v>4285</v>
      </c>
      <c r="K459" s="60">
        <v>41.841222999999999</v>
      </c>
      <c r="L459">
        <v>123.753895</v>
      </c>
    </row>
    <row r="460" spans="1:12" x14ac:dyDescent="0.35">
      <c r="A460" s="60" t="s">
        <v>4653</v>
      </c>
      <c r="B460" s="60" t="s">
        <v>3052</v>
      </c>
      <c r="C460" s="60" t="s">
        <v>3049</v>
      </c>
      <c r="D460" s="61" t="s">
        <v>84</v>
      </c>
      <c r="E460" t="str">
        <f>VLOOKUP(Table10[[#This Row],[Country]],Countries!$A$1:$D$205,2,TRUE)</f>
        <v>CAN</v>
      </c>
      <c r="F460" s="60">
        <v>2022</v>
      </c>
      <c r="G460" s="60" t="s">
        <v>4026</v>
      </c>
      <c r="H460" s="65">
        <v>1350</v>
      </c>
      <c r="I460" s="65" t="s">
        <v>4022</v>
      </c>
      <c r="J460" s="60" t="s">
        <v>4163</v>
      </c>
      <c r="K460" s="60">
        <v>41.841222999999999</v>
      </c>
      <c r="L460">
        <v>123.753895</v>
      </c>
    </row>
    <row r="461" spans="1:12" x14ac:dyDescent="0.35">
      <c r="A461" s="60" t="s">
        <v>4655</v>
      </c>
      <c r="B461" s="60" t="s">
        <v>3052</v>
      </c>
      <c r="C461" s="60" t="s">
        <v>3049</v>
      </c>
      <c r="D461" s="61" t="s">
        <v>84</v>
      </c>
      <c r="E461" t="str">
        <f>VLOOKUP(Table10[[#This Row],[Country]],Countries!$A$1:$D$205,2,TRUE)</f>
        <v>CAN</v>
      </c>
      <c r="F461" s="60">
        <v>1937</v>
      </c>
      <c r="G461" s="60" t="s">
        <v>4026</v>
      </c>
      <c r="H461" s="65">
        <v>1000</v>
      </c>
      <c r="I461" s="65" t="s">
        <v>4036</v>
      </c>
      <c r="J461" s="60" t="s">
        <v>4023</v>
      </c>
      <c r="K461" s="60">
        <v>41.838774000000001</v>
      </c>
      <c r="L461">
        <v>123.806586</v>
      </c>
    </row>
    <row r="462" spans="1:12" x14ac:dyDescent="0.35">
      <c r="A462" s="60" t="s">
        <v>4656</v>
      </c>
      <c r="B462" s="60" t="s">
        <v>3052</v>
      </c>
      <c r="C462" s="60" t="s">
        <v>3049</v>
      </c>
      <c r="D462" s="61" t="s">
        <v>84</v>
      </c>
      <c r="E462" t="str">
        <f>VLOOKUP(Table10[[#This Row],[Country]],Countries!$A$1:$D$205,2,TRUE)</f>
        <v>CAN</v>
      </c>
      <c r="F462" s="60">
        <v>2003</v>
      </c>
      <c r="G462" s="60" t="s">
        <v>4026</v>
      </c>
      <c r="H462" s="65" t="s">
        <v>4022</v>
      </c>
      <c r="I462" s="65">
        <v>800</v>
      </c>
      <c r="J462" s="60" t="s">
        <v>4111</v>
      </c>
      <c r="K462" s="60">
        <v>41.670997999999997</v>
      </c>
      <c r="L462">
        <v>123.85142999999999</v>
      </c>
    </row>
    <row r="463" spans="1:12" x14ac:dyDescent="0.35">
      <c r="A463" s="60" t="s">
        <v>4657</v>
      </c>
      <c r="B463" s="60" t="s">
        <v>4658</v>
      </c>
      <c r="C463" s="60" t="s">
        <v>3049</v>
      </c>
      <c r="D463" s="61" t="s">
        <v>84</v>
      </c>
      <c r="E463" t="str">
        <f>VLOOKUP(Table10[[#This Row],[Country]],Countries!$A$1:$D$205,2,TRUE)</f>
        <v>CAN</v>
      </c>
      <c r="F463" s="60">
        <v>2021</v>
      </c>
      <c r="G463" s="60" t="s">
        <v>4026</v>
      </c>
      <c r="H463" s="65">
        <v>2300</v>
      </c>
      <c r="I463" s="65">
        <v>2260</v>
      </c>
      <c r="J463" s="60" t="s">
        <v>4049</v>
      </c>
      <c r="K463" s="60">
        <v>41.191380000000002</v>
      </c>
      <c r="L463">
        <v>122.87731100000001</v>
      </c>
    </row>
    <row r="464" spans="1:12" x14ac:dyDescent="0.35">
      <c r="A464" s="60" t="s">
        <v>4659</v>
      </c>
      <c r="B464" s="60" t="s">
        <v>4658</v>
      </c>
      <c r="C464" s="60" t="s">
        <v>3049</v>
      </c>
      <c r="D464" s="60" t="s">
        <v>84</v>
      </c>
      <c r="E464" t="str">
        <f>VLOOKUP(Table10[[#This Row],[Country]],Countries!$A$1:$D$205,2,TRUE)</f>
        <v>CAN</v>
      </c>
      <c r="F464" s="60">
        <v>2008</v>
      </c>
      <c r="G464" s="60" t="s">
        <v>4026</v>
      </c>
      <c r="H464" s="65">
        <v>500</v>
      </c>
      <c r="I464" s="65" t="s">
        <v>4022</v>
      </c>
      <c r="J464" s="60" t="s">
        <v>4023</v>
      </c>
      <c r="K464" s="60">
        <v>41.225003000000001</v>
      </c>
      <c r="L464">
        <v>122.970488</v>
      </c>
    </row>
    <row r="465" spans="1:12" x14ac:dyDescent="0.35">
      <c r="A465" s="60" t="s">
        <v>4660</v>
      </c>
      <c r="B465" s="60" t="s">
        <v>4661</v>
      </c>
      <c r="C465" s="60" t="s">
        <v>3049</v>
      </c>
      <c r="D465" s="61" t="s">
        <v>84</v>
      </c>
      <c r="E465" t="str">
        <f>VLOOKUP(Table10[[#This Row],[Country]],Countries!$A$1:$D$205,2,TRUE)</f>
        <v>CAN</v>
      </c>
      <c r="F465" s="60">
        <v>2006</v>
      </c>
      <c r="G465" s="60" t="s">
        <v>4026</v>
      </c>
      <c r="H465" s="65">
        <v>6500</v>
      </c>
      <c r="I465" s="65">
        <v>5900</v>
      </c>
      <c r="J465" s="60" t="s">
        <v>4049</v>
      </c>
      <c r="K465" s="60">
        <v>40.308494000000003</v>
      </c>
      <c r="L465">
        <v>122.13079</v>
      </c>
    </row>
    <row r="466" spans="1:12" x14ac:dyDescent="0.35">
      <c r="A466" s="60" t="s">
        <v>4662</v>
      </c>
      <c r="B466" s="60" t="s">
        <v>4661</v>
      </c>
      <c r="C466" s="60" t="s">
        <v>3049</v>
      </c>
      <c r="D466" s="61" t="s">
        <v>84</v>
      </c>
      <c r="E466" t="str">
        <f>VLOOKUP(Table10[[#This Row],[Country]],Countries!$A$1:$D$205,2,TRUE)</f>
        <v>CAN</v>
      </c>
      <c r="F466" s="60">
        <v>1972</v>
      </c>
      <c r="G466" s="60" t="s">
        <v>4026</v>
      </c>
      <c r="H466" s="65">
        <v>8000</v>
      </c>
      <c r="I466" s="65">
        <v>6200</v>
      </c>
      <c r="J466" s="60" t="s">
        <v>4049</v>
      </c>
      <c r="K466" s="60">
        <v>40.671135999999997</v>
      </c>
      <c r="L466">
        <v>122.39544100000001</v>
      </c>
    </row>
    <row r="467" spans="1:12" x14ac:dyDescent="0.35">
      <c r="A467" s="60" t="s">
        <v>4663</v>
      </c>
      <c r="B467" s="60" t="s">
        <v>4661</v>
      </c>
      <c r="C467" s="60" t="s">
        <v>3049</v>
      </c>
      <c r="D467" s="61" t="s">
        <v>84</v>
      </c>
      <c r="E467" t="str">
        <f>VLOOKUP(Table10[[#This Row],[Country]],Countries!$A$1:$D$205,2,TRUE)</f>
        <v>CAN</v>
      </c>
      <c r="F467" s="60">
        <v>2010</v>
      </c>
      <c r="G467" s="60" t="s">
        <v>4026</v>
      </c>
      <c r="H467" s="65">
        <v>2800</v>
      </c>
      <c r="I467" s="65">
        <v>2400</v>
      </c>
      <c r="J467" s="60" t="s">
        <v>4049</v>
      </c>
      <c r="K467" s="60">
        <v>40.664650999999999</v>
      </c>
      <c r="L467">
        <v>122.415057</v>
      </c>
    </row>
    <row r="468" spans="1:12" x14ac:dyDescent="0.35">
      <c r="A468" s="60" t="s">
        <v>4664</v>
      </c>
      <c r="B468" s="60" t="s">
        <v>4665</v>
      </c>
      <c r="C468" s="60" t="s">
        <v>4666</v>
      </c>
      <c r="D468" s="61" t="s">
        <v>84</v>
      </c>
      <c r="E468" t="str">
        <f>VLOOKUP(Table10[[#This Row],[Country]],Countries!$A$1:$D$205,2,TRUE)</f>
        <v>CAN</v>
      </c>
      <c r="F468" s="60" t="s">
        <v>4036</v>
      </c>
      <c r="G468" s="60" t="s">
        <v>4037</v>
      </c>
      <c r="H468" s="65">
        <v>1500</v>
      </c>
      <c r="I468" s="65">
        <v>1370</v>
      </c>
      <c r="J468" s="60" t="s">
        <v>4049</v>
      </c>
      <c r="K468" s="60">
        <v>39.309570999999998</v>
      </c>
      <c r="L468">
        <v>106.79093</v>
      </c>
    </row>
    <row r="469" spans="1:12" x14ac:dyDescent="0.35">
      <c r="A469" s="60" t="s">
        <v>4667</v>
      </c>
      <c r="B469" s="60" t="s">
        <v>4665</v>
      </c>
      <c r="C469" s="60" t="s">
        <v>4666</v>
      </c>
      <c r="D469" s="60" t="s">
        <v>84</v>
      </c>
      <c r="E469" t="str">
        <f>VLOOKUP(Table10[[#This Row],[Country]],Countries!$A$1:$D$205,2,TRUE)</f>
        <v>CAN</v>
      </c>
      <c r="F469" s="60">
        <v>2012</v>
      </c>
      <c r="G469" s="60" t="s">
        <v>4026</v>
      </c>
      <c r="H469" s="65">
        <v>3500</v>
      </c>
      <c r="I469" s="65">
        <v>3500</v>
      </c>
      <c r="J469" s="60" t="s">
        <v>4049</v>
      </c>
      <c r="K469" s="60">
        <v>39.215451999999999</v>
      </c>
      <c r="L469">
        <v>106.688294</v>
      </c>
    </row>
    <row r="470" spans="1:12" x14ac:dyDescent="0.35">
      <c r="A470" s="60" t="s">
        <v>4668</v>
      </c>
      <c r="B470" s="60" t="s">
        <v>4669</v>
      </c>
      <c r="C470" s="60" t="s">
        <v>4666</v>
      </c>
      <c r="D470" s="61" t="s">
        <v>84</v>
      </c>
      <c r="E470" t="str">
        <f>VLOOKUP(Table10[[#This Row],[Country]],Countries!$A$1:$D$205,2,TRUE)</f>
        <v>CAN</v>
      </c>
      <c r="F470" s="60">
        <v>1958</v>
      </c>
      <c r="G470" s="60" t="s">
        <v>4026</v>
      </c>
      <c r="H470" s="65">
        <v>1800</v>
      </c>
      <c r="I470" s="65">
        <v>2341.2199999999998</v>
      </c>
      <c r="J470" s="60" t="s">
        <v>4049</v>
      </c>
      <c r="K470" s="60">
        <v>37.503053999999999</v>
      </c>
      <c r="L470">
        <v>105.07834800000001</v>
      </c>
    </row>
    <row r="471" spans="1:12" x14ac:dyDescent="0.35">
      <c r="A471" s="60" t="s">
        <v>4670</v>
      </c>
      <c r="B471" s="60" t="s">
        <v>4671</v>
      </c>
      <c r="C471" s="60" t="s">
        <v>4672</v>
      </c>
      <c r="D471" s="61" t="s">
        <v>84</v>
      </c>
      <c r="E471" t="str">
        <f>VLOOKUP(Table10[[#This Row],[Country]],Countries!$A$1:$D$205,2,TRUE)</f>
        <v>CAN</v>
      </c>
      <c r="F471" s="60">
        <v>1964</v>
      </c>
      <c r="G471" s="60" t="s">
        <v>4026</v>
      </c>
      <c r="H471" s="65">
        <v>2000</v>
      </c>
      <c r="I471" s="65">
        <v>1000</v>
      </c>
      <c r="J471" s="60" t="s">
        <v>4161</v>
      </c>
      <c r="K471" s="60">
        <v>36.668559999999999</v>
      </c>
      <c r="L471">
        <v>101.671414</v>
      </c>
    </row>
    <row r="472" spans="1:12" x14ac:dyDescent="0.35">
      <c r="A472" s="60" t="s">
        <v>4673</v>
      </c>
      <c r="B472" s="60" t="s">
        <v>4674</v>
      </c>
      <c r="C472" s="60" t="s">
        <v>4675</v>
      </c>
      <c r="D472" s="61" t="s">
        <v>84</v>
      </c>
      <c r="E472" t="str">
        <f>VLOOKUP(Table10[[#This Row],[Country]],Countries!$A$1:$D$205,2,TRUE)</f>
        <v>CAN</v>
      </c>
      <c r="F472" s="60">
        <v>2007</v>
      </c>
      <c r="G472" s="60" t="s">
        <v>4026</v>
      </c>
      <c r="H472" s="65">
        <v>7100</v>
      </c>
      <c r="I472" s="65">
        <v>7150</v>
      </c>
      <c r="J472" s="60" t="s">
        <v>4049</v>
      </c>
      <c r="K472" s="60">
        <v>35.618465999999998</v>
      </c>
      <c r="L472">
        <v>110.575788</v>
      </c>
    </row>
    <row r="473" spans="1:12" x14ac:dyDescent="0.35">
      <c r="A473" s="60" t="s">
        <v>4676</v>
      </c>
      <c r="B473" s="60" t="s">
        <v>4674</v>
      </c>
      <c r="C473" s="60" t="s">
        <v>4675</v>
      </c>
      <c r="D473" s="61" t="s">
        <v>84</v>
      </c>
      <c r="E473" t="str">
        <f>VLOOKUP(Table10[[#This Row],[Country]],Countries!$A$1:$D$205,2,TRUE)</f>
        <v>CAN</v>
      </c>
      <c r="F473" s="60" t="s">
        <v>4036</v>
      </c>
      <c r="G473" s="60" t="s">
        <v>4037</v>
      </c>
      <c r="H473" s="65">
        <v>2300</v>
      </c>
      <c r="I473" s="65" t="s">
        <v>4022</v>
      </c>
      <c r="J473" s="60" t="s">
        <v>4163</v>
      </c>
      <c r="K473" s="60">
        <v>35.618465999999998</v>
      </c>
      <c r="L473">
        <v>110.575788</v>
      </c>
    </row>
    <row r="474" spans="1:12" x14ac:dyDescent="0.35">
      <c r="A474" s="60" t="s">
        <v>4677</v>
      </c>
      <c r="B474" s="60" t="s">
        <v>4674</v>
      </c>
      <c r="C474" s="60" t="s">
        <v>4675</v>
      </c>
      <c r="D474" s="61" t="s">
        <v>84</v>
      </c>
      <c r="E474" t="str">
        <f>VLOOKUP(Table10[[#This Row],[Country]],Countries!$A$1:$D$205,2,TRUE)</f>
        <v>CAN</v>
      </c>
      <c r="F474" s="60">
        <v>2024</v>
      </c>
      <c r="G474" s="60" t="s">
        <v>4037</v>
      </c>
      <c r="H474" s="65">
        <v>1050</v>
      </c>
      <c r="I474" s="65" t="s">
        <v>4022</v>
      </c>
      <c r="J474" s="60" t="s">
        <v>4023</v>
      </c>
      <c r="K474" s="60">
        <v>35.618465999999998</v>
      </c>
      <c r="L474">
        <v>110.575788</v>
      </c>
    </row>
    <row r="475" spans="1:12" x14ac:dyDescent="0.35">
      <c r="A475" s="60" t="s">
        <v>4678</v>
      </c>
      <c r="B475" s="60" t="s">
        <v>4679</v>
      </c>
      <c r="C475" s="60" t="s">
        <v>4675</v>
      </c>
      <c r="D475" s="61" t="s">
        <v>84</v>
      </c>
      <c r="E475" t="str">
        <f>VLOOKUP(Table10[[#This Row],[Country]],Countries!$A$1:$D$205,2,TRUE)</f>
        <v>CAN</v>
      </c>
      <c r="F475" s="60">
        <v>2009</v>
      </c>
      <c r="G475" s="60" t="s">
        <v>4026</v>
      </c>
      <c r="H475" s="65">
        <v>3700</v>
      </c>
      <c r="I475" s="65">
        <v>3000</v>
      </c>
      <c r="J475" s="60" t="s">
        <v>4049</v>
      </c>
      <c r="K475" s="60">
        <v>33.133192000000001</v>
      </c>
      <c r="L475">
        <v>106.671859</v>
      </c>
    </row>
    <row r="476" spans="1:12" x14ac:dyDescent="0.35">
      <c r="A476" s="60" t="s">
        <v>4680</v>
      </c>
      <c r="B476" s="60" t="s">
        <v>4679</v>
      </c>
      <c r="C476" s="60" t="s">
        <v>4675</v>
      </c>
      <c r="D476" s="61" t="s">
        <v>84</v>
      </c>
      <c r="E476" t="str">
        <f>VLOOKUP(Table10[[#This Row],[Country]],Countries!$A$1:$D$205,2,TRUE)</f>
        <v>CAN</v>
      </c>
      <c r="F476" s="60">
        <v>2003</v>
      </c>
      <c r="G476" s="60" t="s">
        <v>4026</v>
      </c>
      <c r="H476" s="65">
        <v>1500</v>
      </c>
      <c r="I476" s="65">
        <v>910</v>
      </c>
      <c r="J476" s="60" t="s">
        <v>4049</v>
      </c>
      <c r="K476" s="60">
        <v>33.323678000000001</v>
      </c>
      <c r="L476">
        <v>106.16720599999999</v>
      </c>
    </row>
    <row r="477" spans="1:12" x14ac:dyDescent="0.35">
      <c r="A477" s="60" t="s">
        <v>4681</v>
      </c>
      <c r="B477" s="60" t="s">
        <v>4679</v>
      </c>
      <c r="C477" s="60" t="s">
        <v>4675</v>
      </c>
      <c r="D477" s="61" t="s">
        <v>84</v>
      </c>
      <c r="E477" t="str">
        <f>VLOOKUP(Table10[[#This Row],[Country]],Countries!$A$1:$D$205,2,TRUE)</f>
        <v>CAN</v>
      </c>
      <c r="F477" s="60">
        <v>2024</v>
      </c>
      <c r="G477" s="60" t="s">
        <v>4037</v>
      </c>
      <c r="H477" s="65">
        <v>1150</v>
      </c>
      <c r="I477" s="65" t="s">
        <v>4022</v>
      </c>
      <c r="J477" s="60" t="s">
        <v>4163</v>
      </c>
      <c r="K477" s="60">
        <v>33.323678000000001</v>
      </c>
      <c r="L477">
        <v>106.16720599999999</v>
      </c>
    </row>
    <row r="478" spans="1:12" x14ac:dyDescent="0.35">
      <c r="A478" s="60" t="s">
        <v>4682</v>
      </c>
      <c r="B478" s="60" t="s">
        <v>4683</v>
      </c>
      <c r="C478" s="60" t="s">
        <v>4675</v>
      </c>
      <c r="D478" s="60" t="s">
        <v>84</v>
      </c>
      <c r="E478" t="str">
        <f>VLOOKUP(Table10[[#This Row],[Country]],Countries!$A$1:$D$205,2,TRUE)</f>
        <v>CAN</v>
      </c>
      <c r="F478" s="60">
        <v>2000</v>
      </c>
      <c r="G478" s="60" t="s">
        <v>4026</v>
      </c>
      <c r="H478" s="65">
        <v>700</v>
      </c>
      <c r="I478" s="65">
        <v>550</v>
      </c>
      <c r="J478" s="60" t="s">
        <v>4027</v>
      </c>
      <c r="K478" s="60">
        <v>33.132446000000002</v>
      </c>
      <c r="L478">
        <v>106.657646</v>
      </c>
    </row>
    <row r="479" spans="1:12" x14ac:dyDescent="0.35">
      <c r="A479" s="60" t="s">
        <v>4684</v>
      </c>
      <c r="B479" s="60" t="s">
        <v>4685</v>
      </c>
      <c r="C479" s="60" t="s">
        <v>4675</v>
      </c>
      <c r="D479" s="61" t="s">
        <v>84</v>
      </c>
      <c r="E479" t="str">
        <f>VLOOKUP(Table10[[#This Row],[Country]],Countries!$A$1:$D$205,2,TRUE)</f>
        <v>CAN</v>
      </c>
      <c r="F479" s="60">
        <v>2001</v>
      </c>
      <c r="G479" s="60" t="s">
        <v>4026</v>
      </c>
      <c r="H479" s="65">
        <v>1200</v>
      </c>
      <c r="I479" s="65" t="s">
        <v>4036</v>
      </c>
      <c r="J479" s="60" t="s">
        <v>4023</v>
      </c>
      <c r="K479" s="60">
        <v>34.523277999999998</v>
      </c>
      <c r="L479">
        <v>109.986042</v>
      </c>
    </row>
    <row r="480" spans="1:12" x14ac:dyDescent="0.35">
      <c r="A480" s="60" t="s">
        <v>4686</v>
      </c>
      <c r="B480" s="60" t="s">
        <v>4687</v>
      </c>
      <c r="C480" s="60" t="s">
        <v>3058</v>
      </c>
      <c r="D480" s="61" t="s">
        <v>84</v>
      </c>
      <c r="E480" t="str">
        <f>VLOOKUP(Table10[[#This Row],[Country]],Countries!$A$1:$D$205,2,TRUE)</f>
        <v>CAN</v>
      </c>
      <c r="F480" s="60">
        <v>1983</v>
      </c>
      <c r="G480" s="60" t="s">
        <v>4107</v>
      </c>
      <c r="H480" s="65">
        <v>3960</v>
      </c>
      <c r="I480" s="65">
        <v>3500</v>
      </c>
      <c r="J480" s="60" t="s">
        <v>4161</v>
      </c>
      <c r="K480" s="60">
        <v>36.863145000000003</v>
      </c>
      <c r="L480">
        <v>117.616918</v>
      </c>
    </row>
    <row r="481" spans="1:12" x14ac:dyDescent="0.35">
      <c r="A481" s="60" t="s">
        <v>4688</v>
      </c>
      <c r="B481" s="60" t="s">
        <v>4687</v>
      </c>
      <c r="C481" s="60" t="s">
        <v>3058</v>
      </c>
      <c r="D481" s="61" t="s">
        <v>84</v>
      </c>
      <c r="E481" t="str">
        <f>VLOOKUP(Table10[[#This Row],[Country]],Countries!$A$1:$D$205,2,TRUE)</f>
        <v>CAN</v>
      </c>
      <c r="F481" s="60">
        <v>2007</v>
      </c>
      <c r="G481" s="60" t="s">
        <v>4026</v>
      </c>
      <c r="H481" s="65">
        <v>2800</v>
      </c>
      <c r="I481" s="65">
        <v>2286</v>
      </c>
      <c r="J481" s="60" t="s">
        <v>4161</v>
      </c>
      <c r="K481" s="60">
        <v>36.928207999999998</v>
      </c>
      <c r="L481">
        <v>117.694654</v>
      </c>
    </row>
    <row r="482" spans="1:12" x14ac:dyDescent="0.35">
      <c r="A482" s="60" t="s">
        <v>4689</v>
      </c>
      <c r="B482" s="60" t="s">
        <v>4687</v>
      </c>
      <c r="C482" s="60" t="s">
        <v>3058</v>
      </c>
      <c r="D482" s="61" t="s">
        <v>84</v>
      </c>
      <c r="E482" t="str">
        <f>VLOOKUP(Table10[[#This Row],[Country]],Countries!$A$1:$D$205,2,TRUE)</f>
        <v>CAN</v>
      </c>
      <c r="F482" s="60">
        <v>2002</v>
      </c>
      <c r="G482" s="60" t="s">
        <v>4026</v>
      </c>
      <c r="H482" s="65">
        <v>3000</v>
      </c>
      <c r="I482" s="65">
        <v>1122.06</v>
      </c>
      <c r="J482" s="60" t="s">
        <v>4049</v>
      </c>
      <c r="K482" s="60">
        <v>36.894784000000001</v>
      </c>
      <c r="L482">
        <v>117.888366</v>
      </c>
    </row>
    <row r="483" spans="1:12" x14ac:dyDescent="0.35">
      <c r="A483" s="60" t="s">
        <v>4690</v>
      </c>
      <c r="B483" s="60" t="s">
        <v>4691</v>
      </c>
      <c r="C483" s="60" t="s">
        <v>3058</v>
      </c>
      <c r="D483" s="61" t="s">
        <v>84</v>
      </c>
      <c r="E483" t="str">
        <f>VLOOKUP(Table10[[#This Row],[Country]],Countries!$A$1:$D$205,2,TRUE)</f>
        <v>CAN</v>
      </c>
      <c r="F483" s="60">
        <v>2004</v>
      </c>
      <c r="G483" s="60" t="s">
        <v>4026</v>
      </c>
      <c r="H483" s="65">
        <v>2700</v>
      </c>
      <c r="I483" s="65">
        <v>4360</v>
      </c>
      <c r="J483" s="60" t="s">
        <v>4049</v>
      </c>
      <c r="K483" s="60">
        <v>36.813544999999998</v>
      </c>
      <c r="L483">
        <v>116.75769699999999</v>
      </c>
    </row>
    <row r="484" spans="1:12" x14ac:dyDescent="0.35">
      <c r="A484" s="60" t="s">
        <v>4692</v>
      </c>
      <c r="B484" s="60" t="s">
        <v>3059</v>
      </c>
      <c r="C484" s="60" t="s">
        <v>3058</v>
      </c>
      <c r="D484" s="61" t="s">
        <v>84</v>
      </c>
      <c r="E484" t="str">
        <f>VLOOKUP(Table10[[#This Row],[Country]],Countries!$A$1:$D$205,2,TRUE)</f>
        <v>CAN</v>
      </c>
      <c r="F484" s="60">
        <v>1969</v>
      </c>
      <c r="G484" s="60" t="s">
        <v>4026</v>
      </c>
      <c r="H484" s="65">
        <v>5000</v>
      </c>
      <c r="I484" s="65">
        <v>2742</v>
      </c>
      <c r="J484" s="60" t="s">
        <v>4161</v>
      </c>
      <c r="K484" s="60">
        <v>36.221409999999999</v>
      </c>
      <c r="L484">
        <v>117.627728</v>
      </c>
    </row>
    <row r="485" spans="1:12" x14ac:dyDescent="0.35">
      <c r="A485" s="60" t="s">
        <v>4693</v>
      </c>
      <c r="B485" s="60" t="s">
        <v>3059</v>
      </c>
      <c r="C485" s="60" t="s">
        <v>3058</v>
      </c>
      <c r="D485" s="61" t="s">
        <v>84</v>
      </c>
      <c r="E485" t="str">
        <f>VLOOKUP(Table10[[#This Row],[Country]],Countries!$A$1:$D$205,2,TRUE)</f>
        <v>CAN</v>
      </c>
      <c r="F485" s="60" t="s">
        <v>4036</v>
      </c>
      <c r="G485" s="60" t="s">
        <v>4037</v>
      </c>
      <c r="H485" s="65">
        <v>2640</v>
      </c>
      <c r="I485" s="65" t="s">
        <v>4022</v>
      </c>
      <c r="J485" s="60" t="s">
        <v>4163</v>
      </c>
      <c r="K485" s="60">
        <v>36.221409999999999</v>
      </c>
      <c r="L485">
        <v>117.627728</v>
      </c>
    </row>
    <row r="486" spans="1:12" x14ac:dyDescent="0.35">
      <c r="A486" s="60" t="s">
        <v>4694</v>
      </c>
      <c r="B486" s="60" t="s">
        <v>3059</v>
      </c>
      <c r="C486" s="60" t="s">
        <v>3058</v>
      </c>
      <c r="D486" s="61" t="s">
        <v>84</v>
      </c>
      <c r="E486" t="str">
        <f>VLOOKUP(Table10[[#This Row],[Country]],Countries!$A$1:$D$205,2,TRUE)</f>
        <v>CAN</v>
      </c>
      <c r="F486" s="60">
        <v>2003</v>
      </c>
      <c r="G486" s="60" t="s">
        <v>4026</v>
      </c>
      <c r="H486" s="65">
        <v>4000</v>
      </c>
      <c r="I486" s="65">
        <v>5000</v>
      </c>
      <c r="J486" s="60" t="s">
        <v>4049</v>
      </c>
      <c r="K486" s="60">
        <v>36.308447000000001</v>
      </c>
      <c r="L486">
        <v>117.540425</v>
      </c>
    </row>
    <row r="487" spans="1:12" x14ac:dyDescent="0.35">
      <c r="A487" s="60" t="s">
        <v>4695</v>
      </c>
      <c r="B487" s="60" t="s">
        <v>3059</v>
      </c>
      <c r="C487" s="60" t="s">
        <v>3058</v>
      </c>
      <c r="D487" s="61" t="s">
        <v>84</v>
      </c>
      <c r="E487" t="str">
        <f>VLOOKUP(Table10[[#This Row],[Country]],Countries!$A$1:$D$205,2,TRUE)</f>
        <v>CAN</v>
      </c>
      <c r="F487" s="60" t="s">
        <v>4036</v>
      </c>
      <c r="G487" s="60" t="s">
        <v>4037</v>
      </c>
      <c r="H487" s="65" t="s">
        <v>4022</v>
      </c>
      <c r="I487" s="65">
        <v>2130</v>
      </c>
      <c r="J487" s="60" t="s">
        <v>4111</v>
      </c>
      <c r="K487" s="60">
        <v>36.308447000000001</v>
      </c>
      <c r="L487">
        <v>117.540425</v>
      </c>
    </row>
    <row r="488" spans="1:12" x14ac:dyDescent="0.35">
      <c r="A488" s="60" t="s">
        <v>4696</v>
      </c>
      <c r="B488" s="60" t="s">
        <v>3059</v>
      </c>
      <c r="C488" s="60" t="s">
        <v>3058</v>
      </c>
      <c r="D488" s="61" t="s">
        <v>84</v>
      </c>
      <c r="E488" t="str">
        <f>VLOOKUP(Table10[[#This Row],[Country]],Countries!$A$1:$D$205,2,TRUE)</f>
        <v>CAN</v>
      </c>
      <c r="F488" s="60">
        <v>2003</v>
      </c>
      <c r="G488" s="60" t="s">
        <v>4048</v>
      </c>
      <c r="H488" s="65">
        <v>1900</v>
      </c>
      <c r="I488" s="65">
        <v>1200</v>
      </c>
      <c r="J488" s="60" t="s">
        <v>4049</v>
      </c>
      <c r="K488" s="60">
        <v>36.728408999999999</v>
      </c>
      <c r="L488">
        <v>117.426582</v>
      </c>
    </row>
    <row r="489" spans="1:12" x14ac:dyDescent="0.35">
      <c r="A489" s="60" t="s">
        <v>4697</v>
      </c>
      <c r="B489" s="60" t="s">
        <v>3059</v>
      </c>
      <c r="C489" s="60" t="s">
        <v>3058</v>
      </c>
      <c r="D489" s="61" t="s">
        <v>84</v>
      </c>
      <c r="E489" t="str">
        <f>VLOOKUP(Table10[[#This Row],[Country]],Countries!$A$1:$D$205,2,TRUE)</f>
        <v>CAN</v>
      </c>
      <c r="F489" s="60">
        <v>2021</v>
      </c>
      <c r="G489" s="60" t="s">
        <v>4026</v>
      </c>
      <c r="H489" s="65">
        <v>6940</v>
      </c>
      <c r="I489" s="65">
        <v>3040</v>
      </c>
      <c r="J489" s="60" t="s">
        <v>4161</v>
      </c>
      <c r="K489" s="60">
        <v>36.093496000000002</v>
      </c>
      <c r="L489">
        <v>117.83756700000001</v>
      </c>
    </row>
    <row r="490" spans="1:12" x14ac:dyDescent="0.35">
      <c r="A490" s="60" t="s">
        <v>4698</v>
      </c>
      <c r="B490" s="60" t="s">
        <v>3059</v>
      </c>
      <c r="C490" s="60" t="s">
        <v>3058</v>
      </c>
      <c r="D490" s="61" t="s">
        <v>84</v>
      </c>
      <c r="E490" t="str">
        <f>VLOOKUP(Table10[[#This Row],[Country]],Countries!$A$1:$D$205,2,TRUE)</f>
        <v>CAN</v>
      </c>
      <c r="F490" s="60">
        <v>2022</v>
      </c>
      <c r="G490" s="60" t="s">
        <v>4037</v>
      </c>
      <c r="H490" s="65">
        <v>6150</v>
      </c>
      <c r="I490" s="65" t="s">
        <v>4022</v>
      </c>
      <c r="J490" s="60" t="s">
        <v>4163</v>
      </c>
      <c r="K490" s="60">
        <v>36.093496000000002</v>
      </c>
      <c r="L490">
        <v>117.83756700000001</v>
      </c>
    </row>
    <row r="491" spans="1:12" x14ac:dyDescent="0.35">
      <c r="A491" s="60" t="s">
        <v>4699</v>
      </c>
      <c r="B491" s="60" t="s">
        <v>3059</v>
      </c>
      <c r="C491" s="60" t="s">
        <v>3058</v>
      </c>
      <c r="D491" s="61" t="s">
        <v>84</v>
      </c>
      <c r="E491" t="str">
        <f>VLOOKUP(Table10[[#This Row],[Country]],Countries!$A$1:$D$205,2,TRUE)</f>
        <v>CAN</v>
      </c>
      <c r="F491" s="60" t="s">
        <v>4036</v>
      </c>
      <c r="G491" s="60" t="s">
        <v>4021</v>
      </c>
      <c r="H491" s="65" t="s">
        <v>4022</v>
      </c>
      <c r="I491" s="65">
        <v>3040</v>
      </c>
      <c r="J491" s="60" t="s">
        <v>4111</v>
      </c>
      <c r="K491" s="60">
        <v>36.093496000000002</v>
      </c>
      <c r="L491">
        <v>117.83756700000001</v>
      </c>
    </row>
    <row r="492" spans="1:12" x14ac:dyDescent="0.35">
      <c r="A492" s="60" t="s">
        <v>4700</v>
      </c>
      <c r="B492" s="60" t="s">
        <v>4701</v>
      </c>
      <c r="C492" s="60" t="s">
        <v>3058</v>
      </c>
      <c r="D492" s="61" t="s">
        <v>84</v>
      </c>
      <c r="E492" t="str">
        <f>VLOOKUP(Table10[[#This Row],[Country]],Countries!$A$1:$D$205,2,TRUE)</f>
        <v>CAN</v>
      </c>
      <c r="F492" s="60">
        <v>2003</v>
      </c>
      <c r="G492" s="60" t="s">
        <v>4026</v>
      </c>
      <c r="H492" s="65">
        <v>5400</v>
      </c>
      <c r="I492" s="65">
        <v>5860</v>
      </c>
      <c r="J492" s="60" t="s">
        <v>4049</v>
      </c>
      <c r="K492" s="60">
        <v>36.106143000000003</v>
      </c>
      <c r="L492">
        <v>117.820108</v>
      </c>
    </row>
    <row r="493" spans="1:12" x14ac:dyDescent="0.35">
      <c r="A493" s="60" t="s">
        <v>4702</v>
      </c>
      <c r="B493" s="60" t="s">
        <v>4703</v>
      </c>
      <c r="C493" s="60" t="s">
        <v>3058</v>
      </c>
      <c r="D493" s="61" t="s">
        <v>84</v>
      </c>
      <c r="E493" t="str">
        <f>VLOOKUP(Table10[[#This Row],[Country]],Countries!$A$1:$D$205,2,TRUE)</f>
        <v>CAN</v>
      </c>
      <c r="F493" s="60">
        <v>2003</v>
      </c>
      <c r="G493" s="60" t="s">
        <v>4048</v>
      </c>
      <c r="H493" s="65">
        <v>2800</v>
      </c>
      <c r="I493" s="65">
        <v>2320</v>
      </c>
      <c r="J493" s="60" t="s">
        <v>4049</v>
      </c>
      <c r="K493" s="60">
        <v>34.951117000000004</v>
      </c>
      <c r="L493">
        <v>118.30538900000001</v>
      </c>
    </row>
    <row r="494" spans="1:12" x14ac:dyDescent="0.35">
      <c r="A494" s="60" t="s">
        <v>4704</v>
      </c>
      <c r="B494" s="60" t="s">
        <v>4703</v>
      </c>
      <c r="C494" s="60" t="s">
        <v>3058</v>
      </c>
      <c r="D494" s="61" t="s">
        <v>84</v>
      </c>
      <c r="E494" t="str">
        <f>VLOOKUP(Table10[[#This Row],[Country]],Countries!$A$1:$D$205,2,TRUE)</f>
        <v>CAN</v>
      </c>
      <c r="F494" s="60">
        <v>2022</v>
      </c>
      <c r="G494" s="60" t="s">
        <v>4026</v>
      </c>
      <c r="H494" s="65">
        <v>2700</v>
      </c>
      <c r="I494" s="65">
        <v>2310</v>
      </c>
      <c r="J494" s="60" t="s">
        <v>4049</v>
      </c>
      <c r="K494" s="60">
        <v>35.157350000000001</v>
      </c>
      <c r="L494">
        <v>119.133999</v>
      </c>
    </row>
    <row r="495" spans="1:12" x14ac:dyDescent="0.35">
      <c r="A495" s="60" t="s">
        <v>4705</v>
      </c>
      <c r="B495" s="60" t="s">
        <v>4703</v>
      </c>
      <c r="C495" s="60" t="s">
        <v>3058</v>
      </c>
      <c r="D495" s="61" t="s">
        <v>84</v>
      </c>
      <c r="E495" t="str">
        <f>VLOOKUP(Table10[[#This Row],[Country]],Countries!$A$1:$D$205,2,TRUE)</f>
        <v>CAN</v>
      </c>
      <c r="F495" s="60">
        <v>2020</v>
      </c>
      <c r="G495" s="60" t="s">
        <v>4026</v>
      </c>
      <c r="H495" s="65">
        <v>700</v>
      </c>
      <c r="I495" s="65" t="s">
        <v>4022</v>
      </c>
      <c r="J495" s="60" t="s">
        <v>4023</v>
      </c>
      <c r="K495" s="60">
        <v>35.148443</v>
      </c>
      <c r="L495">
        <v>119.068015</v>
      </c>
    </row>
    <row r="496" spans="1:12" x14ac:dyDescent="0.35">
      <c r="A496" s="60" t="s">
        <v>4706</v>
      </c>
      <c r="B496" s="60" t="s">
        <v>4703</v>
      </c>
      <c r="C496" s="60" t="s">
        <v>3058</v>
      </c>
      <c r="D496" s="61" t="s">
        <v>84</v>
      </c>
      <c r="E496" t="str">
        <f>VLOOKUP(Table10[[#This Row],[Country]],Countries!$A$1:$D$205,2,TRUE)</f>
        <v>CAN</v>
      </c>
      <c r="F496" s="60">
        <v>2021</v>
      </c>
      <c r="G496" s="60" t="s">
        <v>4026</v>
      </c>
      <c r="H496" s="65">
        <v>2700</v>
      </c>
      <c r="I496" s="65">
        <v>2440</v>
      </c>
      <c r="J496" s="60" t="s">
        <v>4049</v>
      </c>
      <c r="K496" s="60">
        <v>35.137061000000003</v>
      </c>
      <c r="L496">
        <v>119.068319</v>
      </c>
    </row>
    <row r="497" spans="1:12" x14ac:dyDescent="0.35">
      <c r="A497" s="60" t="s">
        <v>4707</v>
      </c>
      <c r="B497" s="60" t="s">
        <v>4703</v>
      </c>
      <c r="C497" s="60" t="s">
        <v>3058</v>
      </c>
      <c r="D497" s="61" t="s">
        <v>84</v>
      </c>
      <c r="E497" t="str">
        <f>VLOOKUP(Table10[[#This Row],[Country]],Countries!$A$1:$D$205,2,TRUE)</f>
        <v>CAN</v>
      </c>
      <c r="F497" s="60" t="s">
        <v>4036</v>
      </c>
      <c r="G497" s="60" t="s">
        <v>4021</v>
      </c>
      <c r="H497" s="65">
        <v>2700</v>
      </c>
      <c r="I497" s="65">
        <v>3117</v>
      </c>
      <c r="J497" s="60" t="s">
        <v>4049</v>
      </c>
      <c r="K497" s="60">
        <v>35.137061000000003</v>
      </c>
      <c r="L497">
        <v>119.068319</v>
      </c>
    </row>
    <row r="498" spans="1:12" x14ac:dyDescent="0.35">
      <c r="A498" s="60" t="s">
        <v>4708</v>
      </c>
      <c r="B498" s="60" t="s">
        <v>4709</v>
      </c>
      <c r="C498" s="60" t="s">
        <v>3058</v>
      </c>
      <c r="D498" s="61" t="s">
        <v>84</v>
      </c>
      <c r="E498" t="str">
        <f>VLOOKUP(Table10[[#This Row],[Country]],Countries!$A$1:$D$205,2,TRUE)</f>
        <v>CAN</v>
      </c>
      <c r="F498" s="60">
        <v>2013</v>
      </c>
      <c r="G498" s="60" t="s">
        <v>4026</v>
      </c>
      <c r="H498" s="65">
        <v>3450</v>
      </c>
      <c r="I498" s="65">
        <v>3070</v>
      </c>
      <c r="J498" s="60" t="s">
        <v>4161</v>
      </c>
      <c r="K498" s="60">
        <v>35.629600000000003</v>
      </c>
      <c r="L498">
        <v>119.722335</v>
      </c>
    </row>
    <row r="499" spans="1:12" x14ac:dyDescent="0.35">
      <c r="A499" s="60" t="s">
        <v>4710</v>
      </c>
      <c r="B499" s="60" t="s">
        <v>4711</v>
      </c>
      <c r="C499" s="60" t="s">
        <v>3058</v>
      </c>
      <c r="D499" s="61" t="s">
        <v>84</v>
      </c>
      <c r="E499" t="str">
        <f>VLOOKUP(Table10[[#This Row],[Country]],Countries!$A$1:$D$205,2,TRUE)</f>
        <v>CAN</v>
      </c>
      <c r="F499" s="60">
        <v>2003</v>
      </c>
      <c r="G499" s="60" t="s">
        <v>4026</v>
      </c>
      <c r="H499" s="65">
        <v>13000</v>
      </c>
      <c r="I499" s="65">
        <v>9647.6799999999985</v>
      </c>
      <c r="J499" s="60" t="s">
        <v>4049</v>
      </c>
      <c r="K499" s="60">
        <v>35.165349999999997</v>
      </c>
      <c r="L499">
        <v>119.366671</v>
      </c>
    </row>
    <row r="500" spans="1:12" x14ac:dyDescent="0.35">
      <c r="A500" s="60" t="s">
        <v>4712</v>
      </c>
      <c r="B500" s="60" t="s">
        <v>4711</v>
      </c>
      <c r="C500" s="60" t="s">
        <v>3058</v>
      </c>
      <c r="D500" s="61" t="s">
        <v>84</v>
      </c>
      <c r="E500" t="str">
        <f>VLOOKUP(Table10[[#This Row],[Country]],Countries!$A$1:$D$205,2,TRUE)</f>
        <v>CAN</v>
      </c>
      <c r="F500" s="60" t="s">
        <v>4036</v>
      </c>
      <c r="G500" s="60" t="s">
        <v>4037</v>
      </c>
      <c r="H500" s="65">
        <v>9000</v>
      </c>
      <c r="I500" s="65">
        <v>7500</v>
      </c>
      <c r="J500" s="60" t="s">
        <v>4049</v>
      </c>
      <c r="K500" s="60">
        <v>35.165349999999997</v>
      </c>
      <c r="L500">
        <v>119.36667199999999</v>
      </c>
    </row>
    <row r="501" spans="1:12" x14ac:dyDescent="0.35">
      <c r="A501" s="60" t="s">
        <v>4713</v>
      </c>
      <c r="B501" s="60" t="s">
        <v>4711</v>
      </c>
      <c r="C501" s="60" t="s">
        <v>3058</v>
      </c>
      <c r="D501" s="61" t="s">
        <v>84</v>
      </c>
      <c r="E501" t="str">
        <f>VLOOKUP(Table10[[#This Row],[Country]],Countries!$A$1:$D$205,2,TRUE)</f>
        <v>CAN</v>
      </c>
      <c r="F501" s="60">
        <v>2019</v>
      </c>
      <c r="G501" s="60" t="s">
        <v>4026</v>
      </c>
      <c r="H501" s="65">
        <v>8500</v>
      </c>
      <c r="I501" s="65">
        <v>8100</v>
      </c>
      <c r="J501" s="60" t="s">
        <v>4049</v>
      </c>
      <c r="K501" s="60">
        <v>35.188969</v>
      </c>
      <c r="L501">
        <v>119.383723</v>
      </c>
    </row>
    <row r="502" spans="1:12" x14ac:dyDescent="0.35">
      <c r="A502" s="60" t="s">
        <v>4714</v>
      </c>
      <c r="B502" s="60" t="s">
        <v>4711</v>
      </c>
      <c r="C502" s="60" t="s">
        <v>3058</v>
      </c>
      <c r="D502" s="61" t="s">
        <v>84</v>
      </c>
      <c r="E502" t="str">
        <f>VLOOKUP(Table10[[#This Row],[Country]],Countries!$A$1:$D$205,2,TRUE)</f>
        <v>CAN</v>
      </c>
      <c r="F502" s="60">
        <v>2024</v>
      </c>
      <c r="G502" s="60" t="s">
        <v>4037</v>
      </c>
      <c r="H502" s="65">
        <v>1300</v>
      </c>
      <c r="I502" s="65" t="s">
        <v>4022</v>
      </c>
      <c r="J502" s="60" t="s">
        <v>4023</v>
      </c>
      <c r="K502" s="60">
        <v>35.188969</v>
      </c>
      <c r="L502">
        <v>119.383723</v>
      </c>
    </row>
    <row r="503" spans="1:12" x14ac:dyDescent="0.35">
      <c r="A503" s="60" t="s">
        <v>4715</v>
      </c>
      <c r="B503" s="60" t="s">
        <v>4716</v>
      </c>
      <c r="C503" s="60" t="s">
        <v>3058</v>
      </c>
      <c r="D503" s="61" t="s">
        <v>84</v>
      </c>
      <c r="E503" t="str">
        <f>VLOOKUP(Table10[[#This Row],[Country]],Countries!$A$1:$D$205,2,TRUE)</f>
        <v>CAN</v>
      </c>
      <c r="F503" s="60">
        <v>2000</v>
      </c>
      <c r="G503" s="60" t="s">
        <v>4026</v>
      </c>
      <c r="H503" s="65">
        <v>4650</v>
      </c>
      <c r="I503" s="65">
        <v>5040</v>
      </c>
      <c r="J503" s="60" t="s">
        <v>4049</v>
      </c>
      <c r="K503" s="60">
        <v>36.229201000000003</v>
      </c>
      <c r="L503">
        <v>116.533981</v>
      </c>
    </row>
    <row r="504" spans="1:12" x14ac:dyDescent="0.35">
      <c r="A504" s="60" t="s">
        <v>4717</v>
      </c>
      <c r="B504" s="60" t="s">
        <v>4718</v>
      </c>
      <c r="C504" s="60" t="s">
        <v>3058</v>
      </c>
      <c r="D504" s="61" t="s">
        <v>84</v>
      </c>
      <c r="E504" t="str">
        <f>VLOOKUP(Table10[[#This Row],[Country]],Countries!$A$1:$D$205,2,TRUE)</f>
        <v>CAN</v>
      </c>
      <c r="F504" s="60">
        <v>1972</v>
      </c>
      <c r="G504" s="60" t="s">
        <v>4026</v>
      </c>
      <c r="H504" s="65">
        <v>3000</v>
      </c>
      <c r="I504" s="65">
        <v>2564</v>
      </c>
      <c r="J504" s="60" t="s">
        <v>4049</v>
      </c>
      <c r="K504" s="60">
        <v>36.644469000000001</v>
      </c>
      <c r="L504">
        <v>119.238427</v>
      </c>
    </row>
    <row r="505" spans="1:12" x14ac:dyDescent="0.35">
      <c r="A505" s="60" t="s">
        <v>4719</v>
      </c>
      <c r="B505" s="60" t="s">
        <v>4718</v>
      </c>
      <c r="C505" s="60" t="s">
        <v>3058</v>
      </c>
      <c r="D505" s="61" t="s">
        <v>84</v>
      </c>
      <c r="E505" t="str">
        <f>VLOOKUP(Table10[[#This Row],[Country]],Countries!$A$1:$D$205,2,TRUE)</f>
        <v>CAN</v>
      </c>
      <c r="F505" s="60">
        <v>2003</v>
      </c>
      <c r="G505" s="60" t="s">
        <v>4026</v>
      </c>
      <c r="H505" s="65">
        <v>3300</v>
      </c>
      <c r="I505" s="65">
        <v>965.5</v>
      </c>
      <c r="J505" s="60" t="s">
        <v>4161</v>
      </c>
      <c r="K505" s="60">
        <v>36.939124999999997</v>
      </c>
      <c r="L505">
        <v>118.78559799999999</v>
      </c>
    </row>
    <row r="506" spans="1:12" x14ac:dyDescent="0.35">
      <c r="A506" s="60" t="s">
        <v>4720</v>
      </c>
      <c r="B506" s="60" t="s">
        <v>4718</v>
      </c>
      <c r="C506" s="60" t="s">
        <v>3058</v>
      </c>
      <c r="D506" s="61" t="s">
        <v>84</v>
      </c>
      <c r="E506" t="str">
        <f>VLOOKUP(Table10[[#This Row],[Country]],Countries!$A$1:$D$205,2,TRUE)</f>
        <v>CAN</v>
      </c>
      <c r="F506" s="60">
        <v>1993</v>
      </c>
      <c r="G506" s="60" t="s">
        <v>4026</v>
      </c>
      <c r="H506" s="65">
        <v>1400</v>
      </c>
      <c r="I506" s="65">
        <v>1606.6399999999999</v>
      </c>
      <c r="J506" s="60" t="s">
        <v>4049</v>
      </c>
      <c r="K506" s="60">
        <v>36.970874999999999</v>
      </c>
      <c r="L506">
        <v>118.955444</v>
      </c>
    </row>
    <row r="507" spans="1:12" x14ac:dyDescent="0.35">
      <c r="A507" s="60" t="s">
        <v>4721</v>
      </c>
      <c r="B507" s="60" t="s">
        <v>4722</v>
      </c>
      <c r="C507" s="60" t="s">
        <v>3058</v>
      </c>
      <c r="D507" s="61" t="s">
        <v>84</v>
      </c>
      <c r="E507" t="str">
        <f>VLOOKUP(Table10[[#This Row],[Country]],Countries!$A$1:$D$205,2,TRUE)</f>
        <v>CAN</v>
      </c>
      <c r="F507" s="60">
        <v>2007</v>
      </c>
      <c r="G507" s="60" t="s">
        <v>4026</v>
      </c>
      <c r="H507" s="65">
        <v>1400</v>
      </c>
      <c r="I507" s="65" t="s">
        <v>4036</v>
      </c>
      <c r="J507" s="60" t="s">
        <v>4023</v>
      </c>
      <c r="K507" s="60">
        <v>37.548627000000003</v>
      </c>
      <c r="L507">
        <v>121.27748800000001</v>
      </c>
    </row>
    <row r="508" spans="1:12" x14ac:dyDescent="0.35">
      <c r="A508" s="60" t="s">
        <v>4723</v>
      </c>
      <c r="B508" s="60" t="s">
        <v>3061</v>
      </c>
      <c r="C508" s="60" t="s">
        <v>3058</v>
      </c>
      <c r="D508" s="61" t="s">
        <v>84</v>
      </c>
      <c r="E508" t="str">
        <f>VLOOKUP(Table10[[#This Row],[Country]],Countries!$A$1:$D$205,2,TRUE)</f>
        <v>CAN</v>
      </c>
      <c r="F508" s="60">
        <v>2016</v>
      </c>
      <c r="G508" s="60" t="s">
        <v>4048</v>
      </c>
      <c r="H508" s="65">
        <v>2700</v>
      </c>
      <c r="I508" s="65">
        <v>1220</v>
      </c>
      <c r="J508" s="60" t="s">
        <v>4049</v>
      </c>
      <c r="K508" s="60">
        <v>36.906036</v>
      </c>
      <c r="L508">
        <v>118.111833</v>
      </c>
    </row>
    <row r="509" spans="1:12" x14ac:dyDescent="0.35">
      <c r="A509" s="60" t="s">
        <v>4724</v>
      </c>
      <c r="B509" s="60" t="s">
        <v>3061</v>
      </c>
      <c r="C509" s="60" t="s">
        <v>3058</v>
      </c>
      <c r="D509" s="61" t="s">
        <v>84</v>
      </c>
      <c r="E509" t="str">
        <f>VLOOKUP(Table10[[#This Row],[Country]],Countries!$A$1:$D$205,2,TRUE)</f>
        <v>CAN</v>
      </c>
      <c r="F509" s="60">
        <v>2003</v>
      </c>
      <c r="G509" s="60" t="s">
        <v>4048</v>
      </c>
      <c r="H509" s="65">
        <v>1800</v>
      </c>
      <c r="I509" s="65">
        <v>1512.5</v>
      </c>
      <c r="J509" s="60" t="s">
        <v>4049</v>
      </c>
      <c r="K509" s="60">
        <v>36.891188999999997</v>
      </c>
      <c r="L509">
        <v>118.18704099999999</v>
      </c>
    </row>
    <row r="510" spans="1:12" x14ac:dyDescent="0.35">
      <c r="A510" s="60" t="s">
        <v>4725</v>
      </c>
      <c r="B510" s="60" t="s">
        <v>3061</v>
      </c>
      <c r="C510" s="60" t="s">
        <v>3058</v>
      </c>
      <c r="D510" s="61" t="s">
        <v>84</v>
      </c>
      <c r="E510" t="str">
        <f>VLOOKUP(Table10[[#This Row],[Country]],Countries!$A$1:$D$205,2,TRUE)</f>
        <v>CAN</v>
      </c>
      <c r="F510" s="60">
        <v>2003</v>
      </c>
      <c r="G510" s="60" t="s">
        <v>4048</v>
      </c>
      <c r="H510" s="65">
        <v>600</v>
      </c>
      <c r="I510" s="65">
        <v>730</v>
      </c>
      <c r="J510" s="60" t="s">
        <v>4049</v>
      </c>
      <c r="K510" s="60">
        <v>36.887998000000003</v>
      </c>
      <c r="L510">
        <v>118.145416</v>
      </c>
    </row>
    <row r="511" spans="1:12" x14ac:dyDescent="0.35">
      <c r="A511" s="60" t="s">
        <v>4726</v>
      </c>
      <c r="B511" s="60" t="s">
        <v>4727</v>
      </c>
      <c r="C511" s="60" t="s">
        <v>3063</v>
      </c>
      <c r="D511" s="61" t="s">
        <v>84</v>
      </c>
      <c r="E511" t="str">
        <f>VLOOKUP(Table10[[#This Row],[Country]],Countries!$A$1:$D$205,2,TRUE)</f>
        <v>CAN</v>
      </c>
      <c r="F511" s="60">
        <v>1977</v>
      </c>
      <c r="G511" s="60" t="s">
        <v>4026</v>
      </c>
      <c r="H511" s="65">
        <v>15670</v>
      </c>
      <c r="I511" s="65">
        <v>19997.625999999997</v>
      </c>
      <c r="J511" s="60" t="s">
        <v>4161</v>
      </c>
      <c r="K511" s="60">
        <v>31.416229999999999</v>
      </c>
      <c r="L511">
        <v>121.44008700000001</v>
      </c>
    </row>
    <row r="512" spans="1:12" x14ac:dyDescent="0.35">
      <c r="A512" s="60" t="s">
        <v>4728</v>
      </c>
      <c r="B512" s="60" t="s">
        <v>4727</v>
      </c>
      <c r="C512" s="60" t="s">
        <v>3063</v>
      </c>
      <c r="D512" s="61" t="s">
        <v>84</v>
      </c>
      <c r="E512" t="str">
        <f>VLOOKUP(Table10[[#This Row],[Country]],Countries!$A$1:$D$205,2,TRUE)</f>
        <v>CAN</v>
      </c>
      <c r="F512" s="60">
        <v>1958</v>
      </c>
      <c r="G512" s="60" t="s">
        <v>4026</v>
      </c>
      <c r="H512" s="65">
        <v>500</v>
      </c>
      <c r="I512" s="65" t="s">
        <v>4036</v>
      </c>
      <c r="J512" s="60" t="s">
        <v>4023</v>
      </c>
      <c r="K512" s="60">
        <v>31.379422000000002</v>
      </c>
      <c r="L512">
        <v>121.484652</v>
      </c>
    </row>
    <row r="513" spans="1:12" x14ac:dyDescent="0.35">
      <c r="A513" s="60" t="s">
        <v>4729</v>
      </c>
      <c r="B513" s="60" t="s">
        <v>4730</v>
      </c>
      <c r="C513" s="60" t="s">
        <v>4731</v>
      </c>
      <c r="D513" s="61" t="s">
        <v>84</v>
      </c>
      <c r="E513" t="str">
        <f>VLOOKUP(Table10[[#This Row],[Country]],Countries!$A$1:$D$205,2,TRUE)</f>
        <v>CAN</v>
      </c>
      <c r="F513" s="60">
        <v>2002</v>
      </c>
      <c r="G513" s="60" t="s">
        <v>4026</v>
      </c>
      <c r="H513" s="65">
        <v>1900</v>
      </c>
      <c r="I513" s="65">
        <v>1370</v>
      </c>
      <c r="J513" s="60" t="s">
        <v>4049</v>
      </c>
      <c r="K513" s="60">
        <v>36.332448999999997</v>
      </c>
      <c r="L513">
        <v>113.15509</v>
      </c>
    </row>
    <row r="514" spans="1:12" x14ac:dyDescent="0.35">
      <c r="A514" s="60" t="s">
        <v>4732</v>
      </c>
      <c r="B514" s="60" t="s">
        <v>4730</v>
      </c>
      <c r="C514" s="60" t="s">
        <v>4731</v>
      </c>
      <c r="D514" s="61" t="s">
        <v>84</v>
      </c>
      <c r="E514" t="str">
        <f>VLOOKUP(Table10[[#This Row],[Country]],Countries!$A$1:$D$205,2,TRUE)</f>
        <v>CAN</v>
      </c>
      <c r="F514" s="60">
        <v>2000</v>
      </c>
      <c r="G514" s="60" t="s">
        <v>4026</v>
      </c>
      <c r="H514" s="65">
        <v>1700</v>
      </c>
      <c r="I514" s="65">
        <v>618</v>
      </c>
      <c r="J514" s="60" t="s">
        <v>4049</v>
      </c>
      <c r="K514" s="60">
        <v>36.472302999999997</v>
      </c>
      <c r="L514">
        <v>113.344155</v>
      </c>
    </row>
    <row r="515" spans="1:12" x14ac:dyDescent="0.35">
      <c r="A515" s="60" t="s">
        <v>4733</v>
      </c>
      <c r="B515" s="60" t="s">
        <v>4730</v>
      </c>
      <c r="C515" s="60" t="s">
        <v>4731</v>
      </c>
      <c r="D515" s="61" t="s">
        <v>84</v>
      </c>
      <c r="E515" t="str">
        <f>VLOOKUP(Table10[[#This Row],[Country]],Countries!$A$1:$D$205,2,TRUE)</f>
        <v>CAN</v>
      </c>
      <c r="F515" s="60">
        <v>1989</v>
      </c>
      <c r="G515" s="60" t="s">
        <v>4026</v>
      </c>
      <c r="H515" s="65">
        <v>1700</v>
      </c>
      <c r="I515" s="65">
        <v>1240</v>
      </c>
      <c r="J515" s="60" t="s">
        <v>4049</v>
      </c>
      <c r="K515" s="60">
        <v>36.326588999999998</v>
      </c>
      <c r="L515">
        <v>113.117181</v>
      </c>
    </row>
    <row r="516" spans="1:12" x14ac:dyDescent="0.35">
      <c r="A516" s="60" t="s">
        <v>4734</v>
      </c>
      <c r="B516" s="60" t="s">
        <v>4730</v>
      </c>
      <c r="C516" s="60" t="s">
        <v>4731</v>
      </c>
      <c r="D516" s="61" t="s">
        <v>84</v>
      </c>
      <c r="E516" t="str">
        <f>VLOOKUP(Table10[[#This Row],[Country]],Countries!$A$1:$D$205,2,TRUE)</f>
        <v>CAN</v>
      </c>
      <c r="F516" s="60">
        <v>1946</v>
      </c>
      <c r="G516" s="60" t="s">
        <v>4026</v>
      </c>
      <c r="H516" s="65">
        <v>3600</v>
      </c>
      <c r="I516" s="65">
        <v>2080</v>
      </c>
      <c r="J516" s="60" t="s">
        <v>4049</v>
      </c>
      <c r="K516" s="60">
        <v>36.356403999999998</v>
      </c>
      <c r="L516">
        <v>113.06080900000001</v>
      </c>
    </row>
    <row r="517" spans="1:12" x14ac:dyDescent="0.35">
      <c r="A517" s="60" t="s">
        <v>4735</v>
      </c>
      <c r="B517" s="60" t="s">
        <v>4730</v>
      </c>
      <c r="C517" s="60" t="s">
        <v>4731</v>
      </c>
      <c r="D517" s="61" t="s">
        <v>84</v>
      </c>
      <c r="E517" t="str">
        <f>VLOOKUP(Table10[[#This Row],[Country]],Countries!$A$1:$D$205,2,TRUE)</f>
        <v>CAN</v>
      </c>
      <c r="F517" s="60">
        <v>2003</v>
      </c>
      <c r="G517" s="60" t="s">
        <v>4026</v>
      </c>
      <c r="H517" s="65">
        <v>950</v>
      </c>
      <c r="I517" s="65">
        <v>1100</v>
      </c>
      <c r="J517" s="60" t="s">
        <v>4049</v>
      </c>
      <c r="K517" s="60">
        <v>36.148130999999999</v>
      </c>
      <c r="L517">
        <v>113.209523</v>
      </c>
    </row>
    <row r="518" spans="1:12" x14ac:dyDescent="0.35">
      <c r="A518" s="60" t="s">
        <v>4736</v>
      </c>
      <c r="B518" s="60" t="s">
        <v>4737</v>
      </c>
      <c r="C518" s="60" t="s">
        <v>4731</v>
      </c>
      <c r="D518" s="61" t="s">
        <v>84</v>
      </c>
      <c r="E518" t="str">
        <f>VLOOKUP(Table10[[#This Row],[Country]],Countries!$A$1:$D$205,2,TRUE)</f>
        <v>CAN</v>
      </c>
      <c r="F518" s="60">
        <v>2005</v>
      </c>
      <c r="G518" s="60" t="s">
        <v>4026</v>
      </c>
      <c r="H518" s="65">
        <v>2500</v>
      </c>
      <c r="I518" s="65">
        <v>2000</v>
      </c>
      <c r="J518" s="60" t="s">
        <v>4049</v>
      </c>
      <c r="K518" s="60">
        <v>40.183517000000002</v>
      </c>
      <c r="L518">
        <v>113.30546200000001</v>
      </c>
    </row>
    <row r="519" spans="1:12" x14ac:dyDescent="0.35">
      <c r="A519" s="60" t="s">
        <v>4738</v>
      </c>
      <c r="B519" s="60" t="s">
        <v>4739</v>
      </c>
      <c r="C519" s="60" t="s">
        <v>4731</v>
      </c>
      <c r="D519" s="61" t="s">
        <v>84</v>
      </c>
      <c r="E519" t="str">
        <f>VLOOKUP(Table10[[#This Row],[Country]],Countries!$A$1:$D$205,2,TRUE)</f>
        <v>CAN</v>
      </c>
      <c r="F519" s="60">
        <v>1993</v>
      </c>
      <c r="G519" s="60" t="s">
        <v>4026</v>
      </c>
      <c r="H519" s="65">
        <v>2300</v>
      </c>
      <c r="I519" s="65">
        <v>1220</v>
      </c>
      <c r="J519" s="60" t="s">
        <v>4049</v>
      </c>
      <c r="K519" s="60">
        <v>35.701895</v>
      </c>
      <c r="L519">
        <v>110.786826</v>
      </c>
    </row>
    <row r="520" spans="1:12" x14ac:dyDescent="0.35">
      <c r="A520" s="60" t="s">
        <v>4740</v>
      </c>
      <c r="B520" s="60" t="s">
        <v>4739</v>
      </c>
      <c r="C520" s="60" t="s">
        <v>4731</v>
      </c>
      <c r="D520" s="61" t="s">
        <v>84</v>
      </c>
      <c r="E520" t="str">
        <f>VLOOKUP(Table10[[#This Row],[Country]],Countries!$A$1:$D$205,2,TRUE)</f>
        <v>CAN</v>
      </c>
      <c r="F520" s="60">
        <v>2003</v>
      </c>
      <c r="G520" s="60" t="s">
        <v>4026</v>
      </c>
      <c r="H520" s="65">
        <v>1200</v>
      </c>
      <c r="I520" s="65">
        <v>1100</v>
      </c>
      <c r="J520" s="60" t="s">
        <v>4049</v>
      </c>
      <c r="K520" s="60">
        <v>35.605505999999998</v>
      </c>
      <c r="L520">
        <v>110.652056</v>
      </c>
    </row>
    <row r="521" spans="1:12" x14ac:dyDescent="0.35">
      <c r="A521" s="60" t="s">
        <v>4741</v>
      </c>
      <c r="B521" s="60" t="s">
        <v>4739</v>
      </c>
      <c r="C521" s="60" t="s">
        <v>4731</v>
      </c>
      <c r="D521" s="61" t="s">
        <v>84</v>
      </c>
      <c r="E521" t="str">
        <f>VLOOKUP(Table10[[#This Row],[Country]],Countries!$A$1:$D$205,2,TRUE)</f>
        <v>CAN</v>
      </c>
      <c r="F521" s="60" t="s">
        <v>4036</v>
      </c>
      <c r="G521" s="60" t="s">
        <v>4037</v>
      </c>
      <c r="H521" s="65">
        <v>1150</v>
      </c>
      <c r="I521" s="65">
        <v>1190</v>
      </c>
      <c r="J521" s="60" t="s">
        <v>4049</v>
      </c>
      <c r="K521" s="60">
        <v>35.605505999999998</v>
      </c>
      <c r="L521">
        <v>110.652056</v>
      </c>
    </row>
    <row r="522" spans="1:12" x14ac:dyDescent="0.35">
      <c r="A522" s="60" t="s">
        <v>4742</v>
      </c>
      <c r="B522" s="60" t="s">
        <v>4743</v>
      </c>
      <c r="C522" s="60" t="s">
        <v>4731</v>
      </c>
      <c r="D522" s="61" t="s">
        <v>84</v>
      </c>
      <c r="E522" t="str">
        <f>VLOOKUP(Table10[[#This Row],[Country]],Countries!$A$1:$D$205,2,TRUE)</f>
        <v>CAN</v>
      </c>
      <c r="F522" s="60">
        <v>2002</v>
      </c>
      <c r="G522" s="60" t="s">
        <v>4026</v>
      </c>
      <c r="H522" s="65">
        <v>6000</v>
      </c>
      <c r="I522" s="65">
        <v>6000</v>
      </c>
      <c r="J522" s="60" t="s">
        <v>4049</v>
      </c>
      <c r="K522" s="60">
        <v>35.662984999999999</v>
      </c>
      <c r="L522">
        <v>112.882395</v>
      </c>
    </row>
    <row r="523" spans="1:12" x14ac:dyDescent="0.35">
      <c r="A523" s="60" t="s">
        <v>4744</v>
      </c>
      <c r="B523" s="60" t="s">
        <v>4743</v>
      </c>
      <c r="C523" s="60" t="s">
        <v>4731</v>
      </c>
      <c r="D523" s="61" t="s">
        <v>84</v>
      </c>
      <c r="E523" t="str">
        <f>VLOOKUP(Table10[[#This Row],[Country]],Countries!$A$1:$D$205,2,TRUE)</f>
        <v>CAN</v>
      </c>
      <c r="F523" s="60" t="s">
        <v>4036</v>
      </c>
      <c r="G523" s="60" t="s">
        <v>4021</v>
      </c>
      <c r="H523" s="65">
        <v>4600</v>
      </c>
      <c r="I523" s="65">
        <v>2300</v>
      </c>
      <c r="J523" s="60" t="s">
        <v>4049</v>
      </c>
      <c r="K523" s="60">
        <v>35.662984999999999</v>
      </c>
      <c r="L523">
        <v>112.882395</v>
      </c>
    </row>
    <row r="524" spans="1:12" x14ac:dyDescent="0.35">
      <c r="A524" s="60" t="s">
        <v>4745</v>
      </c>
      <c r="B524" s="60" t="s">
        <v>4746</v>
      </c>
      <c r="C524" s="60" t="s">
        <v>4731</v>
      </c>
      <c r="D524" s="61" t="s">
        <v>84</v>
      </c>
      <c r="E524" t="str">
        <f>VLOOKUP(Table10[[#This Row],[Country]],Countries!$A$1:$D$205,2,TRUE)</f>
        <v>CAN</v>
      </c>
      <c r="F524" s="60">
        <v>2005</v>
      </c>
      <c r="G524" s="60" t="s">
        <v>4026</v>
      </c>
      <c r="H524" s="65">
        <v>3000</v>
      </c>
      <c r="I524" s="65">
        <v>1005.6199999999999</v>
      </c>
      <c r="J524" s="60" t="s">
        <v>4049</v>
      </c>
      <c r="K524" s="60">
        <v>37.075017000000003</v>
      </c>
      <c r="L524">
        <v>111.985148</v>
      </c>
    </row>
    <row r="525" spans="1:12" x14ac:dyDescent="0.35">
      <c r="A525" s="60" t="s">
        <v>4747</v>
      </c>
      <c r="B525" s="60" t="s">
        <v>4746</v>
      </c>
      <c r="C525" s="60" t="s">
        <v>4731</v>
      </c>
      <c r="D525" s="61" t="s">
        <v>84</v>
      </c>
      <c r="E525" t="str">
        <f>VLOOKUP(Table10[[#This Row],[Country]],Countries!$A$1:$D$205,2,TRUE)</f>
        <v>CAN</v>
      </c>
      <c r="F525" s="60" t="s">
        <v>4036</v>
      </c>
      <c r="G525" s="60" t="s">
        <v>4037</v>
      </c>
      <c r="H525" s="65" t="s">
        <v>4022</v>
      </c>
      <c r="I525" s="65">
        <v>1585</v>
      </c>
      <c r="J525" s="60" t="s">
        <v>4111</v>
      </c>
      <c r="K525" s="60">
        <v>37.075017000000003</v>
      </c>
      <c r="L525">
        <v>111.985148</v>
      </c>
    </row>
    <row r="526" spans="1:12" x14ac:dyDescent="0.35">
      <c r="A526" s="60" t="s">
        <v>4748</v>
      </c>
      <c r="B526" s="60" t="s">
        <v>4749</v>
      </c>
      <c r="C526" s="60" t="s">
        <v>4731</v>
      </c>
      <c r="D526" s="61" t="s">
        <v>84</v>
      </c>
      <c r="E526" t="str">
        <f>VLOOKUP(Table10[[#This Row],[Country]],Countries!$A$1:$D$205,2,TRUE)</f>
        <v>CAN</v>
      </c>
      <c r="F526" s="60">
        <v>2002</v>
      </c>
      <c r="G526" s="60" t="s">
        <v>4048</v>
      </c>
      <c r="H526" s="65">
        <v>7000</v>
      </c>
      <c r="I526" s="65">
        <v>6000</v>
      </c>
      <c r="J526" s="60" t="s">
        <v>4049</v>
      </c>
      <c r="K526" s="60">
        <v>35.701540999999999</v>
      </c>
      <c r="L526">
        <v>111.42671</v>
      </c>
    </row>
    <row r="527" spans="1:12" x14ac:dyDescent="0.35">
      <c r="A527" s="60" t="s">
        <v>4750</v>
      </c>
      <c r="B527" s="60" t="s">
        <v>4749</v>
      </c>
      <c r="C527" s="60" t="s">
        <v>4731</v>
      </c>
      <c r="D527" s="61" t="s">
        <v>84</v>
      </c>
      <c r="E527" t="str">
        <f>VLOOKUP(Table10[[#This Row],[Country]],Countries!$A$1:$D$205,2,TRUE)</f>
        <v>CAN</v>
      </c>
      <c r="F527" s="60">
        <v>2002</v>
      </c>
      <c r="G527" s="60" t="s">
        <v>4026</v>
      </c>
      <c r="H527" s="65">
        <v>2000</v>
      </c>
      <c r="I527" s="65">
        <v>1850</v>
      </c>
      <c r="J527" s="60" t="s">
        <v>4049</v>
      </c>
      <c r="K527" s="60">
        <v>35.880324000000002</v>
      </c>
      <c r="L527">
        <v>111.387956</v>
      </c>
    </row>
    <row r="528" spans="1:12" x14ac:dyDescent="0.35">
      <c r="A528" s="60" t="s">
        <v>4751</v>
      </c>
      <c r="B528" s="60" t="s">
        <v>4749</v>
      </c>
      <c r="C528" s="60" t="s">
        <v>4731</v>
      </c>
      <c r="D528" s="61" t="s">
        <v>84</v>
      </c>
      <c r="E528" t="str">
        <f>VLOOKUP(Table10[[#This Row],[Country]],Countries!$A$1:$D$205,2,TRUE)</f>
        <v>CAN</v>
      </c>
      <c r="F528" s="60">
        <v>2002</v>
      </c>
      <c r="G528" s="60" t="s">
        <v>4026</v>
      </c>
      <c r="H528" s="65" t="s">
        <v>4022</v>
      </c>
      <c r="I528" s="65">
        <v>3000</v>
      </c>
      <c r="J528" s="60" t="s">
        <v>4161</v>
      </c>
      <c r="K528" s="60">
        <v>35.694321000000002</v>
      </c>
      <c r="L528">
        <v>111.42938100000001</v>
      </c>
    </row>
    <row r="529" spans="1:12" x14ac:dyDescent="0.35">
      <c r="A529" s="60" t="s">
        <v>4752</v>
      </c>
      <c r="B529" s="60" t="s">
        <v>4749</v>
      </c>
      <c r="C529" s="60" t="s">
        <v>4731</v>
      </c>
      <c r="D529" s="61" t="s">
        <v>84</v>
      </c>
      <c r="E529" t="str">
        <f>VLOOKUP(Table10[[#This Row],[Country]],Countries!$A$1:$D$205,2,TRUE)</f>
        <v>CAN</v>
      </c>
      <c r="F529" s="60">
        <v>2022</v>
      </c>
      <c r="G529" s="60" t="s">
        <v>4026</v>
      </c>
      <c r="H529" s="65">
        <v>2300</v>
      </c>
      <c r="I529" s="65" t="s">
        <v>4022</v>
      </c>
      <c r="J529" s="60" t="s">
        <v>4163</v>
      </c>
      <c r="K529" s="60">
        <v>35.694321000000002</v>
      </c>
      <c r="L529">
        <v>111.42938100000001</v>
      </c>
    </row>
    <row r="530" spans="1:12" x14ac:dyDescent="0.35">
      <c r="A530" s="60" t="s">
        <v>4753</v>
      </c>
      <c r="B530" s="60" t="s">
        <v>4749</v>
      </c>
      <c r="C530" s="60" t="s">
        <v>4731</v>
      </c>
      <c r="D530" s="61" t="s">
        <v>84</v>
      </c>
      <c r="E530" t="str">
        <f>VLOOKUP(Table10[[#This Row],[Country]],Countries!$A$1:$D$205,2,TRUE)</f>
        <v>CAN</v>
      </c>
      <c r="F530" s="60" t="s">
        <v>4036</v>
      </c>
      <c r="G530" s="60" t="s">
        <v>4021</v>
      </c>
      <c r="H530" s="65">
        <v>480</v>
      </c>
      <c r="I530" s="65" t="s">
        <v>4022</v>
      </c>
      <c r="J530" s="60" t="s">
        <v>4023</v>
      </c>
      <c r="K530" s="60">
        <v>35.694321000000002</v>
      </c>
      <c r="L530">
        <v>111.42938100000001</v>
      </c>
    </row>
    <row r="531" spans="1:12" x14ac:dyDescent="0.35">
      <c r="A531" s="60" t="s">
        <v>4754</v>
      </c>
      <c r="B531" s="60" t="s">
        <v>4749</v>
      </c>
      <c r="C531" s="60" t="s">
        <v>4731</v>
      </c>
      <c r="D531" s="61" t="s">
        <v>84</v>
      </c>
      <c r="E531" t="str">
        <f>VLOOKUP(Table10[[#This Row],[Country]],Countries!$A$1:$D$205,2,TRUE)</f>
        <v>CAN</v>
      </c>
      <c r="F531" s="60">
        <v>2007</v>
      </c>
      <c r="G531" s="60" t="s">
        <v>4026</v>
      </c>
      <c r="H531" s="65">
        <v>1700</v>
      </c>
      <c r="I531" s="65">
        <v>1200</v>
      </c>
      <c r="J531" s="60" t="s">
        <v>4049</v>
      </c>
      <c r="K531" s="60">
        <v>35.727775999999999</v>
      </c>
      <c r="L531">
        <v>111.330122</v>
      </c>
    </row>
    <row r="532" spans="1:12" x14ac:dyDescent="0.35">
      <c r="A532" s="60" t="s">
        <v>4755</v>
      </c>
      <c r="B532" s="60" t="s">
        <v>4749</v>
      </c>
      <c r="C532" s="60" t="s">
        <v>4731</v>
      </c>
      <c r="D532" s="61" t="s">
        <v>84</v>
      </c>
      <c r="E532" t="str">
        <f>VLOOKUP(Table10[[#This Row],[Country]],Countries!$A$1:$D$205,2,TRUE)</f>
        <v>CAN</v>
      </c>
      <c r="F532" s="60" t="s">
        <v>4036</v>
      </c>
      <c r="G532" s="60" t="s">
        <v>4037</v>
      </c>
      <c r="H532" s="65">
        <v>1650</v>
      </c>
      <c r="I532" s="65" t="s">
        <v>4022</v>
      </c>
      <c r="J532" s="60" t="s">
        <v>4163</v>
      </c>
      <c r="K532" s="60">
        <v>35.727775999999999</v>
      </c>
      <c r="L532">
        <v>111.330122</v>
      </c>
    </row>
    <row r="533" spans="1:12" x14ac:dyDescent="0.35">
      <c r="A533" s="60" t="s">
        <v>4756</v>
      </c>
      <c r="B533" s="60" t="s">
        <v>4749</v>
      </c>
      <c r="C533" s="60" t="s">
        <v>4731</v>
      </c>
      <c r="D533" s="61" t="s">
        <v>84</v>
      </c>
      <c r="E533" t="str">
        <f>VLOOKUP(Table10[[#This Row],[Country]],Countries!$A$1:$D$205,2,TRUE)</f>
        <v>CAN</v>
      </c>
      <c r="F533" s="60">
        <v>2003</v>
      </c>
      <c r="G533" s="60" t="s">
        <v>4026</v>
      </c>
      <c r="H533" s="65">
        <v>2200</v>
      </c>
      <c r="I533" s="65">
        <v>1450</v>
      </c>
      <c r="J533" s="60" t="s">
        <v>4049</v>
      </c>
      <c r="K533" s="60">
        <v>35.934831000000003</v>
      </c>
      <c r="L533">
        <v>111.49706999999999</v>
      </c>
    </row>
    <row r="534" spans="1:12" x14ac:dyDescent="0.35">
      <c r="A534" s="60" t="s">
        <v>4757</v>
      </c>
      <c r="B534" s="60" t="s">
        <v>4749</v>
      </c>
      <c r="C534" s="60" t="s">
        <v>4731</v>
      </c>
      <c r="D534" s="61" t="s">
        <v>84</v>
      </c>
      <c r="E534" t="str">
        <f>VLOOKUP(Table10[[#This Row],[Country]],Countries!$A$1:$D$205,2,TRUE)</f>
        <v>CAN</v>
      </c>
      <c r="F534" s="60" t="s">
        <v>4036</v>
      </c>
      <c r="G534" s="60" t="s">
        <v>4037</v>
      </c>
      <c r="H534" s="65" t="s">
        <v>4022</v>
      </c>
      <c r="I534" s="65">
        <v>1220</v>
      </c>
      <c r="J534" s="60" t="s">
        <v>4111</v>
      </c>
      <c r="K534" s="60">
        <v>35.934831000000003</v>
      </c>
      <c r="L534">
        <v>111.49706999999999</v>
      </c>
    </row>
    <row r="535" spans="1:12" x14ac:dyDescent="0.35">
      <c r="A535" s="60" t="s">
        <v>4758</v>
      </c>
      <c r="B535" s="60" t="s">
        <v>4749</v>
      </c>
      <c r="C535" s="60" t="s">
        <v>4731</v>
      </c>
      <c r="D535" s="61" t="s">
        <v>84</v>
      </c>
      <c r="E535" t="str">
        <f>VLOOKUP(Table10[[#This Row],[Country]],Countries!$A$1:$D$205,2,TRUE)</f>
        <v>CAN</v>
      </c>
      <c r="F535" s="60">
        <v>1996</v>
      </c>
      <c r="G535" s="60" t="s">
        <v>4026</v>
      </c>
      <c r="H535" s="65">
        <v>2000</v>
      </c>
      <c r="I535" s="65">
        <v>1200</v>
      </c>
      <c r="J535" s="60" t="s">
        <v>4049</v>
      </c>
      <c r="K535" s="60">
        <v>35.668163</v>
      </c>
      <c r="L535">
        <v>111.37916</v>
      </c>
    </row>
    <row r="536" spans="1:12" x14ac:dyDescent="0.35">
      <c r="A536" s="60" t="s">
        <v>4759</v>
      </c>
      <c r="B536" s="60" t="s">
        <v>4749</v>
      </c>
      <c r="C536" s="60" t="s">
        <v>4731</v>
      </c>
      <c r="D536" s="61" t="s">
        <v>84</v>
      </c>
      <c r="E536" t="str">
        <f>VLOOKUP(Table10[[#This Row],[Country]],Countries!$A$1:$D$205,2,TRUE)</f>
        <v>CAN</v>
      </c>
      <c r="F536" s="60">
        <v>2020</v>
      </c>
      <c r="G536" s="60" t="s">
        <v>4026</v>
      </c>
      <c r="H536" s="65">
        <v>3400</v>
      </c>
      <c r="I536" s="65">
        <v>3160</v>
      </c>
      <c r="J536" s="60" t="s">
        <v>4049</v>
      </c>
      <c r="K536" s="60">
        <v>35.678541000000003</v>
      </c>
      <c r="L536">
        <v>111.51465</v>
      </c>
    </row>
    <row r="537" spans="1:12" x14ac:dyDescent="0.35">
      <c r="A537" s="60" t="s">
        <v>4760</v>
      </c>
      <c r="B537" s="60" t="s">
        <v>4749</v>
      </c>
      <c r="C537" s="60" t="s">
        <v>4731</v>
      </c>
      <c r="D537" s="61" t="s">
        <v>84</v>
      </c>
      <c r="E537" t="str">
        <f>VLOOKUP(Table10[[#This Row],[Country]],Countries!$A$1:$D$205,2,TRUE)</f>
        <v>CAN</v>
      </c>
      <c r="F537" s="60">
        <v>2022</v>
      </c>
      <c r="G537" s="60" t="s">
        <v>4026</v>
      </c>
      <c r="H537" s="65">
        <v>1600</v>
      </c>
      <c r="I537" s="65">
        <v>1580</v>
      </c>
      <c r="J537" s="60" t="s">
        <v>4049</v>
      </c>
      <c r="K537" s="60">
        <v>35.678541000000003</v>
      </c>
      <c r="L537">
        <v>111.51465</v>
      </c>
    </row>
    <row r="538" spans="1:12" x14ac:dyDescent="0.35">
      <c r="A538" s="60" t="s">
        <v>4760</v>
      </c>
      <c r="B538" s="60" t="s">
        <v>4749</v>
      </c>
      <c r="C538" s="60" t="s">
        <v>4731</v>
      </c>
      <c r="D538" s="61" t="s">
        <v>84</v>
      </c>
      <c r="E538" t="str">
        <f>VLOOKUP(Table10[[#This Row],[Country]],Countries!$A$1:$D$205,2,TRUE)</f>
        <v>CAN</v>
      </c>
      <c r="F538" s="60" t="s">
        <v>4036</v>
      </c>
      <c r="G538" s="60" t="s">
        <v>4037</v>
      </c>
      <c r="H538" s="65">
        <v>1600</v>
      </c>
      <c r="I538" s="65">
        <v>1580</v>
      </c>
      <c r="J538" s="60" t="s">
        <v>4049</v>
      </c>
      <c r="K538" s="60">
        <v>35.731622999999999</v>
      </c>
      <c r="L538">
        <v>111.698106</v>
      </c>
    </row>
    <row r="539" spans="1:12" x14ac:dyDescent="0.35">
      <c r="A539" s="60" t="s">
        <v>4761</v>
      </c>
      <c r="B539" s="60" t="s">
        <v>4749</v>
      </c>
      <c r="C539" s="60" t="s">
        <v>4731</v>
      </c>
      <c r="D539" s="61" t="s">
        <v>84</v>
      </c>
      <c r="E539" t="str">
        <f>VLOOKUP(Table10[[#This Row],[Country]],Countries!$A$1:$D$205,2,TRUE)</f>
        <v>CAN</v>
      </c>
      <c r="F539" s="60">
        <v>2003</v>
      </c>
      <c r="G539" s="60" t="s">
        <v>4026</v>
      </c>
      <c r="H539" s="65" t="s">
        <v>4022</v>
      </c>
      <c r="I539" s="65">
        <v>600</v>
      </c>
      <c r="J539" s="60" t="s">
        <v>4111</v>
      </c>
      <c r="K539" s="60">
        <v>35.670847999999999</v>
      </c>
      <c r="L539">
        <v>111.37888700000001</v>
      </c>
    </row>
    <row r="540" spans="1:12" x14ac:dyDescent="0.35">
      <c r="A540" s="60" t="s">
        <v>4762</v>
      </c>
      <c r="B540" s="60" t="s">
        <v>4763</v>
      </c>
      <c r="C540" s="60" t="s">
        <v>4731</v>
      </c>
      <c r="D540" s="61" t="s">
        <v>84</v>
      </c>
      <c r="E540" t="str">
        <f>VLOOKUP(Table10[[#This Row],[Country]],Countries!$A$1:$D$205,2,TRUE)</f>
        <v>CAN</v>
      </c>
      <c r="F540" s="60">
        <v>1992</v>
      </c>
      <c r="G540" s="60" t="s">
        <v>4026</v>
      </c>
      <c r="H540" s="65">
        <v>3600</v>
      </c>
      <c r="I540" s="65">
        <v>3600</v>
      </c>
      <c r="J540" s="60" t="s">
        <v>4049</v>
      </c>
      <c r="K540" s="60">
        <v>37.370795999999999</v>
      </c>
      <c r="L540">
        <v>111.161118</v>
      </c>
    </row>
    <row r="541" spans="1:12" x14ac:dyDescent="0.35">
      <c r="A541" s="60" t="s">
        <v>4764</v>
      </c>
      <c r="B541" s="60" t="s">
        <v>4763</v>
      </c>
      <c r="C541" s="60" t="s">
        <v>4731</v>
      </c>
      <c r="D541" s="61" t="s">
        <v>84</v>
      </c>
      <c r="E541" t="str">
        <f>VLOOKUP(Table10[[#This Row],[Country]],Countries!$A$1:$D$205,2,TRUE)</f>
        <v>CAN</v>
      </c>
      <c r="F541" s="60">
        <v>2003</v>
      </c>
      <c r="G541" s="60" t="s">
        <v>4107</v>
      </c>
      <c r="H541" s="65">
        <v>3300</v>
      </c>
      <c r="I541" s="65">
        <v>4835</v>
      </c>
      <c r="J541" s="60" t="s">
        <v>4049</v>
      </c>
      <c r="K541" s="60">
        <v>37.469884</v>
      </c>
      <c r="L541">
        <v>112.06056700000001</v>
      </c>
    </row>
    <row r="542" spans="1:12" x14ac:dyDescent="0.35">
      <c r="A542" s="60" t="s">
        <v>4765</v>
      </c>
      <c r="B542" s="60" t="s">
        <v>4763</v>
      </c>
      <c r="C542" s="60" t="s">
        <v>4731</v>
      </c>
      <c r="D542" s="61" t="s">
        <v>84</v>
      </c>
      <c r="E542" t="str">
        <f>VLOOKUP(Table10[[#This Row],[Country]],Countries!$A$1:$D$205,2,TRUE)</f>
        <v>CAN</v>
      </c>
      <c r="F542" s="60" t="s">
        <v>4036</v>
      </c>
      <c r="G542" s="60" t="s">
        <v>4037</v>
      </c>
      <c r="H542" s="65">
        <v>1600</v>
      </c>
      <c r="I542" s="65">
        <v>1520</v>
      </c>
      <c r="J542" s="60" t="s">
        <v>4049</v>
      </c>
      <c r="K542" s="60">
        <v>37.450249999999997</v>
      </c>
      <c r="L542">
        <v>112.052094</v>
      </c>
    </row>
    <row r="543" spans="1:12" x14ac:dyDescent="0.35">
      <c r="A543" s="60" t="s">
        <v>4766</v>
      </c>
      <c r="B543" s="60" t="s">
        <v>4767</v>
      </c>
      <c r="C543" s="60" t="s">
        <v>4731</v>
      </c>
      <c r="D543" s="61" t="s">
        <v>84</v>
      </c>
      <c r="E543" t="str">
        <f>VLOOKUP(Table10[[#This Row],[Country]],Countries!$A$1:$D$205,2,TRUE)</f>
        <v>CAN</v>
      </c>
      <c r="F543" s="60">
        <v>1997</v>
      </c>
      <c r="G543" s="60" t="s">
        <v>4026</v>
      </c>
      <c r="H543" s="65">
        <v>12940</v>
      </c>
      <c r="I543" s="65">
        <v>8480</v>
      </c>
      <c r="J543" s="60" t="s">
        <v>4161</v>
      </c>
      <c r="K543" s="60">
        <v>37.931488000000002</v>
      </c>
      <c r="L543">
        <v>112.539321</v>
      </c>
    </row>
    <row r="544" spans="1:12" x14ac:dyDescent="0.35">
      <c r="A544" s="60" t="s">
        <v>4768</v>
      </c>
      <c r="B544" s="60" t="s">
        <v>4767</v>
      </c>
      <c r="C544" s="60" t="s">
        <v>4731</v>
      </c>
      <c r="D544" s="61" t="s">
        <v>84</v>
      </c>
      <c r="E544" t="str">
        <f>VLOOKUP(Table10[[#This Row],[Country]],Countries!$A$1:$D$205,2,TRUE)</f>
        <v>CAN</v>
      </c>
      <c r="F544" s="60">
        <v>2024</v>
      </c>
      <c r="G544" s="60" t="s">
        <v>4037</v>
      </c>
      <c r="H544" s="65">
        <v>700</v>
      </c>
      <c r="I544" s="65" t="s">
        <v>4022</v>
      </c>
      <c r="J544" s="60" t="s">
        <v>4023</v>
      </c>
      <c r="K544" s="60">
        <v>37.931488000000002</v>
      </c>
      <c r="L544">
        <v>112.539321</v>
      </c>
    </row>
    <row r="545" spans="1:12" x14ac:dyDescent="0.35">
      <c r="A545" s="60" t="s">
        <v>4769</v>
      </c>
      <c r="B545" s="60" t="s">
        <v>4767</v>
      </c>
      <c r="C545" s="60" t="s">
        <v>4731</v>
      </c>
      <c r="D545" s="61" t="s">
        <v>84</v>
      </c>
      <c r="E545" t="str">
        <f>VLOOKUP(Table10[[#This Row],[Country]],Countries!$A$1:$D$205,2,TRUE)</f>
        <v>CAN</v>
      </c>
      <c r="F545" s="60">
        <v>2003</v>
      </c>
      <c r="G545" s="60" t="s">
        <v>4026</v>
      </c>
      <c r="H545" s="65">
        <v>1700</v>
      </c>
      <c r="I545" s="65">
        <v>2200</v>
      </c>
      <c r="J545" s="60" t="s">
        <v>4049</v>
      </c>
      <c r="K545" s="60">
        <v>37.571353999999999</v>
      </c>
      <c r="L545">
        <v>112.22979100000001</v>
      </c>
    </row>
    <row r="546" spans="1:12" x14ac:dyDescent="0.35">
      <c r="A546" s="60" t="s">
        <v>4770</v>
      </c>
      <c r="B546" s="60" t="s">
        <v>4767</v>
      </c>
      <c r="C546" s="60" t="s">
        <v>4731</v>
      </c>
      <c r="D546" s="61" t="s">
        <v>84</v>
      </c>
      <c r="E546" t="str">
        <f>VLOOKUP(Table10[[#This Row],[Country]],Countries!$A$1:$D$205,2,TRUE)</f>
        <v>CAN</v>
      </c>
      <c r="F546" s="60" t="s">
        <v>4036</v>
      </c>
      <c r="G546" s="60" t="s">
        <v>4037</v>
      </c>
      <c r="H546" s="65">
        <v>3090</v>
      </c>
      <c r="I546" s="65">
        <v>3518</v>
      </c>
      <c r="J546" s="60" t="s">
        <v>4049</v>
      </c>
      <c r="K546" s="60">
        <v>38.7393</v>
      </c>
      <c r="L546">
        <v>112.689086</v>
      </c>
    </row>
    <row r="547" spans="1:12" x14ac:dyDescent="0.35">
      <c r="A547" s="60" t="s">
        <v>4771</v>
      </c>
      <c r="B547" s="60" t="s">
        <v>4772</v>
      </c>
      <c r="C547" s="60" t="s">
        <v>4731</v>
      </c>
      <c r="D547" s="61" t="s">
        <v>84</v>
      </c>
      <c r="E547" t="str">
        <f>VLOOKUP(Table10[[#This Row],[Country]],Countries!$A$1:$D$205,2,TRUE)</f>
        <v>CAN</v>
      </c>
      <c r="F547" s="60">
        <v>1997</v>
      </c>
      <c r="G547" s="60" t="s">
        <v>4026</v>
      </c>
      <c r="H547" s="65">
        <v>4500</v>
      </c>
      <c r="I547" s="65">
        <v>4000</v>
      </c>
      <c r="J547" s="60" t="s">
        <v>4049</v>
      </c>
      <c r="K547" s="60">
        <v>35.586841</v>
      </c>
      <c r="L547">
        <v>111.258436</v>
      </c>
    </row>
    <row r="548" spans="1:12" x14ac:dyDescent="0.35">
      <c r="A548" s="60" t="s">
        <v>4773</v>
      </c>
      <c r="B548" s="60" t="s">
        <v>4772</v>
      </c>
      <c r="C548" s="60" t="s">
        <v>4731</v>
      </c>
      <c r="D548" s="61" t="s">
        <v>84</v>
      </c>
      <c r="E548" t="str">
        <f>VLOOKUP(Table10[[#This Row],[Country]],Countries!$A$1:$D$205,2,TRUE)</f>
        <v>CAN</v>
      </c>
      <c r="F548" s="60">
        <v>2000</v>
      </c>
      <c r="G548" s="60" t="s">
        <v>4026</v>
      </c>
      <c r="H548" s="65">
        <v>4750</v>
      </c>
      <c r="I548" s="65">
        <v>5600</v>
      </c>
      <c r="J548" s="60" t="s">
        <v>4049</v>
      </c>
      <c r="K548" s="60">
        <v>35.417405000000002</v>
      </c>
      <c r="L548">
        <v>111.30391899999999</v>
      </c>
    </row>
    <row r="549" spans="1:12" x14ac:dyDescent="0.35">
      <c r="A549" s="60" t="s">
        <v>4774</v>
      </c>
      <c r="B549" s="60" t="s">
        <v>4772</v>
      </c>
      <c r="C549" s="60" t="s">
        <v>4731</v>
      </c>
      <c r="D549" s="60" t="s">
        <v>84</v>
      </c>
      <c r="E549" t="str">
        <f>VLOOKUP(Table10[[#This Row],[Country]],Countries!$A$1:$D$205,2,TRUE)</f>
        <v>CAN</v>
      </c>
      <c r="F549" s="60">
        <v>2013</v>
      </c>
      <c r="G549" s="60" t="s">
        <v>4026</v>
      </c>
      <c r="H549" s="65">
        <v>1520</v>
      </c>
      <c r="I549" s="65">
        <v>1100</v>
      </c>
      <c r="J549" s="60" t="s">
        <v>4049</v>
      </c>
      <c r="K549" s="60">
        <v>35.665945000000001</v>
      </c>
      <c r="L549">
        <v>111.025976</v>
      </c>
    </row>
    <row r="550" spans="1:12" x14ac:dyDescent="0.35">
      <c r="A550" s="60" t="s">
        <v>4775</v>
      </c>
      <c r="B550" s="60" t="s">
        <v>4772</v>
      </c>
      <c r="C550" s="60" t="s">
        <v>4731</v>
      </c>
      <c r="D550" s="60" t="s">
        <v>84</v>
      </c>
      <c r="E550" t="str">
        <f>VLOOKUP(Table10[[#This Row],[Country]],Countries!$A$1:$D$205,2,TRUE)</f>
        <v>CAN</v>
      </c>
      <c r="F550" s="60">
        <v>2023</v>
      </c>
      <c r="G550" s="60" t="s">
        <v>4021</v>
      </c>
      <c r="H550" s="65">
        <v>1433</v>
      </c>
      <c r="I550" s="65">
        <v>1142</v>
      </c>
      <c r="J550" s="60" t="s">
        <v>4049</v>
      </c>
      <c r="K550" s="60">
        <v>35.665945000000001</v>
      </c>
      <c r="L550">
        <v>111.025976</v>
      </c>
    </row>
    <row r="551" spans="1:12" x14ac:dyDescent="0.35">
      <c r="A551" s="60" t="s">
        <v>4776</v>
      </c>
      <c r="B551" s="60" t="s">
        <v>4777</v>
      </c>
      <c r="C551" s="60" t="s">
        <v>4778</v>
      </c>
      <c r="D551" s="61" t="s">
        <v>84</v>
      </c>
      <c r="E551" t="str">
        <f>VLOOKUP(Table10[[#This Row],[Country]],Countries!$A$1:$D$205,2,TRUE)</f>
        <v>CAN</v>
      </c>
      <c r="F551" s="60">
        <v>1970</v>
      </c>
      <c r="G551" s="60" t="s">
        <v>4026</v>
      </c>
      <c r="H551" s="65">
        <v>800</v>
      </c>
      <c r="I551" s="65" t="s">
        <v>4022</v>
      </c>
      <c r="J551" s="60" t="s">
        <v>4023</v>
      </c>
      <c r="K551" s="60">
        <v>31.031921000000001</v>
      </c>
      <c r="L551">
        <v>103.672956</v>
      </c>
    </row>
    <row r="552" spans="1:12" x14ac:dyDescent="0.35">
      <c r="A552" s="60" t="s">
        <v>4779</v>
      </c>
      <c r="B552" s="60" t="s">
        <v>4777</v>
      </c>
      <c r="C552" s="60" t="s">
        <v>4778</v>
      </c>
      <c r="D552" s="61" t="s">
        <v>84</v>
      </c>
      <c r="E552" t="str">
        <f>VLOOKUP(Table10[[#This Row],[Country]],Countries!$A$1:$D$205,2,TRUE)</f>
        <v>CAN</v>
      </c>
      <c r="F552" s="60">
        <v>2022</v>
      </c>
      <c r="G552" s="60" t="s">
        <v>4026</v>
      </c>
      <c r="H552" s="65">
        <v>500</v>
      </c>
      <c r="I552" s="65" t="s">
        <v>4022</v>
      </c>
      <c r="J552" s="60" t="s">
        <v>4023</v>
      </c>
      <c r="K552" s="60">
        <v>31.031921000000001</v>
      </c>
      <c r="L552">
        <v>103.672956</v>
      </c>
    </row>
    <row r="553" spans="1:12" x14ac:dyDescent="0.35">
      <c r="A553" s="60" t="s">
        <v>4779</v>
      </c>
      <c r="B553" s="60" t="s">
        <v>4777</v>
      </c>
      <c r="C553" s="60" t="s">
        <v>4778</v>
      </c>
      <c r="D553" s="61" t="s">
        <v>84</v>
      </c>
      <c r="E553" t="str">
        <f>VLOOKUP(Table10[[#This Row],[Country]],Countries!$A$1:$D$205,2,TRUE)</f>
        <v>CAN</v>
      </c>
      <c r="F553" s="60">
        <v>2022</v>
      </c>
      <c r="G553" s="60" t="s">
        <v>4021</v>
      </c>
      <c r="H553" s="65">
        <v>1000</v>
      </c>
      <c r="I553" s="65" t="s">
        <v>4022</v>
      </c>
      <c r="J553" s="60" t="s">
        <v>4023</v>
      </c>
      <c r="K553" s="60">
        <v>31.031921000000001</v>
      </c>
      <c r="L553">
        <v>103.672956</v>
      </c>
    </row>
    <row r="554" spans="1:12" x14ac:dyDescent="0.35">
      <c r="A554" s="60" t="s">
        <v>4780</v>
      </c>
      <c r="B554" s="60" t="s">
        <v>4781</v>
      </c>
      <c r="C554" s="60" t="s">
        <v>4778</v>
      </c>
      <c r="D554" s="61" t="s">
        <v>84</v>
      </c>
      <c r="E554" t="str">
        <f>VLOOKUP(Table10[[#This Row],[Country]],Countries!$A$1:$D$205,2,TRUE)</f>
        <v>CAN</v>
      </c>
      <c r="F554" s="60">
        <v>2024</v>
      </c>
      <c r="G554" s="60" t="s">
        <v>4021</v>
      </c>
      <c r="H554" s="65">
        <v>2300</v>
      </c>
      <c r="I554" s="65">
        <v>2428</v>
      </c>
      <c r="J554" s="60" t="s">
        <v>4049</v>
      </c>
      <c r="K554" s="60">
        <v>31.023263</v>
      </c>
      <c r="L554">
        <v>107.698875</v>
      </c>
    </row>
    <row r="555" spans="1:12" x14ac:dyDescent="0.35">
      <c r="A555" s="60" t="s">
        <v>4782</v>
      </c>
      <c r="B555" s="60" t="s">
        <v>4783</v>
      </c>
      <c r="C555" s="60" t="s">
        <v>4778</v>
      </c>
      <c r="D555" s="61" t="s">
        <v>84</v>
      </c>
      <c r="E555" t="str">
        <f>VLOOKUP(Table10[[#This Row],[Country]],Countries!$A$1:$D$205,2,TRUE)</f>
        <v>CAN</v>
      </c>
      <c r="F555" s="60">
        <v>2022</v>
      </c>
      <c r="G555" s="60" t="s">
        <v>4026</v>
      </c>
      <c r="H555" s="65">
        <v>1000</v>
      </c>
      <c r="I555" s="65" t="s">
        <v>4036</v>
      </c>
      <c r="J555" s="60" t="s">
        <v>4023</v>
      </c>
      <c r="K555" s="60">
        <v>31.435148999999999</v>
      </c>
      <c r="L555">
        <v>107.685981</v>
      </c>
    </row>
    <row r="556" spans="1:12" x14ac:dyDescent="0.35">
      <c r="A556" s="60" t="s">
        <v>4784</v>
      </c>
      <c r="B556" s="60" t="s">
        <v>4785</v>
      </c>
      <c r="C556" s="60" t="s">
        <v>4778</v>
      </c>
      <c r="D556" s="61" t="s">
        <v>84</v>
      </c>
      <c r="E556" t="str">
        <f>VLOOKUP(Table10[[#This Row],[Country]],Countries!$A$1:$D$205,2,TRUE)</f>
        <v>CAN</v>
      </c>
      <c r="F556" s="60">
        <v>2022</v>
      </c>
      <c r="G556" s="60" t="s">
        <v>4026</v>
      </c>
      <c r="H556" s="65">
        <v>1500</v>
      </c>
      <c r="I556" s="65" t="s">
        <v>4036</v>
      </c>
      <c r="J556" s="60" t="s">
        <v>4023</v>
      </c>
      <c r="K556" s="60">
        <v>31.255960999999999</v>
      </c>
      <c r="L556">
        <v>104.190612</v>
      </c>
    </row>
    <row r="557" spans="1:12" x14ac:dyDescent="0.35">
      <c r="A557" s="60" t="s">
        <v>4786</v>
      </c>
      <c r="B557" s="60" t="s">
        <v>4180</v>
      </c>
      <c r="C557" s="60" t="s">
        <v>4778</v>
      </c>
      <c r="D557" s="61" t="s">
        <v>84</v>
      </c>
      <c r="E557" t="str">
        <f>VLOOKUP(Table10[[#This Row],[Country]],Countries!$A$1:$D$205,2,TRUE)</f>
        <v>CAN</v>
      </c>
      <c r="F557" s="60">
        <v>2020</v>
      </c>
      <c r="G557" s="60" t="s">
        <v>4026</v>
      </c>
      <c r="H557" s="65">
        <v>600</v>
      </c>
      <c r="I557" s="65" t="s">
        <v>4022</v>
      </c>
      <c r="J557" s="60" t="s">
        <v>4023</v>
      </c>
      <c r="K557" s="60">
        <v>29.501044</v>
      </c>
      <c r="L557">
        <v>103.607365</v>
      </c>
    </row>
    <row r="558" spans="1:12" x14ac:dyDescent="0.35">
      <c r="A558" s="60" t="s">
        <v>4787</v>
      </c>
      <c r="B558" s="60" t="s">
        <v>4788</v>
      </c>
      <c r="C558" s="60" t="s">
        <v>4778</v>
      </c>
      <c r="D558" s="61" t="s">
        <v>84</v>
      </c>
      <c r="E558" t="str">
        <f>VLOOKUP(Table10[[#This Row],[Country]],Countries!$A$1:$D$205,2,TRUE)</f>
        <v>CAN</v>
      </c>
      <c r="F558" s="60">
        <v>2011</v>
      </c>
      <c r="G558" s="60" t="s">
        <v>4026</v>
      </c>
      <c r="H558" s="65">
        <v>3900</v>
      </c>
      <c r="I558" s="65">
        <v>4290</v>
      </c>
      <c r="J558" s="60" t="s">
        <v>4049</v>
      </c>
      <c r="K558" s="60">
        <v>27.747990000000001</v>
      </c>
      <c r="L558">
        <v>102.20517</v>
      </c>
    </row>
    <row r="559" spans="1:12" x14ac:dyDescent="0.35">
      <c r="A559" s="60" t="s">
        <v>4789</v>
      </c>
      <c r="B559" s="60" t="s">
        <v>4790</v>
      </c>
      <c r="C559" s="60" t="s">
        <v>4778</v>
      </c>
      <c r="D559" s="61" t="s">
        <v>84</v>
      </c>
      <c r="E559" t="str">
        <f>VLOOKUP(Table10[[#This Row],[Country]],Countries!$A$1:$D$205,2,TRUE)</f>
        <v>CAN</v>
      </c>
      <c r="F559" s="60">
        <v>2021</v>
      </c>
      <c r="G559" s="60" t="s">
        <v>4026</v>
      </c>
      <c r="H559" s="65">
        <v>2000</v>
      </c>
      <c r="I559" s="65" t="s">
        <v>4022</v>
      </c>
      <c r="J559" s="60" t="s">
        <v>4023</v>
      </c>
      <c r="K559" s="60">
        <v>28.851779000000001</v>
      </c>
      <c r="L559">
        <v>105.70509</v>
      </c>
    </row>
    <row r="560" spans="1:12" x14ac:dyDescent="0.35">
      <c r="A560" s="60" t="s">
        <v>4791</v>
      </c>
      <c r="B560" s="60" t="s">
        <v>4792</v>
      </c>
      <c r="C560" s="60" t="s">
        <v>4778</v>
      </c>
      <c r="D560" s="61" t="s">
        <v>84</v>
      </c>
      <c r="E560" t="str">
        <f>VLOOKUP(Table10[[#This Row],[Country]],Countries!$A$1:$D$205,2,TRUE)</f>
        <v>CAN</v>
      </c>
      <c r="F560" s="60">
        <v>1965</v>
      </c>
      <c r="G560" s="60" t="s">
        <v>4026</v>
      </c>
      <c r="H560" s="65">
        <v>670</v>
      </c>
      <c r="I560" s="65" t="s">
        <v>4022</v>
      </c>
      <c r="J560" s="60" t="s">
        <v>4023</v>
      </c>
      <c r="K560" s="60">
        <v>31.763517</v>
      </c>
      <c r="L560">
        <v>104.761441</v>
      </c>
    </row>
    <row r="561" spans="1:12" x14ac:dyDescent="0.35">
      <c r="A561" s="60" t="s">
        <v>4793</v>
      </c>
      <c r="B561" s="60" t="s">
        <v>4794</v>
      </c>
      <c r="C561" s="60" t="s">
        <v>4778</v>
      </c>
      <c r="D561" s="61" t="s">
        <v>84</v>
      </c>
      <c r="E561" t="str">
        <f>VLOOKUP(Table10[[#This Row],[Country]],Countries!$A$1:$D$205,2,TRUE)</f>
        <v>CAN</v>
      </c>
      <c r="F561" s="60">
        <v>1929</v>
      </c>
      <c r="G561" s="60" t="s">
        <v>4026</v>
      </c>
      <c r="H561" s="65">
        <v>6000</v>
      </c>
      <c r="I561" s="65">
        <v>5000</v>
      </c>
      <c r="J561" s="60" t="s">
        <v>4049</v>
      </c>
      <c r="K561" s="60">
        <v>29.732143000000001</v>
      </c>
      <c r="L561">
        <v>104.504339</v>
      </c>
    </row>
    <row r="562" spans="1:12" x14ac:dyDescent="0.35">
      <c r="A562" s="60" t="s">
        <v>4795</v>
      </c>
      <c r="B562" s="60" t="s">
        <v>4796</v>
      </c>
      <c r="C562" s="60" t="s">
        <v>4778</v>
      </c>
      <c r="D562" s="61" t="s">
        <v>84</v>
      </c>
      <c r="E562" t="str">
        <f>VLOOKUP(Table10[[#This Row],[Country]],Countries!$A$1:$D$205,2,TRUE)</f>
        <v>CAN</v>
      </c>
      <c r="F562" s="60">
        <v>1965</v>
      </c>
      <c r="G562" s="60" t="s">
        <v>4026</v>
      </c>
      <c r="H562" s="65">
        <v>5900</v>
      </c>
      <c r="I562" s="65">
        <v>6000</v>
      </c>
      <c r="J562" s="60" t="s">
        <v>4049</v>
      </c>
      <c r="K562" s="60">
        <v>26.565265</v>
      </c>
      <c r="L562">
        <v>101.673737</v>
      </c>
    </row>
    <row r="563" spans="1:12" x14ac:dyDescent="0.35">
      <c r="A563" s="60" t="s">
        <v>4797</v>
      </c>
      <c r="B563" s="60" t="s">
        <v>4798</v>
      </c>
      <c r="C563" s="60" t="s">
        <v>4778</v>
      </c>
      <c r="D563" s="60" t="s">
        <v>84</v>
      </c>
      <c r="E563" t="str">
        <f>VLOOKUP(Table10[[#This Row],[Country]],Countries!$A$1:$D$205,2,TRUE)</f>
        <v>CAN</v>
      </c>
      <c r="F563" s="60">
        <v>2000</v>
      </c>
      <c r="G563" s="60" t="s">
        <v>4026</v>
      </c>
      <c r="H563" s="65">
        <v>550</v>
      </c>
      <c r="I563" s="65" t="s">
        <v>4022</v>
      </c>
      <c r="J563" s="60" t="s">
        <v>4023</v>
      </c>
      <c r="K563" s="60">
        <v>30.830725999999999</v>
      </c>
      <c r="L563">
        <v>105.367695</v>
      </c>
    </row>
    <row r="564" spans="1:12" x14ac:dyDescent="0.35">
      <c r="A564" s="60" t="s">
        <v>4799</v>
      </c>
      <c r="B564" s="60" t="s">
        <v>4800</v>
      </c>
      <c r="C564" s="60" t="s">
        <v>4778</v>
      </c>
      <c r="D564" s="61" t="s">
        <v>84</v>
      </c>
      <c r="E564" t="str">
        <f>VLOOKUP(Table10[[#This Row],[Country]],Countries!$A$1:$D$205,2,TRUE)</f>
        <v>CAN</v>
      </c>
      <c r="F564" s="60">
        <v>1997</v>
      </c>
      <c r="G564" s="60" t="s">
        <v>4026</v>
      </c>
      <c r="H564" s="65">
        <v>2700</v>
      </c>
      <c r="I564" s="65">
        <v>2639</v>
      </c>
      <c r="J564" s="60" t="s">
        <v>4049</v>
      </c>
      <c r="K564" s="60">
        <v>31.189450000000001</v>
      </c>
      <c r="L564">
        <v>107.45309899999999</v>
      </c>
    </row>
    <row r="565" spans="1:12" x14ac:dyDescent="0.35">
      <c r="A565" s="60" t="s">
        <v>4801</v>
      </c>
      <c r="B565" s="60" t="s">
        <v>4802</v>
      </c>
      <c r="C565" s="60" t="s">
        <v>4778</v>
      </c>
      <c r="D565" s="60" t="s">
        <v>84</v>
      </c>
      <c r="E565" t="str">
        <f>VLOOKUP(Table10[[#This Row],[Country]],Countries!$A$1:$D$205,2,TRUE)</f>
        <v>CAN</v>
      </c>
      <c r="F565" s="60">
        <v>2017</v>
      </c>
      <c r="G565" s="60" t="s">
        <v>4026</v>
      </c>
      <c r="H565" s="65">
        <v>830</v>
      </c>
      <c r="I565" s="65" t="s">
        <v>4022</v>
      </c>
      <c r="J565" s="60" t="s">
        <v>4023</v>
      </c>
      <c r="K565" s="60">
        <v>30.059132999999999</v>
      </c>
      <c r="L565">
        <v>102.625907</v>
      </c>
    </row>
    <row r="566" spans="1:12" x14ac:dyDescent="0.35">
      <c r="A566" s="60" t="s">
        <v>4803</v>
      </c>
      <c r="B566" s="60" t="s">
        <v>4804</v>
      </c>
      <c r="C566" s="60" t="s">
        <v>3065</v>
      </c>
      <c r="D566" s="61" t="s">
        <v>84</v>
      </c>
      <c r="E566" t="str">
        <f>VLOOKUP(Table10[[#This Row],[Country]],Countries!$A$1:$D$205,2,TRUE)</f>
        <v>CAN</v>
      </c>
      <c r="F566" s="60">
        <v>1999</v>
      </c>
      <c r="G566" s="60" t="s">
        <v>4048</v>
      </c>
      <c r="H566" s="65">
        <v>1350</v>
      </c>
      <c r="I566" s="65">
        <v>870</v>
      </c>
      <c r="J566" s="60" t="s">
        <v>4049</v>
      </c>
      <c r="K566" s="60">
        <v>39.501441999999997</v>
      </c>
      <c r="L566">
        <v>118.719554</v>
      </c>
    </row>
    <row r="567" spans="1:12" x14ac:dyDescent="0.35">
      <c r="A567" s="60" t="s">
        <v>4805</v>
      </c>
      <c r="B567" s="60" t="s">
        <v>4806</v>
      </c>
      <c r="C567" s="60" t="s">
        <v>3065</v>
      </c>
      <c r="D567" s="61" t="s">
        <v>84</v>
      </c>
      <c r="E567" t="str">
        <f>VLOOKUP(Table10[[#This Row],[Country]],Countries!$A$1:$D$205,2,TRUE)</f>
        <v>CAN</v>
      </c>
      <c r="F567" s="60">
        <v>1935</v>
      </c>
      <c r="G567" s="60" t="s">
        <v>4026</v>
      </c>
      <c r="H567" s="65">
        <v>6650</v>
      </c>
      <c r="I567" s="65">
        <v>5500</v>
      </c>
      <c r="J567" s="60" t="s">
        <v>4049</v>
      </c>
      <c r="K567" s="60">
        <v>39.031083000000002</v>
      </c>
      <c r="L567">
        <v>117.499246</v>
      </c>
    </row>
    <row r="568" spans="1:12" x14ac:dyDescent="0.35">
      <c r="A568" s="60" t="s">
        <v>4807</v>
      </c>
      <c r="B568" s="60" t="s">
        <v>4806</v>
      </c>
      <c r="C568" s="60" t="s">
        <v>3065</v>
      </c>
      <c r="D568" s="61" t="s">
        <v>84</v>
      </c>
      <c r="E568" t="str">
        <f>VLOOKUP(Table10[[#This Row],[Country]],Countries!$A$1:$D$205,2,TRUE)</f>
        <v>CAN</v>
      </c>
      <c r="F568" s="60">
        <v>2010</v>
      </c>
      <c r="G568" s="60" t="s">
        <v>4026</v>
      </c>
      <c r="H568" s="65">
        <v>3000</v>
      </c>
      <c r="I568" s="65">
        <v>1000</v>
      </c>
      <c r="J568" s="60" t="s">
        <v>4027</v>
      </c>
      <c r="K568" s="60">
        <v>39.034002000000001</v>
      </c>
      <c r="L568">
        <v>117.48679799999999</v>
      </c>
    </row>
    <row r="569" spans="1:12" x14ac:dyDescent="0.35">
      <c r="A569" s="60" t="s">
        <v>4808</v>
      </c>
      <c r="B569" s="60" t="s">
        <v>4317</v>
      </c>
      <c r="C569" s="60" t="s">
        <v>3065</v>
      </c>
      <c r="D569" s="61" t="s">
        <v>84</v>
      </c>
      <c r="E569" t="str">
        <f>VLOOKUP(Table10[[#This Row],[Country]],Countries!$A$1:$D$205,2,TRUE)</f>
        <v>CAN</v>
      </c>
      <c r="F569" s="60">
        <v>1969</v>
      </c>
      <c r="G569" s="60" t="s">
        <v>4026</v>
      </c>
      <c r="H569" s="65">
        <v>5400</v>
      </c>
      <c r="I569" s="65">
        <v>6230</v>
      </c>
      <c r="J569" s="60" t="s">
        <v>4049</v>
      </c>
      <c r="K569" s="60">
        <v>36.589669999999998</v>
      </c>
      <c r="L569">
        <v>113.74579199999999</v>
      </c>
    </row>
    <row r="570" spans="1:12" x14ac:dyDescent="0.35">
      <c r="A570" s="60" t="s">
        <v>4809</v>
      </c>
      <c r="B570" s="60" t="s">
        <v>4317</v>
      </c>
      <c r="C570" s="60" t="s">
        <v>3065</v>
      </c>
      <c r="D570" s="61" t="s">
        <v>84</v>
      </c>
      <c r="E570" t="str">
        <f>VLOOKUP(Table10[[#This Row],[Country]],Countries!$A$1:$D$205,2,TRUE)</f>
        <v>CAN</v>
      </c>
      <c r="F570" s="60" t="s">
        <v>4036</v>
      </c>
      <c r="G570" s="60" t="s">
        <v>4037</v>
      </c>
      <c r="H570" s="65">
        <v>1250</v>
      </c>
      <c r="I570" s="65" t="s">
        <v>4022</v>
      </c>
      <c r="J570" s="60" t="s">
        <v>4163</v>
      </c>
      <c r="K570" s="60">
        <v>36.589669999999998</v>
      </c>
      <c r="L570">
        <v>113.74579199999999</v>
      </c>
    </row>
    <row r="571" spans="1:12" x14ac:dyDescent="0.35">
      <c r="A571" s="60" t="s">
        <v>4810</v>
      </c>
      <c r="B571" s="60" t="s">
        <v>4317</v>
      </c>
      <c r="C571" s="60" t="s">
        <v>3065</v>
      </c>
      <c r="D571" s="61" t="s">
        <v>84</v>
      </c>
      <c r="E571" t="str">
        <f>VLOOKUP(Table10[[#This Row],[Country]],Countries!$A$1:$D$205,2,TRUE)</f>
        <v>CAN</v>
      </c>
      <c r="F571" s="60" t="s">
        <v>4036</v>
      </c>
      <c r="G571" s="60" t="s">
        <v>4021</v>
      </c>
      <c r="H571" s="65" t="s">
        <v>4022</v>
      </c>
      <c r="I571" s="65">
        <v>1520</v>
      </c>
      <c r="J571" s="60" t="s">
        <v>4111</v>
      </c>
      <c r="K571" s="60">
        <v>36.589669999999998</v>
      </c>
      <c r="L571">
        <v>113.74579199999999</v>
      </c>
    </row>
    <row r="572" spans="1:12" x14ac:dyDescent="0.35">
      <c r="A572" s="60" t="s">
        <v>4810</v>
      </c>
      <c r="B572" s="60" t="s">
        <v>4317</v>
      </c>
      <c r="C572" s="60" t="s">
        <v>3065</v>
      </c>
      <c r="D572" s="61" t="s">
        <v>84</v>
      </c>
      <c r="E572" t="str">
        <f>VLOOKUP(Table10[[#This Row],[Country]],Countries!$A$1:$D$205,2,TRUE)</f>
        <v>CAN</v>
      </c>
      <c r="F572" s="60" t="s">
        <v>4036</v>
      </c>
      <c r="G572" s="60" t="s">
        <v>4037</v>
      </c>
      <c r="H572" s="65" t="s">
        <v>4022</v>
      </c>
      <c r="I572" s="65">
        <v>1520</v>
      </c>
      <c r="J572" s="60" t="s">
        <v>4111</v>
      </c>
      <c r="K572" s="60">
        <v>36.589669999999998</v>
      </c>
      <c r="L572">
        <v>113.74579199999999</v>
      </c>
    </row>
    <row r="573" spans="1:12" x14ac:dyDescent="0.35">
      <c r="A573" s="60" t="s">
        <v>4811</v>
      </c>
      <c r="B573" s="60" t="s">
        <v>4317</v>
      </c>
      <c r="C573" s="60" t="s">
        <v>3065</v>
      </c>
      <c r="D573" s="61" t="s">
        <v>84</v>
      </c>
      <c r="E573" t="str">
        <f>VLOOKUP(Table10[[#This Row],[Country]],Countries!$A$1:$D$205,2,TRUE)</f>
        <v>CAN</v>
      </c>
      <c r="F573" s="60">
        <v>2003</v>
      </c>
      <c r="G573" s="60" t="s">
        <v>4048</v>
      </c>
      <c r="H573" s="65">
        <v>1000</v>
      </c>
      <c r="I573" s="65">
        <v>500</v>
      </c>
      <c r="J573" s="60" t="s">
        <v>4049</v>
      </c>
      <c r="K573" s="60">
        <v>36.602468000000002</v>
      </c>
      <c r="L573">
        <v>113.75574400000001</v>
      </c>
    </row>
    <row r="574" spans="1:12" x14ac:dyDescent="0.35">
      <c r="A574" s="60" t="s">
        <v>4812</v>
      </c>
      <c r="B574" s="60" t="s">
        <v>4813</v>
      </c>
      <c r="C574" s="60" t="s">
        <v>3065</v>
      </c>
      <c r="D574" s="61" t="s">
        <v>84</v>
      </c>
      <c r="E574" t="str">
        <f>VLOOKUP(Table10[[#This Row],[Country]],Countries!$A$1:$D$205,2,TRUE)</f>
        <v>CAN</v>
      </c>
      <c r="F574" s="60">
        <v>2001</v>
      </c>
      <c r="G574" s="60" t="s">
        <v>4048</v>
      </c>
      <c r="H574" s="65">
        <v>1800</v>
      </c>
      <c r="I574" s="65">
        <v>1400</v>
      </c>
      <c r="J574" s="60" t="s">
        <v>4049</v>
      </c>
      <c r="K574" s="60">
        <v>38.832642</v>
      </c>
      <c r="L574">
        <v>117.10276500000001</v>
      </c>
    </row>
    <row r="575" spans="1:12" x14ac:dyDescent="0.35">
      <c r="A575" s="60" t="s">
        <v>4814</v>
      </c>
      <c r="B575" s="60" t="s">
        <v>4813</v>
      </c>
      <c r="C575" s="60" t="s">
        <v>3065</v>
      </c>
      <c r="D575" s="61" t="s">
        <v>84</v>
      </c>
      <c r="E575" t="str">
        <f>VLOOKUP(Table10[[#This Row],[Country]],Countries!$A$1:$D$205,2,TRUE)</f>
        <v>CAN</v>
      </c>
      <c r="F575" s="60">
        <v>2009</v>
      </c>
      <c r="G575" s="60" t="s">
        <v>4048</v>
      </c>
      <c r="H575" s="65">
        <v>3000</v>
      </c>
      <c r="I575" s="65">
        <v>1950.08</v>
      </c>
      <c r="J575" s="60" t="s">
        <v>4049</v>
      </c>
      <c r="K575" s="60">
        <v>38.825268999999999</v>
      </c>
      <c r="L575">
        <v>117.08848999999999</v>
      </c>
    </row>
    <row r="576" spans="1:12" x14ac:dyDescent="0.35">
      <c r="A576" s="60" t="s">
        <v>4815</v>
      </c>
      <c r="B576" s="60" t="s">
        <v>4816</v>
      </c>
      <c r="C576" s="60" t="s">
        <v>3065</v>
      </c>
      <c r="D576" s="61" t="s">
        <v>84</v>
      </c>
      <c r="E576" t="str">
        <f>VLOOKUP(Table10[[#This Row],[Country]],Countries!$A$1:$D$205,2,TRUE)</f>
        <v>CAN</v>
      </c>
      <c r="F576" s="60">
        <v>2001</v>
      </c>
      <c r="G576" s="60" t="s">
        <v>4026</v>
      </c>
      <c r="H576" s="65">
        <v>5000</v>
      </c>
      <c r="I576" s="65">
        <v>5000</v>
      </c>
      <c r="J576" s="60" t="s">
        <v>4049</v>
      </c>
      <c r="K576" s="60">
        <v>38.970638000000001</v>
      </c>
      <c r="L576">
        <v>117.495794</v>
      </c>
    </row>
    <row r="577" spans="1:12" x14ac:dyDescent="0.35">
      <c r="A577" s="60" t="s">
        <v>4817</v>
      </c>
      <c r="B577" s="60" t="s">
        <v>4816</v>
      </c>
      <c r="C577" s="60" t="s">
        <v>3065</v>
      </c>
      <c r="D577" s="61" t="s">
        <v>84</v>
      </c>
      <c r="E577" t="str">
        <f>VLOOKUP(Table10[[#This Row],[Country]],Countries!$A$1:$D$205,2,TRUE)</f>
        <v>CAN</v>
      </c>
      <c r="F577" s="60" t="s">
        <v>4036</v>
      </c>
      <c r="G577" s="60" t="s">
        <v>4037</v>
      </c>
      <c r="H577" s="65">
        <v>1250</v>
      </c>
      <c r="I577" s="65" t="s">
        <v>4022</v>
      </c>
      <c r="J577" s="60" t="s">
        <v>4023</v>
      </c>
      <c r="K577" s="60">
        <v>38.970638000000001</v>
      </c>
      <c r="L577">
        <v>117.495794</v>
      </c>
    </row>
    <row r="578" spans="1:12" x14ac:dyDescent="0.35">
      <c r="A578" s="60" t="s">
        <v>4818</v>
      </c>
      <c r="B578" s="60" t="s">
        <v>4819</v>
      </c>
      <c r="C578" s="60" t="s">
        <v>3065</v>
      </c>
      <c r="D578" s="61" t="s">
        <v>84</v>
      </c>
      <c r="E578" t="str">
        <f>VLOOKUP(Table10[[#This Row],[Country]],Countries!$A$1:$D$205,2,TRUE)</f>
        <v>CAN</v>
      </c>
      <c r="F578" s="60">
        <v>2009</v>
      </c>
      <c r="G578" s="60" t="s">
        <v>4026</v>
      </c>
      <c r="H578" s="65">
        <v>4500</v>
      </c>
      <c r="I578" s="65">
        <v>3320</v>
      </c>
      <c r="J578" s="60" t="s">
        <v>4049</v>
      </c>
      <c r="K578" s="60">
        <v>39.300257999999999</v>
      </c>
      <c r="L578">
        <v>117.800231</v>
      </c>
    </row>
    <row r="579" spans="1:12" x14ac:dyDescent="0.35">
      <c r="A579" s="60" t="s">
        <v>4820</v>
      </c>
      <c r="B579" s="60" t="s">
        <v>4819</v>
      </c>
      <c r="C579" s="60" t="s">
        <v>3065</v>
      </c>
      <c r="D579" s="61" t="s">
        <v>84</v>
      </c>
      <c r="E579" t="str">
        <f>VLOOKUP(Table10[[#This Row],[Country]],Countries!$A$1:$D$205,2,TRUE)</f>
        <v>CAN</v>
      </c>
      <c r="F579" s="60">
        <v>2022</v>
      </c>
      <c r="G579" s="60" t="s">
        <v>4026</v>
      </c>
      <c r="H579" s="65" t="s">
        <v>4022</v>
      </c>
      <c r="I579" s="65">
        <v>1150</v>
      </c>
      <c r="J579" s="60" t="s">
        <v>4111</v>
      </c>
      <c r="K579" s="60">
        <v>39.300257999999999</v>
      </c>
      <c r="L579">
        <v>117.800231</v>
      </c>
    </row>
    <row r="580" spans="1:12" x14ac:dyDescent="0.35">
      <c r="A580" s="60" t="s">
        <v>4821</v>
      </c>
      <c r="B580" s="60" t="s">
        <v>4819</v>
      </c>
      <c r="C580" s="60" t="s">
        <v>3065</v>
      </c>
      <c r="D580" s="61" t="s">
        <v>84</v>
      </c>
      <c r="E580" t="str">
        <f>VLOOKUP(Table10[[#This Row],[Country]],Countries!$A$1:$D$205,2,TRUE)</f>
        <v>CAN</v>
      </c>
      <c r="F580" s="60" t="s">
        <v>4022</v>
      </c>
      <c r="G580" s="60" t="s">
        <v>4048</v>
      </c>
      <c r="H580" s="65" t="s">
        <v>4022</v>
      </c>
      <c r="I580" s="65">
        <v>1180</v>
      </c>
      <c r="J580" s="60" t="s">
        <v>4111</v>
      </c>
      <c r="K580" s="60">
        <v>39.300257999999999</v>
      </c>
      <c r="L580">
        <v>117.800231</v>
      </c>
    </row>
    <row r="581" spans="1:12" x14ac:dyDescent="0.35">
      <c r="A581" s="60" t="s">
        <v>4822</v>
      </c>
      <c r="B581" s="60" t="s">
        <v>4823</v>
      </c>
      <c r="C581" s="60" t="s">
        <v>4824</v>
      </c>
      <c r="D581" s="61" t="s">
        <v>84</v>
      </c>
      <c r="E581" t="str">
        <f>VLOOKUP(Table10[[#This Row],[Country]],Countries!$A$1:$D$205,2,TRUE)</f>
        <v>CAN</v>
      </c>
      <c r="F581" s="60">
        <v>1969</v>
      </c>
      <c r="G581" s="60" t="s">
        <v>4048</v>
      </c>
      <c r="H581" s="65">
        <v>2000</v>
      </c>
      <c r="I581" s="65">
        <v>1137.2719999999999</v>
      </c>
      <c r="J581" s="60" t="s">
        <v>4049</v>
      </c>
      <c r="K581" s="60">
        <v>42.674191999999998</v>
      </c>
      <c r="L581">
        <v>86.280156000000005</v>
      </c>
    </row>
    <row r="582" spans="1:12" x14ac:dyDescent="0.35">
      <c r="A582" s="60" t="s">
        <v>4825</v>
      </c>
      <c r="B582" s="60" t="s">
        <v>4823</v>
      </c>
      <c r="C582" s="60" t="s">
        <v>4824</v>
      </c>
      <c r="D582" s="61" t="s">
        <v>84</v>
      </c>
      <c r="E582" t="str">
        <f>VLOOKUP(Table10[[#This Row],[Country]],Countries!$A$1:$D$205,2,TRUE)</f>
        <v>CAN</v>
      </c>
      <c r="F582" s="60">
        <v>2010</v>
      </c>
      <c r="G582" s="60" t="s">
        <v>4026</v>
      </c>
      <c r="H582" s="65">
        <v>2000</v>
      </c>
      <c r="I582" s="65">
        <v>1200</v>
      </c>
      <c r="J582" s="60" t="s">
        <v>4049</v>
      </c>
      <c r="K582" s="60">
        <v>42.333320999999998</v>
      </c>
      <c r="L582">
        <v>86.302481</v>
      </c>
    </row>
    <row r="583" spans="1:12" x14ac:dyDescent="0.35">
      <c r="A583" s="60" t="s">
        <v>4826</v>
      </c>
      <c r="B583" s="60" t="s">
        <v>4827</v>
      </c>
      <c r="C583" s="60" t="s">
        <v>4824</v>
      </c>
      <c r="D583" s="61" t="s">
        <v>84</v>
      </c>
      <c r="E583" t="str">
        <f>VLOOKUP(Table10[[#This Row],[Country]],Countries!$A$1:$D$205,2,TRUE)</f>
        <v>CAN</v>
      </c>
      <c r="F583" s="60">
        <v>2011</v>
      </c>
      <c r="G583" s="60" t="s">
        <v>4026</v>
      </c>
      <c r="H583" s="65">
        <v>1110</v>
      </c>
      <c r="I583" s="65" t="s">
        <v>4022</v>
      </c>
      <c r="J583" s="60" t="s">
        <v>4023</v>
      </c>
      <c r="K583" s="60">
        <v>44.080866</v>
      </c>
      <c r="L583">
        <v>88.417209</v>
      </c>
    </row>
    <row r="584" spans="1:12" x14ac:dyDescent="0.35">
      <c r="A584" s="60" t="s">
        <v>4828</v>
      </c>
      <c r="B584" s="60" t="s">
        <v>4829</v>
      </c>
      <c r="C584" s="60" t="s">
        <v>4824</v>
      </c>
      <c r="D584" s="61" t="s">
        <v>84</v>
      </c>
      <c r="E584" t="str">
        <f>VLOOKUP(Table10[[#This Row],[Country]],Countries!$A$1:$D$205,2,TRUE)</f>
        <v>CAN</v>
      </c>
      <c r="F584" s="60">
        <v>2011</v>
      </c>
      <c r="G584" s="60" t="s">
        <v>4026</v>
      </c>
      <c r="H584" s="65">
        <v>1500</v>
      </c>
      <c r="I584" s="65" t="s">
        <v>4022</v>
      </c>
      <c r="J584" s="60" t="s">
        <v>4023</v>
      </c>
      <c r="K584" s="60">
        <v>44.290298999999997</v>
      </c>
      <c r="L584">
        <v>86.595826000000002</v>
      </c>
    </row>
    <row r="585" spans="1:12" x14ac:dyDescent="0.35">
      <c r="A585" s="60" t="s">
        <v>4830</v>
      </c>
      <c r="B585" s="60" t="s">
        <v>4829</v>
      </c>
      <c r="C585" s="60" t="s">
        <v>4824</v>
      </c>
      <c r="D585" s="61" t="s">
        <v>84</v>
      </c>
      <c r="E585" t="str">
        <f>VLOOKUP(Table10[[#This Row],[Country]],Countries!$A$1:$D$205,2,TRUE)</f>
        <v>CAN</v>
      </c>
      <c r="F585" s="60">
        <v>2023</v>
      </c>
      <c r="G585" s="60" t="s">
        <v>4037</v>
      </c>
      <c r="H585" s="65">
        <v>900</v>
      </c>
      <c r="I585" s="65" t="s">
        <v>4022</v>
      </c>
      <c r="J585" s="60" t="s">
        <v>4023</v>
      </c>
      <c r="K585" s="60">
        <v>44.290298999999997</v>
      </c>
      <c r="L585">
        <v>86.595826000000002</v>
      </c>
    </row>
    <row r="586" spans="1:12" x14ac:dyDescent="0.35">
      <c r="A586" s="60" t="s">
        <v>4831</v>
      </c>
      <c r="B586" s="60" t="s">
        <v>4832</v>
      </c>
      <c r="C586" s="60" t="s">
        <v>4824</v>
      </c>
      <c r="D586" s="61" t="s">
        <v>84</v>
      </c>
      <c r="E586" t="str">
        <f>VLOOKUP(Table10[[#This Row],[Country]],Countries!$A$1:$D$205,2,TRUE)</f>
        <v>CAN</v>
      </c>
      <c r="F586" s="60">
        <v>2011</v>
      </c>
      <c r="G586" s="60" t="s">
        <v>4026</v>
      </c>
      <c r="H586" s="65">
        <v>1000</v>
      </c>
      <c r="I586" s="65">
        <v>803.31999999999994</v>
      </c>
      <c r="J586" s="60" t="s">
        <v>4049</v>
      </c>
      <c r="K586" s="60">
        <v>42.700465000000001</v>
      </c>
      <c r="L586">
        <v>93.542466000000005</v>
      </c>
    </row>
    <row r="587" spans="1:12" x14ac:dyDescent="0.35">
      <c r="A587" s="60" t="s">
        <v>4833</v>
      </c>
      <c r="B587" s="60" t="s">
        <v>4834</v>
      </c>
      <c r="C587" s="60" t="s">
        <v>4824</v>
      </c>
      <c r="D587" s="61" t="s">
        <v>84</v>
      </c>
      <c r="E587" t="str">
        <f>VLOOKUP(Table10[[#This Row],[Country]],Countries!$A$1:$D$205,2,TRUE)</f>
        <v>CAN</v>
      </c>
      <c r="F587" s="60">
        <v>2015</v>
      </c>
      <c r="G587" s="60" t="s">
        <v>4026</v>
      </c>
      <c r="H587" s="65">
        <v>850</v>
      </c>
      <c r="I587" s="65">
        <v>1000</v>
      </c>
      <c r="J587" s="60" t="s">
        <v>4049</v>
      </c>
      <c r="K587" s="60">
        <v>44.404189000000002</v>
      </c>
      <c r="L587">
        <v>84.966752999999997</v>
      </c>
    </row>
    <row r="588" spans="1:12" x14ac:dyDescent="0.35">
      <c r="A588" s="60" t="s">
        <v>4835</v>
      </c>
      <c r="B588" s="60" t="s">
        <v>4834</v>
      </c>
      <c r="C588" s="60" t="s">
        <v>4824</v>
      </c>
      <c r="D588" s="61" t="s">
        <v>84</v>
      </c>
      <c r="E588" t="str">
        <f>VLOOKUP(Table10[[#This Row],[Country]],Countries!$A$1:$D$205,2,TRUE)</f>
        <v>CAN</v>
      </c>
      <c r="F588" s="60">
        <v>1958</v>
      </c>
      <c r="G588" s="60" t="s">
        <v>4026</v>
      </c>
      <c r="H588" s="65">
        <v>1000</v>
      </c>
      <c r="I588" s="65">
        <v>1000</v>
      </c>
      <c r="J588" s="60" t="s">
        <v>4049</v>
      </c>
      <c r="K588" s="60">
        <v>43.526808000000003</v>
      </c>
      <c r="L588">
        <v>83.294323000000006</v>
      </c>
    </row>
    <row r="589" spans="1:12" x14ac:dyDescent="0.35">
      <c r="A589" s="60" t="s">
        <v>4836</v>
      </c>
      <c r="B589" s="60" t="s">
        <v>4837</v>
      </c>
      <c r="C589" s="60" t="s">
        <v>4824</v>
      </c>
      <c r="D589" s="61" t="s">
        <v>84</v>
      </c>
      <c r="E589" t="str">
        <f>VLOOKUP(Table10[[#This Row],[Country]],Countries!$A$1:$D$205,2,TRUE)</f>
        <v>CAN</v>
      </c>
      <c r="F589" s="60">
        <v>1951</v>
      </c>
      <c r="G589" s="60" t="s">
        <v>4026</v>
      </c>
      <c r="H589" s="65">
        <v>7300</v>
      </c>
      <c r="I589" s="65">
        <v>7000</v>
      </c>
      <c r="J589" s="60" t="s">
        <v>4161</v>
      </c>
      <c r="K589" s="60">
        <v>43.852147000000002</v>
      </c>
      <c r="L589">
        <v>87.304638999999995</v>
      </c>
    </row>
    <row r="590" spans="1:12" x14ac:dyDescent="0.35">
      <c r="A590" s="60" t="s">
        <v>4838</v>
      </c>
      <c r="B590" s="60" t="s">
        <v>4839</v>
      </c>
      <c r="C590" s="60" t="s">
        <v>4840</v>
      </c>
      <c r="D590" s="61" t="s">
        <v>84</v>
      </c>
      <c r="E590" t="str">
        <f>VLOOKUP(Table10[[#This Row],[Country]],Countries!$A$1:$D$205,2,TRUE)</f>
        <v>CAN</v>
      </c>
      <c r="F590" s="60">
        <v>2000</v>
      </c>
      <c r="G590" s="60" t="s">
        <v>4026</v>
      </c>
      <c r="H590" s="65">
        <v>1650</v>
      </c>
      <c r="I590" s="65">
        <v>1650</v>
      </c>
      <c r="J590" s="60" t="s">
        <v>4049</v>
      </c>
      <c r="K590" s="60">
        <v>25.142516000000001</v>
      </c>
      <c r="L590">
        <v>102.077727</v>
      </c>
    </row>
    <row r="591" spans="1:12" x14ac:dyDescent="0.35">
      <c r="A591" s="60" t="s">
        <v>4841</v>
      </c>
      <c r="B591" s="60" t="s">
        <v>4842</v>
      </c>
      <c r="C591" s="60" t="s">
        <v>4840</v>
      </c>
      <c r="D591" s="61" t="s">
        <v>84</v>
      </c>
      <c r="E591" t="str">
        <f>VLOOKUP(Table10[[#This Row],[Country]],Countries!$A$1:$D$205,2,TRUE)</f>
        <v>CAN</v>
      </c>
      <c r="F591" s="60">
        <v>2004</v>
      </c>
      <c r="G591" s="60" t="s">
        <v>4026</v>
      </c>
      <c r="H591" s="65">
        <v>1150</v>
      </c>
      <c r="I591" s="65">
        <v>960</v>
      </c>
      <c r="J591" s="60" t="s">
        <v>4049</v>
      </c>
      <c r="K591" s="60">
        <v>23.470732999999999</v>
      </c>
      <c r="L591">
        <v>103.272784</v>
      </c>
    </row>
    <row r="592" spans="1:12" x14ac:dyDescent="0.35">
      <c r="A592" s="60" t="s">
        <v>4843</v>
      </c>
      <c r="B592" s="60" t="s">
        <v>4844</v>
      </c>
      <c r="C592" s="60" t="s">
        <v>4840</v>
      </c>
      <c r="D592" s="61" t="s">
        <v>84</v>
      </c>
      <c r="E592" t="str">
        <f>VLOOKUP(Table10[[#This Row],[Country]],Countries!$A$1:$D$205,2,TRUE)</f>
        <v>CAN</v>
      </c>
      <c r="F592" s="60">
        <v>2012</v>
      </c>
      <c r="G592" s="60" t="s">
        <v>4048</v>
      </c>
      <c r="H592" s="65">
        <v>2550</v>
      </c>
      <c r="I592" s="65">
        <v>1700</v>
      </c>
      <c r="J592" s="60" t="s">
        <v>4049</v>
      </c>
      <c r="K592" s="60">
        <v>24.909694999999999</v>
      </c>
      <c r="L592">
        <v>102.48347</v>
      </c>
    </row>
    <row r="593" spans="1:12" x14ac:dyDescent="0.35">
      <c r="A593" s="60" t="s">
        <v>4845</v>
      </c>
      <c r="B593" s="60" t="s">
        <v>4844</v>
      </c>
      <c r="C593" s="60" t="s">
        <v>4840</v>
      </c>
      <c r="D593" s="61" t="s">
        <v>84</v>
      </c>
      <c r="E593" t="str">
        <f>VLOOKUP(Table10[[#This Row],[Country]],Countries!$A$1:$D$205,2,TRUE)</f>
        <v>CAN</v>
      </c>
      <c r="F593" s="60">
        <v>2022</v>
      </c>
      <c r="G593" s="60" t="s">
        <v>4026</v>
      </c>
      <c r="H593" s="65">
        <v>2800</v>
      </c>
      <c r="I593" s="65">
        <v>2130</v>
      </c>
      <c r="J593" s="60" t="s">
        <v>4049</v>
      </c>
      <c r="K593" s="60">
        <v>24.953261000000001</v>
      </c>
      <c r="L593">
        <v>102.37808200000001</v>
      </c>
    </row>
    <row r="594" spans="1:12" x14ac:dyDescent="0.35">
      <c r="A594" s="60" t="s">
        <v>4846</v>
      </c>
      <c r="B594" s="60" t="s">
        <v>4844</v>
      </c>
      <c r="C594" s="60" t="s">
        <v>4840</v>
      </c>
      <c r="D594" s="61" t="s">
        <v>84</v>
      </c>
      <c r="E594" t="str">
        <f>VLOOKUP(Table10[[#This Row],[Country]],Countries!$A$1:$D$205,2,TRUE)</f>
        <v>CAN</v>
      </c>
      <c r="F594" s="60">
        <v>2020</v>
      </c>
      <c r="G594" s="60" t="s">
        <v>4048</v>
      </c>
      <c r="H594" s="65">
        <v>1700</v>
      </c>
      <c r="I594" s="65">
        <v>2320</v>
      </c>
      <c r="J594" s="60" t="s">
        <v>4036</v>
      </c>
      <c r="K594" s="60">
        <v>25.023852000000002</v>
      </c>
      <c r="L594">
        <v>102.31208599999999</v>
      </c>
    </row>
    <row r="595" spans="1:12" x14ac:dyDescent="0.35">
      <c r="A595" s="60" t="s">
        <v>4847</v>
      </c>
      <c r="B595" s="60" t="s">
        <v>4848</v>
      </c>
      <c r="C595" s="60" t="s">
        <v>4840</v>
      </c>
      <c r="D595" s="61" t="s">
        <v>84</v>
      </c>
      <c r="E595" t="str">
        <f>VLOOKUP(Table10[[#This Row],[Country]],Countries!$A$1:$D$205,2,TRUE)</f>
        <v>CAN</v>
      </c>
      <c r="F595" s="60">
        <v>2009</v>
      </c>
      <c r="G595" s="60" t="s">
        <v>4026</v>
      </c>
      <c r="H595" s="65">
        <v>1550</v>
      </c>
      <c r="I595" s="65">
        <v>1100</v>
      </c>
      <c r="J595" s="60" t="s">
        <v>4049</v>
      </c>
      <c r="K595" s="60">
        <v>24.801279999999998</v>
      </c>
      <c r="L595">
        <v>104.063455</v>
      </c>
    </row>
    <row r="596" spans="1:12" x14ac:dyDescent="0.35">
      <c r="A596" s="60" t="s">
        <v>4849</v>
      </c>
      <c r="B596" s="60" t="s">
        <v>4848</v>
      </c>
      <c r="C596" s="60" t="s">
        <v>4840</v>
      </c>
      <c r="D596" s="61" t="s">
        <v>84</v>
      </c>
      <c r="E596" t="str">
        <f>VLOOKUP(Table10[[#This Row],[Country]],Countries!$A$1:$D$205,2,TRUE)</f>
        <v>CAN</v>
      </c>
      <c r="F596" s="60" t="s">
        <v>4036</v>
      </c>
      <c r="G596" s="60" t="s">
        <v>4037</v>
      </c>
      <c r="H596" s="65">
        <v>500</v>
      </c>
      <c r="I596" s="65" t="s">
        <v>4022</v>
      </c>
      <c r="J596" s="60" t="s">
        <v>4023</v>
      </c>
      <c r="K596" s="60">
        <v>24.801279999999998</v>
      </c>
      <c r="L596">
        <v>104.063455</v>
      </c>
    </row>
    <row r="597" spans="1:12" x14ac:dyDescent="0.35">
      <c r="A597" s="60" t="s">
        <v>4850</v>
      </c>
      <c r="B597" s="60" t="s">
        <v>4848</v>
      </c>
      <c r="C597" s="60" t="s">
        <v>4840</v>
      </c>
      <c r="D597" s="61" t="s">
        <v>84</v>
      </c>
      <c r="E597" t="str">
        <f>VLOOKUP(Table10[[#This Row],[Country]],Countries!$A$1:$D$205,2,TRUE)</f>
        <v>CAN</v>
      </c>
      <c r="F597" s="60">
        <v>2023</v>
      </c>
      <c r="G597" s="60" t="s">
        <v>4037</v>
      </c>
      <c r="H597" s="65">
        <v>1400</v>
      </c>
      <c r="I597" s="65">
        <v>2500</v>
      </c>
      <c r="J597" s="60" t="s">
        <v>4049</v>
      </c>
      <c r="K597" s="60">
        <v>25.308776999999999</v>
      </c>
      <c r="L597">
        <v>103.876391</v>
      </c>
    </row>
    <row r="598" spans="1:12" x14ac:dyDescent="0.35">
      <c r="A598" s="60" t="s">
        <v>4851</v>
      </c>
      <c r="B598" s="60" t="s">
        <v>4852</v>
      </c>
      <c r="C598" s="60" t="s">
        <v>4840</v>
      </c>
      <c r="D598" s="61" t="s">
        <v>84</v>
      </c>
      <c r="E598" t="str">
        <f>VLOOKUP(Table10[[#This Row],[Country]],Countries!$A$1:$D$205,2,TRUE)</f>
        <v>CAN</v>
      </c>
      <c r="F598" s="60">
        <v>2013</v>
      </c>
      <c r="G598" s="60" t="s">
        <v>4026</v>
      </c>
      <c r="H598" s="65">
        <v>2600</v>
      </c>
      <c r="I598" s="65">
        <v>2260</v>
      </c>
      <c r="J598" s="60" t="s">
        <v>4049</v>
      </c>
      <c r="K598" s="60">
        <v>25.45543</v>
      </c>
      <c r="L598">
        <v>103.547242</v>
      </c>
    </row>
    <row r="599" spans="1:12" x14ac:dyDescent="0.35">
      <c r="A599" s="60" t="s">
        <v>4853</v>
      </c>
      <c r="B599" s="60" t="s">
        <v>4852</v>
      </c>
      <c r="C599" s="60" t="s">
        <v>4840</v>
      </c>
      <c r="D599" s="61" t="s">
        <v>84</v>
      </c>
      <c r="E599" t="str">
        <f>VLOOKUP(Table10[[#This Row],[Country]],Countries!$A$1:$D$205,2,TRUE)</f>
        <v>CAN</v>
      </c>
      <c r="F599" s="60">
        <v>2013</v>
      </c>
      <c r="G599" s="60" t="s">
        <v>4026</v>
      </c>
      <c r="H599" s="65">
        <v>1200</v>
      </c>
      <c r="I599" s="65" t="s">
        <v>4036</v>
      </c>
      <c r="J599" s="60" t="s">
        <v>4023</v>
      </c>
      <c r="K599" s="60">
        <v>26.275341999999998</v>
      </c>
      <c r="L599">
        <v>104.168311</v>
      </c>
    </row>
    <row r="600" spans="1:12" x14ac:dyDescent="0.35">
      <c r="A600" s="60" t="s">
        <v>4854</v>
      </c>
      <c r="B600" s="60" t="s">
        <v>4855</v>
      </c>
      <c r="C600" s="60" t="s">
        <v>4840</v>
      </c>
      <c r="D600" s="61" t="s">
        <v>84</v>
      </c>
      <c r="E600" t="str">
        <f>VLOOKUP(Table10[[#This Row],[Country]],Countries!$A$1:$D$205,2,TRUE)</f>
        <v>CAN</v>
      </c>
      <c r="F600" s="60">
        <v>1999</v>
      </c>
      <c r="G600" s="60" t="s">
        <v>4026</v>
      </c>
      <c r="H600" s="65">
        <v>2000</v>
      </c>
      <c r="I600" s="65">
        <v>2409.96</v>
      </c>
      <c r="J600" s="60" t="s">
        <v>4049</v>
      </c>
      <c r="K600" s="60">
        <v>24.249023999999999</v>
      </c>
      <c r="L600">
        <v>102.521747</v>
      </c>
    </row>
    <row r="601" spans="1:12" x14ac:dyDescent="0.35">
      <c r="A601" s="60" t="s">
        <v>4856</v>
      </c>
      <c r="B601" s="60" t="s">
        <v>4855</v>
      </c>
      <c r="C601" s="60" t="s">
        <v>4840</v>
      </c>
      <c r="D601" s="61" t="s">
        <v>84</v>
      </c>
      <c r="E601" t="str">
        <f>VLOOKUP(Table10[[#This Row],[Country]],Countries!$A$1:$D$205,2,TRUE)</f>
        <v>CAN</v>
      </c>
      <c r="F601" s="60">
        <v>2000</v>
      </c>
      <c r="G601" s="60" t="s">
        <v>4026</v>
      </c>
      <c r="H601" s="65">
        <v>4600</v>
      </c>
      <c r="I601" s="65">
        <v>4100</v>
      </c>
      <c r="J601" s="60" t="s">
        <v>4049</v>
      </c>
      <c r="K601" s="60">
        <v>24.465883999999999</v>
      </c>
      <c r="L601">
        <v>102.543682</v>
      </c>
    </row>
    <row r="602" spans="1:12" x14ac:dyDescent="0.35">
      <c r="A602" s="60" t="s">
        <v>4857</v>
      </c>
      <c r="B602" s="60" t="s">
        <v>4855</v>
      </c>
      <c r="C602" s="60" t="s">
        <v>4840</v>
      </c>
      <c r="D602" s="61" t="s">
        <v>84</v>
      </c>
      <c r="E602" t="str">
        <f>VLOOKUP(Table10[[#This Row],[Country]],Countries!$A$1:$D$205,2,TRUE)</f>
        <v>CAN</v>
      </c>
      <c r="F602" s="60">
        <v>2023</v>
      </c>
      <c r="G602" s="60" t="s">
        <v>4021</v>
      </c>
      <c r="H602" s="65">
        <v>5150</v>
      </c>
      <c r="I602" s="65">
        <v>4560</v>
      </c>
      <c r="J602" s="60" t="s">
        <v>4049</v>
      </c>
      <c r="K602" s="60">
        <v>24.465883999999999</v>
      </c>
      <c r="L602">
        <v>102.543682</v>
      </c>
    </row>
    <row r="603" spans="1:12" x14ac:dyDescent="0.35">
      <c r="A603" s="60" t="s">
        <v>4858</v>
      </c>
      <c r="B603" s="60" t="s">
        <v>4855</v>
      </c>
      <c r="C603" s="60" t="s">
        <v>4840</v>
      </c>
      <c r="D603" s="61" t="s">
        <v>84</v>
      </c>
      <c r="E603" t="str">
        <f>VLOOKUP(Table10[[#This Row],[Country]],Countries!$A$1:$D$205,2,TRUE)</f>
        <v>CAN</v>
      </c>
      <c r="F603" s="60">
        <v>2001</v>
      </c>
      <c r="G603" s="60" t="s">
        <v>4026</v>
      </c>
      <c r="H603" s="65">
        <v>1680</v>
      </c>
      <c r="I603" s="65">
        <v>2670</v>
      </c>
      <c r="J603" s="60" t="s">
        <v>4161</v>
      </c>
      <c r="K603" s="60">
        <v>24.012308999999998</v>
      </c>
      <c r="L603">
        <v>102.186364</v>
      </c>
    </row>
    <row r="604" spans="1:12" x14ac:dyDescent="0.35">
      <c r="A604" s="60" t="s">
        <v>4859</v>
      </c>
      <c r="B604" s="60" t="s">
        <v>4855</v>
      </c>
      <c r="C604" s="60" t="s">
        <v>4840</v>
      </c>
      <c r="D604" s="61" t="s">
        <v>84</v>
      </c>
      <c r="E604" t="str">
        <f>VLOOKUP(Table10[[#This Row],[Country]],Countries!$A$1:$D$205,2,TRUE)</f>
        <v>CAN</v>
      </c>
      <c r="F604" s="60">
        <v>2023</v>
      </c>
      <c r="G604" s="60" t="s">
        <v>4021</v>
      </c>
      <c r="H604" s="65" t="s">
        <v>4022</v>
      </c>
      <c r="I604" s="65">
        <v>1220</v>
      </c>
      <c r="J604" s="60" t="s">
        <v>4111</v>
      </c>
      <c r="K604" s="60">
        <v>24.012308999999998</v>
      </c>
      <c r="L604">
        <v>102.186364</v>
      </c>
    </row>
    <row r="605" spans="1:12" x14ac:dyDescent="0.35">
      <c r="A605" s="60" t="s">
        <v>4860</v>
      </c>
      <c r="B605" s="60" t="s">
        <v>4855</v>
      </c>
      <c r="C605" s="60" t="s">
        <v>4840</v>
      </c>
      <c r="D605" s="61" t="s">
        <v>84</v>
      </c>
      <c r="E605" t="str">
        <f>VLOOKUP(Table10[[#This Row],[Country]],Countries!$A$1:$D$205,2,TRUE)</f>
        <v>CAN</v>
      </c>
      <c r="F605" s="60">
        <v>2022</v>
      </c>
      <c r="G605" s="60" t="s">
        <v>4026</v>
      </c>
      <c r="H605" s="65">
        <v>1300</v>
      </c>
      <c r="I605" s="65" t="s">
        <v>4022</v>
      </c>
      <c r="J605" s="60" t="s">
        <v>4163</v>
      </c>
      <c r="K605" s="60">
        <v>24.012308999999998</v>
      </c>
      <c r="L605">
        <v>102.186364</v>
      </c>
    </row>
    <row r="606" spans="1:12" x14ac:dyDescent="0.35">
      <c r="A606" s="60" t="s">
        <v>4861</v>
      </c>
      <c r="B606" s="60" t="s">
        <v>4855</v>
      </c>
      <c r="C606" s="60" t="s">
        <v>4840</v>
      </c>
      <c r="D606" s="61" t="s">
        <v>84</v>
      </c>
      <c r="E606" t="str">
        <f>VLOOKUP(Table10[[#This Row],[Country]],Countries!$A$1:$D$205,2,TRUE)</f>
        <v>CAN</v>
      </c>
      <c r="F606" s="60">
        <v>2023</v>
      </c>
      <c r="G606" s="60" t="s">
        <v>4021</v>
      </c>
      <c r="H606" s="65">
        <v>380</v>
      </c>
      <c r="I606" s="65" t="s">
        <v>4022</v>
      </c>
      <c r="J606" s="60" t="s">
        <v>4023</v>
      </c>
      <c r="K606" s="60">
        <v>24.012308999999998</v>
      </c>
      <c r="L606">
        <v>102.186364</v>
      </c>
    </row>
    <row r="607" spans="1:12" x14ac:dyDescent="0.35">
      <c r="A607" s="60" t="s">
        <v>4862</v>
      </c>
      <c r="B607" s="60" t="s">
        <v>4855</v>
      </c>
      <c r="C607" s="60" t="s">
        <v>4840</v>
      </c>
      <c r="D607" s="61" t="s">
        <v>84</v>
      </c>
      <c r="E607" t="str">
        <f>VLOOKUP(Table10[[#This Row],[Country]],Countries!$A$1:$D$205,2,TRUE)</f>
        <v>CAN</v>
      </c>
      <c r="F607" s="64" t="s">
        <v>4022</v>
      </c>
      <c r="G607" s="60" t="s">
        <v>4048</v>
      </c>
      <c r="H607" s="65">
        <v>1800</v>
      </c>
      <c r="I607" s="65" t="s">
        <v>4022</v>
      </c>
      <c r="J607" s="60" t="s">
        <v>4163</v>
      </c>
      <c r="K607" s="60">
        <v>24.012308999999998</v>
      </c>
      <c r="L607">
        <v>102.186364</v>
      </c>
    </row>
    <row r="608" spans="1:12" x14ac:dyDescent="0.35">
      <c r="A608" s="60" t="s">
        <v>4863</v>
      </c>
      <c r="B608" s="60" t="s">
        <v>4864</v>
      </c>
      <c r="C608" s="60" t="s">
        <v>3072</v>
      </c>
      <c r="D608" s="61" t="s">
        <v>84</v>
      </c>
      <c r="E608" t="str">
        <f>VLOOKUP(Table10[[#This Row],[Country]],Countries!$A$1:$D$205,2,TRUE)</f>
        <v>CAN</v>
      </c>
      <c r="F608" s="60">
        <v>1972</v>
      </c>
      <c r="G608" s="60" t="s">
        <v>4026</v>
      </c>
      <c r="H608" s="65">
        <v>700</v>
      </c>
      <c r="I608" s="65" t="s">
        <v>4022</v>
      </c>
      <c r="J608" s="60" t="s">
        <v>4023</v>
      </c>
      <c r="K608" s="60">
        <v>30.720410999999999</v>
      </c>
      <c r="L608">
        <v>120.898518</v>
      </c>
    </row>
    <row r="609" spans="1:12" x14ac:dyDescent="0.35">
      <c r="A609" s="60" t="s">
        <v>4865</v>
      </c>
      <c r="B609" s="60" t="s">
        <v>4864</v>
      </c>
      <c r="C609" s="60" t="s">
        <v>3072</v>
      </c>
      <c r="D609" s="61" t="s">
        <v>84</v>
      </c>
      <c r="E609" t="str">
        <f>VLOOKUP(Table10[[#This Row],[Country]],Countries!$A$1:$D$205,2,TRUE)</f>
        <v>CAN</v>
      </c>
      <c r="F609" s="60">
        <v>2003</v>
      </c>
      <c r="G609" s="60" t="s">
        <v>4026</v>
      </c>
      <c r="H609" s="65">
        <v>1200</v>
      </c>
      <c r="I609" s="65" t="s">
        <v>4022</v>
      </c>
      <c r="J609" s="60" t="s">
        <v>4023</v>
      </c>
      <c r="K609" s="60">
        <v>30.944341999999999</v>
      </c>
      <c r="L609">
        <v>120.97180299999999</v>
      </c>
    </row>
    <row r="610" spans="1:12" x14ac:dyDescent="0.35">
      <c r="A610" s="60" t="s">
        <v>4866</v>
      </c>
      <c r="B610" s="60" t="s">
        <v>4867</v>
      </c>
      <c r="C610" s="60" t="s">
        <v>3072</v>
      </c>
      <c r="D610" s="61" t="s">
        <v>84</v>
      </c>
      <c r="E610" t="str">
        <f>VLOOKUP(Table10[[#This Row],[Country]],Countries!$A$1:$D$205,2,TRUE)</f>
        <v>CAN</v>
      </c>
      <c r="F610" s="60">
        <v>2002</v>
      </c>
      <c r="G610" s="60" t="s">
        <v>4026</v>
      </c>
      <c r="H610" s="65">
        <v>500</v>
      </c>
      <c r="I610" s="65" t="s">
        <v>4022</v>
      </c>
      <c r="J610" s="60" t="s">
        <v>4023</v>
      </c>
      <c r="K610" s="60">
        <v>28.136095999999998</v>
      </c>
      <c r="L610">
        <v>120.38040100000001</v>
      </c>
    </row>
    <row r="611" spans="1:12" x14ac:dyDescent="0.35">
      <c r="A611" s="60" t="s">
        <v>4868</v>
      </c>
      <c r="B611" s="60" t="s">
        <v>4867</v>
      </c>
      <c r="C611" s="60" t="s">
        <v>3072</v>
      </c>
      <c r="D611" s="61" t="s">
        <v>84</v>
      </c>
      <c r="E611" t="str">
        <f>VLOOKUP(Table10[[#This Row],[Country]],Countries!$A$1:$D$205,2,TRUE)</f>
        <v>CAN</v>
      </c>
      <c r="F611" s="60">
        <v>2002</v>
      </c>
      <c r="G611" s="60" t="s">
        <v>4026</v>
      </c>
      <c r="H611" s="65">
        <v>1200</v>
      </c>
      <c r="I611" s="65" t="s">
        <v>4022</v>
      </c>
      <c r="J611" s="60" t="s">
        <v>4023</v>
      </c>
      <c r="K611" s="60">
        <v>28.090098000000001</v>
      </c>
      <c r="L611">
        <v>119.519509</v>
      </c>
    </row>
    <row r="612" spans="1:12" x14ac:dyDescent="0.35">
      <c r="A612" s="60" t="s">
        <v>4869</v>
      </c>
      <c r="B612" s="60" t="s">
        <v>4867</v>
      </c>
      <c r="C612" s="60" t="s">
        <v>3072</v>
      </c>
      <c r="D612" s="61" t="s">
        <v>84</v>
      </c>
      <c r="E612" t="str">
        <f>VLOOKUP(Table10[[#This Row],[Country]],Countries!$A$1:$D$205,2,TRUE)</f>
        <v>CAN</v>
      </c>
      <c r="F612" s="60">
        <v>2000</v>
      </c>
      <c r="G612" s="60" t="s">
        <v>4026</v>
      </c>
      <c r="H612" s="65">
        <v>1100</v>
      </c>
      <c r="I612" s="65" t="s">
        <v>4022</v>
      </c>
      <c r="J612" s="60" t="s">
        <v>4023</v>
      </c>
      <c r="K612" s="60">
        <v>28.787202000000001</v>
      </c>
      <c r="L612">
        <v>120.248592</v>
      </c>
    </row>
    <row r="613" spans="1:12" x14ac:dyDescent="0.35">
      <c r="A613" s="60" t="s">
        <v>4870</v>
      </c>
      <c r="B613" s="60" t="s">
        <v>4867</v>
      </c>
      <c r="C613" s="60" t="s">
        <v>3072</v>
      </c>
      <c r="D613" s="61" t="s">
        <v>84</v>
      </c>
      <c r="E613" t="str">
        <f>VLOOKUP(Table10[[#This Row],[Country]],Countries!$A$1:$D$205,2,TRUE)</f>
        <v>CAN</v>
      </c>
      <c r="F613" s="60">
        <v>2024</v>
      </c>
      <c r="G613" s="60" t="s">
        <v>4037</v>
      </c>
      <c r="H613" s="65">
        <v>1100</v>
      </c>
      <c r="I613" s="65" t="s">
        <v>4022</v>
      </c>
      <c r="J613" s="60" t="s">
        <v>4023</v>
      </c>
      <c r="K613" s="60">
        <v>28.787202000000001</v>
      </c>
      <c r="L613">
        <v>120.248592</v>
      </c>
    </row>
    <row r="614" spans="1:12" x14ac:dyDescent="0.35">
      <c r="A614" s="60" t="s">
        <v>4871</v>
      </c>
      <c r="B614" s="60" t="s">
        <v>3073</v>
      </c>
      <c r="C614" s="60" t="s">
        <v>3072</v>
      </c>
      <c r="D614" s="61" t="s">
        <v>84</v>
      </c>
      <c r="E614" t="str">
        <f>VLOOKUP(Table10[[#This Row],[Country]],Countries!$A$1:$D$205,2,TRUE)</f>
        <v>CAN</v>
      </c>
      <c r="F614" s="60">
        <v>2003</v>
      </c>
      <c r="G614" s="60" t="s">
        <v>4026</v>
      </c>
      <c r="H614" s="65">
        <v>4000</v>
      </c>
      <c r="I614" s="65">
        <v>4260</v>
      </c>
      <c r="J614" s="60" t="s">
        <v>4049</v>
      </c>
      <c r="K614" s="60">
        <v>29.918776000000001</v>
      </c>
      <c r="L614">
        <v>121.876423</v>
      </c>
    </row>
    <row r="615" spans="1:12" x14ac:dyDescent="0.35">
      <c r="A615" s="60" t="s">
        <v>4872</v>
      </c>
      <c r="B615" s="60" t="s">
        <v>3073</v>
      </c>
      <c r="C615" s="60" t="s">
        <v>3072</v>
      </c>
      <c r="D615" s="61" t="s">
        <v>84</v>
      </c>
      <c r="E615" t="str">
        <f>VLOOKUP(Table10[[#This Row],[Country]],Countries!$A$1:$D$205,2,TRUE)</f>
        <v>CAN</v>
      </c>
      <c r="F615" s="60">
        <v>2012</v>
      </c>
      <c r="G615" s="60" t="s">
        <v>4026</v>
      </c>
      <c r="H615" s="65">
        <v>500</v>
      </c>
      <c r="I615" s="65" t="s">
        <v>4022</v>
      </c>
      <c r="J615" s="60" t="s">
        <v>4023</v>
      </c>
      <c r="K615" s="60">
        <v>30.267112999999998</v>
      </c>
      <c r="L615">
        <v>121.052503</v>
      </c>
    </row>
    <row r="616" spans="1:12" x14ac:dyDescent="0.35">
      <c r="A616" s="60" t="s">
        <v>4873</v>
      </c>
      <c r="B616" s="60" t="s">
        <v>4874</v>
      </c>
      <c r="C616" s="60" t="s">
        <v>3072</v>
      </c>
      <c r="D616" s="61" t="s">
        <v>84</v>
      </c>
      <c r="E616" t="str">
        <f>VLOOKUP(Table10[[#This Row],[Country]],Countries!$A$1:$D$205,2,TRUE)</f>
        <v>CAN</v>
      </c>
      <c r="F616" s="60">
        <v>1991</v>
      </c>
      <c r="G616" s="60" t="s">
        <v>4026</v>
      </c>
      <c r="H616" s="65">
        <v>5000</v>
      </c>
      <c r="I616" s="65">
        <v>4500</v>
      </c>
      <c r="J616" s="60" t="s">
        <v>4049</v>
      </c>
      <c r="K616" s="60">
        <v>28.893407</v>
      </c>
      <c r="L616">
        <v>118.867125</v>
      </c>
    </row>
    <row r="617" spans="1:12" x14ac:dyDescent="0.35">
      <c r="A617" s="60" t="s">
        <v>4875</v>
      </c>
      <c r="B617" s="60" t="s">
        <v>4874</v>
      </c>
      <c r="C617" s="60" t="s">
        <v>3072</v>
      </c>
      <c r="D617" s="61" t="s">
        <v>84</v>
      </c>
      <c r="E617" t="str">
        <f>VLOOKUP(Table10[[#This Row],[Country]],Countries!$A$1:$D$205,2,TRUE)</f>
        <v>CAN</v>
      </c>
      <c r="F617" s="60">
        <v>2025</v>
      </c>
      <c r="G617" s="60" t="s">
        <v>4037</v>
      </c>
      <c r="H617" s="65">
        <v>3450</v>
      </c>
      <c r="I617" s="65">
        <v>1430</v>
      </c>
      <c r="J617" s="60" t="s">
        <v>4049</v>
      </c>
      <c r="K617" s="60">
        <v>28.893407</v>
      </c>
      <c r="L617">
        <v>118.867125</v>
      </c>
    </row>
    <row r="618" spans="1:12" hidden="1" x14ac:dyDescent="0.35">
      <c r="A618" s="60" t="s">
        <v>4876</v>
      </c>
      <c r="B618" s="60" t="s">
        <v>4877</v>
      </c>
      <c r="C618" s="60" t="s">
        <v>4878</v>
      </c>
      <c r="D618" s="60" t="s">
        <v>4878</v>
      </c>
      <c r="E618" t="str">
        <f>VLOOKUP(Table10[[#This Row],[Country]],Countries!$A$1:$D$205,2,TRUE)</f>
        <v>GIB</v>
      </c>
      <c r="F618" s="60">
        <v>2025</v>
      </c>
      <c r="G618" s="60" t="s">
        <v>4037</v>
      </c>
      <c r="H618" s="65">
        <v>700</v>
      </c>
      <c r="I618" s="65" t="s">
        <v>4022</v>
      </c>
      <c r="J618" s="60" t="s">
        <v>4023</v>
      </c>
      <c r="K618" s="60">
        <v>22.368137000000001</v>
      </c>
      <c r="L618">
        <v>113.931917</v>
      </c>
    </row>
    <row r="619" spans="1:12" hidden="1" x14ac:dyDescent="0.35">
      <c r="A619" s="60" t="s">
        <v>4879</v>
      </c>
      <c r="B619" s="60" t="s">
        <v>4880</v>
      </c>
      <c r="C619" s="60" t="s">
        <v>3075</v>
      </c>
      <c r="D619" s="60" t="s">
        <v>383</v>
      </c>
      <c r="E619" t="str">
        <f>VLOOKUP(Table10[[#This Row],[Country]],Countries!$A$1:$D$205,2,TRUE)</f>
        <v>IND</v>
      </c>
      <c r="F619" s="60">
        <v>2024</v>
      </c>
      <c r="G619" s="60" t="s">
        <v>4037</v>
      </c>
      <c r="H619" s="65">
        <v>1000</v>
      </c>
      <c r="I619" s="65">
        <v>3434</v>
      </c>
      <c r="J619" s="60" t="s">
        <v>4049</v>
      </c>
      <c r="K619" s="60">
        <v>14.463144</v>
      </c>
      <c r="L619">
        <v>78.250084000000001</v>
      </c>
    </row>
    <row r="620" spans="1:12" hidden="1" x14ac:dyDescent="0.35">
      <c r="A620" s="60" t="s">
        <v>4881</v>
      </c>
      <c r="B620" s="60" t="s">
        <v>4880</v>
      </c>
      <c r="C620" s="60" t="s">
        <v>3075</v>
      </c>
      <c r="D620" s="60" t="s">
        <v>383</v>
      </c>
      <c r="E620" t="str">
        <f>VLOOKUP(Table10[[#This Row],[Country]],Countries!$A$1:$D$205,2,TRUE)</f>
        <v>IND</v>
      </c>
      <c r="F620" s="60" t="s">
        <v>4036</v>
      </c>
      <c r="G620" s="60" t="s">
        <v>4037</v>
      </c>
      <c r="H620" s="65">
        <v>2000</v>
      </c>
      <c r="I620" s="65" t="s">
        <v>4022</v>
      </c>
      <c r="J620" s="60" t="s">
        <v>4049</v>
      </c>
      <c r="K620" s="60">
        <v>14.463144</v>
      </c>
      <c r="L620">
        <v>78.250084000000001</v>
      </c>
    </row>
    <row r="621" spans="1:12" hidden="1" x14ac:dyDescent="0.35">
      <c r="A621" s="60" t="s">
        <v>4882</v>
      </c>
      <c r="B621" s="60" t="s">
        <v>4883</v>
      </c>
      <c r="C621" s="60" t="s">
        <v>3075</v>
      </c>
      <c r="D621" s="60" t="s">
        <v>383</v>
      </c>
      <c r="E621" t="str">
        <f>VLOOKUP(Table10[[#This Row],[Country]],Countries!$A$1:$D$205,2,TRUE)</f>
        <v>IND</v>
      </c>
      <c r="F621" s="60">
        <v>2012</v>
      </c>
      <c r="G621" s="60" t="s">
        <v>4026</v>
      </c>
      <c r="H621" s="65">
        <v>325</v>
      </c>
      <c r="I621" s="65">
        <v>324</v>
      </c>
      <c r="J621" s="60" t="s">
        <v>4049</v>
      </c>
      <c r="K621" s="60">
        <v>14.873471</v>
      </c>
      <c r="L621">
        <v>78.048424999999995</v>
      </c>
    </row>
    <row r="622" spans="1:12" hidden="1" x14ac:dyDescent="0.35">
      <c r="A622" s="60" t="s">
        <v>4884</v>
      </c>
      <c r="B622" s="60" t="s">
        <v>4883</v>
      </c>
      <c r="C622" s="60" t="s">
        <v>3075</v>
      </c>
      <c r="D622" s="60" t="s">
        <v>383</v>
      </c>
      <c r="E622" t="str">
        <f>VLOOKUP(Table10[[#This Row],[Country]],Countries!$A$1:$D$205,2,TRUE)</f>
        <v>IND</v>
      </c>
      <c r="F622" s="60">
        <v>2030</v>
      </c>
      <c r="G622" s="60" t="s">
        <v>4021</v>
      </c>
      <c r="H622" s="65">
        <v>620</v>
      </c>
      <c r="I622" s="65" t="s">
        <v>4036</v>
      </c>
      <c r="J622" s="60" t="s">
        <v>4049</v>
      </c>
      <c r="K622" s="60">
        <v>14.873471</v>
      </c>
      <c r="L622">
        <v>78.048424999999995</v>
      </c>
    </row>
    <row r="623" spans="1:12" hidden="1" x14ac:dyDescent="0.35">
      <c r="A623" s="60" t="s">
        <v>4885</v>
      </c>
      <c r="B623" s="60" t="s">
        <v>2699</v>
      </c>
      <c r="C623" s="60" t="s">
        <v>3075</v>
      </c>
      <c r="D623" s="60" t="s">
        <v>383</v>
      </c>
      <c r="E623" t="str">
        <f>VLOOKUP(Table10[[#This Row],[Country]],Countries!$A$1:$D$205,2,TRUE)</f>
        <v>IND</v>
      </c>
      <c r="F623" s="60">
        <v>1971</v>
      </c>
      <c r="G623" s="60" t="s">
        <v>4026</v>
      </c>
      <c r="H623" s="65">
        <v>7300</v>
      </c>
      <c r="I623" s="65">
        <v>7500</v>
      </c>
      <c r="J623" s="60" t="s">
        <v>4161</v>
      </c>
      <c r="K623" s="60">
        <v>17.612846000000001</v>
      </c>
      <c r="L623">
        <v>83.191918000000001</v>
      </c>
    </row>
    <row r="624" spans="1:12" hidden="1" x14ac:dyDescent="0.35">
      <c r="A624" s="60" t="s">
        <v>4886</v>
      </c>
      <c r="B624" s="60" t="s">
        <v>4887</v>
      </c>
      <c r="C624" s="60" t="s">
        <v>4888</v>
      </c>
      <c r="D624" s="60" t="s">
        <v>383</v>
      </c>
      <c r="E624" t="str">
        <f>VLOOKUP(Table10[[#This Row],[Country]],Countries!$A$1:$D$205,2,TRUE)</f>
        <v>IND</v>
      </c>
      <c r="F624" s="60">
        <v>2018</v>
      </c>
      <c r="G624" s="60" t="s">
        <v>4026</v>
      </c>
      <c r="H624" s="65">
        <v>4000</v>
      </c>
      <c r="I624" s="65">
        <v>2800</v>
      </c>
      <c r="J624" s="60" t="s">
        <v>4049</v>
      </c>
      <c r="K624" s="60">
        <v>21.185157</v>
      </c>
      <c r="L624">
        <v>81.394206999999994</v>
      </c>
    </row>
    <row r="625" spans="1:12" hidden="1" x14ac:dyDescent="0.35">
      <c r="A625" s="60" t="s">
        <v>4889</v>
      </c>
      <c r="B625" s="60" t="s">
        <v>4887</v>
      </c>
      <c r="C625" s="60" t="s">
        <v>4888</v>
      </c>
      <c r="D625" s="60" t="s">
        <v>383</v>
      </c>
      <c r="E625" t="str">
        <f>VLOOKUP(Table10[[#This Row],[Country]],Countries!$A$1:$D$205,2,TRUE)</f>
        <v>IND</v>
      </c>
      <c r="F625" s="60">
        <v>2030</v>
      </c>
      <c r="G625" s="60" t="s">
        <v>4037</v>
      </c>
      <c r="H625" s="65">
        <v>3000</v>
      </c>
      <c r="I625" s="65" t="s">
        <v>4036</v>
      </c>
      <c r="J625" s="60" t="s">
        <v>4163</v>
      </c>
      <c r="K625" s="60">
        <v>21.185157</v>
      </c>
      <c r="L625">
        <v>81.394206999999994</v>
      </c>
    </row>
    <row r="626" spans="1:12" hidden="1" x14ac:dyDescent="0.35">
      <c r="A626" s="60" t="s">
        <v>4890</v>
      </c>
      <c r="B626" s="60" t="s">
        <v>4887</v>
      </c>
      <c r="C626" s="60" t="s">
        <v>4888</v>
      </c>
      <c r="D626" s="60" t="s">
        <v>383</v>
      </c>
      <c r="E626" t="str">
        <f>VLOOKUP(Table10[[#This Row],[Country]],Countries!$A$1:$D$205,2,TRUE)</f>
        <v>IND</v>
      </c>
      <c r="F626" s="60">
        <v>1959</v>
      </c>
      <c r="G626" s="60" t="s">
        <v>4026</v>
      </c>
      <c r="H626" s="65">
        <v>3000</v>
      </c>
      <c r="I626" s="65">
        <v>4700</v>
      </c>
      <c r="J626" s="60" t="s">
        <v>4049</v>
      </c>
      <c r="K626" s="60">
        <v>21.185157</v>
      </c>
      <c r="L626">
        <v>81.394206999999994</v>
      </c>
    </row>
    <row r="627" spans="1:12" hidden="1" x14ac:dyDescent="0.35">
      <c r="A627" s="60" t="s">
        <v>4891</v>
      </c>
      <c r="B627" s="60" t="s">
        <v>4887</v>
      </c>
      <c r="C627" s="60" t="s">
        <v>4888</v>
      </c>
      <c r="D627" s="60" t="s">
        <v>383</v>
      </c>
      <c r="E627" t="str">
        <f>VLOOKUP(Table10[[#This Row],[Country]],Countries!$A$1:$D$205,2,TRUE)</f>
        <v>IND</v>
      </c>
      <c r="F627" s="60">
        <v>2030</v>
      </c>
      <c r="G627" s="60" t="s">
        <v>4037</v>
      </c>
      <c r="H627" s="65">
        <v>4000</v>
      </c>
      <c r="I627" s="65" t="s">
        <v>4036</v>
      </c>
      <c r="J627" s="60" t="s">
        <v>4163</v>
      </c>
      <c r="K627" s="60">
        <v>21.185157</v>
      </c>
      <c r="L627">
        <v>81.394206999999994</v>
      </c>
    </row>
    <row r="628" spans="1:12" hidden="1" x14ac:dyDescent="0.35">
      <c r="A628" s="60" t="s">
        <v>4892</v>
      </c>
      <c r="B628" s="60" t="s">
        <v>4893</v>
      </c>
      <c r="C628" s="60" t="s">
        <v>4888</v>
      </c>
      <c r="D628" s="60" t="s">
        <v>383</v>
      </c>
      <c r="E628" t="str">
        <f>VLOOKUP(Table10[[#This Row],[Country]],Countries!$A$1:$D$205,2,TRUE)</f>
        <v>IND</v>
      </c>
      <c r="F628" s="60">
        <v>1980</v>
      </c>
      <c r="G628" s="60" t="s">
        <v>4026</v>
      </c>
      <c r="H628" s="65">
        <v>1250</v>
      </c>
      <c r="I628" s="65">
        <v>1000</v>
      </c>
      <c r="J628" s="60" t="s">
        <v>4030</v>
      </c>
      <c r="K628" s="60">
        <v>22.004694000000001</v>
      </c>
      <c r="L628">
        <v>82.671666000000002</v>
      </c>
    </row>
    <row r="629" spans="1:12" hidden="1" x14ac:dyDescent="0.35">
      <c r="A629" s="60" t="s">
        <v>4894</v>
      </c>
      <c r="B629" s="60" t="s">
        <v>4895</v>
      </c>
      <c r="C629" s="60" t="s">
        <v>4888</v>
      </c>
      <c r="D629" s="60" t="s">
        <v>383</v>
      </c>
      <c r="E629" t="str">
        <f>VLOOKUP(Table10[[#This Row],[Country]],Countries!$A$1:$D$205,2,TRUE)</f>
        <v>IND</v>
      </c>
      <c r="F629" s="60">
        <v>2023</v>
      </c>
      <c r="G629" s="60" t="s">
        <v>4021</v>
      </c>
      <c r="H629" s="65">
        <v>3000</v>
      </c>
      <c r="I629" s="65">
        <v>3321</v>
      </c>
      <c r="J629" s="60" t="s">
        <v>4049</v>
      </c>
      <c r="K629" s="60">
        <v>19.093190100000001</v>
      </c>
      <c r="L629">
        <v>82.17</v>
      </c>
    </row>
    <row r="630" spans="1:12" hidden="1" x14ac:dyDescent="0.35">
      <c r="A630" s="60" t="s">
        <v>4896</v>
      </c>
      <c r="B630" s="60" t="s">
        <v>4897</v>
      </c>
      <c r="C630" s="60" t="s">
        <v>4888</v>
      </c>
      <c r="D630" s="60" t="s">
        <v>383</v>
      </c>
      <c r="E630" t="str">
        <f>VLOOKUP(Table10[[#This Row],[Country]],Countries!$A$1:$D$205,2,TRUE)</f>
        <v>IND</v>
      </c>
      <c r="F630" s="60">
        <v>2023</v>
      </c>
      <c r="G630" s="60" t="s">
        <v>4037</v>
      </c>
      <c r="H630" s="65">
        <v>4000</v>
      </c>
      <c r="I630" s="65">
        <v>3730</v>
      </c>
      <c r="J630" s="60" t="s">
        <v>4049</v>
      </c>
      <c r="K630" s="60">
        <v>21.922702999999998</v>
      </c>
      <c r="L630">
        <v>83.347178</v>
      </c>
    </row>
    <row r="631" spans="1:12" hidden="1" x14ac:dyDescent="0.35">
      <c r="A631" s="60" t="s">
        <v>4898</v>
      </c>
      <c r="B631" s="60" t="s">
        <v>4897</v>
      </c>
      <c r="C631" s="60" t="s">
        <v>4888</v>
      </c>
      <c r="D631" s="60" t="s">
        <v>383</v>
      </c>
      <c r="E631" t="str">
        <f>VLOOKUP(Table10[[#This Row],[Country]],Countries!$A$1:$D$205,2,TRUE)</f>
        <v>IND</v>
      </c>
      <c r="F631" s="60">
        <v>1989</v>
      </c>
      <c r="G631" s="60" t="s">
        <v>4026</v>
      </c>
      <c r="H631" s="65">
        <v>3600</v>
      </c>
      <c r="I631" s="65">
        <v>4370</v>
      </c>
      <c r="J631" s="60" t="s">
        <v>4108</v>
      </c>
      <c r="K631" s="60">
        <v>21.922702999999998</v>
      </c>
      <c r="L631">
        <v>83.347178</v>
      </c>
    </row>
    <row r="632" spans="1:12" hidden="1" x14ac:dyDescent="0.35">
      <c r="A632" s="60" t="s">
        <v>4899</v>
      </c>
      <c r="B632" s="60" t="s">
        <v>4897</v>
      </c>
      <c r="C632" s="60" t="s">
        <v>4888</v>
      </c>
      <c r="D632" s="60" t="s">
        <v>383</v>
      </c>
      <c r="E632" t="str">
        <f>VLOOKUP(Table10[[#This Row],[Country]],Countries!$A$1:$D$205,2,TRUE)</f>
        <v>IND</v>
      </c>
      <c r="F632" s="60">
        <v>1994</v>
      </c>
      <c r="G632" s="60" t="s">
        <v>4026</v>
      </c>
      <c r="H632" s="65">
        <v>1500</v>
      </c>
      <c r="I632" s="65">
        <v>1000</v>
      </c>
      <c r="J632" s="60" t="s">
        <v>4108</v>
      </c>
      <c r="K632" s="60">
        <v>21.983709000000001</v>
      </c>
      <c r="L632">
        <v>83.238133000000005</v>
      </c>
    </row>
    <row r="633" spans="1:12" hidden="1" x14ac:dyDescent="0.35">
      <c r="A633" s="60" t="s">
        <v>4900</v>
      </c>
      <c r="B633" s="60" t="s">
        <v>4897</v>
      </c>
      <c r="C633" s="60" t="s">
        <v>4888</v>
      </c>
      <c r="D633" s="60" t="s">
        <v>383</v>
      </c>
      <c r="E633" t="str">
        <f>VLOOKUP(Table10[[#This Row],[Country]],Countries!$A$1:$D$205,2,TRUE)</f>
        <v>IND</v>
      </c>
      <c r="F633" s="60">
        <v>2002</v>
      </c>
      <c r="G633" s="60" t="s">
        <v>4026</v>
      </c>
      <c r="H633" s="65">
        <v>352</v>
      </c>
      <c r="I633" s="65">
        <v>308</v>
      </c>
      <c r="J633" s="60" t="s">
        <v>4034</v>
      </c>
      <c r="K633" s="60">
        <v>21.876729999999998</v>
      </c>
      <c r="L633">
        <v>83.554495000000003</v>
      </c>
    </row>
    <row r="634" spans="1:12" hidden="1" x14ac:dyDescent="0.35">
      <c r="A634" s="60" t="s">
        <v>4901</v>
      </c>
      <c r="B634" s="60" t="s">
        <v>4897</v>
      </c>
      <c r="C634" s="60" t="s">
        <v>4888</v>
      </c>
      <c r="D634" s="60" t="s">
        <v>383</v>
      </c>
      <c r="E634" t="str">
        <f>VLOOKUP(Table10[[#This Row],[Country]],Countries!$A$1:$D$205,2,TRUE)</f>
        <v>IND</v>
      </c>
      <c r="F634" s="60">
        <v>2025</v>
      </c>
      <c r="G634" s="60" t="s">
        <v>4037</v>
      </c>
      <c r="H634" s="65">
        <v>580</v>
      </c>
      <c r="I634" s="65">
        <v>200</v>
      </c>
      <c r="J634" s="60" t="s">
        <v>4034</v>
      </c>
      <c r="K634" s="60">
        <v>21.876729999999998</v>
      </c>
      <c r="L634">
        <v>83.554495000000003</v>
      </c>
    </row>
    <row r="635" spans="1:12" hidden="1" x14ac:dyDescent="0.35">
      <c r="A635" s="60" t="s">
        <v>4902</v>
      </c>
      <c r="B635" s="60" t="s">
        <v>4903</v>
      </c>
      <c r="C635" s="60" t="s">
        <v>4888</v>
      </c>
      <c r="D635" s="60" t="s">
        <v>383</v>
      </c>
      <c r="E635" t="str">
        <f>VLOOKUP(Table10[[#This Row],[Country]],Countries!$A$1:$D$205,2,TRUE)</f>
        <v>IND</v>
      </c>
      <c r="F635" s="60">
        <v>1996</v>
      </c>
      <c r="G635" s="60" t="s">
        <v>4026</v>
      </c>
      <c r="H635" s="65">
        <v>1200</v>
      </c>
      <c r="I635" s="65">
        <v>1020</v>
      </c>
      <c r="J635" s="60" t="s">
        <v>4108</v>
      </c>
      <c r="K635" s="60">
        <v>21.354495</v>
      </c>
      <c r="L635">
        <v>81.676444000000004</v>
      </c>
    </row>
    <row r="636" spans="1:12" hidden="1" x14ac:dyDescent="0.35">
      <c r="A636" s="60" t="s">
        <v>4904</v>
      </c>
      <c r="B636" s="60" t="s">
        <v>4903</v>
      </c>
      <c r="C636" s="60" t="s">
        <v>4888</v>
      </c>
      <c r="D636" s="60" t="s">
        <v>383</v>
      </c>
      <c r="E636" t="str">
        <f>VLOOKUP(Table10[[#This Row],[Country]],Countries!$A$1:$D$205,2,TRUE)</f>
        <v>IND</v>
      </c>
      <c r="F636" s="60">
        <v>2025</v>
      </c>
      <c r="G636" s="60" t="s">
        <v>4037</v>
      </c>
      <c r="H636" s="65">
        <v>570</v>
      </c>
      <c r="I636" s="65">
        <v>1330</v>
      </c>
      <c r="J636" s="60" t="s">
        <v>4023</v>
      </c>
      <c r="K636" s="60">
        <v>21.354495</v>
      </c>
      <c r="L636">
        <v>81.676444000000004</v>
      </c>
    </row>
    <row r="637" spans="1:12" hidden="1" x14ac:dyDescent="0.35">
      <c r="A637" s="60" t="s">
        <v>4905</v>
      </c>
      <c r="B637" s="60" t="s">
        <v>4903</v>
      </c>
      <c r="C637" s="60" t="s">
        <v>4888</v>
      </c>
      <c r="D637" s="60" t="s">
        <v>383</v>
      </c>
      <c r="E637" t="str">
        <f>VLOOKUP(Table10[[#This Row],[Country]],Countries!$A$1:$D$205,2,TRUE)</f>
        <v>IND</v>
      </c>
      <c r="F637" s="60">
        <v>1999</v>
      </c>
      <c r="G637" s="60" t="s">
        <v>4026</v>
      </c>
      <c r="H637" s="65">
        <v>400</v>
      </c>
      <c r="I637" s="65">
        <v>500</v>
      </c>
      <c r="J637" s="60" t="s">
        <v>4906</v>
      </c>
      <c r="K637" s="60">
        <v>21.376214000000001</v>
      </c>
      <c r="L637">
        <v>81.681888000000001</v>
      </c>
    </row>
    <row r="638" spans="1:12" hidden="1" x14ac:dyDescent="0.35">
      <c r="A638" s="60" t="s">
        <v>4907</v>
      </c>
      <c r="B638" s="60" t="s">
        <v>4903</v>
      </c>
      <c r="C638" s="60" t="s">
        <v>4888</v>
      </c>
      <c r="D638" s="60" t="s">
        <v>383</v>
      </c>
      <c r="E638" t="str">
        <f>VLOOKUP(Table10[[#This Row],[Country]],Countries!$A$1:$D$205,2,TRUE)</f>
        <v>IND</v>
      </c>
      <c r="F638" s="60">
        <v>2023</v>
      </c>
      <c r="G638" s="60" t="s">
        <v>4021</v>
      </c>
      <c r="H638" s="65">
        <v>300</v>
      </c>
      <c r="I638" s="65">
        <v>100</v>
      </c>
      <c r="J638" s="60" t="s">
        <v>4906</v>
      </c>
      <c r="K638" s="60">
        <v>21.376214000000001</v>
      </c>
      <c r="L638">
        <v>81.681888000000001</v>
      </c>
    </row>
    <row r="639" spans="1:12" hidden="1" x14ac:dyDescent="0.35">
      <c r="A639" s="60" t="s">
        <v>4908</v>
      </c>
      <c r="B639" s="60" t="s">
        <v>4903</v>
      </c>
      <c r="C639" s="60" t="s">
        <v>4888</v>
      </c>
      <c r="D639" s="60" t="s">
        <v>383</v>
      </c>
      <c r="E639" t="str">
        <f>VLOOKUP(Table10[[#This Row],[Country]],Countries!$A$1:$D$205,2,TRUE)</f>
        <v>IND</v>
      </c>
      <c r="F639" s="60">
        <v>1994</v>
      </c>
      <c r="G639" s="60" t="s">
        <v>4026</v>
      </c>
      <c r="H639" s="65">
        <v>1500</v>
      </c>
      <c r="I639" s="65">
        <v>800</v>
      </c>
      <c r="J639" s="60" t="s">
        <v>4034</v>
      </c>
      <c r="K639" s="60">
        <v>21.244467</v>
      </c>
      <c r="L639">
        <v>81.771252000000004</v>
      </c>
    </row>
    <row r="640" spans="1:12" hidden="1" x14ac:dyDescent="0.35">
      <c r="A640" s="60" t="s">
        <v>4909</v>
      </c>
      <c r="B640" s="60" t="s">
        <v>4910</v>
      </c>
      <c r="C640" s="60" t="s">
        <v>3089</v>
      </c>
      <c r="D640" s="60" t="s">
        <v>383</v>
      </c>
      <c r="E640" t="str">
        <f>VLOOKUP(Table10[[#This Row],[Country]],Countries!$A$1:$D$205,2,TRUE)</f>
        <v>IND</v>
      </c>
      <c r="F640" s="60">
        <v>2004</v>
      </c>
      <c r="G640" s="60" t="s">
        <v>4026</v>
      </c>
      <c r="H640" s="65">
        <v>288</v>
      </c>
      <c r="I640" s="65">
        <v>120</v>
      </c>
      <c r="J640" s="60" t="s">
        <v>4030</v>
      </c>
      <c r="K640" s="60">
        <v>23.112780999999998</v>
      </c>
      <c r="L640">
        <v>70.086688499999994</v>
      </c>
    </row>
    <row r="641" spans="1:12" hidden="1" x14ac:dyDescent="0.35">
      <c r="A641" s="60" t="s">
        <v>4911</v>
      </c>
      <c r="B641" s="60" t="s">
        <v>4910</v>
      </c>
      <c r="C641" s="60" t="s">
        <v>3089</v>
      </c>
      <c r="D641" s="60" t="s">
        <v>383</v>
      </c>
      <c r="E641" t="str">
        <f>VLOOKUP(Table10[[#This Row],[Country]],Countries!$A$1:$D$205,2,TRUE)</f>
        <v>IND</v>
      </c>
      <c r="F641" s="60">
        <v>2030</v>
      </c>
      <c r="G641" s="60" t="s">
        <v>4037</v>
      </c>
      <c r="H641" s="65">
        <v>3100</v>
      </c>
      <c r="I641" s="65" t="s">
        <v>4036</v>
      </c>
      <c r="J641" s="60" t="s">
        <v>4163</v>
      </c>
      <c r="K641" s="60">
        <v>23.112780999999998</v>
      </c>
      <c r="L641">
        <v>70.086688499999994</v>
      </c>
    </row>
    <row r="642" spans="1:12" hidden="1" x14ac:dyDescent="0.35">
      <c r="A642" s="60" t="s">
        <v>4912</v>
      </c>
      <c r="B642" s="60" t="s">
        <v>4910</v>
      </c>
      <c r="C642" s="60" t="s">
        <v>3089</v>
      </c>
      <c r="D642" s="60" t="s">
        <v>383</v>
      </c>
      <c r="E642" t="str">
        <f>VLOOKUP(Table10[[#This Row],[Country]],Countries!$A$1:$D$205,2,TRUE)</f>
        <v>IND</v>
      </c>
      <c r="F642" s="60">
        <v>2030</v>
      </c>
      <c r="G642" s="60" t="s">
        <v>4037</v>
      </c>
      <c r="H642" s="65">
        <v>3300</v>
      </c>
      <c r="I642" s="65" t="s">
        <v>4036</v>
      </c>
      <c r="J642" s="60" t="s">
        <v>4163</v>
      </c>
      <c r="K642" s="60">
        <v>23.112780999999998</v>
      </c>
      <c r="L642">
        <v>70.086688499999994</v>
      </c>
    </row>
    <row r="643" spans="1:12" hidden="1" x14ac:dyDescent="0.35">
      <c r="A643" s="60" t="s">
        <v>4913</v>
      </c>
      <c r="B643" s="60" t="s">
        <v>4914</v>
      </c>
      <c r="C643" s="60" t="s">
        <v>3089</v>
      </c>
      <c r="D643" s="60" t="s">
        <v>383</v>
      </c>
      <c r="E643" t="str">
        <f>VLOOKUP(Table10[[#This Row],[Country]],Countries!$A$1:$D$205,2,TRUE)</f>
        <v>IND</v>
      </c>
      <c r="F643" s="60">
        <v>2025</v>
      </c>
      <c r="G643" s="60" t="s">
        <v>4037</v>
      </c>
      <c r="H643" s="65">
        <v>6000</v>
      </c>
      <c r="I643" s="65">
        <v>7000</v>
      </c>
      <c r="J643" s="60" t="s">
        <v>4049</v>
      </c>
      <c r="K643" s="60">
        <v>21.112376999999999</v>
      </c>
      <c r="L643">
        <v>72.647304000000005</v>
      </c>
    </row>
    <row r="644" spans="1:12" hidden="1" x14ac:dyDescent="0.35">
      <c r="A644" s="60" t="s">
        <v>4915</v>
      </c>
      <c r="B644" s="60" t="s">
        <v>4914</v>
      </c>
      <c r="C644" s="60" t="s">
        <v>3089</v>
      </c>
      <c r="D644" s="60" t="s">
        <v>383</v>
      </c>
      <c r="E644" t="str">
        <f>VLOOKUP(Table10[[#This Row],[Country]],Countries!$A$1:$D$205,2,TRUE)</f>
        <v>IND</v>
      </c>
      <c r="F644" s="60">
        <v>1997</v>
      </c>
      <c r="G644" s="60" t="s">
        <v>4026</v>
      </c>
      <c r="H644" s="65">
        <v>9600</v>
      </c>
      <c r="I644" s="65">
        <v>9870</v>
      </c>
      <c r="J644" s="60" t="s">
        <v>4108</v>
      </c>
      <c r="K644" s="60">
        <v>21.112376999999999</v>
      </c>
      <c r="L644">
        <v>72.647304000000005</v>
      </c>
    </row>
    <row r="645" spans="1:12" hidden="1" x14ac:dyDescent="0.35">
      <c r="A645" s="60" t="s">
        <v>4916</v>
      </c>
      <c r="B645" s="60" t="s">
        <v>4917</v>
      </c>
      <c r="C645" s="60" t="s">
        <v>3096</v>
      </c>
      <c r="D645" s="60" t="s">
        <v>383</v>
      </c>
      <c r="E645" t="str">
        <f>VLOOKUP(Table10[[#This Row],[Country]],Countries!$A$1:$D$205,2,TRUE)</f>
        <v>IND</v>
      </c>
      <c r="F645" s="60">
        <v>1975</v>
      </c>
      <c r="G645" s="60" t="s">
        <v>4026</v>
      </c>
      <c r="H645" s="65">
        <v>800</v>
      </c>
      <c r="I645" s="65" t="s">
        <v>4022</v>
      </c>
      <c r="J645" s="60" t="s">
        <v>4023</v>
      </c>
      <c r="K645" s="60">
        <v>29.127253</v>
      </c>
      <c r="L645">
        <v>75.773075000000006</v>
      </c>
    </row>
    <row r="646" spans="1:12" hidden="1" x14ac:dyDescent="0.35">
      <c r="A646" s="60" t="s">
        <v>4918</v>
      </c>
      <c r="B646" s="60" t="s">
        <v>4919</v>
      </c>
      <c r="C646" s="60" t="s">
        <v>3096</v>
      </c>
      <c r="D646" s="60" t="s">
        <v>383</v>
      </c>
      <c r="E646" t="str">
        <f>VLOOKUP(Table10[[#This Row],[Country]],Countries!$A$1:$D$205,2,TRUE)</f>
        <v>IND</v>
      </c>
      <c r="F646" s="60">
        <v>2021</v>
      </c>
      <c r="G646" s="60" t="s">
        <v>4026</v>
      </c>
      <c r="H646" s="65">
        <v>500</v>
      </c>
      <c r="I646" s="65" t="s">
        <v>4022</v>
      </c>
      <c r="J646" s="60" t="s">
        <v>4023</v>
      </c>
      <c r="K646" s="60">
        <v>28.89404</v>
      </c>
      <c r="L646">
        <v>76.610326000000001</v>
      </c>
    </row>
    <row r="647" spans="1:12" hidden="1" x14ac:dyDescent="0.35">
      <c r="A647" s="60" t="s">
        <v>4920</v>
      </c>
      <c r="B647" s="60" t="s">
        <v>4921</v>
      </c>
      <c r="C647" s="60" t="s">
        <v>4922</v>
      </c>
      <c r="D647" s="60" t="s">
        <v>383</v>
      </c>
      <c r="E647" t="str">
        <f>VLOOKUP(Table10[[#This Row],[Country]],Countries!$A$1:$D$205,2,TRUE)</f>
        <v>IND</v>
      </c>
      <c r="F647" s="60">
        <v>2009</v>
      </c>
      <c r="G647" s="60" t="s">
        <v>4026</v>
      </c>
      <c r="H647" s="65">
        <v>600</v>
      </c>
      <c r="I647" s="65">
        <v>600</v>
      </c>
      <c r="J647" s="60" t="s">
        <v>4049</v>
      </c>
      <c r="K647" s="60">
        <v>24.145239</v>
      </c>
      <c r="L647">
        <v>86.334998999999996</v>
      </c>
    </row>
    <row r="648" spans="1:12" hidden="1" x14ac:dyDescent="0.35">
      <c r="A648" s="60" t="s">
        <v>4923</v>
      </c>
      <c r="B648" s="60" t="s">
        <v>4924</v>
      </c>
      <c r="C648" s="60" t="s">
        <v>4922</v>
      </c>
      <c r="D648" s="60" t="s">
        <v>383</v>
      </c>
      <c r="E648" t="str">
        <f>VLOOKUP(Table10[[#This Row],[Country]],Countries!$A$1:$D$205,2,TRUE)</f>
        <v>IND</v>
      </c>
      <c r="F648" s="60">
        <v>2006</v>
      </c>
      <c r="G648" s="60" t="s">
        <v>4026</v>
      </c>
      <c r="H648" s="65">
        <v>2570</v>
      </c>
      <c r="I648" s="65">
        <v>2008</v>
      </c>
      <c r="J648" s="60" t="s">
        <v>4049</v>
      </c>
      <c r="K648" s="60">
        <v>23.632906999999999</v>
      </c>
      <c r="L648">
        <v>86.293671000000003</v>
      </c>
    </row>
    <row r="649" spans="1:12" hidden="1" x14ac:dyDescent="0.35">
      <c r="A649" s="60" t="s">
        <v>4925</v>
      </c>
      <c r="B649" s="60" t="s">
        <v>4926</v>
      </c>
      <c r="C649" s="60" t="s">
        <v>4922</v>
      </c>
      <c r="D649" s="60" t="s">
        <v>383</v>
      </c>
      <c r="E649" t="str">
        <f>VLOOKUP(Table10[[#This Row],[Country]],Countries!$A$1:$D$205,2,TRUE)</f>
        <v>IND</v>
      </c>
      <c r="F649" s="60">
        <v>2024</v>
      </c>
      <c r="G649" s="60" t="s">
        <v>4021</v>
      </c>
      <c r="H649" s="65">
        <v>4850</v>
      </c>
      <c r="I649" s="65" t="s">
        <v>4036</v>
      </c>
      <c r="J649" s="60" t="s">
        <v>4163</v>
      </c>
      <c r="K649" s="60">
        <v>23.671676999999999</v>
      </c>
      <c r="L649">
        <v>86.106870000000001</v>
      </c>
    </row>
    <row r="650" spans="1:12" hidden="1" x14ac:dyDescent="0.35">
      <c r="A650" s="60" t="s">
        <v>4927</v>
      </c>
      <c r="B650" s="60" t="s">
        <v>4926</v>
      </c>
      <c r="C650" s="60" t="s">
        <v>4922</v>
      </c>
      <c r="D650" s="60" t="s">
        <v>383</v>
      </c>
      <c r="E650" t="str">
        <f>VLOOKUP(Table10[[#This Row],[Country]],Countries!$A$1:$D$205,2,TRUE)</f>
        <v>IND</v>
      </c>
      <c r="F650" s="60">
        <v>1972</v>
      </c>
      <c r="G650" s="60" t="s">
        <v>4026</v>
      </c>
      <c r="H650" s="65">
        <v>4650</v>
      </c>
      <c r="I650" s="65">
        <v>5770</v>
      </c>
      <c r="J650" s="60" t="s">
        <v>4049</v>
      </c>
      <c r="K650" s="60">
        <v>23.671676999999999</v>
      </c>
      <c r="L650">
        <v>86.106870000000001</v>
      </c>
    </row>
    <row r="651" spans="1:12" hidden="1" x14ac:dyDescent="0.35">
      <c r="A651" s="60" t="s">
        <v>4928</v>
      </c>
      <c r="B651" s="60" t="s">
        <v>4929</v>
      </c>
      <c r="C651" s="60" t="s">
        <v>4922</v>
      </c>
      <c r="D651" s="60" t="s">
        <v>383</v>
      </c>
      <c r="E651" t="str">
        <f>VLOOKUP(Table10[[#This Row],[Country]],Countries!$A$1:$D$205,2,TRUE)</f>
        <v>IND</v>
      </c>
      <c r="F651" s="60">
        <v>1907</v>
      </c>
      <c r="G651" s="60" t="s">
        <v>4026</v>
      </c>
      <c r="H651" s="65">
        <v>10000</v>
      </c>
      <c r="I651" s="65">
        <v>10070</v>
      </c>
      <c r="J651" s="60" t="s">
        <v>4049</v>
      </c>
      <c r="K651" s="60">
        <v>22.788598</v>
      </c>
      <c r="L651">
        <v>86.199600000000004</v>
      </c>
    </row>
    <row r="652" spans="1:12" hidden="1" x14ac:dyDescent="0.35">
      <c r="A652" s="60" t="s">
        <v>4930</v>
      </c>
      <c r="B652" s="60" t="s">
        <v>4929</v>
      </c>
      <c r="C652" s="60" t="s">
        <v>4922</v>
      </c>
      <c r="D652" s="60" t="s">
        <v>383</v>
      </c>
      <c r="E652" t="str">
        <f>VLOOKUP(Table10[[#This Row],[Country]],Countries!$A$1:$D$205,2,TRUE)</f>
        <v>IND</v>
      </c>
      <c r="F652" s="60">
        <v>1982</v>
      </c>
      <c r="G652" s="60" t="s">
        <v>4026</v>
      </c>
      <c r="H652" s="65">
        <v>1000</v>
      </c>
      <c r="I652" s="65">
        <v>1650</v>
      </c>
      <c r="J652" s="60" t="s">
        <v>4108</v>
      </c>
      <c r="K652" s="60">
        <v>22.812895000000001</v>
      </c>
      <c r="L652">
        <v>86.084022000000004</v>
      </c>
    </row>
    <row r="653" spans="1:12" hidden="1" x14ac:dyDescent="0.35">
      <c r="A653" s="60" t="s">
        <v>4931</v>
      </c>
      <c r="B653" s="60" t="s">
        <v>4929</v>
      </c>
      <c r="C653" s="60" t="s">
        <v>4922</v>
      </c>
      <c r="D653" s="60" t="s">
        <v>383</v>
      </c>
      <c r="E653" t="str">
        <f>VLOOKUP(Table10[[#This Row],[Country]],Countries!$A$1:$D$205,2,TRUE)</f>
        <v>IND</v>
      </c>
      <c r="F653" s="60">
        <v>2020</v>
      </c>
      <c r="G653" s="60" t="s">
        <v>4026</v>
      </c>
      <c r="H653" s="65">
        <v>1000</v>
      </c>
      <c r="I653" s="65">
        <v>1950</v>
      </c>
      <c r="J653" s="60" t="s">
        <v>4049</v>
      </c>
      <c r="K653" s="60">
        <v>22.788598</v>
      </c>
      <c r="L653">
        <v>86.199600000000004</v>
      </c>
    </row>
    <row r="654" spans="1:12" hidden="1" x14ac:dyDescent="0.35">
      <c r="A654" s="60" t="s">
        <v>4932</v>
      </c>
      <c r="B654" s="60" t="s">
        <v>4922</v>
      </c>
      <c r="C654" s="60" t="s">
        <v>4922</v>
      </c>
      <c r="D654" s="60" t="s">
        <v>383</v>
      </c>
      <c r="E654" t="str">
        <f>VLOOKUP(Table10[[#This Row],[Country]],Countries!$A$1:$D$205,2,TRUE)</f>
        <v>IND</v>
      </c>
      <c r="F654" s="60" t="s">
        <v>4036</v>
      </c>
      <c r="G654" s="60" t="s">
        <v>4037</v>
      </c>
      <c r="H654" s="65">
        <v>10000</v>
      </c>
      <c r="I654" s="65" t="s">
        <v>4036</v>
      </c>
      <c r="J654" s="60" t="s">
        <v>4036</v>
      </c>
      <c r="K654" s="60">
        <v>23.636116000000001</v>
      </c>
      <c r="L654">
        <v>85.317183</v>
      </c>
    </row>
    <row r="655" spans="1:12" hidden="1" x14ac:dyDescent="0.35">
      <c r="A655" s="60" t="s">
        <v>4933</v>
      </c>
      <c r="B655" s="60" t="s">
        <v>4934</v>
      </c>
      <c r="C655" s="60" t="s">
        <v>4922</v>
      </c>
      <c r="D655" s="60" t="s">
        <v>383</v>
      </c>
      <c r="E655" t="str">
        <f>VLOOKUP(Table10[[#This Row],[Country]],Countries!$A$1:$D$205,2,TRUE)</f>
        <v>IND</v>
      </c>
      <c r="F655" s="60">
        <v>2012</v>
      </c>
      <c r="G655" s="60" t="s">
        <v>4026</v>
      </c>
      <c r="H655" s="65">
        <v>1600</v>
      </c>
      <c r="I655" s="65" t="s">
        <v>4022</v>
      </c>
      <c r="J655" s="60" t="s">
        <v>4023</v>
      </c>
      <c r="K655" s="60">
        <v>23.632991000000001</v>
      </c>
      <c r="L655">
        <v>85.325308000000007</v>
      </c>
    </row>
    <row r="656" spans="1:12" hidden="1" x14ac:dyDescent="0.35">
      <c r="A656" s="60" t="s">
        <v>4935</v>
      </c>
      <c r="B656" s="60" t="s">
        <v>4934</v>
      </c>
      <c r="C656" s="60" t="s">
        <v>4922</v>
      </c>
      <c r="D656" s="60" t="s">
        <v>383</v>
      </c>
      <c r="E656" t="str">
        <f>VLOOKUP(Table10[[#This Row],[Country]],Countries!$A$1:$D$205,2,TRUE)</f>
        <v>IND</v>
      </c>
      <c r="F656" s="60">
        <v>2024</v>
      </c>
      <c r="G656" s="60" t="s">
        <v>4037</v>
      </c>
      <c r="H656" s="65">
        <v>6000</v>
      </c>
      <c r="I656" s="65">
        <v>5000</v>
      </c>
      <c r="J656" s="60" t="s">
        <v>4094</v>
      </c>
      <c r="K656" s="60">
        <v>23.632991000000001</v>
      </c>
      <c r="L656">
        <v>85.325308000000007</v>
      </c>
    </row>
    <row r="657" spans="1:12" hidden="1" x14ac:dyDescent="0.35">
      <c r="A657" s="60" t="s">
        <v>4936</v>
      </c>
      <c r="B657" s="60" t="s">
        <v>4937</v>
      </c>
      <c r="C657" s="60" t="s">
        <v>4922</v>
      </c>
      <c r="D657" s="60" t="s">
        <v>383</v>
      </c>
      <c r="E657" t="str">
        <f>VLOOKUP(Table10[[#This Row],[Country]],Countries!$A$1:$D$205,2,TRUE)</f>
        <v>IND</v>
      </c>
      <c r="F657" s="60">
        <v>2030</v>
      </c>
      <c r="G657" s="60" t="s">
        <v>4037</v>
      </c>
      <c r="H657" s="65">
        <v>3000</v>
      </c>
      <c r="I657" s="65" t="s">
        <v>4022</v>
      </c>
      <c r="J657" s="60" t="s">
        <v>4023</v>
      </c>
      <c r="K657" s="60">
        <v>22.665526</v>
      </c>
      <c r="L657">
        <v>85.64622</v>
      </c>
    </row>
    <row r="658" spans="1:12" hidden="1" x14ac:dyDescent="0.35">
      <c r="A658" s="60" t="s">
        <v>4938</v>
      </c>
      <c r="B658" s="60" t="s">
        <v>4939</v>
      </c>
      <c r="C658" s="60" t="s">
        <v>3099</v>
      </c>
      <c r="D658" s="60" t="s">
        <v>383</v>
      </c>
      <c r="E658" t="str">
        <f>VLOOKUP(Table10[[#This Row],[Country]],Countries!$A$1:$D$205,2,TRUE)</f>
        <v>IND</v>
      </c>
      <c r="F658" s="60" t="s">
        <v>4022</v>
      </c>
      <c r="G658" s="60" t="s">
        <v>4029</v>
      </c>
      <c r="H658" s="65">
        <v>6000</v>
      </c>
      <c r="I658" s="65" t="s">
        <v>4036</v>
      </c>
      <c r="J658" s="60" t="s">
        <v>4036</v>
      </c>
      <c r="K658" s="60">
        <v>15.139498</v>
      </c>
      <c r="L658">
        <v>76.918417000000005</v>
      </c>
    </row>
    <row r="659" spans="1:12" hidden="1" x14ac:dyDescent="0.35">
      <c r="A659" s="60" t="s">
        <v>4940</v>
      </c>
      <c r="B659" s="60" t="s">
        <v>4941</v>
      </c>
      <c r="C659" s="60" t="s">
        <v>3099</v>
      </c>
      <c r="D659" s="60" t="s">
        <v>383</v>
      </c>
      <c r="E659" t="str">
        <f>VLOOKUP(Table10[[#This Row],[Country]],Countries!$A$1:$D$205,2,TRUE)</f>
        <v>IND</v>
      </c>
      <c r="F659" s="60">
        <v>2030</v>
      </c>
      <c r="G659" s="60" t="s">
        <v>4037</v>
      </c>
      <c r="H659" s="65">
        <v>5000</v>
      </c>
      <c r="I659" s="65" t="s">
        <v>4036</v>
      </c>
      <c r="J659" s="60" t="s">
        <v>4163</v>
      </c>
      <c r="K659" s="60">
        <v>15.186287999999999</v>
      </c>
      <c r="L659">
        <v>76.916590999999997</v>
      </c>
    </row>
    <row r="660" spans="1:12" hidden="1" x14ac:dyDescent="0.35">
      <c r="A660" s="60" t="s">
        <v>4942</v>
      </c>
      <c r="B660" s="60" t="s">
        <v>4943</v>
      </c>
      <c r="C660" s="60" t="s">
        <v>3099</v>
      </c>
      <c r="D660" s="60" t="s">
        <v>383</v>
      </c>
      <c r="E660" t="str">
        <f>VLOOKUP(Table10[[#This Row],[Country]],Countries!$A$1:$D$205,2,TRUE)</f>
        <v>IND</v>
      </c>
      <c r="F660" s="60">
        <v>2023</v>
      </c>
      <c r="G660" s="60" t="s">
        <v>4037</v>
      </c>
      <c r="H660" s="65">
        <v>1100</v>
      </c>
      <c r="I660" s="65">
        <v>880</v>
      </c>
      <c r="J660" s="60" t="s">
        <v>4049</v>
      </c>
      <c r="K660" s="60">
        <v>15.16972</v>
      </c>
      <c r="L660">
        <v>76.379710000000003</v>
      </c>
    </row>
    <row r="661" spans="1:12" hidden="1" x14ac:dyDescent="0.35">
      <c r="A661" s="60" t="s">
        <v>4944</v>
      </c>
      <c r="B661" s="60" t="s">
        <v>4943</v>
      </c>
      <c r="C661" s="60" t="s">
        <v>3099</v>
      </c>
      <c r="D661" s="60" t="s">
        <v>383</v>
      </c>
      <c r="E661" t="str">
        <f>VLOOKUP(Table10[[#This Row],[Country]],Countries!$A$1:$D$205,2,TRUE)</f>
        <v>IND</v>
      </c>
      <c r="F661" s="60">
        <v>2006</v>
      </c>
      <c r="G661" s="60" t="s">
        <v>4026</v>
      </c>
      <c r="H661" s="65">
        <v>2200</v>
      </c>
      <c r="I661" s="65">
        <v>730</v>
      </c>
      <c r="J661" s="60" t="s">
        <v>4906</v>
      </c>
      <c r="K661" s="60">
        <v>15.16972</v>
      </c>
      <c r="L661">
        <v>76.379710000000003</v>
      </c>
    </row>
    <row r="662" spans="1:12" hidden="1" x14ac:dyDescent="0.35">
      <c r="A662" s="60" t="s">
        <v>4945</v>
      </c>
      <c r="B662" s="60" t="s">
        <v>4946</v>
      </c>
      <c r="C662" s="60" t="s">
        <v>3099</v>
      </c>
      <c r="D662" s="60" t="s">
        <v>383</v>
      </c>
      <c r="E662" t="str">
        <f>VLOOKUP(Table10[[#This Row],[Country]],Countries!$A$1:$D$205,2,TRUE)</f>
        <v>IND</v>
      </c>
      <c r="F662" s="60">
        <v>1998</v>
      </c>
      <c r="G662" s="60" t="s">
        <v>4026</v>
      </c>
      <c r="H662" s="65">
        <v>860</v>
      </c>
      <c r="I662" s="65">
        <v>1084</v>
      </c>
      <c r="J662" s="60" t="s">
        <v>4412</v>
      </c>
      <c r="K662" s="60">
        <v>15.339055</v>
      </c>
      <c r="L662">
        <v>76.251695999999995</v>
      </c>
    </row>
    <row r="663" spans="1:12" hidden="1" x14ac:dyDescent="0.35">
      <c r="A663" s="60" t="s">
        <v>4947</v>
      </c>
      <c r="B663" s="60" t="s">
        <v>4946</v>
      </c>
      <c r="C663" s="60" t="s">
        <v>3099</v>
      </c>
      <c r="D663" s="60" t="s">
        <v>383</v>
      </c>
      <c r="E663" t="str">
        <f>VLOOKUP(Table10[[#This Row],[Country]],Countries!$A$1:$D$205,2,TRUE)</f>
        <v>IND</v>
      </c>
      <c r="F663" s="60">
        <v>2025</v>
      </c>
      <c r="G663" s="60" t="s">
        <v>4037</v>
      </c>
      <c r="H663" s="65">
        <v>500</v>
      </c>
      <c r="I663" s="65">
        <v>1056</v>
      </c>
      <c r="J663" s="60" t="s">
        <v>4049</v>
      </c>
      <c r="K663" s="60">
        <v>15.339055</v>
      </c>
      <c r="L663">
        <v>76.251695999999995</v>
      </c>
    </row>
    <row r="664" spans="1:12" hidden="1" x14ac:dyDescent="0.35">
      <c r="A664" s="60" t="s">
        <v>4948</v>
      </c>
      <c r="B664" s="60" t="s">
        <v>4946</v>
      </c>
      <c r="C664" s="60" t="s">
        <v>3099</v>
      </c>
      <c r="D664" s="60" t="s">
        <v>383</v>
      </c>
      <c r="E664" t="str">
        <f>VLOOKUP(Table10[[#This Row],[Country]],Countries!$A$1:$D$205,2,TRUE)</f>
        <v>IND</v>
      </c>
      <c r="F664" s="60">
        <v>2025</v>
      </c>
      <c r="G664" s="60" t="s">
        <v>4037</v>
      </c>
      <c r="H664" s="65">
        <v>40</v>
      </c>
      <c r="I664" s="65" t="s">
        <v>4022</v>
      </c>
      <c r="J664" s="60" t="s">
        <v>4023</v>
      </c>
      <c r="K664" s="60">
        <v>15.339055</v>
      </c>
      <c r="L664">
        <v>76.251695999999995</v>
      </c>
    </row>
    <row r="665" spans="1:12" hidden="1" x14ac:dyDescent="0.35">
      <c r="A665" s="60" t="s">
        <v>4949</v>
      </c>
      <c r="B665" s="60" t="s">
        <v>4950</v>
      </c>
      <c r="C665" s="60" t="s">
        <v>3099</v>
      </c>
      <c r="D665" s="60" t="s">
        <v>383</v>
      </c>
      <c r="E665" t="str">
        <f>VLOOKUP(Table10[[#This Row],[Country]],Countries!$A$1:$D$205,2,TRUE)</f>
        <v>IND</v>
      </c>
      <c r="F665" s="60">
        <v>2029</v>
      </c>
      <c r="G665" s="60" t="s">
        <v>4037</v>
      </c>
      <c r="H665" s="65">
        <v>2500</v>
      </c>
      <c r="I665" s="65" t="s">
        <v>4110</v>
      </c>
      <c r="J665" s="60" t="s">
        <v>4049</v>
      </c>
      <c r="K665" s="60">
        <v>15.293421</v>
      </c>
      <c r="L665">
        <v>76.234947000000005</v>
      </c>
    </row>
    <row r="666" spans="1:12" hidden="1" x14ac:dyDescent="0.35">
      <c r="A666" s="60" t="s">
        <v>4951</v>
      </c>
      <c r="B666" s="60" t="s">
        <v>4950</v>
      </c>
      <c r="C666" s="60" t="s">
        <v>3099</v>
      </c>
      <c r="D666" s="60" t="s">
        <v>383</v>
      </c>
      <c r="E666" t="str">
        <f>VLOOKUP(Table10[[#This Row],[Country]],Countries!$A$1:$D$205,2,TRUE)</f>
        <v>IND</v>
      </c>
      <c r="F666" s="60">
        <v>2036</v>
      </c>
      <c r="G666" s="60" t="s">
        <v>4037</v>
      </c>
      <c r="H666" s="65">
        <v>2500</v>
      </c>
      <c r="I666" s="65" t="s">
        <v>4110</v>
      </c>
      <c r="J666" s="60" t="s">
        <v>4049</v>
      </c>
      <c r="K666" s="60">
        <v>15.293421</v>
      </c>
      <c r="L666">
        <v>76.234947000000005</v>
      </c>
    </row>
    <row r="667" spans="1:12" hidden="1" x14ac:dyDescent="0.35">
      <c r="A667" s="60" t="s">
        <v>4952</v>
      </c>
      <c r="B667" s="60" t="s">
        <v>4953</v>
      </c>
      <c r="C667" s="60" t="s">
        <v>3099</v>
      </c>
      <c r="D667" s="60" t="s">
        <v>383</v>
      </c>
      <c r="E667" t="str">
        <f>VLOOKUP(Table10[[#This Row],[Country]],Countries!$A$1:$D$205,2,TRUE)</f>
        <v>IND</v>
      </c>
      <c r="F667" s="60">
        <v>2026</v>
      </c>
      <c r="G667" s="60" t="s">
        <v>4037</v>
      </c>
      <c r="H667" s="65">
        <v>1800</v>
      </c>
      <c r="I667" s="65" t="s">
        <v>4036</v>
      </c>
      <c r="J667" s="60" t="s">
        <v>4163</v>
      </c>
      <c r="K667" s="60">
        <v>15.180422999999999</v>
      </c>
      <c r="L667">
        <v>76.663133999999999</v>
      </c>
    </row>
    <row r="668" spans="1:12" hidden="1" x14ac:dyDescent="0.35">
      <c r="A668" s="60" t="s">
        <v>4954</v>
      </c>
      <c r="B668" s="60" t="s">
        <v>4953</v>
      </c>
      <c r="C668" s="60" t="s">
        <v>3099</v>
      </c>
      <c r="D668" s="60" t="s">
        <v>383</v>
      </c>
      <c r="E668" t="str">
        <f>VLOOKUP(Table10[[#This Row],[Country]],Countries!$A$1:$D$205,2,TRUE)</f>
        <v>IND</v>
      </c>
      <c r="F668" s="60">
        <v>2024</v>
      </c>
      <c r="G668" s="60" t="s">
        <v>4037</v>
      </c>
      <c r="H668" s="65">
        <v>5000</v>
      </c>
      <c r="I668" s="65">
        <v>4500</v>
      </c>
      <c r="J668" s="60" t="s">
        <v>4163</v>
      </c>
      <c r="K668" s="60">
        <v>15.180422999999999</v>
      </c>
      <c r="L668">
        <v>76.663133999999999</v>
      </c>
    </row>
    <row r="669" spans="1:12" hidden="1" x14ac:dyDescent="0.35">
      <c r="A669" s="60" t="s">
        <v>4955</v>
      </c>
      <c r="B669" s="60" t="s">
        <v>4953</v>
      </c>
      <c r="C669" s="60" t="s">
        <v>3099</v>
      </c>
      <c r="D669" s="60" t="s">
        <v>383</v>
      </c>
      <c r="E669" t="str">
        <f>VLOOKUP(Table10[[#This Row],[Country]],Countries!$A$1:$D$205,2,TRUE)</f>
        <v>IND</v>
      </c>
      <c r="F669" s="60">
        <v>2022</v>
      </c>
      <c r="G669" s="60" t="s">
        <v>4037</v>
      </c>
      <c r="H669" s="65">
        <v>1200</v>
      </c>
      <c r="I669" s="65" t="s">
        <v>4022</v>
      </c>
      <c r="J669" s="60" t="s">
        <v>4023</v>
      </c>
      <c r="K669" s="60">
        <v>15.180422999999999</v>
      </c>
      <c r="L669">
        <v>76.663133999999999</v>
      </c>
    </row>
    <row r="670" spans="1:12" hidden="1" x14ac:dyDescent="0.35">
      <c r="A670" s="60" t="s">
        <v>4956</v>
      </c>
      <c r="B670" s="60" t="s">
        <v>4953</v>
      </c>
      <c r="C670" s="60" t="s">
        <v>3099</v>
      </c>
      <c r="D670" s="60" t="s">
        <v>383</v>
      </c>
      <c r="E670" t="str">
        <f>VLOOKUP(Table10[[#This Row],[Country]],Countries!$A$1:$D$205,2,TRUE)</f>
        <v>IND</v>
      </c>
      <c r="F670" s="60">
        <v>1994</v>
      </c>
      <c r="G670" s="60" t="s">
        <v>4026</v>
      </c>
      <c r="H670" s="65">
        <v>12000</v>
      </c>
      <c r="I670" s="65">
        <v>11870</v>
      </c>
      <c r="J670" s="60" t="s">
        <v>4412</v>
      </c>
      <c r="K670" s="60">
        <v>15.180422999999999</v>
      </c>
      <c r="L670">
        <v>76.663133999999999</v>
      </c>
    </row>
    <row r="671" spans="1:12" hidden="1" x14ac:dyDescent="0.35">
      <c r="A671" s="60" t="s">
        <v>4957</v>
      </c>
      <c r="B671" s="60" t="s">
        <v>4953</v>
      </c>
      <c r="C671" s="60" t="s">
        <v>3099</v>
      </c>
      <c r="D671" s="60" t="s">
        <v>383</v>
      </c>
      <c r="E671" t="str">
        <f>VLOOKUP(Table10[[#This Row],[Country]],Countries!$A$1:$D$205,2,TRUE)</f>
        <v>IND</v>
      </c>
      <c r="F671" s="60">
        <v>2024</v>
      </c>
      <c r="G671" s="60" t="s">
        <v>4037</v>
      </c>
      <c r="H671" s="65">
        <v>5000</v>
      </c>
      <c r="I671" s="65" t="s">
        <v>4022</v>
      </c>
      <c r="J671" s="60" t="s">
        <v>4036</v>
      </c>
      <c r="K671" s="60">
        <v>15.203175999999999</v>
      </c>
      <c r="L671">
        <v>76.659121999999996</v>
      </c>
    </row>
    <row r="672" spans="1:12" hidden="1" x14ac:dyDescent="0.35">
      <c r="A672" s="60" t="s">
        <v>4958</v>
      </c>
      <c r="B672" s="60" t="s">
        <v>4959</v>
      </c>
      <c r="C672" s="60" t="s">
        <v>3106</v>
      </c>
      <c r="D672" s="60" t="s">
        <v>383</v>
      </c>
      <c r="E672" t="str">
        <f>VLOOKUP(Table10[[#This Row],[Country]],Countries!$A$1:$D$205,2,TRUE)</f>
        <v>IND</v>
      </c>
      <c r="F672" s="60">
        <v>2022</v>
      </c>
      <c r="G672" s="60" t="s">
        <v>4026</v>
      </c>
      <c r="H672" s="65">
        <v>5000</v>
      </c>
      <c r="I672" s="65">
        <v>4500</v>
      </c>
      <c r="J672" s="60" t="s">
        <v>4049</v>
      </c>
      <c r="K672" s="60">
        <v>18.690311999999999</v>
      </c>
      <c r="L672">
        <v>73.035901999999993</v>
      </c>
    </row>
    <row r="673" spans="1:12" hidden="1" x14ac:dyDescent="0.35">
      <c r="A673" s="60" t="s">
        <v>4960</v>
      </c>
      <c r="B673" s="60" t="s">
        <v>4959</v>
      </c>
      <c r="C673" s="60" t="s">
        <v>3106</v>
      </c>
      <c r="D673" s="60" t="s">
        <v>383</v>
      </c>
      <c r="E673" t="str">
        <f>VLOOKUP(Table10[[#This Row],[Country]],Countries!$A$1:$D$205,2,TRUE)</f>
        <v>IND</v>
      </c>
      <c r="F673" s="60">
        <v>1994</v>
      </c>
      <c r="G673" s="60" t="s">
        <v>4026</v>
      </c>
      <c r="H673" s="65">
        <v>5000</v>
      </c>
      <c r="I673" s="65">
        <v>5200</v>
      </c>
      <c r="J673" s="60" t="s">
        <v>4108</v>
      </c>
      <c r="K673" s="60">
        <v>18.690311999999999</v>
      </c>
      <c r="L673">
        <v>73.035901999999993</v>
      </c>
    </row>
    <row r="674" spans="1:12" hidden="1" x14ac:dyDescent="0.35">
      <c r="A674" s="60" t="s">
        <v>4961</v>
      </c>
      <c r="B674" s="60" t="s">
        <v>4962</v>
      </c>
      <c r="C674" s="60" t="s">
        <v>3106</v>
      </c>
      <c r="D674" s="60" t="s">
        <v>383</v>
      </c>
      <c r="E674" t="str">
        <f>VLOOKUP(Table10[[#This Row],[Country]],Countries!$A$1:$D$205,2,TRUE)</f>
        <v>IND</v>
      </c>
      <c r="F674" s="60">
        <v>1991</v>
      </c>
      <c r="G674" s="60" t="s">
        <v>4026</v>
      </c>
      <c r="H674" s="65">
        <v>641</v>
      </c>
      <c r="I674" s="65">
        <v>270</v>
      </c>
      <c r="J674" s="60" t="s">
        <v>4023</v>
      </c>
      <c r="K674" s="60">
        <v>19.262606000000002</v>
      </c>
      <c r="L674">
        <v>73.396916000000004</v>
      </c>
    </row>
    <row r="675" spans="1:12" hidden="1" x14ac:dyDescent="0.35">
      <c r="A675" s="60" t="s">
        <v>4963</v>
      </c>
      <c r="B675" s="60" t="s">
        <v>4964</v>
      </c>
      <c r="C675" s="60" t="s">
        <v>3106</v>
      </c>
      <c r="D675" s="60" t="s">
        <v>383</v>
      </c>
      <c r="E675" t="str">
        <f>VLOOKUP(Table10[[#This Row],[Country]],Countries!$A$1:$D$205,2,TRUE)</f>
        <v>IND</v>
      </c>
      <c r="F675" s="60">
        <v>1972</v>
      </c>
      <c r="G675" s="60" t="s">
        <v>4026</v>
      </c>
      <c r="H675" s="65">
        <v>1000</v>
      </c>
      <c r="I675" s="65">
        <v>1000</v>
      </c>
      <c r="J675" s="60" t="s">
        <v>4094</v>
      </c>
      <c r="K675" s="60">
        <v>21.118112</v>
      </c>
      <c r="L675">
        <v>79.005584999999996</v>
      </c>
    </row>
    <row r="676" spans="1:12" hidden="1" x14ac:dyDescent="0.35">
      <c r="A676" s="60" t="s">
        <v>4965</v>
      </c>
      <c r="B676" s="60" t="s">
        <v>4966</v>
      </c>
      <c r="C676" s="60" t="s">
        <v>3106</v>
      </c>
      <c r="D676" s="60" t="s">
        <v>383</v>
      </c>
      <c r="E676" t="str">
        <f>VLOOKUP(Table10[[#This Row],[Country]],Countries!$A$1:$D$205,2,TRUE)</f>
        <v>IND</v>
      </c>
      <c r="F676" s="60">
        <v>1993</v>
      </c>
      <c r="G676" s="60" t="s">
        <v>4026</v>
      </c>
      <c r="H676" s="65" t="s">
        <v>4022</v>
      </c>
      <c r="I676" s="65">
        <v>1000</v>
      </c>
      <c r="J676" s="60" t="s">
        <v>4030</v>
      </c>
      <c r="K676" s="60">
        <v>18.530853</v>
      </c>
      <c r="L676">
        <v>72.947091</v>
      </c>
    </row>
    <row r="677" spans="1:12" hidden="1" x14ac:dyDescent="0.35">
      <c r="A677" s="60" t="s">
        <v>4967</v>
      </c>
      <c r="B677" s="60" t="s">
        <v>4968</v>
      </c>
      <c r="C677" s="60" t="s">
        <v>3106</v>
      </c>
      <c r="D677" s="60" t="s">
        <v>383</v>
      </c>
      <c r="E677" t="str">
        <f>VLOOKUP(Table10[[#This Row],[Country]],Countries!$A$1:$D$205,2,TRUE)</f>
        <v>IND</v>
      </c>
      <c r="F677" s="60">
        <v>1989</v>
      </c>
      <c r="G677" s="60" t="s">
        <v>4026</v>
      </c>
      <c r="H677" s="65">
        <v>500</v>
      </c>
      <c r="I677" s="65">
        <v>562</v>
      </c>
      <c r="J677" s="60" t="s">
        <v>4108</v>
      </c>
      <c r="K677" s="60">
        <v>21.232928999999999</v>
      </c>
      <c r="L677">
        <v>79.632397999999995</v>
      </c>
    </row>
    <row r="678" spans="1:12" hidden="1" x14ac:dyDescent="0.35">
      <c r="A678" s="60" t="s">
        <v>4969</v>
      </c>
      <c r="B678" s="60" t="s">
        <v>4970</v>
      </c>
      <c r="C678" s="60" t="s">
        <v>4971</v>
      </c>
      <c r="D678" s="60" t="s">
        <v>383</v>
      </c>
      <c r="E678" t="str">
        <f>VLOOKUP(Table10[[#This Row],[Country]],Countries!$A$1:$D$205,2,TRUE)</f>
        <v>IND</v>
      </c>
      <c r="F678" s="60">
        <v>2030</v>
      </c>
      <c r="G678" s="60" t="s">
        <v>4037</v>
      </c>
      <c r="H678" s="65">
        <v>6500</v>
      </c>
      <c r="I678" s="65">
        <v>6950</v>
      </c>
      <c r="J678" s="60" t="s">
        <v>4412</v>
      </c>
      <c r="K678" s="60">
        <v>20.884896000000001</v>
      </c>
      <c r="L678">
        <v>84.991539000000003</v>
      </c>
    </row>
    <row r="679" spans="1:12" hidden="1" x14ac:dyDescent="0.35">
      <c r="A679" s="60" t="s">
        <v>4972</v>
      </c>
      <c r="B679" s="60" t="s">
        <v>4970</v>
      </c>
      <c r="C679" s="60" t="s">
        <v>4971</v>
      </c>
      <c r="D679" s="60" t="s">
        <v>383</v>
      </c>
      <c r="E679" t="str">
        <f>VLOOKUP(Table10[[#This Row],[Country]],Countries!$A$1:$D$205,2,TRUE)</f>
        <v>IND</v>
      </c>
      <c r="F679" s="60">
        <v>2030</v>
      </c>
      <c r="G679" s="60" t="s">
        <v>4037</v>
      </c>
      <c r="H679" s="65">
        <v>12700</v>
      </c>
      <c r="I679" s="65">
        <v>12450</v>
      </c>
      <c r="J679" s="60" t="s">
        <v>4412</v>
      </c>
      <c r="K679" s="60">
        <v>20.884896000000001</v>
      </c>
      <c r="L679">
        <v>84.991539000000003</v>
      </c>
    </row>
    <row r="680" spans="1:12" hidden="1" x14ac:dyDescent="0.35">
      <c r="A680" s="60" t="s">
        <v>4973</v>
      </c>
      <c r="B680" s="60" t="s">
        <v>4970</v>
      </c>
      <c r="C680" s="60" t="s">
        <v>4971</v>
      </c>
      <c r="D680" s="60" t="s">
        <v>383</v>
      </c>
      <c r="E680" t="str">
        <f>VLOOKUP(Table10[[#This Row],[Country]],Countries!$A$1:$D$205,2,TRUE)</f>
        <v>IND</v>
      </c>
      <c r="F680" s="60">
        <v>2013</v>
      </c>
      <c r="G680" s="60" t="s">
        <v>4026</v>
      </c>
      <c r="H680" s="65">
        <v>6000</v>
      </c>
      <c r="I680" s="65">
        <v>6050</v>
      </c>
      <c r="J680" s="60" t="s">
        <v>4412</v>
      </c>
      <c r="K680" s="60">
        <v>20.884896000000001</v>
      </c>
      <c r="L680">
        <v>84.991539000000003</v>
      </c>
    </row>
    <row r="681" spans="1:12" hidden="1" x14ac:dyDescent="0.35">
      <c r="A681" s="60" t="s">
        <v>4974</v>
      </c>
      <c r="B681" s="60" t="s">
        <v>4975</v>
      </c>
      <c r="C681" s="60" t="s">
        <v>4971</v>
      </c>
      <c r="D681" s="60" t="s">
        <v>383</v>
      </c>
      <c r="E681" t="str">
        <f>VLOOKUP(Table10[[#This Row],[Country]],Countries!$A$1:$D$205,2,TRUE)</f>
        <v>IND</v>
      </c>
      <c r="F681" s="60" t="s">
        <v>4036</v>
      </c>
      <c r="G681" s="60" t="s">
        <v>4021</v>
      </c>
      <c r="H681" s="65">
        <v>1925</v>
      </c>
      <c r="I681" s="65">
        <v>1568</v>
      </c>
      <c r="J681" s="60" t="s">
        <v>4412</v>
      </c>
      <c r="K681" s="60">
        <v>20.764524000000002</v>
      </c>
      <c r="L681">
        <v>85.299318</v>
      </c>
    </row>
    <row r="682" spans="1:12" hidden="1" x14ac:dyDescent="0.35">
      <c r="A682" s="60" t="s">
        <v>4976</v>
      </c>
      <c r="B682" s="60" t="s">
        <v>4975</v>
      </c>
      <c r="C682" s="60" t="s">
        <v>4971</v>
      </c>
      <c r="D682" s="60" t="s">
        <v>383</v>
      </c>
      <c r="E682" t="str">
        <f>VLOOKUP(Table10[[#This Row],[Country]],Countries!$A$1:$D$205,2,TRUE)</f>
        <v>IND</v>
      </c>
      <c r="F682" s="60">
        <v>2030</v>
      </c>
      <c r="G682" s="60" t="s">
        <v>4037</v>
      </c>
      <c r="H682" s="65">
        <v>2464</v>
      </c>
      <c r="I682" s="65">
        <v>1538</v>
      </c>
      <c r="J682" s="60" t="s">
        <v>4412</v>
      </c>
      <c r="K682" s="60">
        <v>20.764524000000002</v>
      </c>
      <c r="L682">
        <v>85.299318</v>
      </c>
    </row>
    <row r="683" spans="1:12" hidden="1" x14ac:dyDescent="0.35">
      <c r="A683" s="60" t="s">
        <v>4977</v>
      </c>
      <c r="B683" s="60" t="s">
        <v>4978</v>
      </c>
      <c r="C683" s="60" t="s">
        <v>4971</v>
      </c>
      <c r="D683" s="60" t="s">
        <v>383</v>
      </c>
      <c r="E683" t="str">
        <f>VLOOKUP(Table10[[#This Row],[Country]],Countries!$A$1:$D$205,2,TRUE)</f>
        <v>IND</v>
      </c>
      <c r="F683" s="60">
        <v>1982</v>
      </c>
      <c r="G683" s="60" t="s">
        <v>4026</v>
      </c>
      <c r="H683" s="65">
        <v>1100</v>
      </c>
      <c r="I683" s="65">
        <v>1100</v>
      </c>
      <c r="J683" s="60" t="s">
        <v>4049</v>
      </c>
      <c r="K683" s="60">
        <v>20.998640999999999</v>
      </c>
      <c r="L683">
        <v>86.019102000000004</v>
      </c>
    </row>
    <row r="684" spans="1:12" hidden="1" x14ac:dyDescent="0.35">
      <c r="A684" s="60" t="s">
        <v>4979</v>
      </c>
      <c r="B684" s="60" t="s">
        <v>4978</v>
      </c>
      <c r="C684" s="60" t="s">
        <v>4971</v>
      </c>
      <c r="D684" s="60" t="s">
        <v>383</v>
      </c>
      <c r="E684" t="str">
        <f>VLOOKUP(Table10[[#This Row],[Country]],Countries!$A$1:$D$205,2,TRUE)</f>
        <v>IND</v>
      </c>
      <c r="F684" s="60" t="s">
        <v>4036</v>
      </c>
      <c r="G684" s="60" t="s">
        <v>4037</v>
      </c>
      <c r="H684" s="65">
        <v>1000</v>
      </c>
      <c r="I684" s="65" t="s">
        <v>4036</v>
      </c>
      <c r="J684" s="60" t="s">
        <v>4163</v>
      </c>
      <c r="K684" s="60">
        <v>20.998640999999999</v>
      </c>
      <c r="L684">
        <v>86.019102000000004</v>
      </c>
    </row>
    <row r="685" spans="1:12" hidden="1" x14ac:dyDescent="0.35">
      <c r="A685" s="60" t="s">
        <v>4980</v>
      </c>
      <c r="B685" s="60" t="s">
        <v>4978</v>
      </c>
      <c r="C685" s="60" t="s">
        <v>4971</v>
      </c>
      <c r="D685" s="60" t="s">
        <v>383</v>
      </c>
      <c r="E685" t="str">
        <f>VLOOKUP(Table10[[#This Row],[Country]],Countries!$A$1:$D$205,2,TRUE)</f>
        <v>IND</v>
      </c>
      <c r="F685" s="60">
        <v>1970</v>
      </c>
      <c r="G685" s="60" t="s">
        <v>4026</v>
      </c>
      <c r="H685" s="65">
        <v>1100</v>
      </c>
      <c r="I685" s="65" t="s">
        <v>4022</v>
      </c>
      <c r="J685" s="60" t="s">
        <v>4023</v>
      </c>
      <c r="K685" s="60">
        <v>20.954939</v>
      </c>
      <c r="L685">
        <v>86.051985999999999</v>
      </c>
    </row>
    <row r="686" spans="1:12" hidden="1" x14ac:dyDescent="0.35">
      <c r="A686" s="60" t="s">
        <v>4981</v>
      </c>
      <c r="B686" s="60" t="s">
        <v>4978</v>
      </c>
      <c r="C686" s="60" t="s">
        <v>4971</v>
      </c>
      <c r="D686" s="60" t="s">
        <v>383</v>
      </c>
      <c r="E686" t="str">
        <f>VLOOKUP(Table10[[#This Row],[Country]],Countries!$A$1:$D$205,2,TRUE)</f>
        <v>IND</v>
      </c>
      <c r="F686" s="60">
        <v>2023</v>
      </c>
      <c r="G686" s="60" t="s">
        <v>4021</v>
      </c>
      <c r="H686" s="65" t="s">
        <v>4022</v>
      </c>
      <c r="I686" s="65">
        <v>2000</v>
      </c>
      <c r="J686" s="60" t="s">
        <v>4111</v>
      </c>
      <c r="K686" s="60">
        <v>20.954939</v>
      </c>
      <c r="L686">
        <v>86.051985999999999</v>
      </c>
    </row>
    <row r="687" spans="1:12" hidden="1" x14ac:dyDescent="0.35">
      <c r="A687" s="60" t="s">
        <v>4982</v>
      </c>
      <c r="B687" s="60" t="s">
        <v>4983</v>
      </c>
      <c r="C687" s="60" t="s">
        <v>4971</v>
      </c>
      <c r="D687" s="60" t="s">
        <v>383</v>
      </c>
      <c r="E687" t="str">
        <f>VLOOKUP(Table10[[#This Row],[Country]],Countries!$A$1:$D$205,2,TRUE)</f>
        <v>IND</v>
      </c>
      <c r="F687" s="60" t="s">
        <v>4036</v>
      </c>
      <c r="G687" s="60" t="s">
        <v>4021</v>
      </c>
      <c r="H687" s="65">
        <v>800</v>
      </c>
      <c r="I687" s="65">
        <v>900</v>
      </c>
      <c r="J687" s="60" t="s">
        <v>4412</v>
      </c>
      <c r="K687" s="60">
        <v>21.840226000000001</v>
      </c>
      <c r="L687">
        <v>83.982815000000002</v>
      </c>
    </row>
    <row r="688" spans="1:12" hidden="1" x14ac:dyDescent="0.35">
      <c r="A688" s="60" t="s">
        <v>4984</v>
      </c>
      <c r="B688" s="60" t="s">
        <v>4985</v>
      </c>
      <c r="C688" s="60" t="s">
        <v>4971</v>
      </c>
      <c r="D688" s="60" t="s">
        <v>383</v>
      </c>
      <c r="E688" t="str">
        <f>VLOOKUP(Table10[[#This Row],[Country]],Countries!$A$1:$D$205,2,TRUE)</f>
        <v>IND</v>
      </c>
      <c r="F688" s="60">
        <v>2024</v>
      </c>
      <c r="G688" s="60" t="s">
        <v>4021</v>
      </c>
      <c r="H688" s="65">
        <v>5000</v>
      </c>
      <c r="I688" s="65">
        <v>3200</v>
      </c>
      <c r="J688" s="60" t="s">
        <v>4049</v>
      </c>
      <c r="K688" s="60">
        <v>20.970410999999999</v>
      </c>
      <c r="L688">
        <v>86.015210999999994</v>
      </c>
    </row>
    <row r="689" spans="1:12" hidden="1" x14ac:dyDescent="0.35">
      <c r="A689" s="60" t="s">
        <v>4986</v>
      </c>
      <c r="B689" s="60" t="s">
        <v>4985</v>
      </c>
      <c r="C689" s="60" t="s">
        <v>4971</v>
      </c>
      <c r="D689" s="60" t="s">
        <v>383</v>
      </c>
      <c r="E689" t="str">
        <f>VLOOKUP(Table10[[#This Row],[Country]],Countries!$A$1:$D$205,2,TRUE)</f>
        <v>IND</v>
      </c>
      <c r="F689" s="60">
        <v>2016</v>
      </c>
      <c r="G689" s="60" t="s">
        <v>4026</v>
      </c>
      <c r="H689" s="65">
        <v>3000</v>
      </c>
      <c r="I689" s="65">
        <v>3000</v>
      </c>
      <c r="J689" s="60" t="s">
        <v>4049</v>
      </c>
      <c r="K689" s="60">
        <v>20.970410999999999</v>
      </c>
      <c r="L689">
        <v>86.015210999999994</v>
      </c>
    </row>
    <row r="690" spans="1:12" hidden="1" x14ac:dyDescent="0.35">
      <c r="A690" s="60" t="s">
        <v>4987</v>
      </c>
      <c r="B690" s="60" t="s">
        <v>4985</v>
      </c>
      <c r="C690" s="60" t="s">
        <v>4971</v>
      </c>
      <c r="D690" s="60" t="s">
        <v>383</v>
      </c>
      <c r="E690" t="str">
        <f>VLOOKUP(Table10[[#This Row],[Country]],Countries!$A$1:$D$205,2,TRUE)</f>
        <v>IND</v>
      </c>
      <c r="F690" s="60">
        <v>2005</v>
      </c>
      <c r="G690" s="60" t="s">
        <v>4026</v>
      </c>
      <c r="H690" s="65">
        <v>1250</v>
      </c>
      <c r="I690" s="65">
        <v>1200</v>
      </c>
      <c r="J690" s="60" t="s">
        <v>4049</v>
      </c>
      <c r="K690" s="60">
        <v>20.976277</v>
      </c>
      <c r="L690">
        <v>86.044419000000005</v>
      </c>
    </row>
    <row r="691" spans="1:12" hidden="1" x14ac:dyDescent="0.35">
      <c r="A691" s="60" t="s">
        <v>4988</v>
      </c>
      <c r="B691" s="60" t="s">
        <v>4985</v>
      </c>
      <c r="C691" s="60" t="s">
        <v>4971</v>
      </c>
      <c r="D691" s="60" t="s">
        <v>383</v>
      </c>
      <c r="E691" t="str">
        <f>VLOOKUP(Table10[[#This Row],[Country]],Countries!$A$1:$D$205,2,TRUE)</f>
        <v>IND</v>
      </c>
      <c r="F691" s="60">
        <v>2021</v>
      </c>
      <c r="G691" s="60" t="s">
        <v>4037</v>
      </c>
      <c r="H691" s="65">
        <v>2300</v>
      </c>
      <c r="I691" s="65">
        <v>2300</v>
      </c>
      <c r="J691" s="60" t="s">
        <v>4049</v>
      </c>
      <c r="K691" s="60">
        <v>20.976277</v>
      </c>
      <c r="L691">
        <v>86.044419000000005</v>
      </c>
    </row>
    <row r="692" spans="1:12" hidden="1" x14ac:dyDescent="0.35">
      <c r="A692" s="60" t="s">
        <v>4989</v>
      </c>
      <c r="B692" s="60" t="s">
        <v>4990</v>
      </c>
      <c r="C692" s="60" t="s">
        <v>4971</v>
      </c>
      <c r="D692" s="60" t="s">
        <v>383</v>
      </c>
      <c r="E692" t="str">
        <f>VLOOKUP(Table10[[#This Row],[Country]],Countries!$A$1:$D$205,2,TRUE)</f>
        <v>IND</v>
      </c>
      <c r="F692" s="60">
        <v>2028</v>
      </c>
      <c r="G692" s="60" t="s">
        <v>4037</v>
      </c>
      <c r="H692" s="65">
        <v>12000</v>
      </c>
      <c r="I692" s="65" t="s">
        <v>4036</v>
      </c>
      <c r="J692" s="60" t="s">
        <v>4163</v>
      </c>
      <c r="K692" s="60">
        <v>20.710419999999999</v>
      </c>
      <c r="L692">
        <v>86.282805999999994</v>
      </c>
    </row>
    <row r="693" spans="1:12" hidden="1" x14ac:dyDescent="0.35">
      <c r="A693" s="60" t="s">
        <v>4991</v>
      </c>
      <c r="B693" s="60" t="s">
        <v>4990</v>
      </c>
      <c r="C693" s="60" t="s">
        <v>4971</v>
      </c>
      <c r="D693" s="60" t="s">
        <v>383</v>
      </c>
      <c r="E693" t="str">
        <f>VLOOKUP(Table10[[#This Row],[Country]],Countries!$A$1:$D$205,2,TRUE)</f>
        <v>IND</v>
      </c>
      <c r="F693" s="60">
        <v>2028</v>
      </c>
      <c r="G693" s="60" t="s">
        <v>4037</v>
      </c>
      <c r="H693" s="65">
        <v>12000</v>
      </c>
      <c r="I693" s="65" t="s">
        <v>4036</v>
      </c>
      <c r="J693" s="60" t="s">
        <v>4163</v>
      </c>
      <c r="K693" s="60">
        <v>20.710419999999999</v>
      </c>
      <c r="L693">
        <v>86.282805999999994</v>
      </c>
    </row>
    <row r="694" spans="1:12" hidden="1" x14ac:dyDescent="0.35">
      <c r="A694" s="60" t="s">
        <v>4992</v>
      </c>
      <c r="B694" s="60" t="s">
        <v>4993</v>
      </c>
      <c r="C694" s="60" t="s">
        <v>4971</v>
      </c>
      <c r="D694" s="60" t="s">
        <v>383</v>
      </c>
      <c r="E694" t="str">
        <f>VLOOKUP(Table10[[#This Row],[Country]],Countries!$A$1:$D$205,2,TRUE)</f>
        <v>IND</v>
      </c>
      <c r="F694" s="60">
        <v>1982</v>
      </c>
      <c r="G694" s="60" t="s">
        <v>4026</v>
      </c>
      <c r="H694" s="65" t="s">
        <v>4022</v>
      </c>
      <c r="I694" s="65">
        <v>400</v>
      </c>
      <c r="J694" s="60" t="s">
        <v>4030</v>
      </c>
      <c r="K694" s="60">
        <v>22.055716</v>
      </c>
      <c r="L694">
        <v>85.466123999999994</v>
      </c>
    </row>
    <row r="695" spans="1:12" hidden="1" x14ac:dyDescent="0.35">
      <c r="A695" s="60" t="s">
        <v>4994</v>
      </c>
      <c r="B695" s="60" t="s">
        <v>4993</v>
      </c>
      <c r="C695" s="60" t="s">
        <v>4971</v>
      </c>
      <c r="D695" s="60" t="s">
        <v>383</v>
      </c>
      <c r="E695" t="str">
        <f>VLOOKUP(Table10[[#This Row],[Country]],Countries!$A$1:$D$205,2,TRUE)</f>
        <v>IND</v>
      </c>
      <c r="F695" s="60">
        <v>2022</v>
      </c>
      <c r="G695" s="60" t="s">
        <v>4037</v>
      </c>
      <c r="H695" s="65">
        <v>1500</v>
      </c>
      <c r="I695" s="65" t="s">
        <v>4036</v>
      </c>
      <c r="J695" s="60" t="s">
        <v>4163</v>
      </c>
      <c r="K695" s="60">
        <v>22.055716</v>
      </c>
      <c r="L695">
        <v>85.466123999999994</v>
      </c>
    </row>
    <row r="696" spans="1:12" hidden="1" x14ac:dyDescent="0.35">
      <c r="A696" s="60" t="s">
        <v>4995</v>
      </c>
      <c r="B696" s="60" t="s">
        <v>4993</v>
      </c>
      <c r="C696" s="60" t="s">
        <v>4971</v>
      </c>
      <c r="D696" s="60" t="s">
        <v>383</v>
      </c>
      <c r="E696" t="str">
        <f>VLOOKUP(Table10[[#This Row],[Country]],Countries!$A$1:$D$205,2,TRUE)</f>
        <v>IND</v>
      </c>
      <c r="F696" s="60">
        <v>2025</v>
      </c>
      <c r="G696" s="60" t="s">
        <v>4037</v>
      </c>
      <c r="H696" s="65">
        <v>560</v>
      </c>
      <c r="I696" s="65" t="s">
        <v>4036</v>
      </c>
      <c r="J696" s="60" t="s">
        <v>4023</v>
      </c>
      <c r="K696" s="60">
        <v>22.055716</v>
      </c>
      <c r="L696">
        <v>85.466123999999994</v>
      </c>
    </row>
    <row r="697" spans="1:12" hidden="1" x14ac:dyDescent="0.35">
      <c r="A697" s="60" t="s">
        <v>4996</v>
      </c>
      <c r="B697" s="60" t="s">
        <v>4993</v>
      </c>
      <c r="C697" s="60" t="s">
        <v>4971</v>
      </c>
      <c r="D697" s="60" t="s">
        <v>383</v>
      </c>
      <c r="E697" t="str">
        <f>VLOOKUP(Table10[[#This Row],[Country]],Countries!$A$1:$D$205,2,TRUE)</f>
        <v>IND</v>
      </c>
      <c r="F697" s="60">
        <v>2001</v>
      </c>
      <c r="G697" s="60" t="s">
        <v>4026</v>
      </c>
      <c r="H697" s="65">
        <v>700</v>
      </c>
      <c r="I697" s="65">
        <v>270</v>
      </c>
      <c r="J697" s="60" t="s">
        <v>4412</v>
      </c>
      <c r="K697" s="60">
        <v>21.991810000000001</v>
      </c>
      <c r="L697">
        <v>85.325374999999994</v>
      </c>
    </row>
    <row r="698" spans="1:12" hidden="1" x14ac:dyDescent="0.35">
      <c r="A698" s="60" t="s">
        <v>4997</v>
      </c>
      <c r="B698" s="60" t="s">
        <v>4993</v>
      </c>
      <c r="C698" s="60" t="s">
        <v>4971</v>
      </c>
      <c r="D698" s="60" t="s">
        <v>383</v>
      </c>
      <c r="E698" t="str">
        <f>VLOOKUP(Table10[[#This Row],[Country]],Countries!$A$1:$D$205,2,TRUE)</f>
        <v>IND</v>
      </c>
      <c r="F698" s="60">
        <v>1979</v>
      </c>
      <c r="G698" s="60" t="s">
        <v>4026</v>
      </c>
      <c r="H698" s="65">
        <v>100</v>
      </c>
      <c r="I698" s="65">
        <v>250</v>
      </c>
      <c r="J698" s="60" t="s">
        <v>4034</v>
      </c>
      <c r="K698" s="60">
        <v>21.801994000000001</v>
      </c>
      <c r="L698">
        <v>85.567509999999999</v>
      </c>
    </row>
    <row r="699" spans="1:12" hidden="1" x14ac:dyDescent="0.35">
      <c r="A699" s="60" t="s">
        <v>4998</v>
      </c>
      <c r="B699" s="60" t="s">
        <v>4993</v>
      </c>
      <c r="C699" s="60" t="s">
        <v>4971</v>
      </c>
      <c r="D699" s="60" t="s">
        <v>383</v>
      </c>
      <c r="E699" t="str">
        <f>VLOOKUP(Table10[[#This Row],[Country]],Countries!$A$1:$D$205,2,TRUE)</f>
        <v>IND</v>
      </c>
      <c r="F699" s="60">
        <v>2025</v>
      </c>
      <c r="G699" s="60" t="s">
        <v>4037</v>
      </c>
      <c r="H699" s="65">
        <v>900</v>
      </c>
      <c r="I699" s="65">
        <v>396</v>
      </c>
      <c r="J699" s="60" t="s">
        <v>4034</v>
      </c>
      <c r="K699" s="60">
        <v>21.801994000000001</v>
      </c>
      <c r="L699">
        <v>85.567509999999999</v>
      </c>
    </row>
    <row r="700" spans="1:12" hidden="1" x14ac:dyDescent="0.35">
      <c r="A700" s="60" t="s">
        <v>4999</v>
      </c>
      <c r="B700" s="60" t="s">
        <v>5000</v>
      </c>
      <c r="C700" s="60" t="s">
        <v>4971</v>
      </c>
      <c r="D700" s="60" t="s">
        <v>383</v>
      </c>
      <c r="E700" t="str">
        <f>VLOOKUP(Table10[[#This Row],[Country]],Countries!$A$1:$D$205,2,TRUE)</f>
        <v>IND</v>
      </c>
      <c r="F700" s="60">
        <v>2030</v>
      </c>
      <c r="G700" s="60" t="s">
        <v>4037</v>
      </c>
      <c r="H700" s="65">
        <v>6070</v>
      </c>
      <c r="I700" s="65" t="s">
        <v>4036</v>
      </c>
      <c r="J700" s="60" t="s">
        <v>4163</v>
      </c>
      <c r="K700" s="60">
        <v>20.796053000000001</v>
      </c>
      <c r="L700">
        <v>85.260382000000007</v>
      </c>
    </row>
    <row r="701" spans="1:12" hidden="1" x14ac:dyDescent="0.35">
      <c r="A701" s="60" t="s">
        <v>4999</v>
      </c>
      <c r="B701" s="60" t="s">
        <v>5000</v>
      </c>
      <c r="C701" s="60" t="s">
        <v>4971</v>
      </c>
      <c r="D701" s="60" t="s">
        <v>383</v>
      </c>
      <c r="E701" t="str">
        <f>VLOOKUP(Table10[[#This Row],[Country]],Countries!$A$1:$D$205,2,TRUE)</f>
        <v>IND</v>
      </c>
      <c r="F701" s="60">
        <v>2030</v>
      </c>
      <c r="G701" s="60" t="s">
        <v>4037</v>
      </c>
      <c r="H701" s="65">
        <v>1550</v>
      </c>
      <c r="I701" s="65" t="s">
        <v>4036</v>
      </c>
      <c r="J701" s="60" t="s">
        <v>4023</v>
      </c>
      <c r="K701" s="60">
        <v>20.796053000000001</v>
      </c>
      <c r="L701">
        <v>85.260382000000007</v>
      </c>
    </row>
    <row r="702" spans="1:12" hidden="1" x14ac:dyDescent="0.35">
      <c r="A702" s="60" t="s">
        <v>5001</v>
      </c>
      <c r="B702" s="60" t="s">
        <v>5000</v>
      </c>
      <c r="C702" s="60" t="s">
        <v>4971</v>
      </c>
      <c r="D702" s="60" t="s">
        <v>383</v>
      </c>
      <c r="E702" t="str">
        <f>VLOOKUP(Table10[[#This Row],[Country]],Countries!$A$1:$D$205,2,TRUE)</f>
        <v>IND</v>
      </c>
      <c r="F702" s="60">
        <v>2004</v>
      </c>
      <c r="G702" s="60" t="s">
        <v>4026</v>
      </c>
      <c r="H702" s="65">
        <v>5600</v>
      </c>
      <c r="I702" s="65">
        <v>7525</v>
      </c>
      <c r="J702" s="60" t="s">
        <v>4412</v>
      </c>
      <c r="K702" s="60">
        <v>20.796053000000001</v>
      </c>
      <c r="L702">
        <v>85.260382000000007</v>
      </c>
    </row>
    <row r="703" spans="1:12" hidden="1" x14ac:dyDescent="0.35">
      <c r="A703" s="60" t="s">
        <v>5002</v>
      </c>
      <c r="B703" s="60" t="s">
        <v>2719</v>
      </c>
      <c r="C703" s="60" t="s">
        <v>4971</v>
      </c>
      <c r="D703" s="60" t="s">
        <v>383</v>
      </c>
      <c r="E703" t="str">
        <f>VLOOKUP(Table10[[#This Row],[Country]],Countries!$A$1:$D$205,2,TRUE)</f>
        <v>IND</v>
      </c>
      <c r="F703" s="60">
        <v>2026</v>
      </c>
      <c r="G703" s="60" t="s">
        <v>4037</v>
      </c>
      <c r="H703" s="65">
        <v>6697</v>
      </c>
      <c r="I703" s="65">
        <v>4500</v>
      </c>
      <c r="J703" s="60" t="s">
        <v>4049</v>
      </c>
      <c r="K703" s="60">
        <v>20.317454999999999</v>
      </c>
      <c r="L703">
        <v>86.609001000000006</v>
      </c>
    </row>
    <row r="704" spans="1:12" hidden="1" x14ac:dyDescent="0.35">
      <c r="A704" s="60" t="s">
        <v>5003</v>
      </c>
      <c r="B704" s="60" t="s">
        <v>2719</v>
      </c>
      <c r="C704" s="60" t="s">
        <v>4971</v>
      </c>
      <c r="D704" s="60" t="s">
        <v>383</v>
      </c>
      <c r="E704" t="str">
        <f>VLOOKUP(Table10[[#This Row],[Country]],Countries!$A$1:$D$205,2,TRUE)</f>
        <v>IND</v>
      </c>
      <c r="F704" s="60">
        <v>2029</v>
      </c>
      <c r="G704" s="60" t="s">
        <v>4037</v>
      </c>
      <c r="H704" s="65">
        <v>3346</v>
      </c>
      <c r="I704" s="65">
        <v>4500</v>
      </c>
      <c r="J704" s="60" t="s">
        <v>4049</v>
      </c>
      <c r="K704" s="60">
        <v>20.317454999999999</v>
      </c>
      <c r="L704">
        <v>86.609001000000006</v>
      </c>
    </row>
    <row r="705" spans="1:12" hidden="1" x14ac:dyDescent="0.35">
      <c r="A705" s="60" t="s">
        <v>5004</v>
      </c>
      <c r="B705" s="60" t="s">
        <v>2719</v>
      </c>
      <c r="C705" s="60" t="s">
        <v>4971</v>
      </c>
      <c r="D705" s="60" t="s">
        <v>383</v>
      </c>
      <c r="E705" t="str">
        <f>VLOOKUP(Table10[[#This Row],[Country]],Countries!$A$1:$D$205,2,TRUE)</f>
        <v>IND</v>
      </c>
      <c r="F705" s="60">
        <v>2025</v>
      </c>
      <c r="G705" s="60" t="s">
        <v>4037</v>
      </c>
      <c r="H705" s="65">
        <v>3000</v>
      </c>
      <c r="I705" s="65" t="s">
        <v>4110</v>
      </c>
      <c r="J705" s="60" t="s">
        <v>4049</v>
      </c>
      <c r="K705" s="60">
        <v>20.317454999999999</v>
      </c>
      <c r="L705">
        <v>86.609001000000006</v>
      </c>
    </row>
    <row r="706" spans="1:12" hidden="1" x14ac:dyDescent="0.35">
      <c r="A706" s="60" t="s">
        <v>5005</v>
      </c>
      <c r="B706" s="60" t="s">
        <v>2719</v>
      </c>
      <c r="C706" s="60" t="s">
        <v>4971</v>
      </c>
      <c r="D706" s="60" t="s">
        <v>383</v>
      </c>
      <c r="E706" t="str">
        <f>VLOOKUP(Table10[[#This Row],[Country]],Countries!$A$1:$D$205,2,TRUE)</f>
        <v>IND</v>
      </c>
      <c r="F706" s="60">
        <v>2032</v>
      </c>
      <c r="G706" s="60" t="s">
        <v>4037</v>
      </c>
      <c r="H706" s="65">
        <v>3440</v>
      </c>
      <c r="I706" s="65">
        <v>5700</v>
      </c>
      <c r="J706" s="60" t="s">
        <v>4049</v>
      </c>
      <c r="K706" s="60">
        <v>20.317454999999999</v>
      </c>
      <c r="L706">
        <v>86.609001000000006</v>
      </c>
    </row>
    <row r="707" spans="1:12" hidden="1" x14ac:dyDescent="0.35">
      <c r="A707" s="60" t="s">
        <v>5006</v>
      </c>
      <c r="B707" s="60" t="s">
        <v>5007</v>
      </c>
      <c r="C707" s="60" t="s">
        <v>4971</v>
      </c>
      <c r="D707" s="60" t="s">
        <v>383</v>
      </c>
      <c r="E707" t="str">
        <f>VLOOKUP(Table10[[#This Row],[Country]],Countries!$A$1:$D$205,2,TRUE)</f>
        <v>IND</v>
      </c>
      <c r="F707" s="60">
        <v>2024</v>
      </c>
      <c r="G707" s="60" t="s">
        <v>4037</v>
      </c>
      <c r="H707" s="65">
        <v>4800</v>
      </c>
      <c r="I707" s="65" t="s">
        <v>4036</v>
      </c>
      <c r="J707" s="60" t="s">
        <v>4163</v>
      </c>
      <c r="K707" s="60">
        <v>22.210804</v>
      </c>
      <c r="L707">
        <v>84.868949999999998</v>
      </c>
    </row>
    <row r="708" spans="1:12" hidden="1" x14ac:dyDescent="0.35">
      <c r="A708" s="60" t="s">
        <v>5008</v>
      </c>
      <c r="B708" s="60" t="s">
        <v>5007</v>
      </c>
      <c r="C708" s="60" t="s">
        <v>4971</v>
      </c>
      <c r="D708" s="60" t="s">
        <v>383</v>
      </c>
      <c r="E708" t="str">
        <f>VLOOKUP(Table10[[#This Row],[Country]],Countries!$A$1:$D$205,2,TRUE)</f>
        <v>IND</v>
      </c>
      <c r="F708" s="60">
        <v>1959</v>
      </c>
      <c r="G708" s="60" t="s">
        <v>4026</v>
      </c>
      <c r="H708" s="65">
        <v>4200</v>
      </c>
      <c r="I708" s="65">
        <v>4500</v>
      </c>
      <c r="J708" s="60" t="s">
        <v>4049</v>
      </c>
      <c r="K708" s="60">
        <v>22.210804</v>
      </c>
      <c r="L708">
        <v>84.868949999999998</v>
      </c>
    </row>
    <row r="709" spans="1:12" hidden="1" x14ac:dyDescent="0.35">
      <c r="A709" s="60" t="s">
        <v>5009</v>
      </c>
      <c r="B709" s="60" t="s">
        <v>5010</v>
      </c>
      <c r="C709" s="60" t="s">
        <v>4971</v>
      </c>
      <c r="D709" s="60" t="s">
        <v>383</v>
      </c>
      <c r="E709" t="str">
        <f>VLOOKUP(Table10[[#This Row],[Country]],Countries!$A$1:$D$205,2,TRUE)</f>
        <v>IND</v>
      </c>
      <c r="F709" s="60">
        <v>2003</v>
      </c>
      <c r="G709" s="60" t="s">
        <v>4026</v>
      </c>
      <c r="H709" s="65">
        <v>92.4</v>
      </c>
      <c r="I709" s="65">
        <v>120</v>
      </c>
      <c r="J709" s="60" t="s">
        <v>4034</v>
      </c>
      <c r="K709" s="60">
        <v>22.085338</v>
      </c>
      <c r="L709">
        <v>84.861840000000001</v>
      </c>
    </row>
    <row r="710" spans="1:12" hidden="1" x14ac:dyDescent="0.35">
      <c r="A710" s="60" t="s">
        <v>5011</v>
      </c>
      <c r="B710" s="60" t="s">
        <v>5010</v>
      </c>
      <c r="C710" s="60" t="s">
        <v>4971</v>
      </c>
      <c r="D710" s="60" t="s">
        <v>383</v>
      </c>
      <c r="E710" t="str">
        <f>VLOOKUP(Table10[[#This Row],[Country]],Countries!$A$1:$D$205,2,TRUE)</f>
        <v>IND</v>
      </c>
      <c r="F710" s="60">
        <v>2030</v>
      </c>
      <c r="G710" s="60" t="s">
        <v>4037</v>
      </c>
      <c r="H710" s="65">
        <v>924</v>
      </c>
      <c r="I710" s="65">
        <v>594</v>
      </c>
      <c r="J710" s="60" t="s">
        <v>4034</v>
      </c>
      <c r="K710" s="60">
        <v>22.085338</v>
      </c>
      <c r="L710">
        <v>84.861840000000001</v>
      </c>
    </row>
    <row r="711" spans="1:12" hidden="1" x14ac:dyDescent="0.35">
      <c r="A711" s="60" t="s">
        <v>5012</v>
      </c>
      <c r="B711" s="60" t="s">
        <v>5013</v>
      </c>
      <c r="C711" s="60" t="s">
        <v>4971</v>
      </c>
      <c r="D711" s="60" t="s">
        <v>383</v>
      </c>
      <c r="E711" t="str">
        <f>VLOOKUP(Table10[[#This Row],[Country]],Countries!$A$1:$D$205,2,TRUE)</f>
        <v>IND</v>
      </c>
      <c r="F711" s="60">
        <v>2022</v>
      </c>
      <c r="G711" s="60" t="s">
        <v>4037</v>
      </c>
      <c r="H711" s="65">
        <v>2800</v>
      </c>
      <c r="I711" s="65" t="s">
        <v>4022</v>
      </c>
      <c r="J711" s="60" t="s">
        <v>4163</v>
      </c>
      <c r="K711" s="60">
        <v>21.763988999999999</v>
      </c>
      <c r="L711">
        <v>84.022529000000006</v>
      </c>
    </row>
    <row r="712" spans="1:12" hidden="1" x14ac:dyDescent="0.35">
      <c r="A712" s="60" t="s">
        <v>5014</v>
      </c>
      <c r="B712" s="60" t="s">
        <v>5013</v>
      </c>
      <c r="C712" s="60" t="s">
        <v>4971</v>
      </c>
      <c r="D712" s="60" t="s">
        <v>383</v>
      </c>
      <c r="E712" t="str">
        <f>VLOOKUP(Table10[[#This Row],[Country]],Countries!$A$1:$D$205,2,TRUE)</f>
        <v>IND</v>
      </c>
      <c r="F712" s="60">
        <v>2022</v>
      </c>
      <c r="G712" s="60" t="s">
        <v>4037</v>
      </c>
      <c r="H712" s="65">
        <v>900</v>
      </c>
      <c r="I712" s="65">
        <v>1600</v>
      </c>
      <c r="J712" s="60" t="s">
        <v>4023</v>
      </c>
      <c r="K712" s="60">
        <v>21.763988999999999</v>
      </c>
      <c r="L712">
        <v>84.022529000000006</v>
      </c>
    </row>
    <row r="713" spans="1:12" hidden="1" x14ac:dyDescent="0.35">
      <c r="A713" s="60" t="s">
        <v>5015</v>
      </c>
      <c r="B713" s="60" t="s">
        <v>5013</v>
      </c>
      <c r="C713" s="60" t="s">
        <v>4971</v>
      </c>
      <c r="D713" s="60" t="s">
        <v>383</v>
      </c>
      <c r="E713" t="str">
        <f>VLOOKUP(Table10[[#This Row],[Country]],Countries!$A$1:$D$205,2,TRUE)</f>
        <v>IND</v>
      </c>
      <c r="F713" s="60">
        <v>2005</v>
      </c>
      <c r="G713" s="60" t="s">
        <v>4026</v>
      </c>
      <c r="H713" s="65">
        <v>3500</v>
      </c>
      <c r="I713" s="65">
        <v>4150</v>
      </c>
      <c r="J713" s="60" t="s">
        <v>4412</v>
      </c>
      <c r="K713" s="60">
        <v>21.763988999999999</v>
      </c>
      <c r="L713">
        <v>84.022529000000006</v>
      </c>
    </row>
    <row r="714" spans="1:12" hidden="1" x14ac:dyDescent="0.35">
      <c r="A714" s="60" t="s">
        <v>5016</v>
      </c>
      <c r="B714" s="60" t="s">
        <v>4036</v>
      </c>
      <c r="C714" s="60" t="s">
        <v>3539</v>
      </c>
      <c r="D714" s="60" t="s">
        <v>383</v>
      </c>
      <c r="E714" t="str">
        <f>VLOOKUP(Table10[[#This Row],[Country]],Countries!$A$1:$D$205,2,TRUE)</f>
        <v>IND</v>
      </c>
      <c r="F714" s="60" t="s">
        <v>4036</v>
      </c>
      <c r="G714" s="60" t="s">
        <v>4037</v>
      </c>
      <c r="H714" s="65">
        <v>750</v>
      </c>
      <c r="I714" s="65" t="s">
        <v>4022</v>
      </c>
      <c r="J714" s="60" t="s">
        <v>4023</v>
      </c>
      <c r="K714" s="60">
        <v>30.311962999999999</v>
      </c>
      <c r="L714">
        <v>75.052661999999998</v>
      </c>
    </row>
    <row r="715" spans="1:12" hidden="1" x14ac:dyDescent="0.35">
      <c r="A715" s="60" t="s">
        <v>5017</v>
      </c>
      <c r="B715" s="60" t="s">
        <v>5018</v>
      </c>
      <c r="C715" s="60" t="s">
        <v>3112</v>
      </c>
      <c r="D715" s="60" t="s">
        <v>383</v>
      </c>
      <c r="E715" t="str">
        <f>VLOOKUP(Table10[[#This Row],[Country]],Countries!$A$1:$D$205,2,TRUE)</f>
        <v>IND</v>
      </c>
      <c r="F715" s="60">
        <v>2010</v>
      </c>
      <c r="G715" s="60" t="s">
        <v>4026</v>
      </c>
      <c r="H715" s="65">
        <v>1030</v>
      </c>
      <c r="I715" s="65">
        <v>945</v>
      </c>
      <c r="J715" s="60" t="s">
        <v>4027</v>
      </c>
      <c r="K715" s="60">
        <v>11.814912</v>
      </c>
      <c r="L715">
        <v>77.918464999999998</v>
      </c>
    </row>
    <row r="716" spans="1:12" hidden="1" x14ac:dyDescent="0.35">
      <c r="A716" s="60" t="s">
        <v>5019</v>
      </c>
      <c r="B716" s="60" t="s">
        <v>5018</v>
      </c>
      <c r="C716" s="60" t="s">
        <v>3112</v>
      </c>
      <c r="D716" s="60" t="s">
        <v>383</v>
      </c>
      <c r="E716" t="str">
        <f>VLOOKUP(Table10[[#This Row],[Country]],Countries!$A$1:$D$205,2,TRUE)</f>
        <v>IND</v>
      </c>
      <c r="F716" s="60">
        <v>2020</v>
      </c>
      <c r="G716" s="60" t="s">
        <v>4026</v>
      </c>
      <c r="H716" s="65">
        <v>230</v>
      </c>
      <c r="I716" s="65">
        <v>421</v>
      </c>
      <c r="J716" s="60" t="s">
        <v>4027</v>
      </c>
      <c r="K716" s="60">
        <v>11.814912</v>
      </c>
      <c r="L716">
        <v>77.918464999999998</v>
      </c>
    </row>
    <row r="717" spans="1:12" hidden="1" x14ac:dyDescent="0.35">
      <c r="A717" s="60" t="s">
        <v>5020</v>
      </c>
      <c r="B717" s="60" t="s">
        <v>5021</v>
      </c>
      <c r="C717" s="60" t="s">
        <v>2787</v>
      </c>
      <c r="D717" s="60" t="s">
        <v>383</v>
      </c>
      <c r="E717" t="str">
        <f>VLOOKUP(Table10[[#This Row],[Country]],Countries!$A$1:$D$205,2,TRUE)</f>
        <v>IND</v>
      </c>
      <c r="F717" s="60">
        <v>1918</v>
      </c>
      <c r="G717" s="60" t="s">
        <v>4026</v>
      </c>
      <c r="H717" s="65">
        <v>2500</v>
      </c>
      <c r="I717" s="65">
        <v>2700</v>
      </c>
      <c r="J717" s="60" t="s">
        <v>4049</v>
      </c>
      <c r="K717" s="60">
        <v>23.673235999999999</v>
      </c>
      <c r="L717">
        <v>86.926179000000005</v>
      </c>
    </row>
    <row r="718" spans="1:12" hidden="1" x14ac:dyDescent="0.35">
      <c r="A718" s="60" t="s">
        <v>5022</v>
      </c>
      <c r="B718" s="60" t="s">
        <v>5021</v>
      </c>
      <c r="C718" s="60" t="s">
        <v>2787</v>
      </c>
      <c r="D718" s="60" t="s">
        <v>383</v>
      </c>
      <c r="E718" t="str">
        <f>VLOOKUP(Table10[[#This Row],[Country]],Countries!$A$1:$D$205,2,TRUE)</f>
        <v>IND</v>
      </c>
      <c r="F718" s="60">
        <v>2024</v>
      </c>
      <c r="G718" s="60" t="s">
        <v>4037</v>
      </c>
      <c r="H718" s="65">
        <v>500</v>
      </c>
      <c r="I718" s="65" t="s">
        <v>4036</v>
      </c>
      <c r="J718" s="60" t="s">
        <v>4163</v>
      </c>
      <c r="K718" s="60">
        <v>23.673235999999999</v>
      </c>
      <c r="L718">
        <v>86.926179000000005</v>
      </c>
    </row>
    <row r="719" spans="1:12" hidden="1" x14ac:dyDescent="0.35">
      <c r="A719" s="60" t="s">
        <v>5023</v>
      </c>
      <c r="B719" s="60" t="s">
        <v>5021</v>
      </c>
      <c r="C719" s="60" t="s">
        <v>2787</v>
      </c>
      <c r="D719" s="60" t="s">
        <v>383</v>
      </c>
      <c r="E719" t="str">
        <f>VLOOKUP(Table10[[#This Row],[Country]],Countries!$A$1:$D$205,2,TRUE)</f>
        <v>IND</v>
      </c>
      <c r="F719" s="60">
        <v>2030</v>
      </c>
      <c r="G719" s="60" t="s">
        <v>4037</v>
      </c>
      <c r="H719" s="65">
        <v>4300</v>
      </c>
      <c r="I719" s="65" t="s">
        <v>4036</v>
      </c>
      <c r="J719" s="60" t="s">
        <v>4163</v>
      </c>
      <c r="K719" s="60">
        <v>23.673235999999999</v>
      </c>
      <c r="L719">
        <v>86.926179000000005</v>
      </c>
    </row>
    <row r="720" spans="1:12" hidden="1" x14ac:dyDescent="0.35">
      <c r="A720" s="60" t="s">
        <v>5024</v>
      </c>
      <c r="B720" s="60" t="s">
        <v>5025</v>
      </c>
      <c r="C720" s="60" t="s">
        <v>2787</v>
      </c>
      <c r="D720" s="60" t="s">
        <v>383</v>
      </c>
      <c r="E720" t="str">
        <f>VLOOKUP(Table10[[#This Row],[Country]],Countries!$A$1:$D$205,2,TRUE)</f>
        <v>IND</v>
      </c>
      <c r="F720" s="60">
        <v>2024</v>
      </c>
      <c r="G720" s="60" t="s">
        <v>4037</v>
      </c>
      <c r="H720" s="65">
        <v>5300</v>
      </c>
      <c r="I720" s="65" t="s">
        <v>4036</v>
      </c>
      <c r="J720" s="60" t="s">
        <v>4163</v>
      </c>
      <c r="K720" s="60">
        <v>23.54843</v>
      </c>
      <c r="L720">
        <v>87.245247000000006</v>
      </c>
    </row>
    <row r="721" spans="1:12" hidden="1" x14ac:dyDescent="0.35">
      <c r="A721" s="60" t="s">
        <v>5026</v>
      </c>
      <c r="B721" s="60" t="s">
        <v>5025</v>
      </c>
      <c r="C721" s="60" t="s">
        <v>2787</v>
      </c>
      <c r="D721" s="60" t="s">
        <v>383</v>
      </c>
      <c r="E721" t="str">
        <f>VLOOKUP(Table10[[#This Row],[Country]],Countries!$A$1:$D$205,2,TRUE)</f>
        <v>IND</v>
      </c>
      <c r="F721" s="60">
        <v>1959</v>
      </c>
      <c r="G721" s="60" t="s">
        <v>4026</v>
      </c>
      <c r="H721" s="65">
        <v>2200</v>
      </c>
      <c r="I721" s="65">
        <v>2400</v>
      </c>
      <c r="J721" s="60" t="s">
        <v>4049</v>
      </c>
      <c r="K721" s="60">
        <v>23.54843</v>
      </c>
      <c r="L721">
        <v>87.245247000000006</v>
      </c>
    </row>
    <row r="722" spans="1:12" hidden="1" x14ac:dyDescent="0.35">
      <c r="A722" s="60" t="s">
        <v>5027</v>
      </c>
      <c r="B722" s="60" t="s">
        <v>5025</v>
      </c>
      <c r="C722" s="60" t="s">
        <v>2787</v>
      </c>
      <c r="D722" s="60" t="s">
        <v>383</v>
      </c>
      <c r="E722" t="str">
        <f>VLOOKUP(Table10[[#This Row],[Country]],Countries!$A$1:$D$205,2,TRUE)</f>
        <v>IND</v>
      </c>
      <c r="F722" s="60">
        <v>1965</v>
      </c>
      <c r="G722" s="60" t="s">
        <v>4026</v>
      </c>
      <c r="H722" s="65">
        <v>230</v>
      </c>
      <c r="I722" s="65" t="s">
        <v>4022</v>
      </c>
      <c r="J722" s="60" t="s">
        <v>4023</v>
      </c>
      <c r="K722" s="60">
        <v>23.522881999999999</v>
      </c>
      <c r="L722">
        <v>87.275935000000004</v>
      </c>
    </row>
    <row r="723" spans="1:12" hidden="1" x14ac:dyDescent="0.35">
      <c r="A723" s="60" t="s">
        <v>5028</v>
      </c>
      <c r="B723" s="60" t="s">
        <v>5025</v>
      </c>
      <c r="C723" s="60" t="s">
        <v>2787</v>
      </c>
      <c r="D723" s="60" t="s">
        <v>383</v>
      </c>
      <c r="E723" t="str">
        <f>VLOOKUP(Table10[[#This Row],[Country]],Countries!$A$1:$D$205,2,TRUE)</f>
        <v>IND</v>
      </c>
      <c r="F723" s="60">
        <v>2021</v>
      </c>
      <c r="G723" s="60" t="s">
        <v>4026</v>
      </c>
      <c r="H723" s="65">
        <v>270</v>
      </c>
      <c r="I723" s="65" t="s">
        <v>4022</v>
      </c>
      <c r="J723" s="60" t="s">
        <v>4023</v>
      </c>
      <c r="K723" s="60">
        <v>23.522881999999999</v>
      </c>
      <c r="L723">
        <v>87.275935000000004</v>
      </c>
    </row>
    <row r="724" spans="1:12" hidden="1" x14ac:dyDescent="0.35">
      <c r="A724" s="60" t="s">
        <v>5029</v>
      </c>
      <c r="B724" s="60" t="s">
        <v>5025</v>
      </c>
      <c r="C724" s="60" t="s">
        <v>2787</v>
      </c>
      <c r="D724" s="60" t="s">
        <v>383</v>
      </c>
      <c r="E724" t="str">
        <f>VLOOKUP(Table10[[#This Row],[Country]],Countries!$A$1:$D$205,2,TRUE)</f>
        <v>IND</v>
      </c>
      <c r="F724" s="60">
        <v>2009</v>
      </c>
      <c r="G724" s="60" t="s">
        <v>4026</v>
      </c>
      <c r="H724" s="65">
        <v>780</v>
      </c>
      <c r="I724" s="65">
        <v>894</v>
      </c>
      <c r="J724" s="60" t="s">
        <v>4027</v>
      </c>
      <c r="K724" s="60">
        <v>23.487076999999999</v>
      </c>
      <c r="L724">
        <v>87.369564999999994</v>
      </c>
    </row>
    <row r="725" spans="1:12" hidden="1" x14ac:dyDescent="0.35">
      <c r="A725" s="60" t="s">
        <v>5030</v>
      </c>
      <c r="B725" s="60" t="s">
        <v>5025</v>
      </c>
      <c r="C725" s="60" t="s">
        <v>2787</v>
      </c>
      <c r="D725" s="60" t="s">
        <v>383</v>
      </c>
      <c r="E725" t="str">
        <f>VLOOKUP(Table10[[#This Row],[Country]],Countries!$A$1:$D$205,2,TRUE)</f>
        <v>IND</v>
      </c>
      <c r="F725" s="60">
        <v>1953</v>
      </c>
      <c r="G725" s="60" t="s">
        <v>4026</v>
      </c>
      <c r="H725" s="65">
        <v>700</v>
      </c>
      <c r="I725" s="65">
        <v>800</v>
      </c>
      <c r="J725" s="60" t="s">
        <v>4034</v>
      </c>
      <c r="K725" s="60">
        <v>23.50844</v>
      </c>
      <c r="L725">
        <v>87.282252999999997</v>
      </c>
    </row>
    <row r="726" spans="1:12" hidden="1" x14ac:dyDescent="0.35">
      <c r="A726" s="60" t="s">
        <v>5031</v>
      </c>
      <c r="B726" s="60" t="s">
        <v>5025</v>
      </c>
      <c r="C726" s="60" t="s">
        <v>2787</v>
      </c>
      <c r="D726" s="60" t="s">
        <v>383</v>
      </c>
      <c r="E726" t="str">
        <f>VLOOKUP(Table10[[#This Row],[Country]],Countries!$A$1:$D$205,2,TRUE)</f>
        <v>IND</v>
      </c>
      <c r="F726" s="60">
        <v>2023</v>
      </c>
      <c r="G726" s="60" t="s">
        <v>4021</v>
      </c>
      <c r="H726" s="65">
        <v>320</v>
      </c>
      <c r="I726" s="65" t="s">
        <v>4036</v>
      </c>
      <c r="J726" s="60" t="s">
        <v>4034</v>
      </c>
      <c r="K726" s="60">
        <v>23.50844</v>
      </c>
      <c r="L726">
        <v>87.282252999999997</v>
      </c>
    </row>
    <row r="727" spans="1:12" hidden="1" x14ac:dyDescent="0.35">
      <c r="A727" s="60" t="s">
        <v>5032</v>
      </c>
      <c r="B727" s="60" t="s">
        <v>5033</v>
      </c>
      <c r="C727" s="60" t="s">
        <v>2787</v>
      </c>
      <c r="D727" s="60" t="s">
        <v>383</v>
      </c>
      <c r="E727" t="str">
        <f>VLOOKUP(Table10[[#This Row],[Country]],Countries!$A$1:$D$205,2,TRUE)</f>
        <v>IND</v>
      </c>
      <c r="F727" s="60">
        <v>2023</v>
      </c>
      <c r="G727" s="60" t="s">
        <v>4021</v>
      </c>
      <c r="H727" s="65">
        <v>2500</v>
      </c>
      <c r="I727" s="65" t="s">
        <v>4036</v>
      </c>
      <c r="J727" s="60" t="s">
        <v>4360</v>
      </c>
      <c r="K727" s="60">
        <v>23.706343</v>
      </c>
      <c r="L727">
        <v>87.077740000000006</v>
      </c>
    </row>
    <row r="728" spans="1:12" hidden="1" x14ac:dyDescent="0.35">
      <c r="A728" s="60" t="s">
        <v>5034</v>
      </c>
      <c r="B728" s="60" t="s">
        <v>5035</v>
      </c>
      <c r="C728" s="60" t="s">
        <v>2787</v>
      </c>
      <c r="D728" s="60" t="s">
        <v>383</v>
      </c>
      <c r="E728" t="str">
        <f>VLOOKUP(Table10[[#This Row],[Country]],Countries!$A$1:$D$205,2,TRUE)</f>
        <v>IND</v>
      </c>
      <c r="F728" s="60">
        <v>1990</v>
      </c>
      <c r="G728" s="60" t="s">
        <v>4026</v>
      </c>
      <c r="H728" s="65">
        <v>255</v>
      </c>
      <c r="I728" s="65">
        <v>600</v>
      </c>
      <c r="J728" s="60" t="s">
        <v>4111</v>
      </c>
      <c r="K728" s="60">
        <v>22.385611000000001</v>
      </c>
      <c r="L728">
        <v>87.287178999999995</v>
      </c>
    </row>
    <row r="729" spans="1:12" hidden="1" x14ac:dyDescent="0.35">
      <c r="A729" s="60" t="s">
        <v>5036</v>
      </c>
      <c r="B729" s="60" t="s">
        <v>5035</v>
      </c>
      <c r="C729" s="60" t="s">
        <v>2787</v>
      </c>
      <c r="D729" s="60" t="s">
        <v>383</v>
      </c>
      <c r="E729" t="str">
        <f>VLOOKUP(Table10[[#This Row],[Country]],Countries!$A$1:$D$205,2,TRUE)</f>
        <v>IND</v>
      </c>
      <c r="F729" s="60">
        <v>2038</v>
      </c>
      <c r="G729" s="60" t="s">
        <v>4021</v>
      </c>
      <c r="H729" s="65">
        <v>3000</v>
      </c>
      <c r="I729" s="65">
        <v>700</v>
      </c>
      <c r="J729" s="60" t="s">
        <v>4049</v>
      </c>
      <c r="K729" s="60">
        <v>22.385611000000001</v>
      </c>
      <c r="L729">
        <v>87.287178999999995</v>
      </c>
    </row>
    <row r="730" spans="1:12" hidden="1" x14ac:dyDescent="0.35">
      <c r="A730" s="60" t="s">
        <v>5037</v>
      </c>
      <c r="B730" s="60" t="s">
        <v>5035</v>
      </c>
      <c r="C730" s="60" t="s">
        <v>2787</v>
      </c>
      <c r="D730" s="60" t="s">
        <v>383</v>
      </c>
      <c r="E730" t="str">
        <f>VLOOKUP(Table10[[#This Row],[Country]],Countries!$A$1:$D$205,2,TRUE)</f>
        <v>IND</v>
      </c>
      <c r="F730" s="60">
        <v>2007</v>
      </c>
      <c r="G730" s="60" t="s">
        <v>4026</v>
      </c>
      <c r="H730" s="65" t="s">
        <v>4022</v>
      </c>
      <c r="I730" s="65">
        <v>482.5</v>
      </c>
      <c r="J730" s="60" t="s">
        <v>4108</v>
      </c>
      <c r="K730" s="60">
        <v>22.977477</v>
      </c>
      <c r="L730">
        <v>88.457442999999998</v>
      </c>
    </row>
    <row r="731" spans="1:12" hidden="1" x14ac:dyDescent="0.35">
      <c r="A731" s="60" t="s">
        <v>5038</v>
      </c>
      <c r="B731" s="60" t="s">
        <v>5035</v>
      </c>
      <c r="C731" s="60" t="s">
        <v>2787</v>
      </c>
      <c r="D731" s="60" t="s">
        <v>383</v>
      </c>
      <c r="E731" t="str">
        <f>VLOOKUP(Table10[[#This Row],[Country]],Countries!$A$1:$D$205,2,TRUE)</f>
        <v>IND</v>
      </c>
      <c r="F731" s="60" t="s">
        <v>4036</v>
      </c>
      <c r="G731" s="60" t="s">
        <v>4021</v>
      </c>
      <c r="H731" s="65">
        <v>700</v>
      </c>
      <c r="I731" s="65" t="s">
        <v>4022</v>
      </c>
      <c r="J731" s="60" t="s">
        <v>4023</v>
      </c>
      <c r="K731" s="60">
        <v>22.977477</v>
      </c>
      <c r="L731">
        <v>88.457442999999998</v>
      </c>
    </row>
    <row r="732" spans="1:12" hidden="1" x14ac:dyDescent="0.35">
      <c r="A732" s="60" t="s">
        <v>5039</v>
      </c>
      <c r="B732" s="60" t="s">
        <v>5035</v>
      </c>
      <c r="C732" s="60" t="s">
        <v>2787</v>
      </c>
      <c r="D732" s="60" t="s">
        <v>383</v>
      </c>
      <c r="E732" t="str">
        <f>VLOOKUP(Table10[[#This Row],[Country]],Countries!$A$1:$D$205,2,TRUE)</f>
        <v>IND</v>
      </c>
      <c r="F732" s="60">
        <v>2004</v>
      </c>
      <c r="G732" s="60" t="s">
        <v>4026</v>
      </c>
      <c r="H732" s="65">
        <v>1500</v>
      </c>
      <c r="I732" s="65">
        <v>1700</v>
      </c>
      <c r="J732" s="60" t="s">
        <v>4412</v>
      </c>
      <c r="K732" s="60">
        <v>22.360664</v>
      </c>
      <c r="L732">
        <v>87.295931999999993</v>
      </c>
    </row>
    <row r="733" spans="1:12" hidden="1" x14ac:dyDescent="0.35">
      <c r="A733" s="60" t="s">
        <v>5040</v>
      </c>
      <c r="B733" s="60" t="s">
        <v>5035</v>
      </c>
      <c r="C733" s="60" t="s">
        <v>2787</v>
      </c>
      <c r="D733" s="60" t="s">
        <v>383</v>
      </c>
      <c r="E733" t="str">
        <f>VLOOKUP(Table10[[#This Row],[Country]],Countries!$A$1:$D$205,2,TRUE)</f>
        <v>IND</v>
      </c>
      <c r="F733" s="60" t="s">
        <v>4036</v>
      </c>
      <c r="G733" s="60" t="s">
        <v>4037</v>
      </c>
      <c r="H733" s="65" t="s">
        <v>4022</v>
      </c>
      <c r="I733" s="65">
        <v>483</v>
      </c>
      <c r="J733" s="60" t="s">
        <v>5041</v>
      </c>
      <c r="K733" s="60">
        <v>22.977477</v>
      </c>
      <c r="L733">
        <v>88.457442999999998</v>
      </c>
    </row>
    <row r="734" spans="1:12" hidden="1" x14ac:dyDescent="0.35">
      <c r="A734" s="60" t="s">
        <v>5042</v>
      </c>
      <c r="B734" s="60" t="s">
        <v>5043</v>
      </c>
      <c r="C734" s="60" t="s">
        <v>2787</v>
      </c>
      <c r="D734" s="60" t="s">
        <v>383</v>
      </c>
      <c r="E734" t="str">
        <f>VLOOKUP(Table10[[#This Row],[Country]],Countries!$A$1:$D$205,2,TRUE)</f>
        <v>IND</v>
      </c>
      <c r="F734" s="60">
        <v>2030</v>
      </c>
      <c r="G734" s="60" t="s">
        <v>4021</v>
      </c>
      <c r="H734" s="65">
        <v>5400</v>
      </c>
      <c r="I734" s="65">
        <v>6580</v>
      </c>
      <c r="J734" s="60" t="s">
        <v>4108</v>
      </c>
      <c r="K734" s="60">
        <v>23.331734000000001</v>
      </c>
      <c r="L734">
        <v>86.363224000000002</v>
      </c>
    </row>
    <row r="735" spans="1:12" hidden="1" x14ac:dyDescent="0.35">
      <c r="A735" s="60" t="s">
        <v>5044</v>
      </c>
      <c r="B735" s="60" t="s">
        <v>5045</v>
      </c>
      <c r="C735" s="60" t="s">
        <v>2787</v>
      </c>
      <c r="D735" s="60" t="s">
        <v>383</v>
      </c>
      <c r="E735" t="str">
        <f>VLOOKUP(Table10[[#This Row],[Country]],Countries!$A$1:$D$205,2,TRUE)</f>
        <v>IND</v>
      </c>
      <c r="F735" s="60">
        <v>2036</v>
      </c>
      <c r="G735" s="60" t="s">
        <v>4107</v>
      </c>
      <c r="H735" s="65">
        <v>10000</v>
      </c>
      <c r="I735" s="65" t="s">
        <v>4110</v>
      </c>
      <c r="J735" s="60" t="s">
        <v>4049</v>
      </c>
      <c r="K735" s="60">
        <v>22.575726</v>
      </c>
      <c r="L735">
        <v>87.310258000000005</v>
      </c>
    </row>
    <row r="736" spans="1:12" hidden="1" x14ac:dyDescent="0.35">
      <c r="A736" s="60" t="s">
        <v>5046</v>
      </c>
      <c r="B736" s="60" t="s">
        <v>5047</v>
      </c>
      <c r="C736" s="60" t="s">
        <v>5048</v>
      </c>
      <c r="D736" s="60" t="s">
        <v>385</v>
      </c>
      <c r="E736" t="str">
        <f>VLOOKUP(Table10[[#This Row],[Country]],Countries!$A$1:$D$205,2,TRUE)</f>
        <v>IDN</v>
      </c>
      <c r="F736" s="60">
        <v>1970</v>
      </c>
      <c r="G736" s="60" t="s">
        <v>4026</v>
      </c>
      <c r="H736" s="65">
        <v>3075</v>
      </c>
      <c r="I736" s="65">
        <v>2550</v>
      </c>
      <c r="J736" s="60" t="s">
        <v>4034</v>
      </c>
      <c r="K736" s="60">
        <v>-6.0070209999999999</v>
      </c>
      <c r="L736">
        <v>106.001766</v>
      </c>
    </row>
    <row r="737" spans="1:12" hidden="1" x14ac:dyDescent="0.35">
      <c r="A737" s="60" t="s">
        <v>5049</v>
      </c>
      <c r="B737" s="60" t="s">
        <v>5047</v>
      </c>
      <c r="C737" s="60" t="s">
        <v>5048</v>
      </c>
      <c r="D737" s="60" t="s">
        <v>385</v>
      </c>
      <c r="E737" t="str">
        <f>VLOOKUP(Table10[[#This Row],[Country]],Countries!$A$1:$D$205,2,TRUE)</f>
        <v>IDN</v>
      </c>
      <c r="F737" s="60">
        <v>2013</v>
      </c>
      <c r="G737" s="60" t="s">
        <v>4026</v>
      </c>
      <c r="H737" s="65">
        <v>3000</v>
      </c>
      <c r="I737" s="65">
        <v>3000</v>
      </c>
      <c r="J737" s="60" t="s">
        <v>4049</v>
      </c>
      <c r="K737" s="60">
        <v>-5.9986610000000002</v>
      </c>
      <c r="L737">
        <v>105.99866</v>
      </c>
    </row>
    <row r="738" spans="1:12" hidden="1" x14ac:dyDescent="0.35">
      <c r="A738" s="60" t="s">
        <v>5050</v>
      </c>
      <c r="B738" s="60" t="s">
        <v>5047</v>
      </c>
      <c r="C738" s="60" t="s">
        <v>5048</v>
      </c>
      <c r="D738" s="60" t="s">
        <v>385</v>
      </c>
      <c r="E738" t="str">
        <f>VLOOKUP(Table10[[#This Row],[Country]],Countries!$A$1:$D$205,2,TRUE)</f>
        <v>IDN</v>
      </c>
      <c r="F738" s="60">
        <v>2025</v>
      </c>
      <c r="G738" s="60" t="s">
        <v>4037</v>
      </c>
      <c r="H738" s="65">
        <v>4000</v>
      </c>
      <c r="I738" s="65" t="s">
        <v>4036</v>
      </c>
      <c r="J738" s="60" t="s">
        <v>4163</v>
      </c>
      <c r="K738" s="60">
        <v>-6.0070209999999999</v>
      </c>
      <c r="L738">
        <v>106.001766</v>
      </c>
    </row>
    <row r="739" spans="1:12" hidden="1" x14ac:dyDescent="0.35">
      <c r="A739" s="60" t="s">
        <v>5051</v>
      </c>
      <c r="B739" s="60" t="s">
        <v>5047</v>
      </c>
      <c r="C739" s="60" t="s">
        <v>5048</v>
      </c>
      <c r="D739" s="60" t="s">
        <v>385</v>
      </c>
      <c r="E739" t="str">
        <f>VLOOKUP(Table10[[#This Row],[Country]],Countries!$A$1:$D$205,2,TRUE)</f>
        <v>IDN</v>
      </c>
      <c r="F739" s="60">
        <v>2025</v>
      </c>
      <c r="G739" s="60" t="s">
        <v>4037</v>
      </c>
      <c r="H739" s="65">
        <v>3000</v>
      </c>
      <c r="I739" s="65">
        <v>3000</v>
      </c>
      <c r="J739" s="60" t="s">
        <v>4049</v>
      </c>
      <c r="K739" s="60">
        <v>-5.9986610000000002</v>
      </c>
      <c r="L739">
        <v>105.99866</v>
      </c>
    </row>
    <row r="740" spans="1:12" hidden="1" x14ac:dyDescent="0.35">
      <c r="A740" s="60" t="s">
        <v>5052</v>
      </c>
      <c r="B740" s="60" t="s">
        <v>5053</v>
      </c>
      <c r="C740" s="60" t="s">
        <v>5054</v>
      </c>
      <c r="D740" s="60" t="s">
        <v>385</v>
      </c>
      <c r="E740" t="str">
        <f>VLOOKUP(Table10[[#This Row],[Country]],Countries!$A$1:$D$205,2,TRUE)</f>
        <v>IDN</v>
      </c>
      <c r="F740" s="60" t="s">
        <v>4036</v>
      </c>
      <c r="G740" s="60" t="s">
        <v>4037</v>
      </c>
      <c r="H740" s="65">
        <v>3000</v>
      </c>
      <c r="I740" s="65" t="s">
        <v>4036</v>
      </c>
      <c r="J740" s="60" t="s">
        <v>4036</v>
      </c>
      <c r="K740" s="60">
        <v>-6.9317820000000001</v>
      </c>
      <c r="L740">
        <v>110.203889</v>
      </c>
    </row>
    <row r="741" spans="1:12" hidden="1" x14ac:dyDescent="0.35">
      <c r="A741" s="60" t="s">
        <v>5055</v>
      </c>
      <c r="B741" s="60" t="s">
        <v>5053</v>
      </c>
      <c r="C741" s="60" t="s">
        <v>5054</v>
      </c>
      <c r="D741" s="60" t="s">
        <v>385</v>
      </c>
      <c r="E741" t="str">
        <f>VLOOKUP(Table10[[#This Row],[Country]],Countries!$A$1:$D$205,2,TRUE)</f>
        <v>IDN</v>
      </c>
      <c r="F741" s="60" t="s">
        <v>4036</v>
      </c>
      <c r="G741" s="60" t="s">
        <v>4037</v>
      </c>
      <c r="H741" s="65">
        <v>3000</v>
      </c>
      <c r="I741" s="65" t="s">
        <v>4036</v>
      </c>
      <c r="J741" s="60" t="s">
        <v>4036</v>
      </c>
      <c r="K741" s="60">
        <v>-6.9317820000000001</v>
      </c>
      <c r="L741">
        <v>110.203889</v>
      </c>
    </row>
    <row r="742" spans="1:12" hidden="1" x14ac:dyDescent="0.35">
      <c r="A742" s="60" t="s">
        <v>5056</v>
      </c>
      <c r="B742" s="60" t="s">
        <v>5057</v>
      </c>
      <c r="C742" s="60" t="s">
        <v>5058</v>
      </c>
      <c r="D742" s="60" t="s">
        <v>385</v>
      </c>
      <c r="E742" t="str">
        <f>VLOOKUP(Table10[[#This Row],[Country]],Countries!$A$1:$D$205,2,TRUE)</f>
        <v>IDN</v>
      </c>
      <c r="F742" s="60">
        <v>2020</v>
      </c>
      <c r="G742" s="60" t="s">
        <v>4026</v>
      </c>
      <c r="H742" s="65">
        <v>3500</v>
      </c>
      <c r="I742" s="65">
        <v>3040</v>
      </c>
      <c r="J742" s="60" t="s">
        <v>4049</v>
      </c>
      <c r="K742" s="60">
        <v>-2.8295140000000001</v>
      </c>
      <c r="L742">
        <v>122.174896</v>
      </c>
    </row>
    <row r="743" spans="1:12" hidden="1" x14ac:dyDescent="0.35">
      <c r="A743" s="60" t="s">
        <v>5059</v>
      </c>
      <c r="B743" s="60" t="s">
        <v>5057</v>
      </c>
      <c r="C743" s="60" t="s">
        <v>5058</v>
      </c>
      <c r="D743" s="60" t="s">
        <v>385</v>
      </c>
      <c r="E743" t="str">
        <f>VLOOKUP(Table10[[#This Row],[Country]],Countries!$A$1:$D$205,2,TRUE)</f>
        <v>IDN</v>
      </c>
      <c r="F743" s="60">
        <v>2022</v>
      </c>
      <c r="G743" s="60" t="s">
        <v>4021</v>
      </c>
      <c r="H743" s="65">
        <v>2500</v>
      </c>
      <c r="I743" s="65">
        <v>1520</v>
      </c>
      <c r="J743" s="60" t="s">
        <v>4049</v>
      </c>
      <c r="K743" s="60">
        <v>-2.8295140000000001</v>
      </c>
      <c r="L743">
        <v>122.174896</v>
      </c>
    </row>
    <row r="744" spans="1:12" hidden="1" x14ac:dyDescent="0.35">
      <c r="A744" s="60" t="s">
        <v>5060</v>
      </c>
      <c r="B744" s="60" t="s">
        <v>5057</v>
      </c>
      <c r="C744" s="60" t="s">
        <v>5058</v>
      </c>
      <c r="D744" s="60" t="s">
        <v>385</v>
      </c>
      <c r="E744" t="str">
        <f>VLOOKUP(Table10[[#This Row],[Country]],Countries!$A$1:$D$205,2,TRUE)</f>
        <v>IDN</v>
      </c>
      <c r="F744" s="60" t="s">
        <v>4036</v>
      </c>
      <c r="G744" s="60" t="s">
        <v>4037</v>
      </c>
      <c r="H744" s="65">
        <v>14000</v>
      </c>
      <c r="I744" s="65" t="s">
        <v>4036</v>
      </c>
      <c r="J744" s="60" t="s">
        <v>4049</v>
      </c>
      <c r="K744" s="60">
        <v>-2.8295140000000001</v>
      </c>
      <c r="L744">
        <v>122.174896</v>
      </c>
    </row>
    <row r="745" spans="1:12" hidden="1" x14ac:dyDescent="0.35">
      <c r="A745" s="60" t="s">
        <v>5061</v>
      </c>
      <c r="B745" s="60" t="s">
        <v>4036</v>
      </c>
      <c r="C745" s="60" t="s">
        <v>5058</v>
      </c>
      <c r="D745" s="60" t="s">
        <v>385</v>
      </c>
      <c r="E745" t="str">
        <f>VLOOKUP(Table10[[#This Row],[Country]],Countries!$A$1:$D$205,2,TRUE)</f>
        <v>IDN</v>
      </c>
      <c r="F745" s="60" t="s">
        <v>4036</v>
      </c>
      <c r="G745" s="60" t="s">
        <v>4037</v>
      </c>
      <c r="H745" s="65">
        <v>5000</v>
      </c>
      <c r="I745" s="65" t="s">
        <v>4036</v>
      </c>
      <c r="J745" s="60" t="s">
        <v>4036</v>
      </c>
      <c r="K745" s="60">
        <v>-4.2442630000000001</v>
      </c>
      <c r="L745">
        <v>122.37122100000001</v>
      </c>
    </row>
    <row r="746" spans="1:12" hidden="1" x14ac:dyDescent="0.35">
      <c r="A746" s="60" t="s">
        <v>5062</v>
      </c>
      <c r="B746" s="60" t="s">
        <v>5063</v>
      </c>
      <c r="C746" s="60" t="s">
        <v>2893</v>
      </c>
      <c r="D746" s="60" t="s">
        <v>385</v>
      </c>
      <c r="E746" t="str">
        <f>VLOOKUP(Table10[[#This Row],[Country]],Countries!$A$1:$D$205,2,TRUE)</f>
        <v>IDN</v>
      </c>
      <c r="F746" s="60">
        <v>1972</v>
      </c>
      <c r="G746" s="60" t="s">
        <v>4026</v>
      </c>
      <c r="H746" s="65">
        <v>900</v>
      </c>
      <c r="I746" s="65" t="s">
        <v>4022</v>
      </c>
      <c r="J746" s="60" t="s">
        <v>4023</v>
      </c>
      <c r="K746" s="60">
        <v>-6.1816430000000002</v>
      </c>
      <c r="L746">
        <v>106.932331</v>
      </c>
    </row>
    <row r="747" spans="1:12" hidden="1" x14ac:dyDescent="0.35">
      <c r="A747" s="60" t="s">
        <v>5064</v>
      </c>
      <c r="B747" s="60" t="s">
        <v>5065</v>
      </c>
      <c r="C747" s="60" t="s">
        <v>5066</v>
      </c>
      <c r="D747" s="60" t="s">
        <v>385</v>
      </c>
      <c r="E747" t="str">
        <f>VLOOKUP(Table10[[#This Row],[Country]],Countries!$A$1:$D$205,2,TRUE)</f>
        <v>IDN</v>
      </c>
      <c r="F747" s="60" t="s">
        <v>4036</v>
      </c>
      <c r="G747" s="60" t="s">
        <v>4037</v>
      </c>
      <c r="H747" s="65">
        <v>500</v>
      </c>
      <c r="I747" s="65">
        <v>800</v>
      </c>
      <c r="J747" s="60" t="s">
        <v>4023</v>
      </c>
      <c r="K747" s="60">
        <v>3.5948920000000002</v>
      </c>
      <c r="L747">
        <v>98.673336000000006</v>
      </c>
    </row>
    <row r="748" spans="1:12" hidden="1" x14ac:dyDescent="0.35">
      <c r="A748" s="60" t="s">
        <v>5067</v>
      </c>
      <c r="B748" s="60" t="s">
        <v>5068</v>
      </c>
      <c r="C748" s="60" t="s">
        <v>5069</v>
      </c>
      <c r="D748" s="60" t="s">
        <v>385</v>
      </c>
      <c r="E748" t="str">
        <f>VLOOKUP(Table10[[#This Row],[Country]],Countries!$A$1:$D$205,2,TRUE)</f>
        <v>IDN</v>
      </c>
      <c r="F748" s="60" t="s">
        <v>4036</v>
      </c>
      <c r="G748" s="60" t="s">
        <v>4037</v>
      </c>
      <c r="H748" s="65">
        <v>3000</v>
      </c>
      <c r="I748" s="65" t="s">
        <v>4036</v>
      </c>
      <c r="J748" s="60" t="s">
        <v>4036</v>
      </c>
      <c r="K748" s="60">
        <v>-3.4608370000000002</v>
      </c>
      <c r="L748">
        <v>115.950278</v>
      </c>
    </row>
    <row r="749" spans="1:12" hidden="1" x14ac:dyDescent="0.35">
      <c r="A749" s="60" t="s">
        <v>5070</v>
      </c>
      <c r="B749" s="60" t="s">
        <v>4036</v>
      </c>
      <c r="C749" s="60" t="s">
        <v>5069</v>
      </c>
      <c r="D749" s="60" t="s">
        <v>385</v>
      </c>
      <c r="E749" t="str">
        <f>VLOOKUP(Table10[[#This Row],[Country]],Countries!$A$1:$D$205,2,TRUE)</f>
        <v>IDN</v>
      </c>
      <c r="F749" s="60">
        <v>2014</v>
      </c>
      <c r="G749" s="60" t="s">
        <v>4026</v>
      </c>
      <c r="H749" s="65">
        <v>1000</v>
      </c>
      <c r="I749" s="65">
        <v>1000</v>
      </c>
      <c r="J749" s="60" t="s">
        <v>4049</v>
      </c>
      <c r="K749" s="60">
        <v>-3.339296</v>
      </c>
      <c r="L749">
        <v>115.927125</v>
      </c>
    </row>
    <row r="750" spans="1:12" hidden="1" x14ac:dyDescent="0.35">
      <c r="A750" s="60" t="s">
        <v>5071</v>
      </c>
      <c r="B750" s="60" t="s">
        <v>4036</v>
      </c>
      <c r="C750" s="60" t="s">
        <v>4036</v>
      </c>
      <c r="D750" s="60" t="s">
        <v>385</v>
      </c>
      <c r="E750" t="str">
        <f>VLOOKUP(Table10[[#This Row],[Country]],Countries!$A$1:$D$205,2,TRUE)</f>
        <v>IDN</v>
      </c>
      <c r="F750" s="60" t="s">
        <v>4036</v>
      </c>
      <c r="G750" s="60" t="s">
        <v>4037</v>
      </c>
      <c r="H750" s="65">
        <v>7500</v>
      </c>
      <c r="I750" s="65" t="s">
        <v>4036</v>
      </c>
      <c r="J750" s="60" t="s">
        <v>4049</v>
      </c>
      <c r="K750" s="60">
        <v>-4.1384309999999997</v>
      </c>
      <c r="L750">
        <v>104.994091</v>
      </c>
    </row>
    <row r="751" spans="1:12" hidden="1" x14ac:dyDescent="0.35">
      <c r="A751" s="60" t="s">
        <v>5072</v>
      </c>
      <c r="B751" s="60" t="s">
        <v>5073</v>
      </c>
      <c r="C751" s="60" t="s">
        <v>5074</v>
      </c>
      <c r="D751" s="60" t="s">
        <v>385</v>
      </c>
      <c r="E751" t="str">
        <f>VLOOKUP(Table10[[#This Row],[Country]],Countries!$A$1:$D$205,2,TRUE)</f>
        <v>IDN</v>
      </c>
      <c r="F751" s="60">
        <v>2022</v>
      </c>
      <c r="G751" s="60" t="s">
        <v>4021</v>
      </c>
      <c r="H751" s="65">
        <v>700</v>
      </c>
      <c r="I751" s="65">
        <v>1500</v>
      </c>
      <c r="J751" s="60" t="s">
        <v>4111</v>
      </c>
      <c r="K751" s="60">
        <v>-6.2826579999999996</v>
      </c>
      <c r="L751">
        <v>107.117683</v>
      </c>
    </row>
    <row r="752" spans="1:12" hidden="1" x14ac:dyDescent="0.35">
      <c r="A752" s="60" t="s">
        <v>5075</v>
      </c>
      <c r="B752" s="60" t="s">
        <v>5073</v>
      </c>
      <c r="C752" s="60" t="s">
        <v>5074</v>
      </c>
      <c r="D752" s="60" t="s">
        <v>385</v>
      </c>
      <c r="E752" t="str">
        <f>VLOOKUP(Table10[[#This Row],[Country]],Countries!$A$1:$D$205,2,TRUE)</f>
        <v>IDN</v>
      </c>
      <c r="F752" s="60">
        <v>1986</v>
      </c>
      <c r="G752" s="60" t="s">
        <v>4026</v>
      </c>
      <c r="H752" s="65">
        <v>2800</v>
      </c>
      <c r="I752" s="65" t="s">
        <v>4110</v>
      </c>
      <c r="J752" s="60" t="s">
        <v>4161</v>
      </c>
      <c r="K752" s="60">
        <v>-6.2826579999999996</v>
      </c>
      <c r="L752">
        <v>107.117683</v>
      </c>
    </row>
    <row r="753" spans="1:12" hidden="1" x14ac:dyDescent="0.35">
      <c r="A753" s="60" t="s">
        <v>5076</v>
      </c>
      <c r="B753" s="60" t="s">
        <v>5077</v>
      </c>
      <c r="C753" s="60" t="s">
        <v>5078</v>
      </c>
      <c r="D753" s="60" t="s">
        <v>396</v>
      </c>
      <c r="E753" t="str">
        <f>VLOOKUP(Table10[[#This Row],[Country]],Countries!$A$1:$D$205,2,TRUE)</f>
        <v>JPN</v>
      </c>
      <c r="F753" s="60">
        <v>1959</v>
      </c>
      <c r="G753" s="60" t="s">
        <v>4026</v>
      </c>
      <c r="H753" s="65">
        <v>700</v>
      </c>
      <c r="I753" s="65" t="s">
        <v>4022</v>
      </c>
      <c r="J753" s="60" t="s">
        <v>4023</v>
      </c>
      <c r="K753" s="60">
        <v>35.118836000000002</v>
      </c>
      <c r="L753">
        <v>136.86756700000001</v>
      </c>
    </row>
    <row r="754" spans="1:12" hidden="1" x14ac:dyDescent="0.35">
      <c r="A754" s="60" t="s">
        <v>5079</v>
      </c>
      <c r="B754" s="60" t="s">
        <v>5080</v>
      </c>
      <c r="C754" s="60" t="s">
        <v>5078</v>
      </c>
      <c r="D754" s="60" t="s">
        <v>396</v>
      </c>
      <c r="E754" t="str">
        <f>VLOOKUP(Table10[[#This Row],[Country]],Countries!$A$1:$D$205,2,TRUE)</f>
        <v>JPN</v>
      </c>
      <c r="F754" s="60">
        <v>2009</v>
      </c>
      <c r="G754" s="60" t="s">
        <v>4026</v>
      </c>
      <c r="H754" s="65">
        <v>2500</v>
      </c>
      <c r="I754" s="65" t="s">
        <v>4022</v>
      </c>
      <c r="J754" s="60" t="s">
        <v>4023</v>
      </c>
      <c r="K754" s="60">
        <v>34.702012000000003</v>
      </c>
      <c r="L754">
        <v>137.24911399999999</v>
      </c>
    </row>
    <row r="755" spans="1:12" hidden="1" x14ac:dyDescent="0.35">
      <c r="A755" s="60" t="s">
        <v>5081</v>
      </c>
      <c r="B755" s="60" t="s">
        <v>5082</v>
      </c>
      <c r="C755" s="60" t="s">
        <v>5078</v>
      </c>
      <c r="D755" s="60" t="s">
        <v>396</v>
      </c>
      <c r="E755" t="str">
        <f>VLOOKUP(Table10[[#This Row],[Country]],Countries!$A$1:$D$205,2,TRUE)</f>
        <v>JPN</v>
      </c>
      <c r="F755" s="60">
        <v>1943</v>
      </c>
      <c r="G755" s="60" t="s">
        <v>4026</v>
      </c>
      <c r="H755" s="65">
        <v>1495</v>
      </c>
      <c r="I755" s="65" t="s">
        <v>4022</v>
      </c>
      <c r="J755" s="60" t="s">
        <v>4023</v>
      </c>
      <c r="K755" s="60">
        <v>35.044558000000002</v>
      </c>
      <c r="L755">
        <v>136.90077199999999</v>
      </c>
    </row>
    <row r="756" spans="1:12" hidden="1" x14ac:dyDescent="0.35">
      <c r="A756" s="60" t="s">
        <v>5083</v>
      </c>
      <c r="B756" s="60" t="s">
        <v>5082</v>
      </c>
      <c r="C756" s="60" t="s">
        <v>5078</v>
      </c>
      <c r="D756" s="60" t="s">
        <v>396</v>
      </c>
      <c r="E756" t="str">
        <f>VLOOKUP(Table10[[#This Row],[Country]],Countries!$A$1:$D$205,2,TRUE)</f>
        <v>JPN</v>
      </c>
      <c r="F756" s="60">
        <v>1962</v>
      </c>
      <c r="G756" s="60" t="s">
        <v>4026</v>
      </c>
      <c r="H756" s="65">
        <v>1500</v>
      </c>
      <c r="I756" s="65" t="s">
        <v>4022</v>
      </c>
      <c r="J756" s="60" t="s">
        <v>4023</v>
      </c>
      <c r="K756" s="60">
        <v>35.016404000000001</v>
      </c>
      <c r="L756">
        <v>136.864744</v>
      </c>
    </row>
    <row r="757" spans="1:12" hidden="1" x14ac:dyDescent="0.35">
      <c r="A757" s="60" t="s">
        <v>5084</v>
      </c>
      <c r="B757" s="60" t="s">
        <v>5082</v>
      </c>
      <c r="C757" s="60" t="s">
        <v>5078</v>
      </c>
      <c r="D757" s="60" t="s">
        <v>396</v>
      </c>
      <c r="E757" t="str">
        <f>VLOOKUP(Table10[[#This Row],[Country]],Countries!$A$1:$D$205,2,TRUE)</f>
        <v>JPN</v>
      </c>
      <c r="F757" s="60">
        <v>1961</v>
      </c>
      <c r="G757" s="60" t="s">
        <v>4026</v>
      </c>
      <c r="H757" s="65">
        <v>6000</v>
      </c>
      <c r="I757" s="65">
        <v>8840.8220000000001</v>
      </c>
      <c r="J757" s="60" t="s">
        <v>4049</v>
      </c>
      <c r="K757" s="60">
        <v>35.027574999999999</v>
      </c>
      <c r="L757">
        <v>136.870552</v>
      </c>
    </row>
    <row r="758" spans="1:12" hidden="1" x14ac:dyDescent="0.35">
      <c r="A758" s="60" t="s">
        <v>5085</v>
      </c>
      <c r="B758" s="60" t="s">
        <v>5082</v>
      </c>
      <c r="C758" s="60" t="s">
        <v>5078</v>
      </c>
      <c r="D758" s="60" t="s">
        <v>396</v>
      </c>
      <c r="E758" t="str">
        <f>VLOOKUP(Table10[[#This Row],[Country]],Countries!$A$1:$D$205,2,TRUE)</f>
        <v>JPN</v>
      </c>
      <c r="F758" s="60">
        <v>1984</v>
      </c>
      <c r="G758" s="60" t="s">
        <v>4026</v>
      </c>
      <c r="H758" s="65">
        <v>1264.9999999999998</v>
      </c>
      <c r="I758" s="65" t="s">
        <v>4022</v>
      </c>
      <c r="J758" s="60" t="s">
        <v>4023</v>
      </c>
      <c r="K758" s="60">
        <v>35.065055000000001</v>
      </c>
      <c r="L758">
        <v>136.81538399999999</v>
      </c>
    </row>
    <row r="759" spans="1:12" hidden="1" x14ac:dyDescent="0.35">
      <c r="A759" s="60" t="s">
        <v>5086</v>
      </c>
      <c r="B759" s="60" t="s">
        <v>5087</v>
      </c>
      <c r="C759" s="60" t="s">
        <v>5078</v>
      </c>
      <c r="D759" s="60" t="s">
        <v>396</v>
      </c>
      <c r="E759" t="str">
        <f>VLOOKUP(Table10[[#This Row],[Country]],Countries!$A$1:$D$205,2,TRUE)</f>
        <v>JPN</v>
      </c>
      <c r="F759" s="60">
        <v>1958</v>
      </c>
      <c r="G759" s="60" t="s">
        <v>4026</v>
      </c>
      <c r="H759" s="65">
        <v>960</v>
      </c>
      <c r="I759" s="65" t="s">
        <v>4022</v>
      </c>
      <c r="J759" s="60" t="s">
        <v>4023</v>
      </c>
      <c r="K759" s="60">
        <v>34.719644000000002</v>
      </c>
      <c r="L759">
        <v>137.322259</v>
      </c>
    </row>
    <row r="760" spans="1:12" hidden="1" x14ac:dyDescent="0.35">
      <c r="A760" s="60" t="s">
        <v>5088</v>
      </c>
      <c r="B760" s="60" t="s">
        <v>5089</v>
      </c>
      <c r="C760" s="60" t="s">
        <v>5090</v>
      </c>
      <c r="D760" s="60" t="s">
        <v>396</v>
      </c>
      <c r="E760" t="str">
        <f>VLOOKUP(Table10[[#This Row],[Country]],Countries!$A$1:$D$205,2,TRUE)</f>
        <v>JPN</v>
      </c>
      <c r="F760" s="60">
        <v>1965</v>
      </c>
      <c r="G760" s="60" t="s">
        <v>4026</v>
      </c>
      <c r="H760" s="65">
        <v>13000</v>
      </c>
      <c r="I760" s="65">
        <v>13438.2</v>
      </c>
      <c r="J760" s="60" t="s">
        <v>4049</v>
      </c>
      <c r="K760" s="60">
        <v>34.465221999999997</v>
      </c>
      <c r="L760">
        <v>133.43120500000001</v>
      </c>
    </row>
    <row r="761" spans="1:12" hidden="1" x14ac:dyDescent="0.35">
      <c r="A761" s="60" t="s">
        <v>5091</v>
      </c>
      <c r="B761" s="60" t="s">
        <v>2977</v>
      </c>
      <c r="C761" s="60" t="s">
        <v>5090</v>
      </c>
      <c r="D761" s="60" t="s">
        <v>396</v>
      </c>
      <c r="E761" t="str">
        <f>VLOOKUP(Table10[[#This Row],[Country]],Countries!$A$1:$D$205,2,TRUE)</f>
        <v>JPN</v>
      </c>
      <c r="F761" s="60">
        <v>1967</v>
      </c>
      <c r="G761" s="60" t="s">
        <v>4026</v>
      </c>
      <c r="H761" s="65">
        <v>950</v>
      </c>
      <c r="I761" s="65" t="s">
        <v>4022</v>
      </c>
      <c r="J761" s="60" t="s">
        <v>4023</v>
      </c>
      <c r="K761" s="60">
        <v>34.503883000000002</v>
      </c>
      <c r="L761">
        <v>133.71013600000001</v>
      </c>
    </row>
    <row r="762" spans="1:12" hidden="1" x14ac:dyDescent="0.35">
      <c r="A762" s="60" t="s">
        <v>5092</v>
      </c>
      <c r="B762" s="60" t="s">
        <v>2977</v>
      </c>
      <c r="C762" s="60" t="s">
        <v>5090</v>
      </c>
      <c r="D762" s="60" t="s">
        <v>396</v>
      </c>
      <c r="E762" t="str">
        <f>VLOOKUP(Table10[[#This Row],[Country]],Countries!$A$1:$D$205,2,TRUE)</f>
        <v>JPN</v>
      </c>
      <c r="F762" s="60">
        <v>2003</v>
      </c>
      <c r="G762" s="60" t="s">
        <v>4026</v>
      </c>
      <c r="H762" s="65">
        <v>10000</v>
      </c>
      <c r="I762" s="65">
        <v>11284</v>
      </c>
      <c r="J762" s="60" t="s">
        <v>4161</v>
      </c>
      <c r="K762" s="60">
        <v>34.501198000000002</v>
      </c>
      <c r="L762">
        <v>133.72212300000001</v>
      </c>
    </row>
    <row r="763" spans="1:12" hidden="1" x14ac:dyDescent="0.35">
      <c r="A763" s="60" t="s">
        <v>5093</v>
      </c>
      <c r="B763" s="60" t="s">
        <v>2977</v>
      </c>
      <c r="C763" s="60" t="s">
        <v>5090</v>
      </c>
      <c r="D763" s="60" t="s">
        <v>396</v>
      </c>
      <c r="E763" t="str">
        <f>VLOOKUP(Table10[[#This Row],[Country]],Countries!$A$1:$D$205,2,TRUE)</f>
        <v>JPN</v>
      </c>
      <c r="F763" s="60">
        <v>1962</v>
      </c>
      <c r="G763" s="60" t="s">
        <v>4026</v>
      </c>
      <c r="H763" s="65">
        <v>1300</v>
      </c>
      <c r="I763" s="65" t="s">
        <v>4022</v>
      </c>
      <c r="J763" s="60" t="s">
        <v>4023</v>
      </c>
      <c r="K763" s="60">
        <v>34.515062</v>
      </c>
      <c r="L763">
        <v>133.74552499999999</v>
      </c>
    </row>
    <row r="764" spans="1:12" hidden="1" x14ac:dyDescent="0.35">
      <c r="A764" s="60" t="s">
        <v>5094</v>
      </c>
      <c r="B764" s="60" t="s">
        <v>2977</v>
      </c>
      <c r="C764" s="60" t="s">
        <v>5090</v>
      </c>
      <c r="D764" s="60" t="s">
        <v>396</v>
      </c>
      <c r="E764" t="str">
        <f>VLOOKUP(Table10[[#This Row],[Country]],Countries!$A$1:$D$205,2,TRUE)</f>
        <v>JPN</v>
      </c>
      <c r="F764" s="60" t="s">
        <v>4022</v>
      </c>
      <c r="G764" s="60" t="s">
        <v>4048</v>
      </c>
      <c r="H764" s="65">
        <v>3333.3333333333335</v>
      </c>
      <c r="I764" s="65">
        <v>3684</v>
      </c>
      <c r="J764" s="60" t="s">
        <v>4161</v>
      </c>
      <c r="K764" s="60">
        <v>34.501198000000002</v>
      </c>
      <c r="L764">
        <v>133.72212300000001</v>
      </c>
    </row>
    <row r="765" spans="1:12" hidden="1" x14ac:dyDescent="0.35">
      <c r="A765" s="60" t="s">
        <v>5095</v>
      </c>
      <c r="B765" s="60" t="s">
        <v>5096</v>
      </c>
      <c r="C765" s="60" t="s">
        <v>5090</v>
      </c>
      <c r="D765" s="60" t="s">
        <v>396</v>
      </c>
      <c r="E765" t="str">
        <f>VLOOKUP(Table10[[#This Row],[Country]],Countries!$A$1:$D$205,2,TRUE)</f>
        <v>JPN</v>
      </c>
      <c r="F765" s="60" t="s">
        <v>4036</v>
      </c>
      <c r="G765" s="60" t="s">
        <v>4107</v>
      </c>
      <c r="H765" s="65">
        <v>4000</v>
      </c>
      <c r="I765" s="65">
        <v>3600</v>
      </c>
      <c r="J765" s="60" t="s">
        <v>4161</v>
      </c>
      <c r="K765" s="60">
        <v>34.221172000000003</v>
      </c>
      <c r="L765">
        <v>132.54010400000001</v>
      </c>
    </row>
    <row r="766" spans="1:12" hidden="1" x14ac:dyDescent="0.35">
      <c r="A766" s="60" t="s">
        <v>5097</v>
      </c>
      <c r="B766" s="60" t="s">
        <v>5098</v>
      </c>
      <c r="C766" s="60" t="s">
        <v>5090</v>
      </c>
      <c r="D766" s="60" t="s">
        <v>396</v>
      </c>
      <c r="E766" t="str">
        <f>VLOOKUP(Table10[[#This Row],[Country]],Countries!$A$1:$D$205,2,TRUE)</f>
        <v>JPN</v>
      </c>
      <c r="F766" s="60">
        <v>1972</v>
      </c>
      <c r="G766" s="60" t="s">
        <v>4026</v>
      </c>
      <c r="H766" s="65">
        <v>574.99999999999989</v>
      </c>
      <c r="I766" s="65" t="s">
        <v>4022</v>
      </c>
      <c r="J766" s="60" t="s">
        <v>4023</v>
      </c>
      <c r="K766" s="60">
        <v>33.976512999999997</v>
      </c>
      <c r="L766">
        <v>131.17303100000001</v>
      </c>
    </row>
    <row r="767" spans="1:12" hidden="1" x14ac:dyDescent="0.35">
      <c r="A767" s="60" t="s">
        <v>5099</v>
      </c>
      <c r="B767" s="60" t="s">
        <v>2981</v>
      </c>
      <c r="C767" s="60" t="s">
        <v>5100</v>
      </c>
      <c r="D767" s="60" t="s">
        <v>396</v>
      </c>
      <c r="E767" t="str">
        <f>VLOOKUP(Table10[[#This Row],[Country]],Countries!$A$1:$D$205,2,TRUE)</f>
        <v>JPN</v>
      </c>
      <c r="F767" s="60">
        <v>1909</v>
      </c>
      <c r="G767" s="60" t="s">
        <v>4026</v>
      </c>
      <c r="H767" s="65">
        <v>2598</v>
      </c>
      <c r="I767" s="65">
        <v>2300</v>
      </c>
      <c r="J767" s="60" t="s">
        <v>4161</v>
      </c>
      <c r="K767" s="60">
        <v>42.341873</v>
      </c>
      <c r="L767">
        <v>140.997803</v>
      </c>
    </row>
    <row r="768" spans="1:12" hidden="1" x14ac:dyDescent="0.35">
      <c r="A768" s="60" t="s">
        <v>5101</v>
      </c>
      <c r="B768" s="60" t="s">
        <v>5102</v>
      </c>
      <c r="C768" s="60" t="s">
        <v>5103</v>
      </c>
      <c r="D768" s="60" t="s">
        <v>396</v>
      </c>
      <c r="E768" t="str">
        <f>VLOOKUP(Table10[[#This Row],[Country]],Countries!$A$1:$D$205,2,TRUE)</f>
        <v>JPN</v>
      </c>
      <c r="F768" s="60" t="s">
        <v>4036</v>
      </c>
      <c r="G768" s="60" t="s">
        <v>4026</v>
      </c>
      <c r="H768" s="65">
        <v>950</v>
      </c>
      <c r="I768" s="65" t="s">
        <v>4022</v>
      </c>
      <c r="J768" s="60" t="s">
        <v>4023</v>
      </c>
      <c r="K768" s="60">
        <v>34.784112999999998</v>
      </c>
      <c r="L768">
        <v>134.65849299999999</v>
      </c>
    </row>
    <row r="769" spans="1:12" hidden="1" x14ac:dyDescent="0.35">
      <c r="A769" s="60" t="s">
        <v>5104</v>
      </c>
      <c r="B769" s="60" t="s">
        <v>5102</v>
      </c>
      <c r="C769" s="60" t="s">
        <v>5103</v>
      </c>
      <c r="D769" s="60" t="s">
        <v>396</v>
      </c>
      <c r="E769" t="str">
        <f>VLOOKUP(Table10[[#This Row],[Country]],Countries!$A$1:$D$205,2,TRUE)</f>
        <v>JPN</v>
      </c>
      <c r="F769" s="60">
        <v>1939</v>
      </c>
      <c r="G769" s="60" t="s">
        <v>4026</v>
      </c>
      <c r="H769" s="65">
        <v>2816</v>
      </c>
      <c r="I769" s="65" t="s">
        <v>4022</v>
      </c>
      <c r="J769" s="60" t="s">
        <v>4163</v>
      </c>
      <c r="K769" s="60">
        <v>34.786878999999999</v>
      </c>
      <c r="L769">
        <v>134.62530100000001</v>
      </c>
    </row>
    <row r="770" spans="1:12" hidden="1" x14ac:dyDescent="0.35">
      <c r="A770" s="60" t="s">
        <v>5105</v>
      </c>
      <c r="B770" s="60" t="s">
        <v>5102</v>
      </c>
      <c r="C770" s="60" t="s">
        <v>5103</v>
      </c>
      <c r="D770" s="60" t="s">
        <v>396</v>
      </c>
      <c r="E770" t="str">
        <f>VLOOKUP(Table10[[#This Row],[Country]],Countries!$A$1:$D$205,2,TRUE)</f>
        <v>JPN</v>
      </c>
      <c r="F770" s="60">
        <v>2023</v>
      </c>
      <c r="G770" s="60" t="s">
        <v>4021</v>
      </c>
      <c r="H770" s="65">
        <v>720</v>
      </c>
      <c r="I770" s="65" t="s">
        <v>4022</v>
      </c>
      <c r="J770" s="60" t="s">
        <v>4023</v>
      </c>
      <c r="K770" s="60">
        <v>34.786878999999999</v>
      </c>
      <c r="L770">
        <v>134.62530100000001</v>
      </c>
    </row>
    <row r="771" spans="1:12" hidden="1" x14ac:dyDescent="0.35">
      <c r="A771" s="60" t="s">
        <v>5106</v>
      </c>
      <c r="B771" s="60" t="s">
        <v>5102</v>
      </c>
      <c r="C771" s="60" t="s">
        <v>5103</v>
      </c>
      <c r="D771" s="60" t="s">
        <v>396</v>
      </c>
      <c r="E771" t="str">
        <f>VLOOKUP(Table10[[#This Row],[Country]],Countries!$A$1:$D$205,2,TRUE)</f>
        <v>JPN</v>
      </c>
      <c r="F771" s="60">
        <v>1933</v>
      </c>
      <c r="G771" s="60" t="s">
        <v>4026</v>
      </c>
      <c r="H771" s="65">
        <v>1596</v>
      </c>
      <c r="I771" s="65" t="s">
        <v>4022</v>
      </c>
      <c r="J771" s="60" t="s">
        <v>4023</v>
      </c>
      <c r="K771" s="60">
        <v>34.788074000000002</v>
      </c>
      <c r="L771">
        <v>134.67204599999999</v>
      </c>
    </row>
    <row r="772" spans="1:12" hidden="1" x14ac:dyDescent="0.35">
      <c r="A772" s="60" t="s">
        <v>5107</v>
      </c>
      <c r="B772" s="60" t="s">
        <v>5102</v>
      </c>
      <c r="C772" s="60" t="s">
        <v>5103</v>
      </c>
      <c r="D772" s="60" t="s">
        <v>396</v>
      </c>
      <c r="E772" t="str">
        <f>VLOOKUP(Table10[[#This Row],[Country]],Countries!$A$1:$D$205,2,TRUE)</f>
        <v>JPN</v>
      </c>
      <c r="F772" s="60">
        <v>1961</v>
      </c>
      <c r="G772" s="60" t="s">
        <v>4026</v>
      </c>
      <c r="H772" s="65">
        <v>1495</v>
      </c>
      <c r="I772" s="65" t="s">
        <v>4022</v>
      </c>
      <c r="J772" s="60" t="s">
        <v>4023</v>
      </c>
      <c r="K772" s="60">
        <v>34.783318999999999</v>
      </c>
      <c r="L772">
        <v>134.60461599999999</v>
      </c>
    </row>
    <row r="773" spans="1:12" hidden="1" x14ac:dyDescent="0.35">
      <c r="A773" s="60" t="s">
        <v>5108</v>
      </c>
      <c r="B773" s="60" t="s">
        <v>5102</v>
      </c>
      <c r="C773" s="60" t="s">
        <v>5103</v>
      </c>
      <c r="D773" s="60" t="s">
        <v>396</v>
      </c>
      <c r="E773" t="str">
        <f>VLOOKUP(Table10[[#This Row],[Country]],Countries!$A$1:$D$205,2,TRUE)</f>
        <v>JPN</v>
      </c>
      <c r="F773" s="60">
        <v>1978</v>
      </c>
      <c r="G773" s="60" t="s">
        <v>4026</v>
      </c>
      <c r="H773" s="65">
        <v>805</v>
      </c>
      <c r="I773" s="65" t="s">
        <v>4022</v>
      </c>
      <c r="J773" s="60" t="s">
        <v>4023</v>
      </c>
      <c r="K773" s="60">
        <v>34.783056999999999</v>
      </c>
      <c r="L773">
        <v>134.669411</v>
      </c>
    </row>
    <row r="774" spans="1:12" hidden="1" x14ac:dyDescent="0.35">
      <c r="A774" s="60" t="s">
        <v>5109</v>
      </c>
      <c r="B774" s="60" t="s">
        <v>5110</v>
      </c>
      <c r="C774" s="60" t="s">
        <v>5103</v>
      </c>
      <c r="D774" s="60" t="s">
        <v>396</v>
      </c>
      <c r="E774" t="str">
        <f>VLOOKUP(Table10[[#This Row],[Country]],Countries!$A$1:$D$205,2,TRUE)</f>
        <v>JPN</v>
      </c>
      <c r="F774" s="60">
        <v>1970</v>
      </c>
      <c r="G774" s="60" t="s">
        <v>4026</v>
      </c>
      <c r="H774" s="65">
        <v>6000</v>
      </c>
      <c r="I774" s="65">
        <v>11953.775999999998</v>
      </c>
      <c r="J774" s="60" t="s">
        <v>4049</v>
      </c>
      <c r="K774" s="60">
        <v>34.720267999999997</v>
      </c>
      <c r="L774">
        <v>134.82627500000001</v>
      </c>
    </row>
    <row r="775" spans="1:12" hidden="1" x14ac:dyDescent="0.35">
      <c r="A775" s="60" t="s">
        <v>5111</v>
      </c>
      <c r="B775" s="60" t="s">
        <v>5112</v>
      </c>
      <c r="C775" s="60" t="s">
        <v>5103</v>
      </c>
      <c r="D775" s="60" t="s">
        <v>396</v>
      </c>
      <c r="E775" t="str">
        <f>VLOOKUP(Table10[[#This Row],[Country]],Countries!$A$1:$D$205,2,TRUE)</f>
        <v>JPN</v>
      </c>
      <c r="F775" s="60">
        <v>1959</v>
      </c>
      <c r="G775" s="60" t="s">
        <v>4026</v>
      </c>
      <c r="H775" s="65">
        <v>1200</v>
      </c>
      <c r="I775" s="65">
        <v>1533.1299999999999</v>
      </c>
      <c r="J775" s="60" t="s">
        <v>4049</v>
      </c>
      <c r="K775" s="60">
        <v>34.703623999999998</v>
      </c>
      <c r="L775">
        <v>135.247207</v>
      </c>
    </row>
    <row r="776" spans="1:12" hidden="1" x14ac:dyDescent="0.35">
      <c r="A776" s="60" t="s">
        <v>5113</v>
      </c>
      <c r="B776" s="60" t="s">
        <v>5114</v>
      </c>
      <c r="C776" s="60" t="s">
        <v>5103</v>
      </c>
      <c r="D776" s="60" t="s">
        <v>396</v>
      </c>
      <c r="E776" t="str">
        <f>VLOOKUP(Table10[[#This Row],[Country]],Countries!$A$1:$D$205,2,TRUE)</f>
        <v>JPN</v>
      </c>
      <c r="F776" s="60">
        <v>1937</v>
      </c>
      <c r="G776" s="60" t="s">
        <v>4026</v>
      </c>
      <c r="H776" s="65">
        <v>805</v>
      </c>
      <c r="I776" s="65" t="s">
        <v>4022</v>
      </c>
      <c r="J776" s="60" t="s">
        <v>4023</v>
      </c>
      <c r="K776" s="60">
        <v>34.693044999999998</v>
      </c>
      <c r="L776">
        <v>135.42853700000001</v>
      </c>
    </row>
    <row r="777" spans="1:12" hidden="1" x14ac:dyDescent="0.35">
      <c r="A777" s="60" t="s">
        <v>5115</v>
      </c>
      <c r="B777" s="60" t="s">
        <v>5114</v>
      </c>
      <c r="C777" s="60" t="s">
        <v>5103</v>
      </c>
      <c r="D777" s="60" t="s">
        <v>396</v>
      </c>
      <c r="E777" t="str">
        <f>VLOOKUP(Table10[[#This Row],[Country]],Countries!$A$1:$D$205,2,TRUE)</f>
        <v>JPN</v>
      </c>
      <c r="F777" s="60">
        <v>1961</v>
      </c>
      <c r="G777" s="60" t="s">
        <v>4026</v>
      </c>
      <c r="H777" s="65">
        <v>3450</v>
      </c>
      <c r="I777" s="65" t="s">
        <v>4022</v>
      </c>
      <c r="J777" s="60" t="s">
        <v>4023</v>
      </c>
      <c r="K777" s="60">
        <v>34.598219999999998</v>
      </c>
      <c r="L777">
        <v>135.45438999999999</v>
      </c>
    </row>
    <row r="778" spans="1:12" hidden="1" x14ac:dyDescent="0.35">
      <c r="A778" s="60" t="s">
        <v>5116</v>
      </c>
      <c r="B778" s="60" t="s">
        <v>5114</v>
      </c>
      <c r="C778" s="60" t="s">
        <v>5103</v>
      </c>
      <c r="D778" s="60" t="s">
        <v>396</v>
      </c>
      <c r="E778" t="str">
        <f>VLOOKUP(Table10[[#This Row],[Country]],Countries!$A$1:$D$205,2,TRUE)</f>
        <v>JPN</v>
      </c>
      <c r="F778" s="60">
        <v>1950</v>
      </c>
      <c r="G778" s="60" t="s">
        <v>4026</v>
      </c>
      <c r="H778" s="65">
        <v>600</v>
      </c>
      <c r="I778" s="65" t="s">
        <v>4022</v>
      </c>
      <c r="J778" s="60" t="s">
        <v>4023</v>
      </c>
      <c r="K778" s="60">
        <v>34.699762</v>
      </c>
      <c r="L778">
        <v>135.43011899999999</v>
      </c>
    </row>
    <row r="779" spans="1:12" hidden="1" x14ac:dyDescent="0.35">
      <c r="A779" s="60" t="s">
        <v>5117</v>
      </c>
      <c r="B779" s="60" t="s">
        <v>5114</v>
      </c>
      <c r="C779" s="60" t="s">
        <v>5103</v>
      </c>
      <c r="D779" s="60" t="s">
        <v>396</v>
      </c>
      <c r="E779" t="str">
        <f>VLOOKUP(Table10[[#This Row],[Country]],Countries!$A$1:$D$205,2,TRUE)</f>
        <v>JPN</v>
      </c>
      <c r="F779" s="60">
        <v>1929</v>
      </c>
      <c r="G779" s="60" t="s">
        <v>4026</v>
      </c>
      <c r="H779" s="65">
        <v>660</v>
      </c>
      <c r="I779" s="65" t="s">
        <v>4022</v>
      </c>
      <c r="J779" s="60" t="s">
        <v>4023</v>
      </c>
      <c r="K779" s="60">
        <v>34.628162000000003</v>
      </c>
      <c r="L779">
        <v>135.459688</v>
      </c>
    </row>
    <row r="780" spans="1:12" hidden="1" x14ac:dyDescent="0.35">
      <c r="A780" s="60" t="s">
        <v>5118</v>
      </c>
      <c r="B780" s="60" t="s">
        <v>5114</v>
      </c>
      <c r="C780" s="60" t="s">
        <v>5103</v>
      </c>
      <c r="D780" s="60" t="s">
        <v>396</v>
      </c>
      <c r="E780" t="str">
        <f>VLOOKUP(Table10[[#This Row],[Country]],Countries!$A$1:$D$205,2,TRUE)</f>
        <v>JPN</v>
      </c>
      <c r="F780" s="60">
        <v>1962</v>
      </c>
      <c r="G780" s="60" t="s">
        <v>4026</v>
      </c>
      <c r="H780" s="65">
        <v>805</v>
      </c>
      <c r="I780" s="65" t="s">
        <v>4022</v>
      </c>
      <c r="J780" s="60" t="s">
        <v>4023</v>
      </c>
      <c r="K780" s="60">
        <v>34.816321000000002</v>
      </c>
      <c r="L780">
        <v>135.67744400000001</v>
      </c>
    </row>
    <row r="781" spans="1:12" hidden="1" x14ac:dyDescent="0.35">
      <c r="A781" s="60" t="s">
        <v>5119</v>
      </c>
      <c r="B781" s="60" t="s">
        <v>2999</v>
      </c>
      <c r="C781" s="60" t="s">
        <v>5103</v>
      </c>
      <c r="D781" s="60" t="s">
        <v>396</v>
      </c>
      <c r="E781" t="str">
        <f>VLOOKUP(Table10[[#This Row],[Country]],Countries!$A$1:$D$205,2,TRUE)</f>
        <v>JPN</v>
      </c>
      <c r="F781" s="60">
        <v>1942</v>
      </c>
      <c r="G781" s="60" t="s">
        <v>4026</v>
      </c>
      <c r="H781" s="65">
        <v>5490</v>
      </c>
      <c r="I781" s="65">
        <v>2738</v>
      </c>
      <c r="J781" s="60" t="s">
        <v>4161</v>
      </c>
      <c r="K781" s="60">
        <v>34.233519000000001</v>
      </c>
      <c r="L781">
        <v>135.13544300000001</v>
      </c>
    </row>
    <row r="782" spans="1:12" hidden="1" x14ac:dyDescent="0.35">
      <c r="A782" s="60" t="s">
        <v>5120</v>
      </c>
      <c r="B782" s="60" t="s">
        <v>5121</v>
      </c>
      <c r="C782" s="60" t="s">
        <v>5122</v>
      </c>
      <c r="D782" s="60" t="s">
        <v>396</v>
      </c>
      <c r="E782" t="str">
        <f>VLOOKUP(Table10[[#This Row],[Country]],Countries!$A$1:$D$205,2,TRUE)</f>
        <v>JPN</v>
      </c>
      <c r="F782" s="60">
        <v>1951</v>
      </c>
      <c r="G782" s="60" t="s">
        <v>4026</v>
      </c>
      <c r="H782" s="65">
        <v>4500</v>
      </c>
      <c r="I782" s="65">
        <v>4688.9619999999995</v>
      </c>
      <c r="J782" s="60" t="s">
        <v>4049</v>
      </c>
      <c r="K782" s="60">
        <v>35.580916999999999</v>
      </c>
      <c r="L782">
        <v>140.104196</v>
      </c>
    </row>
    <row r="783" spans="1:12" hidden="1" x14ac:dyDescent="0.35">
      <c r="A783" s="60" t="s">
        <v>5123</v>
      </c>
      <c r="B783" s="60" t="s">
        <v>5121</v>
      </c>
      <c r="C783" s="60" t="s">
        <v>5122</v>
      </c>
      <c r="D783" s="60" t="s">
        <v>396</v>
      </c>
      <c r="E783" t="str">
        <f>VLOOKUP(Table10[[#This Row],[Country]],Countries!$A$1:$D$205,2,TRUE)</f>
        <v>JPN</v>
      </c>
      <c r="F783" s="60" t="s">
        <v>4036</v>
      </c>
      <c r="G783" s="60" t="s">
        <v>4026</v>
      </c>
      <c r="H783" s="65">
        <v>1149.9999999999998</v>
      </c>
      <c r="I783" s="65" t="s">
        <v>4022</v>
      </c>
      <c r="J783" s="60" t="s">
        <v>4023</v>
      </c>
      <c r="K783" s="60">
        <v>35.697541000000001</v>
      </c>
      <c r="L783">
        <v>139.96410399999999</v>
      </c>
    </row>
    <row r="784" spans="1:12" hidden="1" x14ac:dyDescent="0.35">
      <c r="A784" s="60" t="s">
        <v>5124</v>
      </c>
      <c r="B784" s="60" t="s">
        <v>5121</v>
      </c>
      <c r="C784" s="60" t="s">
        <v>5122</v>
      </c>
      <c r="D784" s="60" t="s">
        <v>396</v>
      </c>
      <c r="E784" t="str">
        <f>VLOOKUP(Table10[[#This Row],[Country]],Countries!$A$1:$D$205,2,TRUE)</f>
        <v>JPN</v>
      </c>
      <c r="F784" s="60">
        <v>2023</v>
      </c>
      <c r="G784" s="60" t="s">
        <v>4021</v>
      </c>
      <c r="H784" s="65">
        <v>115</v>
      </c>
      <c r="I784" s="65">
        <v>50</v>
      </c>
      <c r="J784" s="60" t="s">
        <v>4027</v>
      </c>
      <c r="K784" s="60">
        <v>35.580916999999999</v>
      </c>
      <c r="L784">
        <v>140.104196</v>
      </c>
    </row>
    <row r="785" spans="1:12" hidden="1" x14ac:dyDescent="0.35">
      <c r="A785" s="60" t="s">
        <v>5125</v>
      </c>
      <c r="B785" s="60" t="s">
        <v>5126</v>
      </c>
      <c r="C785" s="60" t="s">
        <v>5122</v>
      </c>
      <c r="D785" s="60" t="s">
        <v>396</v>
      </c>
      <c r="E785" t="str">
        <f>VLOOKUP(Table10[[#This Row],[Country]],Countries!$A$1:$D$205,2,TRUE)</f>
        <v>JPN</v>
      </c>
      <c r="F785" s="60" t="s">
        <v>4036</v>
      </c>
      <c r="G785" s="60" t="s">
        <v>4026</v>
      </c>
      <c r="H785" s="65">
        <v>950</v>
      </c>
      <c r="I785" s="65" t="s">
        <v>4022</v>
      </c>
      <c r="J785" s="60" t="s">
        <v>4023</v>
      </c>
      <c r="K785" s="60">
        <v>35.882022999999997</v>
      </c>
      <c r="L785">
        <v>140.731707</v>
      </c>
    </row>
    <row r="786" spans="1:12" hidden="1" x14ac:dyDescent="0.35">
      <c r="A786" s="60" t="s">
        <v>5127</v>
      </c>
      <c r="B786" s="60" t="s">
        <v>5128</v>
      </c>
      <c r="C786" s="60" t="s">
        <v>5122</v>
      </c>
      <c r="D786" s="60" t="s">
        <v>396</v>
      </c>
      <c r="E786" t="str">
        <f>VLOOKUP(Table10[[#This Row],[Country]],Countries!$A$1:$D$205,2,TRUE)</f>
        <v>JPN</v>
      </c>
      <c r="F786" s="60">
        <v>1969</v>
      </c>
      <c r="G786" s="60" t="s">
        <v>4026</v>
      </c>
      <c r="H786" s="65">
        <v>7162</v>
      </c>
      <c r="I786" s="65">
        <v>9792</v>
      </c>
      <c r="J786" s="60" t="s">
        <v>4049</v>
      </c>
      <c r="K786" s="60">
        <v>35.934370000000001</v>
      </c>
      <c r="L786">
        <v>140.68101899999999</v>
      </c>
    </row>
    <row r="787" spans="1:12" hidden="1" x14ac:dyDescent="0.35">
      <c r="A787" s="60" t="s">
        <v>5129</v>
      </c>
      <c r="B787" s="60" t="s">
        <v>2992</v>
      </c>
      <c r="C787" s="60" t="s">
        <v>5122</v>
      </c>
      <c r="D787" s="60" t="s">
        <v>396</v>
      </c>
      <c r="E787" t="str">
        <f>VLOOKUP(Table10[[#This Row],[Country]],Countries!$A$1:$D$205,2,TRUE)</f>
        <v>JPN</v>
      </c>
      <c r="F787" s="60">
        <v>1971</v>
      </c>
      <c r="G787" s="60" t="s">
        <v>4026</v>
      </c>
      <c r="H787" s="65">
        <v>4075</v>
      </c>
      <c r="I787" s="65">
        <v>4543</v>
      </c>
      <c r="J787" s="60" t="s">
        <v>4161</v>
      </c>
      <c r="K787" s="60">
        <v>35.480690000000003</v>
      </c>
      <c r="L787">
        <v>139.72968399999999</v>
      </c>
    </row>
    <row r="788" spans="1:12" hidden="1" x14ac:dyDescent="0.35">
      <c r="A788" s="60" t="s">
        <v>5130</v>
      </c>
      <c r="B788" s="60" t="s">
        <v>2992</v>
      </c>
      <c r="C788" s="60" t="s">
        <v>5122</v>
      </c>
      <c r="D788" s="60" t="s">
        <v>396</v>
      </c>
      <c r="E788" t="str">
        <f>VLOOKUP(Table10[[#This Row],[Country]],Countries!$A$1:$D$205,2,TRUE)</f>
        <v>JPN</v>
      </c>
      <c r="F788" s="60" t="s">
        <v>4022</v>
      </c>
      <c r="G788" s="60" t="s">
        <v>4048</v>
      </c>
      <c r="H788" s="65">
        <v>3500</v>
      </c>
      <c r="I788" s="65">
        <v>4543</v>
      </c>
      <c r="J788" s="60" t="s">
        <v>4049</v>
      </c>
      <c r="K788" s="60">
        <v>35.480690000000003</v>
      </c>
      <c r="L788">
        <v>139.72968399999999</v>
      </c>
    </row>
    <row r="789" spans="1:12" hidden="1" x14ac:dyDescent="0.35">
      <c r="A789" s="60" t="s">
        <v>5131</v>
      </c>
      <c r="B789" s="60" t="s">
        <v>5132</v>
      </c>
      <c r="C789" s="60" t="s">
        <v>5122</v>
      </c>
      <c r="D789" s="60" t="s">
        <v>396</v>
      </c>
      <c r="E789" t="str">
        <f>VLOOKUP(Table10[[#This Row],[Country]],Countries!$A$1:$D$205,2,TRUE)</f>
        <v>JPN</v>
      </c>
      <c r="F789" s="60">
        <v>1965</v>
      </c>
      <c r="G789" s="60" t="s">
        <v>4026</v>
      </c>
      <c r="H789" s="65">
        <v>10000</v>
      </c>
      <c r="I789" s="65">
        <v>9138.4699999999993</v>
      </c>
      <c r="J789" s="60" t="s">
        <v>4049</v>
      </c>
      <c r="K789" s="60">
        <v>35.360911999999999</v>
      </c>
      <c r="L789">
        <v>139.88195300000001</v>
      </c>
    </row>
    <row r="790" spans="1:12" hidden="1" x14ac:dyDescent="0.35">
      <c r="A790" s="60" t="s">
        <v>5133</v>
      </c>
      <c r="B790" s="60" t="s">
        <v>5134</v>
      </c>
      <c r="C790" s="60" t="s">
        <v>5122</v>
      </c>
      <c r="D790" s="60" t="s">
        <v>396</v>
      </c>
      <c r="E790" t="str">
        <f>VLOOKUP(Table10[[#This Row],[Country]],Countries!$A$1:$D$205,2,TRUE)</f>
        <v>JPN</v>
      </c>
      <c r="F790" s="60" t="s">
        <v>4036</v>
      </c>
      <c r="G790" s="60" t="s">
        <v>4026</v>
      </c>
      <c r="H790" s="65">
        <v>950</v>
      </c>
      <c r="I790" s="65" t="s">
        <v>4022</v>
      </c>
      <c r="J790" s="60" t="s">
        <v>4023</v>
      </c>
      <c r="K790" s="60">
        <v>35.813806999999997</v>
      </c>
      <c r="L790">
        <v>139.883129</v>
      </c>
    </row>
    <row r="791" spans="1:12" hidden="1" x14ac:dyDescent="0.35">
      <c r="A791" s="60" t="s">
        <v>5135</v>
      </c>
      <c r="B791" s="60" t="s">
        <v>5136</v>
      </c>
      <c r="C791" s="60" t="s">
        <v>5122</v>
      </c>
      <c r="D791" s="60" t="s">
        <v>396</v>
      </c>
      <c r="E791" t="str">
        <f>VLOOKUP(Table10[[#This Row],[Country]],Countries!$A$1:$D$205,2,TRUE)</f>
        <v>JPN</v>
      </c>
      <c r="F791" s="60">
        <v>1995</v>
      </c>
      <c r="G791" s="60" t="s">
        <v>4026</v>
      </c>
      <c r="H791" s="65">
        <v>1300</v>
      </c>
      <c r="I791" s="65" t="s">
        <v>4022</v>
      </c>
      <c r="J791" s="60" t="s">
        <v>4023</v>
      </c>
      <c r="K791" s="60">
        <v>36.540424999999999</v>
      </c>
      <c r="L791">
        <v>139.99307899999999</v>
      </c>
    </row>
    <row r="792" spans="1:12" hidden="1" x14ac:dyDescent="0.35">
      <c r="A792" s="60" t="s">
        <v>5137</v>
      </c>
      <c r="B792" s="60" t="s">
        <v>5138</v>
      </c>
      <c r="C792" s="60" t="s">
        <v>5139</v>
      </c>
      <c r="D792" s="60" t="s">
        <v>396</v>
      </c>
      <c r="E792" t="str">
        <f>VLOOKUP(Table10[[#This Row],[Country]],Countries!$A$1:$D$205,2,TRUE)</f>
        <v>JPN</v>
      </c>
      <c r="F792" s="60">
        <v>1901</v>
      </c>
      <c r="G792" s="60" t="s">
        <v>4026</v>
      </c>
      <c r="H792" s="65">
        <v>3727</v>
      </c>
      <c r="I792" s="65">
        <v>4543</v>
      </c>
      <c r="J792" s="60" t="s">
        <v>4049</v>
      </c>
      <c r="K792" s="60">
        <v>33.911802999999999</v>
      </c>
      <c r="L792">
        <v>130.83801399999999</v>
      </c>
    </row>
    <row r="793" spans="1:12" hidden="1" x14ac:dyDescent="0.35">
      <c r="A793" s="60" t="s">
        <v>5140</v>
      </c>
      <c r="B793" s="60" t="s">
        <v>5138</v>
      </c>
      <c r="C793" s="60" t="s">
        <v>5139</v>
      </c>
      <c r="D793" s="60" t="s">
        <v>396</v>
      </c>
      <c r="E793" t="str">
        <f>VLOOKUP(Table10[[#This Row],[Country]],Countries!$A$1:$D$205,2,TRUE)</f>
        <v>JPN</v>
      </c>
      <c r="F793" s="60">
        <v>1957</v>
      </c>
      <c r="G793" s="60" t="s">
        <v>4107</v>
      </c>
      <c r="H793" s="65">
        <v>2000</v>
      </c>
      <c r="I793" s="65">
        <v>1500</v>
      </c>
      <c r="J793" s="60" t="s">
        <v>4049</v>
      </c>
      <c r="K793" s="60">
        <v>33.897709999999996</v>
      </c>
      <c r="L793">
        <v>130.88243499999999</v>
      </c>
    </row>
    <row r="794" spans="1:12" hidden="1" x14ac:dyDescent="0.35">
      <c r="A794" s="60" t="s">
        <v>5141</v>
      </c>
      <c r="B794" s="60" t="s">
        <v>5138</v>
      </c>
      <c r="C794" s="60" t="s">
        <v>5139</v>
      </c>
      <c r="D794" s="60" t="s">
        <v>396</v>
      </c>
      <c r="E794" t="str">
        <f>VLOOKUP(Table10[[#This Row],[Country]],Countries!$A$1:$D$205,2,TRUE)</f>
        <v>JPN</v>
      </c>
      <c r="F794" s="60">
        <v>1969</v>
      </c>
      <c r="G794" s="60" t="s">
        <v>4026</v>
      </c>
      <c r="H794" s="65">
        <v>1200</v>
      </c>
      <c r="I794" s="65" t="s">
        <v>4022</v>
      </c>
      <c r="J794" s="60" t="s">
        <v>4023</v>
      </c>
      <c r="K794" s="60">
        <v>33.881430999999999</v>
      </c>
      <c r="L794">
        <v>130.755978</v>
      </c>
    </row>
    <row r="795" spans="1:12" hidden="1" x14ac:dyDescent="0.35">
      <c r="A795" s="60" t="s">
        <v>5142</v>
      </c>
      <c r="B795" s="60" t="s">
        <v>5143</v>
      </c>
      <c r="C795" s="60" t="s">
        <v>5139</v>
      </c>
      <c r="D795" s="60" t="s">
        <v>396</v>
      </c>
      <c r="E795" t="str">
        <f>VLOOKUP(Table10[[#This Row],[Country]],Countries!$A$1:$D$205,2,TRUE)</f>
        <v>JPN</v>
      </c>
      <c r="F795" s="60">
        <v>1971</v>
      </c>
      <c r="G795" s="60" t="s">
        <v>4026</v>
      </c>
      <c r="H795" s="65">
        <v>10000</v>
      </c>
      <c r="I795" s="65">
        <v>10564.699999999999</v>
      </c>
      <c r="J795" s="60" t="s">
        <v>4049</v>
      </c>
      <c r="K795" s="60">
        <v>33.260829000000001</v>
      </c>
      <c r="L795">
        <v>131.64552699999999</v>
      </c>
    </row>
    <row r="796" spans="1:12" hidden="1" x14ac:dyDescent="0.35">
      <c r="A796" s="60" t="s">
        <v>5144</v>
      </c>
      <c r="B796" s="60" t="s">
        <v>3005</v>
      </c>
      <c r="C796" s="60" t="s">
        <v>5145</v>
      </c>
      <c r="D796" s="60" t="s">
        <v>396</v>
      </c>
      <c r="E796" t="str">
        <f>VLOOKUP(Table10[[#This Row],[Country]],Countries!$A$1:$D$205,2,TRUE)</f>
        <v>JPN</v>
      </c>
      <c r="F796" s="60" t="s">
        <v>4036</v>
      </c>
      <c r="G796" s="60" t="s">
        <v>4026</v>
      </c>
      <c r="H796" s="65">
        <v>852</v>
      </c>
      <c r="I796" s="65" t="s">
        <v>4022</v>
      </c>
      <c r="J796" s="60" t="s">
        <v>4023</v>
      </c>
      <c r="K796" s="60">
        <v>38.265706000000002</v>
      </c>
      <c r="L796">
        <v>141.01296300000001</v>
      </c>
    </row>
    <row r="797" spans="1:12" hidden="1" x14ac:dyDescent="0.35">
      <c r="A797" s="60" t="s">
        <v>5146</v>
      </c>
      <c r="B797" s="60" t="s">
        <v>5147</v>
      </c>
      <c r="C797" s="60" t="s">
        <v>5148</v>
      </c>
      <c r="D797" s="60" t="s">
        <v>5149</v>
      </c>
      <c r="E797" t="str">
        <f>VLOOKUP(Table10[[#This Row],[Country]],Countries!$A$1:$D$205,2,TRUE)</f>
        <v>LBY</v>
      </c>
      <c r="F797" s="60">
        <v>1993</v>
      </c>
      <c r="G797" s="60" t="s">
        <v>4026</v>
      </c>
      <c r="H797" s="65">
        <v>1050</v>
      </c>
      <c r="I797" s="65" t="s">
        <v>4022</v>
      </c>
      <c r="J797" s="60" t="s">
        <v>4023</v>
      </c>
      <c r="K797" s="60">
        <v>1.4515119999999999</v>
      </c>
      <c r="L797">
        <v>103.917306</v>
      </c>
    </row>
    <row r="798" spans="1:12" hidden="1" x14ac:dyDescent="0.35">
      <c r="A798" s="60" t="s">
        <v>5150</v>
      </c>
      <c r="B798" s="60" t="s">
        <v>5151</v>
      </c>
      <c r="C798" s="60" t="s">
        <v>5152</v>
      </c>
      <c r="D798" s="60" t="s">
        <v>5149</v>
      </c>
      <c r="E798" t="str">
        <f>VLOOKUP(Table10[[#This Row],[Country]],Countries!$A$1:$D$205,2,TRUE)</f>
        <v>LBY</v>
      </c>
      <c r="F798" s="60">
        <v>2022</v>
      </c>
      <c r="G798" s="60" t="s">
        <v>4021</v>
      </c>
      <c r="H798" s="65">
        <v>500</v>
      </c>
      <c r="I798" s="65" t="s">
        <v>4022</v>
      </c>
      <c r="J798" s="60" t="s">
        <v>4023</v>
      </c>
      <c r="K798" s="60">
        <v>5.7788709999999996</v>
      </c>
      <c r="L798">
        <v>100.49907</v>
      </c>
    </row>
    <row r="799" spans="1:12" hidden="1" x14ac:dyDescent="0.35">
      <c r="A799" s="60" t="s">
        <v>5153</v>
      </c>
      <c r="B799" s="60" t="s">
        <v>5151</v>
      </c>
      <c r="C799" s="60" t="s">
        <v>5152</v>
      </c>
      <c r="D799" s="60" t="s">
        <v>5149</v>
      </c>
      <c r="E799" t="str">
        <f>VLOOKUP(Table10[[#This Row],[Country]],Countries!$A$1:$D$205,2,TRUE)</f>
        <v>LBY</v>
      </c>
      <c r="F799" s="60" t="s">
        <v>4036</v>
      </c>
      <c r="G799" s="60" t="s">
        <v>4037</v>
      </c>
      <c r="H799" s="65">
        <v>500</v>
      </c>
      <c r="I799" s="65" t="s">
        <v>4022</v>
      </c>
      <c r="J799" s="60" t="s">
        <v>4023</v>
      </c>
      <c r="K799" s="60">
        <v>5.7788709999999996</v>
      </c>
      <c r="L799">
        <v>100.49907</v>
      </c>
    </row>
    <row r="800" spans="1:12" hidden="1" x14ac:dyDescent="0.35">
      <c r="A800" s="60" t="s">
        <v>5154</v>
      </c>
      <c r="B800" s="60" t="s">
        <v>5155</v>
      </c>
      <c r="C800" s="60" t="s">
        <v>5156</v>
      </c>
      <c r="D800" s="60" t="s">
        <v>5149</v>
      </c>
      <c r="E800" t="str">
        <f>VLOOKUP(Table10[[#This Row],[Country]],Countries!$A$1:$D$205,2,TRUE)</f>
        <v>LBY</v>
      </c>
      <c r="F800" s="60">
        <v>1984</v>
      </c>
      <c r="G800" s="60" t="s">
        <v>4026</v>
      </c>
      <c r="H800" s="65" t="s">
        <v>4022</v>
      </c>
      <c r="I800" s="65">
        <v>900</v>
      </c>
      <c r="J800" s="60" t="s">
        <v>4030</v>
      </c>
      <c r="K800" s="60">
        <v>5.2538390000000001</v>
      </c>
      <c r="L800">
        <v>115.242717</v>
      </c>
    </row>
    <row r="801" spans="1:12" hidden="1" x14ac:dyDescent="0.35">
      <c r="A801" s="60" t="s">
        <v>5157</v>
      </c>
      <c r="B801" s="60" t="s">
        <v>5158</v>
      </c>
      <c r="C801" s="60" t="s">
        <v>5159</v>
      </c>
      <c r="D801" s="60" t="s">
        <v>5149</v>
      </c>
      <c r="E801" t="str">
        <f>VLOOKUP(Table10[[#This Row],[Country]],Countries!$A$1:$D$205,2,TRUE)</f>
        <v>LBY</v>
      </c>
      <c r="F801" s="60">
        <v>2017</v>
      </c>
      <c r="G801" s="60" t="s">
        <v>4026</v>
      </c>
      <c r="H801" s="65">
        <v>3500</v>
      </c>
      <c r="I801" s="65">
        <v>3500</v>
      </c>
      <c r="J801" s="60" t="s">
        <v>4049</v>
      </c>
      <c r="K801" s="60">
        <v>4.0075950000000002</v>
      </c>
      <c r="L801">
        <v>103.344458</v>
      </c>
    </row>
    <row r="802" spans="1:12" hidden="1" x14ac:dyDescent="0.35">
      <c r="A802" s="60" t="s">
        <v>5160</v>
      </c>
      <c r="B802" s="60" t="s">
        <v>5161</v>
      </c>
      <c r="C802" s="60" t="s">
        <v>5162</v>
      </c>
      <c r="D802" s="60" t="s">
        <v>5149</v>
      </c>
      <c r="E802" t="str">
        <f>VLOOKUP(Table10[[#This Row],[Country]],Countries!$A$1:$D$205,2,TRUE)</f>
        <v>LBY</v>
      </c>
      <c r="F802" s="60">
        <v>2007</v>
      </c>
      <c r="G802" s="60" t="s">
        <v>4026</v>
      </c>
      <c r="H802" s="65">
        <v>500</v>
      </c>
      <c r="I802" s="65">
        <v>500</v>
      </c>
      <c r="J802" s="60" t="s">
        <v>4027</v>
      </c>
      <c r="K802" s="60">
        <v>5.3803910000000004</v>
      </c>
      <c r="L802">
        <v>100.37759800000001</v>
      </c>
    </row>
    <row r="803" spans="1:12" hidden="1" x14ac:dyDescent="0.35">
      <c r="A803" s="60" t="s">
        <v>5163</v>
      </c>
      <c r="B803" s="60" t="s">
        <v>5161</v>
      </c>
      <c r="C803" s="60" t="s">
        <v>5162</v>
      </c>
      <c r="D803" s="60" t="s">
        <v>5149</v>
      </c>
      <c r="E803" t="str">
        <f>VLOOKUP(Table10[[#This Row],[Country]],Countries!$A$1:$D$205,2,TRUE)</f>
        <v>LBY</v>
      </c>
      <c r="F803" s="60" t="s">
        <v>4036</v>
      </c>
      <c r="G803" s="60" t="s">
        <v>4026</v>
      </c>
      <c r="H803" s="65">
        <v>1400</v>
      </c>
      <c r="I803" s="65" t="s">
        <v>4022</v>
      </c>
      <c r="J803" s="60" t="s">
        <v>4023</v>
      </c>
      <c r="K803" s="60">
        <v>5.3994530000000003</v>
      </c>
      <c r="L803">
        <v>100.382177</v>
      </c>
    </row>
    <row r="804" spans="1:12" hidden="1" x14ac:dyDescent="0.35">
      <c r="A804" s="60" t="s">
        <v>5164</v>
      </c>
      <c r="B804" s="60" t="s">
        <v>5165</v>
      </c>
      <c r="C804" s="60" t="s">
        <v>3496</v>
      </c>
      <c r="D804" s="60" t="s">
        <v>5149</v>
      </c>
      <c r="E804" t="str">
        <f>VLOOKUP(Table10[[#This Row],[Country]],Countries!$A$1:$D$205,2,TRUE)</f>
        <v>LBY</v>
      </c>
      <c r="F804" s="60">
        <v>2024</v>
      </c>
      <c r="G804" s="60" t="s">
        <v>4021</v>
      </c>
      <c r="H804" s="65">
        <v>5000</v>
      </c>
      <c r="I804" s="65">
        <v>5000</v>
      </c>
      <c r="J804" s="60" t="s">
        <v>4049</v>
      </c>
      <c r="K804" s="60">
        <v>1.542637</v>
      </c>
      <c r="L804">
        <v>110.366834</v>
      </c>
    </row>
    <row r="805" spans="1:12" hidden="1" x14ac:dyDescent="0.35">
      <c r="A805" s="60" t="s">
        <v>5166</v>
      </c>
      <c r="B805" s="60" t="s">
        <v>5165</v>
      </c>
      <c r="C805" s="60" t="s">
        <v>3496</v>
      </c>
      <c r="D805" s="60" t="s">
        <v>5149</v>
      </c>
      <c r="E805" t="str">
        <f>VLOOKUP(Table10[[#This Row],[Country]],Countries!$A$1:$D$205,2,TRUE)</f>
        <v>LBY</v>
      </c>
      <c r="F805" s="60">
        <v>2024</v>
      </c>
      <c r="G805" s="60" t="s">
        <v>4037</v>
      </c>
      <c r="H805" s="65">
        <v>5000</v>
      </c>
      <c r="I805" s="65">
        <v>5000</v>
      </c>
      <c r="J805" s="60" t="s">
        <v>4049</v>
      </c>
      <c r="K805" s="60">
        <v>1.542637</v>
      </c>
      <c r="L805">
        <v>110.366834</v>
      </c>
    </row>
    <row r="806" spans="1:12" hidden="1" x14ac:dyDescent="0.35">
      <c r="A806" s="60" t="s">
        <v>5167</v>
      </c>
      <c r="B806" s="60" t="s">
        <v>5168</v>
      </c>
      <c r="C806" s="60" t="s">
        <v>2913</v>
      </c>
      <c r="D806" s="60" t="s">
        <v>5149</v>
      </c>
      <c r="E806" t="str">
        <f>VLOOKUP(Table10[[#This Row],[Country]],Countries!$A$1:$D$205,2,TRUE)</f>
        <v>LBY</v>
      </c>
      <c r="F806" s="60">
        <v>2001</v>
      </c>
      <c r="G806" s="60" t="s">
        <v>4026</v>
      </c>
      <c r="H806" s="65">
        <v>1250</v>
      </c>
      <c r="I806" s="65" t="s">
        <v>4022</v>
      </c>
      <c r="J806" s="60" t="s">
        <v>4023</v>
      </c>
      <c r="K806" s="60">
        <v>2.8129080000000002</v>
      </c>
      <c r="L806">
        <v>101.4995916</v>
      </c>
    </row>
    <row r="807" spans="1:12" hidden="1" x14ac:dyDescent="0.35">
      <c r="A807" s="60" t="s">
        <v>5169</v>
      </c>
      <c r="B807" s="60" t="s">
        <v>5168</v>
      </c>
      <c r="C807" s="60" t="s">
        <v>2913</v>
      </c>
      <c r="D807" s="60" t="s">
        <v>5149</v>
      </c>
      <c r="E807" t="str">
        <f>VLOOKUP(Table10[[#This Row],[Country]],Countries!$A$1:$D$205,2,TRUE)</f>
        <v>LBY</v>
      </c>
      <c r="F807" s="60">
        <v>1930</v>
      </c>
      <c r="G807" s="60" t="s">
        <v>4026</v>
      </c>
      <c r="H807" s="65">
        <v>3200</v>
      </c>
      <c r="I807" s="65">
        <v>1540</v>
      </c>
      <c r="J807" s="60" t="s">
        <v>4034</v>
      </c>
      <c r="K807" s="60">
        <v>2.8072653000000001</v>
      </c>
      <c r="L807">
        <v>101.6055808</v>
      </c>
    </row>
    <row r="808" spans="1:12" hidden="1" x14ac:dyDescent="0.35">
      <c r="A808" s="60" t="s">
        <v>5170</v>
      </c>
      <c r="B808" s="60" t="s">
        <v>5171</v>
      </c>
      <c r="C808" s="60" t="s">
        <v>2913</v>
      </c>
      <c r="D808" s="60" t="s">
        <v>5149</v>
      </c>
      <c r="E808" t="str">
        <f>VLOOKUP(Table10[[#This Row],[Country]],Countries!$A$1:$D$205,2,TRUE)</f>
        <v>LBY</v>
      </c>
      <c r="F808" s="60">
        <v>1982</v>
      </c>
      <c r="G808" s="60" t="s">
        <v>4026</v>
      </c>
      <c r="H808" s="65">
        <v>750</v>
      </c>
      <c r="I808" s="65" t="s">
        <v>4022</v>
      </c>
      <c r="J808" s="60" t="s">
        <v>4023</v>
      </c>
      <c r="K808" s="60">
        <v>3.0696819999999998</v>
      </c>
      <c r="L808">
        <v>101.456474</v>
      </c>
    </row>
    <row r="809" spans="1:12" hidden="1" x14ac:dyDescent="0.35">
      <c r="A809" s="60" t="s">
        <v>5172</v>
      </c>
      <c r="B809" s="60" t="s">
        <v>5171</v>
      </c>
      <c r="C809" s="60" t="s">
        <v>2913</v>
      </c>
      <c r="D809" s="60" t="s">
        <v>5149</v>
      </c>
      <c r="E809" t="str">
        <f>VLOOKUP(Table10[[#This Row],[Country]],Countries!$A$1:$D$205,2,TRUE)</f>
        <v>LBY</v>
      </c>
      <c r="F809" s="60" t="s">
        <v>4036</v>
      </c>
      <c r="G809" s="60" t="s">
        <v>4037</v>
      </c>
      <c r="H809" s="65">
        <v>1600</v>
      </c>
      <c r="I809" s="65">
        <v>1600</v>
      </c>
      <c r="J809" s="60" t="s">
        <v>4049</v>
      </c>
      <c r="K809" s="60">
        <v>3.0696819999999998</v>
      </c>
      <c r="L809">
        <v>101.456474</v>
      </c>
    </row>
    <row r="810" spans="1:12" hidden="1" x14ac:dyDescent="0.35">
      <c r="A810" s="60" t="s">
        <v>5173</v>
      </c>
      <c r="B810" s="60" t="s">
        <v>5171</v>
      </c>
      <c r="C810" s="60" t="s">
        <v>2913</v>
      </c>
      <c r="D810" s="60" t="s">
        <v>5149</v>
      </c>
      <c r="E810" t="str">
        <f>VLOOKUP(Table10[[#This Row],[Country]],Countries!$A$1:$D$205,2,TRUE)</f>
        <v>LBY</v>
      </c>
      <c r="F810" s="60">
        <v>1998</v>
      </c>
      <c r="G810" s="60" t="s">
        <v>4026</v>
      </c>
      <c r="H810" s="65">
        <v>800</v>
      </c>
      <c r="I810" s="65" t="s">
        <v>4022</v>
      </c>
      <c r="J810" s="60" t="s">
        <v>4023</v>
      </c>
      <c r="K810" s="60">
        <v>3.0778349999999999</v>
      </c>
      <c r="L810">
        <v>101.46447999999999</v>
      </c>
    </row>
    <row r="811" spans="1:12" hidden="1" x14ac:dyDescent="0.35">
      <c r="A811" s="60" t="s">
        <v>5174</v>
      </c>
      <c r="B811" s="60" t="s">
        <v>5175</v>
      </c>
      <c r="C811" s="60" t="s">
        <v>2913</v>
      </c>
      <c r="D811" s="60" t="s">
        <v>5149</v>
      </c>
      <c r="E811" t="str">
        <f>VLOOKUP(Table10[[#This Row],[Country]],Countries!$A$1:$D$205,2,TRUE)</f>
        <v>LBY</v>
      </c>
      <c r="F811" s="60" t="s">
        <v>4036</v>
      </c>
      <c r="G811" s="60" t="s">
        <v>4026</v>
      </c>
      <c r="H811" s="65">
        <v>680</v>
      </c>
      <c r="I811" s="65" t="s">
        <v>4022</v>
      </c>
      <c r="J811" s="60" t="s">
        <v>4023</v>
      </c>
      <c r="K811" s="60">
        <v>3.0852819999999999</v>
      </c>
      <c r="L811">
        <v>101.630503</v>
      </c>
    </row>
    <row r="812" spans="1:12" hidden="1" x14ac:dyDescent="0.35">
      <c r="A812" s="60" t="s">
        <v>5176</v>
      </c>
      <c r="B812" s="60" t="s">
        <v>5177</v>
      </c>
      <c r="C812" s="60" t="s">
        <v>2913</v>
      </c>
      <c r="D812" s="60" t="s">
        <v>5149</v>
      </c>
      <c r="E812" t="str">
        <f>VLOOKUP(Table10[[#This Row],[Country]],Countries!$A$1:$D$205,2,TRUE)</f>
        <v>LBY</v>
      </c>
      <c r="F812" s="60">
        <v>1961</v>
      </c>
      <c r="G812" s="60" t="s">
        <v>4026</v>
      </c>
      <c r="H812" s="65">
        <v>820</v>
      </c>
      <c r="I812" s="65" t="s">
        <v>4022</v>
      </c>
      <c r="J812" s="60" t="s">
        <v>4023</v>
      </c>
      <c r="K812" s="60">
        <v>3.0425849999999999</v>
      </c>
      <c r="L812">
        <v>101.53701100000001</v>
      </c>
    </row>
    <row r="813" spans="1:12" hidden="1" x14ac:dyDescent="0.35">
      <c r="A813" s="60" t="s">
        <v>5178</v>
      </c>
      <c r="B813" s="60" t="s">
        <v>3500</v>
      </c>
      <c r="C813" s="60" t="s">
        <v>3499</v>
      </c>
      <c r="D813" s="60" t="s">
        <v>5149</v>
      </c>
      <c r="E813" t="str">
        <f>VLOOKUP(Table10[[#This Row],[Country]],Countries!$A$1:$D$205,2,TRUE)</f>
        <v>LBY</v>
      </c>
      <c r="F813" s="60">
        <v>2015</v>
      </c>
      <c r="G813" s="60" t="s">
        <v>4026</v>
      </c>
      <c r="H813" s="65">
        <v>700</v>
      </c>
      <c r="I813" s="65">
        <v>700</v>
      </c>
      <c r="J813" s="60" t="s">
        <v>4161</v>
      </c>
      <c r="K813" s="60">
        <v>4.2850619999999999</v>
      </c>
      <c r="L813">
        <v>103.432551</v>
      </c>
    </row>
    <row r="814" spans="1:12" hidden="1" x14ac:dyDescent="0.35">
      <c r="A814" s="60" t="s">
        <v>5179</v>
      </c>
      <c r="B814" s="60" t="s">
        <v>3500</v>
      </c>
      <c r="C814" s="60" t="s">
        <v>3499</v>
      </c>
      <c r="D814" s="60" t="s">
        <v>5149</v>
      </c>
      <c r="E814" t="str">
        <f>VLOOKUP(Table10[[#This Row],[Country]],Countries!$A$1:$D$205,2,TRUE)</f>
        <v>LBY</v>
      </c>
      <c r="F814" s="60">
        <v>2023</v>
      </c>
      <c r="G814" s="60" t="s">
        <v>4021</v>
      </c>
      <c r="H814" s="65">
        <v>2300</v>
      </c>
      <c r="I814" s="65">
        <v>1300</v>
      </c>
      <c r="J814" s="60" t="s">
        <v>4111</v>
      </c>
      <c r="K814" s="60">
        <v>4.2850619999999999</v>
      </c>
      <c r="L814">
        <v>103.432551</v>
      </c>
    </row>
    <row r="815" spans="1:12" hidden="1" x14ac:dyDescent="0.35">
      <c r="A815" s="60" t="s">
        <v>5180</v>
      </c>
      <c r="B815" s="60" t="s">
        <v>3500</v>
      </c>
      <c r="C815" s="60" t="s">
        <v>3499</v>
      </c>
      <c r="D815" s="60" t="s">
        <v>5149</v>
      </c>
      <c r="E815" t="str">
        <f>VLOOKUP(Table10[[#This Row],[Country]],Countries!$A$1:$D$205,2,TRUE)</f>
        <v>LBY</v>
      </c>
      <c r="F815" s="60">
        <v>2023</v>
      </c>
      <c r="G815" s="60" t="s">
        <v>4021</v>
      </c>
      <c r="H815" s="65">
        <v>2000</v>
      </c>
      <c r="I815" s="65" t="s">
        <v>4110</v>
      </c>
      <c r="J815" s="60" t="s">
        <v>4111</v>
      </c>
      <c r="K815" s="60">
        <v>4.2850619999999999</v>
      </c>
      <c r="L815">
        <v>103.432551</v>
      </c>
    </row>
    <row r="816" spans="1:12" hidden="1" x14ac:dyDescent="0.35">
      <c r="A816" s="60" t="s">
        <v>5181</v>
      </c>
      <c r="B816" s="60" t="s">
        <v>3500</v>
      </c>
      <c r="C816" s="60" t="s">
        <v>3499</v>
      </c>
      <c r="D816" s="60" t="s">
        <v>5149</v>
      </c>
      <c r="E816" t="str">
        <f>VLOOKUP(Table10[[#This Row],[Country]],Countries!$A$1:$D$205,2,TRUE)</f>
        <v>LBY</v>
      </c>
      <c r="F816" s="60">
        <v>1982</v>
      </c>
      <c r="G816" s="60" t="s">
        <v>4026</v>
      </c>
      <c r="H816" s="65">
        <v>1500</v>
      </c>
      <c r="I816" s="65">
        <v>1200</v>
      </c>
      <c r="J816" s="60" t="s">
        <v>4034</v>
      </c>
      <c r="K816" s="60">
        <v>4.2643639999999996</v>
      </c>
      <c r="L816">
        <v>103.46172799999999</v>
      </c>
    </row>
    <row r="817" spans="1:12" hidden="1" x14ac:dyDescent="0.35">
      <c r="A817" s="60" t="s">
        <v>5182</v>
      </c>
      <c r="B817" s="60" t="s">
        <v>4036</v>
      </c>
      <c r="C817" s="60" t="s">
        <v>4036</v>
      </c>
      <c r="D817" s="60" t="s">
        <v>5183</v>
      </c>
      <c r="E817" t="str">
        <f>VLOOKUP(Table10[[#This Row],[Country]],Countries!$A$1:$D$205,2,TRUE)</f>
        <v>MAR</v>
      </c>
      <c r="F817" s="60" t="s">
        <v>4036</v>
      </c>
      <c r="G817" s="60" t="s">
        <v>4037</v>
      </c>
      <c r="H817" s="65">
        <v>4000</v>
      </c>
      <c r="I817" s="65">
        <v>4000</v>
      </c>
      <c r="J817" s="60" t="s">
        <v>4049</v>
      </c>
      <c r="K817" s="60">
        <v>21.423783</v>
      </c>
      <c r="L817">
        <v>96.454378000000005</v>
      </c>
    </row>
    <row r="818" spans="1:12" hidden="1" x14ac:dyDescent="0.35">
      <c r="A818" s="60" t="s">
        <v>5184</v>
      </c>
      <c r="B818" s="60" t="s">
        <v>5185</v>
      </c>
      <c r="C818" s="60" t="s">
        <v>5186</v>
      </c>
      <c r="D818" s="61" t="s">
        <v>410</v>
      </c>
      <c r="E818" t="str">
        <f>VLOOKUP(Table10[[#This Row],[Country]],Countries!$A$1:$D$205,2,TRUE)</f>
        <v>NZL</v>
      </c>
      <c r="F818" s="60">
        <v>1969</v>
      </c>
      <c r="G818" s="60" t="s">
        <v>4026</v>
      </c>
      <c r="H818" s="65">
        <v>650</v>
      </c>
      <c r="I818" s="65">
        <v>650</v>
      </c>
      <c r="J818" s="60" t="s">
        <v>5187</v>
      </c>
      <c r="K818" s="60">
        <v>-37.206878000000003</v>
      </c>
      <c r="L818">
        <v>174.72809799999999</v>
      </c>
    </row>
    <row r="819" spans="1:12" hidden="1" x14ac:dyDescent="0.35">
      <c r="A819" s="60" t="s">
        <v>5188</v>
      </c>
      <c r="B819" s="60" t="s">
        <v>5189</v>
      </c>
      <c r="C819" s="60" t="s">
        <v>5190</v>
      </c>
      <c r="D819" s="60" t="s">
        <v>5191</v>
      </c>
      <c r="E819" t="str">
        <f>VLOOKUP(Table10[[#This Row],[Country]],Countries!$A$1:$D$205,2,TRUE)</f>
        <v>NGA</v>
      </c>
      <c r="F819" s="60">
        <v>1942</v>
      </c>
      <c r="G819" s="60" t="s">
        <v>4026</v>
      </c>
      <c r="H819" s="65">
        <v>2000</v>
      </c>
      <c r="I819" s="65" t="s">
        <v>4110</v>
      </c>
      <c r="J819" s="60" t="s">
        <v>4906</v>
      </c>
      <c r="K819" s="60">
        <v>41.777935999999997</v>
      </c>
      <c r="L819">
        <v>129.79239899999999</v>
      </c>
    </row>
    <row r="820" spans="1:12" hidden="1" x14ac:dyDescent="0.35">
      <c r="A820" s="60" t="s">
        <v>5192</v>
      </c>
      <c r="B820" s="60" t="s">
        <v>5189</v>
      </c>
      <c r="C820" s="60" t="s">
        <v>5190</v>
      </c>
      <c r="D820" s="60" t="s">
        <v>5191</v>
      </c>
      <c r="E820" t="str">
        <f>VLOOKUP(Table10[[#This Row],[Country]],Countries!$A$1:$D$205,2,TRUE)</f>
        <v>NGA</v>
      </c>
      <c r="F820" s="60">
        <v>1938</v>
      </c>
      <c r="G820" s="60" t="s">
        <v>4026</v>
      </c>
      <c r="H820" s="65">
        <v>6000</v>
      </c>
      <c r="I820" s="65" t="s">
        <v>4110</v>
      </c>
      <c r="J820" s="60" t="s">
        <v>5193</v>
      </c>
      <c r="K820" s="60">
        <v>41.753784000000003</v>
      </c>
      <c r="L820">
        <v>129.752681</v>
      </c>
    </row>
    <row r="821" spans="1:12" hidden="1" x14ac:dyDescent="0.35">
      <c r="A821" s="60" t="s">
        <v>5194</v>
      </c>
      <c r="B821" s="60" t="s">
        <v>5195</v>
      </c>
      <c r="C821" s="60" t="s">
        <v>5196</v>
      </c>
      <c r="D821" s="60" t="s">
        <v>5191</v>
      </c>
      <c r="E821" t="str">
        <f>VLOOKUP(Table10[[#This Row],[Country]],Countries!$A$1:$D$205,2,TRUE)</f>
        <v>NGA</v>
      </c>
      <c r="F821" s="60">
        <v>1914</v>
      </c>
      <c r="G821" s="60" t="s">
        <v>4026</v>
      </c>
      <c r="H821" s="65">
        <v>960</v>
      </c>
      <c r="I821" s="65" t="s">
        <v>4110</v>
      </c>
      <c r="J821" s="60" t="s">
        <v>5197</v>
      </c>
      <c r="K821" s="60">
        <v>38.742224</v>
      </c>
      <c r="L821">
        <v>125.61681400000001</v>
      </c>
    </row>
    <row r="822" spans="1:12" hidden="1" x14ac:dyDescent="0.35">
      <c r="A822" s="60" t="s">
        <v>5198</v>
      </c>
      <c r="B822" s="60" t="s">
        <v>5199</v>
      </c>
      <c r="C822" s="60" t="s">
        <v>5200</v>
      </c>
      <c r="D822" s="60" t="s">
        <v>5191</v>
      </c>
      <c r="E822" t="str">
        <f>VLOOKUP(Table10[[#This Row],[Country]],Countries!$A$1:$D$205,2,TRUE)</f>
        <v>NGA</v>
      </c>
      <c r="F822" s="60" t="s">
        <v>4036</v>
      </c>
      <c r="G822" s="60" t="s">
        <v>4026</v>
      </c>
      <c r="H822" s="65">
        <v>1000</v>
      </c>
      <c r="I822" s="65" t="s">
        <v>4036</v>
      </c>
      <c r="J822" s="60" t="s">
        <v>4360</v>
      </c>
      <c r="K822" s="60">
        <v>38.729863999999999</v>
      </c>
      <c r="L822">
        <v>125.414672</v>
      </c>
    </row>
    <row r="823" spans="1:12" hidden="1" x14ac:dyDescent="0.35">
      <c r="A823" s="60" t="s">
        <v>5201</v>
      </c>
      <c r="B823" s="60" t="s">
        <v>5199</v>
      </c>
      <c r="C823" s="60" t="s">
        <v>5200</v>
      </c>
      <c r="D823" s="60" t="s">
        <v>5191</v>
      </c>
      <c r="E823" t="str">
        <f>VLOOKUP(Table10[[#This Row],[Country]],Countries!$A$1:$D$205,2,TRUE)</f>
        <v>NGA</v>
      </c>
      <c r="F823" s="60">
        <v>1956</v>
      </c>
      <c r="G823" s="60" t="s">
        <v>4026</v>
      </c>
      <c r="H823" s="65">
        <v>760</v>
      </c>
      <c r="I823" s="65" t="s">
        <v>4036</v>
      </c>
      <c r="J823" s="60" t="s">
        <v>4036</v>
      </c>
      <c r="K823" s="60">
        <v>38.729863999999999</v>
      </c>
      <c r="L823">
        <v>125.414672</v>
      </c>
    </row>
    <row r="824" spans="1:12" hidden="1" x14ac:dyDescent="0.35">
      <c r="A824" s="60" t="s">
        <v>5202</v>
      </c>
      <c r="B824" s="60" t="s">
        <v>5203</v>
      </c>
      <c r="C824" s="60" t="s">
        <v>5204</v>
      </c>
      <c r="D824" s="60" t="s">
        <v>5205</v>
      </c>
      <c r="E824" t="str">
        <f>VLOOKUP(Table10[[#This Row],[Country]],Countries!$A$1:$D$205,2,TRUE)</f>
        <v>OMN</v>
      </c>
      <c r="F824" s="60">
        <v>2023</v>
      </c>
      <c r="G824" s="60" t="s">
        <v>4021</v>
      </c>
      <c r="H824" s="65">
        <v>500</v>
      </c>
      <c r="I824" s="65" t="s">
        <v>4110</v>
      </c>
      <c r="J824" s="60" t="s">
        <v>4036</v>
      </c>
      <c r="K824" s="60">
        <v>34.124212999999997</v>
      </c>
      <c r="L824">
        <v>72.019181000000003</v>
      </c>
    </row>
    <row r="825" spans="1:12" hidden="1" x14ac:dyDescent="0.35">
      <c r="A825" s="60" t="s">
        <v>5206</v>
      </c>
      <c r="B825" s="60" t="s">
        <v>5207</v>
      </c>
      <c r="C825" s="60" t="s">
        <v>3539</v>
      </c>
      <c r="D825" s="60" t="s">
        <v>5205</v>
      </c>
      <c r="E825" t="str">
        <f>VLOOKUP(Table10[[#This Row],[Country]],Countries!$A$1:$D$205,2,TRUE)</f>
        <v>OMN</v>
      </c>
      <c r="F825" s="60">
        <v>1978</v>
      </c>
      <c r="G825" s="60" t="s">
        <v>4026</v>
      </c>
      <c r="H825" s="65">
        <v>400</v>
      </c>
      <c r="I825" s="65" t="s">
        <v>4022</v>
      </c>
      <c r="J825" s="60" t="s">
        <v>4023</v>
      </c>
      <c r="K825" s="60">
        <v>31.643426000000002</v>
      </c>
      <c r="L825">
        <v>73.198542000000003</v>
      </c>
    </row>
    <row r="826" spans="1:12" hidden="1" x14ac:dyDescent="0.35">
      <c r="A826" s="60" t="s">
        <v>5208</v>
      </c>
      <c r="B826" s="60" t="s">
        <v>5207</v>
      </c>
      <c r="C826" s="60" t="s">
        <v>3539</v>
      </c>
      <c r="D826" s="60" t="s">
        <v>5205</v>
      </c>
      <c r="E826" t="str">
        <f>VLOOKUP(Table10[[#This Row],[Country]],Countries!$A$1:$D$205,2,TRUE)</f>
        <v>OMN</v>
      </c>
      <c r="F826" s="60" t="s">
        <v>4036</v>
      </c>
      <c r="G826" s="60" t="s">
        <v>4021</v>
      </c>
      <c r="H826" s="65">
        <v>600</v>
      </c>
      <c r="I826" s="65" t="s">
        <v>4022</v>
      </c>
      <c r="J826" s="60" t="s">
        <v>4023</v>
      </c>
      <c r="K826" s="60">
        <v>31.643426000000002</v>
      </c>
      <c r="L826">
        <v>73.198542000000003</v>
      </c>
    </row>
    <row r="827" spans="1:12" hidden="1" x14ac:dyDescent="0.35">
      <c r="A827" s="60" t="s">
        <v>5209</v>
      </c>
      <c r="B827" s="60" t="s">
        <v>3543</v>
      </c>
      <c r="C827" s="60" t="s">
        <v>3542</v>
      </c>
      <c r="D827" s="60" t="s">
        <v>5205</v>
      </c>
      <c r="E827" t="str">
        <f>VLOOKUP(Table10[[#This Row],[Country]],Countries!$A$1:$D$205,2,TRUE)</f>
        <v>OMN</v>
      </c>
      <c r="F827" s="60">
        <v>2012</v>
      </c>
      <c r="G827" s="60" t="s">
        <v>4026</v>
      </c>
      <c r="H827" s="65">
        <v>700</v>
      </c>
      <c r="I827" s="65" t="s">
        <v>4022</v>
      </c>
      <c r="J827" s="60" t="s">
        <v>4023</v>
      </c>
      <c r="K827" s="60">
        <v>24.841850999999998</v>
      </c>
      <c r="L827">
        <v>67.310158999999999</v>
      </c>
    </row>
    <row r="828" spans="1:12" hidden="1" x14ac:dyDescent="0.35">
      <c r="A828" s="60" t="s">
        <v>5210</v>
      </c>
      <c r="B828" s="60" t="s">
        <v>3543</v>
      </c>
      <c r="C828" s="60" t="s">
        <v>3542</v>
      </c>
      <c r="D828" s="60" t="s">
        <v>5205</v>
      </c>
      <c r="E828" t="str">
        <f>VLOOKUP(Table10[[#This Row],[Country]],Countries!$A$1:$D$205,2,TRUE)</f>
        <v>OMN</v>
      </c>
      <c r="F828" s="60">
        <v>1977</v>
      </c>
      <c r="G828" s="60" t="s">
        <v>4107</v>
      </c>
      <c r="H828" s="65">
        <v>1280</v>
      </c>
      <c r="I828" s="65">
        <v>1280</v>
      </c>
      <c r="J828" s="60" t="s">
        <v>4034</v>
      </c>
      <c r="K828" s="60">
        <v>24.789621</v>
      </c>
      <c r="L828">
        <v>67.353238000000005</v>
      </c>
    </row>
    <row r="829" spans="1:12" hidden="1" x14ac:dyDescent="0.35">
      <c r="A829" s="60" t="s">
        <v>5211</v>
      </c>
      <c r="B829" s="60" t="s">
        <v>3543</v>
      </c>
      <c r="C829" s="60" t="s">
        <v>3542</v>
      </c>
      <c r="D829" s="60" t="s">
        <v>5205</v>
      </c>
      <c r="E829" t="str">
        <f>VLOOKUP(Table10[[#This Row],[Country]],Countries!$A$1:$D$205,2,TRUE)</f>
        <v>OMN</v>
      </c>
      <c r="F829" s="60">
        <v>1981</v>
      </c>
      <c r="G829" s="60" t="s">
        <v>4026</v>
      </c>
      <c r="H829" s="65">
        <v>3000</v>
      </c>
      <c r="I829" s="65">
        <v>1200</v>
      </c>
      <c r="J829" s="60" t="s">
        <v>4049</v>
      </c>
      <c r="K829" s="60">
        <v>24.809977</v>
      </c>
      <c r="L829">
        <v>67.352440000000001</v>
      </c>
    </row>
    <row r="830" spans="1:12" hidden="1" x14ac:dyDescent="0.35">
      <c r="A830" s="60" t="s">
        <v>5212</v>
      </c>
      <c r="B830" s="60" t="s">
        <v>5213</v>
      </c>
      <c r="C830" s="60" t="s">
        <v>3554</v>
      </c>
      <c r="D830" s="60" t="s">
        <v>5214</v>
      </c>
      <c r="E830" t="str">
        <f>VLOOKUP(Table10[[#This Row],[Country]],Countries!$A$1:$D$205,2,TRUE)</f>
        <v>OMN</v>
      </c>
      <c r="F830" s="60">
        <v>2024</v>
      </c>
      <c r="G830" s="60" t="s">
        <v>4021</v>
      </c>
      <c r="H830" s="65">
        <v>600</v>
      </c>
      <c r="I830" s="65" t="s">
        <v>4022</v>
      </c>
      <c r="J830" s="60" t="s">
        <v>4023</v>
      </c>
      <c r="K830" s="60">
        <v>13.972773</v>
      </c>
      <c r="L830">
        <v>120.88878800000001</v>
      </c>
    </row>
    <row r="831" spans="1:12" hidden="1" x14ac:dyDescent="0.35">
      <c r="A831" s="60" t="s">
        <v>5215</v>
      </c>
      <c r="B831" s="60" t="s">
        <v>5216</v>
      </c>
      <c r="C831" s="60" t="s">
        <v>5217</v>
      </c>
      <c r="D831" s="60" t="s">
        <v>5214</v>
      </c>
      <c r="E831" t="str">
        <f>VLOOKUP(Table10[[#This Row],[Country]],Countries!$A$1:$D$205,2,TRUE)</f>
        <v>OMN</v>
      </c>
      <c r="F831" s="60">
        <v>2023</v>
      </c>
      <c r="G831" s="60" t="s">
        <v>4021</v>
      </c>
      <c r="H831" s="65">
        <v>800</v>
      </c>
      <c r="I831" s="65" t="s">
        <v>4022</v>
      </c>
      <c r="J831" s="60" t="s">
        <v>4023</v>
      </c>
      <c r="K831" s="60">
        <v>10.45078</v>
      </c>
      <c r="L831">
        <v>124.006424</v>
      </c>
    </row>
    <row r="832" spans="1:12" hidden="1" x14ac:dyDescent="0.35">
      <c r="A832" s="60" t="s">
        <v>5218</v>
      </c>
      <c r="B832" s="60" t="s">
        <v>5219</v>
      </c>
      <c r="C832" s="60" t="s">
        <v>5220</v>
      </c>
      <c r="D832" s="60" t="s">
        <v>5214</v>
      </c>
      <c r="E832" t="str">
        <f>VLOOKUP(Table10[[#This Row],[Country]],Countries!$A$1:$D$205,2,TRUE)</f>
        <v>OMN</v>
      </c>
      <c r="F832" s="60">
        <v>2024</v>
      </c>
      <c r="G832" s="60" t="s">
        <v>4021</v>
      </c>
      <c r="H832" s="65">
        <v>1200</v>
      </c>
      <c r="I832" s="65" t="s">
        <v>4022</v>
      </c>
      <c r="J832" s="60" t="s">
        <v>4023</v>
      </c>
      <c r="K832" s="60">
        <v>15.325307</v>
      </c>
      <c r="L832">
        <v>120.655361</v>
      </c>
    </row>
    <row r="833" spans="1:12" hidden="1" x14ac:dyDescent="0.35">
      <c r="A833" s="60" t="s">
        <v>5221</v>
      </c>
      <c r="B833" s="60" t="s">
        <v>5222</v>
      </c>
      <c r="C833" s="60" t="s">
        <v>5223</v>
      </c>
      <c r="D833" s="60" t="s">
        <v>5214</v>
      </c>
      <c r="E833" t="str">
        <f>VLOOKUP(Table10[[#This Row],[Country]],Countries!$A$1:$D$205,2,TRUE)</f>
        <v>OMN</v>
      </c>
      <c r="F833" s="60">
        <v>2024</v>
      </c>
      <c r="G833" s="60" t="s">
        <v>4021</v>
      </c>
      <c r="H833" s="65">
        <v>10000</v>
      </c>
      <c r="I833" s="65" t="s">
        <v>4036</v>
      </c>
      <c r="J833" s="60" t="s">
        <v>4036</v>
      </c>
      <c r="K833" s="60">
        <v>8.5266660000000005</v>
      </c>
      <c r="L833">
        <v>124.75571100000001</v>
      </c>
    </row>
    <row r="834" spans="1:12" hidden="1" x14ac:dyDescent="0.35">
      <c r="A834" s="60" t="s">
        <v>5224</v>
      </c>
      <c r="B834" s="60" t="s">
        <v>5225</v>
      </c>
      <c r="C834" s="60" t="s">
        <v>5223</v>
      </c>
      <c r="D834" s="60" t="s">
        <v>5214</v>
      </c>
      <c r="E834" t="str">
        <f>VLOOKUP(Table10[[#This Row],[Country]],Countries!$A$1:$D$205,2,TRUE)</f>
        <v>OMN</v>
      </c>
      <c r="F834" s="60">
        <v>2026</v>
      </c>
      <c r="G834" s="60" t="s">
        <v>4021</v>
      </c>
      <c r="H834" s="65">
        <v>1500</v>
      </c>
      <c r="I834" s="65">
        <v>1500</v>
      </c>
      <c r="J834" s="60" t="s">
        <v>4036</v>
      </c>
      <c r="K834" s="60">
        <v>7.7169939999999997</v>
      </c>
      <c r="L834">
        <v>122.998671</v>
      </c>
    </row>
    <row r="835" spans="1:12" hidden="1" x14ac:dyDescent="0.35">
      <c r="A835" s="60" t="s">
        <v>5226</v>
      </c>
      <c r="B835" s="60" t="s">
        <v>5227</v>
      </c>
      <c r="C835" s="60" t="s">
        <v>5222</v>
      </c>
      <c r="D835" s="60" t="s">
        <v>5214</v>
      </c>
      <c r="E835" t="str">
        <f>VLOOKUP(Table10[[#This Row],[Country]],Countries!$A$1:$D$205,2,TRUE)</f>
        <v>OMN</v>
      </c>
      <c r="F835" s="60">
        <v>2023</v>
      </c>
      <c r="G835" s="60" t="s">
        <v>4037</v>
      </c>
      <c r="H835" s="65">
        <v>4500</v>
      </c>
      <c r="I835" s="65" t="s">
        <v>4036</v>
      </c>
      <c r="J835" s="60" t="s">
        <v>4023</v>
      </c>
      <c r="K835" s="60">
        <v>8.5752609999999994</v>
      </c>
      <c r="L835">
        <v>124.650339</v>
      </c>
    </row>
    <row r="836" spans="1:12" hidden="1" x14ac:dyDescent="0.35">
      <c r="A836" s="60" t="s">
        <v>5228</v>
      </c>
      <c r="B836" s="60" t="s">
        <v>5227</v>
      </c>
      <c r="C836" s="60" t="s">
        <v>5222</v>
      </c>
      <c r="D836" s="60" t="s">
        <v>5214</v>
      </c>
      <c r="E836" t="str">
        <f>VLOOKUP(Table10[[#This Row],[Country]],Countries!$A$1:$D$205,2,TRUE)</f>
        <v>OMN</v>
      </c>
      <c r="F836" s="60">
        <v>2026</v>
      </c>
      <c r="G836" s="60" t="s">
        <v>4037</v>
      </c>
      <c r="H836" s="65">
        <v>3500</v>
      </c>
      <c r="I836" s="65" t="s">
        <v>4036</v>
      </c>
      <c r="J836" s="60" t="s">
        <v>4023</v>
      </c>
      <c r="K836" s="60">
        <v>8.5752609999999994</v>
      </c>
      <c r="L836">
        <v>124.650339</v>
      </c>
    </row>
    <row r="837" spans="1:12" hidden="1" x14ac:dyDescent="0.35">
      <c r="A837" s="60" t="s">
        <v>5229</v>
      </c>
      <c r="B837" s="60" t="s">
        <v>5230</v>
      </c>
      <c r="C837" s="60" t="s">
        <v>5231</v>
      </c>
      <c r="D837" s="60" t="s">
        <v>5214</v>
      </c>
      <c r="E837" t="str">
        <f>VLOOKUP(Table10[[#This Row],[Country]],Countries!$A$1:$D$205,2,TRUE)</f>
        <v>OMN</v>
      </c>
      <c r="F837" s="60">
        <v>2024</v>
      </c>
      <c r="G837" s="60" t="s">
        <v>4021</v>
      </c>
      <c r="H837" s="65">
        <v>2000</v>
      </c>
      <c r="I837" s="65">
        <v>1790</v>
      </c>
      <c r="J837" s="60" t="s">
        <v>4036</v>
      </c>
      <c r="K837" s="60">
        <v>5.8624790000000004</v>
      </c>
      <c r="L837">
        <v>125.075827</v>
      </c>
    </row>
    <row r="838" spans="1:12" hidden="1" x14ac:dyDescent="0.35">
      <c r="A838" s="60" t="s">
        <v>5232</v>
      </c>
      <c r="B838" s="60" t="s">
        <v>5233</v>
      </c>
      <c r="C838" s="60" t="s">
        <v>5234</v>
      </c>
      <c r="D838" s="60" t="s">
        <v>5214</v>
      </c>
      <c r="E838" t="str">
        <f>VLOOKUP(Table10[[#This Row],[Country]],Countries!$A$1:$D$205,2,TRUE)</f>
        <v>OMN</v>
      </c>
      <c r="F838" s="60">
        <v>1999</v>
      </c>
      <c r="G838" s="60" t="s">
        <v>4026</v>
      </c>
      <c r="H838" s="65">
        <v>500</v>
      </c>
      <c r="I838" s="65" t="s">
        <v>4022</v>
      </c>
      <c r="J838" s="60" t="s">
        <v>4023</v>
      </c>
      <c r="K838" s="60">
        <v>13.922345999999999</v>
      </c>
      <c r="L838">
        <v>120.823796</v>
      </c>
    </row>
    <row r="839" spans="1:12" hidden="1" x14ac:dyDescent="0.35">
      <c r="A839" s="60" t="s">
        <v>5235</v>
      </c>
      <c r="B839" s="60" t="s">
        <v>4036</v>
      </c>
      <c r="C839" s="60" t="s">
        <v>4036</v>
      </c>
      <c r="D839" s="60" t="s">
        <v>5214</v>
      </c>
      <c r="E839" t="str">
        <f>VLOOKUP(Table10[[#This Row],[Country]],Countries!$A$1:$D$205,2,TRUE)</f>
        <v>OMN</v>
      </c>
      <c r="F839" s="60" t="s">
        <v>4036</v>
      </c>
      <c r="G839" s="60" t="s">
        <v>4037</v>
      </c>
      <c r="H839" s="65">
        <v>3000</v>
      </c>
      <c r="I839" s="65" t="s">
        <v>4036</v>
      </c>
      <c r="J839" s="60" t="s">
        <v>4023</v>
      </c>
      <c r="K839" s="60">
        <v>12.585908999999999</v>
      </c>
      <c r="L839">
        <v>123.20742300000001</v>
      </c>
    </row>
    <row r="840" spans="1:12" hidden="1" x14ac:dyDescent="0.35">
      <c r="A840" s="60" t="s">
        <v>5236</v>
      </c>
      <c r="B840" s="60" t="s">
        <v>429</v>
      </c>
      <c r="C840" s="60" t="s">
        <v>429</v>
      </c>
      <c r="D840" s="60" t="s">
        <v>429</v>
      </c>
      <c r="E840" t="str">
        <f>VLOOKUP(Table10[[#This Row],[Country]],Countries!$A$1:$D$205,2,TRUE)</f>
        <v>SGP</v>
      </c>
      <c r="F840" s="60">
        <v>1961</v>
      </c>
      <c r="G840" s="60" t="s">
        <v>4026</v>
      </c>
      <c r="H840" s="65">
        <v>800</v>
      </c>
      <c r="I840" s="65" t="s">
        <v>4022</v>
      </c>
      <c r="J840" s="60" t="s">
        <v>4023</v>
      </c>
      <c r="K840" s="60">
        <v>1.3067411744299999</v>
      </c>
      <c r="L840">
        <v>103.700300278</v>
      </c>
    </row>
    <row r="841" spans="1:12" hidden="1" x14ac:dyDescent="0.35">
      <c r="A841" s="60" t="s">
        <v>5237</v>
      </c>
      <c r="B841" s="60" t="s">
        <v>5238</v>
      </c>
      <c r="C841" s="60" t="s">
        <v>5239</v>
      </c>
      <c r="D841" s="60" t="s">
        <v>433</v>
      </c>
      <c r="E841" t="str">
        <f>VLOOKUP(Table10[[#This Row],[Country]],Countries!$A$1:$D$205,2,TRUE)</f>
        <v>KOR</v>
      </c>
      <c r="F841" s="60">
        <v>1978</v>
      </c>
      <c r="G841" s="60" t="s">
        <v>4026</v>
      </c>
      <c r="H841" s="65">
        <v>1200</v>
      </c>
      <c r="I841" s="65" t="s">
        <v>4022</v>
      </c>
      <c r="J841" s="60" t="s">
        <v>4023</v>
      </c>
      <c r="K841" s="60">
        <v>35.991176000000003</v>
      </c>
      <c r="L841">
        <v>129.37579099999999</v>
      </c>
    </row>
    <row r="842" spans="1:12" hidden="1" x14ac:dyDescent="0.35">
      <c r="A842" s="60" t="s">
        <v>5240</v>
      </c>
      <c r="B842" s="60" t="s">
        <v>5238</v>
      </c>
      <c r="C842" s="60" t="s">
        <v>5239</v>
      </c>
      <c r="D842" s="60" t="s">
        <v>433</v>
      </c>
      <c r="E842" t="str">
        <f>VLOOKUP(Table10[[#This Row],[Country]],Countries!$A$1:$D$205,2,TRUE)</f>
        <v>KOR</v>
      </c>
      <c r="F842" s="60">
        <v>1991</v>
      </c>
      <c r="G842" s="60" t="s">
        <v>4026</v>
      </c>
      <c r="H842" s="65">
        <v>1400</v>
      </c>
      <c r="I842" s="65" t="s">
        <v>4022</v>
      </c>
      <c r="J842" s="60" t="s">
        <v>4023</v>
      </c>
      <c r="K842" s="60">
        <v>36.001469999999998</v>
      </c>
      <c r="L842">
        <v>129.39760899999999</v>
      </c>
    </row>
    <row r="843" spans="1:12" hidden="1" x14ac:dyDescent="0.35">
      <c r="A843" s="60" t="s">
        <v>5241</v>
      </c>
      <c r="B843" s="60" t="s">
        <v>5238</v>
      </c>
      <c r="C843" s="60" t="s">
        <v>5239</v>
      </c>
      <c r="D843" s="60" t="s">
        <v>433</v>
      </c>
      <c r="E843" t="str">
        <f>VLOOKUP(Table10[[#This Row],[Country]],Countries!$A$1:$D$205,2,TRUE)</f>
        <v>KOR</v>
      </c>
      <c r="F843" s="60" t="s">
        <v>4036</v>
      </c>
      <c r="G843" s="60" t="s">
        <v>4026</v>
      </c>
      <c r="H843" s="65">
        <v>3200</v>
      </c>
      <c r="I843" s="65" t="s">
        <v>4022</v>
      </c>
      <c r="J843" s="60" t="s">
        <v>4023</v>
      </c>
      <c r="K843" s="60">
        <v>36.004981000000001</v>
      </c>
      <c r="L843">
        <v>129.384829</v>
      </c>
    </row>
    <row r="844" spans="1:12" hidden="1" x14ac:dyDescent="0.35">
      <c r="A844" s="60" t="s">
        <v>5242</v>
      </c>
      <c r="B844" s="60" t="s">
        <v>5238</v>
      </c>
      <c r="C844" s="60" t="s">
        <v>5239</v>
      </c>
      <c r="D844" s="60" t="s">
        <v>433</v>
      </c>
      <c r="E844" t="str">
        <f>VLOOKUP(Table10[[#This Row],[Country]],Countries!$A$1:$D$205,2,TRUE)</f>
        <v>KOR</v>
      </c>
      <c r="F844" s="60">
        <v>1973</v>
      </c>
      <c r="G844" s="60" t="s">
        <v>4026</v>
      </c>
      <c r="H844" s="65">
        <v>17400</v>
      </c>
      <c r="I844" s="65">
        <v>15000</v>
      </c>
      <c r="J844" s="60" t="s">
        <v>4049</v>
      </c>
      <c r="K844" s="60">
        <v>36.009309999999999</v>
      </c>
      <c r="L844">
        <v>129.394508</v>
      </c>
    </row>
    <row r="845" spans="1:12" hidden="1" x14ac:dyDescent="0.35">
      <c r="A845" s="60" t="s">
        <v>5243</v>
      </c>
      <c r="B845" s="60" t="s">
        <v>5238</v>
      </c>
      <c r="C845" s="60" t="s">
        <v>5239</v>
      </c>
      <c r="D845" s="60" t="s">
        <v>433</v>
      </c>
      <c r="E845" t="str">
        <f>VLOOKUP(Table10[[#This Row],[Country]],Countries!$A$1:$D$205,2,TRUE)</f>
        <v>KOR</v>
      </c>
      <c r="F845" s="60">
        <v>2025</v>
      </c>
      <c r="G845" s="60" t="s">
        <v>4037</v>
      </c>
      <c r="H845" s="65">
        <v>2500</v>
      </c>
      <c r="I845" s="65" t="s">
        <v>4022</v>
      </c>
      <c r="J845" s="60" t="s">
        <v>4023</v>
      </c>
      <c r="K845" s="60">
        <v>36.009309999999999</v>
      </c>
      <c r="L845">
        <v>129.394508</v>
      </c>
    </row>
    <row r="846" spans="1:12" hidden="1" x14ac:dyDescent="0.35">
      <c r="A846" s="60" t="s">
        <v>5244</v>
      </c>
      <c r="B846" s="60" t="s">
        <v>5245</v>
      </c>
      <c r="C846" s="60" t="s">
        <v>5246</v>
      </c>
      <c r="D846" s="60" t="s">
        <v>433</v>
      </c>
      <c r="E846" t="str">
        <f>VLOOKUP(Table10[[#This Row],[Country]],Countries!$A$1:$D$205,2,TRUE)</f>
        <v>KOR</v>
      </c>
      <c r="F846" s="60">
        <v>1997</v>
      </c>
      <c r="G846" s="60" t="s">
        <v>4026</v>
      </c>
      <c r="H846" s="65">
        <v>2100</v>
      </c>
      <c r="I846" s="65" t="s">
        <v>4022</v>
      </c>
      <c r="J846" s="60" t="s">
        <v>4023</v>
      </c>
      <c r="K846" s="60">
        <v>35.968595999999998</v>
      </c>
      <c r="L846">
        <v>126.60952399999999</v>
      </c>
    </row>
    <row r="847" spans="1:12" hidden="1" x14ac:dyDescent="0.35">
      <c r="A847" s="60" t="s">
        <v>5247</v>
      </c>
      <c r="B847" s="60" t="s">
        <v>5248</v>
      </c>
      <c r="C847" s="60" t="s">
        <v>5249</v>
      </c>
      <c r="D847" s="60" t="s">
        <v>433</v>
      </c>
      <c r="E847" t="str">
        <f>VLOOKUP(Table10[[#This Row],[Country]],Countries!$A$1:$D$205,2,TRUE)</f>
        <v>KOR</v>
      </c>
      <c r="F847" s="60">
        <v>2009</v>
      </c>
      <c r="G847" s="60" t="s">
        <v>4026</v>
      </c>
      <c r="H847" s="65">
        <v>700</v>
      </c>
      <c r="I847" s="65" t="s">
        <v>4022</v>
      </c>
      <c r="J847" s="60" t="s">
        <v>4023</v>
      </c>
      <c r="K847" s="60">
        <v>37.482624999999999</v>
      </c>
      <c r="L847">
        <v>126.670175</v>
      </c>
    </row>
    <row r="848" spans="1:12" hidden="1" x14ac:dyDescent="0.35">
      <c r="A848" s="60" t="s">
        <v>5250</v>
      </c>
      <c r="B848" s="60" t="s">
        <v>5248</v>
      </c>
      <c r="C848" s="60" t="s">
        <v>5249</v>
      </c>
      <c r="D848" s="60" t="s">
        <v>433</v>
      </c>
      <c r="E848" t="str">
        <f>VLOOKUP(Table10[[#This Row],[Country]],Countries!$A$1:$D$205,2,TRUE)</f>
        <v>KOR</v>
      </c>
      <c r="F848" s="60">
        <v>1972</v>
      </c>
      <c r="G848" s="60" t="s">
        <v>4026</v>
      </c>
      <c r="H848" s="65">
        <v>2200</v>
      </c>
      <c r="I848" s="65" t="s">
        <v>4022</v>
      </c>
      <c r="J848" s="60" t="s">
        <v>4023</v>
      </c>
      <c r="K848" s="60">
        <v>37.486465000000003</v>
      </c>
      <c r="L848">
        <v>126.63860699999999</v>
      </c>
    </row>
    <row r="849" spans="1:12" hidden="1" x14ac:dyDescent="0.35">
      <c r="A849" s="60" t="s">
        <v>5251</v>
      </c>
      <c r="B849" s="60" t="s">
        <v>5248</v>
      </c>
      <c r="C849" s="60" t="s">
        <v>5249</v>
      </c>
      <c r="D849" s="60" t="s">
        <v>433</v>
      </c>
      <c r="E849" t="str">
        <f>VLOOKUP(Table10[[#This Row],[Country]],Countries!$A$1:$D$205,2,TRUE)</f>
        <v>KOR</v>
      </c>
      <c r="F849" s="60">
        <v>1953</v>
      </c>
      <c r="G849" s="60" t="s">
        <v>4026</v>
      </c>
      <c r="H849" s="65">
        <v>4800</v>
      </c>
      <c r="I849" s="65" t="s">
        <v>4022</v>
      </c>
      <c r="J849" s="60" t="s">
        <v>4023</v>
      </c>
      <c r="K849" s="60">
        <v>37.489677999999998</v>
      </c>
      <c r="L849">
        <v>126.637942</v>
      </c>
    </row>
    <row r="850" spans="1:12" hidden="1" x14ac:dyDescent="0.35">
      <c r="A850" s="60" t="s">
        <v>5252</v>
      </c>
      <c r="B850" s="60" t="s">
        <v>5253</v>
      </c>
      <c r="C850" s="60" t="s">
        <v>5254</v>
      </c>
      <c r="D850" s="60" t="s">
        <v>433</v>
      </c>
      <c r="E850" t="str">
        <f>VLOOKUP(Table10[[#This Row],[Country]],Countries!$A$1:$D$205,2,TRUE)</f>
        <v>KOR</v>
      </c>
      <c r="F850" s="60">
        <v>1993</v>
      </c>
      <c r="G850" s="60" t="s">
        <v>4026</v>
      </c>
      <c r="H850" s="65">
        <v>800</v>
      </c>
      <c r="I850" s="65" t="s">
        <v>4022</v>
      </c>
      <c r="J850" s="60" t="s">
        <v>4023</v>
      </c>
      <c r="K850" s="60">
        <v>36.956485999999998</v>
      </c>
      <c r="L850">
        <v>126.616956</v>
      </c>
    </row>
    <row r="851" spans="1:12" hidden="1" x14ac:dyDescent="0.35">
      <c r="A851" s="60" t="s">
        <v>5255</v>
      </c>
      <c r="B851" s="60" t="s">
        <v>5253</v>
      </c>
      <c r="C851" s="60" t="s">
        <v>5254</v>
      </c>
      <c r="D851" s="60" t="s">
        <v>433</v>
      </c>
      <c r="E851" t="str">
        <f>VLOOKUP(Table10[[#This Row],[Country]],Countries!$A$1:$D$205,2,TRUE)</f>
        <v>KOR</v>
      </c>
      <c r="F851" s="60">
        <v>1999</v>
      </c>
      <c r="G851" s="60" t="s">
        <v>4026</v>
      </c>
      <c r="H851" s="65">
        <v>3000</v>
      </c>
      <c r="I851" s="65" t="s">
        <v>4022</v>
      </c>
      <c r="J851" s="60" t="s">
        <v>4023</v>
      </c>
      <c r="K851" s="60">
        <v>36.983721000000003</v>
      </c>
      <c r="L851">
        <v>126.744755</v>
      </c>
    </row>
    <row r="852" spans="1:12" hidden="1" x14ac:dyDescent="0.35">
      <c r="A852" s="60" t="s">
        <v>5256</v>
      </c>
      <c r="B852" s="60" t="s">
        <v>5253</v>
      </c>
      <c r="C852" s="60" t="s">
        <v>5254</v>
      </c>
      <c r="D852" s="60" t="s">
        <v>433</v>
      </c>
      <c r="E852" t="str">
        <f>VLOOKUP(Table10[[#This Row],[Country]],Countries!$A$1:$D$205,2,TRUE)</f>
        <v>KOR</v>
      </c>
      <c r="F852" s="60">
        <v>2006</v>
      </c>
      <c r="G852" s="60" t="s">
        <v>4026</v>
      </c>
      <c r="H852" s="65">
        <v>16600</v>
      </c>
      <c r="I852" s="65">
        <v>12000</v>
      </c>
      <c r="J852" s="60" t="s">
        <v>4161</v>
      </c>
      <c r="K852" s="60">
        <v>36.986282000000003</v>
      </c>
      <c r="L852">
        <v>126.69735</v>
      </c>
    </row>
    <row r="853" spans="1:12" hidden="1" x14ac:dyDescent="0.35">
      <c r="A853" s="60" t="s">
        <v>5257</v>
      </c>
      <c r="B853" s="60" t="s">
        <v>2818</v>
      </c>
      <c r="C853" s="60" t="s">
        <v>5258</v>
      </c>
      <c r="D853" s="60" t="s">
        <v>433</v>
      </c>
      <c r="E853" t="str">
        <f>VLOOKUP(Table10[[#This Row],[Country]],Countries!$A$1:$D$205,2,TRUE)</f>
        <v>KOR</v>
      </c>
      <c r="F853" s="60">
        <v>1966</v>
      </c>
      <c r="G853" s="60" t="s">
        <v>4026</v>
      </c>
      <c r="H853" s="65">
        <v>2110</v>
      </c>
      <c r="I853" s="65" t="s">
        <v>4022</v>
      </c>
      <c r="J853" s="60" t="s">
        <v>4023</v>
      </c>
      <c r="K853" s="60">
        <v>35.083818999999998</v>
      </c>
      <c r="L853">
        <v>128.989034</v>
      </c>
    </row>
    <row r="854" spans="1:12" hidden="1" x14ac:dyDescent="0.35">
      <c r="A854" s="60" t="s">
        <v>5259</v>
      </c>
      <c r="B854" s="60" t="s">
        <v>5260</v>
      </c>
      <c r="C854" s="60" t="s">
        <v>5258</v>
      </c>
      <c r="D854" s="60" t="s">
        <v>433</v>
      </c>
      <c r="E854" t="str">
        <f>VLOOKUP(Table10[[#This Row],[Country]],Countries!$A$1:$D$205,2,TRUE)</f>
        <v>KOR</v>
      </c>
      <c r="F854" s="60">
        <v>1965</v>
      </c>
      <c r="G854" s="60" t="s">
        <v>4026</v>
      </c>
      <c r="H854" s="65">
        <v>3000</v>
      </c>
      <c r="I854" s="65" t="s">
        <v>4022</v>
      </c>
      <c r="J854" s="60" t="s">
        <v>4023</v>
      </c>
      <c r="K854" s="60">
        <v>35.216552</v>
      </c>
      <c r="L854">
        <v>128.64015800000001</v>
      </c>
    </row>
    <row r="855" spans="1:12" hidden="1" x14ac:dyDescent="0.35">
      <c r="A855" s="60" t="s">
        <v>5261</v>
      </c>
      <c r="B855" s="60" t="s">
        <v>5260</v>
      </c>
      <c r="C855" s="60" t="s">
        <v>5258</v>
      </c>
      <c r="D855" s="60" t="s">
        <v>433</v>
      </c>
      <c r="E855" t="str">
        <f>VLOOKUP(Table10[[#This Row],[Country]],Countries!$A$1:$D$205,2,TRUE)</f>
        <v>KOR</v>
      </c>
      <c r="F855" s="60">
        <v>1966</v>
      </c>
      <c r="G855" s="60" t="s">
        <v>4026</v>
      </c>
      <c r="H855" s="65">
        <v>1200</v>
      </c>
      <c r="I855" s="65" t="s">
        <v>4022</v>
      </c>
      <c r="J855" s="60" t="s">
        <v>4023</v>
      </c>
      <c r="K855" s="60">
        <v>35.204191000000002</v>
      </c>
      <c r="L855">
        <v>128.604277</v>
      </c>
    </row>
    <row r="856" spans="1:12" hidden="1" x14ac:dyDescent="0.35">
      <c r="A856" s="60" t="s">
        <v>5262</v>
      </c>
      <c r="B856" s="60" t="s">
        <v>5263</v>
      </c>
      <c r="C856" s="60" t="s">
        <v>5264</v>
      </c>
      <c r="D856" s="60" t="s">
        <v>433</v>
      </c>
      <c r="E856" t="str">
        <f>VLOOKUP(Table10[[#This Row],[Country]],Countries!$A$1:$D$205,2,TRUE)</f>
        <v>KOR</v>
      </c>
      <c r="F856" s="60">
        <v>1987</v>
      </c>
      <c r="G856" s="60" t="s">
        <v>4026</v>
      </c>
      <c r="H856" s="65">
        <v>23000</v>
      </c>
      <c r="I856" s="65">
        <v>21000</v>
      </c>
      <c r="J856" s="60" t="s">
        <v>4161</v>
      </c>
      <c r="K856" s="60">
        <v>34.920085999999998</v>
      </c>
      <c r="L856">
        <v>127.74865</v>
      </c>
    </row>
    <row r="857" spans="1:12" hidden="1" x14ac:dyDescent="0.35">
      <c r="A857" s="60" t="s">
        <v>5265</v>
      </c>
      <c r="B857" s="60" t="s">
        <v>5263</v>
      </c>
      <c r="C857" s="60" t="s">
        <v>5264</v>
      </c>
      <c r="D857" s="60" t="s">
        <v>433</v>
      </c>
      <c r="E857" t="str">
        <f>VLOOKUP(Table10[[#This Row],[Country]],Countries!$A$1:$D$205,2,TRUE)</f>
        <v>KOR</v>
      </c>
      <c r="F857" s="60">
        <v>2025</v>
      </c>
      <c r="G857" s="60" t="s">
        <v>4037</v>
      </c>
      <c r="H857" s="65">
        <v>2500</v>
      </c>
      <c r="I857" s="65" t="s">
        <v>4022</v>
      </c>
      <c r="J857" s="60" t="s">
        <v>4023</v>
      </c>
      <c r="K857" s="60">
        <v>34.920085999999998</v>
      </c>
      <c r="L857">
        <v>127.74865</v>
      </c>
    </row>
    <row r="858" spans="1:12" hidden="1" x14ac:dyDescent="0.35">
      <c r="A858" s="60" t="s">
        <v>5266</v>
      </c>
      <c r="B858" s="60" t="s">
        <v>4036</v>
      </c>
      <c r="C858" s="60" t="s">
        <v>4036</v>
      </c>
      <c r="D858" s="60" t="s">
        <v>433</v>
      </c>
      <c r="E858" t="str">
        <f>VLOOKUP(Table10[[#This Row],[Country]],Countries!$A$1:$D$205,2,TRUE)</f>
        <v>KOR</v>
      </c>
      <c r="F858" s="60" t="s">
        <v>4036</v>
      </c>
      <c r="G858" s="60" t="s">
        <v>4037</v>
      </c>
      <c r="H858" s="65" t="s">
        <v>4022</v>
      </c>
      <c r="I858" s="65">
        <v>1000</v>
      </c>
      <c r="J858" s="60" t="s">
        <v>4030</v>
      </c>
      <c r="K858" s="60">
        <v>36.647511000000002</v>
      </c>
      <c r="L858">
        <v>128.13106400000001</v>
      </c>
    </row>
    <row r="859" spans="1:12" hidden="1" x14ac:dyDescent="0.35">
      <c r="A859" s="60" t="s">
        <v>5267</v>
      </c>
      <c r="B859" s="60" t="s">
        <v>4036</v>
      </c>
      <c r="C859" s="60" t="s">
        <v>4036</v>
      </c>
      <c r="D859" s="60" t="s">
        <v>433</v>
      </c>
      <c r="E859" t="str">
        <f>VLOOKUP(Table10[[#This Row],[Country]],Countries!$A$1:$D$205,2,TRUE)</f>
        <v>KOR</v>
      </c>
      <c r="F859" s="60" t="s">
        <v>4036</v>
      </c>
      <c r="G859" s="60" t="s">
        <v>4037</v>
      </c>
      <c r="H859" s="65" t="s">
        <v>4022</v>
      </c>
      <c r="I859" s="65">
        <v>3000</v>
      </c>
      <c r="J859" s="60" t="s">
        <v>4030</v>
      </c>
      <c r="K859" s="60">
        <v>36.647511000000002</v>
      </c>
      <c r="L859">
        <v>128.13106400000001</v>
      </c>
    </row>
    <row r="860" spans="1:12" hidden="1" x14ac:dyDescent="0.35">
      <c r="A860" s="60" t="s">
        <v>5268</v>
      </c>
      <c r="B860" s="60" t="s">
        <v>5269</v>
      </c>
      <c r="C860" s="60" t="s">
        <v>5269</v>
      </c>
      <c r="D860" s="60" t="s">
        <v>5270</v>
      </c>
      <c r="E860" t="str">
        <f>VLOOKUP(Table10[[#This Row],[Country]],Countries!$A$1:$D$205,2,TRUE)</f>
        <v>KOR</v>
      </c>
      <c r="F860" s="60" t="s">
        <v>4036</v>
      </c>
      <c r="G860" s="60" t="s">
        <v>4021</v>
      </c>
      <c r="H860" s="65">
        <v>600</v>
      </c>
      <c r="I860" s="65" t="s">
        <v>4110</v>
      </c>
      <c r="J860" s="60" t="s">
        <v>4049</v>
      </c>
      <c r="K860" s="60">
        <v>6.1280770000000002</v>
      </c>
      <c r="L860">
        <v>81.075224000000006</v>
      </c>
    </row>
    <row r="861" spans="1:12" hidden="1" x14ac:dyDescent="0.35">
      <c r="A861" s="60" t="s">
        <v>5271</v>
      </c>
      <c r="B861" s="60" t="s">
        <v>5272</v>
      </c>
      <c r="C861" s="60" t="s">
        <v>5273</v>
      </c>
      <c r="D861" s="60" t="s">
        <v>441</v>
      </c>
      <c r="E861" t="str">
        <f>VLOOKUP(Table10[[#This Row],[Country]],Countries!$A$1:$D$205,2,TRUE)</f>
        <v>TWN</v>
      </c>
      <c r="F861" s="60" t="s">
        <v>4036</v>
      </c>
      <c r="G861" s="60" t="s">
        <v>4026</v>
      </c>
      <c r="H861" s="65">
        <v>600</v>
      </c>
      <c r="I861" s="65" t="s">
        <v>4022</v>
      </c>
      <c r="J861" s="60" t="s">
        <v>4023</v>
      </c>
      <c r="K861" s="60">
        <v>24.167871999999999</v>
      </c>
      <c r="L861">
        <v>120.505482</v>
      </c>
    </row>
    <row r="862" spans="1:12" hidden="1" x14ac:dyDescent="0.35">
      <c r="A862" s="60" t="s">
        <v>5274</v>
      </c>
      <c r="B862" s="60" t="s">
        <v>5275</v>
      </c>
      <c r="C862" s="60" t="s">
        <v>5276</v>
      </c>
      <c r="D862" s="60" t="s">
        <v>441</v>
      </c>
      <c r="E862" t="str">
        <f>VLOOKUP(Table10[[#This Row],[Country]],Countries!$A$1:$D$205,2,TRUE)</f>
        <v>TWN</v>
      </c>
      <c r="F862" s="60">
        <v>1987</v>
      </c>
      <c r="G862" s="60" t="s">
        <v>4026</v>
      </c>
      <c r="H862" s="65">
        <v>1200</v>
      </c>
      <c r="I862" s="65" t="s">
        <v>4022</v>
      </c>
      <c r="J862" s="60" t="s">
        <v>4023</v>
      </c>
      <c r="K862" s="60">
        <v>25.067119000000002</v>
      </c>
      <c r="L862">
        <v>121.141176</v>
      </c>
    </row>
    <row r="863" spans="1:12" hidden="1" x14ac:dyDescent="0.35">
      <c r="A863" s="60" t="s">
        <v>5277</v>
      </c>
      <c r="B863" s="60" t="s">
        <v>5278</v>
      </c>
      <c r="C863" s="60" t="s">
        <v>2837</v>
      </c>
      <c r="D863" s="60" t="s">
        <v>441</v>
      </c>
      <c r="E863" t="str">
        <f>VLOOKUP(Table10[[#This Row],[Country]],Countries!$A$1:$D$205,2,TRUE)</f>
        <v>TWN</v>
      </c>
      <c r="F863" s="60">
        <v>1988</v>
      </c>
      <c r="G863" s="60" t="s">
        <v>4026</v>
      </c>
      <c r="H863" s="65">
        <v>1000</v>
      </c>
      <c r="I863" s="65">
        <v>1000</v>
      </c>
      <c r="J863" s="60" t="s">
        <v>4049</v>
      </c>
      <c r="K863" s="60">
        <v>22.830857000000002</v>
      </c>
      <c r="L863">
        <v>120.30060400000001</v>
      </c>
    </row>
    <row r="864" spans="1:12" hidden="1" x14ac:dyDescent="0.35">
      <c r="A864" s="60" t="s">
        <v>5279</v>
      </c>
      <c r="B864" s="60" t="s">
        <v>5280</v>
      </c>
      <c r="C864" s="60" t="s">
        <v>2837</v>
      </c>
      <c r="D864" s="60" t="s">
        <v>441</v>
      </c>
      <c r="E864" t="str">
        <f>VLOOKUP(Table10[[#This Row],[Country]],Countries!$A$1:$D$205,2,TRUE)</f>
        <v>TWN</v>
      </c>
      <c r="F864" s="60">
        <v>1979</v>
      </c>
      <c r="G864" s="60" t="s">
        <v>4026</v>
      </c>
      <c r="H864" s="65">
        <v>10100</v>
      </c>
      <c r="I864" s="65">
        <v>10100</v>
      </c>
      <c r="J864" s="60" t="s">
        <v>4049</v>
      </c>
      <c r="K864" s="60">
        <v>22.780619999999999</v>
      </c>
      <c r="L864">
        <v>120.357461</v>
      </c>
    </row>
    <row r="865" spans="1:12" hidden="1" x14ac:dyDescent="0.35">
      <c r="A865" s="60" t="s">
        <v>5281</v>
      </c>
      <c r="B865" s="60" t="s">
        <v>5282</v>
      </c>
      <c r="C865" s="60" t="s">
        <v>5283</v>
      </c>
      <c r="D865" s="60" t="s">
        <v>441</v>
      </c>
      <c r="E865" t="str">
        <f>VLOOKUP(Table10[[#This Row],[Country]],Countries!$A$1:$D$205,2,TRUE)</f>
        <v>TWN</v>
      </c>
      <c r="F865" s="60">
        <v>1991</v>
      </c>
      <c r="G865" s="60" t="s">
        <v>4026</v>
      </c>
      <c r="H865" s="65">
        <v>1200</v>
      </c>
      <c r="I865" s="65" t="s">
        <v>4022</v>
      </c>
      <c r="J865" s="60" t="s">
        <v>4023</v>
      </c>
      <c r="K865" s="60">
        <v>24.568401000000001</v>
      </c>
      <c r="L865">
        <v>120.74062000000001</v>
      </c>
    </row>
    <row r="866" spans="1:12" hidden="1" x14ac:dyDescent="0.35">
      <c r="A866" s="60" t="s">
        <v>5284</v>
      </c>
      <c r="B866" s="60" t="s">
        <v>5285</v>
      </c>
      <c r="C866" s="60" t="s">
        <v>5286</v>
      </c>
      <c r="D866" s="60" t="s">
        <v>441</v>
      </c>
      <c r="E866" t="str">
        <f>VLOOKUP(Table10[[#This Row],[Country]],Countries!$A$1:$D$205,2,TRUE)</f>
        <v>TWN</v>
      </c>
      <c r="F866" s="60">
        <v>1971</v>
      </c>
      <c r="G866" s="60" t="s">
        <v>4026</v>
      </c>
      <c r="H866" s="65">
        <v>1200</v>
      </c>
      <c r="I866" s="65" t="s">
        <v>4036</v>
      </c>
      <c r="J866" s="60" t="s">
        <v>4023</v>
      </c>
      <c r="K866" s="60">
        <v>24.31287</v>
      </c>
      <c r="L866">
        <v>120.712774</v>
      </c>
    </row>
    <row r="867" spans="1:12" hidden="1" x14ac:dyDescent="0.35">
      <c r="A867" s="60" t="s">
        <v>5287</v>
      </c>
      <c r="B867" s="60" t="s">
        <v>5288</v>
      </c>
      <c r="C867" s="60" t="s">
        <v>5286</v>
      </c>
      <c r="D867" s="60" t="s">
        <v>441</v>
      </c>
      <c r="E867" t="str">
        <f>VLOOKUP(Table10[[#This Row],[Country]],Countries!$A$1:$D$205,2,TRUE)</f>
        <v>TWN</v>
      </c>
      <c r="F867" s="60">
        <v>1993</v>
      </c>
      <c r="G867" s="60" t="s">
        <v>4026</v>
      </c>
      <c r="H867" s="65">
        <v>6080</v>
      </c>
      <c r="I867" s="65">
        <v>5050</v>
      </c>
      <c r="J867" s="60" t="s">
        <v>4161</v>
      </c>
      <c r="K867" s="60">
        <v>24.226897000000001</v>
      </c>
      <c r="L867">
        <v>120.493911</v>
      </c>
    </row>
    <row r="868" spans="1:12" hidden="1" x14ac:dyDescent="0.35">
      <c r="A868" s="60" t="s">
        <v>5289</v>
      </c>
      <c r="B868" s="60" t="s">
        <v>5290</v>
      </c>
      <c r="C868" s="60" t="s">
        <v>5291</v>
      </c>
      <c r="D868" s="60" t="s">
        <v>441</v>
      </c>
      <c r="E868" t="str">
        <f>VLOOKUP(Table10[[#This Row],[Country]],Countries!$A$1:$D$205,2,TRUE)</f>
        <v>TWN</v>
      </c>
      <c r="F868" s="60">
        <v>1974</v>
      </c>
      <c r="G868" s="60" t="s">
        <v>4026</v>
      </c>
      <c r="H868" s="65">
        <v>700</v>
      </c>
      <c r="I868" s="65" t="s">
        <v>4022</v>
      </c>
      <c r="J868" s="60" t="s">
        <v>4023</v>
      </c>
      <c r="K868" s="60">
        <v>22.563095000000001</v>
      </c>
      <c r="L868">
        <v>120.36265400000001</v>
      </c>
    </row>
    <row r="869" spans="1:12" hidden="1" x14ac:dyDescent="0.35">
      <c r="A869" s="60" t="s">
        <v>5292</v>
      </c>
      <c r="B869" s="60" t="s">
        <v>5293</v>
      </c>
      <c r="C869" s="60" t="s">
        <v>5294</v>
      </c>
      <c r="D869" s="60" t="s">
        <v>5295</v>
      </c>
      <c r="E869" t="str">
        <f>VLOOKUP(Table10[[#This Row],[Country]],Countries!$A$1:$D$205,2,TRUE)</f>
        <v>TWN</v>
      </c>
      <c r="F869" s="60">
        <v>1994</v>
      </c>
      <c r="G869" s="60" t="s">
        <v>4026</v>
      </c>
      <c r="H869" s="65">
        <v>805</v>
      </c>
      <c r="I869" s="65" t="s">
        <v>4022</v>
      </c>
      <c r="J869" s="60" t="s">
        <v>4023</v>
      </c>
      <c r="K869" s="60">
        <v>13.275831999999999</v>
      </c>
      <c r="L869">
        <v>100.969791</v>
      </c>
    </row>
    <row r="870" spans="1:12" hidden="1" x14ac:dyDescent="0.35">
      <c r="A870" s="60" t="s">
        <v>5296</v>
      </c>
      <c r="B870" s="60" t="s">
        <v>5297</v>
      </c>
      <c r="C870" s="60" t="s">
        <v>5294</v>
      </c>
      <c r="D870" s="60" t="s">
        <v>5295</v>
      </c>
      <c r="E870" t="str">
        <f>VLOOKUP(Table10[[#This Row],[Country]],Countries!$A$1:$D$205,2,TRUE)</f>
        <v>TWN</v>
      </c>
      <c r="F870" s="60">
        <v>1988</v>
      </c>
      <c r="G870" s="60" t="s">
        <v>4026</v>
      </c>
      <c r="H870" s="65">
        <v>800</v>
      </c>
      <c r="I870" s="65" t="s">
        <v>4022</v>
      </c>
      <c r="J870" s="60" t="s">
        <v>4023</v>
      </c>
      <c r="K870" s="60">
        <v>13.052398</v>
      </c>
      <c r="L870">
        <v>101.086795</v>
      </c>
    </row>
    <row r="871" spans="1:12" hidden="1" x14ac:dyDescent="0.35">
      <c r="A871" s="60" t="s">
        <v>5298</v>
      </c>
      <c r="B871" s="60" t="s">
        <v>5297</v>
      </c>
      <c r="C871" s="60" t="s">
        <v>5294</v>
      </c>
      <c r="D871" s="60" t="s">
        <v>5295</v>
      </c>
      <c r="E871" t="str">
        <f>VLOOKUP(Table10[[#This Row],[Country]],Countries!$A$1:$D$205,2,TRUE)</f>
        <v>TWN</v>
      </c>
      <c r="F871" s="60">
        <v>1997</v>
      </c>
      <c r="G871" s="60" t="s">
        <v>4026</v>
      </c>
      <c r="H871" s="65">
        <v>1500</v>
      </c>
      <c r="I871" s="65" t="s">
        <v>4022</v>
      </c>
      <c r="J871" s="60" t="s">
        <v>4023</v>
      </c>
      <c r="K871" s="60">
        <v>13.054667999999999</v>
      </c>
      <c r="L871">
        <v>101.07884199999999</v>
      </c>
    </row>
    <row r="872" spans="1:12" hidden="1" x14ac:dyDescent="0.35">
      <c r="A872" s="60" t="s">
        <v>5299</v>
      </c>
      <c r="B872" s="60" t="s">
        <v>5293</v>
      </c>
      <c r="C872" s="60" t="s">
        <v>2949</v>
      </c>
      <c r="D872" s="60" t="s">
        <v>5295</v>
      </c>
      <c r="E872" t="str">
        <f>VLOOKUP(Table10[[#This Row],[Country]],Countries!$A$1:$D$205,2,TRUE)</f>
        <v>TWN</v>
      </c>
      <c r="F872" s="60">
        <v>1989</v>
      </c>
      <c r="G872" s="60" t="s">
        <v>4026</v>
      </c>
      <c r="H872" s="65">
        <v>550</v>
      </c>
      <c r="I872" s="65" t="s">
        <v>4022</v>
      </c>
      <c r="J872" s="60" t="s">
        <v>4023</v>
      </c>
      <c r="K872" s="60">
        <v>12.677581999999999</v>
      </c>
      <c r="L872">
        <v>101.149401</v>
      </c>
    </row>
    <row r="873" spans="1:12" hidden="1" x14ac:dyDescent="0.35">
      <c r="A873" s="60" t="s">
        <v>5300</v>
      </c>
      <c r="B873" s="60" t="s">
        <v>5301</v>
      </c>
      <c r="C873" s="60" t="s">
        <v>2949</v>
      </c>
      <c r="D873" s="60" t="s">
        <v>5295</v>
      </c>
      <c r="E873" t="str">
        <f>VLOOKUP(Table10[[#This Row],[Country]],Countries!$A$1:$D$205,2,TRUE)</f>
        <v>TWN</v>
      </c>
      <c r="F873" s="60">
        <v>1992</v>
      </c>
      <c r="G873" s="60" t="s">
        <v>4026</v>
      </c>
      <c r="H873" s="65">
        <v>550</v>
      </c>
      <c r="I873" s="65" t="s">
        <v>4022</v>
      </c>
      <c r="J873" s="60" t="s">
        <v>4023</v>
      </c>
      <c r="K873" s="60">
        <v>12.674898000000001</v>
      </c>
      <c r="L873">
        <v>101.147002</v>
      </c>
    </row>
    <row r="874" spans="1:12" hidden="1" x14ac:dyDescent="0.35">
      <c r="A874" s="60" t="s">
        <v>5302</v>
      </c>
      <c r="B874" s="60" t="s">
        <v>5301</v>
      </c>
      <c r="C874" s="60" t="s">
        <v>2949</v>
      </c>
      <c r="D874" s="60" t="s">
        <v>5295</v>
      </c>
      <c r="E874" t="str">
        <f>VLOOKUP(Table10[[#This Row],[Country]],Countries!$A$1:$D$205,2,TRUE)</f>
        <v>TWN</v>
      </c>
      <c r="F874" s="60">
        <v>1992</v>
      </c>
      <c r="G874" s="60" t="s">
        <v>4026</v>
      </c>
      <c r="H874" s="65">
        <v>550</v>
      </c>
      <c r="I874" s="65" t="s">
        <v>4022</v>
      </c>
      <c r="J874" s="60" t="s">
        <v>4023</v>
      </c>
      <c r="K874" s="60">
        <v>12.706642</v>
      </c>
      <c r="L874">
        <v>101.11170300000001</v>
      </c>
    </row>
    <row r="875" spans="1:12" hidden="1" x14ac:dyDescent="0.35">
      <c r="A875" s="60" t="s">
        <v>5303</v>
      </c>
      <c r="B875" s="60" t="s">
        <v>5304</v>
      </c>
      <c r="C875" s="60" t="s">
        <v>2949</v>
      </c>
      <c r="D875" s="60" t="s">
        <v>5295</v>
      </c>
      <c r="E875" t="str">
        <f>VLOOKUP(Table10[[#This Row],[Country]],Countries!$A$1:$D$205,2,TRUE)</f>
        <v>TWN</v>
      </c>
      <c r="F875" s="60">
        <v>1998</v>
      </c>
      <c r="G875" s="60" t="s">
        <v>4026</v>
      </c>
      <c r="H875" s="65">
        <v>800</v>
      </c>
      <c r="I875" s="65" t="s">
        <v>4022</v>
      </c>
      <c r="J875" s="60" t="s">
        <v>4023</v>
      </c>
      <c r="K875" s="60">
        <v>12.819544</v>
      </c>
      <c r="L875">
        <v>101.15295399999999</v>
      </c>
    </row>
    <row r="876" spans="1:12" hidden="1" x14ac:dyDescent="0.35">
      <c r="A876" s="60" t="s">
        <v>5305</v>
      </c>
      <c r="B876" s="60" t="s">
        <v>5306</v>
      </c>
      <c r="C876" s="60" t="s">
        <v>2949</v>
      </c>
      <c r="D876" s="60" t="s">
        <v>5295</v>
      </c>
      <c r="E876" t="str">
        <f>VLOOKUP(Table10[[#This Row],[Country]],Countries!$A$1:$D$205,2,TRUE)</f>
        <v>TWN</v>
      </c>
      <c r="F876" s="60">
        <v>1999</v>
      </c>
      <c r="G876" s="60" t="s">
        <v>4026</v>
      </c>
      <c r="H876" s="65">
        <v>1800</v>
      </c>
      <c r="I876" s="65" t="s">
        <v>4022</v>
      </c>
      <c r="J876" s="60" t="s">
        <v>4023</v>
      </c>
      <c r="K876" s="60">
        <v>12.793786000000001</v>
      </c>
      <c r="L876">
        <v>101.244592</v>
      </c>
    </row>
    <row r="877" spans="1:12" hidden="1" x14ac:dyDescent="0.35">
      <c r="A877" s="60" t="s">
        <v>5307</v>
      </c>
      <c r="B877" s="60" t="s">
        <v>5308</v>
      </c>
      <c r="C877" s="60" t="s">
        <v>2939</v>
      </c>
      <c r="D877" s="60" t="s">
        <v>5295</v>
      </c>
      <c r="E877" t="str">
        <f>VLOOKUP(Table10[[#This Row],[Country]],Countries!$A$1:$D$205,2,TRUE)</f>
        <v>TWN</v>
      </c>
      <c r="F877" s="60">
        <v>1973</v>
      </c>
      <c r="G877" s="60" t="s">
        <v>4026</v>
      </c>
      <c r="H877" s="65">
        <v>1000</v>
      </c>
      <c r="I877" s="65" t="s">
        <v>4022</v>
      </c>
      <c r="J877" s="60" t="s">
        <v>4023</v>
      </c>
      <c r="K877" s="60">
        <v>13.647672</v>
      </c>
      <c r="L877">
        <v>100.553882</v>
      </c>
    </row>
    <row r="878" spans="1:12" hidden="1" x14ac:dyDescent="0.35">
      <c r="A878" s="60" t="s">
        <v>5309</v>
      </c>
      <c r="B878" s="60" t="s">
        <v>5310</v>
      </c>
      <c r="C878" s="60" t="s">
        <v>5311</v>
      </c>
      <c r="D878" s="60" t="s">
        <v>5312</v>
      </c>
      <c r="E878" t="str">
        <f>VLOOKUP(Table10[[#This Row],[Country]],Countries!$A$1:$D$205,2,TRUE)</f>
        <v>USA</v>
      </c>
      <c r="F878" s="60">
        <v>1999</v>
      </c>
      <c r="G878" s="60" t="s">
        <v>4026</v>
      </c>
      <c r="H878" s="65">
        <v>500</v>
      </c>
      <c r="I878" s="65" t="s">
        <v>4022</v>
      </c>
      <c r="J878" s="60" t="s">
        <v>4023</v>
      </c>
      <c r="K878" s="60">
        <v>10.601568</v>
      </c>
      <c r="L878">
        <v>107.045491</v>
      </c>
    </row>
    <row r="879" spans="1:12" hidden="1" x14ac:dyDescent="0.35">
      <c r="A879" s="60" t="s">
        <v>5313</v>
      </c>
      <c r="B879" s="60" t="s">
        <v>5310</v>
      </c>
      <c r="C879" s="60" t="s">
        <v>5311</v>
      </c>
      <c r="D879" s="60" t="s">
        <v>5312</v>
      </c>
      <c r="E879" t="str">
        <f>VLOOKUP(Table10[[#This Row],[Country]],Countries!$A$1:$D$205,2,TRUE)</f>
        <v>USA</v>
      </c>
      <c r="F879" s="60">
        <v>2012</v>
      </c>
      <c r="G879" s="60" t="s">
        <v>4026</v>
      </c>
      <c r="H879" s="65">
        <v>1000</v>
      </c>
      <c r="I879" s="65" t="s">
        <v>4022</v>
      </c>
      <c r="J879" s="60" t="s">
        <v>4023</v>
      </c>
      <c r="K879" s="60">
        <v>10.551444999999999</v>
      </c>
      <c r="L879">
        <v>107.04367999999999</v>
      </c>
    </row>
    <row r="880" spans="1:12" hidden="1" x14ac:dyDescent="0.35">
      <c r="A880" s="60" t="s">
        <v>5314</v>
      </c>
      <c r="B880" s="60" t="s">
        <v>5310</v>
      </c>
      <c r="C880" s="60" t="s">
        <v>5311</v>
      </c>
      <c r="D880" s="60" t="s">
        <v>5312</v>
      </c>
      <c r="E880" t="str">
        <f>VLOOKUP(Table10[[#This Row],[Country]],Countries!$A$1:$D$205,2,TRUE)</f>
        <v>USA</v>
      </c>
      <c r="F880" s="60">
        <v>2012</v>
      </c>
      <c r="G880" s="60" t="s">
        <v>4026</v>
      </c>
      <c r="H880" s="65">
        <v>1000</v>
      </c>
      <c r="I880" s="65">
        <v>1000</v>
      </c>
      <c r="J880" s="60" t="s">
        <v>4027</v>
      </c>
      <c r="K880" s="60">
        <v>10.577042</v>
      </c>
      <c r="L880">
        <v>107.040324</v>
      </c>
    </row>
    <row r="881" spans="1:12" hidden="1" x14ac:dyDescent="0.35">
      <c r="A881" s="60" t="s">
        <v>5315</v>
      </c>
      <c r="B881" s="60" t="s">
        <v>5310</v>
      </c>
      <c r="C881" s="60" t="s">
        <v>5311</v>
      </c>
      <c r="D881" s="60" t="s">
        <v>5312</v>
      </c>
      <c r="E881" t="str">
        <f>VLOOKUP(Table10[[#This Row],[Country]],Countries!$A$1:$D$205,2,TRUE)</f>
        <v>USA</v>
      </c>
      <c r="F881" s="60">
        <v>2015</v>
      </c>
      <c r="G881" s="60" t="s">
        <v>4026</v>
      </c>
      <c r="H881" s="65">
        <v>1000</v>
      </c>
      <c r="I881" s="65" t="s">
        <v>4022</v>
      </c>
      <c r="J881" s="60" t="s">
        <v>4023</v>
      </c>
      <c r="K881" s="60">
        <v>10.560316</v>
      </c>
      <c r="L881">
        <v>107.02684000000001</v>
      </c>
    </row>
    <row r="882" spans="1:12" hidden="1" x14ac:dyDescent="0.35">
      <c r="A882" s="60" t="s">
        <v>5316</v>
      </c>
      <c r="B882" s="60" t="s">
        <v>5310</v>
      </c>
      <c r="C882" s="60" t="s">
        <v>5311</v>
      </c>
      <c r="D882" s="60" t="s">
        <v>5312</v>
      </c>
      <c r="E882" t="str">
        <f>VLOOKUP(Table10[[#This Row],[Country]],Countries!$A$1:$D$205,2,TRUE)</f>
        <v>USA</v>
      </c>
      <c r="F882" s="60">
        <v>2017</v>
      </c>
      <c r="G882" s="60" t="s">
        <v>4026</v>
      </c>
      <c r="H882" s="65">
        <v>550</v>
      </c>
      <c r="I882" s="65" t="s">
        <v>4022</v>
      </c>
      <c r="J882" s="60" t="s">
        <v>4023</v>
      </c>
      <c r="K882" s="60">
        <v>10.576597</v>
      </c>
      <c r="L882">
        <v>107.02899499999999</v>
      </c>
    </row>
    <row r="883" spans="1:12" hidden="1" x14ac:dyDescent="0.35">
      <c r="A883" s="60" t="s">
        <v>5317</v>
      </c>
      <c r="B883" s="60" t="s">
        <v>5310</v>
      </c>
      <c r="C883" s="60" t="s">
        <v>5311</v>
      </c>
      <c r="D883" s="60" t="s">
        <v>5312</v>
      </c>
      <c r="E883" t="str">
        <f>VLOOKUP(Table10[[#This Row],[Country]],Countries!$A$1:$D$205,2,TRUE)</f>
        <v>USA</v>
      </c>
      <c r="F883" s="60" t="s">
        <v>4036</v>
      </c>
      <c r="G883" s="60" t="s">
        <v>4037</v>
      </c>
      <c r="H883" s="65">
        <v>1300</v>
      </c>
      <c r="I883" s="65" t="s">
        <v>4022</v>
      </c>
      <c r="J883" s="60" t="s">
        <v>4023</v>
      </c>
      <c r="K883" s="60">
        <v>10.595295</v>
      </c>
      <c r="L883">
        <v>107.04484600000001</v>
      </c>
    </row>
    <row r="884" spans="1:12" hidden="1" x14ac:dyDescent="0.35">
      <c r="A884" s="60" t="s">
        <v>5318</v>
      </c>
      <c r="B884" s="60" t="s">
        <v>5310</v>
      </c>
      <c r="C884" s="60" t="s">
        <v>5311</v>
      </c>
      <c r="D884" s="60" t="s">
        <v>5312</v>
      </c>
      <c r="E884" t="str">
        <f>VLOOKUP(Table10[[#This Row],[Country]],Countries!$A$1:$D$205,2,TRUE)</f>
        <v>USA</v>
      </c>
      <c r="F884" s="60">
        <v>1996</v>
      </c>
      <c r="G884" s="60" t="s">
        <v>4026</v>
      </c>
      <c r="H884" s="65">
        <v>900</v>
      </c>
      <c r="I884" s="65" t="s">
        <v>4022</v>
      </c>
      <c r="J884" s="60" t="s">
        <v>4023</v>
      </c>
      <c r="K884" s="60">
        <v>10.601423</v>
      </c>
      <c r="L884">
        <v>107.040679</v>
      </c>
    </row>
    <row r="885" spans="1:12" hidden="1" x14ac:dyDescent="0.35">
      <c r="A885" s="60" t="s">
        <v>5319</v>
      </c>
      <c r="B885" s="60" t="s">
        <v>5320</v>
      </c>
      <c r="C885" s="60" t="s">
        <v>5321</v>
      </c>
      <c r="D885" s="60" t="s">
        <v>5312</v>
      </c>
      <c r="E885" t="str">
        <f>VLOOKUP(Table10[[#This Row],[Country]],Countries!$A$1:$D$205,2,TRUE)</f>
        <v>USA</v>
      </c>
      <c r="F885" s="60">
        <v>2024</v>
      </c>
      <c r="G885" s="60" t="s">
        <v>4037</v>
      </c>
      <c r="H885" s="65">
        <v>1800</v>
      </c>
      <c r="I885" s="65" t="s">
        <v>4110</v>
      </c>
      <c r="J885" s="60" t="s">
        <v>4036</v>
      </c>
      <c r="K885" s="60">
        <v>14.457367</v>
      </c>
      <c r="L885">
        <v>109.07895379999999</v>
      </c>
    </row>
    <row r="886" spans="1:12" hidden="1" x14ac:dyDescent="0.35">
      <c r="A886" s="60" t="s">
        <v>5322</v>
      </c>
      <c r="B886" s="60" t="s">
        <v>5320</v>
      </c>
      <c r="C886" s="60" t="s">
        <v>5321</v>
      </c>
      <c r="D886" s="60" t="s">
        <v>5312</v>
      </c>
      <c r="E886" t="str">
        <f>VLOOKUP(Table10[[#This Row],[Country]],Countries!$A$1:$D$205,2,TRUE)</f>
        <v>USA</v>
      </c>
      <c r="F886" s="60" t="s">
        <v>4036</v>
      </c>
      <c r="G886" s="60" t="s">
        <v>4037</v>
      </c>
      <c r="H886" s="65">
        <v>1800</v>
      </c>
      <c r="I886" s="65" t="s">
        <v>4110</v>
      </c>
      <c r="J886" s="60" t="s">
        <v>4036</v>
      </c>
      <c r="K886" s="60">
        <v>14.457367</v>
      </c>
      <c r="L886">
        <v>109.07895379999999</v>
      </c>
    </row>
    <row r="887" spans="1:12" hidden="1" x14ac:dyDescent="0.35">
      <c r="A887" s="60" t="s">
        <v>5323</v>
      </c>
      <c r="B887" s="60" t="s">
        <v>5320</v>
      </c>
      <c r="C887" s="60" t="s">
        <v>5321</v>
      </c>
      <c r="D887" s="60" t="s">
        <v>5312</v>
      </c>
      <c r="E887" t="str">
        <f>VLOOKUP(Table10[[#This Row],[Country]],Countries!$A$1:$D$205,2,TRUE)</f>
        <v>USA</v>
      </c>
      <c r="F887" s="60" t="s">
        <v>4036</v>
      </c>
      <c r="G887" s="60" t="s">
        <v>4037</v>
      </c>
      <c r="H887" s="65">
        <v>1800</v>
      </c>
      <c r="I887" s="65" t="s">
        <v>4110</v>
      </c>
      <c r="J887" s="60" t="s">
        <v>4036</v>
      </c>
      <c r="K887" s="60">
        <v>14.457367</v>
      </c>
      <c r="L887">
        <v>109.07895379999999</v>
      </c>
    </row>
    <row r="888" spans="1:12" hidden="1" x14ac:dyDescent="0.35">
      <c r="A888" s="60" t="s">
        <v>5324</v>
      </c>
      <c r="B888" s="60" t="s">
        <v>5325</v>
      </c>
      <c r="C888" s="60" t="s">
        <v>5326</v>
      </c>
      <c r="D888" s="60" t="s">
        <v>5312</v>
      </c>
      <c r="E888" t="str">
        <f>VLOOKUP(Table10[[#This Row],[Country]],Countries!$A$1:$D$205,2,TRUE)</f>
        <v>USA</v>
      </c>
      <c r="F888" s="60">
        <v>2016</v>
      </c>
      <c r="G888" s="60" t="s">
        <v>4026</v>
      </c>
      <c r="H888" s="65">
        <v>500</v>
      </c>
      <c r="I888" s="65" t="s">
        <v>4022</v>
      </c>
      <c r="J888" s="60" t="s">
        <v>4023</v>
      </c>
      <c r="K888" s="60">
        <v>11.113343</v>
      </c>
      <c r="L888">
        <v>106.831064</v>
      </c>
    </row>
    <row r="889" spans="1:12" hidden="1" x14ac:dyDescent="0.35">
      <c r="A889" s="60" t="s">
        <v>5327</v>
      </c>
      <c r="B889" s="60" t="s">
        <v>5328</v>
      </c>
      <c r="C889" s="60" t="s">
        <v>5326</v>
      </c>
      <c r="D889" s="60" t="s">
        <v>5312</v>
      </c>
      <c r="E889" t="str">
        <f>VLOOKUP(Table10[[#This Row],[Country]],Countries!$A$1:$D$205,2,TRUE)</f>
        <v>USA</v>
      </c>
      <c r="F889" s="60">
        <v>1988</v>
      </c>
      <c r="G889" s="60" t="s">
        <v>4026</v>
      </c>
      <c r="H889" s="65">
        <v>500</v>
      </c>
      <c r="I889" s="65" t="s">
        <v>4022</v>
      </c>
      <c r="J889" s="60" t="s">
        <v>4023</v>
      </c>
      <c r="K889" s="60">
        <v>11.054204</v>
      </c>
      <c r="L889">
        <v>106.615962</v>
      </c>
    </row>
    <row r="890" spans="1:12" hidden="1" x14ac:dyDescent="0.35">
      <c r="A890" s="60" t="s">
        <v>5329</v>
      </c>
      <c r="B890" s="60" t="s">
        <v>5330</v>
      </c>
      <c r="C890" s="60" t="s">
        <v>5331</v>
      </c>
      <c r="D890" s="60" t="s">
        <v>5312</v>
      </c>
      <c r="E890" t="str">
        <f>VLOOKUP(Table10[[#This Row],[Country]],Countries!$A$1:$D$205,2,TRUE)</f>
        <v>USA</v>
      </c>
      <c r="F890" s="60">
        <v>2008</v>
      </c>
      <c r="G890" s="60" t="s">
        <v>4026</v>
      </c>
      <c r="H890" s="65">
        <v>7500</v>
      </c>
      <c r="I890" s="65">
        <v>7500</v>
      </c>
      <c r="J890" s="60" t="s">
        <v>4049</v>
      </c>
      <c r="K890" s="60">
        <v>18.036332999999999</v>
      </c>
      <c r="L890">
        <v>106.428271</v>
      </c>
    </row>
    <row r="891" spans="1:12" hidden="1" x14ac:dyDescent="0.35">
      <c r="A891" s="60" t="s">
        <v>5332</v>
      </c>
      <c r="B891" s="60" t="s">
        <v>5330</v>
      </c>
      <c r="C891" s="60" t="s">
        <v>5331</v>
      </c>
      <c r="D891" s="60" t="s">
        <v>5312</v>
      </c>
      <c r="E891" t="str">
        <f>VLOOKUP(Table10[[#This Row],[Country]],Countries!$A$1:$D$205,2,TRUE)</f>
        <v>USA</v>
      </c>
      <c r="F891" s="60">
        <v>2025</v>
      </c>
      <c r="G891" s="60" t="s">
        <v>4037</v>
      </c>
      <c r="H891" s="65">
        <v>7000</v>
      </c>
      <c r="I891" s="65">
        <v>7500</v>
      </c>
      <c r="J891" s="60" t="s">
        <v>4049</v>
      </c>
      <c r="K891" s="60">
        <v>18.036332999999999</v>
      </c>
      <c r="L891">
        <v>106.428271</v>
      </c>
    </row>
    <row r="892" spans="1:12" hidden="1" x14ac:dyDescent="0.35">
      <c r="A892" s="60" t="s">
        <v>5333</v>
      </c>
      <c r="B892" s="60" t="s">
        <v>5330</v>
      </c>
      <c r="C892" s="60" t="s">
        <v>5331</v>
      </c>
      <c r="D892" s="60" t="s">
        <v>5312</v>
      </c>
      <c r="E892" t="str">
        <f>VLOOKUP(Table10[[#This Row],[Country]],Countries!$A$1:$D$205,2,TRUE)</f>
        <v>USA</v>
      </c>
      <c r="F892" s="60">
        <v>2035</v>
      </c>
      <c r="G892" s="60" t="s">
        <v>4037</v>
      </c>
      <c r="H892" s="65">
        <v>7000</v>
      </c>
      <c r="I892" s="65">
        <v>7500</v>
      </c>
      <c r="J892" s="60" t="s">
        <v>4049</v>
      </c>
      <c r="K892" s="60">
        <v>18.036332999999999</v>
      </c>
      <c r="L892">
        <v>106.428271</v>
      </c>
    </row>
    <row r="893" spans="1:12" hidden="1" x14ac:dyDescent="0.35">
      <c r="A893" s="60" t="s">
        <v>5334</v>
      </c>
      <c r="B893" s="60" t="s">
        <v>5335</v>
      </c>
      <c r="C893" s="60" t="s">
        <v>5336</v>
      </c>
      <c r="D893" s="60" t="s">
        <v>5312</v>
      </c>
      <c r="E893" t="str">
        <f>VLOOKUP(Table10[[#This Row],[Country]],Countries!$A$1:$D$205,2,TRUE)</f>
        <v>USA</v>
      </c>
      <c r="F893" s="60">
        <v>2007</v>
      </c>
      <c r="G893" s="60" t="s">
        <v>4026</v>
      </c>
      <c r="H893" s="65">
        <v>2500</v>
      </c>
      <c r="I893" s="65">
        <v>1700</v>
      </c>
      <c r="J893" s="60" t="s">
        <v>4049</v>
      </c>
      <c r="K893" s="60">
        <v>21.015360000000001</v>
      </c>
      <c r="L893">
        <v>106.536023</v>
      </c>
    </row>
    <row r="894" spans="1:12" hidden="1" x14ac:dyDescent="0.35">
      <c r="A894" s="60" t="s">
        <v>5337</v>
      </c>
      <c r="B894" s="60" t="s">
        <v>5338</v>
      </c>
      <c r="C894" s="60" t="s">
        <v>5339</v>
      </c>
      <c r="D894" s="60" t="s">
        <v>5312</v>
      </c>
      <c r="E894" t="str">
        <f>VLOOKUP(Table10[[#This Row],[Country]],Countries!$A$1:$D$205,2,TRUE)</f>
        <v>USA</v>
      </c>
      <c r="F894" s="60">
        <v>2014</v>
      </c>
      <c r="G894" s="60" t="s">
        <v>4026</v>
      </c>
      <c r="H894" s="65">
        <v>500</v>
      </c>
      <c r="I894" s="65">
        <v>500</v>
      </c>
      <c r="J894" s="60" t="s">
        <v>4049</v>
      </c>
      <c r="K894" s="60">
        <v>22.306930999999999</v>
      </c>
      <c r="L894">
        <v>104.12992</v>
      </c>
    </row>
    <row r="895" spans="1:12" hidden="1" x14ac:dyDescent="0.35">
      <c r="A895" s="60" t="s">
        <v>5340</v>
      </c>
      <c r="B895" s="60" t="s">
        <v>5341</v>
      </c>
      <c r="C895" s="60" t="s">
        <v>5342</v>
      </c>
      <c r="D895" s="60" t="s">
        <v>5312</v>
      </c>
      <c r="E895" t="str">
        <f>VLOOKUP(Table10[[#This Row],[Country]],Countries!$A$1:$D$205,2,TRUE)</f>
        <v>USA</v>
      </c>
      <c r="F895" s="60">
        <v>2017</v>
      </c>
      <c r="G895" s="60" t="s">
        <v>4026</v>
      </c>
      <c r="H895" s="65">
        <v>5600</v>
      </c>
      <c r="I895" s="65">
        <v>4000</v>
      </c>
      <c r="J895" s="60" t="s">
        <v>4049</v>
      </c>
      <c r="K895" s="60">
        <v>15.37768</v>
      </c>
      <c r="L895">
        <v>108.79332100000001</v>
      </c>
    </row>
    <row r="896" spans="1:12" hidden="1" x14ac:dyDescent="0.35">
      <c r="A896" s="60" t="s">
        <v>5343</v>
      </c>
      <c r="B896" s="60" t="s">
        <v>5341</v>
      </c>
      <c r="C896" s="60" t="s">
        <v>5342</v>
      </c>
      <c r="D896" s="60" t="s">
        <v>5312</v>
      </c>
      <c r="E896" t="str">
        <f>VLOOKUP(Table10[[#This Row],[Country]],Countries!$A$1:$D$205,2,TRUE)</f>
        <v>USA</v>
      </c>
      <c r="F896" s="60">
        <v>2025</v>
      </c>
      <c r="G896" s="60" t="s">
        <v>4037</v>
      </c>
      <c r="H896" s="65">
        <v>8400</v>
      </c>
      <c r="I896" s="65">
        <v>6000</v>
      </c>
      <c r="J896" s="60" t="s">
        <v>4163</v>
      </c>
      <c r="K896" s="60">
        <v>15.37768</v>
      </c>
      <c r="L896">
        <v>108.79332100000001</v>
      </c>
    </row>
    <row r="897" spans="1:12" hidden="1" x14ac:dyDescent="0.35">
      <c r="A897" s="60" t="s">
        <v>5344</v>
      </c>
      <c r="B897" s="60" t="s">
        <v>5345</v>
      </c>
      <c r="C897" s="60" t="s">
        <v>5346</v>
      </c>
      <c r="D897" s="60" t="s">
        <v>5312</v>
      </c>
      <c r="E897" t="str">
        <f>VLOOKUP(Table10[[#This Row],[Country]],Countries!$A$1:$D$205,2,TRUE)</f>
        <v>USA</v>
      </c>
      <c r="F897" s="60">
        <v>1963</v>
      </c>
      <c r="G897" s="60" t="s">
        <v>4026</v>
      </c>
      <c r="H897" s="65">
        <v>500</v>
      </c>
      <c r="I897" s="65">
        <v>442</v>
      </c>
      <c r="J897" s="60" t="s">
        <v>4412</v>
      </c>
      <c r="K897" s="60">
        <v>21.557483999999999</v>
      </c>
      <c r="L897">
        <v>105.8728</v>
      </c>
    </row>
    <row r="898" spans="1:12" hidden="1" x14ac:dyDescent="0.35">
      <c r="A898" s="60" t="s">
        <v>5347</v>
      </c>
      <c r="B898" s="60" t="s">
        <v>5345</v>
      </c>
      <c r="C898" s="60" t="s">
        <v>5346</v>
      </c>
      <c r="D898" s="60" t="s">
        <v>5312</v>
      </c>
      <c r="E898" t="str">
        <f>VLOOKUP(Table10[[#This Row],[Country]],Countries!$A$1:$D$205,2,TRUE)</f>
        <v>USA</v>
      </c>
      <c r="F898" s="60" t="s">
        <v>4036</v>
      </c>
      <c r="G898" s="60" t="s">
        <v>4021</v>
      </c>
      <c r="H898" s="65">
        <v>500</v>
      </c>
      <c r="I898" s="65" t="s">
        <v>4036</v>
      </c>
      <c r="J898" s="60" t="s">
        <v>4412</v>
      </c>
      <c r="K898" s="60">
        <v>21.557483999999999</v>
      </c>
      <c r="L898">
        <v>105.8728</v>
      </c>
    </row>
    <row r="899" spans="1:12" hidden="1" x14ac:dyDescent="0.35">
      <c r="A899" s="60" t="s">
        <v>5348</v>
      </c>
      <c r="B899" s="60" t="s">
        <v>5349</v>
      </c>
      <c r="C899" s="60" t="s">
        <v>5350</v>
      </c>
      <c r="D899" s="60" t="s">
        <v>5312</v>
      </c>
      <c r="E899" t="str">
        <f>VLOOKUP(Table10[[#This Row],[Country]],Countries!$A$1:$D$205,2,TRUE)</f>
        <v>USA</v>
      </c>
      <c r="F899" s="60">
        <v>2018</v>
      </c>
      <c r="G899" s="60" t="s">
        <v>4026</v>
      </c>
      <c r="H899" s="65">
        <v>3150</v>
      </c>
      <c r="I899" s="65" t="s">
        <v>4022</v>
      </c>
      <c r="J899" s="60" t="s">
        <v>4023</v>
      </c>
      <c r="K899" s="60">
        <v>19.326924000000002</v>
      </c>
      <c r="L899">
        <v>105.777449</v>
      </c>
    </row>
    <row r="900" spans="1:12" hidden="1" x14ac:dyDescent="0.35">
      <c r="A900" s="60" t="s">
        <v>5351</v>
      </c>
      <c r="B900" s="60" t="s">
        <v>3138</v>
      </c>
      <c r="C900" s="60" t="s">
        <v>3137</v>
      </c>
      <c r="D900" s="60" t="s">
        <v>351</v>
      </c>
      <c r="E900" t="str">
        <f>VLOOKUP(Table10[[#This Row],[Country]],Countries!$A$1:$D$205,2,TRUE)</f>
        <v>ARG</v>
      </c>
      <c r="F900" s="60">
        <v>1962</v>
      </c>
      <c r="G900" s="60" t="s">
        <v>4026</v>
      </c>
      <c r="H900" s="65">
        <v>1300</v>
      </c>
      <c r="I900" s="65">
        <v>610</v>
      </c>
      <c r="J900" s="60" t="s">
        <v>4034</v>
      </c>
      <c r="K900" s="60">
        <v>-34.152554000000002</v>
      </c>
      <c r="L900">
        <v>-58.977387999999998</v>
      </c>
    </row>
    <row r="901" spans="1:12" hidden="1" x14ac:dyDescent="0.35">
      <c r="A901" s="60" t="s">
        <v>5352</v>
      </c>
      <c r="B901" s="60" t="s">
        <v>5353</v>
      </c>
      <c r="C901" s="60" t="s">
        <v>3137</v>
      </c>
      <c r="D901" s="60" t="s">
        <v>351</v>
      </c>
      <c r="E901" t="str">
        <f>VLOOKUP(Table10[[#This Row],[Country]],Countries!$A$1:$D$205,2,TRUE)</f>
        <v>ARG</v>
      </c>
      <c r="F901" s="60">
        <v>1960</v>
      </c>
      <c r="G901" s="60" t="s">
        <v>4026</v>
      </c>
      <c r="H901" s="65">
        <v>3200</v>
      </c>
      <c r="I901" s="65">
        <v>3220</v>
      </c>
      <c r="J901" s="60" t="s">
        <v>4049</v>
      </c>
      <c r="K901" s="60">
        <v>-33.373649999999998</v>
      </c>
      <c r="L901">
        <v>-60.138697000000001</v>
      </c>
    </row>
    <row r="902" spans="1:12" hidden="1" x14ac:dyDescent="0.35">
      <c r="A902" s="60" t="s">
        <v>5354</v>
      </c>
      <c r="B902" s="60" t="s">
        <v>5355</v>
      </c>
      <c r="C902" s="60" t="s">
        <v>3151</v>
      </c>
      <c r="D902" s="60" t="s">
        <v>351</v>
      </c>
      <c r="E902" t="str">
        <f>VLOOKUP(Table10[[#This Row],[Country]],Countries!$A$1:$D$205,2,TRUE)</f>
        <v>ARG</v>
      </c>
      <c r="F902" s="60">
        <v>2017</v>
      </c>
      <c r="G902" s="60" t="s">
        <v>4026</v>
      </c>
      <c r="H902" s="65">
        <v>650</v>
      </c>
      <c r="I902" s="65" t="s">
        <v>4022</v>
      </c>
      <c r="J902" s="60" t="s">
        <v>4023</v>
      </c>
      <c r="K902" s="60">
        <v>-32.991233600000001</v>
      </c>
      <c r="L902">
        <v>-60.758873299999998</v>
      </c>
    </row>
    <row r="903" spans="1:12" hidden="1" x14ac:dyDescent="0.35">
      <c r="A903" s="60" t="s">
        <v>5356</v>
      </c>
      <c r="B903" s="60" t="s">
        <v>5357</v>
      </c>
      <c r="C903" s="60" t="s">
        <v>3151</v>
      </c>
      <c r="D903" s="60" t="s">
        <v>351</v>
      </c>
      <c r="E903" t="str">
        <f>VLOOKUP(Table10[[#This Row],[Country]],Countries!$A$1:$D$205,2,TRUE)</f>
        <v>ARG</v>
      </c>
      <c r="F903" s="60">
        <v>1946</v>
      </c>
      <c r="G903" s="60" t="s">
        <v>4026</v>
      </c>
      <c r="H903" s="65">
        <v>1750</v>
      </c>
      <c r="I903" s="65">
        <v>600</v>
      </c>
      <c r="J903" s="60" t="s">
        <v>4034</v>
      </c>
      <c r="K903" s="60">
        <v>-33.249935999999998</v>
      </c>
      <c r="L903">
        <v>-60.300415000000001</v>
      </c>
    </row>
    <row r="904" spans="1:12" hidden="1" x14ac:dyDescent="0.35">
      <c r="A904" s="60" t="s">
        <v>5358</v>
      </c>
      <c r="B904" s="60" t="s">
        <v>5359</v>
      </c>
      <c r="C904" s="60" t="s">
        <v>5360</v>
      </c>
      <c r="D904" s="60" t="s">
        <v>364</v>
      </c>
      <c r="E904" t="str">
        <f>VLOOKUP(Table10[[#This Row],[Country]],Countries!$A$1:$D$205,2,TRUE)</f>
        <v>BRA</v>
      </c>
      <c r="F904" s="60">
        <v>2016</v>
      </c>
      <c r="G904" s="60" t="s">
        <v>4026</v>
      </c>
      <c r="H904" s="65">
        <v>3000</v>
      </c>
      <c r="I904" s="65">
        <v>3192</v>
      </c>
      <c r="J904" s="60" t="s">
        <v>4049</v>
      </c>
      <c r="K904" s="60">
        <v>-3.5859169999999998</v>
      </c>
      <c r="L904">
        <v>-38.858932000000003</v>
      </c>
    </row>
    <row r="905" spans="1:12" hidden="1" x14ac:dyDescent="0.35">
      <c r="A905" s="60" t="s">
        <v>5361</v>
      </c>
      <c r="B905" s="60" t="s">
        <v>5362</v>
      </c>
      <c r="C905" s="60" t="s">
        <v>5363</v>
      </c>
      <c r="D905" s="60" t="s">
        <v>364</v>
      </c>
      <c r="E905" t="str">
        <f>VLOOKUP(Table10[[#This Row],[Country]],Countries!$A$1:$D$205,2,TRUE)</f>
        <v>BRA</v>
      </c>
      <c r="F905" s="60">
        <v>1942</v>
      </c>
      <c r="G905" s="60" t="s">
        <v>4026</v>
      </c>
      <c r="H905" s="65">
        <v>600</v>
      </c>
      <c r="I905" s="65" t="s">
        <v>4022</v>
      </c>
      <c r="J905" s="60" t="s">
        <v>4023</v>
      </c>
      <c r="K905" s="60">
        <v>-20.34291</v>
      </c>
      <c r="L905">
        <v>-40.360863999999999</v>
      </c>
    </row>
    <row r="906" spans="1:12" hidden="1" x14ac:dyDescent="0.35">
      <c r="A906" s="60" t="s">
        <v>5364</v>
      </c>
      <c r="B906" s="60" t="s">
        <v>5362</v>
      </c>
      <c r="C906" s="60" t="s">
        <v>5363</v>
      </c>
      <c r="D906" s="60" t="s">
        <v>364</v>
      </c>
      <c r="E906" t="str">
        <f>VLOOKUP(Table10[[#This Row],[Country]],Countries!$A$1:$D$205,2,TRUE)</f>
        <v>BRA</v>
      </c>
      <c r="F906" s="60" t="s">
        <v>4036</v>
      </c>
      <c r="G906" s="60" t="s">
        <v>4037</v>
      </c>
      <c r="H906" s="65">
        <v>200</v>
      </c>
      <c r="I906" s="65" t="s">
        <v>4022</v>
      </c>
      <c r="J906" s="60" t="s">
        <v>4023</v>
      </c>
      <c r="K906" s="60">
        <v>-20.34291</v>
      </c>
      <c r="L906">
        <v>-40.360864999999997</v>
      </c>
    </row>
    <row r="907" spans="1:12" hidden="1" x14ac:dyDescent="0.35">
      <c r="A907" s="60" t="s">
        <v>5365</v>
      </c>
      <c r="B907" s="60" t="s">
        <v>5366</v>
      </c>
      <c r="C907" s="60" t="s">
        <v>5363</v>
      </c>
      <c r="D907" s="60" t="s">
        <v>364</v>
      </c>
      <c r="E907" t="str">
        <f>VLOOKUP(Table10[[#This Row],[Country]],Countries!$A$1:$D$205,2,TRUE)</f>
        <v>BRA</v>
      </c>
      <c r="F907" s="60">
        <v>1983</v>
      </c>
      <c r="G907" s="60" t="s">
        <v>4026</v>
      </c>
      <c r="H907" s="65">
        <v>7500</v>
      </c>
      <c r="I907" s="65">
        <v>7280</v>
      </c>
      <c r="J907" s="60" t="s">
        <v>4049</v>
      </c>
      <c r="K907" s="60">
        <v>-20.253447000000001</v>
      </c>
      <c r="L907">
        <v>-40.242297999999998</v>
      </c>
    </row>
    <row r="908" spans="1:12" hidden="1" x14ac:dyDescent="0.35">
      <c r="A908" s="60" t="s">
        <v>5367</v>
      </c>
      <c r="B908" s="60" t="s">
        <v>5368</v>
      </c>
      <c r="C908" s="60" t="s">
        <v>5369</v>
      </c>
      <c r="D908" s="60" t="s">
        <v>364</v>
      </c>
      <c r="E908" t="str">
        <f>VLOOKUP(Table10[[#This Row],[Country]],Countries!$A$1:$D$205,2,TRUE)</f>
        <v>BRA</v>
      </c>
      <c r="F908" s="60">
        <v>2015</v>
      </c>
      <c r="G908" s="60" t="s">
        <v>4026</v>
      </c>
      <c r="H908" s="65">
        <v>600</v>
      </c>
      <c r="I908" s="65">
        <v>720</v>
      </c>
      <c r="J908" s="60" t="s">
        <v>4049</v>
      </c>
      <c r="K908" s="60">
        <v>-4.8743730000000003</v>
      </c>
      <c r="L908">
        <v>-47.4073517</v>
      </c>
    </row>
    <row r="909" spans="1:12" hidden="1" x14ac:dyDescent="0.35">
      <c r="A909" s="60" t="s">
        <v>5370</v>
      </c>
      <c r="B909" s="60" t="s">
        <v>5368</v>
      </c>
      <c r="C909" s="60" t="s">
        <v>5369</v>
      </c>
      <c r="D909" s="60" t="s">
        <v>364</v>
      </c>
      <c r="E909" t="str">
        <f>VLOOKUP(Table10[[#This Row],[Country]],Countries!$A$1:$D$205,2,TRUE)</f>
        <v>BRA</v>
      </c>
      <c r="F909" s="60">
        <v>1988</v>
      </c>
      <c r="G909" s="60" t="s">
        <v>4026</v>
      </c>
      <c r="H909" s="65" t="s">
        <v>4022</v>
      </c>
      <c r="I909" s="65">
        <v>500</v>
      </c>
      <c r="J909" s="60" t="s">
        <v>4111</v>
      </c>
      <c r="K909" s="60">
        <v>-4.8878769999999996</v>
      </c>
      <c r="L909">
        <v>-47.392156999999997</v>
      </c>
    </row>
    <row r="910" spans="1:12" hidden="1" x14ac:dyDescent="0.35">
      <c r="A910" s="60" t="s">
        <v>5371</v>
      </c>
      <c r="B910" s="60" t="s">
        <v>5372</v>
      </c>
      <c r="C910" s="60" t="s">
        <v>3191</v>
      </c>
      <c r="D910" s="60" t="s">
        <v>364</v>
      </c>
      <c r="E910" t="str">
        <f>VLOOKUP(Table10[[#This Row],[Country]],Countries!$A$1:$D$205,2,TRUE)</f>
        <v>BRA</v>
      </c>
      <c r="F910" s="60">
        <v>1953</v>
      </c>
      <c r="G910" s="60" t="s">
        <v>4026</v>
      </c>
      <c r="H910" s="65">
        <v>600</v>
      </c>
      <c r="I910" s="65">
        <v>430</v>
      </c>
      <c r="J910" s="60" t="s">
        <v>4049</v>
      </c>
      <c r="K910" s="60">
        <v>-20.153931</v>
      </c>
      <c r="L910">
        <v>-44.878995000000003</v>
      </c>
    </row>
    <row r="911" spans="1:12" hidden="1" x14ac:dyDescent="0.35">
      <c r="A911" s="60" t="s">
        <v>5373</v>
      </c>
      <c r="B911" s="60" t="s">
        <v>5374</v>
      </c>
      <c r="C911" s="60" t="s">
        <v>3191</v>
      </c>
      <c r="D911" s="60" t="s">
        <v>364</v>
      </c>
      <c r="E911" t="str">
        <f>VLOOKUP(Table10[[#This Row],[Country]],Countries!$A$1:$D$205,2,TRUE)</f>
        <v>BRA</v>
      </c>
      <c r="F911" s="60">
        <v>1962</v>
      </c>
      <c r="G911" s="60" t="s">
        <v>4026</v>
      </c>
      <c r="H911" s="65">
        <v>5000</v>
      </c>
      <c r="I911" s="65">
        <v>3620</v>
      </c>
      <c r="J911" s="60" t="s">
        <v>4049</v>
      </c>
      <c r="K911" s="60">
        <v>-19.491277</v>
      </c>
      <c r="L911">
        <v>-42.544252999999998</v>
      </c>
    </row>
    <row r="912" spans="1:12" hidden="1" x14ac:dyDescent="0.35">
      <c r="A912" s="60" t="s">
        <v>5375</v>
      </c>
      <c r="B912" s="60" t="s">
        <v>5376</v>
      </c>
      <c r="C912" s="60" t="s">
        <v>3191</v>
      </c>
      <c r="D912" s="60" t="s">
        <v>364</v>
      </c>
      <c r="E912" t="str">
        <f>VLOOKUP(Table10[[#This Row],[Country]],Countries!$A$1:$D$205,2,TRUE)</f>
        <v>BRA</v>
      </c>
      <c r="F912" s="60">
        <v>2011</v>
      </c>
      <c r="G912" s="60" t="s">
        <v>4026</v>
      </c>
      <c r="H912" s="65">
        <v>1000</v>
      </c>
      <c r="I912" s="65">
        <v>350</v>
      </c>
      <c r="J912" s="60" t="s">
        <v>4027</v>
      </c>
      <c r="K912" s="60">
        <v>-20.582682999999999</v>
      </c>
      <c r="L912">
        <v>-43.971555000000002</v>
      </c>
    </row>
    <row r="913" spans="1:12" hidden="1" x14ac:dyDescent="0.35">
      <c r="A913" s="60" t="s">
        <v>5377</v>
      </c>
      <c r="B913" s="60" t="s">
        <v>5378</v>
      </c>
      <c r="C913" s="60" t="s">
        <v>3191</v>
      </c>
      <c r="D913" s="60" t="s">
        <v>364</v>
      </c>
      <c r="E913" t="str">
        <f>VLOOKUP(Table10[[#This Row],[Country]],Countries!$A$1:$D$205,2,TRUE)</f>
        <v>BRA</v>
      </c>
      <c r="F913" s="60">
        <v>1937</v>
      </c>
      <c r="G913" s="60" t="s">
        <v>4026</v>
      </c>
      <c r="H913" s="65">
        <v>1200</v>
      </c>
      <c r="I913" s="65">
        <v>1040</v>
      </c>
      <c r="J913" s="60" t="s">
        <v>4049</v>
      </c>
      <c r="K913" s="60">
        <v>-19.832128999999998</v>
      </c>
      <c r="L913">
        <v>-43.130164000000001</v>
      </c>
    </row>
    <row r="914" spans="1:12" hidden="1" x14ac:dyDescent="0.35">
      <c r="A914" s="60" t="s">
        <v>5379</v>
      </c>
      <c r="B914" s="60" t="s">
        <v>5378</v>
      </c>
      <c r="C914" s="60" t="s">
        <v>3191</v>
      </c>
      <c r="D914" s="60" t="s">
        <v>364</v>
      </c>
      <c r="E914" t="str">
        <f>VLOOKUP(Table10[[#This Row],[Country]],Countries!$A$1:$D$205,2,TRUE)</f>
        <v>BRA</v>
      </c>
      <c r="F914" s="60">
        <v>2024</v>
      </c>
      <c r="G914" s="60" t="s">
        <v>4021</v>
      </c>
      <c r="H914" s="65">
        <v>1000</v>
      </c>
      <c r="I914" s="65">
        <v>1200</v>
      </c>
      <c r="J914" s="60" t="s">
        <v>4027</v>
      </c>
      <c r="K914" s="60">
        <v>-19.832128999999998</v>
      </c>
      <c r="L914">
        <v>-43.130164999999998</v>
      </c>
    </row>
    <row r="915" spans="1:12" hidden="1" x14ac:dyDescent="0.35">
      <c r="A915" s="60" t="s">
        <v>5380</v>
      </c>
      <c r="B915" s="60" t="s">
        <v>5381</v>
      </c>
      <c r="C915" s="60" t="s">
        <v>3191</v>
      </c>
      <c r="D915" s="60" t="s">
        <v>364</v>
      </c>
      <c r="E915" t="str">
        <f>VLOOKUP(Table10[[#This Row],[Country]],Countries!$A$1:$D$205,2,TRUE)</f>
        <v>BRA</v>
      </c>
      <c r="F915" s="60">
        <v>1984</v>
      </c>
      <c r="G915" s="60" t="s">
        <v>4026</v>
      </c>
      <c r="H915" s="65">
        <v>1100</v>
      </c>
      <c r="I915" s="65">
        <v>360</v>
      </c>
      <c r="J915" s="60" t="s">
        <v>4027</v>
      </c>
      <c r="K915" s="60">
        <v>-21.626963</v>
      </c>
      <c r="L915">
        <v>-43.462361000000001</v>
      </c>
    </row>
    <row r="916" spans="1:12" hidden="1" x14ac:dyDescent="0.35">
      <c r="A916" s="60" t="s">
        <v>5382</v>
      </c>
      <c r="B916" s="60" t="s">
        <v>5381</v>
      </c>
      <c r="C916" s="60" t="s">
        <v>3191</v>
      </c>
      <c r="D916" s="60" t="s">
        <v>364</v>
      </c>
      <c r="E916" t="str">
        <f>VLOOKUP(Table10[[#This Row],[Country]],Countries!$A$1:$D$205,2,TRUE)</f>
        <v>BRA</v>
      </c>
      <c r="F916" s="60" t="s">
        <v>4022</v>
      </c>
      <c r="G916" s="60" t="s">
        <v>4029</v>
      </c>
      <c r="H916" s="65">
        <v>200</v>
      </c>
      <c r="I916" s="65" t="s">
        <v>4022</v>
      </c>
      <c r="J916" s="60" t="s">
        <v>4023</v>
      </c>
      <c r="K916" s="60">
        <v>-21.626963</v>
      </c>
      <c r="L916">
        <v>-43.462361999999999</v>
      </c>
    </row>
    <row r="917" spans="1:12" hidden="1" x14ac:dyDescent="0.35">
      <c r="A917" s="60" t="s">
        <v>5383</v>
      </c>
      <c r="B917" s="60" t="s">
        <v>5384</v>
      </c>
      <c r="C917" s="60" t="s">
        <v>3191</v>
      </c>
      <c r="D917" s="60" t="s">
        <v>364</v>
      </c>
      <c r="E917" t="str">
        <f>VLOOKUP(Table10[[#This Row],[Country]],Countries!$A$1:$D$205,2,TRUE)</f>
        <v>BRA</v>
      </c>
      <c r="F917" s="60">
        <v>1986</v>
      </c>
      <c r="G917" s="60" t="s">
        <v>4026</v>
      </c>
      <c r="H917" s="65">
        <v>4500</v>
      </c>
      <c r="I917" s="65">
        <v>4429</v>
      </c>
      <c r="J917" s="60" t="s">
        <v>4049</v>
      </c>
      <c r="K917" s="60">
        <v>-20.543507000000002</v>
      </c>
      <c r="L917">
        <v>-43.752949999999998</v>
      </c>
    </row>
    <row r="918" spans="1:12" hidden="1" x14ac:dyDescent="0.35">
      <c r="A918" s="60" t="s">
        <v>5385</v>
      </c>
      <c r="B918" s="60" t="s">
        <v>5386</v>
      </c>
      <c r="C918" s="60" t="s">
        <v>3191</v>
      </c>
      <c r="D918" s="60" t="s">
        <v>364</v>
      </c>
      <c r="E918" t="str">
        <f>VLOOKUP(Table10[[#This Row],[Country]],Countries!$A$1:$D$205,2,TRUE)</f>
        <v>BRA</v>
      </c>
      <c r="F918" s="60">
        <v>1949</v>
      </c>
      <c r="G918" s="60" t="s">
        <v>4026</v>
      </c>
      <c r="H918" s="65">
        <v>900</v>
      </c>
      <c r="I918" s="65">
        <v>701</v>
      </c>
      <c r="J918" s="60" t="s">
        <v>4161</v>
      </c>
      <c r="K918" s="60">
        <v>-19.531272000000001</v>
      </c>
      <c r="L918">
        <v>-42.639978999999997</v>
      </c>
    </row>
    <row r="919" spans="1:12" hidden="1" x14ac:dyDescent="0.35">
      <c r="A919" s="60" t="s">
        <v>5387</v>
      </c>
      <c r="B919" s="60" t="s">
        <v>5388</v>
      </c>
      <c r="C919" s="60" t="s">
        <v>5389</v>
      </c>
      <c r="D919" s="60" t="s">
        <v>364</v>
      </c>
      <c r="E919" t="str">
        <f>VLOOKUP(Table10[[#This Row],[Country]],Countries!$A$1:$D$205,2,TRUE)</f>
        <v>BRA</v>
      </c>
      <c r="F919" s="60">
        <v>1982</v>
      </c>
      <c r="G919" s="60" t="s">
        <v>4026</v>
      </c>
      <c r="H919" s="65">
        <v>540</v>
      </c>
      <c r="I919" s="65" t="s">
        <v>4022</v>
      </c>
      <c r="J919" s="60" t="s">
        <v>4023</v>
      </c>
      <c r="K919" s="60">
        <v>-25.564041</v>
      </c>
      <c r="L919">
        <v>-49.421728999999999</v>
      </c>
    </row>
    <row r="920" spans="1:12" hidden="1" x14ac:dyDescent="0.35">
      <c r="A920" s="60" t="s">
        <v>5390</v>
      </c>
      <c r="B920" s="60" t="s">
        <v>5391</v>
      </c>
      <c r="C920" s="60" t="s">
        <v>3197</v>
      </c>
      <c r="D920" s="60" t="s">
        <v>364</v>
      </c>
      <c r="E920" t="str">
        <f>VLOOKUP(Table10[[#This Row],[Country]],Countries!$A$1:$D$205,2,TRUE)</f>
        <v>BRA</v>
      </c>
      <c r="F920" s="60">
        <v>1937</v>
      </c>
      <c r="G920" s="60" t="s">
        <v>4026</v>
      </c>
      <c r="H920" s="65">
        <v>800</v>
      </c>
      <c r="I920" s="65" t="s">
        <v>4022</v>
      </c>
      <c r="J920" s="60" t="s">
        <v>4023</v>
      </c>
      <c r="K920" s="60">
        <v>-22.525805999999999</v>
      </c>
      <c r="L920">
        <v>-44.191066999999997</v>
      </c>
    </row>
    <row r="921" spans="1:12" hidden="1" x14ac:dyDescent="0.35">
      <c r="A921" s="60" t="s">
        <v>5392</v>
      </c>
      <c r="B921" s="60" t="s">
        <v>5393</v>
      </c>
      <c r="C921" s="60" t="s">
        <v>3197</v>
      </c>
      <c r="D921" s="60" t="s">
        <v>364</v>
      </c>
      <c r="E921" t="str">
        <f>VLOOKUP(Table10[[#This Row],[Country]],Countries!$A$1:$D$205,2,TRUE)</f>
        <v>BRA</v>
      </c>
      <c r="F921" s="60">
        <v>2009</v>
      </c>
      <c r="G921" s="60" t="s">
        <v>4026</v>
      </c>
      <c r="H921" s="65">
        <v>1000</v>
      </c>
      <c r="I921" s="65" t="s">
        <v>4022</v>
      </c>
      <c r="J921" s="60" t="s">
        <v>4023</v>
      </c>
      <c r="K921" s="60">
        <v>-22.493597000000001</v>
      </c>
      <c r="L921">
        <v>-44.512627999999999</v>
      </c>
    </row>
    <row r="922" spans="1:12" hidden="1" x14ac:dyDescent="0.35">
      <c r="A922" s="60" t="s">
        <v>5394</v>
      </c>
      <c r="B922" s="60" t="s">
        <v>3179</v>
      </c>
      <c r="C922" s="60" t="s">
        <v>3197</v>
      </c>
      <c r="D922" s="60" t="s">
        <v>364</v>
      </c>
      <c r="E922" t="str">
        <f>VLOOKUP(Table10[[#This Row],[Country]],Countries!$A$1:$D$205,2,TRUE)</f>
        <v>BRA</v>
      </c>
      <c r="F922" s="60">
        <v>2010</v>
      </c>
      <c r="G922" s="60" t="s">
        <v>4026</v>
      </c>
      <c r="H922" s="65">
        <v>5200</v>
      </c>
      <c r="I922" s="65">
        <v>5300</v>
      </c>
      <c r="J922" s="60" t="s">
        <v>4049</v>
      </c>
      <c r="K922" s="60">
        <v>-22.912548999999999</v>
      </c>
      <c r="L922">
        <v>-43.741613999999998</v>
      </c>
    </row>
    <row r="923" spans="1:12" hidden="1" x14ac:dyDescent="0.35">
      <c r="A923" s="60" t="s">
        <v>5395</v>
      </c>
      <c r="B923" s="60" t="s">
        <v>3179</v>
      </c>
      <c r="C923" s="60" t="s">
        <v>3197</v>
      </c>
      <c r="D923" s="60" t="s">
        <v>364</v>
      </c>
      <c r="E923" t="str">
        <f>VLOOKUP(Table10[[#This Row],[Country]],Countries!$A$1:$D$205,2,TRUE)</f>
        <v>BRA</v>
      </c>
      <c r="F923" s="60">
        <v>1971</v>
      </c>
      <c r="G923" s="60" t="s">
        <v>4026</v>
      </c>
      <c r="H923" s="65">
        <v>1400</v>
      </c>
      <c r="I923" s="65" t="s">
        <v>4022</v>
      </c>
      <c r="J923" s="60" t="s">
        <v>4023</v>
      </c>
      <c r="K923" s="60">
        <v>-22.902419999999999</v>
      </c>
      <c r="L923">
        <v>-43.749319</v>
      </c>
    </row>
    <row r="924" spans="1:12" hidden="1" x14ac:dyDescent="0.35">
      <c r="A924" s="60" t="s">
        <v>5396</v>
      </c>
      <c r="B924" s="60" t="s">
        <v>5397</v>
      </c>
      <c r="C924" s="60" t="s">
        <v>3197</v>
      </c>
      <c r="D924" s="60" t="s">
        <v>364</v>
      </c>
      <c r="E924" t="str">
        <f>VLOOKUP(Table10[[#This Row],[Country]],Countries!$A$1:$D$205,2,TRUE)</f>
        <v>BRA</v>
      </c>
      <c r="F924" s="60">
        <v>1946</v>
      </c>
      <c r="G924" s="60" t="s">
        <v>4026</v>
      </c>
      <c r="H924" s="65">
        <v>6250</v>
      </c>
      <c r="I924" s="65">
        <v>5658</v>
      </c>
      <c r="J924" s="60" t="s">
        <v>4161</v>
      </c>
      <c r="K924" s="60">
        <v>-22.512630999999999</v>
      </c>
      <c r="L924">
        <v>-44.112870000000001</v>
      </c>
    </row>
    <row r="925" spans="1:12" hidden="1" x14ac:dyDescent="0.35">
      <c r="A925" s="60" t="s">
        <v>5398</v>
      </c>
      <c r="B925" s="60" t="s">
        <v>5399</v>
      </c>
      <c r="C925" s="60" t="s">
        <v>5400</v>
      </c>
      <c r="D925" s="60" t="s">
        <v>364</v>
      </c>
      <c r="E925" t="str">
        <f>VLOOKUP(Table10[[#This Row],[Country]],Countries!$A$1:$D$205,2,TRUE)</f>
        <v>BRA</v>
      </c>
      <c r="F925" s="60">
        <v>2006</v>
      </c>
      <c r="G925" s="60" t="s">
        <v>4026</v>
      </c>
      <c r="H925" s="65">
        <v>950</v>
      </c>
      <c r="I925" s="65" t="s">
        <v>4022</v>
      </c>
      <c r="J925" s="60" t="s">
        <v>4023</v>
      </c>
      <c r="K925" s="60">
        <v>-23.438639999999999</v>
      </c>
      <c r="L925">
        <v>-47.088250000000002</v>
      </c>
    </row>
    <row r="926" spans="1:12" hidden="1" x14ac:dyDescent="0.35">
      <c r="A926" s="60" t="s">
        <v>5401</v>
      </c>
      <c r="B926" s="60" t="s">
        <v>5402</v>
      </c>
      <c r="C926" s="60" t="s">
        <v>5400</v>
      </c>
      <c r="D926" s="60" t="s">
        <v>364</v>
      </c>
      <c r="E926" t="str">
        <f>VLOOKUP(Table10[[#This Row],[Country]],Countries!$A$1:$D$205,2,TRUE)</f>
        <v>BRA</v>
      </c>
      <c r="F926" s="60">
        <v>1963</v>
      </c>
      <c r="G926" s="60" t="s">
        <v>4107</v>
      </c>
      <c r="H926" s="65">
        <v>4500</v>
      </c>
      <c r="I926" s="65">
        <v>4500</v>
      </c>
      <c r="J926" s="60" t="s">
        <v>4049</v>
      </c>
      <c r="K926" s="60">
        <v>-23.863092000000002</v>
      </c>
      <c r="L926">
        <v>-46.376294000000001</v>
      </c>
    </row>
    <row r="927" spans="1:12" hidden="1" x14ac:dyDescent="0.35">
      <c r="A927" s="60" t="s">
        <v>5403</v>
      </c>
      <c r="B927" s="60" t="s">
        <v>5404</v>
      </c>
      <c r="C927" s="60" t="s">
        <v>5400</v>
      </c>
      <c r="D927" s="60" t="s">
        <v>364</v>
      </c>
      <c r="E927" t="str">
        <f>VLOOKUP(Table10[[#This Row],[Country]],Countries!$A$1:$D$205,2,TRUE)</f>
        <v>BRA</v>
      </c>
      <c r="F927" s="60">
        <v>2015</v>
      </c>
      <c r="G927" s="60" t="s">
        <v>4026</v>
      </c>
      <c r="H927" s="65">
        <v>500</v>
      </c>
      <c r="I927" s="65" t="s">
        <v>4022</v>
      </c>
      <c r="J927" s="60" t="s">
        <v>4023</v>
      </c>
      <c r="K927" s="60">
        <v>-22.921911999999999</v>
      </c>
      <c r="L927">
        <v>-45.413234000000003</v>
      </c>
    </row>
    <row r="928" spans="1:12" hidden="1" x14ac:dyDescent="0.35">
      <c r="A928" s="60" t="s">
        <v>5405</v>
      </c>
      <c r="B928" s="60" t="s">
        <v>5404</v>
      </c>
      <c r="C928" s="60" t="s">
        <v>5400</v>
      </c>
      <c r="D928" s="60" t="s">
        <v>364</v>
      </c>
      <c r="E928" t="str">
        <f>VLOOKUP(Table10[[#This Row],[Country]],Countries!$A$1:$D$205,2,TRUE)</f>
        <v>BRA</v>
      </c>
      <c r="F928" s="60">
        <v>2024</v>
      </c>
      <c r="G928" s="60" t="s">
        <v>4021</v>
      </c>
      <c r="H928" s="65">
        <v>500</v>
      </c>
      <c r="I928" s="65" t="s">
        <v>4022</v>
      </c>
      <c r="J928" s="60" t="s">
        <v>4023</v>
      </c>
      <c r="K928" s="60">
        <v>-22.921911999999999</v>
      </c>
      <c r="L928">
        <v>-45.413235</v>
      </c>
    </row>
    <row r="929" spans="1:12" hidden="1" x14ac:dyDescent="0.35">
      <c r="A929" s="60" t="s">
        <v>5406</v>
      </c>
      <c r="B929" s="60" t="s">
        <v>5404</v>
      </c>
      <c r="C929" s="60" t="s">
        <v>5400</v>
      </c>
      <c r="D929" s="60" t="s">
        <v>364</v>
      </c>
      <c r="E929" t="str">
        <f>VLOOKUP(Table10[[#This Row],[Country]],Countries!$A$1:$D$205,2,TRUE)</f>
        <v>BRA</v>
      </c>
      <c r="F929" s="60">
        <v>1980</v>
      </c>
      <c r="G929" s="60" t="s">
        <v>4026</v>
      </c>
      <c r="H929" s="65">
        <v>620</v>
      </c>
      <c r="I929" s="65" t="s">
        <v>4022</v>
      </c>
      <c r="J929" s="60" t="s">
        <v>4023</v>
      </c>
      <c r="K929" s="60">
        <v>-22.899180000000001</v>
      </c>
      <c r="L929">
        <v>-45.347726000000002</v>
      </c>
    </row>
    <row r="930" spans="1:12" hidden="1" x14ac:dyDescent="0.35">
      <c r="A930" s="60" t="s">
        <v>5407</v>
      </c>
      <c r="B930" s="60" t="s">
        <v>5408</v>
      </c>
      <c r="C930" s="60" t="s">
        <v>5400</v>
      </c>
      <c r="D930" s="60" t="s">
        <v>364</v>
      </c>
      <c r="E930" t="str">
        <f>VLOOKUP(Table10[[#This Row],[Country]],Countries!$A$1:$D$205,2,TRUE)</f>
        <v>BRA</v>
      </c>
      <c r="F930" s="60">
        <v>1955</v>
      </c>
      <c r="G930" s="60" t="s">
        <v>4026</v>
      </c>
      <c r="H930" s="65">
        <v>1100</v>
      </c>
      <c r="I930" s="65" t="s">
        <v>4022</v>
      </c>
      <c r="J930" s="60" t="s">
        <v>4023</v>
      </c>
      <c r="K930" s="60">
        <v>-22.698153999999999</v>
      </c>
      <c r="L930">
        <v>-47.657145999999997</v>
      </c>
    </row>
    <row r="931" spans="1:12" hidden="1" x14ac:dyDescent="0.35">
      <c r="A931" s="60" t="s">
        <v>5409</v>
      </c>
      <c r="B931" s="60" t="s">
        <v>5410</v>
      </c>
      <c r="C931" s="60" t="s">
        <v>3228</v>
      </c>
      <c r="D931" s="60" t="s">
        <v>5411</v>
      </c>
      <c r="E931" t="str">
        <f>VLOOKUP(Table10[[#This Row],[Country]],Countries!$A$1:$D$205,2,TRUE)</f>
        <v>CAN</v>
      </c>
      <c r="F931" s="60">
        <v>1950</v>
      </c>
      <c r="G931" s="60" t="s">
        <v>4026</v>
      </c>
      <c r="H931" s="65">
        <v>1450</v>
      </c>
      <c r="I931" s="65">
        <v>1482</v>
      </c>
      <c r="J931" s="60" t="s">
        <v>4049</v>
      </c>
      <c r="K931" s="60">
        <v>-36.746420999999998</v>
      </c>
      <c r="L931">
        <v>-73.129170999999999</v>
      </c>
    </row>
    <row r="932" spans="1:12" hidden="1" x14ac:dyDescent="0.35">
      <c r="A932" s="60" t="s">
        <v>5412</v>
      </c>
      <c r="B932" s="60" t="s">
        <v>5413</v>
      </c>
      <c r="C932" s="60" t="s">
        <v>5414</v>
      </c>
      <c r="D932" s="60" t="s">
        <v>5411</v>
      </c>
      <c r="E932" t="str">
        <f>VLOOKUP(Table10[[#This Row],[Country]],Countries!$A$1:$D$205,2,TRUE)</f>
        <v>CAN</v>
      </c>
      <c r="F932" s="60">
        <v>1999</v>
      </c>
      <c r="G932" s="60" t="s">
        <v>4026</v>
      </c>
      <c r="H932" s="65">
        <v>520</v>
      </c>
      <c r="I932" s="65" t="s">
        <v>4022</v>
      </c>
      <c r="J932" s="60" t="s">
        <v>4023</v>
      </c>
      <c r="K932" s="60">
        <v>-33.294728999999997</v>
      </c>
      <c r="L932">
        <v>-70.727880999999996</v>
      </c>
    </row>
    <row r="933" spans="1:12" hidden="1" x14ac:dyDescent="0.35">
      <c r="A933" s="60" t="s">
        <v>5415</v>
      </c>
      <c r="B933" s="60" t="s">
        <v>5416</v>
      </c>
      <c r="C933" s="60" t="s">
        <v>5417</v>
      </c>
      <c r="D933" s="60" t="s">
        <v>5418</v>
      </c>
      <c r="E933" t="str">
        <f>VLOOKUP(Table10[[#This Row],[Country]],Countries!$A$1:$D$205,2,TRUE)</f>
        <v>GIB</v>
      </c>
      <c r="F933" s="60">
        <v>1994</v>
      </c>
      <c r="G933" s="60" t="s">
        <v>4026</v>
      </c>
      <c r="H933" s="65">
        <v>500</v>
      </c>
      <c r="I933" s="65" t="s">
        <v>4022</v>
      </c>
      <c r="J933" s="60" t="s">
        <v>4023</v>
      </c>
      <c r="K933" s="60">
        <v>14.232006999999999</v>
      </c>
      <c r="L933">
        <v>-90.815443999999999</v>
      </c>
    </row>
    <row r="934" spans="1:12" hidden="1" x14ac:dyDescent="0.35">
      <c r="A934" s="60" t="s">
        <v>5419</v>
      </c>
      <c r="B934" s="60" t="s">
        <v>5420</v>
      </c>
      <c r="C934" s="60" t="s">
        <v>5421</v>
      </c>
      <c r="D934" s="60" t="s">
        <v>5422</v>
      </c>
      <c r="E934" t="str">
        <f>VLOOKUP(Table10[[#This Row],[Country]],Countries!$A$1:$D$205,2,TRUE)</f>
        <v>OMN</v>
      </c>
      <c r="F934" s="60">
        <v>1958</v>
      </c>
      <c r="G934" s="60" t="s">
        <v>4026</v>
      </c>
      <c r="H934" s="65">
        <v>750</v>
      </c>
      <c r="I934" s="65">
        <v>500</v>
      </c>
      <c r="J934" s="60" t="s">
        <v>4108</v>
      </c>
      <c r="K934" s="60">
        <v>-9.0596929999999993</v>
      </c>
      <c r="L934">
        <v>-78.601178000000004</v>
      </c>
    </row>
    <row r="935" spans="1:12" hidden="1" x14ac:dyDescent="0.35">
      <c r="A935" s="60" t="s">
        <v>5423</v>
      </c>
      <c r="B935" s="60" t="s">
        <v>5424</v>
      </c>
      <c r="C935" s="60" t="s">
        <v>5425</v>
      </c>
      <c r="D935" s="60" t="s">
        <v>5422</v>
      </c>
      <c r="E935" t="str">
        <f>VLOOKUP(Table10[[#This Row],[Country]],Countries!$A$1:$D$205,2,TRUE)</f>
        <v>OMN</v>
      </c>
      <c r="F935" s="60">
        <v>1987</v>
      </c>
      <c r="G935" s="60" t="s">
        <v>4107</v>
      </c>
      <c r="H935" s="65">
        <v>850</v>
      </c>
      <c r="I935" s="65">
        <v>80</v>
      </c>
      <c r="J935" s="60" t="s">
        <v>4034</v>
      </c>
      <c r="K935" s="60">
        <v>-13.788622</v>
      </c>
      <c r="L935">
        <v>-76.168171999999998</v>
      </c>
    </row>
    <row r="936" spans="1:12" hidden="1" x14ac:dyDescent="0.35">
      <c r="A936" s="60" t="s">
        <v>5426</v>
      </c>
      <c r="B936" s="60" t="s">
        <v>5424</v>
      </c>
      <c r="C936" s="60" t="s">
        <v>5425</v>
      </c>
      <c r="D936" s="60" t="s">
        <v>5422</v>
      </c>
      <c r="E936" t="str">
        <f>VLOOKUP(Table10[[#This Row],[Country]],Countries!$A$1:$D$205,2,TRUE)</f>
        <v>OMN</v>
      </c>
      <c r="F936" s="60">
        <v>2021</v>
      </c>
      <c r="G936" s="60" t="s">
        <v>4026</v>
      </c>
      <c r="H936" s="65">
        <v>1250</v>
      </c>
      <c r="I936" s="65" t="s">
        <v>4022</v>
      </c>
      <c r="J936" s="60" t="s">
        <v>4023</v>
      </c>
      <c r="K936" s="60">
        <v>-13.788622</v>
      </c>
      <c r="L936">
        <v>-76.168172999999996</v>
      </c>
    </row>
    <row r="937" spans="1:12" hidden="1" x14ac:dyDescent="0.35">
      <c r="A937" s="60" t="s">
        <v>5427</v>
      </c>
      <c r="B937" s="60" t="s">
        <v>5428</v>
      </c>
      <c r="C937" s="60" t="s">
        <v>5429</v>
      </c>
      <c r="D937" s="60" t="s">
        <v>5430</v>
      </c>
      <c r="E937" t="str">
        <f>VLOOKUP(Table10[[#This Row],[Country]],Countries!$A$1:$D$205,2,TRUE)</f>
        <v>TGO</v>
      </c>
      <c r="F937" s="60">
        <v>2006</v>
      </c>
      <c r="G937" s="60" t="s">
        <v>4026</v>
      </c>
      <c r="H937" s="65" t="s">
        <v>4022</v>
      </c>
      <c r="I937" s="65">
        <v>1600</v>
      </c>
      <c r="J937" s="60" t="s">
        <v>4030</v>
      </c>
      <c r="K937" s="60">
        <v>10.399138000000001</v>
      </c>
      <c r="L937">
        <v>-61.486325999999998</v>
      </c>
    </row>
    <row r="938" spans="1:12" hidden="1" x14ac:dyDescent="0.35">
      <c r="A938" s="60" t="s">
        <v>5431</v>
      </c>
      <c r="B938" s="60" t="s">
        <v>5428</v>
      </c>
      <c r="C938" s="60" t="s">
        <v>5429</v>
      </c>
      <c r="D938" s="60" t="s">
        <v>5430</v>
      </c>
      <c r="E938" t="str">
        <f>VLOOKUP(Table10[[#This Row],[Country]],Countries!$A$1:$D$205,2,TRUE)</f>
        <v>TGO</v>
      </c>
      <c r="F938" s="60">
        <v>1980</v>
      </c>
      <c r="G938" s="60" t="s">
        <v>4107</v>
      </c>
      <c r="H938" s="65">
        <v>1000</v>
      </c>
      <c r="I938" s="65">
        <v>2200</v>
      </c>
      <c r="J938" s="60" t="s">
        <v>4034</v>
      </c>
      <c r="K938" s="60">
        <v>10.4036057</v>
      </c>
      <c r="L938">
        <v>-61.482939500000001</v>
      </c>
    </row>
    <row r="939" spans="1:12" hidden="1" x14ac:dyDescent="0.35">
      <c r="A939" s="60" t="s">
        <v>5432</v>
      </c>
      <c r="B939" s="60" t="s">
        <v>5433</v>
      </c>
      <c r="C939" s="60" t="s">
        <v>5434</v>
      </c>
      <c r="D939" s="60" t="s">
        <v>5435</v>
      </c>
      <c r="E939" t="str">
        <f>VLOOKUP(Table10[[#This Row],[Country]],Countries!$A$1:$D$205,2,TRUE)</f>
        <v>USA</v>
      </c>
      <c r="F939" s="60">
        <v>1998</v>
      </c>
      <c r="G939" s="60" t="s">
        <v>4026</v>
      </c>
      <c r="H939" s="65" t="s">
        <v>4022</v>
      </c>
      <c r="I939" s="65">
        <v>1000</v>
      </c>
      <c r="J939" s="60" t="s">
        <v>4030</v>
      </c>
      <c r="K939" s="60">
        <v>8.2976620000000008</v>
      </c>
      <c r="L939">
        <v>-62.780149000000002</v>
      </c>
    </row>
    <row r="940" spans="1:12" hidden="1" x14ac:dyDescent="0.35">
      <c r="A940" s="60" t="s">
        <v>5436</v>
      </c>
      <c r="B940" s="60" t="s">
        <v>5433</v>
      </c>
      <c r="C940" s="60" t="s">
        <v>5434</v>
      </c>
      <c r="D940" s="60" t="s">
        <v>5435</v>
      </c>
      <c r="E940" t="str">
        <f>VLOOKUP(Table10[[#This Row],[Country]],Countries!$A$1:$D$205,2,TRUE)</f>
        <v>USA</v>
      </c>
      <c r="F940" s="60">
        <v>1990</v>
      </c>
      <c r="G940" s="60" t="s">
        <v>4026</v>
      </c>
      <c r="H940" s="65" t="s">
        <v>4022</v>
      </c>
      <c r="I940" s="65">
        <v>1000</v>
      </c>
      <c r="J940" s="60" t="s">
        <v>4030</v>
      </c>
      <c r="K940" s="60">
        <v>8.3346800000000005</v>
      </c>
      <c r="L940">
        <v>-62.728842</v>
      </c>
    </row>
    <row r="941" spans="1:12" hidden="1" x14ac:dyDescent="0.35">
      <c r="A941" s="60" t="s">
        <v>5437</v>
      </c>
      <c r="B941" s="60" t="s">
        <v>5433</v>
      </c>
      <c r="C941" s="60" t="s">
        <v>5434</v>
      </c>
      <c r="D941" s="60" t="s">
        <v>5435</v>
      </c>
      <c r="E941" t="str">
        <f>VLOOKUP(Table10[[#This Row],[Country]],Countries!$A$1:$D$205,2,TRUE)</f>
        <v>USA</v>
      </c>
      <c r="F941" s="60">
        <v>2000</v>
      </c>
      <c r="G941" s="60" t="s">
        <v>4026</v>
      </c>
      <c r="H941" s="65" t="s">
        <v>4022</v>
      </c>
      <c r="I941" s="65">
        <v>2200</v>
      </c>
      <c r="J941" s="60" t="s">
        <v>4030</v>
      </c>
      <c r="K941" s="60">
        <v>8.2749649999999999</v>
      </c>
      <c r="L941">
        <v>-62.819282000000001</v>
      </c>
    </row>
    <row r="942" spans="1:12" hidden="1" x14ac:dyDescent="0.35">
      <c r="A942" s="60" t="s">
        <v>5438</v>
      </c>
      <c r="B942" s="60" t="s">
        <v>5433</v>
      </c>
      <c r="C942" s="60" t="s">
        <v>5434</v>
      </c>
      <c r="D942" s="60" t="s">
        <v>5435</v>
      </c>
      <c r="E942" t="str">
        <f>VLOOKUP(Table10[[#This Row],[Country]],Countries!$A$1:$D$205,2,TRUE)</f>
        <v>USA</v>
      </c>
      <c r="F942" s="60">
        <v>1991</v>
      </c>
      <c r="G942" s="60" t="s">
        <v>4026</v>
      </c>
      <c r="H942" s="65" t="s">
        <v>4022</v>
      </c>
      <c r="I942" s="65">
        <v>820</v>
      </c>
      <c r="J942" s="60" t="s">
        <v>4030</v>
      </c>
      <c r="K942" s="60">
        <v>8.2901419999999995</v>
      </c>
      <c r="L942">
        <v>-62.805419000000001</v>
      </c>
    </row>
    <row r="943" spans="1:12" hidden="1" x14ac:dyDescent="0.35">
      <c r="A943" s="60" t="s">
        <v>5439</v>
      </c>
      <c r="B943" s="60" t="s">
        <v>5433</v>
      </c>
      <c r="C943" s="60" t="s">
        <v>5434</v>
      </c>
      <c r="D943" s="60" t="s">
        <v>5435</v>
      </c>
      <c r="E943" t="str">
        <f>VLOOKUP(Table10[[#This Row],[Country]],Countries!$A$1:$D$205,2,TRUE)</f>
        <v>USA</v>
      </c>
      <c r="F943" s="60">
        <v>2000</v>
      </c>
      <c r="G943" s="60" t="s">
        <v>4026</v>
      </c>
      <c r="H943" s="65" t="s">
        <v>4022</v>
      </c>
      <c r="I943" s="65">
        <v>1500</v>
      </c>
      <c r="J943" s="60" t="s">
        <v>4030</v>
      </c>
      <c r="K943" s="60">
        <v>8.3001590000000007</v>
      </c>
      <c r="L943">
        <v>-62.780135999999999</v>
      </c>
    </row>
    <row r="944" spans="1:12" hidden="1" x14ac:dyDescent="0.35">
      <c r="A944" s="60" t="s">
        <v>5440</v>
      </c>
      <c r="B944" s="60" t="s">
        <v>5441</v>
      </c>
      <c r="C944" s="60" t="s">
        <v>5434</v>
      </c>
      <c r="D944" s="60" t="s">
        <v>5435</v>
      </c>
      <c r="E944" t="str">
        <f>VLOOKUP(Table10[[#This Row],[Country]],Countries!$A$1:$D$205,2,TRUE)</f>
        <v>USA</v>
      </c>
      <c r="F944" s="60">
        <v>1962</v>
      </c>
      <c r="G944" s="60" t="s">
        <v>4026</v>
      </c>
      <c r="H944" s="65">
        <v>5100</v>
      </c>
      <c r="I944" s="65">
        <v>4800</v>
      </c>
      <c r="J944" s="60" t="s">
        <v>4034</v>
      </c>
      <c r="K944" s="60">
        <v>8.2590730000000008</v>
      </c>
      <c r="L944">
        <v>-62.841126000000003</v>
      </c>
    </row>
    <row r="945" spans="1:12" hidden="1" x14ac:dyDescent="0.35">
      <c r="A945" s="62" t="s">
        <v>5442</v>
      </c>
      <c r="B945" s="60" t="s">
        <v>5443</v>
      </c>
      <c r="C945" s="60" t="s">
        <v>5444</v>
      </c>
      <c r="D945" s="61" t="s">
        <v>5445</v>
      </c>
      <c r="E945" t="str">
        <f>VLOOKUP(Table10[[#This Row],[Country]],Countries!$A$1:$D$205,2,TRUE)</f>
        <v>AUT</v>
      </c>
      <c r="F945" s="60">
        <v>2023</v>
      </c>
      <c r="G945" s="60" t="s">
        <v>4037</v>
      </c>
      <c r="H945" s="65">
        <v>1250</v>
      </c>
      <c r="I945" s="65">
        <v>1250</v>
      </c>
      <c r="J945" s="60" t="s">
        <v>4034</v>
      </c>
      <c r="K945" s="60">
        <v>40.721907999999999</v>
      </c>
      <c r="L945">
        <v>46.363526</v>
      </c>
    </row>
    <row r="946" spans="1:12" hidden="1" x14ac:dyDescent="0.35">
      <c r="A946" s="60" t="s">
        <v>5446</v>
      </c>
      <c r="B946" s="60" t="s">
        <v>3161</v>
      </c>
      <c r="C946" s="60" t="s">
        <v>5447</v>
      </c>
      <c r="D946" s="61" t="s">
        <v>5445</v>
      </c>
      <c r="E946" t="str">
        <f>VLOOKUP(Table10[[#This Row],[Country]],Countries!$A$1:$D$205,2,TRUE)</f>
        <v>AUT</v>
      </c>
      <c r="F946" s="60">
        <v>2001</v>
      </c>
      <c r="G946" s="60" t="s">
        <v>4026</v>
      </c>
      <c r="H946" s="65">
        <v>1000</v>
      </c>
      <c r="I946" s="65" t="s">
        <v>4022</v>
      </c>
      <c r="J946" s="60" t="s">
        <v>4023</v>
      </c>
      <c r="K946" s="60">
        <v>40.431359999999998</v>
      </c>
      <c r="L946">
        <v>49.886867000000002</v>
      </c>
    </row>
    <row r="947" spans="1:12" hidden="1" x14ac:dyDescent="0.35">
      <c r="A947" s="60" t="s">
        <v>5448</v>
      </c>
      <c r="B947" s="60" t="s">
        <v>5449</v>
      </c>
      <c r="C947" s="60" t="s">
        <v>5450</v>
      </c>
      <c r="D947" s="60" t="s">
        <v>683</v>
      </c>
      <c r="E947" t="str">
        <f>VLOOKUP(Table10[[#This Row],[Country]],Countries!$A$1:$D$205,2,TRUE)</f>
        <v>EGY</v>
      </c>
      <c r="F947" s="60">
        <v>1948</v>
      </c>
      <c r="G947" s="60" t="s">
        <v>4107</v>
      </c>
      <c r="H947" s="65">
        <v>1450</v>
      </c>
      <c r="I947" s="65" t="s">
        <v>4022</v>
      </c>
      <c r="J947" s="60" t="s">
        <v>5451</v>
      </c>
      <c r="K947" s="60">
        <v>41.531644999999997</v>
      </c>
      <c r="L947">
        <v>45.026629999999997</v>
      </c>
    </row>
    <row r="948" spans="1:12" hidden="1" x14ac:dyDescent="0.35">
      <c r="A948" s="60" t="s">
        <v>5452</v>
      </c>
      <c r="B948" s="60" t="s">
        <v>5449</v>
      </c>
      <c r="C948" s="60" t="s">
        <v>5450</v>
      </c>
      <c r="D948" s="60" t="s">
        <v>683</v>
      </c>
      <c r="E948" t="str">
        <f>VLOOKUP(Table10[[#This Row],[Country]],Countries!$A$1:$D$205,2,TRUE)</f>
        <v>EGY</v>
      </c>
      <c r="F948" s="60">
        <v>1948</v>
      </c>
      <c r="G948" s="60" t="s">
        <v>4026</v>
      </c>
      <c r="H948" s="65">
        <v>120</v>
      </c>
      <c r="I948" s="65">
        <v>725</v>
      </c>
      <c r="J948" s="60" t="s">
        <v>5193</v>
      </c>
      <c r="K948" s="60">
        <v>41.531644999999997</v>
      </c>
      <c r="L948">
        <v>45.026629999999997</v>
      </c>
    </row>
    <row r="949" spans="1:12" hidden="1" x14ac:dyDescent="0.35">
      <c r="A949" s="60" t="s">
        <v>5453</v>
      </c>
      <c r="B949" s="60" t="s">
        <v>5449</v>
      </c>
      <c r="C949" s="60" t="s">
        <v>5450</v>
      </c>
      <c r="D949" s="60" t="s">
        <v>683</v>
      </c>
      <c r="E949" t="str">
        <f>VLOOKUP(Table10[[#This Row],[Country]],Countries!$A$1:$D$205,2,TRUE)</f>
        <v>EGY</v>
      </c>
      <c r="F949" s="60" t="s">
        <v>4036</v>
      </c>
      <c r="G949" s="60" t="s">
        <v>4037</v>
      </c>
      <c r="H949" s="65">
        <v>250</v>
      </c>
      <c r="I949" s="65" t="s">
        <v>4022</v>
      </c>
      <c r="J949" s="60" t="s">
        <v>4023</v>
      </c>
      <c r="K949" s="60">
        <v>41.531644999999997</v>
      </c>
      <c r="L949">
        <v>45.026629999999997</v>
      </c>
    </row>
    <row r="950" spans="1:12" hidden="1" x14ac:dyDescent="0.35">
      <c r="A950" s="60" t="s">
        <v>5454</v>
      </c>
      <c r="B950" s="60" t="s">
        <v>5455</v>
      </c>
      <c r="C950" s="60" t="s">
        <v>5455</v>
      </c>
      <c r="D950" s="60" t="s">
        <v>5456</v>
      </c>
      <c r="E950" t="str">
        <f>VLOOKUP(Table10[[#This Row],[Country]],Countries!$A$1:$D$205,2,TRUE)</f>
        <v>JOR</v>
      </c>
      <c r="F950" s="60">
        <v>2023</v>
      </c>
      <c r="G950" s="60" t="s">
        <v>4037</v>
      </c>
      <c r="H950" s="65">
        <v>800</v>
      </c>
      <c r="I950" s="65" t="s">
        <v>4036</v>
      </c>
      <c r="J950" s="60" t="s">
        <v>4036</v>
      </c>
      <c r="K950" s="60">
        <v>50.286408000000002</v>
      </c>
      <c r="L950">
        <v>57.168382000000001</v>
      </c>
    </row>
    <row r="951" spans="1:12" hidden="1" x14ac:dyDescent="0.35">
      <c r="A951" s="60" t="s">
        <v>5457</v>
      </c>
      <c r="B951" s="60" t="s">
        <v>5458</v>
      </c>
      <c r="C951" s="60" t="s">
        <v>5459</v>
      </c>
      <c r="D951" s="60" t="s">
        <v>5456</v>
      </c>
      <c r="E951" t="str">
        <f>VLOOKUP(Table10[[#This Row],[Country]],Countries!$A$1:$D$205,2,TRUE)</f>
        <v>JOR</v>
      </c>
      <c r="F951" s="60">
        <v>1960</v>
      </c>
      <c r="G951" s="60" t="s">
        <v>4026</v>
      </c>
      <c r="H951" s="65">
        <v>6000</v>
      </c>
      <c r="I951" s="65">
        <v>5125</v>
      </c>
      <c r="J951" s="60" t="s">
        <v>4049</v>
      </c>
      <c r="K951" s="60">
        <v>50.045848999999997</v>
      </c>
      <c r="L951">
        <v>73.040384000000003</v>
      </c>
    </row>
    <row r="952" spans="1:12" hidden="1" x14ac:dyDescent="0.35">
      <c r="A952" s="60" t="s">
        <v>5460</v>
      </c>
      <c r="B952" s="60" t="s">
        <v>3462</v>
      </c>
      <c r="C952" s="60" t="s">
        <v>3462</v>
      </c>
      <c r="D952" s="60" t="s">
        <v>5456</v>
      </c>
      <c r="E952" t="str">
        <f>VLOOKUP(Table10[[#This Row],[Country]],Countries!$A$1:$D$205,2,TRUE)</f>
        <v>JOR</v>
      </c>
      <c r="F952" s="60">
        <v>2007</v>
      </c>
      <c r="G952" s="60" t="s">
        <v>4026</v>
      </c>
      <c r="H952" s="65">
        <v>800</v>
      </c>
      <c r="I952" s="65" t="s">
        <v>4022</v>
      </c>
      <c r="J952" s="60" t="s">
        <v>4023</v>
      </c>
      <c r="K952" s="60">
        <v>52.334465000000002</v>
      </c>
      <c r="L952">
        <v>76.956301999999994</v>
      </c>
    </row>
    <row r="953" spans="1:12" hidden="1" x14ac:dyDescent="0.35">
      <c r="A953" s="60" t="s">
        <v>5461</v>
      </c>
      <c r="B953" s="60" t="s">
        <v>5462</v>
      </c>
      <c r="C953" s="60" t="s">
        <v>5462</v>
      </c>
      <c r="D953" s="60" t="s">
        <v>5456</v>
      </c>
      <c r="E953" t="str">
        <f>VLOOKUP(Table10[[#This Row],[Country]],Countries!$A$1:$D$205,2,TRUE)</f>
        <v>JOR</v>
      </c>
      <c r="F953" s="60">
        <v>2020</v>
      </c>
      <c r="G953" s="60" t="s">
        <v>4107</v>
      </c>
      <c r="H953" s="65">
        <v>700</v>
      </c>
      <c r="I953" s="65" t="s">
        <v>4022</v>
      </c>
      <c r="J953" s="60" t="s">
        <v>4023</v>
      </c>
      <c r="K953" s="60">
        <v>42.272258999999998</v>
      </c>
      <c r="L953">
        <v>69.726100000000002</v>
      </c>
    </row>
    <row r="954" spans="1:12" hidden="1" x14ac:dyDescent="0.35">
      <c r="A954" s="60" t="s">
        <v>5463</v>
      </c>
      <c r="B954" s="60" t="s">
        <v>5464</v>
      </c>
      <c r="C954" s="60" t="s">
        <v>5465</v>
      </c>
      <c r="D954" s="60" t="s">
        <v>423</v>
      </c>
      <c r="E954" t="str">
        <f>VLOOKUP(Table10[[#This Row],[Country]],Countries!$A$1:$D$205,2,TRUE)</f>
        <v>RUS</v>
      </c>
      <c r="F954" s="60">
        <v>1971</v>
      </c>
      <c r="G954" s="60" t="s">
        <v>4026</v>
      </c>
      <c r="H954" s="65" t="s">
        <v>4022</v>
      </c>
      <c r="I954" s="65">
        <v>4500</v>
      </c>
      <c r="J954" s="60" t="s">
        <v>4030</v>
      </c>
      <c r="K954" s="60">
        <v>51.261994999999999</v>
      </c>
      <c r="L954">
        <v>37.654622000000003</v>
      </c>
    </row>
    <row r="955" spans="1:12" hidden="1" x14ac:dyDescent="0.35">
      <c r="A955" s="60" t="s">
        <v>5466</v>
      </c>
      <c r="B955" s="60" t="s">
        <v>5464</v>
      </c>
      <c r="C955" s="60" t="s">
        <v>5465</v>
      </c>
      <c r="D955" s="60" t="s">
        <v>423</v>
      </c>
      <c r="E955" t="str">
        <f>VLOOKUP(Table10[[#This Row],[Country]],Countries!$A$1:$D$205,2,TRUE)</f>
        <v>RUS</v>
      </c>
      <c r="F955" s="60">
        <v>2025</v>
      </c>
      <c r="G955" s="60" t="s">
        <v>4037</v>
      </c>
      <c r="H955" s="65" t="s">
        <v>4022</v>
      </c>
      <c r="I955" s="65">
        <v>2080</v>
      </c>
      <c r="J955" s="60" t="s">
        <v>4030</v>
      </c>
      <c r="K955" s="60">
        <v>51.261994999999999</v>
      </c>
      <c r="L955">
        <v>37.654622000000003</v>
      </c>
    </row>
    <row r="956" spans="1:12" hidden="1" x14ac:dyDescent="0.35">
      <c r="A956" s="60" t="s">
        <v>5467</v>
      </c>
      <c r="B956" s="60" t="s">
        <v>5468</v>
      </c>
      <c r="C956" s="60" t="s">
        <v>5465</v>
      </c>
      <c r="D956" s="60" t="s">
        <v>423</v>
      </c>
      <c r="E956" t="str">
        <f>VLOOKUP(Table10[[#This Row],[Country]],Countries!$A$1:$D$205,2,TRUE)</f>
        <v>RUS</v>
      </c>
      <c r="F956" s="60">
        <v>1984</v>
      </c>
      <c r="G956" s="60" t="s">
        <v>4026</v>
      </c>
      <c r="H956" s="65">
        <v>3500</v>
      </c>
      <c r="I956" s="65">
        <v>3200</v>
      </c>
      <c r="J956" s="60" t="s">
        <v>4034</v>
      </c>
      <c r="K956" s="60">
        <v>51.142738000000001</v>
      </c>
      <c r="L956">
        <v>37.940531999999997</v>
      </c>
    </row>
    <row r="957" spans="1:12" hidden="1" x14ac:dyDescent="0.35">
      <c r="A957" s="60" t="s">
        <v>5469</v>
      </c>
      <c r="B957" s="60" t="s">
        <v>5468</v>
      </c>
      <c r="C957" s="60" t="s">
        <v>5465</v>
      </c>
      <c r="D957" s="60" t="s">
        <v>423</v>
      </c>
      <c r="E957" t="str">
        <f>VLOOKUP(Table10[[#This Row],[Country]],Countries!$A$1:$D$205,2,TRUE)</f>
        <v>RUS</v>
      </c>
      <c r="F957" s="60">
        <v>2023</v>
      </c>
      <c r="G957" s="60" t="s">
        <v>4037</v>
      </c>
      <c r="H957" s="65">
        <v>1200</v>
      </c>
      <c r="I957" s="65" t="s">
        <v>4022</v>
      </c>
      <c r="J957" s="60" t="s">
        <v>4023</v>
      </c>
      <c r="K957" s="60">
        <v>51.142738000000001</v>
      </c>
      <c r="L957">
        <v>37.940531999999997</v>
      </c>
    </row>
    <row r="958" spans="1:12" hidden="1" x14ac:dyDescent="0.35">
      <c r="A958" s="60" t="s">
        <v>5470</v>
      </c>
      <c r="B958" s="60" t="s">
        <v>5471</v>
      </c>
      <c r="C958" s="60" t="s">
        <v>5472</v>
      </c>
      <c r="D958" s="60" t="s">
        <v>423</v>
      </c>
      <c r="E958" t="str">
        <f>VLOOKUP(Table10[[#This Row],[Country]],Countries!$A$1:$D$205,2,TRUE)</f>
        <v>RUS</v>
      </c>
      <c r="F958" s="60">
        <v>1900</v>
      </c>
      <c r="G958" s="60" t="s">
        <v>4026</v>
      </c>
      <c r="H958" s="65">
        <v>1000</v>
      </c>
      <c r="I958" s="65" t="s">
        <v>4022</v>
      </c>
      <c r="J958" s="60" t="s">
        <v>4023</v>
      </c>
      <c r="K958" s="60">
        <v>54.994840000000003</v>
      </c>
      <c r="L958">
        <v>57.277548000000003</v>
      </c>
    </row>
    <row r="959" spans="1:12" hidden="1" x14ac:dyDescent="0.35">
      <c r="A959" s="60" t="s">
        <v>5473</v>
      </c>
      <c r="B959" s="60" t="s">
        <v>5472</v>
      </c>
      <c r="C959" s="60" t="s">
        <v>5472</v>
      </c>
      <c r="D959" s="60" t="s">
        <v>423</v>
      </c>
      <c r="E959" t="str">
        <f>VLOOKUP(Table10[[#This Row],[Country]],Countries!$A$1:$D$205,2,TRUE)</f>
        <v>RUS</v>
      </c>
      <c r="F959" s="60">
        <v>1943</v>
      </c>
      <c r="G959" s="60" t="s">
        <v>4026</v>
      </c>
      <c r="H959" s="65">
        <v>5600</v>
      </c>
      <c r="I959" s="65">
        <v>2600</v>
      </c>
      <c r="J959" s="60" t="s">
        <v>4161</v>
      </c>
      <c r="K959" s="60">
        <v>55.27073</v>
      </c>
      <c r="L959">
        <v>61.436492000000001</v>
      </c>
    </row>
    <row r="960" spans="1:12" hidden="1" x14ac:dyDescent="0.35">
      <c r="A960" s="60" t="s">
        <v>5474</v>
      </c>
      <c r="B960" s="60" t="s">
        <v>5475</v>
      </c>
      <c r="C960" s="60" t="s">
        <v>5472</v>
      </c>
      <c r="D960" s="60" t="s">
        <v>423</v>
      </c>
      <c r="E960" t="str">
        <f>VLOOKUP(Table10[[#This Row],[Country]],Countries!$A$1:$D$205,2,TRUE)</f>
        <v>RUS</v>
      </c>
      <c r="F960" s="60">
        <v>1932</v>
      </c>
      <c r="G960" s="60" t="s">
        <v>4026</v>
      </c>
      <c r="H960" s="65">
        <v>14500</v>
      </c>
      <c r="I960" s="65">
        <v>11100</v>
      </c>
      <c r="J960" s="60" t="s">
        <v>4161</v>
      </c>
      <c r="K960" s="60">
        <v>53.427593000000002</v>
      </c>
      <c r="L960">
        <v>59.054122</v>
      </c>
    </row>
    <row r="961" spans="1:12" hidden="1" x14ac:dyDescent="0.35">
      <c r="A961" s="60" t="s">
        <v>5476</v>
      </c>
      <c r="B961" s="60" t="s">
        <v>5475</v>
      </c>
      <c r="C961" s="60" t="s">
        <v>5472</v>
      </c>
      <c r="D961" s="60" t="s">
        <v>423</v>
      </c>
      <c r="E961" t="str">
        <f>VLOOKUP(Table10[[#This Row],[Country]],Countries!$A$1:$D$205,2,TRUE)</f>
        <v>RUS</v>
      </c>
      <c r="F961" s="60">
        <v>2025</v>
      </c>
      <c r="G961" s="60" t="s">
        <v>4037</v>
      </c>
      <c r="H961" s="65" t="s">
        <v>4022</v>
      </c>
      <c r="I961" s="65">
        <v>3700</v>
      </c>
      <c r="J961" s="60" t="s">
        <v>4111</v>
      </c>
      <c r="K961" s="60">
        <v>53.427593000000002</v>
      </c>
      <c r="L961">
        <v>59.054122</v>
      </c>
    </row>
    <row r="962" spans="1:12" hidden="1" x14ac:dyDescent="0.35">
      <c r="A962" s="60" t="s">
        <v>5477</v>
      </c>
      <c r="B962" s="60" t="s">
        <v>5478</v>
      </c>
      <c r="C962" s="60" t="s">
        <v>5472</v>
      </c>
      <c r="D962" s="60" t="s">
        <v>423</v>
      </c>
      <c r="E962" t="str">
        <f>VLOOKUP(Table10[[#This Row],[Country]],Countries!$A$1:$D$205,2,TRUE)</f>
        <v>RUS</v>
      </c>
      <c r="F962" s="60">
        <v>1900</v>
      </c>
      <c r="G962" s="60" t="s">
        <v>4026</v>
      </c>
      <c r="H962" s="65">
        <v>1200</v>
      </c>
      <c r="I962" s="65" t="s">
        <v>4022</v>
      </c>
      <c r="J962" s="60" t="s">
        <v>4023</v>
      </c>
      <c r="K962" s="60">
        <v>55.197524000000001</v>
      </c>
      <c r="L962">
        <v>59.650247</v>
      </c>
    </row>
    <row r="963" spans="1:12" hidden="1" x14ac:dyDescent="0.35">
      <c r="A963" s="60" t="s">
        <v>5479</v>
      </c>
      <c r="B963" s="60" t="s">
        <v>5480</v>
      </c>
      <c r="C963" s="60" t="s">
        <v>5481</v>
      </c>
      <c r="D963" s="60" t="s">
        <v>423</v>
      </c>
      <c r="E963" t="str">
        <f>VLOOKUP(Table10[[#This Row],[Country]],Countries!$A$1:$D$205,2,TRUE)</f>
        <v>RUS</v>
      </c>
      <c r="F963" s="60">
        <v>2013</v>
      </c>
      <c r="G963" s="60" t="s">
        <v>4026</v>
      </c>
      <c r="H963" s="65">
        <v>1500</v>
      </c>
      <c r="I963" s="65" t="s">
        <v>4022</v>
      </c>
      <c r="J963" s="60" t="s">
        <v>4023</v>
      </c>
      <c r="K963" s="60">
        <v>55.233674999999998</v>
      </c>
      <c r="L963">
        <v>36.679192</v>
      </c>
    </row>
    <row r="964" spans="1:12" hidden="1" x14ac:dyDescent="0.35">
      <c r="A964" s="60" t="s">
        <v>5482</v>
      </c>
      <c r="B964" s="60" t="s">
        <v>5483</v>
      </c>
      <c r="C964" s="60" t="s">
        <v>5484</v>
      </c>
      <c r="D964" s="60" t="s">
        <v>423</v>
      </c>
      <c r="E964" t="str">
        <f>VLOOKUP(Table10[[#This Row],[Country]],Countries!$A$1:$D$205,2,TRUE)</f>
        <v>RUS</v>
      </c>
      <c r="F964" s="60">
        <v>1932</v>
      </c>
      <c r="G964" s="60" t="s">
        <v>4026</v>
      </c>
      <c r="H964" s="65">
        <v>9500</v>
      </c>
      <c r="I964" s="65">
        <v>6200</v>
      </c>
      <c r="J964" s="60" t="s">
        <v>4161</v>
      </c>
      <c r="K964" s="60">
        <v>53.886180000000003</v>
      </c>
      <c r="L964">
        <v>87.257617999999994</v>
      </c>
    </row>
    <row r="965" spans="1:12" hidden="1" x14ac:dyDescent="0.35">
      <c r="A965" s="60" t="s">
        <v>5485</v>
      </c>
      <c r="B965" s="60" t="s">
        <v>5486</v>
      </c>
      <c r="C965" s="60" t="s">
        <v>5487</v>
      </c>
      <c r="D965" s="60" t="s">
        <v>423</v>
      </c>
      <c r="E965" t="str">
        <f>VLOOKUP(Table10[[#This Row],[Country]],Countries!$A$1:$D$205,2,TRUE)</f>
        <v>RUS</v>
      </c>
      <c r="F965" s="60">
        <v>1942</v>
      </c>
      <c r="G965" s="60" t="s">
        <v>4026</v>
      </c>
      <c r="H965" s="65">
        <v>2150</v>
      </c>
      <c r="I965" s="65" t="s">
        <v>4022</v>
      </c>
      <c r="J965" s="60" t="s">
        <v>4023</v>
      </c>
      <c r="K965" s="60">
        <v>50.563130999999998</v>
      </c>
      <c r="L965">
        <v>136.97636199999999</v>
      </c>
    </row>
    <row r="966" spans="1:12" hidden="1" x14ac:dyDescent="0.35">
      <c r="A966" s="60" t="s">
        <v>5488</v>
      </c>
      <c r="B966" s="60" t="s">
        <v>5486</v>
      </c>
      <c r="C966" s="60" t="s">
        <v>5487</v>
      </c>
      <c r="D966" s="60" t="s">
        <v>423</v>
      </c>
      <c r="E966" t="str">
        <f>VLOOKUP(Table10[[#This Row],[Country]],Countries!$A$1:$D$205,2,TRUE)</f>
        <v>RUS</v>
      </c>
      <c r="F966" s="60" t="s">
        <v>4036</v>
      </c>
      <c r="G966" s="60" t="s">
        <v>4037</v>
      </c>
      <c r="H966" s="65">
        <v>850</v>
      </c>
      <c r="I966" s="65" t="s">
        <v>4110</v>
      </c>
      <c r="J966" s="60" t="s">
        <v>4034</v>
      </c>
      <c r="K966" s="60">
        <v>50.563130999999998</v>
      </c>
      <c r="L966">
        <v>136.97636199999999</v>
      </c>
    </row>
    <row r="967" spans="1:12" hidden="1" x14ac:dyDescent="0.35">
      <c r="A967" s="60" t="s">
        <v>5489</v>
      </c>
      <c r="B967" s="60" t="s">
        <v>5490</v>
      </c>
      <c r="C967" s="60" t="s">
        <v>5491</v>
      </c>
      <c r="D967" s="60" t="s">
        <v>423</v>
      </c>
      <c r="E967" t="str">
        <f>VLOOKUP(Table10[[#This Row],[Country]],Countries!$A$1:$D$205,2,TRUE)</f>
        <v>RUS</v>
      </c>
      <c r="F967" s="60">
        <v>2014</v>
      </c>
      <c r="G967" s="60" t="s">
        <v>4026</v>
      </c>
      <c r="H967" s="65">
        <v>1500</v>
      </c>
      <c r="I967" s="65" t="s">
        <v>4022</v>
      </c>
      <c r="J967" s="60" t="s">
        <v>4023</v>
      </c>
      <c r="K967" s="60">
        <v>44.881937999999998</v>
      </c>
      <c r="L967">
        <v>38.127510000000001</v>
      </c>
    </row>
    <row r="968" spans="1:12" hidden="1" x14ac:dyDescent="0.35">
      <c r="A968" s="60" t="s">
        <v>5492</v>
      </c>
      <c r="B968" s="60" t="s">
        <v>5493</v>
      </c>
      <c r="C968" s="60" t="s">
        <v>5494</v>
      </c>
      <c r="D968" s="60" t="s">
        <v>423</v>
      </c>
      <c r="E968" t="str">
        <f>VLOOKUP(Table10[[#This Row],[Country]],Countries!$A$1:$D$205,2,TRUE)</f>
        <v>RUS</v>
      </c>
      <c r="F968" s="60">
        <v>2024</v>
      </c>
      <c r="G968" s="60" t="s">
        <v>4037</v>
      </c>
      <c r="H968" s="65" t="s">
        <v>4022</v>
      </c>
      <c r="I968" s="65">
        <v>2080</v>
      </c>
      <c r="J968" s="60" t="s">
        <v>4030</v>
      </c>
      <c r="K968" s="60">
        <v>52.360447999999998</v>
      </c>
      <c r="L968">
        <v>35.397314000000001</v>
      </c>
    </row>
    <row r="969" spans="1:12" hidden="1" x14ac:dyDescent="0.35">
      <c r="A969" s="60" t="s">
        <v>5495</v>
      </c>
      <c r="B969" s="60" t="s">
        <v>5496</v>
      </c>
      <c r="C969" s="60" t="s">
        <v>5496</v>
      </c>
      <c r="D969" s="60" t="s">
        <v>423</v>
      </c>
      <c r="E969" t="str">
        <f>VLOOKUP(Table10[[#This Row],[Country]],Countries!$A$1:$D$205,2,TRUE)</f>
        <v>RUS</v>
      </c>
      <c r="F969" s="60">
        <v>1934</v>
      </c>
      <c r="G969" s="60" t="s">
        <v>4026</v>
      </c>
      <c r="H969" s="65">
        <v>13200</v>
      </c>
      <c r="I969" s="65">
        <v>14200</v>
      </c>
      <c r="J969" s="60" t="s">
        <v>4049</v>
      </c>
      <c r="K969" s="60">
        <v>52.557372000000001</v>
      </c>
      <c r="L969">
        <v>39.629573999999998</v>
      </c>
    </row>
    <row r="970" spans="1:12" hidden="1" x14ac:dyDescent="0.35">
      <c r="A970" s="60" t="s">
        <v>5497</v>
      </c>
      <c r="B970" s="60" t="s">
        <v>5498</v>
      </c>
      <c r="C970" s="60" t="s">
        <v>5499</v>
      </c>
      <c r="D970" s="60" t="s">
        <v>423</v>
      </c>
      <c r="E970" t="str">
        <f>VLOOKUP(Table10[[#This Row],[Country]],Countries!$A$1:$D$205,2,TRUE)</f>
        <v>RUS</v>
      </c>
      <c r="F970" s="60">
        <v>2025</v>
      </c>
      <c r="G970" s="60" t="s">
        <v>4021</v>
      </c>
      <c r="H970" s="65">
        <v>1800</v>
      </c>
      <c r="I970" s="65">
        <v>2500</v>
      </c>
      <c r="J970" s="60" t="s">
        <v>4034</v>
      </c>
      <c r="K970" s="60">
        <v>55.323945999999999</v>
      </c>
      <c r="L970">
        <v>42.150702000000003</v>
      </c>
    </row>
    <row r="971" spans="1:12" hidden="1" x14ac:dyDescent="0.35">
      <c r="A971" s="60" t="s">
        <v>5500</v>
      </c>
      <c r="B971" s="60" t="s">
        <v>5498</v>
      </c>
      <c r="C971" s="60" t="s">
        <v>5499</v>
      </c>
      <c r="D971" s="60" t="s">
        <v>423</v>
      </c>
      <c r="E971" t="str">
        <f>VLOOKUP(Table10[[#This Row],[Country]],Countries!$A$1:$D$205,2,TRUE)</f>
        <v>RUS</v>
      </c>
      <c r="F971" s="60">
        <v>2008</v>
      </c>
      <c r="G971" s="60" t="s">
        <v>4026</v>
      </c>
      <c r="H971" s="65">
        <v>1250</v>
      </c>
      <c r="I971" s="65" t="s">
        <v>4022</v>
      </c>
      <c r="J971" s="60" t="s">
        <v>4023</v>
      </c>
      <c r="K971" s="60">
        <v>55.382815000000001</v>
      </c>
      <c r="L971">
        <v>42.188954000000003</v>
      </c>
    </row>
    <row r="972" spans="1:12" hidden="1" x14ac:dyDescent="0.35">
      <c r="A972" s="60" t="s">
        <v>5501</v>
      </c>
      <c r="B972" s="60" t="s">
        <v>5502</v>
      </c>
      <c r="C972" s="60" t="s">
        <v>3642</v>
      </c>
      <c r="D972" s="60" t="s">
        <v>423</v>
      </c>
      <c r="E972" t="str">
        <f>VLOOKUP(Table10[[#This Row],[Country]],Countries!$A$1:$D$205,2,TRUE)</f>
        <v>RUS</v>
      </c>
      <c r="F972" s="60">
        <v>1955</v>
      </c>
      <c r="G972" s="60" t="s">
        <v>4026</v>
      </c>
      <c r="H972" s="65">
        <v>1600</v>
      </c>
      <c r="I972" s="65">
        <v>2700</v>
      </c>
      <c r="J972" s="60" t="s">
        <v>4027</v>
      </c>
      <c r="K972" s="60">
        <v>51.214781000000002</v>
      </c>
      <c r="L972">
        <v>58.353912999999999</v>
      </c>
    </row>
    <row r="973" spans="1:12" hidden="1" x14ac:dyDescent="0.35">
      <c r="A973" s="60" t="s">
        <v>5503</v>
      </c>
      <c r="B973" s="60" t="s">
        <v>5502</v>
      </c>
      <c r="C973" s="60" t="s">
        <v>3642</v>
      </c>
      <c r="D973" s="60" t="s">
        <v>423</v>
      </c>
      <c r="E973" t="str">
        <f>VLOOKUP(Table10[[#This Row],[Country]],Countries!$A$1:$D$205,2,TRUE)</f>
        <v>RUS</v>
      </c>
      <c r="F973" s="60" t="s">
        <v>4022</v>
      </c>
      <c r="G973" s="60" t="s">
        <v>4029</v>
      </c>
      <c r="H973" s="65">
        <v>3000</v>
      </c>
      <c r="I973" s="65" t="s">
        <v>4022</v>
      </c>
      <c r="J973" s="60" t="s">
        <v>4163</v>
      </c>
      <c r="K973" s="60">
        <v>51.214781000000002</v>
      </c>
      <c r="L973">
        <v>58.353912999999999</v>
      </c>
    </row>
    <row r="974" spans="1:12" hidden="1" x14ac:dyDescent="0.35">
      <c r="A974" s="60" t="s">
        <v>5504</v>
      </c>
      <c r="B974" s="60" t="s">
        <v>5505</v>
      </c>
      <c r="C974" s="60" t="s">
        <v>5506</v>
      </c>
      <c r="D974" s="60" t="s">
        <v>423</v>
      </c>
      <c r="E974" t="str">
        <f>VLOOKUP(Table10[[#This Row],[Country]],Countries!$A$1:$D$205,2,TRUE)</f>
        <v>RUS</v>
      </c>
      <c r="F974" s="60">
        <v>2016</v>
      </c>
      <c r="G974" s="60" t="s">
        <v>4107</v>
      </c>
      <c r="H974" s="65">
        <v>500</v>
      </c>
      <c r="I974" s="65" t="s">
        <v>4022</v>
      </c>
      <c r="J974" s="60" t="s">
        <v>4023</v>
      </c>
      <c r="K974" s="60">
        <v>55.726872</v>
      </c>
      <c r="L974">
        <v>52.535854</v>
      </c>
    </row>
    <row r="975" spans="1:12" hidden="1" x14ac:dyDescent="0.35">
      <c r="A975" s="60" t="s">
        <v>5507</v>
      </c>
      <c r="B975" s="60" t="s">
        <v>5508</v>
      </c>
      <c r="C975" s="60" t="s">
        <v>3648</v>
      </c>
      <c r="D975" s="60" t="s">
        <v>423</v>
      </c>
      <c r="E975" t="str">
        <f>VLOOKUP(Table10[[#This Row],[Country]],Countries!$A$1:$D$205,2,TRUE)</f>
        <v>RUS</v>
      </c>
      <c r="F975" s="60">
        <v>2024</v>
      </c>
      <c r="G975" s="60" t="s">
        <v>4021</v>
      </c>
      <c r="H975" s="65">
        <v>1000</v>
      </c>
      <c r="I975" s="65" t="s">
        <v>4036</v>
      </c>
      <c r="J975" s="60" t="s">
        <v>4023</v>
      </c>
      <c r="K975" s="60">
        <v>47.740352000000001</v>
      </c>
      <c r="L975">
        <v>40.189419999999998</v>
      </c>
    </row>
    <row r="976" spans="1:12" hidden="1" x14ac:dyDescent="0.35">
      <c r="A976" s="60" t="s">
        <v>5509</v>
      </c>
      <c r="B976" s="60" t="s">
        <v>5510</v>
      </c>
      <c r="C976" s="60" t="s">
        <v>3648</v>
      </c>
      <c r="D976" s="60" t="s">
        <v>423</v>
      </c>
      <c r="E976" t="str">
        <f>VLOOKUP(Table10[[#This Row],[Country]],Countries!$A$1:$D$205,2,TRUE)</f>
        <v>RUS</v>
      </c>
      <c r="F976" s="60">
        <v>1896</v>
      </c>
      <c r="G976" s="60" t="s">
        <v>4026</v>
      </c>
      <c r="H976" s="65">
        <v>950</v>
      </c>
      <c r="I976" s="65" t="s">
        <v>4022</v>
      </c>
      <c r="J976" s="60" t="s">
        <v>4023</v>
      </c>
      <c r="K976" s="60">
        <v>47.241557</v>
      </c>
      <c r="L976">
        <v>38.928584000000001</v>
      </c>
    </row>
    <row r="977" spans="1:12" hidden="1" x14ac:dyDescent="0.35">
      <c r="A977" s="60" t="s">
        <v>5511</v>
      </c>
      <c r="B977" s="60" t="s">
        <v>5512</v>
      </c>
      <c r="C977" s="60" t="s">
        <v>3656</v>
      </c>
      <c r="D977" s="60" t="s">
        <v>423</v>
      </c>
      <c r="E977" t="str">
        <f>VLOOKUP(Table10[[#This Row],[Country]],Countries!$A$1:$D$205,2,TRUE)</f>
        <v>RUS</v>
      </c>
      <c r="F977" s="60">
        <v>2013</v>
      </c>
      <c r="G977" s="60" t="s">
        <v>4026</v>
      </c>
      <c r="H977" s="65">
        <v>1200</v>
      </c>
      <c r="I977" s="65" t="s">
        <v>4022</v>
      </c>
      <c r="J977" s="60" t="s">
        <v>4023</v>
      </c>
      <c r="K977" s="60">
        <v>51.936008999999999</v>
      </c>
      <c r="L977">
        <v>47.815910000000002</v>
      </c>
    </row>
    <row r="978" spans="1:12" hidden="1" x14ac:dyDescent="0.35">
      <c r="A978" s="60" t="s">
        <v>5513</v>
      </c>
      <c r="B978" s="60" t="s">
        <v>5512</v>
      </c>
      <c r="C978" s="60" t="s">
        <v>3656</v>
      </c>
      <c r="D978" s="60" t="s">
        <v>423</v>
      </c>
      <c r="E978" t="str">
        <f>VLOOKUP(Table10[[#This Row],[Country]],Countries!$A$1:$D$205,2,TRUE)</f>
        <v>RUS</v>
      </c>
      <c r="F978" s="60">
        <v>2024</v>
      </c>
      <c r="G978" s="60" t="s">
        <v>4037</v>
      </c>
      <c r="H978" s="65">
        <v>1200</v>
      </c>
      <c r="I978" s="65" t="s">
        <v>4022</v>
      </c>
      <c r="J978" s="60" t="s">
        <v>4023</v>
      </c>
      <c r="K978" s="60">
        <v>51.936008999999999</v>
      </c>
      <c r="L978">
        <v>47.815910000000002</v>
      </c>
    </row>
    <row r="979" spans="1:12" hidden="1" x14ac:dyDescent="0.35">
      <c r="A979" s="60" t="s">
        <v>5514</v>
      </c>
      <c r="B979" s="60" t="s">
        <v>5515</v>
      </c>
      <c r="C979" s="60" t="s">
        <v>5516</v>
      </c>
      <c r="D979" s="60" t="s">
        <v>423</v>
      </c>
      <c r="E979" t="str">
        <f>VLOOKUP(Table10[[#This Row],[Country]],Countries!$A$1:$D$205,2,TRUE)</f>
        <v>RUS</v>
      </c>
      <c r="F979" s="60">
        <v>2016</v>
      </c>
      <c r="G979" s="60" t="s">
        <v>4026</v>
      </c>
      <c r="H979" s="65">
        <v>500</v>
      </c>
      <c r="I979" s="65" t="s">
        <v>4022</v>
      </c>
      <c r="J979" s="60" t="s">
        <v>4023</v>
      </c>
      <c r="K979" s="60">
        <v>44.688322999999997</v>
      </c>
      <c r="L979">
        <v>41.927331000000002</v>
      </c>
    </row>
    <row r="980" spans="1:12" hidden="1" x14ac:dyDescent="0.35">
      <c r="A980" s="60" t="s">
        <v>5517</v>
      </c>
      <c r="B980" s="60" t="s">
        <v>5518</v>
      </c>
      <c r="C980" s="60" t="s">
        <v>5519</v>
      </c>
      <c r="D980" s="60" t="s">
        <v>423</v>
      </c>
      <c r="E980" t="str">
        <f>VLOOKUP(Table10[[#This Row],[Country]],Countries!$A$1:$D$205,2,TRUE)</f>
        <v>RUS</v>
      </c>
      <c r="F980" s="60">
        <v>1940</v>
      </c>
      <c r="G980" s="60" t="s">
        <v>4026</v>
      </c>
      <c r="H980" s="65">
        <v>4500</v>
      </c>
      <c r="I980" s="65">
        <v>5050</v>
      </c>
      <c r="J980" s="60" t="s">
        <v>4049</v>
      </c>
      <c r="K980" s="60">
        <v>57.922851000000001</v>
      </c>
      <c r="L980">
        <v>60.033543000000002</v>
      </c>
    </row>
    <row r="981" spans="1:12" hidden="1" x14ac:dyDescent="0.35">
      <c r="A981" s="60" t="s">
        <v>5520</v>
      </c>
      <c r="B981" s="60" t="s">
        <v>5521</v>
      </c>
      <c r="C981" s="60" t="s">
        <v>5519</v>
      </c>
      <c r="D981" s="60" t="s">
        <v>423</v>
      </c>
      <c r="E981" t="str">
        <f>VLOOKUP(Table10[[#This Row],[Country]],Countries!$A$1:$D$205,2,TRUE)</f>
        <v>RUS</v>
      </c>
      <c r="F981" s="60">
        <v>2010</v>
      </c>
      <c r="G981" s="60" t="s">
        <v>4026</v>
      </c>
      <c r="H981" s="65">
        <v>1250</v>
      </c>
      <c r="I981" s="65" t="s">
        <v>4022</v>
      </c>
      <c r="J981" s="60" t="s">
        <v>4023</v>
      </c>
      <c r="K981" s="60">
        <v>56.902050000000003</v>
      </c>
      <c r="L981">
        <v>59.992198000000002</v>
      </c>
    </row>
    <row r="982" spans="1:12" hidden="1" x14ac:dyDescent="0.35">
      <c r="A982" s="60" t="s">
        <v>5522</v>
      </c>
      <c r="B982" s="60" t="s">
        <v>5523</v>
      </c>
      <c r="C982" s="60" t="s">
        <v>5519</v>
      </c>
      <c r="D982" s="60" t="s">
        <v>423</v>
      </c>
      <c r="E982" t="str">
        <f>VLOOKUP(Table10[[#This Row],[Country]],Countries!$A$1:$D$205,2,TRUE)</f>
        <v>RUS</v>
      </c>
      <c r="F982" s="60">
        <v>1739</v>
      </c>
      <c r="G982" s="60" t="s">
        <v>4026</v>
      </c>
      <c r="H982" s="65">
        <v>1000</v>
      </c>
      <c r="I982" s="65" t="s">
        <v>4022</v>
      </c>
      <c r="J982" s="60" t="s">
        <v>4023</v>
      </c>
      <c r="K982" s="60">
        <v>56.478428000000001</v>
      </c>
      <c r="L982">
        <v>60.249411000000002</v>
      </c>
    </row>
    <row r="983" spans="1:12" hidden="1" x14ac:dyDescent="0.35">
      <c r="A983" s="60" t="s">
        <v>5524</v>
      </c>
      <c r="B983" s="60" t="s">
        <v>5525</v>
      </c>
      <c r="C983" s="60" t="s">
        <v>5519</v>
      </c>
      <c r="D983" s="60" t="s">
        <v>423</v>
      </c>
      <c r="E983" t="str">
        <f>VLOOKUP(Table10[[#This Row],[Country]],Countries!$A$1:$D$205,2,TRUE)</f>
        <v>RUS</v>
      </c>
      <c r="F983" s="60">
        <v>2005</v>
      </c>
      <c r="G983" s="60" t="s">
        <v>4026</v>
      </c>
      <c r="H983" s="65">
        <v>2200</v>
      </c>
      <c r="I983" s="65" t="s">
        <v>4022</v>
      </c>
      <c r="J983" s="60" t="s">
        <v>4023</v>
      </c>
      <c r="K983" s="60">
        <v>56.849665999999999</v>
      </c>
      <c r="L983">
        <v>59.908414</v>
      </c>
    </row>
    <row r="984" spans="1:12" hidden="1" x14ac:dyDescent="0.35">
      <c r="A984" s="60" t="s">
        <v>5526</v>
      </c>
      <c r="B984" s="60" t="s">
        <v>5527</v>
      </c>
      <c r="C984" s="60" t="s">
        <v>5519</v>
      </c>
      <c r="D984" s="60" t="s">
        <v>423</v>
      </c>
      <c r="E984" t="str">
        <f>VLOOKUP(Table10[[#This Row],[Country]],Countries!$A$1:$D$205,2,TRUE)</f>
        <v>RUS</v>
      </c>
      <c r="F984" s="60">
        <v>1894</v>
      </c>
      <c r="G984" s="60" t="s">
        <v>4026</v>
      </c>
      <c r="H984" s="65">
        <v>756</v>
      </c>
      <c r="I984" s="65" t="s">
        <v>4022</v>
      </c>
      <c r="J984" s="60" t="s">
        <v>4023</v>
      </c>
      <c r="K984" s="60">
        <v>59.593854</v>
      </c>
      <c r="L984">
        <v>60.591195999999997</v>
      </c>
    </row>
    <row r="985" spans="1:12" hidden="1" x14ac:dyDescent="0.35">
      <c r="A985" s="60" t="s">
        <v>5528</v>
      </c>
      <c r="B985" s="60" t="s">
        <v>5529</v>
      </c>
      <c r="C985" s="60" t="s">
        <v>5529</v>
      </c>
      <c r="D985" s="60" t="s">
        <v>423</v>
      </c>
      <c r="E985" t="str">
        <f>VLOOKUP(Table10[[#This Row],[Country]],Countries!$A$1:$D$205,2,TRUE)</f>
        <v>RUS</v>
      </c>
      <c r="F985" s="60">
        <v>1935</v>
      </c>
      <c r="G985" s="60" t="s">
        <v>4026</v>
      </c>
      <c r="H985" s="65">
        <v>1800</v>
      </c>
      <c r="I985" s="65">
        <v>3763</v>
      </c>
      <c r="J985" s="60" t="s">
        <v>4049</v>
      </c>
      <c r="K985" s="60">
        <v>54.156725999999999</v>
      </c>
      <c r="L985">
        <v>37.725551000000003</v>
      </c>
    </row>
    <row r="986" spans="1:12" hidden="1" x14ac:dyDescent="0.35">
      <c r="A986" s="60" t="s">
        <v>5530</v>
      </c>
      <c r="B986" s="60" t="s">
        <v>5531</v>
      </c>
      <c r="C986" s="60" t="s">
        <v>5531</v>
      </c>
      <c r="D986" s="60" t="s">
        <v>423</v>
      </c>
      <c r="E986" t="str">
        <f>VLOOKUP(Table10[[#This Row],[Country]],Countries!$A$1:$D$205,2,TRUE)</f>
        <v>RUS</v>
      </c>
      <c r="F986" s="60">
        <v>2013</v>
      </c>
      <c r="G986" s="60" t="s">
        <v>4026</v>
      </c>
      <c r="H986" s="65">
        <v>550</v>
      </c>
      <c r="I986" s="65" t="s">
        <v>4022</v>
      </c>
      <c r="J986" s="60" t="s">
        <v>4023</v>
      </c>
      <c r="K986" s="60">
        <v>57.109316</v>
      </c>
      <c r="L986">
        <v>65.668640999999994</v>
      </c>
    </row>
    <row r="987" spans="1:12" hidden="1" x14ac:dyDescent="0.35">
      <c r="A987" s="60" t="s">
        <v>5532</v>
      </c>
      <c r="B987" s="60" t="s">
        <v>3662</v>
      </c>
      <c r="C987" s="60" t="s">
        <v>3662</v>
      </c>
      <c r="D987" s="60" t="s">
        <v>423</v>
      </c>
      <c r="E987" t="str">
        <f>VLOOKUP(Table10[[#This Row],[Country]],Countries!$A$1:$D$205,2,TRUE)</f>
        <v>RUS</v>
      </c>
      <c r="F987" s="60">
        <v>1898</v>
      </c>
      <c r="G987" s="60" t="s">
        <v>4026</v>
      </c>
      <c r="H987" s="65">
        <v>2000</v>
      </c>
      <c r="I987" s="65" t="s">
        <v>4022</v>
      </c>
      <c r="J987" s="60" t="s">
        <v>4023</v>
      </c>
      <c r="K987" s="60">
        <v>48.754024999999999</v>
      </c>
      <c r="L987">
        <v>44.561003999999997</v>
      </c>
    </row>
    <row r="988" spans="1:12" hidden="1" x14ac:dyDescent="0.35">
      <c r="A988" s="60" t="s">
        <v>5533</v>
      </c>
      <c r="B988" s="60" t="s">
        <v>5534</v>
      </c>
      <c r="C988" s="60" t="s">
        <v>3662</v>
      </c>
      <c r="D988" s="60" t="s">
        <v>423</v>
      </c>
      <c r="E988" t="str">
        <f>VLOOKUP(Table10[[#This Row],[Country]],Countries!$A$1:$D$205,2,TRUE)</f>
        <v>RUS</v>
      </c>
      <c r="F988" s="60">
        <v>1990</v>
      </c>
      <c r="G988" s="60" t="s">
        <v>4026</v>
      </c>
      <c r="H988" s="65">
        <v>900</v>
      </c>
      <c r="I988" s="65" t="s">
        <v>4022</v>
      </c>
      <c r="J988" s="60" t="s">
        <v>4023</v>
      </c>
      <c r="K988" s="60">
        <v>48.804332000000002</v>
      </c>
      <c r="L988">
        <v>44.794080000000001</v>
      </c>
    </row>
    <row r="989" spans="1:12" hidden="1" x14ac:dyDescent="0.35">
      <c r="A989" s="60" t="s">
        <v>5535</v>
      </c>
      <c r="B989" s="60" t="s">
        <v>5536</v>
      </c>
      <c r="C989" s="60" t="s">
        <v>5537</v>
      </c>
      <c r="D989" s="60" t="s">
        <v>423</v>
      </c>
      <c r="E989" t="str">
        <f>VLOOKUP(Table10[[#This Row],[Country]],Countries!$A$1:$D$205,2,TRUE)</f>
        <v>RUS</v>
      </c>
      <c r="F989" s="60">
        <v>1955</v>
      </c>
      <c r="G989" s="60" t="s">
        <v>4026</v>
      </c>
      <c r="H989" s="65">
        <v>12000</v>
      </c>
      <c r="I989" s="65">
        <v>11400</v>
      </c>
      <c r="J989" s="60" t="s">
        <v>4161</v>
      </c>
      <c r="K989" s="60">
        <v>59.143998000000003</v>
      </c>
      <c r="L989">
        <v>37.862949999999998</v>
      </c>
    </row>
    <row r="990" spans="1:12" hidden="1" x14ac:dyDescent="0.35">
      <c r="A990" s="60" t="s">
        <v>5538</v>
      </c>
      <c r="B990" s="60" t="s">
        <v>5539</v>
      </c>
      <c r="C990" s="60" t="s">
        <v>5540</v>
      </c>
      <c r="D990" s="60" t="s">
        <v>5541</v>
      </c>
      <c r="E990" t="str">
        <f>VLOOKUP(Table10[[#This Row],[Country]],Countries!$A$1:$D$205,2,TRUE)</f>
        <v>USA</v>
      </c>
      <c r="F990" s="60">
        <v>2024</v>
      </c>
      <c r="G990" s="60" t="s">
        <v>4021</v>
      </c>
      <c r="H990" s="65">
        <v>1500</v>
      </c>
      <c r="I990" s="65">
        <v>3600</v>
      </c>
      <c r="J990" s="60" t="s">
        <v>4034</v>
      </c>
      <c r="K990" s="60">
        <v>42.108708999999998</v>
      </c>
      <c r="L990">
        <v>60.511690999999999</v>
      </c>
    </row>
    <row r="991" spans="1:12" hidden="1" x14ac:dyDescent="0.35">
      <c r="A991" s="60" t="s">
        <v>5542</v>
      </c>
      <c r="B991" s="60" t="s">
        <v>5543</v>
      </c>
      <c r="C991" s="60" t="s">
        <v>5544</v>
      </c>
      <c r="D991" s="60" t="s">
        <v>5541</v>
      </c>
      <c r="E991" t="str">
        <f>VLOOKUP(Table10[[#This Row],[Country]],Countries!$A$1:$D$205,2,TRUE)</f>
        <v>USA</v>
      </c>
      <c r="F991" s="60">
        <v>1944</v>
      </c>
      <c r="G991" s="60" t="s">
        <v>4026</v>
      </c>
      <c r="H991" s="65">
        <v>1000</v>
      </c>
      <c r="I991" s="65" t="s">
        <v>4022</v>
      </c>
      <c r="J991" s="60" t="s">
        <v>5545</v>
      </c>
      <c r="K991" s="60">
        <v>40.233432000000001</v>
      </c>
      <c r="L991">
        <v>69.290873000000005</v>
      </c>
    </row>
    <row r="992" spans="1:12" hidden="1" x14ac:dyDescent="0.35">
      <c r="A992" s="60" t="s">
        <v>5546</v>
      </c>
      <c r="B992" s="60" t="s">
        <v>5543</v>
      </c>
      <c r="C992" s="60" t="s">
        <v>5544</v>
      </c>
      <c r="D992" s="60" t="s">
        <v>5541</v>
      </c>
      <c r="E992" t="str">
        <f>VLOOKUP(Table10[[#This Row],[Country]],Countries!$A$1:$D$205,2,TRUE)</f>
        <v>USA</v>
      </c>
      <c r="F992" s="60">
        <v>2024</v>
      </c>
      <c r="G992" s="60" t="s">
        <v>4021</v>
      </c>
      <c r="H992" s="65">
        <v>1000</v>
      </c>
      <c r="I992" s="65" t="s">
        <v>4022</v>
      </c>
      <c r="J992" s="60" t="s">
        <v>4023</v>
      </c>
      <c r="K992" s="60">
        <v>40.233432000000001</v>
      </c>
      <c r="L992">
        <v>69.290873000000005</v>
      </c>
    </row>
    <row r="993" spans="1:12" hidden="1" x14ac:dyDescent="0.35">
      <c r="A993" s="60" t="s">
        <v>5547</v>
      </c>
      <c r="B993" s="60" t="s">
        <v>5548</v>
      </c>
      <c r="C993" s="60" t="s">
        <v>5549</v>
      </c>
      <c r="D993" s="60" t="s">
        <v>342</v>
      </c>
      <c r="E993" t="str">
        <f>VLOOKUP(Table10[[#This Row],[Country]],Countries!$A$1:$D$205,2,TRUE)</f>
        <v>ALB</v>
      </c>
      <c r="F993" s="60">
        <v>1998</v>
      </c>
      <c r="G993" s="60" t="s">
        <v>4026</v>
      </c>
      <c r="H993" s="65">
        <v>700</v>
      </c>
      <c r="I993" s="65" t="s">
        <v>4036</v>
      </c>
      <c r="J993" s="60" t="s">
        <v>4027</v>
      </c>
      <c r="K993" s="60">
        <v>41.094611</v>
      </c>
      <c r="L993">
        <v>20.026116999999999</v>
      </c>
    </row>
    <row r="994" spans="1:12" hidden="1" x14ac:dyDescent="0.35">
      <c r="A994" s="60" t="s">
        <v>5550</v>
      </c>
      <c r="B994" s="60" t="s">
        <v>5551</v>
      </c>
      <c r="C994" s="60" t="s">
        <v>5552</v>
      </c>
      <c r="D994" s="60" t="s">
        <v>356</v>
      </c>
      <c r="E994" t="str">
        <f>VLOOKUP(Table10[[#This Row],[Country]],Countries!$A$1:$D$205,2,TRUE)</f>
        <v>AUT</v>
      </c>
      <c r="F994" s="60">
        <v>2027</v>
      </c>
      <c r="G994" s="60" t="s">
        <v>4037</v>
      </c>
      <c r="H994" s="65">
        <v>850</v>
      </c>
      <c r="I994" s="65" t="s">
        <v>4022</v>
      </c>
      <c r="J994" s="60" t="s">
        <v>4023</v>
      </c>
      <c r="K994" s="60">
        <v>47.380454999999998</v>
      </c>
      <c r="L994">
        <v>15.065182</v>
      </c>
    </row>
    <row r="995" spans="1:12" hidden="1" x14ac:dyDescent="0.35">
      <c r="A995" s="60" t="s">
        <v>5553</v>
      </c>
      <c r="B995" s="60" t="s">
        <v>5551</v>
      </c>
      <c r="C995" s="60" t="s">
        <v>5552</v>
      </c>
      <c r="D995" s="60" t="s">
        <v>356</v>
      </c>
      <c r="E995" t="str">
        <f>VLOOKUP(Table10[[#This Row],[Country]],Countries!$A$1:$D$205,2,TRUE)</f>
        <v>AUT</v>
      </c>
      <c r="F995" s="60" t="s">
        <v>4022</v>
      </c>
      <c r="G995" s="60" t="s">
        <v>4048</v>
      </c>
      <c r="H995" s="65">
        <v>850</v>
      </c>
      <c r="I995" s="65">
        <v>825</v>
      </c>
      <c r="J995" s="60" t="s">
        <v>4049</v>
      </c>
      <c r="K995" s="60">
        <v>47.380454999999998</v>
      </c>
      <c r="L995">
        <v>15.065182</v>
      </c>
    </row>
    <row r="996" spans="1:12" hidden="1" x14ac:dyDescent="0.35">
      <c r="A996" s="60" t="s">
        <v>5554</v>
      </c>
      <c r="B996" s="60" t="s">
        <v>5551</v>
      </c>
      <c r="C996" s="60" t="s">
        <v>5552</v>
      </c>
      <c r="D996" s="60" t="s">
        <v>356</v>
      </c>
      <c r="E996" t="str">
        <f>VLOOKUP(Table10[[#This Row],[Country]],Countries!$A$1:$D$205,2,TRUE)</f>
        <v>AUT</v>
      </c>
      <c r="F996" s="60">
        <v>1878</v>
      </c>
      <c r="G996" s="60" t="s">
        <v>4026</v>
      </c>
      <c r="H996" s="65">
        <v>1570</v>
      </c>
      <c r="I996" s="65">
        <v>1650</v>
      </c>
      <c r="J996" s="60" t="s">
        <v>4049</v>
      </c>
      <c r="K996" s="60">
        <v>47.380454999999998</v>
      </c>
      <c r="L996">
        <v>15.065182</v>
      </c>
    </row>
    <row r="997" spans="1:12" hidden="1" x14ac:dyDescent="0.35">
      <c r="A997" s="60" t="s">
        <v>5555</v>
      </c>
      <c r="B997" s="60" t="s">
        <v>1205</v>
      </c>
      <c r="C997" s="60" t="s">
        <v>5556</v>
      </c>
      <c r="D997" s="60" t="s">
        <v>356</v>
      </c>
      <c r="E997" t="str">
        <f>VLOOKUP(Table10[[#This Row],[Country]],Countries!$A$1:$D$205,2,TRUE)</f>
        <v>AUT</v>
      </c>
      <c r="F997" s="60">
        <v>2027</v>
      </c>
      <c r="G997" s="60" t="s">
        <v>4037</v>
      </c>
      <c r="H997" s="65">
        <v>1600</v>
      </c>
      <c r="I997" s="65" t="s">
        <v>4022</v>
      </c>
      <c r="J997" s="60" t="s">
        <v>4023</v>
      </c>
      <c r="K997" s="60">
        <v>48.274023</v>
      </c>
      <c r="L997">
        <v>14.334339999999999</v>
      </c>
    </row>
    <row r="998" spans="1:12" hidden="1" x14ac:dyDescent="0.35">
      <c r="A998" s="60" t="s">
        <v>5557</v>
      </c>
      <c r="B998" s="60" t="s">
        <v>1205</v>
      </c>
      <c r="C998" s="60" t="s">
        <v>5556</v>
      </c>
      <c r="D998" s="60" t="s">
        <v>356</v>
      </c>
      <c r="E998" t="str">
        <f>VLOOKUP(Table10[[#This Row],[Country]],Countries!$A$1:$D$205,2,TRUE)</f>
        <v>AUT</v>
      </c>
      <c r="F998" s="60" t="s">
        <v>4022</v>
      </c>
      <c r="G998" s="60" t="s">
        <v>4048</v>
      </c>
      <c r="H998" s="65">
        <v>1650</v>
      </c>
      <c r="I998" s="65">
        <v>1666.6666666666667</v>
      </c>
      <c r="J998" s="60" t="s">
        <v>4049</v>
      </c>
      <c r="K998" s="60">
        <v>48.274023</v>
      </c>
      <c r="L998">
        <v>14.334339999999999</v>
      </c>
    </row>
    <row r="999" spans="1:12" hidden="1" x14ac:dyDescent="0.35">
      <c r="A999" s="60" t="s">
        <v>5558</v>
      </c>
      <c r="B999" s="60" t="s">
        <v>1205</v>
      </c>
      <c r="C999" s="60" t="s">
        <v>5556</v>
      </c>
      <c r="D999" s="60" t="s">
        <v>356</v>
      </c>
      <c r="E999" t="str">
        <f>VLOOKUP(Table10[[#This Row],[Country]],Countries!$A$1:$D$205,2,TRUE)</f>
        <v>AUT</v>
      </c>
      <c r="F999" s="60">
        <v>1940</v>
      </c>
      <c r="G999" s="60" t="s">
        <v>4026</v>
      </c>
      <c r="H999" s="65">
        <v>6000</v>
      </c>
      <c r="I999" s="65">
        <v>5000</v>
      </c>
      <c r="J999" s="60" t="s">
        <v>4049</v>
      </c>
      <c r="K999" s="60">
        <v>48.274023</v>
      </c>
      <c r="L999">
        <v>14.334339999999999</v>
      </c>
    </row>
    <row r="1000" spans="1:12" hidden="1" x14ac:dyDescent="0.35">
      <c r="A1000" s="60" t="s">
        <v>5559</v>
      </c>
      <c r="B1000" s="60" t="s">
        <v>5560</v>
      </c>
      <c r="C1000" s="60" t="s">
        <v>5561</v>
      </c>
      <c r="D1000" s="60" t="s">
        <v>5562</v>
      </c>
      <c r="E1000" t="str">
        <f>VLOOKUP(Table10[[#This Row],[Country]],Countries!$A$1:$D$205,2,TRUE)</f>
        <v>BHR</v>
      </c>
      <c r="F1000" s="60">
        <v>1984</v>
      </c>
      <c r="G1000" s="60" t="s">
        <v>4026</v>
      </c>
      <c r="H1000" s="65">
        <v>3000</v>
      </c>
      <c r="I1000" s="65" t="s">
        <v>4022</v>
      </c>
      <c r="J1000" s="60" t="s">
        <v>4023</v>
      </c>
      <c r="K1000" s="60">
        <v>52.849321000000003</v>
      </c>
      <c r="L1000">
        <v>29.988985</v>
      </c>
    </row>
    <row r="1001" spans="1:12" hidden="1" x14ac:dyDescent="0.35">
      <c r="A1001" s="60" t="s">
        <v>5563</v>
      </c>
      <c r="B1001" s="60" t="s">
        <v>5564</v>
      </c>
      <c r="C1001" s="60" t="s">
        <v>5565</v>
      </c>
      <c r="D1001" s="60" t="s">
        <v>5566</v>
      </c>
      <c r="E1001" t="str">
        <f>VLOOKUP(Table10[[#This Row],[Country]],Countries!$A$1:$D$205,2,TRUE)</f>
        <v>BHR</v>
      </c>
      <c r="F1001" s="60" t="s">
        <v>4036</v>
      </c>
      <c r="G1001" s="60" t="s">
        <v>4026</v>
      </c>
      <c r="H1001" s="65">
        <v>1200</v>
      </c>
      <c r="I1001" s="65" t="s">
        <v>4022</v>
      </c>
      <c r="J1001" s="60" t="s">
        <v>4023</v>
      </c>
      <c r="K1001" s="60">
        <v>50.933973000000002</v>
      </c>
      <c r="L1001">
        <v>5.5114939999999999</v>
      </c>
    </row>
    <row r="1002" spans="1:12" hidden="1" x14ac:dyDescent="0.35">
      <c r="A1002" s="60" t="s">
        <v>5567</v>
      </c>
      <c r="B1002" s="60" t="s">
        <v>5568</v>
      </c>
      <c r="C1002" s="60" t="s">
        <v>5569</v>
      </c>
      <c r="D1002" s="60" t="s">
        <v>5566</v>
      </c>
      <c r="E1002" t="str">
        <f>VLOOKUP(Table10[[#This Row],[Country]],Countries!$A$1:$D$205,2,TRUE)</f>
        <v>BHR</v>
      </c>
      <c r="F1002" s="60" t="s">
        <v>4022</v>
      </c>
      <c r="G1002" s="60" t="s">
        <v>4048</v>
      </c>
      <c r="H1002" s="65">
        <v>2500</v>
      </c>
      <c r="I1002" s="65">
        <v>2700</v>
      </c>
      <c r="J1002" s="60" t="s">
        <v>4049</v>
      </c>
      <c r="K1002" s="60">
        <v>51.169929000000003</v>
      </c>
      <c r="L1002">
        <v>3.804462</v>
      </c>
    </row>
    <row r="1003" spans="1:12" hidden="1" x14ac:dyDescent="0.35">
      <c r="A1003" s="60" t="s">
        <v>5570</v>
      </c>
      <c r="B1003" s="60" t="s">
        <v>5568</v>
      </c>
      <c r="C1003" s="60" t="s">
        <v>5569</v>
      </c>
      <c r="D1003" s="60" t="s">
        <v>5566</v>
      </c>
      <c r="E1003" t="str">
        <f>VLOOKUP(Table10[[#This Row],[Country]],Countries!$A$1:$D$205,2,TRUE)</f>
        <v>BHR</v>
      </c>
      <c r="F1003" s="60">
        <v>1966</v>
      </c>
      <c r="G1003" s="60" t="s">
        <v>4026</v>
      </c>
      <c r="H1003" s="65">
        <v>5000</v>
      </c>
      <c r="I1003" s="65">
        <v>5000</v>
      </c>
      <c r="J1003" s="60" t="s">
        <v>4049</v>
      </c>
      <c r="K1003" s="60">
        <v>51.169929000000003</v>
      </c>
      <c r="L1003">
        <v>3.804462</v>
      </c>
    </row>
    <row r="1004" spans="1:12" hidden="1" x14ac:dyDescent="0.35">
      <c r="A1004" s="60" t="s">
        <v>5571</v>
      </c>
      <c r="B1004" s="60" t="s">
        <v>5568</v>
      </c>
      <c r="C1004" s="60" t="s">
        <v>5569</v>
      </c>
      <c r="D1004" s="60" t="s">
        <v>5566</v>
      </c>
      <c r="E1004" t="str">
        <f>VLOOKUP(Table10[[#This Row],[Country]],Countries!$A$1:$D$205,2,TRUE)</f>
        <v>BHR</v>
      </c>
      <c r="F1004" s="60">
        <v>2030</v>
      </c>
      <c r="G1004" s="60" t="s">
        <v>4037</v>
      </c>
      <c r="H1004" s="65">
        <v>2500</v>
      </c>
      <c r="I1004" s="65">
        <v>2500</v>
      </c>
      <c r="J1004" s="60" t="s">
        <v>4034</v>
      </c>
      <c r="K1004" s="60">
        <v>51.169929000000003</v>
      </c>
      <c r="L1004">
        <v>3.804462</v>
      </c>
    </row>
    <row r="1005" spans="1:12" hidden="1" x14ac:dyDescent="0.35">
      <c r="A1005" s="60" t="s">
        <v>5572</v>
      </c>
      <c r="B1005" s="60" t="s">
        <v>5573</v>
      </c>
      <c r="C1005" s="60" t="s">
        <v>5574</v>
      </c>
      <c r="D1005" s="60" t="s">
        <v>5566</v>
      </c>
      <c r="E1005" t="str">
        <f>VLOOKUP(Table10[[#This Row],[Country]],Countries!$A$1:$D$205,2,TRUE)</f>
        <v>BHR</v>
      </c>
      <c r="F1005" s="60">
        <v>1989</v>
      </c>
      <c r="G1005" s="60" t="s">
        <v>4026</v>
      </c>
      <c r="H1005" s="65">
        <v>850</v>
      </c>
      <c r="I1005" s="65" t="s">
        <v>4022</v>
      </c>
      <c r="J1005" s="60" t="s">
        <v>4023</v>
      </c>
      <c r="K1005" s="60">
        <v>50.410335000000003</v>
      </c>
      <c r="L1005">
        <v>4.4296930000000003</v>
      </c>
    </row>
    <row r="1006" spans="1:12" hidden="1" x14ac:dyDescent="0.35">
      <c r="A1006" s="60" t="s">
        <v>5575</v>
      </c>
      <c r="B1006" s="60" t="s">
        <v>5576</v>
      </c>
      <c r="C1006" s="60" t="s">
        <v>5574</v>
      </c>
      <c r="D1006" s="60" t="s">
        <v>5566</v>
      </c>
      <c r="E1006" t="str">
        <f>VLOOKUP(Table10[[#This Row],[Country]],Countries!$A$1:$D$205,2,TRUE)</f>
        <v>BHR</v>
      </c>
      <c r="F1006" s="60">
        <v>1976</v>
      </c>
      <c r="G1006" s="60" t="s">
        <v>4026</v>
      </c>
      <c r="H1006" s="65">
        <v>1000</v>
      </c>
      <c r="I1006" s="65" t="s">
        <v>4022</v>
      </c>
      <c r="J1006" s="60" t="s">
        <v>4023</v>
      </c>
      <c r="K1006" s="60">
        <v>50.414997999999997</v>
      </c>
      <c r="L1006">
        <v>4.5324429999999998</v>
      </c>
    </row>
    <row r="1007" spans="1:12" hidden="1" x14ac:dyDescent="0.35">
      <c r="A1007" s="60" t="s">
        <v>5577</v>
      </c>
      <c r="B1007" s="60" t="s">
        <v>5578</v>
      </c>
      <c r="C1007" s="60" t="s">
        <v>5579</v>
      </c>
      <c r="D1007" s="60" t="s">
        <v>5580</v>
      </c>
      <c r="E1007" t="str">
        <f>VLOOKUP(Table10[[#This Row],[Country]],Countries!$A$1:$D$205,2,TRUE)</f>
        <v>BEN</v>
      </c>
      <c r="F1007" s="60">
        <v>1892</v>
      </c>
      <c r="G1007" s="60" t="s">
        <v>4026</v>
      </c>
      <c r="H1007" s="65">
        <v>1940</v>
      </c>
      <c r="I1007" s="65">
        <v>1100</v>
      </c>
      <c r="J1007" s="60" t="s">
        <v>4161</v>
      </c>
      <c r="K1007" s="60">
        <v>44.224446</v>
      </c>
      <c r="L1007">
        <v>17.899815</v>
      </c>
    </row>
    <row r="1008" spans="1:12" hidden="1" x14ac:dyDescent="0.35">
      <c r="A1008" s="60" t="s">
        <v>5581</v>
      </c>
      <c r="B1008" s="60" t="s">
        <v>5582</v>
      </c>
      <c r="C1008" s="60" t="s">
        <v>5582</v>
      </c>
      <c r="D1008" s="60" t="s">
        <v>5583</v>
      </c>
      <c r="E1008" t="str">
        <f>VLOOKUP(Table10[[#This Row],[Country]],Countries!$A$1:$D$205,2,TRUE)</f>
        <v>BRA</v>
      </c>
      <c r="F1008" s="60">
        <v>1958</v>
      </c>
      <c r="G1008" s="60" t="s">
        <v>4026</v>
      </c>
      <c r="H1008" s="65">
        <v>1200</v>
      </c>
      <c r="I1008" s="65" t="s">
        <v>4022</v>
      </c>
      <c r="J1008" s="60" t="s">
        <v>4023</v>
      </c>
      <c r="K1008" s="60">
        <v>42.595629000000002</v>
      </c>
      <c r="L1008">
        <v>23.093095000000002</v>
      </c>
    </row>
    <row r="1009" spans="1:12" hidden="1" x14ac:dyDescent="0.35">
      <c r="A1009" s="60" t="s">
        <v>5584</v>
      </c>
      <c r="B1009" s="60" t="s">
        <v>3250</v>
      </c>
      <c r="C1009" s="60" t="s">
        <v>5585</v>
      </c>
      <c r="D1009" s="60" t="s">
        <v>5586</v>
      </c>
      <c r="E1009" t="str">
        <f>VLOOKUP(Table10[[#This Row],[Country]],Countries!$A$1:$D$205,2,TRUE)</f>
        <v>CAN</v>
      </c>
      <c r="F1009" s="60" t="s">
        <v>4036</v>
      </c>
      <c r="G1009" s="60" t="s">
        <v>4037</v>
      </c>
      <c r="H1009" s="65">
        <v>200</v>
      </c>
      <c r="I1009" s="65" t="s">
        <v>4022</v>
      </c>
      <c r="J1009" s="60" t="s">
        <v>4023</v>
      </c>
      <c r="K1009" s="60">
        <v>45.445977999999997</v>
      </c>
      <c r="L1009">
        <v>16.391655</v>
      </c>
    </row>
    <row r="1010" spans="1:12" hidden="1" x14ac:dyDescent="0.35">
      <c r="A1010" s="60" t="s">
        <v>5587</v>
      </c>
      <c r="B1010" s="60" t="s">
        <v>3250</v>
      </c>
      <c r="C1010" s="60" t="s">
        <v>5585</v>
      </c>
      <c r="D1010" s="60" t="s">
        <v>5586</v>
      </c>
      <c r="E1010" t="str">
        <f>VLOOKUP(Table10[[#This Row],[Country]],Countries!$A$1:$D$205,2,TRUE)</f>
        <v>CAN</v>
      </c>
      <c r="F1010" s="60">
        <v>1954</v>
      </c>
      <c r="G1010" s="60" t="s">
        <v>4026</v>
      </c>
      <c r="H1010" s="65">
        <v>350</v>
      </c>
      <c r="I1010" s="65" t="s">
        <v>4022</v>
      </c>
      <c r="J1010" s="60" t="s">
        <v>4023</v>
      </c>
      <c r="K1010" s="60">
        <v>45.445977999999997</v>
      </c>
      <c r="L1010">
        <v>16.391655</v>
      </c>
    </row>
    <row r="1011" spans="1:12" hidden="1" x14ac:dyDescent="0.35">
      <c r="A1011" s="60" t="s">
        <v>5588</v>
      </c>
      <c r="B1011" s="60" t="s">
        <v>5589</v>
      </c>
      <c r="C1011" s="60" t="s">
        <v>5590</v>
      </c>
      <c r="D1011" s="60" t="s">
        <v>5591</v>
      </c>
      <c r="E1011" t="str">
        <f>VLOOKUP(Table10[[#This Row],[Country]],Countries!$A$1:$D$205,2,TRUE)</f>
        <v>CAN</v>
      </c>
      <c r="F1011" s="64" t="s">
        <v>4022</v>
      </c>
      <c r="G1011" s="60" t="s">
        <v>4048</v>
      </c>
      <c r="H1011" s="65">
        <v>3600</v>
      </c>
      <c r="I1011" s="65" t="s">
        <v>4022</v>
      </c>
      <c r="J1011" s="60" t="s">
        <v>4049</v>
      </c>
      <c r="K1011" s="60">
        <v>49.792138999999999</v>
      </c>
      <c r="L1011">
        <v>18.309875000000002</v>
      </c>
    </row>
    <row r="1012" spans="1:12" hidden="1" x14ac:dyDescent="0.35">
      <c r="A1012" s="60" t="s">
        <v>5592</v>
      </c>
      <c r="B1012" s="60" t="s">
        <v>5589</v>
      </c>
      <c r="C1012" s="60" t="s">
        <v>5590</v>
      </c>
      <c r="D1012" s="60" t="s">
        <v>5591</v>
      </c>
      <c r="E1012" t="str">
        <f>VLOOKUP(Table10[[#This Row],[Country]],Countries!$A$1:$D$205,2,TRUE)</f>
        <v>CAN</v>
      </c>
      <c r="F1012" s="60">
        <v>2025</v>
      </c>
      <c r="G1012" s="60" t="s">
        <v>4021</v>
      </c>
      <c r="H1012" s="65">
        <v>3500</v>
      </c>
      <c r="I1012" s="65" t="s">
        <v>4022</v>
      </c>
      <c r="J1012" s="60" t="s">
        <v>4023</v>
      </c>
      <c r="K1012" s="60">
        <v>49.792138999999999</v>
      </c>
      <c r="L1012">
        <v>18.309875000000002</v>
      </c>
    </row>
    <row r="1013" spans="1:12" hidden="1" x14ac:dyDescent="0.35">
      <c r="A1013" s="60" t="s">
        <v>5593</v>
      </c>
      <c r="B1013" s="60" t="s">
        <v>5589</v>
      </c>
      <c r="C1013" s="60" t="s">
        <v>5590</v>
      </c>
      <c r="D1013" s="60" t="s">
        <v>5591</v>
      </c>
      <c r="E1013" t="str">
        <f>VLOOKUP(Table10[[#This Row],[Country]],Countries!$A$1:$D$205,2,TRUE)</f>
        <v>CAN</v>
      </c>
      <c r="F1013" s="60" t="s">
        <v>4036</v>
      </c>
      <c r="G1013" s="60" t="s">
        <v>4026</v>
      </c>
      <c r="H1013" s="65">
        <v>3600</v>
      </c>
      <c r="I1013" s="65">
        <v>2100</v>
      </c>
      <c r="J1013" s="60" t="s">
        <v>4049</v>
      </c>
      <c r="K1013" s="60">
        <v>49.792138999999999</v>
      </c>
      <c r="L1013">
        <v>18.309875000000002</v>
      </c>
    </row>
    <row r="1014" spans="1:12" hidden="1" x14ac:dyDescent="0.35">
      <c r="A1014" s="60" t="s">
        <v>5594</v>
      </c>
      <c r="B1014" s="60" t="s">
        <v>5595</v>
      </c>
      <c r="C1014" s="60" t="s">
        <v>5590</v>
      </c>
      <c r="D1014" s="60" t="s">
        <v>5591</v>
      </c>
      <c r="E1014" t="str">
        <f>VLOOKUP(Table10[[#This Row],[Country]],Countries!$A$1:$D$205,2,TRUE)</f>
        <v>CAN</v>
      </c>
      <c r="F1014" s="60">
        <v>1906</v>
      </c>
      <c r="G1014" s="60" t="s">
        <v>4026</v>
      </c>
      <c r="H1014" s="65">
        <v>2800</v>
      </c>
      <c r="I1014" s="65">
        <v>2100</v>
      </c>
      <c r="J1014" s="60" t="s">
        <v>4161</v>
      </c>
      <c r="K1014" s="60">
        <v>49.689053000000001</v>
      </c>
      <c r="L1014">
        <v>18.654557</v>
      </c>
    </row>
    <row r="1015" spans="1:12" hidden="1" x14ac:dyDescent="0.35">
      <c r="A1015" s="60" t="s">
        <v>5596</v>
      </c>
      <c r="B1015" s="60" t="s">
        <v>5597</v>
      </c>
      <c r="C1015" s="60" t="s">
        <v>5598</v>
      </c>
      <c r="D1015" s="60" t="s">
        <v>5599</v>
      </c>
      <c r="E1015" t="str">
        <f>VLOOKUP(Table10[[#This Row],[Country]],Countries!$A$1:$D$205,2,TRUE)</f>
        <v>EGY</v>
      </c>
      <c r="F1015" s="60">
        <v>1935</v>
      </c>
      <c r="G1015" s="60" t="s">
        <v>4026</v>
      </c>
      <c r="H1015" s="65">
        <v>862.49999999999989</v>
      </c>
      <c r="I1015" s="65" t="s">
        <v>4022</v>
      </c>
      <c r="J1015" s="60" t="s">
        <v>4023</v>
      </c>
      <c r="K1015" s="60">
        <v>61.149465999999997</v>
      </c>
      <c r="L1015">
        <v>28.798774000000002</v>
      </c>
    </row>
    <row r="1016" spans="1:12" hidden="1" x14ac:dyDescent="0.35">
      <c r="A1016" s="60" t="s">
        <v>5600</v>
      </c>
      <c r="B1016" s="60" t="s">
        <v>5601</v>
      </c>
      <c r="C1016" s="60" t="s">
        <v>5602</v>
      </c>
      <c r="D1016" s="60" t="s">
        <v>5599</v>
      </c>
      <c r="E1016" t="str">
        <f>VLOOKUP(Table10[[#This Row],[Country]],Countries!$A$1:$D$205,2,TRUE)</f>
        <v>EGY</v>
      </c>
      <c r="F1016" s="60">
        <v>1976</v>
      </c>
      <c r="G1016" s="60" t="s">
        <v>4026</v>
      </c>
      <c r="H1016" s="65">
        <v>1200</v>
      </c>
      <c r="I1016" s="65" t="s">
        <v>4022</v>
      </c>
      <c r="J1016" s="60" t="s">
        <v>4023</v>
      </c>
      <c r="K1016" s="60">
        <v>65.767115000000004</v>
      </c>
      <c r="L1016">
        <v>24.176472</v>
      </c>
    </row>
    <row r="1017" spans="1:12" hidden="1" x14ac:dyDescent="0.35">
      <c r="A1017" s="63" t="s">
        <v>5603</v>
      </c>
      <c r="B1017" s="60" t="s">
        <v>2124</v>
      </c>
      <c r="C1017" s="60" t="s">
        <v>5604</v>
      </c>
      <c r="D1017" s="60" t="s">
        <v>5599</v>
      </c>
      <c r="E1017" t="str">
        <f>VLOOKUP(Table10[[#This Row],[Country]],Countries!$A$1:$D$205,2,TRUE)</f>
        <v>EGY</v>
      </c>
      <c r="F1017" s="60" t="s">
        <v>4036</v>
      </c>
      <c r="G1017" s="60" t="s">
        <v>4048</v>
      </c>
      <c r="H1017" s="65">
        <v>2600</v>
      </c>
      <c r="I1017" s="65">
        <v>2600</v>
      </c>
      <c r="J1017" s="60" t="s">
        <v>4049</v>
      </c>
      <c r="K1017" s="60">
        <v>64.651111</v>
      </c>
      <c r="L1017">
        <v>24.418544000000001</v>
      </c>
    </row>
    <row r="1018" spans="1:12" hidden="1" x14ac:dyDescent="0.35">
      <c r="A1018" s="63" t="s">
        <v>5605</v>
      </c>
      <c r="B1018" s="60" t="s">
        <v>2124</v>
      </c>
      <c r="C1018" s="60" t="s">
        <v>5604</v>
      </c>
      <c r="D1018" s="60" t="s">
        <v>5599</v>
      </c>
      <c r="E1018" t="str">
        <f>VLOOKUP(Table10[[#This Row],[Country]],Countries!$A$1:$D$205,2,TRUE)</f>
        <v>EGY</v>
      </c>
      <c r="F1018" s="60">
        <v>2030</v>
      </c>
      <c r="G1018" s="60" t="s">
        <v>4037</v>
      </c>
      <c r="H1018" s="65">
        <v>2600</v>
      </c>
      <c r="I1018" s="65" t="s">
        <v>4036</v>
      </c>
      <c r="J1018" s="60" t="s">
        <v>4023</v>
      </c>
      <c r="K1018" s="60">
        <v>64.651111</v>
      </c>
      <c r="L1018">
        <v>24.418544000000001</v>
      </c>
    </row>
    <row r="1019" spans="1:12" hidden="1" x14ac:dyDescent="0.35">
      <c r="A1019" s="60" t="s">
        <v>5606</v>
      </c>
      <c r="B1019" s="60" t="s">
        <v>2124</v>
      </c>
      <c r="C1019" s="60" t="s">
        <v>5604</v>
      </c>
      <c r="D1019" s="60" t="s">
        <v>5599</v>
      </c>
      <c r="E1019" t="str">
        <f>VLOOKUP(Table10[[#This Row],[Country]],Countries!$A$1:$D$205,2,TRUE)</f>
        <v>EGY</v>
      </c>
      <c r="F1019" s="60">
        <v>1964</v>
      </c>
      <c r="G1019" s="60" t="s">
        <v>4026</v>
      </c>
      <c r="H1019" s="65">
        <v>2600</v>
      </c>
      <c r="I1019" s="65">
        <v>2600</v>
      </c>
      <c r="J1019" s="60" t="s">
        <v>4049</v>
      </c>
      <c r="K1019" s="60">
        <v>64.651111</v>
      </c>
      <c r="L1019">
        <v>24.418544000000001</v>
      </c>
    </row>
    <row r="1020" spans="1:12" hidden="1" x14ac:dyDescent="0.35">
      <c r="A1020" s="60" t="s">
        <v>5607</v>
      </c>
      <c r="B1020" s="60" t="s">
        <v>5608</v>
      </c>
      <c r="C1020" s="60" t="s">
        <v>5609</v>
      </c>
      <c r="D1020" s="60" t="s">
        <v>5599</v>
      </c>
      <c r="E1020" t="str">
        <f>VLOOKUP(Table10[[#This Row],[Country]],Countries!$A$1:$D$205,2,TRUE)</f>
        <v>EGY</v>
      </c>
      <c r="F1020" s="60">
        <v>2026</v>
      </c>
      <c r="G1020" s="60" t="s">
        <v>4037</v>
      </c>
      <c r="H1020" s="65">
        <v>2500</v>
      </c>
      <c r="I1020" s="65" t="s">
        <v>4110</v>
      </c>
      <c r="J1020" s="60" t="s">
        <v>4034</v>
      </c>
      <c r="K1020" s="60">
        <v>60.017499999999998</v>
      </c>
      <c r="L1020">
        <v>23.912600000000001</v>
      </c>
    </row>
    <row r="1021" spans="1:12" hidden="1" x14ac:dyDescent="0.35">
      <c r="A1021" s="60" t="s">
        <v>5610</v>
      </c>
      <c r="B1021" s="60" t="s">
        <v>5611</v>
      </c>
      <c r="C1021" s="60" t="s">
        <v>5612</v>
      </c>
      <c r="D1021" s="60" t="s">
        <v>5613</v>
      </c>
      <c r="E1021" t="str">
        <f>VLOOKUP(Table10[[#This Row],[Country]],Countries!$A$1:$D$205,2,TRUE)</f>
        <v>EGY</v>
      </c>
      <c r="F1021" s="60">
        <v>2013</v>
      </c>
      <c r="G1021" s="60" t="s">
        <v>4048</v>
      </c>
      <c r="H1021" s="65">
        <v>2400</v>
      </c>
      <c r="I1021" s="65">
        <v>2847</v>
      </c>
      <c r="J1021" s="60" t="s">
        <v>4049</v>
      </c>
      <c r="K1021" s="60">
        <v>49.331721999999999</v>
      </c>
      <c r="L1021">
        <v>6.1431069999999997</v>
      </c>
    </row>
    <row r="1022" spans="1:12" hidden="1" x14ac:dyDescent="0.35">
      <c r="A1022" s="60" t="s">
        <v>5614</v>
      </c>
      <c r="B1022" s="60" t="s">
        <v>5615</v>
      </c>
      <c r="C1022" s="60" t="s">
        <v>5612</v>
      </c>
      <c r="D1022" s="60" t="s">
        <v>5613</v>
      </c>
      <c r="E1022" t="str">
        <f>VLOOKUP(Table10[[#This Row],[Country]],Countries!$A$1:$D$205,2,TRUE)</f>
        <v>EGY</v>
      </c>
      <c r="F1022" s="60">
        <v>1872</v>
      </c>
      <c r="G1022" s="60" t="s">
        <v>4026</v>
      </c>
      <c r="H1022" s="65">
        <v>850</v>
      </c>
      <c r="I1022" s="65" t="s">
        <v>4022</v>
      </c>
      <c r="J1022" s="60" t="s">
        <v>4023</v>
      </c>
      <c r="K1022" s="60">
        <v>48.611482000000002</v>
      </c>
      <c r="L1022">
        <v>6.1118639999999997</v>
      </c>
    </row>
    <row r="1023" spans="1:12" hidden="1" x14ac:dyDescent="0.35">
      <c r="A1023" s="60" t="s">
        <v>5616</v>
      </c>
      <c r="B1023" s="60" t="s">
        <v>1270</v>
      </c>
      <c r="C1023" s="60" t="s">
        <v>5617</v>
      </c>
      <c r="D1023" s="60" t="s">
        <v>5613</v>
      </c>
      <c r="E1023" t="str">
        <f>VLOOKUP(Table10[[#This Row],[Country]],Countries!$A$1:$D$205,2,TRUE)</f>
        <v>EGY</v>
      </c>
      <c r="F1023" s="60" t="s">
        <v>4022</v>
      </c>
      <c r="G1023" s="60" t="s">
        <v>4048</v>
      </c>
      <c r="H1023" s="65">
        <v>2250</v>
      </c>
      <c r="I1023" s="65">
        <v>3200</v>
      </c>
      <c r="J1023" s="60" t="s">
        <v>4049</v>
      </c>
      <c r="K1023" s="60">
        <v>51.041274000000001</v>
      </c>
      <c r="L1023">
        <v>2.292948</v>
      </c>
    </row>
    <row r="1024" spans="1:12" hidden="1" x14ac:dyDescent="0.35">
      <c r="A1024" s="60" t="s">
        <v>5618</v>
      </c>
      <c r="B1024" s="60" t="s">
        <v>1270</v>
      </c>
      <c r="C1024" s="60" t="s">
        <v>5617</v>
      </c>
      <c r="D1024" s="60" t="s">
        <v>5613</v>
      </c>
      <c r="E1024" t="str">
        <f>VLOOKUP(Table10[[#This Row],[Country]],Countries!$A$1:$D$205,2,TRUE)</f>
        <v>EGY</v>
      </c>
      <c r="F1024" s="60">
        <v>2027</v>
      </c>
      <c r="G1024" s="60" t="s">
        <v>4037</v>
      </c>
      <c r="H1024" s="65">
        <v>4500</v>
      </c>
      <c r="I1024" s="65">
        <v>2500</v>
      </c>
      <c r="J1024" s="60" t="s">
        <v>4034</v>
      </c>
      <c r="K1024" s="60">
        <v>51.041274000000001</v>
      </c>
      <c r="L1024">
        <v>2.292948</v>
      </c>
    </row>
    <row r="1025" spans="1:12" hidden="1" x14ac:dyDescent="0.35">
      <c r="A1025" s="60" t="s">
        <v>5619</v>
      </c>
      <c r="B1025" s="60" t="s">
        <v>1270</v>
      </c>
      <c r="C1025" s="60" t="s">
        <v>5617</v>
      </c>
      <c r="D1025" s="60" t="s">
        <v>5613</v>
      </c>
      <c r="E1025" t="str">
        <f>VLOOKUP(Table10[[#This Row],[Country]],Countries!$A$1:$D$205,2,TRUE)</f>
        <v>EGY</v>
      </c>
      <c r="F1025" s="60" t="s">
        <v>4036</v>
      </c>
      <c r="G1025" s="60" t="s">
        <v>4026</v>
      </c>
      <c r="H1025" s="65">
        <v>6750</v>
      </c>
      <c r="I1025" s="65">
        <v>6900</v>
      </c>
      <c r="J1025" s="60" t="s">
        <v>4049</v>
      </c>
      <c r="K1025" s="60">
        <v>51.041274000000001</v>
      </c>
      <c r="L1025">
        <v>2.292948</v>
      </c>
    </row>
    <row r="1026" spans="1:12" hidden="1" x14ac:dyDescent="0.35">
      <c r="A1026" s="60" t="s">
        <v>5620</v>
      </c>
      <c r="B1026" s="60" t="s">
        <v>5621</v>
      </c>
      <c r="C1026" s="60" t="s">
        <v>5622</v>
      </c>
      <c r="D1026" s="60" t="s">
        <v>5613</v>
      </c>
      <c r="E1026" t="str">
        <f>VLOOKUP(Table10[[#This Row],[Country]],Countries!$A$1:$D$205,2,TRUE)</f>
        <v>EGY</v>
      </c>
      <c r="F1026" s="60" t="s">
        <v>4036</v>
      </c>
      <c r="G1026" s="60" t="s">
        <v>4026</v>
      </c>
      <c r="H1026" s="65">
        <v>730</v>
      </c>
      <c r="I1026" s="65" t="s">
        <v>4022</v>
      </c>
      <c r="J1026" s="60" t="s">
        <v>4023</v>
      </c>
      <c r="K1026" s="60">
        <v>50.398170999999998</v>
      </c>
      <c r="L1026">
        <v>3.561712</v>
      </c>
    </row>
    <row r="1027" spans="1:12" hidden="1" x14ac:dyDescent="0.35">
      <c r="A1027" s="60" t="s">
        <v>5623</v>
      </c>
      <c r="B1027" s="60" t="s">
        <v>5624</v>
      </c>
      <c r="C1027" s="60" t="s">
        <v>5622</v>
      </c>
      <c r="D1027" s="60" t="s">
        <v>5613</v>
      </c>
      <c r="E1027" t="str">
        <f>VLOOKUP(Table10[[#This Row],[Country]],Countries!$A$1:$D$205,2,TRUE)</f>
        <v>EGY</v>
      </c>
      <c r="F1027" s="60" t="s">
        <v>4036</v>
      </c>
      <c r="G1027" s="60" t="s">
        <v>4026</v>
      </c>
      <c r="H1027" s="65">
        <v>850</v>
      </c>
      <c r="I1027" s="65" t="s">
        <v>4022</v>
      </c>
      <c r="J1027" s="60" t="s">
        <v>4023</v>
      </c>
      <c r="K1027" s="60">
        <v>50.3292</v>
      </c>
      <c r="L1027">
        <v>3.4909129999999999</v>
      </c>
    </row>
    <row r="1028" spans="1:12" hidden="1" x14ac:dyDescent="0.35">
      <c r="A1028" s="60" t="s">
        <v>5625</v>
      </c>
      <c r="B1028" s="60" t="s">
        <v>5626</v>
      </c>
      <c r="C1028" s="60" t="s">
        <v>5627</v>
      </c>
      <c r="D1028" s="60" t="s">
        <v>5613</v>
      </c>
      <c r="E1028" t="str">
        <f>VLOOKUP(Table10[[#This Row],[Country]],Countries!$A$1:$D$205,2,TRUE)</f>
        <v>EGY</v>
      </c>
      <c r="F1028" s="60">
        <v>1916</v>
      </c>
      <c r="G1028" s="60" t="s">
        <v>4026</v>
      </c>
      <c r="H1028" s="65">
        <v>550</v>
      </c>
      <c r="I1028" s="65" t="s">
        <v>4022</v>
      </c>
      <c r="J1028" s="60" t="s">
        <v>4023</v>
      </c>
      <c r="K1028" s="60">
        <v>49.033678000000002</v>
      </c>
      <c r="L1028">
        <v>1.5610219999999999</v>
      </c>
    </row>
    <row r="1029" spans="1:12" hidden="1" x14ac:dyDescent="0.35">
      <c r="A1029" s="60" t="s">
        <v>5628</v>
      </c>
      <c r="B1029" s="60" t="s">
        <v>5629</v>
      </c>
      <c r="C1029" s="60" t="s">
        <v>5627</v>
      </c>
      <c r="D1029" s="60" t="s">
        <v>5613</v>
      </c>
      <c r="E1029" t="str">
        <f>VLOOKUP(Table10[[#This Row],[Country]],Countries!$A$1:$D$205,2,TRUE)</f>
        <v>EGY</v>
      </c>
      <c r="F1029" s="60">
        <v>1974</v>
      </c>
      <c r="G1029" s="60" t="s">
        <v>4026</v>
      </c>
      <c r="H1029" s="65">
        <v>700</v>
      </c>
      <c r="I1029" s="65" t="s">
        <v>4022</v>
      </c>
      <c r="J1029" s="60" t="s">
        <v>4023</v>
      </c>
      <c r="K1029" s="60">
        <v>48.983514999999997</v>
      </c>
      <c r="L1029">
        <v>1.7624500000000001</v>
      </c>
    </row>
    <row r="1030" spans="1:12" hidden="1" x14ac:dyDescent="0.35">
      <c r="A1030" s="60" t="s">
        <v>5630</v>
      </c>
      <c r="B1030" s="60" t="s">
        <v>5631</v>
      </c>
      <c r="C1030" s="60" t="s">
        <v>5627</v>
      </c>
      <c r="D1030" s="60" t="s">
        <v>5613</v>
      </c>
      <c r="E1030" t="str">
        <f>VLOOKUP(Table10[[#This Row],[Country]],Countries!$A$1:$D$205,2,TRUE)</f>
        <v>EGY</v>
      </c>
      <c r="F1030" s="60">
        <v>1973</v>
      </c>
      <c r="G1030" s="60" t="s">
        <v>4026</v>
      </c>
      <c r="H1030" s="65">
        <v>720</v>
      </c>
      <c r="I1030" s="65" t="s">
        <v>4022</v>
      </c>
      <c r="J1030" s="60" t="s">
        <v>4023</v>
      </c>
      <c r="K1030" s="60">
        <v>48.387211000000001</v>
      </c>
      <c r="L1030">
        <v>2.9810910000000002</v>
      </c>
    </row>
    <row r="1031" spans="1:12" hidden="1" x14ac:dyDescent="0.35">
      <c r="A1031" s="60" t="s">
        <v>5632</v>
      </c>
      <c r="B1031" s="60" t="s">
        <v>5633</v>
      </c>
      <c r="C1031" s="60" t="s">
        <v>5634</v>
      </c>
      <c r="D1031" s="60" t="s">
        <v>5613</v>
      </c>
      <c r="E1031" t="str">
        <f>VLOOKUP(Table10[[#This Row],[Country]],Countries!$A$1:$D$205,2,TRUE)</f>
        <v>EGY</v>
      </c>
      <c r="F1031" s="60">
        <v>1965</v>
      </c>
      <c r="G1031" s="60" t="s">
        <v>4026</v>
      </c>
      <c r="H1031" s="65">
        <v>1200</v>
      </c>
      <c r="I1031" s="65" t="s">
        <v>4022</v>
      </c>
      <c r="J1031" s="60" t="s">
        <v>4023</v>
      </c>
      <c r="K1031" s="60">
        <v>43.529693000000002</v>
      </c>
      <c r="L1031">
        <v>-1.5009710000000001</v>
      </c>
    </row>
    <row r="1032" spans="1:12" hidden="1" x14ac:dyDescent="0.35">
      <c r="A1032" s="60" t="s">
        <v>5635</v>
      </c>
      <c r="B1032" s="60" t="s">
        <v>5636</v>
      </c>
      <c r="C1032" s="60" t="s">
        <v>5637</v>
      </c>
      <c r="D1032" s="60" t="s">
        <v>5613</v>
      </c>
      <c r="E1032" t="str">
        <f>VLOOKUP(Table10[[#This Row],[Country]],Countries!$A$1:$D$205,2,TRUE)</f>
        <v>EGY</v>
      </c>
      <c r="F1032" s="60">
        <v>2027</v>
      </c>
      <c r="G1032" s="60" t="s">
        <v>4037</v>
      </c>
      <c r="H1032" s="65">
        <v>2000</v>
      </c>
      <c r="I1032" s="65" t="s">
        <v>4022</v>
      </c>
      <c r="J1032" s="60" t="s">
        <v>4023</v>
      </c>
      <c r="K1032" s="60">
        <v>43.432830000000003</v>
      </c>
      <c r="L1032">
        <v>4.8871659999999997</v>
      </c>
    </row>
    <row r="1033" spans="1:12" hidden="1" x14ac:dyDescent="0.35">
      <c r="A1033" s="60" t="s">
        <v>5638</v>
      </c>
      <c r="B1033" s="60" t="s">
        <v>5636</v>
      </c>
      <c r="C1033" s="60" t="s">
        <v>5637</v>
      </c>
      <c r="D1033" s="60" t="s">
        <v>5613</v>
      </c>
      <c r="E1033" t="str">
        <f>VLOOKUP(Table10[[#This Row],[Country]],Countries!$A$1:$D$205,2,TRUE)</f>
        <v>EGY</v>
      </c>
      <c r="F1033" s="60" t="s">
        <v>4022</v>
      </c>
      <c r="G1033" s="60" t="s">
        <v>4048</v>
      </c>
      <c r="H1033" s="65">
        <v>2000</v>
      </c>
      <c r="I1033" s="65" t="s">
        <v>4022</v>
      </c>
      <c r="J1033" s="60" t="s">
        <v>4049</v>
      </c>
      <c r="K1033" s="60">
        <v>43.432830000000003</v>
      </c>
      <c r="L1033">
        <v>4.8871659999999997</v>
      </c>
    </row>
    <row r="1034" spans="1:12" hidden="1" x14ac:dyDescent="0.35">
      <c r="A1034" s="60" t="s">
        <v>5639</v>
      </c>
      <c r="B1034" s="60" t="s">
        <v>5636</v>
      </c>
      <c r="C1034" s="60" t="s">
        <v>5637</v>
      </c>
      <c r="D1034" s="60" t="s">
        <v>5613</v>
      </c>
      <c r="E1034" t="str">
        <f>VLOOKUP(Table10[[#This Row],[Country]],Countries!$A$1:$D$205,2,TRUE)</f>
        <v>EGY</v>
      </c>
      <c r="F1034" s="60">
        <v>1980</v>
      </c>
      <c r="G1034" s="60" t="s">
        <v>4026</v>
      </c>
      <c r="H1034" s="65">
        <v>4000</v>
      </c>
      <c r="I1034" s="65">
        <v>4000</v>
      </c>
      <c r="J1034" s="60" t="s">
        <v>4049</v>
      </c>
      <c r="K1034" s="60">
        <v>43.432830000000003</v>
      </c>
      <c r="L1034">
        <v>4.8871659999999997</v>
      </c>
    </row>
    <row r="1035" spans="1:12" hidden="1" x14ac:dyDescent="0.35">
      <c r="A1035" s="60" t="s">
        <v>5640</v>
      </c>
      <c r="B1035" s="60" t="s">
        <v>5641</v>
      </c>
      <c r="C1035" s="60" t="s">
        <v>5642</v>
      </c>
      <c r="D1035" s="60" t="s">
        <v>5643</v>
      </c>
      <c r="E1035" t="str">
        <f>VLOOKUP(Table10[[#This Row],[Country]],Countries!$A$1:$D$205,2,TRUE)</f>
        <v>EGY</v>
      </c>
      <c r="F1035" s="60">
        <v>1955</v>
      </c>
      <c r="G1035" s="60" t="s">
        <v>4026</v>
      </c>
      <c r="H1035" s="65">
        <v>2500</v>
      </c>
      <c r="I1035" s="65" t="s">
        <v>4022</v>
      </c>
      <c r="J1035" s="60" t="s">
        <v>4023</v>
      </c>
      <c r="K1035" s="60">
        <v>48.595058000000002</v>
      </c>
      <c r="L1035">
        <v>7.8216330000000003</v>
      </c>
    </row>
    <row r="1036" spans="1:12" hidden="1" x14ac:dyDescent="0.35">
      <c r="A1036" s="60" t="s">
        <v>5644</v>
      </c>
      <c r="B1036" s="60" t="s">
        <v>5645</v>
      </c>
      <c r="C1036" s="60" t="s">
        <v>3329</v>
      </c>
      <c r="D1036" s="60" t="s">
        <v>5643</v>
      </c>
      <c r="E1036" t="str">
        <f>VLOOKUP(Table10[[#This Row],[Country]],Countries!$A$1:$D$205,2,TRUE)</f>
        <v>EGY</v>
      </c>
      <c r="F1036" s="60">
        <v>1970</v>
      </c>
      <c r="G1036" s="60" t="s">
        <v>4026</v>
      </c>
      <c r="H1036" s="65">
        <v>1400</v>
      </c>
      <c r="I1036" s="65" t="s">
        <v>4022</v>
      </c>
      <c r="J1036" s="60" t="s">
        <v>4023</v>
      </c>
      <c r="K1036" s="60">
        <v>48.512051</v>
      </c>
      <c r="L1036">
        <v>10.855292</v>
      </c>
    </row>
    <row r="1037" spans="1:12" hidden="1" x14ac:dyDescent="0.35">
      <c r="A1037" s="60" t="s">
        <v>5646</v>
      </c>
      <c r="B1037" s="60" t="s">
        <v>5647</v>
      </c>
      <c r="C1037" s="60" t="s">
        <v>3334</v>
      </c>
      <c r="D1037" s="60" t="s">
        <v>5643</v>
      </c>
      <c r="E1037" t="str">
        <f>VLOOKUP(Table10[[#This Row],[Country]],Countries!$A$1:$D$205,2,TRUE)</f>
        <v>EGY</v>
      </c>
      <c r="F1037" s="60">
        <v>1912</v>
      </c>
      <c r="G1037" s="60" t="s">
        <v>4026</v>
      </c>
      <c r="H1037" s="65">
        <v>1800</v>
      </c>
      <c r="I1037" s="65" t="s">
        <v>4022</v>
      </c>
      <c r="J1037" s="60" t="s">
        <v>4023</v>
      </c>
      <c r="K1037" s="60">
        <v>52.402616999999999</v>
      </c>
      <c r="L1037">
        <v>12.496135000000001</v>
      </c>
    </row>
    <row r="1038" spans="1:12" hidden="1" x14ac:dyDescent="0.35">
      <c r="A1038" s="60" t="s">
        <v>5648</v>
      </c>
      <c r="B1038" s="60" t="s">
        <v>1312</v>
      </c>
      <c r="C1038" s="60" t="s">
        <v>3334</v>
      </c>
      <c r="D1038" s="60" t="s">
        <v>5643</v>
      </c>
      <c r="E1038" t="str">
        <f>VLOOKUP(Table10[[#This Row],[Country]],Countries!$A$1:$D$205,2,TRUE)</f>
        <v>EGY</v>
      </c>
      <c r="F1038" s="60">
        <v>2030</v>
      </c>
      <c r="G1038" s="60" t="s">
        <v>4037</v>
      </c>
      <c r="H1038" s="65">
        <v>1750</v>
      </c>
      <c r="I1038" s="65" t="s">
        <v>4110</v>
      </c>
      <c r="J1038" s="60" t="s">
        <v>4034</v>
      </c>
      <c r="K1038" s="60">
        <v>52.168649000000002</v>
      </c>
      <c r="L1038">
        <v>14.623473000000001</v>
      </c>
    </row>
    <row r="1039" spans="1:12" hidden="1" x14ac:dyDescent="0.35">
      <c r="A1039" s="60" t="s">
        <v>5649</v>
      </c>
      <c r="B1039" s="60" t="s">
        <v>1312</v>
      </c>
      <c r="C1039" s="60" t="s">
        <v>3334</v>
      </c>
      <c r="D1039" s="60" t="s">
        <v>5643</v>
      </c>
      <c r="E1039" t="str">
        <f>VLOOKUP(Table10[[#This Row],[Country]],Countries!$A$1:$D$205,2,TRUE)</f>
        <v>EGY</v>
      </c>
      <c r="F1039" s="60" t="s">
        <v>4022</v>
      </c>
      <c r="G1039" s="60" t="s">
        <v>4048</v>
      </c>
      <c r="H1039" s="65">
        <v>1800</v>
      </c>
      <c r="I1039" s="65">
        <v>1825</v>
      </c>
      <c r="J1039" s="60" t="s">
        <v>4049</v>
      </c>
      <c r="K1039" s="60">
        <v>52.168649000000002</v>
      </c>
      <c r="L1039">
        <v>14.623473000000001</v>
      </c>
    </row>
    <row r="1040" spans="1:12" hidden="1" x14ac:dyDescent="0.35">
      <c r="A1040" s="60" t="s">
        <v>5650</v>
      </c>
      <c r="B1040" s="60" t="s">
        <v>1312</v>
      </c>
      <c r="C1040" s="60" t="s">
        <v>3334</v>
      </c>
      <c r="D1040" s="60" t="s">
        <v>5643</v>
      </c>
      <c r="E1040" t="str">
        <f>VLOOKUP(Table10[[#This Row],[Country]],Countries!$A$1:$D$205,2,TRUE)</f>
        <v>EGY</v>
      </c>
      <c r="F1040" s="60">
        <v>1950</v>
      </c>
      <c r="G1040" s="60" t="s">
        <v>4026</v>
      </c>
      <c r="H1040" s="65">
        <v>2400</v>
      </c>
      <c r="I1040" s="65">
        <v>1825</v>
      </c>
      <c r="J1040" s="60" t="s">
        <v>4049</v>
      </c>
      <c r="K1040" s="60">
        <v>52.168649000000002</v>
      </c>
      <c r="L1040">
        <v>14.623473000000001</v>
      </c>
    </row>
    <row r="1041" spans="1:12" hidden="1" x14ac:dyDescent="0.35">
      <c r="A1041" s="60" t="s">
        <v>5651</v>
      </c>
      <c r="B1041" s="60" t="s">
        <v>5652</v>
      </c>
      <c r="C1041" s="60" t="s">
        <v>3334</v>
      </c>
      <c r="D1041" s="60" t="s">
        <v>5643</v>
      </c>
      <c r="E1041" t="str">
        <f>VLOOKUP(Table10[[#This Row],[Country]],Countries!$A$1:$D$205,2,TRUE)</f>
        <v>EGY</v>
      </c>
      <c r="F1041" s="60">
        <v>1917</v>
      </c>
      <c r="G1041" s="60" t="s">
        <v>4026</v>
      </c>
      <c r="H1041" s="65">
        <v>1000</v>
      </c>
      <c r="I1041" s="65" t="s">
        <v>4022</v>
      </c>
      <c r="J1041" s="60" t="s">
        <v>4023</v>
      </c>
      <c r="K1041" s="60">
        <v>52.650903</v>
      </c>
      <c r="L1041">
        <v>13.212683</v>
      </c>
    </row>
    <row r="1042" spans="1:12" hidden="1" x14ac:dyDescent="0.35">
      <c r="A1042" s="60" t="s">
        <v>5653</v>
      </c>
      <c r="B1042" s="60" t="s">
        <v>1309</v>
      </c>
      <c r="C1042" s="60" t="s">
        <v>1309</v>
      </c>
      <c r="D1042" s="60" t="s">
        <v>5643</v>
      </c>
      <c r="E1042" t="str">
        <f>VLOOKUP(Table10[[#This Row],[Country]],Countries!$A$1:$D$205,2,TRUE)</f>
        <v>EGY</v>
      </c>
      <c r="F1042" s="60">
        <v>2030</v>
      </c>
      <c r="G1042" s="60" t="s">
        <v>4037</v>
      </c>
      <c r="H1042" s="65">
        <v>1750</v>
      </c>
      <c r="I1042" s="65">
        <v>2000</v>
      </c>
      <c r="J1042" s="60" t="s">
        <v>4034</v>
      </c>
      <c r="K1042" s="60">
        <v>53.133305</v>
      </c>
      <c r="L1042">
        <v>8.6881930000000001</v>
      </c>
    </row>
    <row r="1043" spans="1:12" hidden="1" x14ac:dyDescent="0.35">
      <c r="A1043" s="60" t="s">
        <v>5654</v>
      </c>
      <c r="B1043" s="60" t="s">
        <v>1309</v>
      </c>
      <c r="C1043" s="60" t="s">
        <v>1309</v>
      </c>
      <c r="D1043" s="60" t="s">
        <v>5643</v>
      </c>
      <c r="E1043" t="str">
        <f>VLOOKUP(Table10[[#This Row],[Country]],Countries!$A$1:$D$205,2,TRUE)</f>
        <v>EGY</v>
      </c>
      <c r="F1043" s="60" t="s">
        <v>4022</v>
      </c>
      <c r="G1043" s="60" t="s">
        <v>4048</v>
      </c>
      <c r="H1043" s="65">
        <v>1800</v>
      </c>
      <c r="I1043" s="65">
        <v>1900</v>
      </c>
      <c r="J1043" s="60" t="s">
        <v>4049</v>
      </c>
      <c r="K1043" s="60">
        <v>53.133305</v>
      </c>
      <c r="L1043">
        <v>8.6881930000000001</v>
      </c>
    </row>
    <row r="1044" spans="1:12" hidden="1" x14ac:dyDescent="0.35">
      <c r="A1044" s="60" t="s">
        <v>5655</v>
      </c>
      <c r="B1044" s="60" t="s">
        <v>1309</v>
      </c>
      <c r="C1044" s="60" t="s">
        <v>1309</v>
      </c>
      <c r="D1044" s="60" t="s">
        <v>5643</v>
      </c>
      <c r="E1044" t="str">
        <f>VLOOKUP(Table10[[#This Row],[Country]],Countries!$A$1:$D$205,2,TRUE)</f>
        <v>EGY</v>
      </c>
      <c r="F1044" s="60">
        <v>1957</v>
      </c>
      <c r="G1044" s="60" t="s">
        <v>4026</v>
      </c>
      <c r="H1044" s="65">
        <v>3800</v>
      </c>
      <c r="I1044" s="65">
        <v>3800</v>
      </c>
      <c r="J1044" s="60" t="s">
        <v>4049</v>
      </c>
      <c r="K1044" s="60">
        <v>53.133305</v>
      </c>
      <c r="L1044">
        <v>8.6881930000000001</v>
      </c>
    </row>
    <row r="1045" spans="1:12" hidden="1" x14ac:dyDescent="0.35">
      <c r="A1045" s="60" t="s">
        <v>5656</v>
      </c>
      <c r="B1045" s="60" t="s">
        <v>1405</v>
      </c>
      <c r="C1045" s="60" t="s">
        <v>1405</v>
      </c>
      <c r="D1045" s="60" t="s">
        <v>5643</v>
      </c>
      <c r="E1045" t="str">
        <f>VLOOKUP(Table10[[#This Row],[Country]],Countries!$A$1:$D$205,2,TRUE)</f>
        <v>EGY</v>
      </c>
      <c r="F1045" s="60">
        <v>2030</v>
      </c>
      <c r="G1045" s="60" t="s">
        <v>4037</v>
      </c>
      <c r="H1045" s="65" t="s">
        <v>4022</v>
      </c>
      <c r="I1045" s="65">
        <v>600</v>
      </c>
      <c r="J1045" s="60" t="s">
        <v>4030</v>
      </c>
      <c r="K1045" s="60">
        <v>53.522601000000002</v>
      </c>
      <c r="L1045">
        <v>9.9007489999999994</v>
      </c>
    </row>
    <row r="1046" spans="1:12" hidden="1" x14ac:dyDescent="0.35">
      <c r="A1046" s="60" t="s">
        <v>5657</v>
      </c>
      <c r="B1046" s="60" t="s">
        <v>1405</v>
      </c>
      <c r="C1046" s="60" t="s">
        <v>1405</v>
      </c>
      <c r="D1046" s="60" t="s">
        <v>5643</v>
      </c>
      <c r="E1046" t="str">
        <f>VLOOKUP(Table10[[#This Row],[Country]],Countries!$A$1:$D$205,2,TRUE)</f>
        <v>EGY</v>
      </c>
      <c r="F1046" s="60">
        <v>1969</v>
      </c>
      <c r="G1046" s="60" t="s">
        <v>4026</v>
      </c>
      <c r="H1046" s="65">
        <v>1100</v>
      </c>
      <c r="I1046" s="65">
        <v>600</v>
      </c>
      <c r="J1046" s="60" t="s">
        <v>4034</v>
      </c>
      <c r="K1046" s="60">
        <v>53.522601000000002</v>
      </c>
      <c r="L1046">
        <v>9.9007489999999994</v>
      </c>
    </row>
    <row r="1047" spans="1:12" hidden="1" x14ac:dyDescent="0.35">
      <c r="A1047" s="60" t="s">
        <v>5658</v>
      </c>
      <c r="B1047" s="60" t="s">
        <v>1405</v>
      </c>
      <c r="C1047" s="60" t="s">
        <v>1405</v>
      </c>
      <c r="D1047" s="60" t="s">
        <v>5643</v>
      </c>
      <c r="E1047" t="str">
        <f>VLOOKUP(Table10[[#This Row],[Country]],Countries!$A$1:$D$205,2,TRUE)</f>
        <v>EGY</v>
      </c>
      <c r="F1047" s="60">
        <v>2026</v>
      </c>
      <c r="G1047" s="60" t="s">
        <v>4037</v>
      </c>
      <c r="H1047" s="65" t="s">
        <v>4022</v>
      </c>
      <c r="I1047" s="65">
        <v>100</v>
      </c>
      <c r="J1047" s="60" t="s">
        <v>4030</v>
      </c>
      <c r="K1047" s="60">
        <v>53.522601000000002</v>
      </c>
      <c r="L1047">
        <v>9.9007489999999994</v>
      </c>
    </row>
    <row r="1048" spans="1:12" hidden="1" x14ac:dyDescent="0.35">
      <c r="A1048" s="60" t="s">
        <v>5659</v>
      </c>
      <c r="B1048" s="60" t="s">
        <v>1331</v>
      </c>
      <c r="C1048" s="60" t="s">
        <v>3338</v>
      </c>
      <c r="D1048" s="60" t="s">
        <v>5643</v>
      </c>
      <c r="E1048" t="str">
        <f>VLOOKUP(Table10[[#This Row],[Country]],Countries!$A$1:$D$205,2,TRUE)</f>
        <v>EGY</v>
      </c>
      <c r="F1048" s="60">
        <v>1974</v>
      </c>
      <c r="G1048" s="60" t="s">
        <v>4026</v>
      </c>
      <c r="H1048" s="65">
        <v>650</v>
      </c>
      <c r="I1048" s="65" t="s">
        <v>4022</v>
      </c>
      <c r="J1048" s="60" t="s">
        <v>4023</v>
      </c>
      <c r="K1048" s="60">
        <v>52.467621999999999</v>
      </c>
      <c r="L1048">
        <v>7.3171689999999998</v>
      </c>
    </row>
    <row r="1049" spans="1:12" hidden="1" x14ac:dyDescent="0.35">
      <c r="A1049" s="60" t="s">
        <v>5660</v>
      </c>
      <c r="B1049" s="60" t="s">
        <v>5661</v>
      </c>
      <c r="C1049" s="60" t="s">
        <v>3338</v>
      </c>
      <c r="D1049" s="60" t="s">
        <v>5643</v>
      </c>
      <c r="E1049" t="str">
        <f>VLOOKUP(Table10[[#This Row],[Country]],Countries!$A$1:$D$205,2,TRUE)</f>
        <v>EGY</v>
      </c>
      <c r="F1049" s="60">
        <v>1858</v>
      </c>
      <c r="G1049" s="60" t="s">
        <v>4026</v>
      </c>
      <c r="H1049" s="65">
        <v>1000</v>
      </c>
      <c r="I1049" s="65" t="s">
        <v>4022</v>
      </c>
      <c r="J1049" s="60" t="s">
        <v>4023</v>
      </c>
      <c r="K1049" s="60">
        <v>52.313935000000001</v>
      </c>
      <c r="L1049">
        <v>10.258482000000001</v>
      </c>
    </row>
    <row r="1050" spans="1:12" hidden="1" x14ac:dyDescent="0.35">
      <c r="A1050" s="60" t="s">
        <v>5662</v>
      </c>
      <c r="B1050" s="60" t="s">
        <v>1391</v>
      </c>
      <c r="C1050" s="60" t="s">
        <v>3338</v>
      </c>
      <c r="D1050" s="60" t="s">
        <v>5643</v>
      </c>
      <c r="E1050" t="str">
        <f>VLOOKUP(Table10[[#This Row],[Country]],Countries!$A$1:$D$205,2,TRUE)</f>
        <v>EGY</v>
      </c>
      <c r="F1050" s="60" t="s">
        <v>4022</v>
      </c>
      <c r="G1050" s="60" t="s">
        <v>4048</v>
      </c>
      <c r="H1050" s="65">
        <v>1900</v>
      </c>
      <c r="I1050" s="65">
        <v>4800</v>
      </c>
      <c r="J1050" s="60" t="s">
        <v>4049</v>
      </c>
      <c r="K1050" s="60">
        <v>52.161794</v>
      </c>
      <c r="L1050">
        <v>10.409371</v>
      </c>
    </row>
    <row r="1051" spans="1:12" hidden="1" x14ac:dyDescent="0.35">
      <c r="A1051" s="60" t="s">
        <v>5663</v>
      </c>
      <c r="B1051" s="60" t="s">
        <v>1391</v>
      </c>
      <c r="C1051" s="60" t="s">
        <v>3338</v>
      </c>
      <c r="D1051" s="60" t="s">
        <v>5643</v>
      </c>
      <c r="E1051" t="str">
        <f>VLOOKUP(Table10[[#This Row],[Country]],Countries!$A$1:$D$205,2,TRUE)</f>
        <v>EGY</v>
      </c>
      <c r="F1051" s="60">
        <v>2001</v>
      </c>
      <c r="G1051" s="60" t="s">
        <v>4026</v>
      </c>
      <c r="H1051" s="65">
        <v>5200</v>
      </c>
      <c r="I1051" s="65">
        <v>4800</v>
      </c>
      <c r="J1051" s="60" t="s">
        <v>4049</v>
      </c>
      <c r="K1051" s="60">
        <v>52.161794</v>
      </c>
      <c r="L1051">
        <v>10.409371</v>
      </c>
    </row>
    <row r="1052" spans="1:12" hidden="1" x14ac:dyDescent="0.35">
      <c r="A1052" s="60" t="s">
        <v>5664</v>
      </c>
      <c r="B1052" s="60" t="s">
        <v>1391</v>
      </c>
      <c r="C1052" s="60" t="s">
        <v>3338</v>
      </c>
      <c r="D1052" s="60" t="s">
        <v>5643</v>
      </c>
      <c r="E1052" t="str">
        <f>VLOOKUP(Table10[[#This Row],[Country]],Countries!$A$1:$D$205,2,TRUE)</f>
        <v>EGY</v>
      </c>
      <c r="F1052" s="60">
        <v>2026</v>
      </c>
      <c r="G1052" s="60" t="s">
        <v>4037</v>
      </c>
      <c r="H1052" s="65">
        <v>1900</v>
      </c>
      <c r="I1052" s="65">
        <v>2100</v>
      </c>
      <c r="J1052" s="60" t="s">
        <v>4034</v>
      </c>
      <c r="K1052" s="60">
        <v>52.161794</v>
      </c>
      <c r="L1052">
        <v>10.409371</v>
      </c>
    </row>
    <row r="1053" spans="1:12" hidden="1" x14ac:dyDescent="0.35">
      <c r="A1053" s="60" t="s">
        <v>5665</v>
      </c>
      <c r="B1053" s="60" t="s">
        <v>1337</v>
      </c>
      <c r="C1053" s="60" t="s">
        <v>3342</v>
      </c>
      <c r="D1053" s="60" t="s">
        <v>5643</v>
      </c>
      <c r="E1053" t="str">
        <f>VLOOKUP(Table10[[#This Row],[Country]],Countries!$A$1:$D$205,2,TRUE)</f>
        <v>EGY</v>
      </c>
      <c r="F1053" s="60">
        <v>2030</v>
      </c>
      <c r="G1053" s="60" t="s">
        <v>4037</v>
      </c>
      <c r="H1053" s="65">
        <v>1300</v>
      </c>
      <c r="I1053" s="65" t="s">
        <v>4022</v>
      </c>
      <c r="J1053" s="60" t="s">
        <v>4023</v>
      </c>
      <c r="K1053" s="60">
        <v>51.462986999999998</v>
      </c>
      <c r="L1053">
        <v>6.7446120000000001</v>
      </c>
    </row>
    <row r="1054" spans="1:12" hidden="1" x14ac:dyDescent="0.35">
      <c r="A1054" s="60" t="s">
        <v>5666</v>
      </c>
      <c r="B1054" s="60" t="s">
        <v>1337</v>
      </c>
      <c r="C1054" s="60" t="s">
        <v>3342</v>
      </c>
      <c r="D1054" s="60" t="s">
        <v>5643</v>
      </c>
      <c r="E1054" t="str">
        <f>VLOOKUP(Table10[[#This Row],[Country]],Countries!$A$1:$D$205,2,TRUE)</f>
        <v>EGY</v>
      </c>
      <c r="F1054" s="60" t="s">
        <v>4022</v>
      </c>
      <c r="G1054" s="60" t="s">
        <v>4048</v>
      </c>
      <c r="H1054" s="65">
        <v>1300</v>
      </c>
      <c r="I1054" s="65" t="s">
        <v>4022</v>
      </c>
      <c r="J1054" s="60" t="s">
        <v>4163</v>
      </c>
      <c r="K1054" s="60">
        <v>51.462986999999998</v>
      </c>
      <c r="L1054">
        <v>6.7446120000000001</v>
      </c>
    </row>
    <row r="1055" spans="1:12" hidden="1" x14ac:dyDescent="0.35">
      <c r="A1055" s="60" t="s">
        <v>5667</v>
      </c>
      <c r="B1055" s="60" t="s">
        <v>1337</v>
      </c>
      <c r="C1055" s="60" t="s">
        <v>3342</v>
      </c>
      <c r="D1055" s="60" t="s">
        <v>5643</v>
      </c>
      <c r="E1055" t="str">
        <f>VLOOKUP(Table10[[#This Row],[Country]],Countries!$A$1:$D$205,2,TRUE)</f>
        <v>EGY</v>
      </c>
      <c r="F1055" s="60">
        <v>2025</v>
      </c>
      <c r="G1055" s="60" t="s">
        <v>4037</v>
      </c>
      <c r="H1055" s="65">
        <v>3000</v>
      </c>
      <c r="I1055" s="65" t="s">
        <v>4110</v>
      </c>
      <c r="J1055" s="60" t="s">
        <v>4034</v>
      </c>
      <c r="K1055" s="60">
        <v>51.371279000000001</v>
      </c>
      <c r="L1055">
        <v>6.7233099999999997</v>
      </c>
    </row>
    <row r="1056" spans="1:12" hidden="1" x14ac:dyDescent="0.35">
      <c r="A1056" s="60" t="s">
        <v>5668</v>
      </c>
      <c r="B1056" s="60" t="s">
        <v>1337</v>
      </c>
      <c r="C1056" s="60" t="s">
        <v>3342</v>
      </c>
      <c r="D1056" s="60" t="s">
        <v>5643</v>
      </c>
      <c r="E1056" t="str">
        <f>VLOOKUP(Table10[[#This Row],[Country]],Countries!$A$1:$D$205,2,TRUE)</f>
        <v>EGY</v>
      </c>
      <c r="F1056" s="60" t="s">
        <v>4022</v>
      </c>
      <c r="G1056" s="60" t="s">
        <v>4048</v>
      </c>
      <c r="H1056" s="65">
        <v>3000</v>
      </c>
      <c r="I1056" s="65">
        <v>2600</v>
      </c>
      <c r="J1056" s="60" t="s">
        <v>4049</v>
      </c>
      <c r="K1056" s="60">
        <v>51.371279000000001</v>
      </c>
      <c r="L1056">
        <v>6.7233099999999997</v>
      </c>
    </row>
    <row r="1057" spans="1:12" hidden="1" x14ac:dyDescent="0.35">
      <c r="A1057" s="60" t="s">
        <v>5669</v>
      </c>
      <c r="B1057" s="60" t="s">
        <v>1337</v>
      </c>
      <c r="C1057" s="60" t="s">
        <v>3342</v>
      </c>
      <c r="D1057" s="60" t="s">
        <v>5643</v>
      </c>
      <c r="E1057" t="str">
        <f>VLOOKUP(Table10[[#This Row],[Country]],Countries!$A$1:$D$205,2,TRUE)</f>
        <v>EGY</v>
      </c>
      <c r="F1057" s="60">
        <v>2045</v>
      </c>
      <c r="G1057" s="60" t="s">
        <v>4037</v>
      </c>
      <c r="H1057" s="65">
        <v>3000</v>
      </c>
      <c r="I1057" s="65" t="s">
        <v>4110</v>
      </c>
      <c r="J1057" s="60" t="s">
        <v>4034</v>
      </c>
      <c r="K1057" s="60">
        <v>51.371279000000001</v>
      </c>
      <c r="L1057">
        <v>6.7233099999999997</v>
      </c>
    </row>
    <row r="1058" spans="1:12" hidden="1" x14ac:dyDescent="0.35">
      <c r="A1058" s="60" t="s">
        <v>5670</v>
      </c>
      <c r="B1058" s="60" t="s">
        <v>1337</v>
      </c>
      <c r="C1058" s="60" t="s">
        <v>3342</v>
      </c>
      <c r="D1058" s="60" t="s">
        <v>5643</v>
      </c>
      <c r="E1058" t="str">
        <f>VLOOKUP(Table10[[#This Row],[Country]],Countries!$A$1:$D$205,2,TRUE)</f>
        <v>EGY</v>
      </c>
      <c r="F1058" s="60" t="s">
        <v>4022</v>
      </c>
      <c r="G1058" s="60" t="s">
        <v>4048</v>
      </c>
      <c r="H1058" s="65">
        <v>3000</v>
      </c>
      <c r="I1058" s="65">
        <v>2600</v>
      </c>
      <c r="J1058" s="60" t="s">
        <v>4049</v>
      </c>
      <c r="K1058" s="60">
        <v>51.371279000000001</v>
      </c>
      <c r="L1058">
        <v>6.7233099999999997</v>
      </c>
    </row>
    <row r="1059" spans="1:12" hidden="1" x14ac:dyDescent="0.35">
      <c r="A1059" s="60" t="s">
        <v>5671</v>
      </c>
      <c r="B1059" s="60" t="s">
        <v>1337</v>
      </c>
      <c r="C1059" s="60" t="s">
        <v>3342</v>
      </c>
      <c r="D1059" s="60" t="s">
        <v>5643</v>
      </c>
      <c r="E1059" t="str">
        <f>VLOOKUP(Table10[[#This Row],[Country]],Countries!$A$1:$D$205,2,TRUE)</f>
        <v>EGY</v>
      </c>
      <c r="F1059" s="60">
        <v>2026</v>
      </c>
      <c r="G1059" s="60" t="s">
        <v>4037</v>
      </c>
      <c r="H1059" s="65" t="s">
        <v>4110</v>
      </c>
      <c r="I1059" s="65">
        <v>2500</v>
      </c>
      <c r="J1059" s="60" t="s">
        <v>4034</v>
      </c>
      <c r="K1059" s="60">
        <v>51.491649000000002</v>
      </c>
      <c r="L1059">
        <v>6.7330509999999997</v>
      </c>
    </row>
    <row r="1060" spans="1:12" hidden="1" x14ac:dyDescent="0.35">
      <c r="A1060" s="60" t="s">
        <v>5672</v>
      </c>
      <c r="B1060" s="60" t="s">
        <v>1337</v>
      </c>
      <c r="C1060" s="60" t="s">
        <v>3342</v>
      </c>
      <c r="D1060" s="60" t="s">
        <v>5643</v>
      </c>
      <c r="E1060" t="str">
        <f>VLOOKUP(Table10[[#This Row],[Country]],Countries!$A$1:$D$205,2,TRUE)</f>
        <v>EGY</v>
      </c>
      <c r="F1060" s="60" t="s">
        <v>4022</v>
      </c>
      <c r="G1060" s="60" t="s">
        <v>4048</v>
      </c>
      <c r="H1060" s="65">
        <v>13000</v>
      </c>
      <c r="I1060" s="65">
        <v>11600</v>
      </c>
      <c r="J1060" s="60" t="s">
        <v>4049</v>
      </c>
      <c r="K1060" s="60">
        <v>51.491649000000002</v>
      </c>
      <c r="L1060">
        <v>6.7330509999999997</v>
      </c>
    </row>
    <row r="1061" spans="1:12" hidden="1" x14ac:dyDescent="0.35">
      <c r="A1061" s="60" t="s">
        <v>5673</v>
      </c>
      <c r="B1061" s="60" t="s">
        <v>1337</v>
      </c>
      <c r="C1061" s="60" t="s">
        <v>3342</v>
      </c>
      <c r="D1061" s="60" t="s">
        <v>5643</v>
      </c>
      <c r="E1061" t="str">
        <f>VLOOKUP(Table10[[#This Row],[Country]],Countries!$A$1:$D$205,2,TRUE)</f>
        <v>EGY</v>
      </c>
      <c r="F1061" s="60">
        <v>1891</v>
      </c>
      <c r="G1061" s="60" t="s">
        <v>4026</v>
      </c>
      <c r="H1061" s="65">
        <v>13000</v>
      </c>
      <c r="I1061" s="65">
        <v>11600</v>
      </c>
      <c r="J1061" s="60" t="s">
        <v>4049</v>
      </c>
      <c r="K1061" s="60">
        <v>51.491649000000002</v>
      </c>
      <c r="L1061">
        <v>6.7330509999999997</v>
      </c>
    </row>
    <row r="1062" spans="1:12" hidden="1" x14ac:dyDescent="0.35">
      <c r="A1062" s="60" t="s">
        <v>5674</v>
      </c>
      <c r="B1062" s="60" t="s">
        <v>1337</v>
      </c>
      <c r="C1062" s="60" t="s">
        <v>3342</v>
      </c>
      <c r="D1062" s="60" t="s">
        <v>5643</v>
      </c>
      <c r="E1062" t="str">
        <f>VLOOKUP(Table10[[#This Row],[Country]],Countries!$A$1:$D$205,2,TRUE)</f>
        <v>EGY</v>
      </c>
      <c r="F1062" s="60">
        <v>1909</v>
      </c>
      <c r="G1062" s="60" t="s">
        <v>4026</v>
      </c>
      <c r="H1062" s="65">
        <v>6000</v>
      </c>
      <c r="I1062" s="65">
        <v>5200</v>
      </c>
      <c r="J1062" s="60" t="s">
        <v>4049</v>
      </c>
      <c r="K1062" s="60">
        <v>51.371279000000001</v>
      </c>
      <c r="L1062">
        <v>6.7233099999999997</v>
      </c>
    </row>
    <row r="1063" spans="1:12" hidden="1" x14ac:dyDescent="0.35">
      <c r="A1063" s="60" t="s">
        <v>5675</v>
      </c>
      <c r="B1063" s="60" t="s">
        <v>1337</v>
      </c>
      <c r="C1063" s="60" t="s">
        <v>3342</v>
      </c>
      <c r="D1063" s="60" t="s">
        <v>5643</v>
      </c>
      <c r="E1063" t="str">
        <f>VLOOKUP(Table10[[#This Row],[Country]],Countries!$A$1:$D$205,2,TRUE)</f>
        <v>EGY</v>
      </c>
      <c r="F1063" s="60">
        <v>1852</v>
      </c>
      <c r="G1063" s="60" t="s">
        <v>4026</v>
      </c>
      <c r="H1063" s="65">
        <v>1300</v>
      </c>
      <c r="I1063" s="65" t="s">
        <v>4022</v>
      </c>
      <c r="J1063" s="60" t="s">
        <v>4163</v>
      </c>
      <c r="K1063" s="60">
        <v>51.462986999999998</v>
      </c>
      <c r="L1063">
        <v>6.7446120000000001</v>
      </c>
    </row>
    <row r="1064" spans="1:12" hidden="1" x14ac:dyDescent="0.35">
      <c r="A1064" s="60" t="s">
        <v>5676</v>
      </c>
      <c r="B1064" s="60" t="s">
        <v>5677</v>
      </c>
      <c r="C1064" s="60" t="s">
        <v>3342</v>
      </c>
      <c r="D1064" s="60" t="s">
        <v>5643</v>
      </c>
      <c r="E1064" t="str">
        <f>VLOOKUP(Table10[[#This Row],[Country]],Countries!$A$1:$D$205,2,TRUE)</f>
        <v>EGY</v>
      </c>
      <c r="F1064" s="60">
        <v>1927</v>
      </c>
      <c r="G1064" s="60" t="s">
        <v>4026</v>
      </c>
      <c r="H1064" s="65">
        <v>600</v>
      </c>
      <c r="I1064" s="65" t="s">
        <v>4022</v>
      </c>
      <c r="J1064" s="60" t="s">
        <v>4023</v>
      </c>
      <c r="K1064" s="60">
        <v>50.922843999999998</v>
      </c>
      <c r="L1064">
        <v>8.024006</v>
      </c>
    </row>
    <row r="1065" spans="1:12" hidden="1" x14ac:dyDescent="0.35">
      <c r="A1065" s="60" t="s">
        <v>5678</v>
      </c>
      <c r="B1065" s="60" t="s">
        <v>5679</v>
      </c>
      <c r="C1065" s="60" t="s">
        <v>5680</v>
      </c>
      <c r="D1065" s="60" t="s">
        <v>5643</v>
      </c>
      <c r="E1065" t="str">
        <f>VLOOKUP(Table10[[#This Row],[Country]],Countries!$A$1:$D$205,2,TRUE)</f>
        <v>EGY</v>
      </c>
      <c r="F1065" s="60">
        <v>2027</v>
      </c>
      <c r="G1065" s="60" t="s">
        <v>4037</v>
      </c>
      <c r="H1065" s="65">
        <v>1750</v>
      </c>
      <c r="I1065" s="65">
        <v>2500</v>
      </c>
      <c r="J1065" s="60" t="s">
        <v>4034</v>
      </c>
      <c r="K1065" s="60">
        <v>49.353884000000001</v>
      </c>
      <c r="L1065">
        <v>6.7466030000000003</v>
      </c>
    </row>
    <row r="1066" spans="1:12" hidden="1" x14ac:dyDescent="0.35">
      <c r="A1066" s="60" t="s">
        <v>5681</v>
      </c>
      <c r="B1066" s="60" t="s">
        <v>5679</v>
      </c>
      <c r="C1066" s="60" t="s">
        <v>5680</v>
      </c>
      <c r="D1066" s="60" t="s">
        <v>5643</v>
      </c>
      <c r="E1066" t="str">
        <f>VLOOKUP(Table10[[#This Row],[Country]],Countries!$A$1:$D$205,2,TRUE)</f>
        <v>EGY</v>
      </c>
      <c r="F1066" s="60">
        <v>2045</v>
      </c>
      <c r="G1066" s="60" t="s">
        <v>4037</v>
      </c>
      <c r="H1066" s="65">
        <v>1400</v>
      </c>
      <c r="I1066" s="65" t="s">
        <v>4022</v>
      </c>
      <c r="J1066" s="60" t="s">
        <v>4023</v>
      </c>
      <c r="K1066" s="60">
        <v>49.353884000000001</v>
      </c>
      <c r="L1066">
        <v>6.7466030000000003</v>
      </c>
    </row>
    <row r="1067" spans="1:12" hidden="1" x14ac:dyDescent="0.35">
      <c r="A1067" s="60" t="s">
        <v>5682</v>
      </c>
      <c r="B1067" s="60" t="s">
        <v>5679</v>
      </c>
      <c r="C1067" s="60" t="s">
        <v>5680</v>
      </c>
      <c r="D1067" s="60" t="s">
        <v>5643</v>
      </c>
      <c r="E1067" t="str">
        <f>VLOOKUP(Table10[[#This Row],[Country]],Countries!$A$1:$D$205,2,TRUE)</f>
        <v>EGY</v>
      </c>
      <c r="F1067" s="60" t="s">
        <v>4022</v>
      </c>
      <c r="G1067" s="60" t="s">
        <v>4048</v>
      </c>
      <c r="H1067" s="65" t="s">
        <v>4022</v>
      </c>
      <c r="I1067" s="65">
        <v>2395</v>
      </c>
      <c r="J1067" s="60" t="s">
        <v>4111</v>
      </c>
      <c r="K1067" s="60">
        <v>49.353884000000001</v>
      </c>
      <c r="L1067">
        <v>6.7466030000000003</v>
      </c>
    </row>
    <row r="1068" spans="1:12" hidden="1" x14ac:dyDescent="0.35">
      <c r="A1068" s="60" t="s">
        <v>5683</v>
      </c>
      <c r="B1068" s="60" t="s">
        <v>5679</v>
      </c>
      <c r="C1068" s="60" t="s">
        <v>5680</v>
      </c>
      <c r="D1068" s="60" t="s">
        <v>5643</v>
      </c>
      <c r="E1068" t="str">
        <f>VLOOKUP(Table10[[#This Row],[Country]],Countries!$A$1:$D$205,2,TRUE)</f>
        <v>EGY</v>
      </c>
      <c r="F1068" s="60">
        <v>1969</v>
      </c>
      <c r="G1068" s="60" t="s">
        <v>4026</v>
      </c>
      <c r="H1068" s="65">
        <v>2760</v>
      </c>
      <c r="I1068" s="65">
        <v>4790</v>
      </c>
      <c r="J1068" s="60" t="s">
        <v>4049</v>
      </c>
      <c r="K1068" s="60">
        <v>49.353884000000001</v>
      </c>
      <c r="L1068">
        <v>6.7466030000000003</v>
      </c>
    </row>
    <row r="1069" spans="1:12" hidden="1" x14ac:dyDescent="0.35">
      <c r="A1069" s="60" t="s">
        <v>5684</v>
      </c>
      <c r="B1069" s="60" t="s">
        <v>5685</v>
      </c>
      <c r="C1069" s="60" t="s">
        <v>5680</v>
      </c>
      <c r="D1069" s="60" t="s">
        <v>5643</v>
      </c>
      <c r="E1069" t="str">
        <f>VLOOKUP(Table10[[#This Row],[Country]],Countries!$A$1:$D$205,2,TRUE)</f>
        <v>EGY</v>
      </c>
      <c r="F1069" s="60">
        <v>2027</v>
      </c>
      <c r="G1069" s="60" t="s">
        <v>4037</v>
      </c>
      <c r="H1069" s="65">
        <v>1750</v>
      </c>
      <c r="I1069" s="65" t="s">
        <v>4022</v>
      </c>
      <c r="J1069" s="60" t="s">
        <v>4023</v>
      </c>
      <c r="K1069" s="60">
        <v>49.247635000000002</v>
      </c>
      <c r="L1069">
        <v>6.848662</v>
      </c>
    </row>
    <row r="1070" spans="1:12" hidden="1" x14ac:dyDescent="0.35">
      <c r="A1070" s="60" t="s">
        <v>5686</v>
      </c>
      <c r="B1070" s="60" t="s">
        <v>5685</v>
      </c>
      <c r="C1070" s="60" t="s">
        <v>5680</v>
      </c>
      <c r="D1070" s="60" t="s">
        <v>5643</v>
      </c>
      <c r="E1070" t="str">
        <f>VLOOKUP(Table10[[#This Row],[Country]],Countries!$A$1:$D$205,2,TRUE)</f>
        <v>EGY</v>
      </c>
      <c r="F1070" s="60">
        <v>1873</v>
      </c>
      <c r="G1070" s="60" t="s">
        <v>4026</v>
      </c>
      <c r="H1070" s="65">
        <v>3540</v>
      </c>
      <c r="I1070" s="65" t="s">
        <v>4022</v>
      </c>
      <c r="J1070" s="60" t="s">
        <v>4360</v>
      </c>
      <c r="K1070" s="60">
        <v>49.247635000000002</v>
      </c>
      <c r="L1070">
        <v>6.848662</v>
      </c>
    </row>
    <row r="1071" spans="1:12" hidden="1" x14ac:dyDescent="0.35">
      <c r="A1071" s="60" t="s">
        <v>5687</v>
      </c>
      <c r="B1071" s="60" t="s">
        <v>5688</v>
      </c>
      <c r="C1071" s="60" t="s">
        <v>3347</v>
      </c>
      <c r="D1071" s="60" t="s">
        <v>5643</v>
      </c>
      <c r="E1071" t="str">
        <f>VLOOKUP(Table10[[#This Row],[Country]],Countries!$A$1:$D$205,2,TRUE)</f>
        <v>EGY</v>
      </c>
      <c r="F1071" s="60">
        <v>1992</v>
      </c>
      <c r="G1071" s="60" t="s">
        <v>4026</v>
      </c>
      <c r="H1071" s="65">
        <v>1400</v>
      </c>
      <c r="I1071" s="65" t="s">
        <v>4022</v>
      </c>
      <c r="J1071" s="60" t="s">
        <v>4023</v>
      </c>
      <c r="K1071" s="60">
        <v>51.312800000000003</v>
      </c>
      <c r="L1071">
        <v>13.280386</v>
      </c>
    </row>
    <row r="1072" spans="1:12" hidden="1" x14ac:dyDescent="0.35">
      <c r="A1072" s="60" t="s">
        <v>5689</v>
      </c>
      <c r="B1072" s="60" t="s">
        <v>5690</v>
      </c>
      <c r="C1072" s="60" t="s">
        <v>5691</v>
      </c>
      <c r="D1072" s="60" t="s">
        <v>5643</v>
      </c>
      <c r="E1072" t="str">
        <f>VLOOKUP(Table10[[#This Row],[Country]],Countries!$A$1:$D$205,2,TRUE)</f>
        <v>EGY</v>
      </c>
      <c r="F1072" s="60">
        <v>1878</v>
      </c>
      <c r="G1072" s="60" t="s">
        <v>4026</v>
      </c>
      <c r="H1072" s="65">
        <v>1100</v>
      </c>
      <c r="I1072" s="65" t="s">
        <v>4022</v>
      </c>
      <c r="J1072" s="60" t="s">
        <v>4023</v>
      </c>
      <c r="K1072" s="60">
        <v>50.654573999999997</v>
      </c>
      <c r="L1072">
        <v>11.43745</v>
      </c>
    </row>
    <row r="1073" spans="1:12" hidden="1" x14ac:dyDescent="0.35">
      <c r="A1073" s="60" t="s">
        <v>5692</v>
      </c>
      <c r="B1073" s="60" t="s">
        <v>5693</v>
      </c>
      <c r="C1073" s="60" t="s">
        <v>3358</v>
      </c>
      <c r="D1073" s="60" t="s">
        <v>5694</v>
      </c>
      <c r="E1073" t="str">
        <f>VLOOKUP(Table10[[#This Row],[Country]],Countries!$A$1:$D$205,2,TRUE)</f>
        <v>GIB</v>
      </c>
      <c r="F1073" s="60">
        <v>1932</v>
      </c>
      <c r="G1073" s="60" t="s">
        <v>4107</v>
      </c>
      <c r="H1073" s="65">
        <v>3300</v>
      </c>
      <c r="I1073" s="65">
        <v>2500</v>
      </c>
      <c r="J1073" s="60" t="s">
        <v>4161</v>
      </c>
      <c r="K1073" s="60">
        <v>38.043872999999998</v>
      </c>
      <c r="L1073">
        <v>23.508082999999999</v>
      </c>
    </row>
    <row r="1074" spans="1:12" hidden="1" x14ac:dyDescent="0.35">
      <c r="A1074" s="60" t="s">
        <v>5695</v>
      </c>
      <c r="B1074" s="60" t="s">
        <v>1414</v>
      </c>
      <c r="C1074" s="60" t="s">
        <v>5696</v>
      </c>
      <c r="D1074" s="60" t="s">
        <v>5694</v>
      </c>
      <c r="E1074" t="str">
        <f>VLOOKUP(Table10[[#This Row],[Country]],Countries!$A$1:$D$205,2,TRUE)</f>
        <v>GIB</v>
      </c>
      <c r="F1074" s="60">
        <v>1962</v>
      </c>
      <c r="G1074" s="60" t="s">
        <v>4026</v>
      </c>
      <c r="H1074" s="65">
        <v>800</v>
      </c>
      <c r="I1074" s="65" t="s">
        <v>4022</v>
      </c>
      <c r="J1074" s="60" t="s">
        <v>4023</v>
      </c>
      <c r="K1074" s="60">
        <v>40.704458000000002</v>
      </c>
      <c r="L1074">
        <v>22.816541999999998</v>
      </c>
    </row>
    <row r="1075" spans="1:12" hidden="1" x14ac:dyDescent="0.35">
      <c r="A1075" s="60" t="s">
        <v>5697</v>
      </c>
      <c r="B1075" s="60" t="s">
        <v>5698</v>
      </c>
      <c r="C1075" s="60" t="s">
        <v>5699</v>
      </c>
      <c r="D1075" s="60" t="s">
        <v>5694</v>
      </c>
      <c r="E1075" t="str">
        <f>VLOOKUP(Table10[[#This Row],[Country]],Countries!$A$1:$D$205,2,TRUE)</f>
        <v>GIB</v>
      </c>
      <c r="F1075" s="60">
        <v>2001</v>
      </c>
      <c r="G1075" s="60" t="s">
        <v>4026</v>
      </c>
      <c r="H1075" s="65">
        <v>1350</v>
      </c>
      <c r="I1075" s="65" t="s">
        <v>4022</v>
      </c>
      <c r="J1075" s="60" t="s">
        <v>4023</v>
      </c>
      <c r="K1075" s="60">
        <v>39.169632</v>
      </c>
      <c r="L1075">
        <v>22.840216000000002</v>
      </c>
    </row>
    <row r="1076" spans="1:12" hidden="1" x14ac:dyDescent="0.35">
      <c r="A1076" s="60" t="s">
        <v>5700</v>
      </c>
      <c r="B1076" s="60" t="s">
        <v>5701</v>
      </c>
      <c r="C1076" s="60" t="s">
        <v>5699</v>
      </c>
      <c r="D1076" s="60" t="s">
        <v>5694</v>
      </c>
      <c r="E1076" t="str">
        <f>VLOOKUP(Table10[[#This Row],[Country]],Countries!$A$1:$D$205,2,TRUE)</f>
        <v>GIB</v>
      </c>
      <c r="F1076" s="60">
        <v>1966</v>
      </c>
      <c r="G1076" s="60" t="s">
        <v>4026</v>
      </c>
      <c r="H1076" s="65">
        <v>1150</v>
      </c>
      <c r="I1076" s="65" t="s">
        <v>4022</v>
      </c>
      <c r="J1076" s="60" t="s">
        <v>4023</v>
      </c>
      <c r="K1076" s="60">
        <v>38.564264999999999</v>
      </c>
      <c r="L1076">
        <v>23.293695</v>
      </c>
    </row>
    <row r="1077" spans="1:12" hidden="1" x14ac:dyDescent="0.35">
      <c r="A1077" s="60" t="s">
        <v>5702</v>
      </c>
      <c r="B1077" s="60" t="s">
        <v>5703</v>
      </c>
      <c r="C1077" s="60" t="s">
        <v>5704</v>
      </c>
      <c r="D1077" s="60" t="s">
        <v>5705</v>
      </c>
      <c r="E1077" t="str">
        <f>VLOOKUP(Table10[[#This Row],[Country]],Countries!$A$1:$D$205,2,TRUE)</f>
        <v>HKG</v>
      </c>
      <c r="F1077" s="60">
        <v>2005</v>
      </c>
      <c r="G1077" s="60" t="s">
        <v>4026</v>
      </c>
      <c r="H1077" s="65">
        <v>550</v>
      </c>
      <c r="I1077" s="65" t="s">
        <v>4022</v>
      </c>
      <c r="J1077" s="60" t="s">
        <v>4023</v>
      </c>
      <c r="K1077" s="60">
        <v>48.096935999999999</v>
      </c>
      <c r="L1077">
        <v>20.737722000000002</v>
      </c>
    </row>
    <row r="1078" spans="1:12" hidden="1" x14ac:dyDescent="0.35">
      <c r="A1078" s="60" t="s">
        <v>5706</v>
      </c>
      <c r="B1078" s="60" t="s">
        <v>5707</v>
      </c>
      <c r="C1078" s="60" t="s">
        <v>5704</v>
      </c>
      <c r="D1078" s="60" t="s">
        <v>5705</v>
      </c>
      <c r="E1078" t="str">
        <f>VLOOKUP(Table10[[#This Row],[Country]],Countries!$A$1:$D$205,2,TRUE)</f>
        <v>HKG</v>
      </c>
      <c r="F1078" s="60">
        <v>2000</v>
      </c>
      <c r="G1078" s="60" t="s">
        <v>4026</v>
      </c>
      <c r="H1078" s="65">
        <v>690</v>
      </c>
      <c r="I1078" s="65" t="s">
        <v>4022</v>
      </c>
      <c r="J1078" s="60" t="s">
        <v>4023</v>
      </c>
      <c r="K1078" s="60">
        <v>48.242994000000003</v>
      </c>
      <c r="L1078">
        <v>20.334485999999998</v>
      </c>
    </row>
    <row r="1079" spans="1:12" hidden="1" x14ac:dyDescent="0.35">
      <c r="A1079" s="60" t="s">
        <v>5708</v>
      </c>
      <c r="B1079" s="60" t="s">
        <v>5709</v>
      </c>
      <c r="C1079" s="60" t="s">
        <v>5710</v>
      </c>
      <c r="D1079" s="60" t="s">
        <v>5705</v>
      </c>
      <c r="E1079" t="str">
        <f>VLOOKUP(Table10[[#This Row],[Country]],Countries!$A$1:$D$205,2,TRUE)</f>
        <v>HKG</v>
      </c>
      <c r="F1079" s="60">
        <v>1954</v>
      </c>
      <c r="G1079" s="60" t="s">
        <v>4026</v>
      </c>
      <c r="H1079" s="65">
        <v>1600</v>
      </c>
      <c r="I1079" s="65">
        <v>1300</v>
      </c>
      <c r="J1079" s="60" t="s">
        <v>4049</v>
      </c>
      <c r="K1079" s="60">
        <v>46.945694000000003</v>
      </c>
      <c r="L1079">
        <v>18.93863</v>
      </c>
    </row>
    <row r="1080" spans="1:12" hidden="1" x14ac:dyDescent="0.35">
      <c r="A1080" s="60" t="s">
        <v>5711</v>
      </c>
      <c r="B1080" s="60" t="s">
        <v>5712</v>
      </c>
      <c r="C1080" s="60" t="s">
        <v>5713</v>
      </c>
      <c r="D1080" s="60" t="s">
        <v>5714</v>
      </c>
      <c r="E1080" t="str">
        <f>VLOOKUP(Table10[[#This Row],[Country]],Countries!$A$1:$D$205,2,TRUE)</f>
        <v>ISR</v>
      </c>
      <c r="F1080" s="60">
        <v>1909</v>
      </c>
      <c r="G1080" s="60" t="s">
        <v>4026</v>
      </c>
      <c r="H1080" s="65">
        <v>700</v>
      </c>
      <c r="I1080" s="65" t="s">
        <v>4022</v>
      </c>
      <c r="J1080" s="60" t="s">
        <v>4023</v>
      </c>
      <c r="K1080" s="60">
        <v>45.641516000000003</v>
      </c>
      <c r="L1080">
        <v>9.6002419999999997</v>
      </c>
    </row>
    <row r="1081" spans="1:12" hidden="1" x14ac:dyDescent="0.35">
      <c r="A1081" s="60" t="s">
        <v>5715</v>
      </c>
      <c r="B1081" s="60" t="s">
        <v>5716</v>
      </c>
      <c r="C1081" s="60" t="s">
        <v>5717</v>
      </c>
      <c r="D1081" s="60" t="s">
        <v>5714</v>
      </c>
      <c r="E1081" t="str">
        <f>VLOOKUP(Table10[[#This Row],[Country]],Countries!$A$1:$D$205,2,TRUE)</f>
        <v>ISR</v>
      </c>
      <c r="F1081" s="60">
        <v>1955</v>
      </c>
      <c r="G1081" s="60" t="s">
        <v>4026</v>
      </c>
      <c r="H1081" s="65">
        <v>1700</v>
      </c>
      <c r="I1081" s="65" t="s">
        <v>4022</v>
      </c>
      <c r="J1081" s="60" t="s">
        <v>4023</v>
      </c>
      <c r="K1081" s="60">
        <v>45.508698000000003</v>
      </c>
      <c r="L1081">
        <v>10.248464</v>
      </c>
    </row>
    <row r="1082" spans="1:12" hidden="1" x14ac:dyDescent="0.35">
      <c r="A1082" s="60" t="s">
        <v>5718</v>
      </c>
      <c r="B1082" s="60" t="s">
        <v>5716</v>
      </c>
      <c r="C1082" s="60" t="s">
        <v>5717</v>
      </c>
      <c r="D1082" s="60" t="s">
        <v>5714</v>
      </c>
      <c r="E1082" t="str">
        <f>VLOOKUP(Table10[[#This Row],[Country]],Countries!$A$1:$D$205,2,TRUE)</f>
        <v>ISR</v>
      </c>
      <c r="F1082" s="60">
        <v>1968</v>
      </c>
      <c r="G1082" s="60" t="s">
        <v>4026</v>
      </c>
      <c r="H1082" s="65">
        <v>1100</v>
      </c>
      <c r="I1082" s="65" t="s">
        <v>4022</v>
      </c>
      <c r="J1082" s="60" t="s">
        <v>4023</v>
      </c>
      <c r="K1082" s="60">
        <v>45.460582000000002</v>
      </c>
      <c r="L1082">
        <v>10.456747999999999</v>
      </c>
    </row>
    <row r="1083" spans="1:12" hidden="1" x14ac:dyDescent="0.35">
      <c r="A1083" s="60" t="s">
        <v>5719</v>
      </c>
      <c r="B1083" s="60" t="s">
        <v>5716</v>
      </c>
      <c r="C1083" s="60" t="s">
        <v>5717</v>
      </c>
      <c r="D1083" s="60" t="s">
        <v>5714</v>
      </c>
      <c r="E1083" t="str">
        <f>VLOOKUP(Table10[[#This Row],[Country]],Countries!$A$1:$D$205,2,TRUE)</f>
        <v>ISR</v>
      </c>
      <c r="F1083" s="60">
        <v>1933</v>
      </c>
      <c r="G1083" s="60" t="s">
        <v>4026</v>
      </c>
      <c r="H1083" s="65">
        <v>650</v>
      </c>
      <c r="I1083" s="65" t="s">
        <v>4022</v>
      </c>
      <c r="J1083" s="60" t="s">
        <v>4023</v>
      </c>
      <c r="K1083" s="60">
        <v>45.566054000000001</v>
      </c>
      <c r="L1083">
        <v>10.214700000000001</v>
      </c>
    </row>
    <row r="1084" spans="1:12" hidden="1" x14ac:dyDescent="0.35">
      <c r="A1084" s="60" t="s">
        <v>5720</v>
      </c>
      <c r="B1084" s="60" t="s">
        <v>5721</v>
      </c>
      <c r="C1084" s="60" t="s">
        <v>5717</v>
      </c>
      <c r="D1084" s="60" t="s">
        <v>5714</v>
      </c>
      <c r="E1084" t="str">
        <f>VLOOKUP(Table10[[#This Row],[Country]],Countries!$A$1:$D$205,2,TRUE)</f>
        <v>ISR</v>
      </c>
      <c r="F1084" s="60">
        <v>1972</v>
      </c>
      <c r="G1084" s="60" t="s">
        <v>4026</v>
      </c>
      <c r="H1084" s="65">
        <v>600</v>
      </c>
      <c r="I1084" s="65" t="s">
        <v>4022</v>
      </c>
      <c r="J1084" s="60" t="s">
        <v>4023</v>
      </c>
      <c r="K1084" s="60">
        <v>45.371651</v>
      </c>
      <c r="L1084">
        <v>10.331967000000001</v>
      </c>
    </row>
    <row r="1085" spans="1:12" hidden="1" x14ac:dyDescent="0.35">
      <c r="A1085" s="60" t="s">
        <v>5722</v>
      </c>
      <c r="B1085" s="60" t="s">
        <v>5723</v>
      </c>
      <c r="C1085" s="60" t="s">
        <v>5717</v>
      </c>
      <c r="D1085" s="60" t="s">
        <v>5714</v>
      </c>
      <c r="E1085" t="str">
        <f>VLOOKUP(Table10[[#This Row],[Country]],Countries!$A$1:$D$205,2,TRUE)</f>
        <v>ISR</v>
      </c>
      <c r="F1085" s="60">
        <v>1968</v>
      </c>
      <c r="G1085" s="60" t="s">
        <v>4026</v>
      </c>
      <c r="H1085" s="65">
        <v>900</v>
      </c>
      <c r="I1085" s="65" t="s">
        <v>4022</v>
      </c>
      <c r="J1085" s="60" t="s">
        <v>4023</v>
      </c>
      <c r="K1085" s="60">
        <v>45.642904999999999</v>
      </c>
      <c r="L1085">
        <v>10.380198999999999</v>
      </c>
    </row>
    <row r="1086" spans="1:12" hidden="1" x14ac:dyDescent="0.35">
      <c r="A1086" s="60" t="s">
        <v>5724</v>
      </c>
      <c r="B1086" s="60" t="s">
        <v>5723</v>
      </c>
      <c r="C1086" s="60" t="s">
        <v>5717</v>
      </c>
      <c r="D1086" s="60" t="s">
        <v>5714</v>
      </c>
      <c r="E1086" t="str">
        <f>VLOOKUP(Table10[[#This Row],[Country]],Countries!$A$1:$D$205,2,TRUE)</f>
        <v>ISR</v>
      </c>
      <c r="F1086" s="60">
        <v>1951</v>
      </c>
      <c r="G1086" s="60" t="s">
        <v>4026</v>
      </c>
      <c r="H1086" s="65">
        <v>900</v>
      </c>
      <c r="I1086" s="65" t="s">
        <v>4022</v>
      </c>
      <c r="J1086" s="60" t="s">
        <v>4023</v>
      </c>
      <c r="K1086" s="60">
        <v>45.645688</v>
      </c>
      <c r="L1086">
        <v>10.374305</v>
      </c>
    </row>
    <row r="1087" spans="1:12" hidden="1" x14ac:dyDescent="0.35">
      <c r="A1087" s="60" t="s">
        <v>5725</v>
      </c>
      <c r="B1087" s="60" t="s">
        <v>5726</v>
      </c>
      <c r="C1087" s="60" t="s">
        <v>5717</v>
      </c>
      <c r="D1087" s="60" t="s">
        <v>5714</v>
      </c>
      <c r="E1087" t="str">
        <f>VLOOKUP(Table10[[#This Row],[Country]],Countries!$A$1:$D$205,2,TRUE)</f>
        <v>ISR</v>
      </c>
      <c r="F1087" s="60">
        <v>2004</v>
      </c>
      <c r="G1087" s="60" t="s">
        <v>4026</v>
      </c>
      <c r="H1087" s="65">
        <v>950</v>
      </c>
      <c r="I1087" s="65" t="s">
        <v>4022</v>
      </c>
      <c r="J1087" s="60" t="s">
        <v>4023</v>
      </c>
      <c r="K1087" s="60">
        <v>45.478363000000002</v>
      </c>
      <c r="L1087">
        <v>10.209234</v>
      </c>
    </row>
    <row r="1088" spans="1:12" hidden="1" x14ac:dyDescent="0.35">
      <c r="A1088" s="60" t="s">
        <v>5727</v>
      </c>
      <c r="B1088" s="60" t="s">
        <v>5728</v>
      </c>
      <c r="C1088" s="60" t="s">
        <v>5717</v>
      </c>
      <c r="D1088" s="60" t="s">
        <v>5714</v>
      </c>
      <c r="E1088" t="str">
        <f>VLOOKUP(Table10[[#This Row],[Country]],Countries!$A$1:$D$205,2,TRUE)</f>
        <v>ISR</v>
      </c>
      <c r="F1088" s="60" t="s">
        <v>4036</v>
      </c>
      <c r="G1088" s="60" t="s">
        <v>4026</v>
      </c>
      <c r="H1088" s="65">
        <v>540</v>
      </c>
      <c r="I1088" s="65" t="s">
        <v>4022</v>
      </c>
      <c r="J1088" s="60" t="s">
        <v>4023</v>
      </c>
      <c r="K1088" s="60">
        <v>45.648690999999999</v>
      </c>
      <c r="L1088">
        <v>10.209114</v>
      </c>
    </row>
    <row r="1089" spans="1:12" hidden="1" x14ac:dyDescent="0.35">
      <c r="A1089" s="60" t="s">
        <v>5729</v>
      </c>
      <c r="B1089" s="60" t="s">
        <v>3431</v>
      </c>
      <c r="C1089" s="60" t="s">
        <v>5730</v>
      </c>
      <c r="D1089" s="60" t="s">
        <v>5714</v>
      </c>
      <c r="E1089" t="str">
        <f>VLOOKUP(Table10[[#This Row],[Country]],Countries!$A$1:$D$205,2,TRUE)</f>
        <v>ISR</v>
      </c>
      <c r="F1089" s="60">
        <v>1992</v>
      </c>
      <c r="G1089" s="60" t="s">
        <v>4026</v>
      </c>
      <c r="H1089" s="65">
        <v>3850</v>
      </c>
      <c r="I1089" s="65" t="s">
        <v>4022</v>
      </c>
      <c r="J1089" s="60" t="s">
        <v>4023</v>
      </c>
      <c r="K1089" s="60">
        <v>45.145949000000002</v>
      </c>
      <c r="L1089">
        <v>9.9508209999999995</v>
      </c>
    </row>
    <row r="1090" spans="1:12" hidden="1" x14ac:dyDescent="0.35">
      <c r="A1090" s="60" t="s">
        <v>5731</v>
      </c>
      <c r="B1090" s="60" t="s">
        <v>5732</v>
      </c>
      <c r="C1090" s="60" t="s">
        <v>5733</v>
      </c>
      <c r="D1090" s="60" t="s">
        <v>5714</v>
      </c>
      <c r="E1090" t="str">
        <f>VLOOKUP(Table10[[#This Row],[Country]],Countries!$A$1:$D$205,2,TRUE)</f>
        <v>ISR</v>
      </c>
      <c r="F1090" s="60">
        <v>1961</v>
      </c>
      <c r="G1090" s="60" t="s">
        <v>4026</v>
      </c>
      <c r="H1090" s="65">
        <v>600</v>
      </c>
      <c r="I1090" s="65" t="s">
        <v>4022</v>
      </c>
      <c r="J1090" s="60" t="s">
        <v>4023</v>
      </c>
      <c r="K1090" s="60">
        <v>44.388022999999997</v>
      </c>
      <c r="L1090">
        <v>7.944998</v>
      </c>
    </row>
    <row r="1091" spans="1:12" hidden="1" x14ac:dyDescent="0.35">
      <c r="A1091" s="60" t="s">
        <v>5734</v>
      </c>
      <c r="B1091" s="60" t="s">
        <v>5735</v>
      </c>
      <c r="C1091" s="60" t="s">
        <v>5736</v>
      </c>
      <c r="D1091" s="60" t="s">
        <v>5714</v>
      </c>
      <c r="E1091" t="str">
        <f>VLOOKUP(Table10[[#This Row],[Country]],Countries!$A$1:$D$205,2,TRUE)</f>
        <v>ISR</v>
      </c>
      <c r="F1091" s="60">
        <v>2025</v>
      </c>
      <c r="G1091" s="60" t="s">
        <v>4029</v>
      </c>
      <c r="H1091" s="65">
        <v>1400</v>
      </c>
      <c r="I1091" s="65" t="s">
        <v>4036</v>
      </c>
      <c r="J1091" s="60" t="s">
        <v>4023</v>
      </c>
      <c r="K1091" s="60">
        <v>42.936520000000002</v>
      </c>
      <c r="L1091">
        <v>10.537794</v>
      </c>
    </row>
    <row r="1092" spans="1:12" hidden="1" x14ac:dyDescent="0.35">
      <c r="A1092" s="60" t="s">
        <v>5737</v>
      </c>
      <c r="B1092" s="60" t="s">
        <v>5735</v>
      </c>
      <c r="C1092" s="60" t="s">
        <v>5736</v>
      </c>
      <c r="D1092" s="60" t="s">
        <v>5714</v>
      </c>
      <c r="E1092" t="str">
        <f>VLOOKUP(Table10[[#This Row],[Country]],Countries!$A$1:$D$205,2,TRUE)</f>
        <v>ISR</v>
      </c>
      <c r="F1092" s="60">
        <v>1865</v>
      </c>
      <c r="G1092" s="60" t="s">
        <v>4107</v>
      </c>
      <c r="H1092" s="65">
        <v>2000</v>
      </c>
      <c r="I1092" s="65" t="s">
        <v>4022</v>
      </c>
      <c r="J1092" s="60" t="s">
        <v>4023</v>
      </c>
      <c r="K1092" s="60">
        <v>42.936520000000002</v>
      </c>
      <c r="L1092">
        <v>10.537794</v>
      </c>
    </row>
    <row r="1093" spans="1:12" hidden="1" x14ac:dyDescent="0.35">
      <c r="A1093" s="60" t="s">
        <v>5738</v>
      </c>
      <c r="B1093" s="60" t="s">
        <v>5739</v>
      </c>
      <c r="C1093" s="60" t="s">
        <v>5740</v>
      </c>
      <c r="D1093" s="60" t="s">
        <v>5714</v>
      </c>
      <c r="E1093" t="str">
        <f>VLOOKUP(Table10[[#This Row],[Country]],Countries!$A$1:$D$205,2,TRUE)</f>
        <v>ISR</v>
      </c>
      <c r="F1093" s="60">
        <v>1991</v>
      </c>
      <c r="G1093" s="60" t="s">
        <v>4026</v>
      </c>
      <c r="H1093" s="65">
        <v>600</v>
      </c>
      <c r="I1093" s="65" t="s">
        <v>4022</v>
      </c>
      <c r="J1093" s="60" t="s">
        <v>4023</v>
      </c>
      <c r="K1093" s="60">
        <v>45.419167999999999</v>
      </c>
      <c r="L1093">
        <v>11.906625</v>
      </c>
    </row>
    <row r="1094" spans="1:12" hidden="1" x14ac:dyDescent="0.35">
      <c r="A1094" s="60" t="s">
        <v>5741</v>
      </c>
      <c r="B1094" s="60" t="s">
        <v>5742</v>
      </c>
      <c r="C1094" s="60" t="s">
        <v>5743</v>
      </c>
      <c r="D1094" s="60" t="s">
        <v>5714</v>
      </c>
      <c r="E1094" t="str">
        <f>VLOOKUP(Table10[[#This Row],[Country]],Countries!$A$1:$D$205,2,TRUE)</f>
        <v>ISR</v>
      </c>
      <c r="F1094" s="60">
        <v>1963</v>
      </c>
      <c r="G1094" s="60" t="s">
        <v>4026</v>
      </c>
      <c r="H1094" s="65">
        <v>700</v>
      </c>
      <c r="I1094" s="65" t="s">
        <v>4022</v>
      </c>
      <c r="J1094" s="60" t="s">
        <v>4023</v>
      </c>
      <c r="K1094" s="60">
        <v>40.639355999999999</v>
      </c>
      <c r="L1094">
        <v>15.827842</v>
      </c>
    </row>
    <row r="1095" spans="1:12" hidden="1" x14ac:dyDescent="0.35">
      <c r="A1095" s="60" t="s">
        <v>5744</v>
      </c>
      <c r="B1095" s="60" t="s">
        <v>1848</v>
      </c>
      <c r="C1095" s="60" t="s">
        <v>5745</v>
      </c>
      <c r="D1095" s="60" t="s">
        <v>5714</v>
      </c>
      <c r="E1095" t="str">
        <f>VLOOKUP(Table10[[#This Row],[Country]],Countries!$A$1:$D$205,2,TRUE)</f>
        <v>ISR</v>
      </c>
      <c r="F1095" s="60">
        <v>1998</v>
      </c>
      <c r="G1095" s="60" t="s">
        <v>4026</v>
      </c>
      <c r="H1095" s="65">
        <v>500</v>
      </c>
      <c r="I1095" s="65" t="s">
        <v>4022</v>
      </c>
      <c r="J1095" s="60" t="s">
        <v>4023</v>
      </c>
      <c r="K1095" s="60">
        <v>37.438448000000001</v>
      </c>
      <c r="L1095">
        <v>15.032870000000001</v>
      </c>
    </row>
    <row r="1096" spans="1:12" hidden="1" x14ac:dyDescent="0.35">
      <c r="A1096" s="60" t="s">
        <v>5746</v>
      </c>
      <c r="B1096" s="60" t="s">
        <v>1442</v>
      </c>
      <c r="C1096" s="60" t="s">
        <v>5747</v>
      </c>
      <c r="D1096" s="61" t="s">
        <v>5714</v>
      </c>
      <c r="E1096" t="str">
        <f>VLOOKUP(Table10[[#This Row],[Country]],Countries!$A$1:$D$205,2,TRUE)</f>
        <v>ISR</v>
      </c>
      <c r="F1096" s="60">
        <v>2030</v>
      </c>
      <c r="G1096" s="60" t="s">
        <v>4037</v>
      </c>
      <c r="H1096" s="65" t="s">
        <v>4022</v>
      </c>
      <c r="I1096" s="65">
        <v>2000</v>
      </c>
      <c r="J1096" s="60" t="s">
        <v>4030</v>
      </c>
      <c r="K1096" s="60">
        <v>40.508992999999997</v>
      </c>
      <c r="L1096">
        <v>17.207588999999999</v>
      </c>
    </row>
    <row r="1097" spans="1:12" hidden="1" x14ac:dyDescent="0.35">
      <c r="A1097" s="60" t="s">
        <v>5748</v>
      </c>
      <c r="B1097" s="60" t="s">
        <v>1442</v>
      </c>
      <c r="C1097" s="60" t="s">
        <v>5747</v>
      </c>
      <c r="D1097" s="60" t="s">
        <v>5714</v>
      </c>
      <c r="E1097" t="str">
        <f>VLOOKUP(Table10[[#This Row],[Country]],Countries!$A$1:$D$205,2,TRUE)</f>
        <v>ISR</v>
      </c>
      <c r="F1097" s="60">
        <v>2024</v>
      </c>
      <c r="G1097" s="60" t="s">
        <v>4037</v>
      </c>
      <c r="H1097" s="65">
        <v>2500</v>
      </c>
      <c r="I1097" s="65" t="s">
        <v>4022</v>
      </c>
      <c r="J1097" s="60" t="s">
        <v>4023</v>
      </c>
      <c r="K1097" s="60">
        <v>40.508992999999997</v>
      </c>
      <c r="L1097">
        <v>17.207588999999999</v>
      </c>
    </row>
    <row r="1098" spans="1:12" hidden="1" x14ac:dyDescent="0.35">
      <c r="A1098" s="60" t="s">
        <v>5749</v>
      </c>
      <c r="B1098" s="60" t="s">
        <v>1442</v>
      </c>
      <c r="C1098" s="60" t="s">
        <v>5747</v>
      </c>
      <c r="D1098" s="60" t="s">
        <v>5714</v>
      </c>
      <c r="E1098" t="str">
        <f>VLOOKUP(Table10[[#This Row],[Country]],Countries!$A$1:$D$205,2,TRUE)</f>
        <v>ISR</v>
      </c>
      <c r="F1098" s="60">
        <v>1965</v>
      </c>
      <c r="G1098" s="60" t="s">
        <v>4026</v>
      </c>
      <c r="H1098" s="65">
        <v>11500</v>
      </c>
      <c r="I1098" s="65">
        <v>9500</v>
      </c>
      <c r="J1098" s="60" t="s">
        <v>4049</v>
      </c>
      <c r="K1098" s="60">
        <v>40.508992999999997</v>
      </c>
      <c r="L1098">
        <v>17.207588999999999</v>
      </c>
    </row>
    <row r="1099" spans="1:12" hidden="1" x14ac:dyDescent="0.35">
      <c r="A1099" s="60" t="s">
        <v>5750</v>
      </c>
      <c r="B1099" s="60" t="s">
        <v>5751</v>
      </c>
      <c r="C1099" s="60" t="s">
        <v>5752</v>
      </c>
      <c r="D1099" s="60" t="s">
        <v>5714</v>
      </c>
      <c r="E1099" t="str">
        <f>VLOOKUP(Table10[[#This Row],[Country]],Countries!$A$1:$D$205,2,TRUE)</f>
        <v>ISR</v>
      </c>
      <c r="F1099" s="60">
        <v>1884</v>
      </c>
      <c r="G1099" s="60" t="s">
        <v>4026</v>
      </c>
      <c r="H1099" s="65">
        <v>1450</v>
      </c>
      <c r="I1099" s="65" t="s">
        <v>4022</v>
      </c>
      <c r="J1099" s="60" t="s">
        <v>4023</v>
      </c>
      <c r="K1099" s="60">
        <v>42.564751999999999</v>
      </c>
      <c r="L1099">
        <v>12.669359999999999</v>
      </c>
    </row>
    <row r="1100" spans="1:12" hidden="1" x14ac:dyDescent="0.35">
      <c r="A1100" s="60" t="s">
        <v>5753</v>
      </c>
      <c r="B1100" s="60" t="s">
        <v>5754</v>
      </c>
      <c r="C1100" s="60" t="s">
        <v>5755</v>
      </c>
      <c r="D1100" s="60" t="s">
        <v>5714</v>
      </c>
      <c r="E1100" t="str">
        <f>VLOOKUP(Table10[[#This Row],[Country]],Countries!$A$1:$D$205,2,TRUE)</f>
        <v>ISR</v>
      </c>
      <c r="F1100" s="60">
        <v>1979</v>
      </c>
      <c r="G1100" s="60" t="s">
        <v>4026</v>
      </c>
      <c r="H1100" s="65">
        <v>600</v>
      </c>
      <c r="I1100" s="65" t="s">
        <v>4022</v>
      </c>
      <c r="J1100" s="60" t="s">
        <v>4023</v>
      </c>
      <c r="K1100" s="60">
        <v>46.049182000000002</v>
      </c>
      <c r="L1100">
        <v>11.440394</v>
      </c>
    </row>
    <row r="1101" spans="1:12" hidden="1" x14ac:dyDescent="0.35">
      <c r="A1101" s="60" t="s">
        <v>5756</v>
      </c>
      <c r="B1101" s="60" t="s">
        <v>5757</v>
      </c>
      <c r="C1101" s="60" t="s">
        <v>5758</v>
      </c>
      <c r="D1101" s="60" t="s">
        <v>5714</v>
      </c>
      <c r="E1101" t="str">
        <f>VLOOKUP(Table10[[#This Row],[Country]],Countries!$A$1:$D$205,2,TRUE)</f>
        <v>ISR</v>
      </c>
      <c r="F1101" s="60">
        <v>1975</v>
      </c>
      <c r="G1101" s="60" t="s">
        <v>4026</v>
      </c>
      <c r="H1101" s="65">
        <v>2200</v>
      </c>
      <c r="I1101" s="65" t="s">
        <v>4022</v>
      </c>
      <c r="J1101" s="60" t="s">
        <v>4023</v>
      </c>
      <c r="K1101" s="60">
        <v>46.232199000000001</v>
      </c>
      <c r="L1101">
        <v>13.079103999999999</v>
      </c>
    </row>
    <row r="1102" spans="1:12" hidden="1" x14ac:dyDescent="0.35">
      <c r="A1102" s="60" t="s">
        <v>5759</v>
      </c>
      <c r="B1102" s="60" t="s">
        <v>5760</v>
      </c>
      <c r="C1102" s="60" t="s">
        <v>5758</v>
      </c>
      <c r="D1102" s="60" t="s">
        <v>5714</v>
      </c>
      <c r="E1102" t="str">
        <f>VLOOKUP(Table10[[#This Row],[Country]],Countries!$A$1:$D$205,2,TRUE)</f>
        <v>ISR</v>
      </c>
      <c r="F1102" s="60">
        <v>1813</v>
      </c>
      <c r="G1102" s="60" t="s">
        <v>4026</v>
      </c>
      <c r="H1102" s="65">
        <v>1100</v>
      </c>
      <c r="I1102" s="65" t="s">
        <v>4022</v>
      </c>
      <c r="J1102" s="60" t="s">
        <v>4023</v>
      </c>
      <c r="K1102" s="60">
        <v>46.008482999999998</v>
      </c>
      <c r="L1102">
        <v>13.255117</v>
      </c>
    </row>
    <row r="1103" spans="1:12" hidden="1" x14ac:dyDescent="0.35">
      <c r="A1103" s="60" t="s">
        <v>5761</v>
      </c>
      <c r="B1103" s="60" t="s">
        <v>5762</v>
      </c>
      <c r="C1103" s="60" t="s">
        <v>5758</v>
      </c>
      <c r="D1103" s="60" t="s">
        <v>5714</v>
      </c>
      <c r="E1103" t="str">
        <f>VLOOKUP(Table10[[#This Row],[Country]],Countries!$A$1:$D$205,2,TRUE)</f>
        <v>ISR</v>
      </c>
      <c r="F1103" s="60">
        <v>1992</v>
      </c>
      <c r="G1103" s="60" t="s">
        <v>4026</v>
      </c>
      <c r="H1103" s="65">
        <v>600</v>
      </c>
      <c r="I1103" s="65" t="s">
        <v>4022</v>
      </c>
      <c r="J1103" s="60" t="s">
        <v>4023</v>
      </c>
      <c r="K1103" s="60">
        <v>45.806489999999997</v>
      </c>
      <c r="L1103">
        <v>13.215433000000001</v>
      </c>
    </row>
    <row r="1104" spans="1:12" hidden="1" x14ac:dyDescent="0.35">
      <c r="A1104" s="60" t="s">
        <v>5763</v>
      </c>
      <c r="B1104" s="60" t="s">
        <v>5764</v>
      </c>
      <c r="C1104" s="60" t="s">
        <v>5765</v>
      </c>
      <c r="D1104" s="60" t="s">
        <v>5714</v>
      </c>
      <c r="E1104" t="str">
        <f>VLOOKUP(Table10[[#This Row],[Country]],Countries!$A$1:$D$205,2,TRUE)</f>
        <v>ISR</v>
      </c>
      <c r="F1104" s="60">
        <v>1957</v>
      </c>
      <c r="G1104" s="60" t="s">
        <v>4026</v>
      </c>
      <c r="H1104" s="65">
        <v>780</v>
      </c>
      <c r="I1104" s="65" t="s">
        <v>4022</v>
      </c>
      <c r="J1104" s="60" t="s">
        <v>4023</v>
      </c>
      <c r="K1104" s="60">
        <v>45.598187000000003</v>
      </c>
      <c r="L1104">
        <v>9.0354469999999996</v>
      </c>
    </row>
    <row r="1105" spans="1:12" hidden="1" x14ac:dyDescent="0.35">
      <c r="A1105" s="60" t="s">
        <v>5766</v>
      </c>
      <c r="B1105" s="60" t="s">
        <v>5767</v>
      </c>
      <c r="C1105" s="60" t="s">
        <v>5768</v>
      </c>
      <c r="D1105" s="60" t="s">
        <v>5714</v>
      </c>
      <c r="E1105" t="str">
        <f>VLOOKUP(Table10[[#This Row],[Country]],Countries!$A$1:$D$205,2,TRUE)</f>
        <v>ISR</v>
      </c>
      <c r="F1105" s="60">
        <v>1902</v>
      </c>
      <c r="G1105" s="60" t="s">
        <v>4026</v>
      </c>
      <c r="H1105" s="65">
        <v>1250</v>
      </c>
      <c r="I1105" s="65" t="s">
        <v>4022</v>
      </c>
      <c r="J1105" s="60" t="s">
        <v>4023</v>
      </c>
      <c r="K1105" s="60">
        <v>45.428820000000002</v>
      </c>
      <c r="L1105">
        <v>11.000861</v>
      </c>
    </row>
    <row r="1106" spans="1:12" hidden="1" x14ac:dyDescent="0.35">
      <c r="A1106" s="60" t="s">
        <v>5769</v>
      </c>
      <c r="B1106" s="60" t="s">
        <v>5770</v>
      </c>
      <c r="C1106" s="60" t="s">
        <v>5771</v>
      </c>
      <c r="D1106" s="60" t="s">
        <v>5714</v>
      </c>
      <c r="E1106" t="str">
        <f>VLOOKUP(Table10[[#This Row],[Country]],Countries!$A$1:$D$205,2,TRUE)</f>
        <v>ISR</v>
      </c>
      <c r="F1106" s="60">
        <v>1976</v>
      </c>
      <c r="G1106" s="60" t="s">
        <v>4026</v>
      </c>
      <c r="H1106" s="65">
        <v>1200</v>
      </c>
      <c r="I1106" s="65" t="s">
        <v>4022</v>
      </c>
      <c r="J1106" s="60" t="s">
        <v>4023</v>
      </c>
      <c r="K1106" s="60">
        <v>45.522097000000002</v>
      </c>
      <c r="L1106">
        <v>11.499295</v>
      </c>
    </row>
    <row r="1107" spans="1:12" hidden="1" x14ac:dyDescent="0.35">
      <c r="A1107" s="60" t="s">
        <v>5772</v>
      </c>
      <c r="B1107" s="60" t="s">
        <v>5773</v>
      </c>
      <c r="C1107" s="60" t="s">
        <v>5774</v>
      </c>
      <c r="D1107" s="60" t="s">
        <v>5775</v>
      </c>
      <c r="E1107" t="str">
        <f>VLOOKUP(Table10[[#This Row],[Country]],Countries!$A$1:$D$205,2,TRUE)</f>
        <v>KWT</v>
      </c>
      <c r="F1107" s="60" t="s">
        <v>4022</v>
      </c>
      <c r="G1107" s="60" t="s">
        <v>4048</v>
      </c>
      <c r="H1107" s="65">
        <v>850</v>
      </c>
      <c r="I1107" s="65" t="s">
        <v>4022</v>
      </c>
      <c r="J1107" s="60" t="s">
        <v>4023</v>
      </c>
      <c r="K1107" s="60">
        <v>56.525272999999999</v>
      </c>
      <c r="L1107">
        <v>21.026700000000002</v>
      </c>
    </row>
    <row r="1108" spans="1:12" hidden="1" x14ac:dyDescent="0.35">
      <c r="A1108" s="60" t="s">
        <v>5776</v>
      </c>
      <c r="B1108" s="60" t="s">
        <v>5777</v>
      </c>
      <c r="C1108" s="60" t="s">
        <v>5778</v>
      </c>
      <c r="D1108" s="60" t="s">
        <v>5779</v>
      </c>
      <c r="E1108" t="str">
        <f>VLOOKUP(Table10[[#This Row],[Country]],Countries!$A$1:$D$205,2,TRUE)</f>
        <v>LBY</v>
      </c>
      <c r="F1108" s="60">
        <v>1896</v>
      </c>
      <c r="G1108" s="60" t="s">
        <v>4026</v>
      </c>
      <c r="H1108" s="65">
        <v>2000</v>
      </c>
      <c r="I1108" s="65" t="s">
        <v>4022</v>
      </c>
      <c r="J1108" s="60" t="s">
        <v>4023</v>
      </c>
      <c r="K1108" s="60">
        <v>49.527965999999999</v>
      </c>
      <c r="L1108">
        <v>5.900398</v>
      </c>
    </row>
    <row r="1109" spans="1:12" hidden="1" x14ac:dyDescent="0.35">
      <c r="A1109" s="60" t="s">
        <v>5780</v>
      </c>
      <c r="B1109" s="60" t="s">
        <v>5778</v>
      </c>
      <c r="C1109" s="60" t="s">
        <v>5778</v>
      </c>
      <c r="D1109" s="60" t="s">
        <v>5779</v>
      </c>
      <c r="E1109" t="str">
        <f>VLOOKUP(Table10[[#This Row],[Country]],Countries!$A$1:$D$205,2,TRUE)</f>
        <v>LBY</v>
      </c>
      <c r="F1109" s="60" t="s">
        <v>4036</v>
      </c>
      <c r="G1109" s="60" t="s">
        <v>4037</v>
      </c>
      <c r="H1109" s="65">
        <v>250</v>
      </c>
      <c r="I1109" s="65" t="s">
        <v>4022</v>
      </c>
      <c r="J1109" s="60" t="s">
        <v>4023</v>
      </c>
      <c r="K1109" s="60">
        <v>49.504174999999996</v>
      </c>
      <c r="L1109">
        <v>5.9937589999999998</v>
      </c>
    </row>
    <row r="1110" spans="1:12" hidden="1" x14ac:dyDescent="0.35">
      <c r="A1110" s="60" t="s">
        <v>5780</v>
      </c>
      <c r="B1110" s="60" t="s">
        <v>5778</v>
      </c>
      <c r="C1110" s="60" t="s">
        <v>5778</v>
      </c>
      <c r="D1110" s="60" t="s">
        <v>5779</v>
      </c>
      <c r="E1110" t="str">
        <f>VLOOKUP(Table10[[#This Row],[Country]],Countries!$A$1:$D$205,2,TRUE)</f>
        <v>LBY</v>
      </c>
      <c r="F1110" s="60">
        <v>1911</v>
      </c>
      <c r="G1110" s="60" t="s">
        <v>4026</v>
      </c>
      <c r="H1110" s="65">
        <v>1000</v>
      </c>
      <c r="I1110" s="65" t="s">
        <v>4022</v>
      </c>
      <c r="J1110" s="60" t="s">
        <v>4023</v>
      </c>
      <c r="K1110" s="60">
        <v>49.504174999999996</v>
      </c>
      <c r="L1110">
        <v>5.9937589999999998</v>
      </c>
    </row>
    <row r="1111" spans="1:12" hidden="1" x14ac:dyDescent="0.35">
      <c r="A1111" s="60" t="s">
        <v>5781</v>
      </c>
      <c r="B1111" s="60" t="s">
        <v>5782</v>
      </c>
      <c r="C1111" s="60" t="s">
        <v>5783</v>
      </c>
      <c r="D1111" s="60" t="s">
        <v>5784</v>
      </c>
      <c r="E1111" t="str">
        <f>VLOOKUP(Table10[[#This Row],[Country]],Countries!$A$1:$D$205,2,TRUE)</f>
        <v>MEX</v>
      </c>
      <c r="F1111" s="60">
        <v>1985</v>
      </c>
      <c r="G1111" s="60" t="s">
        <v>4026</v>
      </c>
      <c r="H1111" s="65">
        <v>1000</v>
      </c>
      <c r="I1111" s="65" t="s">
        <v>4022</v>
      </c>
      <c r="J1111" s="60" t="s">
        <v>4023</v>
      </c>
      <c r="K1111" s="60">
        <v>47.783771000000002</v>
      </c>
      <c r="L1111">
        <v>29.02835</v>
      </c>
    </row>
    <row r="1112" spans="1:12" hidden="1" x14ac:dyDescent="0.35">
      <c r="A1112" s="60" t="s">
        <v>5785</v>
      </c>
      <c r="B1112" s="60" t="s">
        <v>1498</v>
      </c>
      <c r="C1112" s="60" t="s">
        <v>5786</v>
      </c>
      <c r="D1112" s="60" t="s">
        <v>5787</v>
      </c>
      <c r="E1112" t="str">
        <f>VLOOKUP(Table10[[#This Row],[Country]],Countries!$A$1:$D$205,2,TRUE)</f>
        <v>MAR</v>
      </c>
      <c r="F1112" s="60">
        <v>2024</v>
      </c>
      <c r="G1112" s="60" t="s">
        <v>4037</v>
      </c>
      <c r="H1112" s="65">
        <v>580</v>
      </c>
      <c r="I1112" s="65" t="s">
        <v>4022</v>
      </c>
      <c r="J1112" s="60" t="s">
        <v>4023</v>
      </c>
      <c r="K1112" s="60">
        <v>53.440581000000002</v>
      </c>
      <c r="L1112">
        <v>6.844773</v>
      </c>
    </row>
    <row r="1113" spans="1:12" hidden="1" x14ac:dyDescent="0.35">
      <c r="A1113" s="60" t="s">
        <v>5788</v>
      </c>
      <c r="B1113" s="60" t="s">
        <v>1498</v>
      </c>
      <c r="C1113" s="60" t="s">
        <v>5786</v>
      </c>
      <c r="D1113" s="60" t="s">
        <v>5787</v>
      </c>
      <c r="E1113" t="str">
        <f>VLOOKUP(Table10[[#This Row],[Country]],Countries!$A$1:$D$205,2,TRUE)</f>
        <v>MAR</v>
      </c>
      <c r="F1113" s="60">
        <v>2024</v>
      </c>
      <c r="G1113" s="60" t="s">
        <v>4037</v>
      </c>
      <c r="H1113" s="65">
        <v>580</v>
      </c>
      <c r="I1113" s="65" t="s">
        <v>4022</v>
      </c>
      <c r="J1113" s="60" t="s">
        <v>4023</v>
      </c>
      <c r="K1113" s="60">
        <v>53.440581000000002</v>
      </c>
      <c r="L1113">
        <v>6.844773</v>
      </c>
    </row>
    <row r="1114" spans="1:12" hidden="1" x14ac:dyDescent="0.35">
      <c r="A1114" s="60" t="s">
        <v>5789</v>
      </c>
      <c r="B1114" s="60" t="s">
        <v>5790</v>
      </c>
      <c r="C1114" s="60" t="s">
        <v>5791</v>
      </c>
      <c r="D1114" s="60" t="s">
        <v>5787</v>
      </c>
      <c r="E1114" t="str">
        <f>VLOOKUP(Table10[[#This Row],[Country]],Countries!$A$1:$D$205,2,TRUE)</f>
        <v>MAR</v>
      </c>
      <c r="F1114" s="60">
        <v>2030</v>
      </c>
      <c r="G1114" s="60" t="s">
        <v>4037</v>
      </c>
      <c r="H1114" s="65" t="s">
        <v>4022</v>
      </c>
      <c r="I1114" s="65">
        <v>3155</v>
      </c>
      <c r="J1114" s="60" t="s">
        <v>4034</v>
      </c>
      <c r="K1114" s="60">
        <v>52.484118000000002</v>
      </c>
      <c r="L1114">
        <v>4.6155840000000001</v>
      </c>
    </row>
    <row r="1115" spans="1:12" hidden="1" x14ac:dyDescent="0.35">
      <c r="A1115" s="60" t="s">
        <v>5792</v>
      </c>
      <c r="B1115" s="60" t="s">
        <v>5790</v>
      </c>
      <c r="C1115" s="60" t="s">
        <v>5791</v>
      </c>
      <c r="D1115" s="60" t="s">
        <v>5787</v>
      </c>
      <c r="E1115" t="str">
        <f>VLOOKUP(Table10[[#This Row],[Country]],Countries!$A$1:$D$205,2,TRUE)</f>
        <v>MAR</v>
      </c>
      <c r="F1115" s="60" t="s">
        <v>4022</v>
      </c>
      <c r="G1115" s="60" t="s">
        <v>4048</v>
      </c>
      <c r="H1115" s="65">
        <v>3750</v>
      </c>
      <c r="I1115" s="65">
        <v>6310</v>
      </c>
      <c r="J1115" s="60" t="s">
        <v>4049</v>
      </c>
      <c r="K1115" s="60">
        <v>52.484118000000002</v>
      </c>
      <c r="L1115">
        <v>4.6155840000000001</v>
      </c>
    </row>
    <row r="1116" spans="1:12" hidden="1" x14ac:dyDescent="0.35">
      <c r="A1116" s="60" t="s">
        <v>5793</v>
      </c>
      <c r="B1116" s="60" t="s">
        <v>5790</v>
      </c>
      <c r="C1116" s="60" t="s">
        <v>5791</v>
      </c>
      <c r="D1116" s="60" t="s">
        <v>5787</v>
      </c>
      <c r="E1116" t="str">
        <f>VLOOKUP(Table10[[#This Row],[Country]],Countries!$A$1:$D$205,2,TRUE)</f>
        <v>MAR</v>
      </c>
      <c r="F1116" s="60">
        <v>2030</v>
      </c>
      <c r="G1116" s="60" t="s">
        <v>4037</v>
      </c>
      <c r="H1116" s="65">
        <v>7500</v>
      </c>
      <c r="I1116" s="65">
        <v>3155</v>
      </c>
      <c r="J1116" s="60" t="s">
        <v>4034</v>
      </c>
      <c r="K1116" s="60">
        <v>52.484118000000002</v>
      </c>
      <c r="L1116">
        <v>4.6155840000000001</v>
      </c>
    </row>
    <row r="1117" spans="1:12" hidden="1" x14ac:dyDescent="0.35">
      <c r="A1117" s="60" t="s">
        <v>5794</v>
      </c>
      <c r="B1117" s="60" t="s">
        <v>5790</v>
      </c>
      <c r="C1117" s="60" t="s">
        <v>5791</v>
      </c>
      <c r="D1117" s="60" t="s">
        <v>5787</v>
      </c>
      <c r="E1117" t="str">
        <f>VLOOKUP(Table10[[#This Row],[Country]],Countries!$A$1:$D$205,2,TRUE)</f>
        <v>MAR</v>
      </c>
      <c r="F1117" s="60">
        <v>1918</v>
      </c>
      <c r="G1117" s="60" t="s">
        <v>4026</v>
      </c>
      <c r="H1117" s="65">
        <v>7500</v>
      </c>
      <c r="I1117" s="65">
        <v>6310</v>
      </c>
      <c r="J1117" s="60" t="s">
        <v>4049</v>
      </c>
      <c r="K1117" s="60">
        <v>52.484118000000002</v>
      </c>
      <c r="L1117">
        <v>4.6155840000000001</v>
      </c>
    </row>
    <row r="1118" spans="1:12" hidden="1" x14ac:dyDescent="0.35">
      <c r="A1118" s="60" t="s">
        <v>5795</v>
      </c>
      <c r="B1118" s="60" t="s">
        <v>3596</v>
      </c>
      <c r="C1118" s="60" t="s">
        <v>3596</v>
      </c>
      <c r="D1118" s="60" t="s">
        <v>5796</v>
      </c>
      <c r="E1118" t="str">
        <f>VLOOKUP(Table10[[#This Row],[Country]],Countries!$A$1:$D$205,2,TRUE)</f>
        <v>NGA</v>
      </c>
      <c r="F1118" s="60">
        <v>1967</v>
      </c>
      <c r="G1118" s="60" t="s">
        <v>4026</v>
      </c>
      <c r="H1118" s="65">
        <v>550</v>
      </c>
      <c r="I1118" s="65" t="s">
        <v>4022</v>
      </c>
      <c r="J1118" s="60" t="s">
        <v>4023</v>
      </c>
      <c r="K1118" s="60">
        <v>42.016227999999998</v>
      </c>
      <c r="L1118">
        <v>21.466049999999999</v>
      </c>
    </row>
    <row r="1119" spans="1:12" hidden="1" x14ac:dyDescent="0.35">
      <c r="A1119" s="60" t="s">
        <v>5797</v>
      </c>
      <c r="B1119" s="60" t="s">
        <v>5798</v>
      </c>
      <c r="C1119" s="60" t="s">
        <v>1545</v>
      </c>
      <c r="D1119" s="60" t="s">
        <v>416</v>
      </c>
      <c r="E1119" t="str">
        <f>VLOOKUP(Table10[[#This Row],[Country]],Countries!$A$1:$D$205,2,TRUE)</f>
        <v>NOR</v>
      </c>
      <c r="F1119" s="60">
        <v>1977</v>
      </c>
      <c r="G1119" s="60" t="s">
        <v>4026</v>
      </c>
      <c r="H1119" s="65">
        <v>700</v>
      </c>
      <c r="I1119" s="65" t="s">
        <v>4022</v>
      </c>
      <c r="J1119" s="60" t="s">
        <v>4023</v>
      </c>
      <c r="K1119" s="60">
        <v>66.311519000000004</v>
      </c>
      <c r="L1119">
        <v>14.167557</v>
      </c>
    </row>
    <row r="1120" spans="1:12" hidden="1" x14ac:dyDescent="0.35">
      <c r="A1120" s="60" t="s">
        <v>5799</v>
      </c>
      <c r="B1120" s="60" t="s">
        <v>5800</v>
      </c>
      <c r="C1120" s="60" t="s">
        <v>5801</v>
      </c>
      <c r="D1120" s="60" t="s">
        <v>5802</v>
      </c>
      <c r="E1120" t="str">
        <f>VLOOKUP(Table10[[#This Row],[Country]],Countries!$A$1:$D$205,2,TRUE)</f>
        <v>OMN</v>
      </c>
      <c r="F1120" s="60">
        <v>1954</v>
      </c>
      <c r="G1120" s="60" t="s">
        <v>4048</v>
      </c>
      <c r="H1120" s="65">
        <v>2600</v>
      </c>
      <c r="I1120" s="65">
        <v>1310</v>
      </c>
      <c r="J1120" s="60" t="s">
        <v>4049</v>
      </c>
      <c r="K1120" s="60">
        <v>50.083849000000001</v>
      </c>
      <c r="L1120">
        <v>20.096305999999998</v>
      </c>
    </row>
    <row r="1121" spans="1:12" hidden="1" x14ac:dyDescent="0.35">
      <c r="A1121" s="60" t="s">
        <v>5803</v>
      </c>
      <c r="B1121" s="60" t="s">
        <v>5804</v>
      </c>
      <c r="C1121" s="60" t="s">
        <v>5805</v>
      </c>
      <c r="D1121" s="60" t="s">
        <v>5802</v>
      </c>
      <c r="E1121" t="str">
        <f>VLOOKUP(Table10[[#This Row],[Country]],Countries!$A$1:$D$205,2,TRUE)</f>
        <v>OMN</v>
      </c>
      <c r="F1121" s="60">
        <v>1957</v>
      </c>
      <c r="G1121" s="60" t="s">
        <v>4026</v>
      </c>
      <c r="H1121" s="65">
        <v>750</v>
      </c>
      <c r="I1121" s="65" t="s">
        <v>4022</v>
      </c>
      <c r="J1121" s="60" t="s">
        <v>4023</v>
      </c>
      <c r="K1121" s="60">
        <v>52.291336999999999</v>
      </c>
      <c r="L1121">
        <v>20.917301999999999</v>
      </c>
    </row>
    <row r="1122" spans="1:12" hidden="1" x14ac:dyDescent="0.35">
      <c r="A1122" s="60" t="s">
        <v>5806</v>
      </c>
      <c r="B1122" s="60" t="s">
        <v>5807</v>
      </c>
      <c r="C1122" s="60" t="s">
        <v>5808</v>
      </c>
      <c r="D1122" s="60" t="s">
        <v>5802</v>
      </c>
      <c r="E1122" t="str">
        <f>VLOOKUP(Table10[[#This Row],[Country]],Countries!$A$1:$D$205,2,TRUE)</f>
        <v>OMN</v>
      </c>
      <c r="F1122" s="60">
        <v>1902</v>
      </c>
      <c r="G1122" s="60" t="s">
        <v>4026</v>
      </c>
      <c r="H1122" s="65">
        <v>840</v>
      </c>
      <c r="I1122" s="65" t="s">
        <v>4022</v>
      </c>
      <c r="J1122" s="60" t="s">
        <v>4023</v>
      </c>
      <c r="K1122" s="60">
        <v>50.782614000000002</v>
      </c>
      <c r="L1122">
        <v>19.165565999999998</v>
      </c>
    </row>
    <row r="1123" spans="1:12" hidden="1" x14ac:dyDescent="0.35">
      <c r="A1123" s="60" t="s">
        <v>5809</v>
      </c>
      <c r="B1123" s="60" t="s">
        <v>5810</v>
      </c>
      <c r="C1123" s="60" t="s">
        <v>5808</v>
      </c>
      <c r="D1123" s="60" t="s">
        <v>5802</v>
      </c>
      <c r="E1123" t="str">
        <f>VLOOKUP(Table10[[#This Row],[Country]],Countries!$A$1:$D$205,2,TRUE)</f>
        <v>OMN</v>
      </c>
      <c r="F1123" s="60" t="s">
        <v>4036</v>
      </c>
      <c r="G1123" s="60" t="s">
        <v>4026</v>
      </c>
      <c r="H1123" s="65">
        <v>5000</v>
      </c>
      <c r="I1123" s="65">
        <v>4500</v>
      </c>
      <c r="J1123" s="60" t="s">
        <v>4049</v>
      </c>
      <c r="K1123" s="60">
        <v>50.342416999999998</v>
      </c>
      <c r="L1123">
        <v>19.285036999999999</v>
      </c>
    </row>
    <row r="1124" spans="1:12" hidden="1" x14ac:dyDescent="0.35">
      <c r="A1124" s="60" t="s">
        <v>5811</v>
      </c>
      <c r="B1124" s="60" t="s">
        <v>5812</v>
      </c>
      <c r="C1124" s="60" t="s">
        <v>5808</v>
      </c>
      <c r="D1124" s="60" t="s">
        <v>5802</v>
      </c>
      <c r="E1124" t="str">
        <f>VLOOKUP(Table10[[#This Row],[Country]],Countries!$A$1:$D$205,2,TRUE)</f>
        <v>OMN</v>
      </c>
      <c r="F1124" s="60">
        <v>2027</v>
      </c>
      <c r="G1124" s="60" t="s">
        <v>4037</v>
      </c>
      <c r="H1124" s="65">
        <v>1000</v>
      </c>
      <c r="I1124" s="65" t="s">
        <v>4022</v>
      </c>
      <c r="J1124" s="60" t="s">
        <v>4023</v>
      </c>
      <c r="K1124" s="60">
        <v>50.289858000000002</v>
      </c>
      <c r="L1124">
        <v>18.874414000000002</v>
      </c>
    </row>
    <row r="1125" spans="1:12" hidden="1" x14ac:dyDescent="0.35">
      <c r="A1125" s="60" t="s">
        <v>5813</v>
      </c>
      <c r="B1125" s="60" t="s">
        <v>5814</v>
      </c>
      <c r="C1125" s="60" t="s">
        <v>5808</v>
      </c>
      <c r="D1125" s="60" t="s">
        <v>5802</v>
      </c>
      <c r="E1125" t="str">
        <f>VLOOKUP(Table10[[#This Row],[Country]],Countries!$A$1:$D$205,2,TRUE)</f>
        <v>OMN</v>
      </c>
      <c r="F1125" s="60">
        <v>1901</v>
      </c>
      <c r="G1125" s="60" t="s">
        <v>4026</v>
      </c>
      <c r="H1125" s="65">
        <v>1700</v>
      </c>
      <c r="I1125" s="65" t="s">
        <v>4022</v>
      </c>
      <c r="J1125" s="60" t="s">
        <v>4023</v>
      </c>
      <c r="K1125" s="60">
        <v>50.487462999999998</v>
      </c>
      <c r="L1125">
        <v>19.456759000000002</v>
      </c>
    </row>
    <row r="1126" spans="1:12" hidden="1" x14ac:dyDescent="0.35">
      <c r="A1126" s="60" t="s">
        <v>5815</v>
      </c>
      <c r="B1126" s="60" t="s">
        <v>5816</v>
      </c>
      <c r="C1126" s="60" t="s">
        <v>5817</v>
      </c>
      <c r="D1126" s="60" t="s">
        <v>5802</v>
      </c>
      <c r="E1126" t="str">
        <f>VLOOKUP(Table10[[#This Row],[Country]],Countries!$A$1:$D$205,2,TRUE)</f>
        <v>OMN</v>
      </c>
      <c r="F1126" s="60">
        <v>1993</v>
      </c>
      <c r="G1126" s="60" t="s">
        <v>4026</v>
      </c>
      <c r="H1126" s="65">
        <v>500</v>
      </c>
      <c r="I1126" s="65" t="s">
        <v>4022</v>
      </c>
      <c r="J1126" s="60" t="s">
        <v>4023</v>
      </c>
      <c r="K1126" s="60">
        <v>50.357438000000002</v>
      </c>
      <c r="L1126">
        <v>18.610738999999999</v>
      </c>
    </row>
    <row r="1127" spans="1:12" hidden="1" x14ac:dyDescent="0.35">
      <c r="A1127" s="60" t="s">
        <v>5818</v>
      </c>
      <c r="B1127" s="60" t="s">
        <v>5819</v>
      </c>
      <c r="C1127" s="60" t="s">
        <v>5820</v>
      </c>
      <c r="D1127" s="60" t="s">
        <v>5802</v>
      </c>
      <c r="E1127" t="str">
        <f>VLOOKUP(Table10[[#This Row],[Country]],Countries!$A$1:$D$205,2,TRUE)</f>
        <v>OMN</v>
      </c>
      <c r="F1127" s="60">
        <v>1813</v>
      </c>
      <c r="G1127" s="60" t="s">
        <v>4026</v>
      </c>
      <c r="H1127" s="65">
        <v>900</v>
      </c>
      <c r="I1127" s="65" t="s">
        <v>4022</v>
      </c>
      <c r="J1127" s="60" t="s">
        <v>4023</v>
      </c>
      <c r="K1127" s="60">
        <v>50.947305</v>
      </c>
      <c r="L1127">
        <v>21.448763</v>
      </c>
    </row>
    <row r="1128" spans="1:12" hidden="1" x14ac:dyDescent="0.35">
      <c r="A1128" s="60" t="s">
        <v>5821</v>
      </c>
      <c r="B1128" s="60" t="s">
        <v>5822</v>
      </c>
      <c r="C1128" s="60" t="s">
        <v>3570</v>
      </c>
      <c r="D1128" s="60" t="s">
        <v>5823</v>
      </c>
      <c r="E1128" t="str">
        <f>VLOOKUP(Table10[[#This Row],[Country]],Countries!$A$1:$D$205,2,TRUE)</f>
        <v>OMN</v>
      </c>
      <c r="F1128" s="60">
        <v>1974</v>
      </c>
      <c r="G1128" s="60" t="s">
        <v>4026</v>
      </c>
      <c r="H1128" s="65">
        <v>600</v>
      </c>
      <c r="I1128" s="65" t="s">
        <v>4022</v>
      </c>
      <c r="J1128" s="60" t="s">
        <v>4023</v>
      </c>
      <c r="K1128" s="60">
        <v>41.255085000000001</v>
      </c>
      <c r="L1128">
        <v>-8.5552849999999996</v>
      </c>
    </row>
    <row r="1129" spans="1:12" hidden="1" x14ac:dyDescent="0.35">
      <c r="A1129" s="60" t="s">
        <v>5824</v>
      </c>
      <c r="B1129" s="60" t="s">
        <v>5825</v>
      </c>
      <c r="C1129" s="60" t="s">
        <v>5826</v>
      </c>
      <c r="D1129" s="60" t="s">
        <v>5823</v>
      </c>
      <c r="E1129" t="str">
        <f>VLOOKUP(Table10[[#This Row],[Country]],Countries!$A$1:$D$205,2,TRUE)</f>
        <v>OMN</v>
      </c>
      <c r="F1129" s="60">
        <v>1961</v>
      </c>
      <c r="G1129" s="60" t="s">
        <v>4026</v>
      </c>
      <c r="H1129" s="65">
        <v>1100</v>
      </c>
      <c r="I1129" s="65" t="s">
        <v>4022</v>
      </c>
      <c r="J1129" s="60" t="s">
        <v>4023</v>
      </c>
      <c r="K1129" s="60">
        <v>38.616022999999998</v>
      </c>
      <c r="L1129">
        <v>-9.0685269999999996</v>
      </c>
    </row>
    <row r="1130" spans="1:12" hidden="1" x14ac:dyDescent="0.35">
      <c r="A1130" s="60" t="s">
        <v>5827</v>
      </c>
      <c r="B1130" s="60" t="s">
        <v>5828</v>
      </c>
      <c r="C1130" s="60" t="s">
        <v>5829</v>
      </c>
      <c r="D1130" s="60" t="s">
        <v>5830</v>
      </c>
      <c r="E1130" t="str">
        <f>VLOOKUP(Table10[[#This Row],[Country]],Countries!$A$1:$D$205,2,TRUE)</f>
        <v>QAT</v>
      </c>
      <c r="F1130" s="60">
        <v>1796</v>
      </c>
      <c r="G1130" s="60" t="s">
        <v>4026</v>
      </c>
      <c r="H1130" s="65">
        <v>850</v>
      </c>
      <c r="I1130" s="65" t="s">
        <v>4022</v>
      </c>
      <c r="J1130" s="60" t="s">
        <v>4023</v>
      </c>
      <c r="K1130" s="60">
        <v>45.512948999999999</v>
      </c>
      <c r="L1130">
        <v>22.339896</v>
      </c>
    </row>
    <row r="1131" spans="1:12" hidden="1" x14ac:dyDescent="0.35">
      <c r="A1131" s="60" t="s">
        <v>5831</v>
      </c>
      <c r="B1131" s="60" t="s">
        <v>5832</v>
      </c>
      <c r="C1131" s="60" t="s">
        <v>5829</v>
      </c>
      <c r="D1131" s="60" t="s">
        <v>5830</v>
      </c>
      <c r="E1131" t="str">
        <f>VLOOKUP(Table10[[#This Row],[Country]],Countries!$A$1:$D$205,2,TRUE)</f>
        <v>QAT</v>
      </c>
      <c r="F1131" s="60">
        <v>1771</v>
      </c>
      <c r="G1131" s="60" t="s">
        <v>4026</v>
      </c>
      <c r="H1131" s="65">
        <v>500</v>
      </c>
      <c r="I1131" s="65" t="s">
        <v>4022</v>
      </c>
      <c r="J1131" s="60" t="s">
        <v>4023</v>
      </c>
      <c r="K1131" s="60">
        <v>45.293492000000001</v>
      </c>
      <c r="L1131">
        <v>21.90241</v>
      </c>
    </row>
    <row r="1132" spans="1:12" hidden="1" x14ac:dyDescent="0.35">
      <c r="A1132" s="60" t="s">
        <v>5833</v>
      </c>
      <c r="B1132" s="60" t="s">
        <v>5834</v>
      </c>
      <c r="C1132" s="60" t="s">
        <v>5835</v>
      </c>
      <c r="D1132" s="60" t="s">
        <v>5830</v>
      </c>
      <c r="E1132" t="str">
        <f>VLOOKUP(Table10[[#This Row],[Country]],Countries!$A$1:$D$205,2,TRUE)</f>
        <v>QAT</v>
      </c>
      <c r="F1132" s="60">
        <v>2025</v>
      </c>
      <c r="G1132" s="60" t="s">
        <v>4037</v>
      </c>
      <c r="H1132" s="65">
        <v>3000</v>
      </c>
      <c r="I1132" s="65" t="s">
        <v>4022</v>
      </c>
      <c r="J1132" s="60" t="s">
        <v>4023</v>
      </c>
      <c r="K1132" s="60">
        <v>45.434119000000003</v>
      </c>
      <c r="L1132">
        <v>27.976244000000001</v>
      </c>
    </row>
    <row r="1133" spans="1:12" hidden="1" x14ac:dyDescent="0.35">
      <c r="A1133" s="60" t="s">
        <v>5836</v>
      </c>
      <c r="B1133" s="60" t="s">
        <v>5834</v>
      </c>
      <c r="C1133" s="60" t="s">
        <v>5835</v>
      </c>
      <c r="D1133" s="60" t="s">
        <v>5830</v>
      </c>
      <c r="E1133" t="str">
        <f>VLOOKUP(Table10[[#This Row],[Country]],Countries!$A$1:$D$205,2,TRUE)</f>
        <v>QAT</v>
      </c>
      <c r="F1133" s="60" t="s">
        <v>4022</v>
      </c>
      <c r="G1133" s="60" t="s">
        <v>4048</v>
      </c>
      <c r="H1133" s="65">
        <v>3200</v>
      </c>
      <c r="I1133" s="65">
        <v>3000</v>
      </c>
      <c r="J1133" s="60" t="s">
        <v>4049</v>
      </c>
      <c r="K1133" s="60">
        <v>45.434119000000003</v>
      </c>
      <c r="L1133">
        <v>27.976244000000001</v>
      </c>
    </row>
    <row r="1134" spans="1:12" hidden="1" x14ac:dyDescent="0.35">
      <c r="A1134" s="60" t="s">
        <v>5837</v>
      </c>
      <c r="B1134" s="60" t="s">
        <v>5834</v>
      </c>
      <c r="C1134" s="60" t="s">
        <v>5835</v>
      </c>
      <c r="D1134" s="60" t="s">
        <v>5830</v>
      </c>
      <c r="E1134" t="str">
        <f>VLOOKUP(Table10[[#This Row],[Country]],Countries!$A$1:$D$205,2,TRUE)</f>
        <v>QAT</v>
      </c>
      <c r="F1134" s="60">
        <v>1968</v>
      </c>
      <c r="G1134" s="60" t="s">
        <v>4026</v>
      </c>
      <c r="H1134" s="65">
        <v>3200</v>
      </c>
      <c r="I1134" s="65">
        <v>3000</v>
      </c>
      <c r="J1134" s="60" t="s">
        <v>4049</v>
      </c>
      <c r="K1134" s="60">
        <v>45.434119000000003</v>
      </c>
      <c r="L1134">
        <v>27.976244000000001</v>
      </c>
    </row>
    <row r="1135" spans="1:12" hidden="1" x14ac:dyDescent="0.35">
      <c r="A1135" s="60" t="s">
        <v>5838</v>
      </c>
      <c r="B1135" s="60" t="s">
        <v>5834</v>
      </c>
      <c r="C1135" s="60" t="s">
        <v>5835</v>
      </c>
      <c r="D1135" s="60" t="s">
        <v>5830</v>
      </c>
      <c r="E1135" t="str">
        <f>VLOOKUP(Table10[[#This Row],[Country]],Countries!$A$1:$D$205,2,TRUE)</f>
        <v>QAT</v>
      </c>
      <c r="F1135" s="60">
        <v>2025</v>
      </c>
      <c r="G1135" s="60" t="s">
        <v>4037</v>
      </c>
      <c r="H1135" s="65">
        <v>1100</v>
      </c>
      <c r="I1135" s="65">
        <v>2500</v>
      </c>
      <c r="J1135" s="60" t="s">
        <v>4034</v>
      </c>
      <c r="K1135" s="60">
        <v>45.434119000000003</v>
      </c>
      <c r="L1135">
        <v>27.976244000000001</v>
      </c>
    </row>
    <row r="1136" spans="1:12" hidden="1" x14ac:dyDescent="0.35">
      <c r="A1136" s="60" t="s">
        <v>5839</v>
      </c>
      <c r="B1136" s="60" t="s">
        <v>5840</v>
      </c>
      <c r="C1136" s="60" t="s">
        <v>5840</v>
      </c>
      <c r="D1136" s="60" t="s">
        <v>5830</v>
      </c>
      <c r="E1136" t="str">
        <f>VLOOKUP(Table10[[#This Row],[Country]],Countries!$A$1:$D$205,2,TRUE)</f>
        <v>QAT</v>
      </c>
      <c r="F1136" s="60">
        <v>1884</v>
      </c>
      <c r="G1136" s="60" t="s">
        <v>4026</v>
      </c>
      <c r="H1136" s="65">
        <v>800</v>
      </c>
      <c r="I1136" s="65" t="s">
        <v>4022</v>
      </c>
      <c r="J1136" s="60" t="s">
        <v>4023</v>
      </c>
      <c r="K1136" s="60">
        <v>45.735182999999999</v>
      </c>
      <c r="L1136">
        <v>22.916270000000001</v>
      </c>
    </row>
    <row r="1137" spans="1:12" hidden="1" x14ac:dyDescent="0.35">
      <c r="A1137" s="60" t="s">
        <v>5841</v>
      </c>
      <c r="B1137" s="60" t="s">
        <v>5842</v>
      </c>
      <c r="C1137" s="60" t="s">
        <v>5843</v>
      </c>
      <c r="D1137" s="60" t="s">
        <v>5844</v>
      </c>
      <c r="E1137" t="str">
        <f>VLOOKUP(Table10[[#This Row],[Country]],Countries!$A$1:$D$205,2,TRUE)</f>
        <v>SEN</v>
      </c>
      <c r="F1137" s="60">
        <v>1964</v>
      </c>
      <c r="G1137" s="60" t="s">
        <v>4026</v>
      </c>
      <c r="H1137" s="65">
        <v>2200</v>
      </c>
      <c r="I1137" s="65">
        <v>1900</v>
      </c>
      <c r="J1137" s="60" t="s">
        <v>4049</v>
      </c>
      <c r="K1137" s="60">
        <v>44.606332000000002</v>
      </c>
      <c r="L1137">
        <v>20.970065999999999</v>
      </c>
    </row>
    <row r="1138" spans="1:12" hidden="1" x14ac:dyDescent="0.35">
      <c r="A1138" s="60" t="s">
        <v>5845</v>
      </c>
      <c r="B1138" s="60" t="s">
        <v>5846</v>
      </c>
      <c r="C1138" s="60" t="s">
        <v>5847</v>
      </c>
      <c r="D1138" s="60" t="s">
        <v>5844</v>
      </c>
      <c r="E1138" t="str">
        <f>VLOOKUP(Table10[[#This Row],[Country]],Countries!$A$1:$D$205,2,TRUE)</f>
        <v>SEN</v>
      </c>
      <c r="F1138" s="60">
        <v>2008</v>
      </c>
      <c r="G1138" s="60" t="s">
        <v>4026</v>
      </c>
      <c r="H1138" s="65">
        <v>500</v>
      </c>
      <c r="I1138" s="65" t="s">
        <v>4022</v>
      </c>
      <c r="J1138" s="60" t="s">
        <v>4023</v>
      </c>
      <c r="K1138" s="60">
        <v>44.977212999999999</v>
      </c>
      <c r="L1138">
        <v>19.64601</v>
      </c>
    </row>
    <row r="1139" spans="1:12" hidden="1" x14ac:dyDescent="0.35">
      <c r="A1139" s="60" t="s">
        <v>5848</v>
      </c>
      <c r="B1139" s="60" t="s">
        <v>5849</v>
      </c>
      <c r="C1139" s="60" t="s">
        <v>5850</v>
      </c>
      <c r="D1139" s="60" t="s">
        <v>5851</v>
      </c>
      <c r="E1139" t="str">
        <f>VLOOKUP(Table10[[#This Row],[Country]],Countries!$A$1:$D$205,2,TRUE)</f>
        <v>SGP</v>
      </c>
      <c r="F1139" s="60">
        <v>1965</v>
      </c>
      <c r="G1139" s="60" t="s">
        <v>4026</v>
      </c>
      <c r="H1139" s="65">
        <v>4500</v>
      </c>
      <c r="I1139" s="65">
        <v>5000</v>
      </c>
      <c r="J1139" s="60" t="s">
        <v>4049</v>
      </c>
      <c r="K1139" s="60">
        <v>48.612000999999999</v>
      </c>
      <c r="L1139">
        <v>21.191400999999999</v>
      </c>
    </row>
    <row r="1140" spans="1:12" hidden="1" x14ac:dyDescent="0.35">
      <c r="A1140" s="60" t="s">
        <v>5852</v>
      </c>
      <c r="B1140" s="60" t="s">
        <v>5853</v>
      </c>
      <c r="C1140" s="60" t="s">
        <v>5854</v>
      </c>
      <c r="D1140" s="60" t="s">
        <v>5851</v>
      </c>
      <c r="E1140" t="str">
        <f>VLOOKUP(Table10[[#This Row],[Country]],Countries!$A$1:$D$205,2,TRUE)</f>
        <v>SGP</v>
      </c>
      <c r="F1140" s="60">
        <v>2011</v>
      </c>
      <c r="G1140" s="60" t="s">
        <v>4107</v>
      </c>
      <c r="H1140" s="65">
        <v>620</v>
      </c>
      <c r="I1140" s="65" t="s">
        <v>4022</v>
      </c>
      <c r="J1140" s="60" t="s">
        <v>4023</v>
      </c>
      <c r="K1140" s="60">
        <v>48.886028000000003</v>
      </c>
      <c r="L1140">
        <v>21.82705</v>
      </c>
    </row>
    <row r="1141" spans="1:12" hidden="1" x14ac:dyDescent="0.35">
      <c r="A1141" s="60" t="s">
        <v>5855</v>
      </c>
      <c r="B1141" s="60" t="s">
        <v>5856</v>
      </c>
      <c r="C1141" s="60" t="s">
        <v>5857</v>
      </c>
      <c r="D1141" s="60" t="s">
        <v>5858</v>
      </c>
      <c r="E1141" t="str">
        <f>VLOOKUP(Table10[[#This Row],[Country]],Countries!$A$1:$D$205,2,TRUE)</f>
        <v>SGP</v>
      </c>
      <c r="F1141" s="60">
        <v>1960</v>
      </c>
      <c r="G1141" s="60" t="s">
        <v>4026</v>
      </c>
      <c r="H1141" s="65">
        <v>726</v>
      </c>
      <c r="I1141" s="65" t="s">
        <v>4022</v>
      </c>
      <c r="J1141" s="60" t="s">
        <v>4023</v>
      </c>
      <c r="K1141" s="60">
        <v>46.423994</v>
      </c>
      <c r="L1141">
        <v>14.094645</v>
      </c>
    </row>
    <row r="1142" spans="1:12" hidden="1" x14ac:dyDescent="0.35">
      <c r="A1142" s="60" t="s">
        <v>5859</v>
      </c>
      <c r="B1142" s="60" t="s">
        <v>5860</v>
      </c>
      <c r="C1142" s="60" t="s">
        <v>1973</v>
      </c>
      <c r="D1142" s="60" t="s">
        <v>5861</v>
      </c>
      <c r="E1142" t="str">
        <f>VLOOKUP(Table10[[#This Row],[Country]],Countries!$A$1:$D$205,2,TRUE)</f>
        <v>KOR</v>
      </c>
      <c r="F1142" s="60" t="s">
        <v>4036</v>
      </c>
      <c r="G1142" s="60" t="s">
        <v>4026</v>
      </c>
      <c r="H1142" s="65">
        <v>4200</v>
      </c>
      <c r="I1142" s="65" t="s">
        <v>4022</v>
      </c>
      <c r="J1142" s="60" t="s">
        <v>4163</v>
      </c>
      <c r="K1142" s="60">
        <v>43.554741</v>
      </c>
      <c r="L1142">
        <v>-5.8725899999999998</v>
      </c>
    </row>
    <row r="1143" spans="1:12" hidden="1" x14ac:dyDescent="0.35">
      <c r="A1143" s="60" t="s">
        <v>5862</v>
      </c>
      <c r="B1143" s="60" t="s">
        <v>5863</v>
      </c>
      <c r="C1143" s="60" t="s">
        <v>1973</v>
      </c>
      <c r="D1143" s="60" t="s">
        <v>5861</v>
      </c>
      <c r="E1143" t="str">
        <f>VLOOKUP(Table10[[#This Row],[Country]],Countries!$A$1:$D$205,2,TRUE)</f>
        <v>KOR</v>
      </c>
      <c r="F1143" s="60" t="s">
        <v>4036</v>
      </c>
      <c r="G1143" s="60" t="s">
        <v>4026</v>
      </c>
      <c r="H1143" s="65">
        <v>1200</v>
      </c>
      <c r="I1143" s="65">
        <v>4200</v>
      </c>
      <c r="J1143" s="60" t="s">
        <v>4049</v>
      </c>
      <c r="K1143" s="60">
        <v>43.525092000000001</v>
      </c>
      <c r="L1143">
        <v>-5.7319259999999996</v>
      </c>
    </row>
    <row r="1144" spans="1:12" hidden="1" x14ac:dyDescent="0.35">
      <c r="A1144" s="60" t="s">
        <v>5864</v>
      </c>
      <c r="B1144" s="60" t="s">
        <v>5863</v>
      </c>
      <c r="C1144" s="60" t="s">
        <v>1973</v>
      </c>
      <c r="D1144" s="60" t="s">
        <v>5861</v>
      </c>
      <c r="E1144" t="str">
        <f>VLOOKUP(Table10[[#This Row],[Country]],Countries!$A$1:$D$205,2,TRUE)</f>
        <v>KOR</v>
      </c>
      <c r="F1144" s="60">
        <v>2025</v>
      </c>
      <c r="G1144" s="60" t="s">
        <v>4037</v>
      </c>
      <c r="H1144" s="65">
        <v>1100</v>
      </c>
      <c r="I1144" s="65">
        <v>2300</v>
      </c>
      <c r="J1144" s="60" t="s">
        <v>4034</v>
      </c>
      <c r="K1144" s="60">
        <v>43.525092000000001</v>
      </c>
      <c r="L1144">
        <v>-5.7319259999999996</v>
      </c>
    </row>
    <row r="1145" spans="1:12" hidden="1" x14ac:dyDescent="0.35">
      <c r="A1145" s="60" t="s">
        <v>5865</v>
      </c>
      <c r="B1145" s="60" t="s">
        <v>5866</v>
      </c>
      <c r="C1145" s="60" t="s">
        <v>5867</v>
      </c>
      <c r="D1145" s="60" t="s">
        <v>5861</v>
      </c>
      <c r="E1145" t="str">
        <f>VLOOKUP(Table10[[#This Row],[Country]],Countries!$A$1:$D$205,2,TRUE)</f>
        <v>KOR</v>
      </c>
      <c r="F1145" s="60">
        <v>1992</v>
      </c>
      <c r="G1145" s="60" t="s">
        <v>4026</v>
      </c>
      <c r="H1145" s="65">
        <v>1300</v>
      </c>
      <c r="I1145" s="65" t="s">
        <v>4022</v>
      </c>
      <c r="J1145" s="60" t="s">
        <v>4023</v>
      </c>
      <c r="K1145" s="60">
        <v>38.326405000000001</v>
      </c>
      <c r="L1145">
        <v>-6.7673259999999997</v>
      </c>
    </row>
    <row r="1146" spans="1:12" hidden="1" x14ac:dyDescent="0.35">
      <c r="A1146" s="60" t="s">
        <v>5868</v>
      </c>
      <c r="B1146" s="60" t="s">
        <v>5869</v>
      </c>
      <c r="C1146" s="60" t="s">
        <v>5870</v>
      </c>
      <c r="D1146" s="60" t="s">
        <v>5861</v>
      </c>
      <c r="E1146" t="str">
        <f>VLOOKUP(Table10[[#This Row],[Country]],Countries!$A$1:$D$205,2,TRUE)</f>
        <v>KOR</v>
      </c>
      <c r="F1146" s="60">
        <v>1957</v>
      </c>
      <c r="G1146" s="60" t="s">
        <v>4026</v>
      </c>
      <c r="H1146" s="65">
        <v>2500</v>
      </c>
      <c r="I1146" s="65" t="s">
        <v>4022</v>
      </c>
      <c r="J1146" s="60" t="s">
        <v>4023</v>
      </c>
      <c r="K1146" s="60">
        <v>41.454855000000002</v>
      </c>
      <c r="L1146">
        <v>1.9801070000000001</v>
      </c>
    </row>
    <row r="1147" spans="1:12" hidden="1" x14ac:dyDescent="0.35">
      <c r="A1147" s="60" t="s">
        <v>5871</v>
      </c>
      <c r="B1147" s="60" t="s">
        <v>5872</v>
      </c>
      <c r="C1147" s="60" t="s">
        <v>5873</v>
      </c>
      <c r="D1147" s="60" t="s">
        <v>5861</v>
      </c>
      <c r="E1147" t="str">
        <f>VLOOKUP(Table10[[#This Row],[Country]],Countries!$A$1:$D$205,2,TRUE)</f>
        <v>KOR</v>
      </c>
      <c r="F1147" s="60" t="s">
        <v>4036</v>
      </c>
      <c r="G1147" s="60" t="s">
        <v>4026</v>
      </c>
      <c r="H1147" s="65">
        <v>2000</v>
      </c>
      <c r="I1147" s="65" t="s">
        <v>4022</v>
      </c>
      <c r="J1147" s="60" t="s">
        <v>4023</v>
      </c>
      <c r="K1147" s="60">
        <v>43.313144000000001</v>
      </c>
      <c r="L1147">
        <v>-2.998964</v>
      </c>
    </row>
    <row r="1148" spans="1:12" hidden="1" x14ac:dyDescent="0.35">
      <c r="A1148" s="60" t="s">
        <v>5874</v>
      </c>
      <c r="B1148" s="60" t="s">
        <v>5875</v>
      </c>
      <c r="C1148" s="60" t="s">
        <v>5876</v>
      </c>
      <c r="D1148" s="60" t="s">
        <v>5861</v>
      </c>
      <c r="E1148" t="str">
        <f>VLOOKUP(Table10[[#This Row],[Country]],Countries!$A$1:$D$205,2,TRUE)</f>
        <v>KOR</v>
      </c>
      <c r="F1148" s="60" t="s">
        <v>4036</v>
      </c>
      <c r="G1148" s="60" t="s">
        <v>4026</v>
      </c>
      <c r="H1148" s="65">
        <v>1200</v>
      </c>
      <c r="I1148" s="65" t="s">
        <v>4022</v>
      </c>
      <c r="J1148" s="60" t="s">
        <v>4023</v>
      </c>
      <c r="K1148" s="60">
        <v>36.181685999999999</v>
      </c>
      <c r="L1148">
        <v>-5.4266259999999997</v>
      </c>
    </row>
    <row r="1149" spans="1:12" hidden="1" x14ac:dyDescent="0.35">
      <c r="A1149" s="60" t="s">
        <v>5877</v>
      </c>
      <c r="B1149" s="60" t="s">
        <v>3236</v>
      </c>
      <c r="C1149" s="60" t="s">
        <v>5878</v>
      </c>
      <c r="D1149" s="60" t="s">
        <v>5861</v>
      </c>
      <c r="E1149" t="str">
        <f>VLOOKUP(Table10[[#This Row],[Country]],Countries!$A$1:$D$205,2,TRUE)</f>
        <v>KOR</v>
      </c>
      <c r="F1149" s="60">
        <v>1987</v>
      </c>
      <c r="G1149" s="60" t="s">
        <v>4026</v>
      </c>
      <c r="H1149" s="65">
        <v>750</v>
      </c>
      <c r="I1149" s="65" t="s">
        <v>4022</v>
      </c>
      <c r="J1149" s="60" t="s">
        <v>4023</v>
      </c>
      <c r="K1149" s="60">
        <v>43.445343999999999</v>
      </c>
      <c r="L1149">
        <v>-3.8392279999999999</v>
      </c>
    </row>
    <row r="1150" spans="1:12" hidden="1" x14ac:dyDescent="0.35">
      <c r="A1150" s="60" t="s">
        <v>5879</v>
      </c>
      <c r="B1150" s="60" t="s">
        <v>1591</v>
      </c>
      <c r="C1150" s="60" t="s">
        <v>5880</v>
      </c>
      <c r="D1150" s="60" t="s">
        <v>5861</v>
      </c>
      <c r="E1150" t="str">
        <f>VLOOKUP(Table10[[#This Row],[Country]],Countries!$A$1:$D$205,2,TRUE)</f>
        <v>KOR</v>
      </c>
      <c r="F1150" s="60">
        <v>2026</v>
      </c>
      <c r="G1150" s="60" t="s">
        <v>4037</v>
      </c>
      <c r="H1150" s="65">
        <v>600</v>
      </c>
      <c r="I1150" s="65" t="s">
        <v>4036</v>
      </c>
      <c r="J1150" s="60" t="s">
        <v>4023</v>
      </c>
      <c r="K1150" s="60">
        <v>38.688848999999998</v>
      </c>
      <c r="L1150">
        <v>-4.1070149999999996</v>
      </c>
    </row>
    <row r="1151" spans="1:12" hidden="1" x14ac:dyDescent="0.35">
      <c r="A1151" s="60" t="s">
        <v>5881</v>
      </c>
      <c r="B1151" s="60" t="s">
        <v>5882</v>
      </c>
      <c r="C1151" s="60" t="s">
        <v>5883</v>
      </c>
      <c r="D1151" s="60" t="s">
        <v>5861</v>
      </c>
      <c r="E1151" t="str">
        <f>VLOOKUP(Table10[[#This Row],[Country]],Countries!$A$1:$D$205,2,TRUE)</f>
        <v>KOR</v>
      </c>
      <c r="F1151" s="60">
        <v>2013</v>
      </c>
      <c r="G1151" s="60" t="s">
        <v>4048</v>
      </c>
      <c r="H1151" s="65">
        <v>800</v>
      </c>
      <c r="I1151" s="65" t="s">
        <v>4022</v>
      </c>
      <c r="J1151" s="60" t="s">
        <v>4023</v>
      </c>
      <c r="K1151" s="60">
        <v>43.179124999999999</v>
      </c>
      <c r="L1151">
        <v>-2.2559390000000001</v>
      </c>
    </row>
    <row r="1152" spans="1:12" hidden="1" x14ac:dyDescent="0.35">
      <c r="A1152" s="60" t="s">
        <v>5859</v>
      </c>
      <c r="B1152" s="60" t="s">
        <v>5884</v>
      </c>
      <c r="C1152" s="60" t="s">
        <v>5883</v>
      </c>
      <c r="D1152" s="60" t="s">
        <v>5861</v>
      </c>
      <c r="E1152" t="str">
        <f>VLOOKUP(Table10[[#This Row],[Country]],Countries!$A$1:$D$205,2,TRUE)</f>
        <v>KOR</v>
      </c>
      <c r="F1152" s="60">
        <v>1992</v>
      </c>
      <c r="G1152" s="60" t="s">
        <v>4026</v>
      </c>
      <c r="H1152" s="65">
        <v>1450</v>
      </c>
      <c r="I1152" s="65" t="s">
        <v>4022</v>
      </c>
      <c r="J1152" s="60" t="s">
        <v>4023</v>
      </c>
      <c r="K1152" s="60">
        <v>43.038290000000003</v>
      </c>
      <c r="L1152">
        <v>-2.2196250000000002</v>
      </c>
    </row>
    <row r="1153" spans="1:12" hidden="1" x14ac:dyDescent="0.35">
      <c r="A1153" s="60" t="s">
        <v>5885</v>
      </c>
      <c r="B1153" s="60" t="s">
        <v>5886</v>
      </c>
      <c r="C1153" s="60" t="s">
        <v>5887</v>
      </c>
      <c r="D1153" s="60" t="s">
        <v>5861</v>
      </c>
      <c r="E1153" t="str">
        <f>VLOOKUP(Table10[[#This Row],[Country]],Countries!$A$1:$D$205,2,TRUE)</f>
        <v>KOR</v>
      </c>
      <c r="F1153" s="60">
        <v>1953</v>
      </c>
      <c r="G1153" s="60" t="s">
        <v>4026</v>
      </c>
      <c r="H1153" s="65">
        <v>700</v>
      </c>
      <c r="I1153" s="65" t="s">
        <v>4022</v>
      </c>
      <c r="J1153" s="60" t="s">
        <v>4023</v>
      </c>
      <c r="K1153" s="60">
        <v>43.514209999999999</v>
      </c>
      <c r="L1153">
        <v>-8.1638389999999994</v>
      </c>
    </row>
    <row r="1154" spans="1:12" hidden="1" x14ac:dyDescent="0.35">
      <c r="A1154" s="60" t="s">
        <v>5888</v>
      </c>
      <c r="B1154" s="60" t="s">
        <v>5889</v>
      </c>
      <c r="C1154" s="60" t="s">
        <v>5890</v>
      </c>
      <c r="D1154" s="60" t="s">
        <v>5861</v>
      </c>
      <c r="E1154" t="str">
        <f>VLOOKUP(Table10[[#This Row],[Country]],Countries!$A$1:$D$205,2,TRUE)</f>
        <v>KOR</v>
      </c>
      <c r="F1154" s="60">
        <f>2023-75</f>
        <v>1948</v>
      </c>
      <c r="G1154" s="60" t="s">
        <v>4026</v>
      </c>
      <c r="H1154" s="65">
        <v>600</v>
      </c>
      <c r="I1154" s="65" t="s">
        <v>4022</v>
      </c>
      <c r="J1154" s="60" t="s">
        <v>4023</v>
      </c>
      <c r="K1154" s="60">
        <v>40.310803</v>
      </c>
      <c r="L1154">
        <v>-3.7035680000000002</v>
      </c>
    </row>
    <row r="1155" spans="1:12" hidden="1" x14ac:dyDescent="0.35">
      <c r="A1155" s="60" t="s">
        <v>5891</v>
      </c>
      <c r="B1155" s="60" t="s">
        <v>3703</v>
      </c>
      <c r="C1155" s="60" t="s">
        <v>5892</v>
      </c>
      <c r="D1155" s="60" t="s">
        <v>5861</v>
      </c>
      <c r="E1155" t="str">
        <f>VLOOKUP(Table10[[#This Row],[Country]],Countries!$A$1:$D$205,2,TRUE)</f>
        <v>KOR</v>
      </c>
      <c r="F1155" s="60">
        <v>1988</v>
      </c>
      <c r="G1155" s="60" t="s">
        <v>4026</v>
      </c>
      <c r="H1155" s="65">
        <v>1000</v>
      </c>
      <c r="I1155" s="65" t="s">
        <v>4022</v>
      </c>
      <c r="J1155" s="60" t="s">
        <v>4023</v>
      </c>
      <c r="K1155" s="60">
        <v>43.308059999999998</v>
      </c>
      <c r="L1155">
        <v>-3.0263089999999999</v>
      </c>
    </row>
    <row r="1156" spans="1:12" hidden="1" x14ac:dyDescent="0.35">
      <c r="A1156" s="60" t="s">
        <v>5893</v>
      </c>
      <c r="B1156" s="60" t="s">
        <v>5894</v>
      </c>
      <c r="C1156" s="60" t="s">
        <v>5895</v>
      </c>
      <c r="D1156" s="60" t="s">
        <v>5861</v>
      </c>
      <c r="E1156" t="str">
        <f>VLOOKUP(Table10[[#This Row],[Country]],Countries!$A$1:$D$205,2,TRUE)</f>
        <v>KOR</v>
      </c>
      <c r="F1156" s="60">
        <v>1954</v>
      </c>
      <c r="G1156" s="60" t="s">
        <v>4026</v>
      </c>
      <c r="H1156" s="65">
        <v>1300</v>
      </c>
      <c r="I1156" s="65" t="s">
        <v>4022</v>
      </c>
      <c r="J1156" s="60" t="s">
        <v>4023</v>
      </c>
      <c r="K1156" s="60">
        <v>37.362968000000002</v>
      </c>
      <c r="L1156">
        <v>-5.8868650000000002</v>
      </c>
    </row>
    <row r="1157" spans="1:12" hidden="1" x14ac:dyDescent="0.35">
      <c r="A1157" s="60" t="s">
        <v>5896</v>
      </c>
      <c r="B1157" s="60" t="s">
        <v>5897</v>
      </c>
      <c r="C1157" s="60" t="s">
        <v>3703</v>
      </c>
      <c r="D1157" s="60" t="s">
        <v>5861</v>
      </c>
      <c r="E1157" t="str">
        <f>VLOOKUP(Table10[[#This Row],[Country]],Countries!$A$1:$D$205,2,TRUE)</f>
        <v>KOR</v>
      </c>
      <c r="F1157" s="60" t="s">
        <v>4036</v>
      </c>
      <c r="G1157" s="60" t="s">
        <v>4026</v>
      </c>
      <c r="H1157" s="65">
        <v>740</v>
      </c>
      <c r="I1157" s="65" t="s">
        <v>4022</v>
      </c>
      <c r="J1157" s="60" t="s">
        <v>4023</v>
      </c>
      <c r="K1157" s="60">
        <v>43.227282000000002</v>
      </c>
      <c r="L1157">
        <v>-2.8846759999999998</v>
      </c>
    </row>
    <row r="1158" spans="1:12" hidden="1" x14ac:dyDescent="0.35">
      <c r="A1158" s="60" t="s">
        <v>5898</v>
      </c>
      <c r="B1158" s="60" t="s">
        <v>1951</v>
      </c>
      <c r="C1158" s="60" t="s">
        <v>1951</v>
      </c>
      <c r="D1158" s="60" t="s">
        <v>5861</v>
      </c>
      <c r="E1158" t="str">
        <f>VLOOKUP(Table10[[#This Row],[Country]],Countries!$A$1:$D$205,2,TRUE)</f>
        <v>KOR</v>
      </c>
      <c r="F1158" s="60">
        <v>1958</v>
      </c>
      <c r="G1158" s="60" t="s">
        <v>4026</v>
      </c>
      <c r="H1158" s="65">
        <v>500</v>
      </c>
      <c r="I1158" s="65" t="s">
        <v>4022</v>
      </c>
      <c r="J1158" s="60" t="s">
        <v>4023</v>
      </c>
      <c r="K1158" s="60">
        <v>41.569879999999998</v>
      </c>
      <c r="L1158">
        <v>-0.85656600000000005</v>
      </c>
    </row>
    <row r="1159" spans="1:12" hidden="1" x14ac:dyDescent="0.35">
      <c r="A1159" s="60" t="s">
        <v>5899</v>
      </c>
      <c r="B1159" s="60" t="s">
        <v>5900</v>
      </c>
      <c r="C1159" s="60" t="s">
        <v>5901</v>
      </c>
      <c r="D1159" s="60" t="s">
        <v>5902</v>
      </c>
      <c r="E1159" t="str">
        <f>VLOOKUP(Table10[[#This Row],[Country]],Countries!$A$1:$D$205,2,TRUE)</f>
        <v>SDN</v>
      </c>
      <c r="F1159" s="60">
        <v>1930</v>
      </c>
      <c r="G1159" s="60" t="s">
        <v>4026</v>
      </c>
      <c r="H1159" s="65">
        <v>500</v>
      </c>
      <c r="I1159" s="65" t="s">
        <v>4022</v>
      </c>
      <c r="J1159" s="60" t="s">
        <v>4023</v>
      </c>
      <c r="K1159" s="60">
        <v>60.148820999999998</v>
      </c>
      <c r="L1159">
        <v>16.172808</v>
      </c>
    </row>
    <row r="1160" spans="1:12" hidden="1" x14ac:dyDescent="0.35">
      <c r="A1160" s="60" t="s">
        <v>5903</v>
      </c>
      <c r="B1160" s="60" t="s">
        <v>5904</v>
      </c>
      <c r="C1160" s="60" t="s">
        <v>5901</v>
      </c>
      <c r="D1160" s="60" t="s">
        <v>5902</v>
      </c>
      <c r="E1160" t="str">
        <f>VLOOKUP(Table10[[#This Row],[Country]],Countries!$A$1:$D$205,2,TRUE)</f>
        <v>SDN</v>
      </c>
      <c r="F1160" s="60">
        <v>1968</v>
      </c>
      <c r="G1160" s="60" t="s">
        <v>4026</v>
      </c>
      <c r="H1160" s="65">
        <v>1010</v>
      </c>
      <c r="I1160" s="65" t="s">
        <v>4022</v>
      </c>
      <c r="J1160" s="60" t="s">
        <v>4023</v>
      </c>
      <c r="K1160" s="60">
        <v>60.13552</v>
      </c>
      <c r="L1160">
        <v>15.414372</v>
      </c>
    </row>
    <row r="1161" spans="1:12" hidden="1" x14ac:dyDescent="0.35">
      <c r="A1161" s="60" t="s">
        <v>5905</v>
      </c>
      <c r="B1161" s="60" t="s">
        <v>1630</v>
      </c>
      <c r="C1161" s="60" t="s">
        <v>5906</v>
      </c>
      <c r="D1161" s="60" t="s">
        <v>5902</v>
      </c>
      <c r="E1161" t="str">
        <f>VLOOKUP(Table10[[#This Row],[Country]],Countries!$A$1:$D$205,2,TRUE)</f>
        <v>SDN</v>
      </c>
      <c r="F1161" s="60">
        <v>1916</v>
      </c>
      <c r="G1161" s="60" t="s">
        <v>4026</v>
      </c>
      <c r="H1161" s="65">
        <v>500</v>
      </c>
      <c r="I1161" s="65" t="s">
        <v>4022</v>
      </c>
      <c r="J1161" s="60" t="s">
        <v>4023</v>
      </c>
      <c r="K1161" s="60">
        <v>60.548681999999999</v>
      </c>
      <c r="L1161">
        <v>16.302814999999999</v>
      </c>
    </row>
    <row r="1162" spans="1:12" hidden="1" x14ac:dyDescent="0.35">
      <c r="A1162" s="60" t="s">
        <v>5907</v>
      </c>
      <c r="B1162" s="60" t="s">
        <v>5908</v>
      </c>
      <c r="C1162" s="60" t="s">
        <v>5909</v>
      </c>
      <c r="D1162" s="60" t="s">
        <v>5902</v>
      </c>
      <c r="E1162" t="str">
        <f>VLOOKUP(Table10[[#This Row],[Country]],Countries!$A$1:$D$205,2,TRUE)</f>
        <v>SDN</v>
      </c>
      <c r="F1162" s="60">
        <v>2025</v>
      </c>
      <c r="G1162" s="60" t="s">
        <v>4021</v>
      </c>
      <c r="H1162" s="65">
        <v>2500</v>
      </c>
      <c r="I1162" s="65">
        <v>2100</v>
      </c>
      <c r="J1162" s="60" t="s">
        <v>4034</v>
      </c>
      <c r="K1162" s="60">
        <v>65.805389000000005</v>
      </c>
      <c r="L1162">
        <v>21.759139999999999</v>
      </c>
    </row>
    <row r="1163" spans="1:12" hidden="1" x14ac:dyDescent="0.35">
      <c r="A1163" s="60" t="s">
        <v>5910</v>
      </c>
      <c r="B1163" s="60" t="s">
        <v>5908</v>
      </c>
      <c r="C1163" s="60" t="s">
        <v>5909</v>
      </c>
      <c r="D1163" s="60" t="s">
        <v>5902</v>
      </c>
      <c r="E1163" t="str">
        <f>VLOOKUP(Table10[[#This Row],[Country]],Countries!$A$1:$D$205,2,TRUE)</f>
        <v>SDN</v>
      </c>
      <c r="F1163" s="60">
        <v>2030</v>
      </c>
      <c r="G1163" s="60" t="s">
        <v>4037</v>
      </c>
      <c r="H1163" s="65">
        <v>2500</v>
      </c>
      <c r="I1163" s="65">
        <v>2100</v>
      </c>
      <c r="J1163" s="60" t="s">
        <v>4034</v>
      </c>
      <c r="K1163" s="60">
        <v>65.805389000000005</v>
      </c>
      <c r="L1163">
        <v>21.759139999999999</v>
      </c>
    </row>
    <row r="1164" spans="1:12" hidden="1" x14ac:dyDescent="0.35">
      <c r="A1164" s="60" t="s">
        <v>5911</v>
      </c>
      <c r="B1164" s="60" t="s">
        <v>1618</v>
      </c>
      <c r="C1164" s="60" t="s">
        <v>5909</v>
      </c>
      <c r="D1164" s="60" t="s">
        <v>5902</v>
      </c>
      <c r="E1164" t="str">
        <f>VLOOKUP(Table10[[#This Row],[Country]],Countries!$A$1:$D$205,2,TRUE)</f>
        <v>SDN</v>
      </c>
      <c r="F1164" s="60">
        <v>2026</v>
      </c>
      <c r="G1164" s="60" t="s">
        <v>4037</v>
      </c>
      <c r="H1164" s="65" t="s">
        <v>4022</v>
      </c>
      <c r="I1164" s="65">
        <v>1300</v>
      </c>
      <c r="J1164" s="60" t="s">
        <v>4030</v>
      </c>
      <c r="K1164" s="60">
        <v>67.137986999999995</v>
      </c>
      <c r="L1164">
        <v>20.658517</v>
      </c>
    </row>
    <row r="1165" spans="1:12" hidden="1" x14ac:dyDescent="0.35">
      <c r="A1165" s="60" t="s">
        <v>5912</v>
      </c>
      <c r="B1165" s="60" t="s">
        <v>1618</v>
      </c>
      <c r="C1165" s="60" t="s">
        <v>5909</v>
      </c>
      <c r="D1165" s="60" t="s">
        <v>5902</v>
      </c>
      <c r="E1165" t="str">
        <f>VLOOKUP(Table10[[#This Row],[Country]],Countries!$A$1:$D$205,2,TRUE)</f>
        <v>SDN</v>
      </c>
      <c r="F1165" s="60">
        <v>2030</v>
      </c>
      <c r="G1165" s="60" t="s">
        <v>4037</v>
      </c>
      <c r="H1165" s="65">
        <v>2700</v>
      </c>
      <c r="I1165" s="65" t="s">
        <v>4022</v>
      </c>
      <c r="J1165" s="60" t="s">
        <v>4034</v>
      </c>
      <c r="K1165" s="60">
        <v>67.137986999999995</v>
      </c>
      <c r="L1165">
        <v>20.658517</v>
      </c>
    </row>
    <row r="1166" spans="1:12" hidden="1" x14ac:dyDescent="0.35">
      <c r="A1166" s="60" t="s">
        <v>5913</v>
      </c>
      <c r="B1166" s="60" t="s">
        <v>1623</v>
      </c>
      <c r="C1166" s="60" t="s">
        <v>5909</v>
      </c>
      <c r="D1166" s="60" t="s">
        <v>5902</v>
      </c>
      <c r="E1166" t="str">
        <f>VLOOKUP(Table10[[#This Row],[Country]],Countries!$A$1:$D$205,2,TRUE)</f>
        <v>SDN</v>
      </c>
      <c r="F1166" s="60">
        <v>1941</v>
      </c>
      <c r="G1166" s="60" t="s">
        <v>4026</v>
      </c>
      <c r="H1166" s="65">
        <v>2300</v>
      </c>
      <c r="I1166" s="65">
        <v>2555</v>
      </c>
      <c r="J1166" s="60" t="s">
        <v>4049</v>
      </c>
      <c r="K1166" s="60">
        <v>65.559719000000001</v>
      </c>
      <c r="L1166">
        <v>22.219698999999999</v>
      </c>
    </row>
    <row r="1167" spans="1:12" hidden="1" x14ac:dyDescent="0.35">
      <c r="A1167" s="60" t="s">
        <v>5914</v>
      </c>
      <c r="B1167" s="60" t="s">
        <v>1623</v>
      </c>
      <c r="C1167" s="60" t="s">
        <v>5909</v>
      </c>
      <c r="D1167" s="60" t="s">
        <v>5902</v>
      </c>
      <c r="E1167" t="str">
        <f>VLOOKUP(Table10[[#This Row],[Country]],Countries!$A$1:$D$205,2,TRUE)</f>
        <v>SDN</v>
      </c>
      <c r="F1167" s="60">
        <v>2021</v>
      </c>
      <c r="G1167" s="60" t="s">
        <v>4026</v>
      </c>
      <c r="H1167" s="65">
        <v>1000</v>
      </c>
      <c r="I1167" s="65">
        <v>1300</v>
      </c>
      <c r="J1167" s="60" t="s">
        <v>4023</v>
      </c>
      <c r="K1167" s="60">
        <v>65.555531000000002</v>
      </c>
      <c r="L1167">
        <v>22.203334000000002</v>
      </c>
    </row>
    <row r="1168" spans="1:12" hidden="1" x14ac:dyDescent="0.35">
      <c r="A1168" s="60" t="s">
        <v>5915</v>
      </c>
      <c r="B1168" s="60" t="s">
        <v>2304</v>
      </c>
      <c r="C1168" s="60" t="s">
        <v>5916</v>
      </c>
      <c r="D1168" s="60" t="s">
        <v>5902</v>
      </c>
      <c r="E1168" t="str">
        <f>VLOOKUP(Table10[[#This Row],[Country]],Countries!$A$1:$D$205,2,TRUE)</f>
        <v>SDN</v>
      </c>
      <c r="F1168" s="60">
        <v>1913</v>
      </c>
      <c r="G1168" s="60" t="s">
        <v>4026</v>
      </c>
      <c r="H1168" s="65">
        <v>1500</v>
      </c>
      <c r="I1168" s="65">
        <v>1550</v>
      </c>
      <c r="J1168" s="60" t="s">
        <v>4049</v>
      </c>
      <c r="K1168" s="60">
        <v>58.670788999999999</v>
      </c>
      <c r="L1168">
        <v>17.127786</v>
      </c>
    </row>
    <row r="1169" spans="1:12" hidden="1" x14ac:dyDescent="0.35">
      <c r="A1169" s="63" t="s">
        <v>5917</v>
      </c>
      <c r="B1169" s="60" t="s">
        <v>2304</v>
      </c>
      <c r="C1169" s="60" t="s">
        <v>5916</v>
      </c>
      <c r="D1169" s="60" t="s">
        <v>5902</v>
      </c>
      <c r="E1169" t="str">
        <f>VLOOKUP(Table10[[#This Row],[Country]],Countries!$A$1:$D$205,2,TRUE)</f>
        <v>SDN</v>
      </c>
      <c r="F1169" s="60">
        <v>2025</v>
      </c>
      <c r="G1169" s="60" t="s">
        <v>4037</v>
      </c>
      <c r="H1169" s="65">
        <v>1500</v>
      </c>
      <c r="I1169" s="65" t="s">
        <v>4036</v>
      </c>
      <c r="J1169" s="60" t="s">
        <v>4023</v>
      </c>
      <c r="K1169" s="60">
        <v>58.670788999999999</v>
      </c>
      <c r="L1169">
        <v>17.127786</v>
      </c>
    </row>
    <row r="1170" spans="1:12" hidden="1" x14ac:dyDescent="0.35">
      <c r="A1170" s="63" t="s">
        <v>5918</v>
      </c>
      <c r="B1170" s="60" t="s">
        <v>2304</v>
      </c>
      <c r="C1170" s="60" t="s">
        <v>5916</v>
      </c>
      <c r="D1170" s="60" t="s">
        <v>5902</v>
      </c>
      <c r="E1170" t="str">
        <f>VLOOKUP(Table10[[#This Row],[Country]],Countries!$A$1:$D$205,2,TRUE)</f>
        <v>SDN</v>
      </c>
      <c r="F1170" s="60" t="s">
        <v>4036</v>
      </c>
      <c r="G1170" s="60" t="s">
        <v>4048</v>
      </c>
      <c r="H1170" s="65">
        <v>1500</v>
      </c>
      <c r="I1170" s="65">
        <v>1550</v>
      </c>
      <c r="J1170" s="60" t="s">
        <v>4049</v>
      </c>
      <c r="K1170" s="60">
        <v>58.670788999999999</v>
      </c>
      <c r="L1170">
        <v>17.127786</v>
      </c>
    </row>
    <row r="1171" spans="1:12" hidden="1" x14ac:dyDescent="0.35">
      <c r="A1171" s="60" t="s">
        <v>5919</v>
      </c>
      <c r="B1171" s="60" t="s">
        <v>5920</v>
      </c>
      <c r="C1171" s="60" t="s">
        <v>5921</v>
      </c>
      <c r="D1171" s="60" t="s">
        <v>437</v>
      </c>
      <c r="E1171" t="str">
        <f>VLOOKUP(Table10[[#This Row],[Country]],Countries!$A$1:$D$205,2,TRUE)</f>
        <v>CHE</v>
      </c>
      <c r="F1171" s="60">
        <v>1918</v>
      </c>
      <c r="G1171" s="60" t="s">
        <v>4026</v>
      </c>
      <c r="H1171" s="65">
        <v>687</v>
      </c>
      <c r="I1171" s="65" t="s">
        <v>4022</v>
      </c>
      <c r="J1171" s="60" t="s">
        <v>4023</v>
      </c>
      <c r="K1171" s="60">
        <v>47.171957999999997</v>
      </c>
      <c r="L1171">
        <v>7.5622870000000004</v>
      </c>
    </row>
    <row r="1172" spans="1:12" hidden="1" x14ac:dyDescent="0.35">
      <c r="A1172" s="60" t="s">
        <v>5922</v>
      </c>
      <c r="B1172" s="60" t="s">
        <v>5923</v>
      </c>
      <c r="C1172" s="60" t="s">
        <v>5924</v>
      </c>
      <c r="D1172" s="60" t="s">
        <v>5925</v>
      </c>
      <c r="E1172" t="str">
        <f>VLOOKUP(Table10[[#This Row],[Country]],Countries!$A$1:$D$205,2,TRUE)</f>
        <v>TUN</v>
      </c>
      <c r="F1172" s="60">
        <v>1989</v>
      </c>
      <c r="G1172" s="60" t="s">
        <v>4026</v>
      </c>
      <c r="H1172" s="65">
        <v>860</v>
      </c>
      <c r="I1172" s="65" t="s">
        <v>4022</v>
      </c>
      <c r="J1172" s="60" t="s">
        <v>4023</v>
      </c>
      <c r="K1172" s="60">
        <v>38.740740000000002</v>
      </c>
      <c r="L1172">
        <v>26.951743</v>
      </c>
    </row>
    <row r="1173" spans="1:12" hidden="1" x14ac:dyDescent="0.35">
      <c r="A1173" s="60" t="s">
        <v>5926</v>
      </c>
      <c r="B1173" s="60" t="s">
        <v>5927</v>
      </c>
      <c r="C1173" s="60" t="s">
        <v>5927</v>
      </c>
      <c r="D1173" s="60" t="s">
        <v>5925</v>
      </c>
      <c r="E1173" t="str">
        <f>VLOOKUP(Table10[[#This Row],[Country]],Countries!$A$1:$D$205,2,TRUE)</f>
        <v>TUN</v>
      </c>
      <c r="F1173" s="60">
        <v>2020</v>
      </c>
      <c r="G1173" s="60" t="s">
        <v>4026</v>
      </c>
      <c r="H1173" s="65">
        <v>1000</v>
      </c>
      <c r="I1173" s="65" t="s">
        <v>4022</v>
      </c>
      <c r="J1173" s="60" t="s">
        <v>4023</v>
      </c>
      <c r="K1173" s="60">
        <v>41.565931999999997</v>
      </c>
      <c r="L1173">
        <v>32.427757999999997</v>
      </c>
    </row>
    <row r="1174" spans="1:12" hidden="1" x14ac:dyDescent="0.35">
      <c r="A1174" s="60" t="s">
        <v>5928</v>
      </c>
      <c r="B1174" s="60" t="s">
        <v>5929</v>
      </c>
      <c r="C1174" s="60" t="s">
        <v>5930</v>
      </c>
      <c r="D1174" s="60" t="s">
        <v>5925</v>
      </c>
      <c r="E1174" t="str">
        <f>VLOOKUP(Table10[[#This Row],[Country]],Countries!$A$1:$D$205,2,TRUE)</f>
        <v>TUN</v>
      </c>
      <c r="F1174" s="60">
        <v>1979</v>
      </c>
      <c r="G1174" s="60" t="s">
        <v>4026</v>
      </c>
      <c r="H1174" s="65">
        <v>550</v>
      </c>
      <c r="I1174" s="65" t="s">
        <v>4022</v>
      </c>
      <c r="J1174" s="60" t="s">
        <v>4023</v>
      </c>
      <c r="K1174" s="60">
        <v>40.427520000000001</v>
      </c>
      <c r="L1174">
        <v>29.270140999999999</v>
      </c>
    </row>
    <row r="1175" spans="1:12" hidden="1" x14ac:dyDescent="0.35">
      <c r="A1175" s="60" t="s">
        <v>5931</v>
      </c>
      <c r="B1175" s="60" t="s">
        <v>5929</v>
      </c>
      <c r="C1175" s="60" t="s">
        <v>5930</v>
      </c>
      <c r="D1175" s="60" t="s">
        <v>5925</v>
      </c>
      <c r="E1175" t="str">
        <f>VLOOKUP(Table10[[#This Row],[Country]],Countries!$A$1:$D$205,2,TRUE)</f>
        <v>TUN</v>
      </c>
      <c r="F1175" s="60">
        <v>2022</v>
      </c>
      <c r="G1175" s="60" t="s">
        <v>4026</v>
      </c>
      <c r="H1175" s="65">
        <v>180</v>
      </c>
      <c r="I1175" s="65" t="s">
        <v>4022</v>
      </c>
      <c r="J1175" s="60" t="s">
        <v>4023</v>
      </c>
      <c r="K1175" s="60">
        <v>40.427520000000001</v>
      </c>
      <c r="L1175">
        <v>29.270140999999999</v>
      </c>
    </row>
    <row r="1176" spans="1:12" hidden="1" x14ac:dyDescent="0.35">
      <c r="A1176" s="60" t="s">
        <v>5932</v>
      </c>
      <c r="B1176" s="60" t="s">
        <v>5933</v>
      </c>
      <c r="C1176" s="60" t="s">
        <v>5934</v>
      </c>
      <c r="D1176" s="60" t="s">
        <v>5925</v>
      </c>
      <c r="E1176" t="str">
        <f>VLOOKUP(Table10[[#This Row],[Country]],Countries!$A$1:$D$205,2,TRUE)</f>
        <v>TUN</v>
      </c>
      <c r="F1176" s="60">
        <v>1970</v>
      </c>
      <c r="G1176" s="60" t="s">
        <v>4026</v>
      </c>
      <c r="H1176" s="65">
        <v>2500</v>
      </c>
      <c r="I1176" s="65" t="s">
        <v>4022</v>
      </c>
      <c r="J1176" s="60" t="s">
        <v>4023</v>
      </c>
      <c r="K1176" s="60">
        <v>40.441490999999999</v>
      </c>
      <c r="L1176">
        <v>27.137563</v>
      </c>
    </row>
    <row r="1177" spans="1:12" hidden="1" x14ac:dyDescent="0.35">
      <c r="A1177" s="60" t="s">
        <v>5935</v>
      </c>
      <c r="B1177" s="60" t="s">
        <v>5933</v>
      </c>
      <c r="C1177" s="60" t="s">
        <v>5934</v>
      </c>
      <c r="D1177" s="60" t="s">
        <v>5925</v>
      </c>
      <c r="E1177" t="str">
        <f>VLOOKUP(Table10[[#This Row],[Country]],Countries!$A$1:$D$205,2,TRUE)</f>
        <v>TUN</v>
      </c>
      <c r="F1177" s="60">
        <v>2024</v>
      </c>
      <c r="G1177" s="60" t="s">
        <v>4037</v>
      </c>
      <c r="H1177" s="65">
        <v>2500</v>
      </c>
      <c r="I1177" s="65" t="s">
        <v>4022</v>
      </c>
      <c r="J1177" s="60" t="s">
        <v>4023</v>
      </c>
      <c r="K1177" s="60">
        <v>40.441490999999999</v>
      </c>
      <c r="L1177">
        <v>27.137563</v>
      </c>
    </row>
    <row r="1178" spans="1:12" hidden="1" x14ac:dyDescent="0.35">
      <c r="A1178" s="60" t="s">
        <v>5936</v>
      </c>
      <c r="B1178" s="60" t="s">
        <v>5937</v>
      </c>
      <c r="C1178" s="60" t="s">
        <v>5938</v>
      </c>
      <c r="D1178" s="60" t="s">
        <v>5925</v>
      </c>
      <c r="E1178" t="str">
        <f>VLOOKUP(Table10[[#This Row],[Country]],Countries!$A$1:$D$205,2,TRUE)</f>
        <v>TUN</v>
      </c>
      <c r="F1178" s="60">
        <v>1983</v>
      </c>
      <c r="G1178" s="60" t="s">
        <v>4026</v>
      </c>
      <c r="H1178" s="65">
        <v>1250</v>
      </c>
      <c r="I1178" s="65" t="s">
        <v>4022</v>
      </c>
      <c r="J1178" s="60" t="s">
        <v>4023</v>
      </c>
      <c r="K1178" s="60">
        <v>36.690114999999999</v>
      </c>
      <c r="L1178">
        <v>36.205739000000001</v>
      </c>
    </row>
    <row r="1179" spans="1:12" hidden="1" x14ac:dyDescent="0.35">
      <c r="A1179" s="60" t="s">
        <v>5939</v>
      </c>
      <c r="B1179" s="60" t="s">
        <v>5937</v>
      </c>
      <c r="C1179" s="60" t="s">
        <v>5938</v>
      </c>
      <c r="D1179" s="60" t="s">
        <v>5925</v>
      </c>
      <c r="E1179" t="str">
        <f>VLOOKUP(Table10[[#This Row],[Country]],Countries!$A$1:$D$205,2,TRUE)</f>
        <v>TUN</v>
      </c>
      <c r="F1179" s="60">
        <v>2023</v>
      </c>
      <c r="G1179" s="60" t="s">
        <v>4021</v>
      </c>
      <c r="H1179" s="65">
        <v>4000</v>
      </c>
      <c r="I1179" s="65" t="s">
        <v>4022</v>
      </c>
      <c r="J1179" s="60" t="s">
        <v>4023</v>
      </c>
      <c r="K1179" s="60">
        <v>36.687942999999997</v>
      </c>
      <c r="L1179">
        <v>36.214871000000002</v>
      </c>
    </row>
    <row r="1180" spans="1:12" hidden="1" x14ac:dyDescent="0.35">
      <c r="A1180" s="60" t="s">
        <v>5940</v>
      </c>
      <c r="B1180" s="60" t="s">
        <v>5937</v>
      </c>
      <c r="C1180" s="60" t="s">
        <v>5938</v>
      </c>
      <c r="D1180" s="60" t="s">
        <v>5925</v>
      </c>
      <c r="E1180" t="str">
        <f>VLOOKUP(Table10[[#This Row],[Country]],Countries!$A$1:$D$205,2,TRUE)</f>
        <v>TUN</v>
      </c>
      <c r="F1180" s="60">
        <v>1994</v>
      </c>
      <c r="G1180" s="60" t="s">
        <v>4026</v>
      </c>
      <c r="H1180" s="65">
        <v>1000</v>
      </c>
      <c r="I1180" s="65" t="s">
        <v>4022</v>
      </c>
      <c r="J1180" s="60" t="s">
        <v>4023</v>
      </c>
      <c r="K1180" s="60">
        <v>36.685932000000001</v>
      </c>
      <c r="L1180">
        <v>36.206274999999998</v>
      </c>
    </row>
    <row r="1181" spans="1:12" hidden="1" x14ac:dyDescent="0.35">
      <c r="A1181" s="60" t="s">
        <v>5941</v>
      </c>
      <c r="B1181" s="60" t="s">
        <v>5942</v>
      </c>
      <c r="C1181" s="60" t="s">
        <v>5938</v>
      </c>
      <c r="D1181" s="60" t="s">
        <v>5925</v>
      </c>
      <c r="E1181" t="str">
        <f>VLOOKUP(Table10[[#This Row],[Country]],Countries!$A$1:$D$205,2,TRUE)</f>
        <v>TUN</v>
      </c>
      <c r="F1181" s="60">
        <v>1977</v>
      </c>
      <c r="G1181" s="60" t="s">
        <v>4026</v>
      </c>
      <c r="H1181" s="65">
        <v>5800</v>
      </c>
      <c r="I1181" s="65">
        <v>8100</v>
      </c>
      <c r="J1181" s="60" t="s">
        <v>4049</v>
      </c>
      <c r="K1181" s="60">
        <v>36.735672000000001</v>
      </c>
      <c r="L1181">
        <v>36.204580999999997</v>
      </c>
    </row>
    <row r="1182" spans="1:12" hidden="1" x14ac:dyDescent="0.35">
      <c r="A1182" s="60" t="s">
        <v>5943</v>
      </c>
      <c r="B1182" s="60" t="s">
        <v>5942</v>
      </c>
      <c r="C1182" s="60" t="s">
        <v>5938</v>
      </c>
      <c r="D1182" s="60" t="s">
        <v>5925</v>
      </c>
      <c r="E1182" t="str">
        <f>VLOOKUP(Table10[[#This Row],[Country]],Countries!$A$1:$D$205,2,TRUE)</f>
        <v>TUN</v>
      </c>
      <c r="F1182" s="60">
        <v>2011</v>
      </c>
      <c r="G1182" s="60" t="s">
        <v>4026</v>
      </c>
      <c r="H1182" s="65">
        <v>2500</v>
      </c>
      <c r="I1182" s="65" t="s">
        <v>4022</v>
      </c>
      <c r="J1182" s="60" t="s">
        <v>4023</v>
      </c>
      <c r="K1182" s="60">
        <v>36.768974999999998</v>
      </c>
      <c r="L1182">
        <v>36.213842</v>
      </c>
    </row>
    <row r="1183" spans="1:12" hidden="1" x14ac:dyDescent="0.35">
      <c r="A1183" s="60" t="s">
        <v>5944</v>
      </c>
      <c r="B1183" s="60" t="s">
        <v>5942</v>
      </c>
      <c r="C1183" s="60" t="s">
        <v>5938</v>
      </c>
      <c r="D1183" s="60" t="s">
        <v>5925</v>
      </c>
      <c r="E1183" t="str">
        <f>VLOOKUP(Table10[[#This Row],[Country]],Countries!$A$1:$D$205,2,TRUE)</f>
        <v>TUN</v>
      </c>
      <c r="F1183" s="60">
        <v>1983</v>
      </c>
      <c r="G1183" s="60" t="s">
        <v>4026</v>
      </c>
      <c r="H1183" s="65">
        <v>1100</v>
      </c>
      <c r="I1183" s="65">
        <v>1100</v>
      </c>
      <c r="J1183" s="60" t="s">
        <v>4049</v>
      </c>
      <c r="K1183" s="60">
        <v>36.747413000000002</v>
      </c>
      <c r="L1183">
        <v>36.217329999999997</v>
      </c>
    </row>
    <row r="1184" spans="1:12" hidden="1" x14ac:dyDescent="0.35">
      <c r="A1184" s="60" t="s">
        <v>5945</v>
      </c>
      <c r="B1184" s="60" t="s">
        <v>5942</v>
      </c>
      <c r="C1184" s="60" t="s">
        <v>5938</v>
      </c>
      <c r="D1184" s="60" t="s">
        <v>5925</v>
      </c>
      <c r="E1184" t="str">
        <f>VLOOKUP(Table10[[#This Row],[Country]],Countries!$A$1:$D$205,2,TRUE)</f>
        <v>TUN</v>
      </c>
      <c r="F1184" s="60">
        <v>1994</v>
      </c>
      <c r="G1184" s="60" t="s">
        <v>4026</v>
      </c>
      <c r="H1184" s="65" t="s">
        <v>4022</v>
      </c>
      <c r="I1184" s="65">
        <v>500</v>
      </c>
      <c r="J1184" s="60" t="s">
        <v>4111</v>
      </c>
      <c r="K1184" s="60">
        <v>36.747537999999999</v>
      </c>
      <c r="L1184">
        <v>36.217171999999998</v>
      </c>
    </row>
    <row r="1185" spans="1:12" hidden="1" x14ac:dyDescent="0.35">
      <c r="A1185" s="60" t="s">
        <v>5946</v>
      </c>
      <c r="B1185" s="60" t="s">
        <v>5924</v>
      </c>
      <c r="C1185" s="60" t="s">
        <v>5923</v>
      </c>
      <c r="D1185" s="60" t="s">
        <v>5925</v>
      </c>
      <c r="E1185" t="str">
        <f>VLOOKUP(Table10[[#This Row],[Country]],Countries!$A$1:$D$205,2,TRUE)</f>
        <v>TUN</v>
      </c>
      <c r="F1185" s="60">
        <v>2001</v>
      </c>
      <c r="G1185" s="60" t="s">
        <v>4026</v>
      </c>
      <c r="H1185" s="65">
        <v>2000</v>
      </c>
      <c r="I1185" s="65" t="s">
        <v>4022</v>
      </c>
      <c r="J1185" s="60" t="s">
        <v>4023</v>
      </c>
      <c r="K1185" s="60">
        <v>38.728005000000003</v>
      </c>
      <c r="L1185">
        <v>26.940094999999999</v>
      </c>
    </row>
    <row r="1186" spans="1:12" hidden="1" x14ac:dyDescent="0.35">
      <c r="A1186" s="60" t="s">
        <v>5947</v>
      </c>
      <c r="B1186" s="60" t="s">
        <v>5924</v>
      </c>
      <c r="C1186" s="60" t="s">
        <v>5923</v>
      </c>
      <c r="D1186" s="60" t="s">
        <v>5925</v>
      </c>
      <c r="E1186" t="str">
        <f>VLOOKUP(Table10[[#This Row],[Country]],Countries!$A$1:$D$205,2,TRUE)</f>
        <v>TUN</v>
      </c>
      <c r="F1186" s="60">
        <v>1987</v>
      </c>
      <c r="G1186" s="60" t="s">
        <v>4026</v>
      </c>
      <c r="H1186" s="65">
        <v>4500</v>
      </c>
      <c r="I1186" s="65" t="s">
        <v>4022</v>
      </c>
      <c r="J1186" s="60" t="s">
        <v>4023</v>
      </c>
      <c r="K1186" s="60">
        <v>38.751461999999997</v>
      </c>
      <c r="L1186">
        <v>26.950171999999998</v>
      </c>
    </row>
    <row r="1187" spans="1:12" hidden="1" x14ac:dyDescent="0.35">
      <c r="A1187" s="60" t="s">
        <v>5948</v>
      </c>
      <c r="B1187" s="60" t="s">
        <v>5924</v>
      </c>
      <c r="C1187" s="60" t="s">
        <v>5923</v>
      </c>
      <c r="D1187" s="60" t="s">
        <v>5925</v>
      </c>
      <c r="E1187" t="str">
        <f>VLOOKUP(Table10[[#This Row],[Country]],Countries!$A$1:$D$205,2,TRUE)</f>
        <v>TUN</v>
      </c>
      <c r="F1187" s="60">
        <v>1987</v>
      </c>
      <c r="G1187" s="60" t="s">
        <v>4026</v>
      </c>
      <c r="H1187" s="65">
        <v>1400</v>
      </c>
      <c r="I1187" s="65" t="s">
        <v>4022</v>
      </c>
      <c r="J1187" s="60" t="s">
        <v>4023</v>
      </c>
      <c r="K1187" s="60">
        <v>38.739595999999999</v>
      </c>
      <c r="L1187">
        <v>26.929091</v>
      </c>
    </row>
    <row r="1188" spans="1:12" hidden="1" x14ac:dyDescent="0.35">
      <c r="A1188" s="60" t="s">
        <v>5949</v>
      </c>
      <c r="B1188" s="60" t="s">
        <v>5924</v>
      </c>
      <c r="C1188" s="60" t="s">
        <v>5923</v>
      </c>
      <c r="D1188" s="60" t="s">
        <v>5925</v>
      </c>
      <c r="E1188" t="str">
        <f>VLOOKUP(Table10[[#This Row],[Country]],Countries!$A$1:$D$205,2,TRUE)</f>
        <v>TUN</v>
      </c>
      <c r="F1188" s="60">
        <v>2010</v>
      </c>
      <c r="G1188" s="60" t="s">
        <v>4026</v>
      </c>
      <c r="H1188" s="65">
        <v>1200</v>
      </c>
      <c r="I1188" s="65" t="s">
        <v>4022</v>
      </c>
      <c r="J1188" s="60" t="s">
        <v>4023</v>
      </c>
      <c r="K1188" s="60">
        <v>38.737005000000003</v>
      </c>
      <c r="L1188">
        <v>26.950824000000001</v>
      </c>
    </row>
    <row r="1189" spans="1:12" hidden="1" x14ac:dyDescent="0.35">
      <c r="A1189" s="60" t="s">
        <v>5950</v>
      </c>
      <c r="B1189" s="60" t="s">
        <v>5924</v>
      </c>
      <c r="C1189" s="60" t="s">
        <v>5923</v>
      </c>
      <c r="D1189" s="60" t="s">
        <v>5925</v>
      </c>
      <c r="E1189" t="str">
        <f>VLOOKUP(Table10[[#This Row],[Country]],Countries!$A$1:$D$205,2,TRUE)</f>
        <v>TUN</v>
      </c>
      <c r="F1189" s="60">
        <v>2023</v>
      </c>
      <c r="G1189" s="60" t="s">
        <v>4021</v>
      </c>
      <c r="H1189" s="65">
        <v>1400</v>
      </c>
      <c r="I1189" s="65" t="s">
        <v>4022</v>
      </c>
      <c r="J1189" s="60" t="s">
        <v>4023</v>
      </c>
      <c r="K1189" s="60">
        <v>38.739595999999999</v>
      </c>
      <c r="L1189">
        <v>26.929091</v>
      </c>
    </row>
    <row r="1190" spans="1:12" hidden="1" x14ac:dyDescent="0.35">
      <c r="A1190" s="60" t="s">
        <v>5951</v>
      </c>
      <c r="B1190" s="60" t="s">
        <v>5924</v>
      </c>
      <c r="C1190" s="60" t="s">
        <v>5923</v>
      </c>
      <c r="D1190" s="60" t="s">
        <v>5925</v>
      </c>
      <c r="E1190" t="str">
        <f>VLOOKUP(Table10[[#This Row],[Country]],Countries!$A$1:$D$205,2,TRUE)</f>
        <v>TUN</v>
      </c>
      <c r="F1190" s="60">
        <v>2022</v>
      </c>
      <c r="G1190" s="60" t="s">
        <v>4026</v>
      </c>
      <c r="H1190" s="65">
        <v>1250</v>
      </c>
      <c r="I1190" s="65" t="s">
        <v>4022</v>
      </c>
      <c r="J1190" s="60" t="s">
        <v>4023</v>
      </c>
      <c r="K1190" s="60">
        <v>38.743651999999997</v>
      </c>
      <c r="L1190">
        <v>26.964746000000002</v>
      </c>
    </row>
    <row r="1191" spans="1:12" hidden="1" x14ac:dyDescent="0.35">
      <c r="A1191" s="60" t="s">
        <v>5952</v>
      </c>
      <c r="B1191" s="60" t="s">
        <v>5953</v>
      </c>
      <c r="C1191" s="60" t="s">
        <v>5954</v>
      </c>
      <c r="D1191" s="60" t="s">
        <v>5925</v>
      </c>
      <c r="E1191" t="str">
        <f>VLOOKUP(Table10[[#This Row],[Country]],Countries!$A$1:$D$205,2,TRUE)</f>
        <v>TUN</v>
      </c>
      <c r="F1191" s="60">
        <v>1939</v>
      </c>
      <c r="G1191" s="60" t="s">
        <v>4026</v>
      </c>
      <c r="H1191" s="65">
        <v>3500</v>
      </c>
      <c r="I1191" s="65">
        <v>3313</v>
      </c>
      <c r="J1191" s="60" t="s">
        <v>4049</v>
      </c>
      <c r="K1191" s="60">
        <v>41.180306999999999</v>
      </c>
      <c r="L1191">
        <v>32.634343000000001</v>
      </c>
    </row>
    <row r="1192" spans="1:12" hidden="1" x14ac:dyDescent="0.35">
      <c r="A1192" s="60" t="s">
        <v>5955</v>
      </c>
      <c r="B1192" s="60" t="s">
        <v>5956</v>
      </c>
      <c r="C1192" s="60" t="s">
        <v>3763</v>
      </c>
      <c r="D1192" s="60" t="s">
        <v>5925</v>
      </c>
      <c r="E1192" t="str">
        <f>VLOOKUP(Table10[[#This Row],[Country]],Countries!$A$1:$D$205,2,TRUE)</f>
        <v>TUN</v>
      </c>
      <c r="F1192" s="60">
        <v>1969</v>
      </c>
      <c r="G1192" s="60" t="s">
        <v>4026</v>
      </c>
      <c r="H1192" s="65">
        <v>1400</v>
      </c>
      <c r="I1192" s="65" t="s">
        <v>4022</v>
      </c>
      <c r="J1192" s="60" t="s">
        <v>4023</v>
      </c>
      <c r="K1192" s="60">
        <v>40.801101000000003</v>
      </c>
      <c r="L1192">
        <v>29.374115</v>
      </c>
    </row>
    <row r="1193" spans="1:12" hidden="1" x14ac:dyDescent="0.35">
      <c r="A1193" s="60" t="s">
        <v>5957</v>
      </c>
      <c r="B1193" s="60" t="s">
        <v>5958</v>
      </c>
      <c r="C1193" s="60" t="s">
        <v>3763</v>
      </c>
      <c r="D1193" s="60" t="s">
        <v>5925</v>
      </c>
      <c r="E1193" t="str">
        <f>VLOOKUP(Table10[[#This Row],[Country]],Countries!$A$1:$D$205,2,TRUE)</f>
        <v>TUN</v>
      </c>
      <c r="F1193" s="60">
        <v>1969</v>
      </c>
      <c r="G1193" s="60" t="s">
        <v>4026</v>
      </c>
      <c r="H1193" s="65">
        <v>6000</v>
      </c>
      <c r="I1193" s="65" t="s">
        <v>4022</v>
      </c>
      <c r="J1193" s="60" t="s">
        <v>4023</v>
      </c>
      <c r="K1193" s="60">
        <v>40.768408999999998</v>
      </c>
      <c r="L1193">
        <v>29.529979000000001</v>
      </c>
    </row>
    <row r="1194" spans="1:12" hidden="1" x14ac:dyDescent="0.35">
      <c r="A1194" s="60" t="s">
        <v>5959</v>
      </c>
      <c r="B1194" s="60" t="s">
        <v>5958</v>
      </c>
      <c r="C1194" s="60" t="s">
        <v>3763</v>
      </c>
      <c r="D1194" s="60" t="s">
        <v>5925</v>
      </c>
      <c r="E1194" t="str">
        <f>VLOOKUP(Table10[[#This Row],[Country]],Countries!$A$1:$D$205,2,TRUE)</f>
        <v>TUN</v>
      </c>
      <c r="F1194" s="60">
        <v>1984</v>
      </c>
      <c r="G1194" s="60" t="s">
        <v>4026</v>
      </c>
      <c r="H1194" s="65">
        <v>1500</v>
      </c>
      <c r="I1194" s="65" t="s">
        <v>4022</v>
      </c>
      <c r="J1194" s="60" t="s">
        <v>4023</v>
      </c>
      <c r="K1194" s="60">
        <v>40.783161</v>
      </c>
      <c r="L1194">
        <v>29.533567999999999</v>
      </c>
    </row>
    <row r="1195" spans="1:12" hidden="1" x14ac:dyDescent="0.35">
      <c r="A1195" s="60" t="s">
        <v>5960</v>
      </c>
      <c r="B1195" s="60" t="s">
        <v>5958</v>
      </c>
      <c r="C1195" s="60" t="s">
        <v>3763</v>
      </c>
      <c r="D1195" s="60" t="s">
        <v>5925</v>
      </c>
      <c r="E1195" t="str">
        <f>VLOOKUP(Table10[[#This Row],[Country]],Countries!$A$1:$D$205,2,TRUE)</f>
        <v>TUN</v>
      </c>
      <c r="F1195" s="60">
        <v>2017</v>
      </c>
      <c r="G1195" s="60" t="s">
        <v>4026</v>
      </c>
      <c r="H1195" s="65">
        <v>690</v>
      </c>
      <c r="I1195" s="65" t="s">
        <v>4022</v>
      </c>
      <c r="J1195" s="60" t="s">
        <v>4023</v>
      </c>
      <c r="K1195" s="60">
        <v>40.800832999999997</v>
      </c>
      <c r="L1195">
        <v>29.512008000000002</v>
      </c>
    </row>
    <row r="1196" spans="1:12" hidden="1" x14ac:dyDescent="0.35">
      <c r="A1196" s="60" t="s">
        <v>5961</v>
      </c>
      <c r="B1196" s="60" t="s">
        <v>5962</v>
      </c>
      <c r="C1196" s="60" t="s">
        <v>5963</v>
      </c>
      <c r="D1196" s="60" t="s">
        <v>5925</v>
      </c>
      <c r="E1196" t="str">
        <f>VLOOKUP(Table10[[#This Row],[Country]],Countries!$A$1:$D$205,2,TRUE)</f>
        <v>TUN</v>
      </c>
      <c r="F1196" s="60">
        <v>2013</v>
      </c>
      <c r="G1196" s="60" t="s">
        <v>4026</v>
      </c>
      <c r="H1196" s="65">
        <v>1200</v>
      </c>
      <c r="I1196" s="65" t="s">
        <v>4022</v>
      </c>
      <c r="J1196" s="60" t="s">
        <v>4023</v>
      </c>
      <c r="K1196" s="60">
        <v>37.014879999999998</v>
      </c>
      <c r="L1196">
        <v>36.104416000000001</v>
      </c>
    </row>
    <row r="1197" spans="1:12" hidden="1" x14ac:dyDescent="0.35">
      <c r="A1197" s="60" t="s">
        <v>5964</v>
      </c>
      <c r="B1197" s="60" t="s">
        <v>5962</v>
      </c>
      <c r="C1197" s="60" t="s">
        <v>5963</v>
      </c>
      <c r="D1197" s="60" t="s">
        <v>5925</v>
      </c>
      <c r="E1197" t="str">
        <f>VLOOKUP(Table10[[#This Row],[Country]],Countries!$A$1:$D$205,2,TRUE)</f>
        <v>TUN</v>
      </c>
      <c r="F1197" s="60">
        <v>2009</v>
      </c>
      <c r="G1197" s="60" t="s">
        <v>4026</v>
      </c>
      <c r="H1197" s="65">
        <v>2000</v>
      </c>
      <c r="I1197" s="65" t="s">
        <v>4022</v>
      </c>
      <c r="J1197" s="60" t="s">
        <v>4023</v>
      </c>
      <c r="K1197" s="60">
        <v>37.016956</v>
      </c>
      <c r="L1197">
        <v>36.109110000000001</v>
      </c>
    </row>
    <row r="1198" spans="1:12" hidden="1" x14ac:dyDescent="0.35">
      <c r="A1198" s="60" t="s">
        <v>5965</v>
      </c>
      <c r="B1198" s="60" t="s">
        <v>5962</v>
      </c>
      <c r="C1198" s="60" t="s">
        <v>5963</v>
      </c>
      <c r="D1198" s="60" t="s">
        <v>5925</v>
      </c>
      <c r="E1198" t="str">
        <f>VLOOKUP(Table10[[#This Row],[Country]],Countries!$A$1:$D$205,2,TRUE)</f>
        <v>TUN</v>
      </c>
      <c r="F1198" s="60">
        <v>2010</v>
      </c>
      <c r="G1198" s="60" t="s">
        <v>4026</v>
      </c>
      <c r="H1198" s="65">
        <v>2000</v>
      </c>
      <c r="I1198" s="65" t="s">
        <v>4022</v>
      </c>
      <c r="J1198" s="60" t="s">
        <v>4023</v>
      </c>
      <c r="K1198" s="60">
        <v>37.016497999999999</v>
      </c>
      <c r="L1198">
        <v>36.095126</v>
      </c>
    </row>
    <row r="1199" spans="1:12" hidden="1" x14ac:dyDescent="0.35">
      <c r="A1199" s="60" t="s">
        <v>5966</v>
      </c>
      <c r="B1199" s="60" t="s">
        <v>5967</v>
      </c>
      <c r="C1199" s="60" t="s">
        <v>5968</v>
      </c>
      <c r="D1199" s="60" t="s">
        <v>5925</v>
      </c>
      <c r="E1199" t="str">
        <f>VLOOKUP(Table10[[#This Row],[Country]],Countries!$A$1:$D$205,2,TRUE)</f>
        <v>TUN</v>
      </c>
      <c r="F1199" s="60">
        <v>1997</v>
      </c>
      <c r="G1199" s="60" t="s">
        <v>4026</v>
      </c>
      <c r="H1199" s="65">
        <v>1300</v>
      </c>
      <c r="I1199" s="65" t="s">
        <v>4022</v>
      </c>
      <c r="J1199" s="60" t="s">
        <v>4023</v>
      </c>
      <c r="K1199" s="60">
        <v>41.241199000000002</v>
      </c>
      <c r="L1199">
        <v>36.442055000000003</v>
      </c>
    </row>
    <row r="1200" spans="1:12" hidden="1" x14ac:dyDescent="0.35">
      <c r="A1200" s="60" t="s">
        <v>5969</v>
      </c>
      <c r="B1200" s="60" t="s">
        <v>5970</v>
      </c>
      <c r="C1200" s="60" t="s">
        <v>5971</v>
      </c>
      <c r="D1200" s="60" t="s">
        <v>5925</v>
      </c>
      <c r="E1200" t="str">
        <f>VLOOKUP(Table10[[#This Row],[Country]],Countries!$A$1:$D$205,2,TRUE)</f>
        <v>TUN</v>
      </c>
      <c r="F1200" s="60">
        <v>2002</v>
      </c>
      <c r="G1200" s="60" t="s">
        <v>4026</v>
      </c>
      <c r="H1200" s="65">
        <v>1400</v>
      </c>
      <c r="I1200" s="65" t="s">
        <v>4022</v>
      </c>
      <c r="J1200" s="60" t="s">
        <v>4023</v>
      </c>
      <c r="K1200" s="60">
        <v>41.015222000000001</v>
      </c>
      <c r="L1200">
        <v>27.959978</v>
      </c>
    </row>
    <row r="1201" spans="1:12" hidden="1" x14ac:dyDescent="0.35">
      <c r="A1201" s="60" t="s">
        <v>5972</v>
      </c>
      <c r="B1201" s="60" t="s">
        <v>5973</v>
      </c>
      <c r="C1201" s="60" t="s">
        <v>5974</v>
      </c>
      <c r="D1201" s="60" t="s">
        <v>5925</v>
      </c>
      <c r="E1201" t="str">
        <f>VLOOKUP(Table10[[#This Row],[Country]],Countries!$A$1:$D$205,2,TRUE)</f>
        <v>TUN</v>
      </c>
      <c r="F1201" s="60">
        <v>1965</v>
      </c>
      <c r="G1201" s="60" t="s">
        <v>4026</v>
      </c>
      <c r="H1201" s="65">
        <v>4000</v>
      </c>
      <c r="I1201" s="65">
        <v>3575</v>
      </c>
      <c r="J1201" s="60" t="s">
        <v>4049</v>
      </c>
      <c r="K1201" s="60">
        <v>41.261468999999998</v>
      </c>
      <c r="L1201">
        <v>31.420106000000001</v>
      </c>
    </row>
    <row r="1202" spans="1:12" hidden="1" x14ac:dyDescent="0.35">
      <c r="A1202" s="60" t="s">
        <v>5975</v>
      </c>
      <c r="B1202" s="60" t="s">
        <v>5976</v>
      </c>
      <c r="C1202" s="60" t="s">
        <v>5977</v>
      </c>
      <c r="D1202" s="60" t="s">
        <v>5978</v>
      </c>
      <c r="E1202" t="str">
        <f>VLOOKUP(Table10[[#This Row],[Country]],Countries!$A$1:$D$205,2,TRUE)</f>
        <v>TUN</v>
      </c>
      <c r="F1202" s="60">
        <v>1887</v>
      </c>
      <c r="G1202" s="60" t="s">
        <v>4107</v>
      </c>
      <c r="H1202" s="65">
        <v>1230</v>
      </c>
      <c r="I1202" s="65">
        <v>1795</v>
      </c>
      <c r="J1202" s="60" t="s">
        <v>4049</v>
      </c>
      <c r="K1202" s="60">
        <v>48.480789999999999</v>
      </c>
      <c r="L1202">
        <v>34.978096999999998</v>
      </c>
    </row>
    <row r="1203" spans="1:12" hidden="1" x14ac:dyDescent="0.35">
      <c r="A1203" s="60" t="s">
        <v>5979</v>
      </c>
      <c r="B1203" s="60" t="s">
        <v>5976</v>
      </c>
      <c r="C1203" s="60" t="s">
        <v>5977</v>
      </c>
      <c r="D1203" s="60" t="s">
        <v>5978</v>
      </c>
      <c r="E1203" t="str">
        <f>VLOOKUP(Table10[[#This Row],[Country]],Countries!$A$1:$D$205,2,TRUE)</f>
        <v>TUN</v>
      </c>
      <c r="F1203" s="60">
        <v>2012</v>
      </c>
      <c r="G1203" s="60" t="s">
        <v>4026</v>
      </c>
      <c r="H1203" s="65">
        <v>1320</v>
      </c>
      <c r="I1203" s="65" t="s">
        <v>4022</v>
      </c>
      <c r="J1203" s="60" t="s">
        <v>4023</v>
      </c>
      <c r="K1203" s="60">
        <v>48.492145999999998</v>
      </c>
      <c r="L1203">
        <v>35.092672999999998</v>
      </c>
    </row>
    <row r="1204" spans="1:12" hidden="1" x14ac:dyDescent="0.35">
      <c r="A1204" s="60" t="s">
        <v>5980</v>
      </c>
      <c r="B1204" s="60" t="s">
        <v>5981</v>
      </c>
      <c r="C1204" s="60" t="s">
        <v>5977</v>
      </c>
      <c r="D1204" s="60" t="s">
        <v>5978</v>
      </c>
      <c r="E1204" t="str">
        <f>VLOOKUP(Table10[[#This Row],[Country]],Countries!$A$1:$D$205,2,TRUE)</f>
        <v>TUN</v>
      </c>
      <c r="F1204" s="60">
        <v>1887</v>
      </c>
      <c r="G1204" s="60" t="s">
        <v>4026</v>
      </c>
      <c r="H1204" s="65">
        <v>4200</v>
      </c>
      <c r="I1204" s="65">
        <v>4350</v>
      </c>
      <c r="J1204" s="60" t="s">
        <v>4049</v>
      </c>
      <c r="K1204" s="60">
        <v>48.528019</v>
      </c>
      <c r="L1204">
        <v>34.640915</v>
      </c>
    </row>
    <row r="1205" spans="1:12" hidden="1" x14ac:dyDescent="0.35">
      <c r="A1205" s="60" t="s">
        <v>5982</v>
      </c>
      <c r="B1205" s="60" t="s">
        <v>5983</v>
      </c>
      <c r="C1205" s="60" t="s">
        <v>5977</v>
      </c>
      <c r="D1205" s="60" t="s">
        <v>5978</v>
      </c>
      <c r="E1205" t="str">
        <f>VLOOKUP(Table10[[#This Row],[Country]],Countries!$A$1:$D$205,2,TRUE)</f>
        <v>TUN</v>
      </c>
      <c r="F1205" s="60">
        <v>1934</v>
      </c>
      <c r="G1205" s="60" t="s">
        <v>4026</v>
      </c>
      <c r="H1205" s="65">
        <v>8000</v>
      </c>
      <c r="I1205" s="65">
        <v>11450</v>
      </c>
      <c r="J1205" s="60" t="s">
        <v>5984</v>
      </c>
      <c r="K1205" s="60">
        <v>47.874411000000002</v>
      </c>
      <c r="L1205">
        <v>33.392992999999997</v>
      </c>
    </row>
    <row r="1206" spans="1:12" hidden="1" x14ac:dyDescent="0.35">
      <c r="A1206" s="60" t="s">
        <v>5985</v>
      </c>
      <c r="B1206" s="60" t="s">
        <v>5986</v>
      </c>
      <c r="C1206" s="60" t="s">
        <v>5986</v>
      </c>
      <c r="D1206" s="60" t="s">
        <v>5978</v>
      </c>
      <c r="E1206" t="str">
        <f>VLOOKUP(Table10[[#This Row],[Country]],Countries!$A$1:$D$205,2,TRUE)</f>
        <v>TUN</v>
      </c>
      <c r="F1206" s="60">
        <v>1999</v>
      </c>
      <c r="G1206" s="60" t="s">
        <v>4026</v>
      </c>
      <c r="H1206" s="65">
        <v>1000</v>
      </c>
      <c r="I1206" s="65" t="s">
        <v>4022</v>
      </c>
      <c r="J1206" s="60" t="s">
        <v>4023</v>
      </c>
      <c r="K1206" s="60">
        <v>47.982275999999999</v>
      </c>
      <c r="L1206">
        <v>37.810634</v>
      </c>
    </row>
    <row r="1207" spans="1:12" hidden="1" x14ac:dyDescent="0.35">
      <c r="A1207" s="60" t="s">
        <v>5987</v>
      </c>
      <c r="B1207" s="60" t="s">
        <v>5986</v>
      </c>
      <c r="C1207" s="60" t="s">
        <v>5986</v>
      </c>
      <c r="D1207" s="60" t="s">
        <v>5978</v>
      </c>
      <c r="E1207" t="str">
        <f>VLOOKUP(Table10[[#This Row],[Country]],Countries!$A$1:$D$205,2,TRUE)</f>
        <v>TUN</v>
      </c>
      <c r="F1207" s="60">
        <v>2002</v>
      </c>
      <c r="G1207" s="60" t="s">
        <v>4026</v>
      </c>
      <c r="H1207" s="65" t="s">
        <v>4022</v>
      </c>
      <c r="I1207" s="65">
        <v>1500</v>
      </c>
      <c r="J1207" s="60" t="s">
        <v>4027</v>
      </c>
      <c r="K1207" s="60">
        <v>47.982275999999999</v>
      </c>
      <c r="L1207">
        <v>37.810634</v>
      </c>
    </row>
    <row r="1208" spans="1:12" hidden="1" x14ac:dyDescent="0.35">
      <c r="A1208" s="60" t="s">
        <v>5988</v>
      </c>
      <c r="B1208" s="60" t="s">
        <v>5986</v>
      </c>
      <c r="C1208" s="60" t="s">
        <v>5986</v>
      </c>
      <c r="D1208" s="60" t="s">
        <v>5978</v>
      </c>
      <c r="E1208" t="str">
        <f>VLOOKUP(Table10[[#This Row],[Country]],Countries!$A$1:$D$205,2,TRUE)</f>
        <v>TUN</v>
      </c>
      <c r="F1208" s="60" t="s">
        <v>4022</v>
      </c>
      <c r="G1208" s="60" t="s">
        <v>4029</v>
      </c>
      <c r="H1208" s="65">
        <v>1800</v>
      </c>
      <c r="I1208" s="65" t="s">
        <v>4022</v>
      </c>
      <c r="J1208" s="60" t="s">
        <v>4023</v>
      </c>
      <c r="K1208" s="60">
        <v>47.982275999999999</v>
      </c>
      <c r="L1208">
        <v>37.810634</v>
      </c>
    </row>
    <row r="1209" spans="1:12" hidden="1" x14ac:dyDescent="0.35">
      <c r="A1209" s="60" t="s">
        <v>5989</v>
      </c>
      <c r="B1209" s="60" t="s">
        <v>5986</v>
      </c>
      <c r="C1209" s="60" t="s">
        <v>5986</v>
      </c>
      <c r="D1209" s="60" t="s">
        <v>5978</v>
      </c>
      <c r="E1209" t="str">
        <f>VLOOKUP(Table10[[#This Row],[Country]],Countries!$A$1:$D$205,2,TRUE)</f>
        <v>TUN</v>
      </c>
      <c r="F1209" s="60" t="s">
        <v>4036</v>
      </c>
      <c r="G1209" s="60" t="s">
        <v>4107</v>
      </c>
      <c r="H1209" s="65">
        <v>1500</v>
      </c>
      <c r="I1209" s="65" t="s">
        <v>4022</v>
      </c>
      <c r="J1209" s="60" t="s">
        <v>4023</v>
      </c>
      <c r="K1209" s="60">
        <v>47.982275999999999</v>
      </c>
      <c r="L1209">
        <v>37.810634</v>
      </c>
    </row>
    <row r="1210" spans="1:12" hidden="1" x14ac:dyDescent="0.35">
      <c r="A1210" s="60" t="s">
        <v>5990</v>
      </c>
      <c r="B1210" s="60" t="s">
        <v>5991</v>
      </c>
      <c r="C1210" s="60" t="s">
        <v>5986</v>
      </c>
      <c r="D1210" s="60" t="s">
        <v>5978</v>
      </c>
      <c r="E1210" t="str">
        <f>VLOOKUP(Table10[[#This Row],[Country]],Countries!$A$1:$D$205,2,TRUE)</f>
        <v>TUN</v>
      </c>
      <c r="F1210" s="60">
        <v>1898</v>
      </c>
      <c r="G1210" s="60" t="s">
        <v>4048</v>
      </c>
      <c r="H1210" s="65">
        <v>1500</v>
      </c>
      <c r="I1210" s="65" t="s">
        <v>4022</v>
      </c>
      <c r="J1210" s="60" t="s">
        <v>4163</v>
      </c>
      <c r="K1210" s="60">
        <v>48.058542000000003</v>
      </c>
      <c r="L1210">
        <v>37.953262000000002</v>
      </c>
    </row>
    <row r="1211" spans="1:12" hidden="1" x14ac:dyDescent="0.35">
      <c r="A1211" s="60" t="s">
        <v>5992</v>
      </c>
      <c r="B1211" s="60" t="s">
        <v>5993</v>
      </c>
      <c r="C1211" s="60" t="s">
        <v>5986</v>
      </c>
      <c r="D1211" s="60" t="s">
        <v>5978</v>
      </c>
      <c r="E1211" t="str">
        <f>VLOOKUP(Table10[[#This Row],[Country]],Countries!$A$1:$D$205,2,TRUE)</f>
        <v>TUN</v>
      </c>
      <c r="F1211" s="60">
        <v>1933</v>
      </c>
      <c r="G1211" s="60" t="s">
        <v>4048</v>
      </c>
      <c r="H1211" s="65">
        <v>6200</v>
      </c>
      <c r="I1211" s="65">
        <v>6100</v>
      </c>
      <c r="J1211" s="60" t="s">
        <v>4049</v>
      </c>
      <c r="K1211" s="60">
        <v>47.100396000000003</v>
      </c>
      <c r="L1211">
        <v>37.595944000000003</v>
      </c>
    </row>
    <row r="1212" spans="1:12" hidden="1" x14ac:dyDescent="0.35">
      <c r="A1212" s="60" t="s">
        <v>5994</v>
      </c>
      <c r="B1212" s="60" t="s">
        <v>5993</v>
      </c>
      <c r="C1212" s="60" t="s">
        <v>5986</v>
      </c>
      <c r="D1212" s="60" t="s">
        <v>5978</v>
      </c>
      <c r="E1212" t="str">
        <f>VLOOKUP(Table10[[#This Row],[Country]],Countries!$A$1:$D$205,2,TRUE)</f>
        <v>TUN</v>
      </c>
      <c r="F1212" s="60">
        <v>1897</v>
      </c>
      <c r="G1212" s="60" t="s">
        <v>4107</v>
      </c>
      <c r="H1212" s="65">
        <v>4300</v>
      </c>
      <c r="I1212" s="65">
        <v>5500</v>
      </c>
      <c r="J1212" s="60" t="s">
        <v>4049</v>
      </c>
      <c r="K1212" s="60">
        <v>47.142529000000003</v>
      </c>
      <c r="L1212">
        <v>37.586423000000003</v>
      </c>
    </row>
    <row r="1213" spans="1:12" hidden="1" x14ac:dyDescent="0.35">
      <c r="A1213" s="60" t="s">
        <v>5995</v>
      </c>
      <c r="B1213" s="60" t="s">
        <v>5993</v>
      </c>
      <c r="C1213" s="60" t="s">
        <v>5986</v>
      </c>
      <c r="D1213" s="60" t="s">
        <v>5978</v>
      </c>
      <c r="E1213" t="str">
        <f>VLOOKUP(Table10[[#This Row],[Country]],Countries!$A$1:$D$205,2,TRUE)</f>
        <v>TUN</v>
      </c>
      <c r="F1213" s="60" t="s">
        <v>4022</v>
      </c>
      <c r="G1213" s="60" t="s">
        <v>4048</v>
      </c>
      <c r="H1213" s="65">
        <v>2400</v>
      </c>
      <c r="I1213" s="65" t="s">
        <v>4022</v>
      </c>
      <c r="J1213" s="60" t="s">
        <v>5451</v>
      </c>
      <c r="K1213" s="60">
        <v>47.142529000000003</v>
      </c>
      <c r="L1213">
        <v>37.586423000000003</v>
      </c>
    </row>
    <row r="1214" spans="1:12" hidden="1" x14ac:dyDescent="0.35">
      <c r="A1214" s="60" t="s">
        <v>5996</v>
      </c>
      <c r="B1214" s="60" t="s">
        <v>5997</v>
      </c>
      <c r="C1214" s="60" t="s">
        <v>5986</v>
      </c>
      <c r="D1214" s="60" t="s">
        <v>5978</v>
      </c>
      <c r="E1214" t="str">
        <f>VLOOKUP(Table10[[#This Row],[Country]],Countries!$A$1:$D$205,2,TRUE)</f>
        <v>TUN</v>
      </c>
      <c r="F1214" s="60">
        <v>1895</v>
      </c>
      <c r="G1214" s="60" t="s">
        <v>4026</v>
      </c>
      <c r="H1214" s="65">
        <v>3300</v>
      </c>
      <c r="I1214" s="65">
        <v>2600</v>
      </c>
      <c r="J1214" s="60" t="s">
        <v>4049</v>
      </c>
      <c r="K1214" s="60">
        <v>48.220502000000003</v>
      </c>
      <c r="L1214">
        <v>38.228625999999998</v>
      </c>
    </row>
    <row r="1215" spans="1:12" hidden="1" x14ac:dyDescent="0.35">
      <c r="A1215" s="60" t="s">
        <v>5998</v>
      </c>
      <c r="B1215" s="60" t="s">
        <v>5999</v>
      </c>
      <c r="C1215" s="60" t="s">
        <v>6000</v>
      </c>
      <c r="D1215" s="60" t="s">
        <v>5978</v>
      </c>
      <c r="E1215" t="str">
        <f>VLOOKUP(Table10[[#This Row],[Country]],Countries!$A$1:$D$205,2,TRUE)</f>
        <v>TUN</v>
      </c>
      <c r="F1215" s="60">
        <v>1896</v>
      </c>
      <c r="G1215" s="60" t="s">
        <v>4026</v>
      </c>
      <c r="H1215" s="65">
        <v>5472</v>
      </c>
      <c r="I1215" s="65">
        <v>5320</v>
      </c>
      <c r="J1215" s="60" t="s">
        <v>5984</v>
      </c>
      <c r="K1215" s="60">
        <v>48.478110999999998</v>
      </c>
      <c r="L1215">
        <v>38.770786999999999</v>
      </c>
    </row>
    <row r="1216" spans="1:12" hidden="1" x14ac:dyDescent="0.35">
      <c r="A1216" s="60" t="s">
        <v>6001</v>
      </c>
      <c r="B1216" s="60" t="s">
        <v>4036</v>
      </c>
      <c r="C1216" s="60" t="s">
        <v>4036</v>
      </c>
      <c r="D1216" s="60" t="s">
        <v>5978</v>
      </c>
      <c r="E1216" t="str">
        <f>VLOOKUP(Table10[[#This Row],[Country]],Countries!$A$1:$D$205,2,TRUE)</f>
        <v>TUN</v>
      </c>
      <c r="F1216" s="60">
        <v>2030</v>
      </c>
      <c r="G1216" s="60" t="s">
        <v>4037</v>
      </c>
      <c r="H1216" s="65">
        <v>4500</v>
      </c>
      <c r="I1216" s="65" t="s">
        <v>4036</v>
      </c>
      <c r="J1216" s="60" t="s">
        <v>4023</v>
      </c>
      <c r="K1216" s="60">
        <v>49.039389</v>
      </c>
      <c r="L1216">
        <v>31.332628</v>
      </c>
    </row>
    <row r="1217" spans="1:12" hidden="1" x14ac:dyDescent="0.35">
      <c r="A1217" s="60" t="s">
        <v>6002</v>
      </c>
      <c r="B1217" s="60" t="s">
        <v>6003</v>
      </c>
      <c r="C1217" s="60" t="s">
        <v>6003</v>
      </c>
      <c r="D1217" s="60" t="s">
        <v>5978</v>
      </c>
      <c r="E1217" t="str">
        <f>VLOOKUP(Table10[[#This Row],[Country]],Countries!$A$1:$D$205,2,TRUE)</f>
        <v>TUN</v>
      </c>
      <c r="F1217" s="60">
        <v>1933</v>
      </c>
      <c r="G1217" s="60" t="s">
        <v>4026</v>
      </c>
      <c r="H1217" s="65">
        <v>4100</v>
      </c>
      <c r="I1217" s="65">
        <v>4359</v>
      </c>
      <c r="J1217" s="60" t="s">
        <v>6004</v>
      </c>
      <c r="K1217" s="60">
        <v>47.868380000000002</v>
      </c>
      <c r="L1217">
        <v>35.161772999999997</v>
      </c>
    </row>
    <row r="1218" spans="1:12" hidden="1" x14ac:dyDescent="0.35">
      <c r="A1218" s="60" t="s">
        <v>6005</v>
      </c>
      <c r="B1218" s="60" t="s">
        <v>6003</v>
      </c>
      <c r="C1218" s="60" t="s">
        <v>6003</v>
      </c>
      <c r="D1218" s="60" t="s">
        <v>5978</v>
      </c>
      <c r="E1218" t="str">
        <f>VLOOKUP(Table10[[#This Row],[Country]],Countries!$A$1:$D$205,2,TRUE)</f>
        <v>TUN</v>
      </c>
      <c r="F1218" s="60">
        <v>2025</v>
      </c>
      <c r="G1218" s="60" t="s">
        <v>4029</v>
      </c>
      <c r="H1218" s="65">
        <v>3200</v>
      </c>
      <c r="I1218" s="65" t="s">
        <v>4022</v>
      </c>
      <c r="J1218" s="60" t="s">
        <v>4163</v>
      </c>
      <c r="K1218" s="60">
        <v>47.868380000000002</v>
      </c>
      <c r="L1218">
        <v>35.161772999999997</v>
      </c>
    </row>
    <row r="1219" spans="1:12" hidden="1" x14ac:dyDescent="0.35">
      <c r="A1219" s="60" t="s">
        <v>6006</v>
      </c>
      <c r="B1219" s="60" t="s">
        <v>3803</v>
      </c>
      <c r="C1219" s="60" t="s">
        <v>6007</v>
      </c>
      <c r="D1219" s="60" t="s">
        <v>449</v>
      </c>
      <c r="E1219" t="str">
        <f>VLOOKUP(Table10[[#This Row],[Country]],Countries!$A$1:$D$205,2,TRUE)</f>
        <v>GBR</v>
      </c>
      <c r="F1219" s="60">
        <v>1864</v>
      </c>
      <c r="G1219" s="60" t="s">
        <v>4026</v>
      </c>
      <c r="H1219" s="65">
        <v>3200</v>
      </c>
      <c r="I1219" s="65">
        <v>3000</v>
      </c>
      <c r="J1219" s="60" t="s">
        <v>4049</v>
      </c>
      <c r="K1219" s="60">
        <v>53.580826999999999</v>
      </c>
      <c r="L1219">
        <v>-0.61650899999999997</v>
      </c>
    </row>
    <row r="1220" spans="1:12" hidden="1" x14ac:dyDescent="0.35">
      <c r="A1220" s="60" t="s">
        <v>6008</v>
      </c>
      <c r="B1220" s="60" t="s">
        <v>6009</v>
      </c>
      <c r="C1220" s="60" t="s">
        <v>6007</v>
      </c>
      <c r="D1220" s="60" t="s">
        <v>449</v>
      </c>
      <c r="E1220" t="str">
        <f>VLOOKUP(Table10[[#This Row],[Country]],Countries!$A$1:$D$205,2,TRUE)</f>
        <v>GBR</v>
      </c>
      <c r="F1220" s="60" t="s">
        <v>4036</v>
      </c>
      <c r="G1220" s="60" t="s">
        <v>4026</v>
      </c>
      <c r="H1220" s="65">
        <v>1220</v>
      </c>
      <c r="I1220" s="65" t="s">
        <v>4022</v>
      </c>
      <c r="J1220" s="60" t="s">
        <v>4023</v>
      </c>
      <c r="K1220" s="60">
        <v>53.450712000000003</v>
      </c>
      <c r="L1220">
        <v>-1.3230249999999999</v>
      </c>
    </row>
    <row r="1221" spans="1:12" hidden="1" x14ac:dyDescent="0.35">
      <c r="A1221" s="60" t="s">
        <v>6010</v>
      </c>
      <c r="B1221" s="60" t="s">
        <v>6009</v>
      </c>
      <c r="C1221" s="60" t="s">
        <v>6007</v>
      </c>
      <c r="D1221" s="60" t="s">
        <v>449</v>
      </c>
      <c r="E1221" t="str">
        <f>VLOOKUP(Table10[[#This Row],[Country]],Countries!$A$1:$D$205,2,TRUE)</f>
        <v>GBR</v>
      </c>
      <c r="F1221" s="60">
        <v>2030</v>
      </c>
      <c r="G1221" s="60" t="s">
        <v>4037</v>
      </c>
      <c r="H1221" s="65">
        <v>780</v>
      </c>
      <c r="I1221" s="65" t="s">
        <v>4036</v>
      </c>
      <c r="J1221" s="60" t="s">
        <v>4023</v>
      </c>
      <c r="K1221" s="60">
        <v>53.450712000000003</v>
      </c>
      <c r="L1221">
        <v>-1.3230249999999999</v>
      </c>
    </row>
    <row r="1222" spans="1:12" hidden="1" x14ac:dyDescent="0.35">
      <c r="A1222" s="60" t="s">
        <v>6011</v>
      </c>
      <c r="B1222" s="60" t="s">
        <v>6012</v>
      </c>
      <c r="C1222" s="60" t="s">
        <v>6007</v>
      </c>
      <c r="D1222" s="60" t="s">
        <v>449</v>
      </c>
      <c r="E1222" t="str">
        <f>VLOOKUP(Table10[[#This Row],[Country]],Countries!$A$1:$D$205,2,TRUE)</f>
        <v>GBR</v>
      </c>
      <c r="F1222" s="60" t="s">
        <v>4036</v>
      </c>
      <c r="G1222" s="60" t="s">
        <v>4026</v>
      </c>
      <c r="H1222" s="65">
        <v>500</v>
      </c>
      <c r="I1222" s="65" t="s">
        <v>4022</v>
      </c>
      <c r="J1222" s="60" t="s">
        <v>4023</v>
      </c>
      <c r="K1222" s="60">
        <v>53.399597999999997</v>
      </c>
      <c r="L1222">
        <v>-1.395818</v>
      </c>
    </row>
    <row r="1223" spans="1:12" hidden="1" x14ac:dyDescent="0.35">
      <c r="A1223" s="60" t="s">
        <v>6013</v>
      </c>
      <c r="B1223" s="60" t="s">
        <v>6014</v>
      </c>
      <c r="C1223" s="60" t="s">
        <v>6015</v>
      </c>
      <c r="D1223" s="60" t="s">
        <v>449</v>
      </c>
      <c r="E1223" t="str">
        <f>VLOOKUP(Table10[[#This Row],[Country]],Countries!$A$1:$D$205,2,TRUE)</f>
        <v>GBR</v>
      </c>
      <c r="F1223" s="60">
        <v>2006</v>
      </c>
      <c r="G1223" s="60" t="s">
        <v>4026</v>
      </c>
      <c r="H1223" s="65">
        <v>1200</v>
      </c>
      <c r="I1223" s="65" t="s">
        <v>4022</v>
      </c>
      <c r="J1223" s="60" t="s">
        <v>4023</v>
      </c>
      <c r="K1223" s="60">
        <v>51.472501999999999</v>
      </c>
      <c r="L1223">
        <v>-3.1575829999999998</v>
      </c>
    </row>
    <row r="1224" spans="1:12" hidden="1" x14ac:dyDescent="0.35">
      <c r="A1224" s="60" t="s">
        <v>6016</v>
      </c>
      <c r="B1224" s="60" t="s">
        <v>6017</v>
      </c>
      <c r="C1224" s="60" t="s">
        <v>6015</v>
      </c>
      <c r="D1224" s="60" t="s">
        <v>449</v>
      </c>
      <c r="E1224" t="str">
        <f>VLOOKUP(Table10[[#This Row],[Country]],Countries!$A$1:$D$205,2,TRUE)</f>
        <v>GBR</v>
      </c>
      <c r="F1224" s="60" t="s">
        <v>4036</v>
      </c>
      <c r="G1224" s="60" t="s">
        <v>4107</v>
      </c>
      <c r="H1224" s="65">
        <v>1000</v>
      </c>
      <c r="I1224" s="65" t="s">
        <v>4022</v>
      </c>
      <c r="J1224" s="60" t="s">
        <v>4023</v>
      </c>
      <c r="K1224" s="60">
        <v>51.557288999999997</v>
      </c>
      <c r="L1224">
        <v>-2.962704</v>
      </c>
    </row>
    <row r="1225" spans="1:12" hidden="1" x14ac:dyDescent="0.35">
      <c r="A1225" s="60" t="s">
        <v>6018</v>
      </c>
      <c r="B1225" s="60" t="s">
        <v>6019</v>
      </c>
      <c r="C1225" s="60" t="s">
        <v>6015</v>
      </c>
      <c r="D1225" s="60" t="s">
        <v>449</v>
      </c>
      <c r="E1225" t="str">
        <f>VLOOKUP(Table10[[#This Row],[Country]],Countries!$A$1:$D$205,2,TRUE)</f>
        <v>GBR</v>
      </c>
      <c r="F1225" s="60">
        <v>1905</v>
      </c>
      <c r="G1225" s="60" t="s">
        <v>4026</v>
      </c>
      <c r="H1225" s="65">
        <v>5000</v>
      </c>
      <c r="I1225" s="65">
        <v>4770</v>
      </c>
      <c r="J1225" s="60" t="s">
        <v>4049</v>
      </c>
      <c r="K1225" s="60">
        <v>51.577368</v>
      </c>
      <c r="L1225">
        <v>-3.783013</v>
      </c>
    </row>
    <row r="1226" spans="1:12" hidden="1" x14ac:dyDescent="0.35">
      <c r="A1226" s="60" t="s">
        <v>6020</v>
      </c>
      <c r="B1226" s="60" t="s">
        <v>6021</v>
      </c>
      <c r="C1226" s="60" t="s">
        <v>6022</v>
      </c>
      <c r="D1226" s="60" t="s">
        <v>358</v>
      </c>
      <c r="E1226" t="str">
        <f>VLOOKUP(Table10[[#This Row],[Country]],Countries!$A$1:$D$205,2,TRUE)</f>
        <v>BHR</v>
      </c>
      <c r="F1226" s="60">
        <v>2012</v>
      </c>
      <c r="G1226" s="60" t="s">
        <v>4026</v>
      </c>
      <c r="H1226" s="65">
        <v>1100</v>
      </c>
      <c r="I1226" s="65">
        <v>1600</v>
      </c>
      <c r="J1226" s="60" t="s">
        <v>4034</v>
      </c>
      <c r="K1226" s="60">
        <v>26.198152</v>
      </c>
      <c r="L1226">
        <v>50.679893</v>
      </c>
    </row>
    <row r="1227" spans="1:12" hidden="1" x14ac:dyDescent="0.35">
      <c r="A1227" s="60" t="s">
        <v>6023</v>
      </c>
      <c r="B1227" s="60" t="s">
        <v>6024</v>
      </c>
      <c r="C1227" s="60" t="s">
        <v>6025</v>
      </c>
      <c r="D1227" s="60" t="s">
        <v>387</v>
      </c>
      <c r="E1227" t="str">
        <f>VLOOKUP(Table10[[#This Row],[Country]],Countries!$A$1:$D$205,2,TRUE)</f>
        <v>IRN</v>
      </c>
      <c r="F1227" s="60">
        <v>2016</v>
      </c>
      <c r="G1227" s="60" t="s">
        <v>4026</v>
      </c>
      <c r="H1227" s="65" t="s">
        <v>4022</v>
      </c>
      <c r="I1227" s="65">
        <v>800</v>
      </c>
      <c r="J1227" s="60" t="s">
        <v>4030</v>
      </c>
      <c r="K1227" s="60">
        <v>32.156672999999998</v>
      </c>
      <c r="L1227">
        <v>51.199541000000004</v>
      </c>
    </row>
    <row r="1228" spans="1:12" hidden="1" x14ac:dyDescent="0.35">
      <c r="A1228" s="60" t="s">
        <v>6026</v>
      </c>
      <c r="B1228" s="60" t="s">
        <v>6024</v>
      </c>
      <c r="C1228" s="60" t="s">
        <v>6025</v>
      </c>
      <c r="D1228" s="60" t="s">
        <v>387</v>
      </c>
      <c r="E1228" t="str">
        <f>VLOOKUP(Table10[[#This Row],[Country]],Countries!$A$1:$D$205,2,TRUE)</f>
        <v>IRN</v>
      </c>
      <c r="F1228" s="60">
        <v>2021</v>
      </c>
      <c r="G1228" s="60" t="s">
        <v>4026</v>
      </c>
      <c r="H1228" s="65">
        <v>1000</v>
      </c>
      <c r="I1228" s="65" t="s">
        <v>4022</v>
      </c>
      <c r="J1228" s="60" t="s">
        <v>4034</v>
      </c>
      <c r="K1228" s="60">
        <v>32.156672999999998</v>
      </c>
      <c r="L1228">
        <v>51.199541000000004</v>
      </c>
    </row>
    <row r="1229" spans="1:12" hidden="1" x14ac:dyDescent="0.35">
      <c r="A1229" s="60" t="s">
        <v>6027</v>
      </c>
      <c r="B1229" s="60" t="s">
        <v>6024</v>
      </c>
      <c r="C1229" s="60" t="s">
        <v>6025</v>
      </c>
      <c r="D1229" s="60" t="s">
        <v>387</v>
      </c>
      <c r="E1229" t="str">
        <f>VLOOKUP(Table10[[#This Row],[Country]],Countries!$A$1:$D$205,2,TRUE)</f>
        <v>IRN</v>
      </c>
      <c r="F1229" s="60">
        <v>2022</v>
      </c>
      <c r="G1229" s="60" t="s">
        <v>4026</v>
      </c>
      <c r="H1229" s="65">
        <v>1000</v>
      </c>
      <c r="I1229" s="65" t="s">
        <v>4022</v>
      </c>
      <c r="J1229" s="60" t="s">
        <v>4034</v>
      </c>
      <c r="K1229" s="60">
        <v>32.156672999999998</v>
      </c>
      <c r="L1229">
        <v>51.199541000000004</v>
      </c>
    </row>
    <row r="1230" spans="1:12" hidden="1" x14ac:dyDescent="0.35">
      <c r="A1230" s="60" t="s">
        <v>6028</v>
      </c>
      <c r="B1230" s="60" t="s">
        <v>6029</v>
      </c>
      <c r="C1230" s="60" t="s">
        <v>6030</v>
      </c>
      <c r="D1230" s="60" t="s">
        <v>387</v>
      </c>
      <c r="E1230" t="str">
        <f>VLOOKUP(Table10[[#This Row],[Country]],Countries!$A$1:$D$205,2,TRUE)</f>
        <v>IRN</v>
      </c>
      <c r="F1230" s="60">
        <v>2013</v>
      </c>
      <c r="G1230" s="60" t="s">
        <v>4026</v>
      </c>
      <c r="H1230" s="65">
        <v>1400</v>
      </c>
      <c r="I1230" s="65" t="s">
        <v>4022</v>
      </c>
      <c r="J1230" s="60" t="s">
        <v>4023</v>
      </c>
      <c r="K1230" s="60">
        <v>37.417437</v>
      </c>
      <c r="L1230">
        <v>46.035778000000001</v>
      </c>
    </row>
    <row r="1231" spans="1:12" hidden="1" x14ac:dyDescent="0.35">
      <c r="A1231" s="60" t="s">
        <v>6031</v>
      </c>
      <c r="B1231" s="60" t="s">
        <v>6029</v>
      </c>
      <c r="C1231" s="60" t="s">
        <v>6030</v>
      </c>
      <c r="D1231" s="60" t="s">
        <v>387</v>
      </c>
      <c r="E1231" t="str">
        <f>VLOOKUP(Table10[[#This Row],[Country]],Countries!$A$1:$D$205,2,TRUE)</f>
        <v>IRN</v>
      </c>
      <c r="F1231" s="60">
        <v>2025</v>
      </c>
      <c r="G1231" s="60" t="s">
        <v>4037</v>
      </c>
      <c r="H1231" s="65">
        <v>1450</v>
      </c>
      <c r="I1231" s="65" t="s">
        <v>4022</v>
      </c>
      <c r="J1231" s="60" t="s">
        <v>4023</v>
      </c>
      <c r="K1231" s="60">
        <v>37.417437</v>
      </c>
      <c r="L1231">
        <v>46.035778000000001</v>
      </c>
    </row>
    <row r="1232" spans="1:12" hidden="1" x14ac:dyDescent="0.35">
      <c r="A1232" s="60" t="s">
        <v>6032</v>
      </c>
      <c r="B1232" s="60" t="s">
        <v>6033</v>
      </c>
      <c r="C1232" s="60" t="s">
        <v>6030</v>
      </c>
      <c r="D1232" s="60" t="s">
        <v>387</v>
      </c>
      <c r="E1232" t="str">
        <f>VLOOKUP(Table10[[#This Row],[Country]],Countries!$A$1:$D$205,2,TRUE)</f>
        <v>IRN</v>
      </c>
      <c r="F1232" s="60">
        <v>2022</v>
      </c>
      <c r="G1232" s="60" t="s">
        <v>4021</v>
      </c>
      <c r="H1232" s="65">
        <v>800</v>
      </c>
      <c r="I1232" s="65">
        <v>800</v>
      </c>
      <c r="J1232" s="60" t="s">
        <v>4034</v>
      </c>
      <c r="K1232" s="60">
        <v>37.424354999999998</v>
      </c>
      <c r="L1232">
        <v>47.722763999999998</v>
      </c>
    </row>
    <row r="1233" spans="1:12" hidden="1" x14ac:dyDescent="0.35">
      <c r="A1233" s="60" t="s">
        <v>6034</v>
      </c>
      <c r="B1233" s="60" t="s">
        <v>6033</v>
      </c>
      <c r="C1233" s="60" t="s">
        <v>6030</v>
      </c>
      <c r="D1233" s="60" t="s">
        <v>387</v>
      </c>
      <c r="E1233" t="str">
        <f>VLOOKUP(Table10[[#This Row],[Country]],Countries!$A$1:$D$205,2,TRUE)</f>
        <v>IRN</v>
      </c>
      <c r="F1233" s="60">
        <v>2018</v>
      </c>
      <c r="G1233" s="60" t="s">
        <v>4026</v>
      </c>
      <c r="H1233" s="65">
        <v>800</v>
      </c>
      <c r="I1233" s="65">
        <v>800</v>
      </c>
      <c r="J1233" s="60" t="s">
        <v>4034</v>
      </c>
      <c r="K1233" s="60">
        <v>37.424354999999998</v>
      </c>
      <c r="L1233">
        <v>47.722763999999998</v>
      </c>
    </row>
    <row r="1234" spans="1:12" hidden="1" x14ac:dyDescent="0.35">
      <c r="A1234" s="60" t="s">
        <v>6035</v>
      </c>
      <c r="B1234" s="60" t="s">
        <v>6036</v>
      </c>
      <c r="C1234" s="60" t="s">
        <v>6037</v>
      </c>
      <c r="D1234" s="60" t="s">
        <v>387</v>
      </c>
      <c r="E1234" t="str">
        <f>VLOOKUP(Table10[[#This Row],[Country]],Countries!$A$1:$D$205,2,TRUE)</f>
        <v>IRN</v>
      </c>
      <c r="F1234" s="60">
        <v>2013</v>
      </c>
      <c r="G1234" s="60" t="s">
        <v>4026</v>
      </c>
      <c r="H1234" s="65">
        <v>1500</v>
      </c>
      <c r="I1234" s="65">
        <v>1800</v>
      </c>
      <c r="J1234" s="60" t="s">
        <v>4034</v>
      </c>
      <c r="K1234" s="60">
        <v>29.191019000000001</v>
      </c>
      <c r="L1234">
        <v>52.845405</v>
      </c>
    </row>
    <row r="1235" spans="1:12" hidden="1" x14ac:dyDescent="0.35">
      <c r="A1235" s="60" t="s">
        <v>6038</v>
      </c>
      <c r="B1235" s="60" t="s">
        <v>6039</v>
      </c>
      <c r="C1235" s="60" t="s">
        <v>6037</v>
      </c>
      <c r="D1235" s="60" t="s">
        <v>387</v>
      </c>
      <c r="E1235" t="str">
        <f>VLOOKUP(Table10[[#This Row],[Country]],Countries!$A$1:$D$205,2,TRUE)</f>
        <v>IRN</v>
      </c>
      <c r="F1235" s="60">
        <v>2018</v>
      </c>
      <c r="G1235" s="60" t="s">
        <v>4026</v>
      </c>
      <c r="H1235" s="65" t="s">
        <v>4022</v>
      </c>
      <c r="I1235" s="65">
        <v>800</v>
      </c>
      <c r="J1235" s="60" t="s">
        <v>4030</v>
      </c>
      <c r="K1235" s="60">
        <v>29.168087</v>
      </c>
      <c r="L1235">
        <v>54.621487000000002</v>
      </c>
    </row>
    <row r="1236" spans="1:12" hidden="1" x14ac:dyDescent="0.35">
      <c r="A1236" s="60" t="s">
        <v>6040</v>
      </c>
      <c r="B1236" s="60" t="s">
        <v>6039</v>
      </c>
      <c r="C1236" s="60" t="s">
        <v>6037</v>
      </c>
      <c r="D1236" s="60" t="s">
        <v>387</v>
      </c>
      <c r="E1236" t="str">
        <f>VLOOKUP(Table10[[#This Row],[Country]],Countries!$A$1:$D$205,2,TRUE)</f>
        <v>IRN</v>
      </c>
      <c r="F1236" s="60">
        <v>2023</v>
      </c>
      <c r="G1236" s="60" t="s">
        <v>4026</v>
      </c>
      <c r="H1236" s="65">
        <v>1000</v>
      </c>
      <c r="I1236" s="65" t="s">
        <v>4022</v>
      </c>
      <c r="J1236" s="60" t="s">
        <v>4023</v>
      </c>
      <c r="K1236" s="60">
        <v>29.168087</v>
      </c>
      <c r="L1236">
        <v>54.621487000000002</v>
      </c>
    </row>
    <row r="1237" spans="1:12" hidden="1" x14ac:dyDescent="0.35">
      <c r="A1237" s="60" t="s">
        <v>6041</v>
      </c>
      <c r="B1237" s="60" t="s">
        <v>2358</v>
      </c>
      <c r="C1237" s="60" t="s">
        <v>6042</v>
      </c>
      <c r="D1237" s="60" t="s">
        <v>387</v>
      </c>
      <c r="E1237" t="str">
        <f>VLOOKUP(Table10[[#This Row],[Country]],Countries!$A$1:$D$205,2,TRUE)</f>
        <v>IRN</v>
      </c>
      <c r="F1237" s="60">
        <v>2011</v>
      </c>
      <c r="G1237" s="60" t="s">
        <v>4026</v>
      </c>
      <c r="H1237" s="65">
        <v>1500</v>
      </c>
      <c r="I1237" s="65">
        <v>1650</v>
      </c>
      <c r="J1237" s="60" t="s">
        <v>4034</v>
      </c>
      <c r="K1237" s="60">
        <v>27.164518000000001</v>
      </c>
      <c r="L1237">
        <v>56.094358</v>
      </c>
    </row>
    <row r="1238" spans="1:12" hidden="1" x14ac:dyDescent="0.35">
      <c r="A1238" s="60" t="s">
        <v>6043</v>
      </c>
      <c r="B1238" s="60" t="s">
        <v>2358</v>
      </c>
      <c r="C1238" s="60" t="s">
        <v>6042</v>
      </c>
      <c r="D1238" s="60" t="s">
        <v>387</v>
      </c>
      <c r="E1238" t="str">
        <f>VLOOKUP(Table10[[#This Row],[Country]],Countries!$A$1:$D$205,2,TRUE)</f>
        <v>IRN</v>
      </c>
      <c r="F1238" s="60">
        <v>2023</v>
      </c>
      <c r="G1238" s="60" t="s">
        <v>4037</v>
      </c>
      <c r="H1238" s="65">
        <v>1500</v>
      </c>
      <c r="I1238" s="65" t="s">
        <v>4036</v>
      </c>
      <c r="J1238" s="60" t="s">
        <v>4023</v>
      </c>
      <c r="K1238" s="60">
        <v>27.164518000000001</v>
      </c>
      <c r="L1238">
        <v>56.094358</v>
      </c>
    </row>
    <row r="1239" spans="1:12" hidden="1" x14ac:dyDescent="0.35">
      <c r="A1239" s="60" t="s">
        <v>6044</v>
      </c>
      <c r="B1239" s="60" t="s">
        <v>2358</v>
      </c>
      <c r="C1239" s="60" t="s">
        <v>6042</v>
      </c>
      <c r="D1239" s="60" t="s">
        <v>387</v>
      </c>
      <c r="E1239" t="str">
        <f>VLOOKUP(Table10[[#This Row],[Country]],Countries!$A$1:$D$205,2,TRUE)</f>
        <v>IRN</v>
      </c>
      <c r="F1239" s="60">
        <v>2011</v>
      </c>
      <c r="G1239" s="60" t="s">
        <v>4026</v>
      </c>
      <c r="H1239" s="65">
        <v>1200</v>
      </c>
      <c r="I1239" s="65">
        <v>1860</v>
      </c>
      <c r="J1239" s="60" t="s">
        <v>4034</v>
      </c>
      <c r="K1239" s="60">
        <v>27.188071000000001</v>
      </c>
      <c r="L1239">
        <v>56.246848</v>
      </c>
    </row>
    <row r="1240" spans="1:12" hidden="1" x14ac:dyDescent="0.35">
      <c r="A1240" s="60" t="s">
        <v>6045</v>
      </c>
      <c r="B1240" s="60" t="s">
        <v>2358</v>
      </c>
      <c r="C1240" s="60" t="s">
        <v>6042</v>
      </c>
      <c r="D1240" s="60" t="s">
        <v>387</v>
      </c>
      <c r="E1240" t="str">
        <f>VLOOKUP(Table10[[#This Row],[Country]],Countries!$A$1:$D$205,2,TRUE)</f>
        <v>IRN</v>
      </c>
      <c r="F1240" s="60">
        <v>2020</v>
      </c>
      <c r="G1240" s="60" t="s">
        <v>4026</v>
      </c>
      <c r="H1240" s="65">
        <v>1200</v>
      </c>
      <c r="I1240" s="65" t="s">
        <v>4022</v>
      </c>
      <c r="J1240" s="60" t="s">
        <v>4023</v>
      </c>
      <c r="K1240" s="60">
        <v>27.188071000000001</v>
      </c>
      <c r="L1240">
        <v>56.246848</v>
      </c>
    </row>
    <row r="1241" spans="1:12" hidden="1" x14ac:dyDescent="0.35">
      <c r="A1241" s="60" t="s">
        <v>6046</v>
      </c>
      <c r="B1241" s="60" t="s">
        <v>2358</v>
      </c>
      <c r="C1241" s="60" t="s">
        <v>6042</v>
      </c>
      <c r="D1241" s="60" t="s">
        <v>387</v>
      </c>
      <c r="E1241" t="str">
        <f>VLOOKUP(Table10[[#This Row],[Country]],Countries!$A$1:$D$205,2,TRUE)</f>
        <v>IRN</v>
      </c>
      <c r="F1241" s="60" t="s">
        <v>4036</v>
      </c>
      <c r="G1241" s="60" t="s">
        <v>4037</v>
      </c>
      <c r="H1241" s="65">
        <v>1500</v>
      </c>
      <c r="I1241" s="65">
        <v>1500</v>
      </c>
      <c r="J1241" s="60" t="s">
        <v>4034</v>
      </c>
      <c r="K1241" s="60">
        <v>27.189076</v>
      </c>
      <c r="L1241">
        <v>56.105632999999997</v>
      </c>
    </row>
    <row r="1242" spans="1:12" hidden="1" x14ac:dyDescent="0.35">
      <c r="A1242" s="60" t="s">
        <v>6047</v>
      </c>
      <c r="B1242" s="60" t="s">
        <v>2358</v>
      </c>
      <c r="C1242" s="60" t="s">
        <v>6042</v>
      </c>
      <c r="D1242" s="60" t="s">
        <v>387</v>
      </c>
      <c r="E1242" t="str">
        <f>VLOOKUP(Table10[[#This Row],[Country]],Countries!$A$1:$D$205,2,TRUE)</f>
        <v>IRN</v>
      </c>
      <c r="F1242" s="60" t="s">
        <v>4036</v>
      </c>
      <c r="G1242" s="60" t="s">
        <v>4037</v>
      </c>
      <c r="H1242" s="65">
        <v>1500</v>
      </c>
      <c r="I1242" s="65" t="s">
        <v>4022</v>
      </c>
      <c r="J1242" s="60" t="s">
        <v>4023</v>
      </c>
      <c r="K1242" s="60">
        <v>27.189076</v>
      </c>
      <c r="L1242">
        <v>56.105632999999997</v>
      </c>
    </row>
    <row r="1243" spans="1:12" hidden="1" x14ac:dyDescent="0.35">
      <c r="A1243" s="60" t="s">
        <v>6048</v>
      </c>
      <c r="B1243" s="60" t="s">
        <v>2358</v>
      </c>
      <c r="C1243" s="60" t="s">
        <v>6042</v>
      </c>
      <c r="D1243" s="60" t="s">
        <v>387</v>
      </c>
      <c r="E1243" t="str">
        <f>VLOOKUP(Table10[[#This Row],[Country]],Countries!$A$1:$D$205,2,TRUE)</f>
        <v>IRN</v>
      </c>
      <c r="F1243" s="60" t="s">
        <v>4036</v>
      </c>
      <c r="G1243" s="60" t="s">
        <v>4037</v>
      </c>
      <c r="H1243" s="65">
        <v>1500</v>
      </c>
      <c r="I1243" s="65" t="s">
        <v>4022</v>
      </c>
      <c r="J1243" s="60" t="s">
        <v>4023</v>
      </c>
      <c r="K1243" s="60">
        <v>27.189076</v>
      </c>
      <c r="L1243">
        <v>56.105632999999997</v>
      </c>
    </row>
    <row r="1244" spans="1:12" hidden="1" x14ac:dyDescent="0.35">
      <c r="A1244" s="60" t="s">
        <v>6049</v>
      </c>
      <c r="B1244" s="60" t="s">
        <v>6050</v>
      </c>
      <c r="C1244" s="60" t="s">
        <v>6042</v>
      </c>
      <c r="D1244" s="60" t="s">
        <v>387</v>
      </c>
      <c r="E1244" t="str">
        <f>VLOOKUP(Table10[[#This Row],[Country]],Countries!$A$1:$D$205,2,TRUE)</f>
        <v>IRN</v>
      </c>
      <c r="F1244" s="60">
        <v>2021</v>
      </c>
      <c r="G1244" s="60" t="s">
        <v>4026</v>
      </c>
      <c r="H1244" s="65">
        <v>1500</v>
      </c>
      <c r="I1244" s="65">
        <v>1700</v>
      </c>
      <c r="J1244" s="60" t="s">
        <v>4034</v>
      </c>
      <c r="K1244" s="60">
        <v>26.826494</v>
      </c>
      <c r="L1244">
        <v>55.957707999999997</v>
      </c>
    </row>
    <row r="1245" spans="1:12" hidden="1" x14ac:dyDescent="0.35">
      <c r="A1245" s="60" t="s">
        <v>6051</v>
      </c>
      <c r="B1245" s="60" t="s">
        <v>6050</v>
      </c>
      <c r="C1245" s="60" t="s">
        <v>6042</v>
      </c>
      <c r="D1245" s="60" t="s">
        <v>387</v>
      </c>
      <c r="E1245" t="str">
        <f>VLOOKUP(Table10[[#This Row],[Country]],Countries!$A$1:$D$205,2,TRUE)</f>
        <v>IRN</v>
      </c>
      <c r="F1245" s="60">
        <v>2023</v>
      </c>
      <c r="G1245" s="60" t="s">
        <v>4026</v>
      </c>
      <c r="H1245" s="65">
        <v>1500</v>
      </c>
      <c r="I1245" s="65">
        <v>1700</v>
      </c>
      <c r="J1245" s="60" t="s">
        <v>4034</v>
      </c>
      <c r="K1245" s="60">
        <v>26.826494</v>
      </c>
      <c r="L1245">
        <v>55.957707999999997</v>
      </c>
    </row>
    <row r="1246" spans="1:12" hidden="1" x14ac:dyDescent="0.35">
      <c r="A1246" s="60" t="s">
        <v>6052</v>
      </c>
      <c r="B1246" s="60" t="s">
        <v>6053</v>
      </c>
      <c r="C1246" s="60" t="s">
        <v>2361</v>
      </c>
      <c r="D1246" s="60" t="s">
        <v>387</v>
      </c>
      <c r="E1246" t="str">
        <f>VLOOKUP(Table10[[#This Row],[Country]],Countries!$A$1:$D$205,2,TRUE)</f>
        <v>IRN</v>
      </c>
      <c r="F1246" s="60">
        <v>1971</v>
      </c>
      <c r="G1246" s="60" t="s">
        <v>4026</v>
      </c>
      <c r="H1246" s="65">
        <v>4600</v>
      </c>
      <c r="I1246" s="65">
        <v>3600</v>
      </c>
      <c r="J1246" s="60" t="s">
        <v>4161</v>
      </c>
      <c r="K1246" s="60">
        <v>32.418303999999999</v>
      </c>
      <c r="L1246">
        <v>51.331313999999999</v>
      </c>
    </row>
    <row r="1247" spans="1:12" hidden="1" x14ac:dyDescent="0.35">
      <c r="A1247" s="60" t="s">
        <v>6054</v>
      </c>
      <c r="B1247" s="60" t="s">
        <v>6053</v>
      </c>
      <c r="C1247" s="60" t="s">
        <v>2361</v>
      </c>
      <c r="D1247" s="60" t="s">
        <v>387</v>
      </c>
      <c r="E1247" t="str">
        <f>VLOOKUP(Table10[[#This Row],[Country]],Countries!$A$1:$D$205,2,TRUE)</f>
        <v>IRN</v>
      </c>
      <c r="F1247" s="60" t="s">
        <v>4036</v>
      </c>
      <c r="G1247" s="60" t="s">
        <v>4037</v>
      </c>
      <c r="H1247" s="65">
        <v>1650</v>
      </c>
      <c r="I1247" s="65" t="s">
        <v>4036</v>
      </c>
      <c r="J1247" s="60" t="s">
        <v>4023</v>
      </c>
      <c r="K1247" s="60">
        <v>32.418303999999999</v>
      </c>
      <c r="L1247">
        <v>51.331313999999999</v>
      </c>
    </row>
    <row r="1248" spans="1:12" hidden="1" x14ac:dyDescent="0.35">
      <c r="A1248" s="60" t="s">
        <v>6055</v>
      </c>
      <c r="B1248" s="60" t="s">
        <v>6053</v>
      </c>
      <c r="C1248" s="60" t="s">
        <v>2361</v>
      </c>
      <c r="D1248" s="60" t="s">
        <v>387</v>
      </c>
      <c r="E1248" t="str">
        <f>VLOOKUP(Table10[[#This Row],[Country]],Countries!$A$1:$D$205,2,TRUE)</f>
        <v>IRN</v>
      </c>
      <c r="F1248" s="60" t="s">
        <v>4036</v>
      </c>
      <c r="G1248" s="60" t="s">
        <v>4037</v>
      </c>
      <c r="H1248" s="65">
        <v>2280</v>
      </c>
      <c r="I1248" s="65">
        <v>2280</v>
      </c>
      <c r="J1248" s="60" t="s">
        <v>4049</v>
      </c>
      <c r="K1248" s="60">
        <v>32.418303999999999</v>
      </c>
      <c r="L1248">
        <v>51.331313999999999</v>
      </c>
    </row>
    <row r="1249" spans="1:12" hidden="1" x14ac:dyDescent="0.35">
      <c r="A1249" s="60" t="s">
        <v>6056</v>
      </c>
      <c r="B1249" s="60" t="s">
        <v>6057</v>
      </c>
      <c r="C1249" s="60" t="s">
        <v>2361</v>
      </c>
      <c r="D1249" s="60" t="s">
        <v>387</v>
      </c>
      <c r="E1249" t="str">
        <f>VLOOKUP(Table10[[#This Row],[Country]],Countries!$A$1:$D$205,2,TRUE)</f>
        <v>IRN</v>
      </c>
      <c r="F1249" s="60">
        <v>1991</v>
      </c>
      <c r="G1249" s="60" t="s">
        <v>4026</v>
      </c>
      <c r="H1249" s="65">
        <v>10000</v>
      </c>
      <c r="I1249" s="65">
        <v>5000</v>
      </c>
      <c r="J1249" s="60" t="s">
        <v>4034</v>
      </c>
      <c r="K1249" s="60">
        <v>32.238827000000001</v>
      </c>
      <c r="L1249">
        <v>51.424745999999999</v>
      </c>
    </row>
    <row r="1250" spans="1:12" hidden="1" x14ac:dyDescent="0.35">
      <c r="A1250" s="60" t="s">
        <v>6058</v>
      </c>
      <c r="B1250" s="60" t="s">
        <v>6059</v>
      </c>
      <c r="C1250" s="60" t="s">
        <v>2361</v>
      </c>
      <c r="D1250" s="60" t="s">
        <v>387</v>
      </c>
      <c r="E1250" t="str">
        <f>VLOOKUP(Table10[[#This Row],[Country]],Countries!$A$1:$D$205,2,TRUE)</f>
        <v>IRN</v>
      </c>
      <c r="F1250" s="60">
        <v>1999</v>
      </c>
      <c r="G1250" s="60" t="s">
        <v>4026</v>
      </c>
      <c r="H1250" s="65">
        <v>1000</v>
      </c>
      <c r="I1250" s="65">
        <v>1500</v>
      </c>
      <c r="J1250" s="60" t="s">
        <v>4034</v>
      </c>
      <c r="K1250" s="60">
        <v>33.428592999999999</v>
      </c>
      <c r="L1250">
        <v>51.982272999999999</v>
      </c>
    </row>
    <row r="1251" spans="1:12" hidden="1" x14ac:dyDescent="0.35">
      <c r="A1251" s="60" t="s">
        <v>6060</v>
      </c>
      <c r="B1251" s="60" t="s">
        <v>6059</v>
      </c>
      <c r="C1251" s="60" t="s">
        <v>2361</v>
      </c>
      <c r="D1251" s="60" t="s">
        <v>387</v>
      </c>
      <c r="E1251" t="str">
        <f>VLOOKUP(Table10[[#This Row],[Country]],Countries!$A$1:$D$205,2,TRUE)</f>
        <v>IRN</v>
      </c>
      <c r="F1251" s="60" t="s">
        <v>4036</v>
      </c>
      <c r="G1251" s="60" t="s">
        <v>4037</v>
      </c>
      <c r="H1251" s="65">
        <v>850</v>
      </c>
      <c r="I1251" s="65" t="s">
        <v>4036</v>
      </c>
      <c r="J1251" s="60" t="s">
        <v>4023</v>
      </c>
      <c r="K1251" s="60">
        <v>33.428592999999999</v>
      </c>
      <c r="L1251">
        <v>51.982272999999999</v>
      </c>
    </row>
    <row r="1252" spans="1:12" hidden="1" x14ac:dyDescent="0.35">
      <c r="A1252" s="60" t="s">
        <v>6061</v>
      </c>
      <c r="B1252" s="60" t="s">
        <v>6062</v>
      </c>
      <c r="C1252" s="60" t="s">
        <v>6063</v>
      </c>
      <c r="D1252" s="60" t="s">
        <v>387</v>
      </c>
      <c r="E1252" t="str">
        <f>VLOOKUP(Table10[[#This Row],[Country]],Countries!$A$1:$D$205,2,TRUE)</f>
        <v>IRN</v>
      </c>
      <c r="F1252" s="60">
        <v>2015</v>
      </c>
      <c r="G1252" s="60" t="s">
        <v>4026</v>
      </c>
      <c r="H1252" s="65" t="s">
        <v>4022</v>
      </c>
      <c r="I1252" s="65">
        <v>3260</v>
      </c>
      <c r="J1252" s="60" t="s">
        <v>4030</v>
      </c>
      <c r="K1252" s="60">
        <v>29.928025999999999</v>
      </c>
      <c r="L1252">
        <v>56.576884999999997</v>
      </c>
    </row>
    <row r="1253" spans="1:12" hidden="1" x14ac:dyDescent="0.35">
      <c r="A1253" s="60" t="s">
        <v>6064</v>
      </c>
      <c r="B1253" s="60" t="s">
        <v>6062</v>
      </c>
      <c r="C1253" s="60" t="s">
        <v>6063</v>
      </c>
      <c r="D1253" s="60" t="s">
        <v>387</v>
      </c>
      <c r="E1253" t="str">
        <f>VLOOKUP(Table10[[#This Row],[Country]],Countries!$A$1:$D$205,2,TRUE)</f>
        <v>IRN</v>
      </c>
      <c r="F1253" s="60">
        <v>2024</v>
      </c>
      <c r="G1253" s="60" t="s">
        <v>4021</v>
      </c>
      <c r="H1253" s="65">
        <v>3000</v>
      </c>
      <c r="I1253" s="65">
        <v>1300</v>
      </c>
      <c r="J1253" s="60" t="s">
        <v>4034</v>
      </c>
      <c r="K1253" s="60">
        <v>29.928025999999999</v>
      </c>
      <c r="L1253">
        <v>56.576884999999997</v>
      </c>
    </row>
    <row r="1254" spans="1:12" hidden="1" x14ac:dyDescent="0.35">
      <c r="A1254" s="60" t="s">
        <v>6065</v>
      </c>
      <c r="B1254" s="60" t="s">
        <v>6062</v>
      </c>
      <c r="C1254" s="60" t="s">
        <v>6063</v>
      </c>
      <c r="D1254" s="60" t="s">
        <v>387</v>
      </c>
      <c r="E1254" t="str">
        <f>VLOOKUP(Table10[[#This Row],[Country]],Countries!$A$1:$D$205,2,TRUE)</f>
        <v>IRN</v>
      </c>
      <c r="F1254" s="60">
        <v>2013</v>
      </c>
      <c r="G1254" s="60" t="s">
        <v>4026</v>
      </c>
      <c r="H1254" s="65">
        <v>1000</v>
      </c>
      <c r="I1254" s="65">
        <v>1000</v>
      </c>
      <c r="J1254" s="60" t="s">
        <v>4034</v>
      </c>
      <c r="K1254" s="60">
        <v>29.928062000000001</v>
      </c>
      <c r="L1254">
        <v>56.736539</v>
      </c>
    </row>
    <row r="1255" spans="1:12" hidden="1" x14ac:dyDescent="0.35">
      <c r="A1255" s="60" t="s">
        <v>6066</v>
      </c>
      <c r="B1255" s="60" t="s">
        <v>6062</v>
      </c>
      <c r="C1255" s="60" t="s">
        <v>6063</v>
      </c>
      <c r="D1255" s="60" t="s">
        <v>387</v>
      </c>
      <c r="E1255" t="str">
        <f>VLOOKUP(Table10[[#This Row],[Country]],Countries!$A$1:$D$205,2,TRUE)</f>
        <v>IRN</v>
      </c>
      <c r="F1255" s="60" t="s">
        <v>4036</v>
      </c>
      <c r="G1255" s="60" t="s">
        <v>4037</v>
      </c>
      <c r="H1255" s="65">
        <v>1500</v>
      </c>
      <c r="I1255" s="65" t="s">
        <v>4036</v>
      </c>
      <c r="J1255" s="60" t="s">
        <v>4023</v>
      </c>
      <c r="K1255" s="60">
        <v>29.928062000000001</v>
      </c>
      <c r="L1255">
        <v>56.736539</v>
      </c>
    </row>
    <row r="1256" spans="1:12" hidden="1" x14ac:dyDescent="0.35">
      <c r="A1256" s="60" t="s">
        <v>6067</v>
      </c>
      <c r="B1256" s="60" t="s">
        <v>6068</v>
      </c>
      <c r="C1256" s="60" t="s">
        <v>6063</v>
      </c>
      <c r="D1256" s="60" t="s">
        <v>387</v>
      </c>
      <c r="E1256" t="str">
        <f>VLOOKUP(Table10[[#This Row],[Country]],Countries!$A$1:$D$205,2,TRUE)</f>
        <v>IRN</v>
      </c>
      <c r="F1256" s="60">
        <v>2011</v>
      </c>
      <c r="G1256" s="60" t="s">
        <v>4026</v>
      </c>
      <c r="H1256" s="65">
        <v>1500</v>
      </c>
      <c r="I1256" s="65">
        <v>2000</v>
      </c>
      <c r="J1256" s="60" t="s">
        <v>4034</v>
      </c>
      <c r="K1256" s="60">
        <v>30.602249</v>
      </c>
      <c r="L1256">
        <v>56.911473000000001</v>
      </c>
    </row>
    <row r="1257" spans="1:12" hidden="1" x14ac:dyDescent="0.35">
      <c r="A1257" s="60" t="s">
        <v>6069</v>
      </c>
      <c r="B1257" s="60" t="s">
        <v>6068</v>
      </c>
      <c r="C1257" s="60" t="s">
        <v>6063</v>
      </c>
      <c r="D1257" s="60" t="s">
        <v>387</v>
      </c>
      <c r="E1257" t="str">
        <f>VLOOKUP(Table10[[#This Row],[Country]],Countries!$A$1:$D$205,2,TRUE)</f>
        <v>IRN</v>
      </c>
      <c r="F1257" s="60">
        <v>2023</v>
      </c>
      <c r="G1257" s="60" t="s">
        <v>4021</v>
      </c>
      <c r="H1257" s="65">
        <v>1500</v>
      </c>
      <c r="I1257" s="65" t="s">
        <v>4036</v>
      </c>
      <c r="J1257" s="60" t="s">
        <v>4023</v>
      </c>
      <c r="K1257" s="60">
        <v>30.602249</v>
      </c>
      <c r="L1257">
        <v>56.911473000000001</v>
      </c>
    </row>
    <row r="1258" spans="1:12" hidden="1" x14ac:dyDescent="0.35">
      <c r="A1258" s="60" t="s">
        <v>6070</v>
      </c>
      <c r="B1258" s="60" t="s">
        <v>6071</v>
      </c>
      <c r="C1258" s="60" t="s">
        <v>6063</v>
      </c>
      <c r="D1258" s="60" t="s">
        <v>387</v>
      </c>
      <c r="E1258" t="str">
        <f>VLOOKUP(Table10[[#This Row],[Country]],Countries!$A$1:$D$205,2,TRUE)</f>
        <v>IRN</v>
      </c>
      <c r="F1258" s="60">
        <v>2009</v>
      </c>
      <c r="G1258" s="60" t="s">
        <v>4026</v>
      </c>
      <c r="H1258" s="65">
        <v>1200</v>
      </c>
      <c r="I1258" s="65">
        <v>2700</v>
      </c>
      <c r="J1258" s="60" t="s">
        <v>4034</v>
      </c>
      <c r="K1258" s="60">
        <v>29.091397000000001</v>
      </c>
      <c r="L1258">
        <v>55.333468000000003</v>
      </c>
    </row>
    <row r="1259" spans="1:12" hidden="1" x14ac:dyDescent="0.35">
      <c r="A1259" s="60" t="s">
        <v>6072</v>
      </c>
      <c r="B1259" s="60" t="s">
        <v>6071</v>
      </c>
      <c r="C1259" s="60" t="s">
        <v>6063</v>
      </c>
      <c r="D1259" s="60" t="s">
        <v>387</v>
      </c>
      <c r="E1259" t="str">
        <f>VLOOKUP(Table10[[#This Row],[Country]],Countries!$A$1:$D$205,2,TRUE)</f>
        <v>IRN</v>
      </c>
      <c r="F1259" s="60">
        <v>2024</v>
      </c>
      <c r="G1259" s="60" t="s">
        <v>4021</v>
      </c>
      <c r="H1259" s="65">
        <v>1300</v>
      </c>
      <c r="I1259" s="65" t="s">
        <v>4036</v>
      </c>
      <c r="J1259" s="60" t="s">
        <v>4023</v>
      </c>
      <c r="K1259" s="60">
        <v>29.091397000000001</v>
      </c>
      <c r="L1259">
        <v>55.333468000000003</v>
      </c>
    </row>
    <row r="1260" spans="1:12" hidden="1" x14ac:dyDescent="0.35">
      <c r="A1260" s="60" t="s">
        <v>6073</v>
      </c>
      <c r="B1260" s="60" t="s">
        <v>6074</v>
      </c>
      <c r="C1260" s="60" t="s">
        <v>6063</v>
      </c>
      <c r="D1260" s="60" t="s">
        <v>387</v>
      </c>
      <c r="E1260" t="str">
        <f>VLOOKUP(Table10[[#This Row],[Country]],Countries!$A$1:$D$205,2,TRUE)</f>
        <v>IRN</v>
      </c>
      <c r="F1260" s="60">
        <v>2008</v>
      </c>
      <c r="G1260" s="60" t="s">
        <v>4026</v>
      </c>
      <c r="H1260" s="65">
        <v>1500</v>
      </c>
      <c r="I1260" s="65">
        <v>1700</v>
      </c>
      <c r="J1260" s="60" t="s">
        <v>4049</v>
      </c>
      <c r="K1260" s="60">
        <v>30.755199999999999</v>
      </c>
      <c r="L1260">
        <v>56.664214999999999</v>
      </c>
    </row>
    <row r="1261" spans="1:12" hidden="1" x14ac:dyDescent="0.35">
      <c r="A1261" s="60" t="s">
        <v>6075</v>
      </c>
      <c r="B1261" s="60" t="s">
        <v>6076</v>
      </c>
      <c r="C1261" s="60" t="s">
        <v>6077</v>
      </c>
      <c r="D1261" s="60" t="s">
        <v>387</v>
      </c>
      <c r="E1261" t="str">
        <f>VLOOKUP(Table10[[#This Row],[Country]],Countries!$A$1:$D$205,2,TRUE)</f>
        <v>IRN</v>
      </c>
      <c r="F1261" s="60" t="s">
        <v>4036</v>
      </c>
      <c r="G1261" s="60" t="s">
        <v>4037</v>
      </c>
      <c r="H1261" s="65">
        <v>2500</v>
      </c>
      <c r="I1261" s="65">
        <v>1700</v>
      </c>
      <c r="J1261" s="60" t="s">
        <v>4034</v>
      </c>
      <c r="K1261" s="60">
        <v>30.385546999999999</v>
      </c>
      <c r="L1261">
        <v>48.212744999999998</v>
      </c>
    </row>
    <row r="1262" spans="1:12" hidden="1" x14ac:dyDescent="0.35">
      <c r="A1262" s="60" t="s">
        <v>6078</v>
      </c>
      <c r="B1262" s="60" t="s">
        <v>6079</v>
      </c>
      <c r="C1262" s="60" t="s">
        <v>6080</v>
      </c>
      <c r="D1262" s="60" t="s">
        <v>387</v>
      </c>
      <c r="E1262" t="str">
        <f>VLOOKUP(Table10[[#This Row],[Country]],Countries!$A$1:$D$205,2,TRUE)</f>
        <v>IRN</v>
      </c>
      <c r="F1262" s="60">
        <v>1989</v>
      </c>
      <c r="G1262" s="60" t="s">
        <v>4026</v>
      </c>
      <c r="H1262" s="65">
        <v>3600</v>
      </c>
      <c r="I1262" s="65">
        <v>4000</v>
      </c>
      <c r="J1262" s="60" t="s">
        <v>4034</v>
      </c>
      <c r="K1262" s="60">
        <v>30.429452000000001</v>
      </c>
      <c r="L1262">
        <v>49.093817999999999</v>
      </c>
    </row>
    <row r="1263" spans="1:12" hidden="1" x14ac:dyDescent="0.35">
      <c r="A1263" s="60" t="s">
        <v>6081</v>
      </c>
      <c r="B1263" s="60" t="s">
        <v>6079</v>
      </c>
      <c r="C1263" s="60" t="s">
        <v>6080</v>
      </c>
      <c r="D1263" s="60" t="s">
        <v>387</v>
      </c>
      <c r="E1263" t="str">
        <f>VLOOKUP(Table10[[#This Row],[Country]],Countries!$A$1:$D$205,2,TRUE)</f>
        <v>IRN</v>
      </c>
      <c r="F1263" s="60">
        <v>2023</v>
      </c>
      <c r="G1263" s="60" t="s">
        <v>4021</v>
      </c>
      <c r="H1263" s="65">
        <v>1000</v>
      </c>
      <c r="I1263" s="65" t="s">
        <v>4022</v>
      </c>
      <c r="J1263" s="60" t="s">
        <v>4023</v>
      </c>
      <c r="K1263" s="60">
        <v>30.429452000000001</v>
      </c>
      <c r="L1263">
        <v>49.093817999999999</v>
      </c>
    </row>
    <row r="1264" spans="1:12" hidden="1" x14ac:dyDescent="0.35">
      <c r="A1264" s="60" t="s">
        <v>6082</v>
      </c>
      <c r="B1264" s="60" t="s">
        <v>6079</v>
      </c>
      <c r="C1264" s="60" t="s">
        <v>6080</v>
      </c>
      <c r="D1264" s="60" t="s">
        <v>387</v>
      </c>
      <c r="E1264" t="str">
        <f>VLOOKUP(Table10[[#This Row],[Country]],Countries!$A$1:$D$205,2,TRUE)</f>
        <v>IRN</v>
      </c>
      <c r="F1264" s="60">
        <v>2025</v>
      </c>
      <c r="G1264" s="60" t="s">
        <v>4037</v>
      </c>
      <c r="H1264" s="65">
        <v>1200</v>
      </c>
      <c r="I1264" s="65" t="s">
        <v>4022</v>
      </c>
      <c r="J1264" s="60" t="s">
        <v>4023</v>
      </c>
      <c r="K1264" s="60">
        <v>30.447234000000002</v>
      </c>
      <c r="L1264">
        <v>49.071806600000002</v>
      </c>
    </row>
    <row r="1265" spans="1:12" hidden="1" x14ac:dyDescent="0.35">
      <c r="A1265" s="60" t="s">
        <v>6083</v>
      </c>
      <c r="B1265" s="60" t="s">
        <v>6079</v>
      </c>
      <c r="C1265" s="60" t="s">
        <v>6080</v>
      </c>
      <c r="D1265" s="60" t="s">
        <v>387</v>
      </c>
      <c r="E1265" t="str">
        <f>VLOOKUP(Table10[[#This Row],[Country]],Countries!$A$1:$D$205,2,TRUE)</f>
        <v>IRN</v>
      </c>
      <c r="F1265" s="60" t="s">
        <v>4036</v>
      </c>
      <c r="G1265" s="60" t="s">
        <v>4037</v>
      </c>
      <c r="H1265" s="65">
        <v>700</v>
      </c>
      <c r="I1265" s="65" t="s">
        <v>4022</v>
      </c>
      <c r="J1265" s="60" t="s">
        <v>4023</v>
      </c>
      <c r="K1265" s="60">
        <v>31.283549000000001</v>
      </c>
      <c r="L1265">
        <v>48.572468000000001</v>
      </c>
    </row>
    <row r="1266" spans="1:12" hidden="1" x14ac:dyDescent="0.35">
      <c r="A1266" s="60" t="s">
        <v>6084</v>
      </c>
      <c r="B1266" s="60" t="s">
        <v>6085</v>
      </c>
      <c r="C1266" s="60" t="s">
        <v>6080</v>
      </c>
      <c r="D1266" s="60" t="s">
        <v>387</v>
      </c>
      <c r="E1266" t="str">
        <f>VLOOKUP(Table10[[#This Row],[Country]],Countries!$A$1:$D$205,2,TRUE)</f>
        <v>IRN</v>
      </c>
      <c r="F1266" s="60">
        <v>2021</v>
      </c>
      <c r="G1266" s="60" t="s">
        <v>4026</v>
      </c>
      <c r="H1266" s="65">
        <v>1500</v>
      </c>
      <c r="I1266" s="65" t="s">
        <v>4022</v>
      </c>
      <c r="J1266" s="60" t="s">
        <v>4023</v>
      </c>
      <c r="K1266" s="60">
        <v>30.505458000000001</v>
      </c>
      <c r="L1266">
        <v>48.272024000000002</v>
      </c>
    </row>
    <row r="1267" spans="1:12" hidden="1" x14ac:dyDescent="0.35">
      <c r="A1267" s="60" t="s">
        <v>6086</v>
      </c>
      <c r="B1267" s="60" t="s">
        <v>6085</v>
      </c>
      <c r="C1267" s="60" t="s">
        <v>6080</v>
      </c>
      <c r="D1267" s="60" t="s">
        <v>387</v>
      </c>
      <c r="E1267" t="str">
        <f>VLOOKUP(Table10[[#This Row],[Country]],Countries!$A$1:$D$205,2,TRUE)</f>
        <v>IRN</v>
      </c>
      <c r="F1267" s="60">
        <v>2022</v>
      </c>
      <c r="G1267" s="60" t="s">
        <v>4026</v>
      </c>
      <c r="H1267" s="65">
        <v>1200</v>
      </c>
      <c r="I1267" s="65" t="s">
        <v>4022</v>
      </c>
      <c r="J1267" s="60" t="s">
        <v>4023</v>
      </c>
      <c r="K1267" s="60">
        <v>30.505458000000001</v>
      </c>
      <c r="L1267">
        <v>48.272024000000002</v>
      </c>
    </row>
    <row r="1268" spans="1:12" hidden="1" x14ac:dyDescent="0.35">
      <c r="A1268" s="60" t="s">
        <v>6087</v>
      </c>
      <c r="B1268" s="60" t="s">
        <v>6085</v>
      </c>
      <c r="C1268" s="60" t="s">
        <v>6080</v>
      </c>
      <c r="D1268" s="60" t="s">
        <v>387</v>
      </c>
      <c r="E1268" t="str">
        <f>VLOOKUP(Table10[[#This Row],[Country]],Countries!$A$1:$D$205,2,TRUE)</f>
        <v>IRN</v>
      </c>
      <c r="F1268" s="60" t="s">
        <v>4036</v>
      </c>
      <c r="G1268" s="60" t="s">
        <v>4037</v>
      </c>
      <c r="H1268" s="65">
        <v>1200</v>
      </c>
      <c r="I1268" s="65" t="s">
        <v>4022</v>
      </c>
      <c r="J1268" s="60" t="s">
        <v>4023</v>
      </c>
      <c r="K1268" s="60">
        <v>30.505458000000001</v>
      </c>
      <c r="L1268">
        <v>48.272024000000002</v>
      </c>
    </row>
    <row r="1269" spans="1:12" hidden="1" x14ac:dyDescent="0.35">
      <c r="A1269" s="60" t="s">
        <v>6088</v>
      </c>
      <c r="B1269" s="60" t="s">
        <v>6089</v>
      </c>
      <c r="C1269" s="60" t="s">
        <v>6090</v>
      </c>
      <c r="D1269" s="60" t="s">
        <v>387</v>
      </c>
      <c r="E1269" t="str">
        <f>VLOOKUP(Table10[[#This Row],[Country]],Countries!$A$1:$D$205,2,TRUE)</f>
        <v>IRN</v>
      </c>
      <c r="F1269" s="60">
        <v>2022</v>
      </c>
      <c r="G1269" s="60" t="s">
        <v>4021</v>
      </c>
      <c r="H1269" s="65">
        <v>1000</v>
      </c>
      <c r="I1269" s="65" t="s">
        <v>4036</v>
      </c>
      <c r="J1269" s="60" t="s">
        <v>4023</v>
      </c>
      <c r="K1269" s="60">
        <v>36.240352000000001</v>
      </c>
      <c r="L1269">
        <v>46.278404999999999</v>
      </c>
    </row>
    <row r="1270" spans="1:12" hidden="1" x14ac:dyDescent="0.35">
      <c r="A1270" s="60" t="s">
        <v>6091</v>
      </c>
      <c r="B1270" s="60" t="s">
        <v>6092</v>
      </c>
      <c r="C1270" s="60" t="s">
        <v>6093</v>
      </c>
      <c r="D1270" s="60" t="s">
        <v>387</v>
      </c>
      <c r="E1270" t="str">
        <f>VLOOKUP(Table10[[#This Row],[Country]],Countries!$A$1:$D$205,2,TRUE)</f>
        <v>IRN</v>
      </c>
      <c r="F1270" s="60" t="s">
        <v>4036</v>
      </c>
      <c r="G1270" s="60" t="s">
        <v>4037</v>
      </c>
      <c r="H1270" s="65">
        <v>700</v>
      </c>
      <c r="I1270" s="65" t="s">
        <v>4036</v>
      </c>
      <c r="J1270" s="60" t="s">
        <v>4023</v>
      </c>
      <c r="K1270" s="60">
        <v>33.461897999999998</v>
      </c>
      <c r="L1270">
        <v>49.459994000000002</v>
      </c>
    </row>
    <row r="1271" spans="1:12" hidden="1" x14ac:dyDescent="0.35">
      <c r="A1271" s="60" t="s">
        <v>6094</v>
      </c>
      <c r="B1271" s="60" t="s">
        <v>6092</v>
      </c>
      <c r="C1271" s="60" t="s">
        <v>6093</v>
      </c>
      <c r="D1271" s="60" t="s">
        <v>387</v>
      </c>
      <c r="E1271" t="str">
        <f>VLOOKUP(Table10[[#This Row],[Country]],Countries!$A$1:$D$205,2,TRUE)</f>
        <v>IRN</v>
      </c>
      <c r="F1271" s="60">
        <v>2020</v>
      </c>
      <c r="G1271" s="60" t="s">
        <v>4026</v>
      </c>
      <c r="H1271" s="65">
        <v>1200</v>
      </c>
      <c r="I1271" s="65" t="s">
        <v>4036</v>
      </c>
      <c r="J1271" s="60" t="s">
        <v>4023</v>
      </c>
      <c r="K1271" s="60">
        <v>33.461897999999998</v>
      </c>
      <c r="L1271">
        <v>49.459994000000002</v>
      </c>
    </row>
    <row r="1272" spans="1:12" hidden="1" x14ac:dyDescent="0.35">
      <c r="A1272" s="60" t="s">
        <v>6095</v>
      </c>
      <c r="B1272" s="60" t="s">
        <v>6096</v>
      </c>
      <c r="C1272" s="60" t="s">
        <v>6097</v>
      </c>
      <c r="D1272" s="60" t="s">
        <v>387</v>
      </c>
      <c r="E1272" t="str">
        <f>VLOOKUP(Table10[[#This Row],[Country]],Countries!$A$1:$D$205,2,TRUE)</f>
        <v>IRN</v>
      </c>
      <c r="F1272" s="60" t="s">
        <v>4036</v>
      </c>
      <c r="G1272" s="60" t="s">
        <v>4037</v>
      </c>
      <c r="H1272" s="65">
        <v>800</v>
      </c>
      <c r="I1272" s="65" t="s">
        <v>4036</v>
      </c>
      <c r="J1272" s="60" t="s">
        <v>4023</v>
      </c>
      <c r="K1272" s="60">
        <v>36.614049000000001</v>
      </c>
      <c r="L1272">
        <v>53.234212999999997</v>
      </c>
    </row>
    <row r="1273" spans="1:12" hidden="1" x14ac:dyDescent="0.35">
      <c r="A1273" s="60" t="s">
        <v>6098</v>
      </c>
      <c r="B1273" s="60" t="s">
        <v>6099</v>
      </c>
      <c r="C1273" s="60" t="s">
        <v>6100</v>
      </c>
      <c r="D1273" s="60" t="s">
        <v>387</v>
      </c>
      <c r="E1273" t="str">
        <f>VLOOKUP(Table10[[#This Row],[Country]],Countries!$A$1:$D$205,2,TRUE)</f>
        <v>IRN</v>
      </c>
      <c r="F1273" s="60" t="s">
        <v>4036</v>
      </c>
      <c r="G1273" s="60" t="s">
        <v>4021</v>
      </c>
      <c r="H1273" s="65">
        <v>800</v>
      </c>
      <c r="I1273" s="65" t="s">
        <v>4022</v>
      </c>
      <c r="J1273" s="60" t="s">
        <v>4023</v>
      </c>
      <c r="K1273" s="60">
        <v>36.637759000000003</v>
      </c>
      <c r="L1273">
        <v>57.508265999999999</v>
      </c>
    </row>
    <row r="1274" spans="1:12" hidden="1" x14ac:dyDescent="0.35">
      <c r="A1274" s="60" t="s">
        <v>6101</v>
      </c>
      <c r="B1274" s="60" t="s">
        <v>6102</v>
      </c>
      <c r="C1274" s="60" t="s">
        <v>6100</v>
      </c>
      <c r="D1274" s="60" t="s">
        <v>387</v>
      </c>
      <c r="E1274" t="str">
        <f>VLOOKUP(Table10[[#This Row],[Country]],Countries!$A$1:$D$205,2,TRUE)</f>
        <v>IRN</v>
      </c>
      <c r="F1274" s="60">
        <v>2001</v>
      </c>
      <c r="G1274" s="60" t="s">
        <v>4026</v>
      </c>
      <c r="H1274" s="65">
        <v>1500</v>
      </c>
      <c r="I1274" s="65">
        <v>1800</v>
      </c>
      <c r="J1274" s="60" t="s">
        <v>4034</v>
      </c>
      <c r="K1274" s="60">
        <v>36.343459000000003</v>
      </c>
      <c r="L1274">
        <v>58.673690999999998</v>
      </c>
    </row>
    <row r="1275" spans="1:12" hidden="1" x14ac:dyDescent="0.35">
      <c r="A1275" s="60" t="s">
        <v>6103</v>
      </c>
      <c r="B1275" s="60" t="s">
        <v>6102</v>
      </c>
      <c r="C1275" s="60" t="s">
        <v>6100</v>
      </c>
      <c r="D1275" s="60" t="s">
        <v>387</v>
      </c>
      <c r="E1275" t="str">
        <f>VLOOKUP(Table10[[#This Row],[Country]],Countries!$A$1:$D$205,2,TRUE)</f>
        <v>IRN</v>
      </c>
      <c r="F1275" s="60">
        <v>2023</v>
      </c>
      <c r="G1275" s="60" t="s">
        <v>4021</v>
      </c>
      <c r="H1275" s="65">
        <v>500</v>
      </c>
      <c r="I1275" s="65">
        <v>500</v>
      </c>
      <c r="J1275" s="60" t="s">
        <v>4023</v>
      </c>
      <c r="K1275" s="60">
        <v>36.121408000000002</v>
      </c>
      <c r="L1275">
        <v>58.613691000000003</v>
      </c>
    </row>
    <row r="1276" spans="1:12" hidden="1" x14ac:dyDescent="0.35">
      <c r="A1276" s="60" t="s">
        <v>6104</v>
      </c>
      <c r="B1276" s="60" t="s">
        <v>6105</v>
      </c>
      <c r="C1276" s="60" t="s">
        <v>6100</v>
      </c>
      <c r="D1276" s="60" t="s">
        <v>387</v>
      </c>
      <c r="E1276" t="str">
        <f>VLOOKUP(Table10[[#This Row],[Country]],Countries!$A$1:$D$205,2,TRUE)</f>
        <v>IRN</v>
      </c>
      <c r="F1276" s="60">
        <v>2023</v>
      </c>
      <c r="G1276" s="60" t="s">
        <v>4021</v>
      </c>
      <c r="H1276" s="65">
        <v>1500</v>
      </c>
      <c r="I1276" s="65">
        <v>1850</v>
      </c>
      <c r="J1276" s="60" t="s">
        <v>4034</v>
      </c>
      <c r="K1276" s="60">
        <v>35.594881999999998</v>
      </c>
      <c r="L1276">
        <v>59.205984000000001</v>
      </c>
    </row>
    <row r="1277" spans="1:12" hidden="1" x14ac:dyDescent="0.35">
      <c r="A1277" s="60" t="s">
        <v>6106</v>
      </c>
      <c r="B1277" s="60" t="s">
        <v>6107</v>
      </c>
      <c r="C1277" s="60" t="s">
        <v>6108</v>
      </c>
      <c r="D1277" s="60" t="s">
        <v>387</v>
      </c>
      <c r="E1277" t="str">
        <f>VLOOKUP(Table10[[#This Row],[Country]],Countries!$A$1:$D$205,2,TRUE)</f>
        <v>IRN</v>
      </c>
      <c r="F1277" s="60">
        <v>2030</v>
      </c>
      <c r="G1277" s="60" t="s">
        <v>4021</v>
      </c>
      <c r="H1277" s="65">
        <v>3200</v>
      </c>
      <c r="I1277" s="65">
        <v>1600</v>
      </c>
      <c r="J1277" s="60" t="s">
        <v>4034</v>
      </c>
      <c r="K1277" s="60">
        <v>25.294367999999999</v>
      </c>
      <c r="L1277">
        <v>60.647587000000001</v>
      </c>
    </row>
    <row r="1278" spans="1:12" hidden="1" x14ac:dyDescent="0.35">
      <c r="A1278" s="60" t="s">
        <v>6109</v>
      </c>
      <c r="B1278" s="60" t="s">
        <v>6110</v>
      </c>
      <c r="C1278" s="60" t="s">
        <v>6111</v>
      </c>
      <c r="D1278" s="60" t="s">
        <v>387</v>
      </c>
      <c r="E1278" t="str">
        <f>VLOOKUP(Table10[[#This Row],[Country]],Countries!$A$1:$D$205,2,TRUE)</f>
        <v>IRN</v>
      </c>
      <c r="F1278" s="60">
        <v>2022</v>
      </c>
      <c r="G1278" s="60" t="s">
        <v>4026</v>
      </c>
      <c r="H1278" s="65">
        <v>800</v>
      </c>
      <c r="I1278" s="65">
        <v>800</v>
      </c>
      <c r="J1278" s="60" t="s">
        <v>4034</v>
      </c>
      <c r="K1278" s="60">
        <v>33.729751</v>
      </c>
      <c r="L1278">
        <v>59.185881000000002</v>
      </c>
    </row>
    <row r="1279" spans="1:12" hidden="1" x14ac:dyDescent="0.35">
      <c r="A1279" s="60" t="s">
        <v>6112</v>
      </c>
      <c r="B1279" s="60" t="s">
        <v>6113</v>
      </c>
      <c r="C1279" s="60" t="s">
        <v>2491</v>
      </c>
      <c r="D1279" s="60" t="s">
        <v>387</v>
      </c>
      <c r="E1279" t="str">
        <f>VLOOKUP(Table10[[#This Row],[Country]],Countries!$A$1:$D$205,2,TRUE)</f>
        <v>IRN</v>
      </c>
      <c r="F1279" s="60">
        <v>2022</v>
      </c>
      <c r="G1279" s="60" t="s">
        <v>4021</v>
      </c>
      <c r="H1279" s="65">
        <v>600</v>
      </c>
      <c r="I1279" s="65" t="s">
        <v>4022</v>
      </c>
      <c r="J1279" s="60" t="s">
        <v>4023</v>
      </c>
      <c r="K1279" s="60">
        <v>31.128869000000002</v>
      </c>
      <c r="L1279">
        <v>53.274504999999998</v>
      </c>
    </row>
    <row r="1280" spans="1:12" hidden="1" x14ac:dyDescent="0.35">
      <c r="A1280" s="60" t="s">
        <v>6114</v>
      </c>
      <c r="B1280" s="60" t="s">
        <v>6115</v>
      </c>
      <c r="C1280" s="60" t="s">
        <v>2491</v>
      </c>
      <c r="D1280" s="60" t="s">
        <v>387</v>
      </c>
      <c r="E1280" t="str">
        <f>VLOOKUP(Table10[[#This Row],[Country]],Countries!$A$1:$D$205,2,TRUE)</f>
        <v>IRN</v>
      </c>
      <c r="F1280" s="60">
        <v>2011</v>
      </c>
      <c r="G1280" s="60" t="s">
        <v>4026</v>
      </c>
      <c r="H1280" s="65">
        <v>800</v>
      </c>
      <c r="I1280" s="65">
        <v>800</v>
      </c>
      <c r="J1280" s="60" t="s">
        <v>4034</v>
      </c>
      <c r="K1280" s="60">
        <v>32.389570999999997</v>
      </c>
      <c r="L1280">
        <v>53.750272000000002</v>
      </c>
    </row>
    <row r="1281" spans="1:12" hidden="1" x14ac:dyDescent="0.35">
      <c r="A1281" s="60" t="s">
        <v>6116</v>
      </c>
      <c r="B1281" s="60" t="s">
        <v>6115</v>
      </c>
      <c r="C1281" s="60" t="s">
        <v>2491</v>
      </c>
      <c r="D1281" s="60" t="s">
        <v>387</v>
      </c>
      <c r="E1281" t="str">
        <f>VLOOKUP(Table10[[#This Row],[Country]],Countries!$A$1:$D$205,2,TRUE)</f>
        <v>IRN</v>
      </c>
      <c r="F1281" s="60">
        <v>2012</v>
      </c>
      <c r="G1281" s="60" t="s">
        <v>4026</v>
      </c>
      <c r="H1281" s="65" t="s">
        <v>4022</v>
      </c>
      <c r="I1281" s="65">
        <v>1500</v>
      </c>
      <c r="J1281" s="60" t="s">
        <v>4030</v>
      </c>
      <c r="K1281" s="60">
        <v>32.373942</v>
      </c>
      <c r="L1281">
        <v>53.759655000000002</v>
      </c>
    </row>
    <row r="1282" spans="1:12" hidden="1" x14ac:dyDescent="0.35">
      <c r="A1282" s="60" t="s">
        <v>6117</v>
      </c>
      <c r="B1282" s="60" t="s">
        <v>6115</v>
      </c>
      <c r="C1282" s="60" t="s">
        <v>2491</v>
      </c>
      <c r="D1282" s="60" t="s">
        <v>387</v>
      </c>
      <c r="E1282" t="str">
        <f>VLOOKUP(Table10[[#This Row],[Country]],Countries!$A$1:$D$205,2,TRUE)</f>
        <v>IRN</v>
      </c>
      <c r="F1282" s="60" t="s">
        <v>4036</v>
      </c>
      <c r="G1282" s="60" t="s">
        <v>4037</v>
      </c>
      <c r="H1282" s="65">
        <v>1000</v>
      </c>
      <c r="I1282" s="65" t="s">
        <v>4110</v>
      </c>
      <c r="J1282" s="60" t="s">
        <v>4034</v>
      </c>
      <c r="K1282" s="60">
        <v>32.373942</v>
      </c>
      <c r="L1282">
        <v>53.759655000000002</v>
      </c>
    </row>
    <row r="1283" spans="1:12" hidden="1" x14ac:dyDescent="0.35">
      <c r="A1283" s="60" t="s">
        <v>6118</v>
      </c>
      <c r="B1283" s="60" t="s">
        <v>6119</v>
      </c>
      <c r="C1283" s="60" t="s">
        <v>2491</v>
      </c>
      <c r="D1283" s="60" t="s">
        <v>387</v>
      </c>
      <c r="E1283" t="str">
        <f>VLOOKUP(Table10[[#This Row],[Country]],Countries!$A$1:$D$205,2,TRUE)</f>
        <v>IRN</v>
      </c>
      <c r="F1283" s="60">
        <v>2022</v>
      </c>
      <c r="G1283" s="60" t="s">
        <v>4021</v>
      </c>
      <c r="H1283" s="65">
        <v>200</v>
      </c>
      <c r="I1283" s="65">
        <v>400</v>
      </c>
      <c r="J1283" s="60" t="s">
        <v>4034</v>
      </c>
      <c r="K1283" s="60">
        <v>32.393090000000001</v>
      </c>
      <c r="L1283">
        <v>53.756599999999999</v>
      </c>
    </row>
    <row r="1284" spans="1:12" hidden="1" x14ac:dyDescent="0.35">
      <c r="A1284" s="60" t="s">
        <v>6120</v>
      </c>
      <c r="B1284" s="60" t="s">
        <v>6119</v>
      </c>
      <c r="C1284" s="60" t="s">
        <v>2491</v>
      </c>
      <c r="D1284" s="60" t="s">
        <v>387</v>
      </c>
      <c r="E1284" t="str">
        <f>VLOOKUP(Table10[[#This Row],[Country]],Countries!$A$1:$D$205,2,TRUE)</f>
        <v>IRN</v>
      </c>
      <c r="F1284" s="60">
        <v>1991</v>
      </c>
      <c r="G1284" s="60" t="s">
        <v>4026</v>
      </c>
      <c r="H1284" s="65">
        <v>800</v>
      </c>
      <c r="I1284" s="65">
        <v>800</v>
      </c>
      <c r="J1284" s="60" t="s">
        <v>4034</v>
      </c>
      <c r="K1284" s="60">
        <v>32.393090000000001</v>
      </c>
      <c r="L1284">
        <v>53.756599999999999</v>
      </c>
    </row>
    <row r="1285" spans="1:12" hidden="1" x14ac:dyDescent="0.35">
      <c r="A1285" s="60" t="s">
        <v>6121</v>
      </c>
      <c r="B1285" s="60" t="s">
        <v>6122</v>
      </c>
      <c r="C1285" s="60" t="s">
        <v>2491</v>
      </c>
      <c r="D1285" s="60" t="s">
        <v>387</v>
      </c>
      <c r="E1285" t="str">
        <f>VLOOKUP(Table10[[#This Row],[Country]],Countries!$A$1:$D$205,2,TRUE)</f>
        <v>IRN</v>
      </c>
      <c r="F1285" s="60">
        <v>1999</v>
      </c>
      <c r="G1285" s="60" t="s">
        <v>4026</v>
      </c>
      <c r="H1285" s="65">
        <v>600</v>
      </c>
      <c r="I1285" s="65" t="s">
        <v>4022</v>
      </c>
      <c r="J1285" s="60" t="s">
        <v>4023</v>
      </c>
      <c r="K1285" s="60">
        <v>31.940106</v>
      </c>
      <c r="L1285">
        <v>54.037613999999998</v>
      </c>
    </row>
    <row r="1286" spans="1:12" hidden="1" x14ac:dyDescent="0.35">
      <c r="A1286" s="60" t="s">
        <v>6123</v>
      </c>
      <c r="B1286" s="60" t="s">
        <v>6122</v>
      </c>
      <c r="C1286" s="60" t="s">
        <v>2491</v>
      </c>
      <c r="D1286" s="60" t="s">
        <v>387</v>
      </c>
      <c r="E1286" t="str">
        <f>VLOOKUP(Table10[[#This Row],[Country]],Countries!$A$1:$D$205,2,TRUE)</f>
        <v>IRN</v>
      </c>
      <c r="F1286" s="60">
        <v>2023</v>
      </c>
      <c r="G1286" s="60" t="s">
        <v>4021</v>
      </c>
      <c r="H1286" s="65">
        <v>1000</v>
      </c>
      <c r="I1286" s="65" t="s">
        <v>4022</v>
      </c>
      <c r="J1286" s="60" t="s">
        <v>4023</v>
      </c>
      <c r="K1286" s="60">
        <v>31.940106</v>
      </c>
      <c r="L1286">
        <v>54.037613999999998</v>
      </c>
    </row>
    <row r="1287" spans="1:12" hidden="1" x14ac:dyDescent="0.35">
      <c r="A1287" s="60" t="s">
        <v>6124</v>
      </c>
      <c r="B1287" s="60" t="s">
        <v>6125</v>
      </c>
      <c r="C1287" s="60" t="s">
        <v>2491</v>
      </c>
      <c r="D1287" s="60" t="s">
        <v>387</v>
      </c>
      <c r="E1287" t="str">
        <f>VLOOKUP(Table10[[#This Row],[Country]],Countries!$A$1:$D$205,2,TRUE)</f>
        <v>IRN</v>
      </c>
      <c r="F1287" s="60">
        <v>2023</v>
      </c>
      <c r="G1287" s="60" t="s">
        <v>4026</v>
      </c>
      <c r="H1287" s="65">
        <v>1200</v>
      </c>
      <c r="I1287" s="65">
        <v>800</v>
      </c>
      <c r="J1287" s="60" t="s">
        <v>4034</v>
      </c>
      <c r="K1287" s="60">
        <v>31.699307000000001</v>
      </c>
      <c r="L1287">
        <v>55.440187000000002</v>
      </c>
    </row>
    <row r="1288" spans="1:12" hidden="1" x14ac:dyDescent="0.35">
      <c r="A1288" s="60" t="s">
        <v>6126</v>
      </c>
      <c r="B1288" s="60" t="s">
        <v>2491</v>
      </c>
      <c r="C1288" s="60" t="s">
        <v>2491</v>
      </c>
      <c r="D1288" s="60" t="s">
        <v>387</v>
      </c>
      <c r="E1288" t="str">
        <f>VLOOKUP(Table10[[#This Row],[Country]],Countries!$A$1:$D$205,2,TRUE)</f>
        <v>IRN</v>
      </c>
      <c r="F1288" s="60">
        <v>2022</v>
      </c>
      <c r="G1288" s="60" t="s">
        <v>4021</v>
      </c>
      <c r="H1288" s="65">
        <v>450</v>
      </c>
      <c r="I1288" s="65">
        <v>700</v>
      </c>
      <c r="J1288" s="60" t="s">
        <v>4034</v>
      </c>
      <c r="K1288" s="60">
        <v>31.900469999999999</v>
      </c>
      <c r="L1288">
        <v>54.35942</v>
      </c>
    </row>
    <row r="1289" spans="1:12" hidden="1" x14ac:dyDescent="0.35">
      <c r="A1289" s="60" t="s">
        <v>6127</v>
      </c>
      <c r="B1289" s="60" t="s">
        <v>2491</v>
      </c>
      <c r="C1289" s="60" t="s">
        <v>2491</v>
      </c>
      <c r="D1289" s="60" t="s">
        <v>387</v>
      </c>
      <c r="E1289" t="str">
        <f>VLOOKUP(Table10[[#This Row],[Country]],Countries!$A$1:$D$205,2,TRUE)</f>
        <v>IRN</v>
      </c>
      <c r="F1289" s="60" t="s">
        <v>4036</v>
      </c>
      <c r="G1289" s="60" t="s">
        <v>4037</v>
      </c>
      <c r="H1289" s="65">
        <v>1300</v>
      </c>
      <c r="I1289" s="65">
        <v>1050</v>
      </c>
      <c r="J1289" s="60" t="s">
        <v>4034</v>
      </c>
      <c r="K1289" s="60">
        <v>31.900469999999999</v>
      </c>
      <c r="L1289">
        <v>54.35942</v>
      </c>
    </row>
    <row r="1290" spans="1:12" hidden="1" x14ac:dyDescent="0.35">
      <c r="A1290" s="60" t="s">
        <v>6128</v>
      </c>
      <c r="B1290" s="60" t="s">
        <v>6129</v>
      </c>
      <c r="C1290" s="60" t="s">
        <v>6130</v>
      </c>
      <c r="D1290" s="60" t="s">
        <v>387</v>
      </c>
      <c r="E1290" t="str">
        <f>VLOOKUP(Table10[[#This Row],[Country]],Countries!$A$1:$D$205,2,TRUE)</f>
        <v>IRN</v>
      </c>
      <c r="F1290" s="60">
        <v>2005</v>
      </c>
      <c r="G1290" s="60" t="s">
        <v>4026</v>
      </c>
      <c r="H1290" s="65">
        <v>1500</v>
      </c>
      <c r="I1290" s="65">
        <v>1200</v>
      </c>
      <c r="J1290" s="60" t="s">
        <v>4034</v>
      </c>
      <c r="K1290" s="60">
        <v>36.119287999999997</v>
      </c>
      <c r="L1290">
        <v>49.306341000000003</v>
      </c>
    </row>
    <row r="1291" spans="1:12" hidden="1" x14ac:dyDescent="0.35">
      <c r="A1291" s="60" t="s">
        <v>6131</v>
      </c>
      <c r="B1291" s="60" t="s">
        <v>6129</v>
      </c>
      <c r="C1291" s="60" t="s">
        <v>6130</v>
      </c>
      <c r="D1291" s="60" t="s">
        <v>387</v>
      </c>
      <c r="E1291" t="str">
        <f>VLOOKUP(Table10[[#This Row],[Country]],Countries!$A$1:$D$205,2,TRUE)</f>
        <v>IRN</v>
      </c>
      <c r="F1291" s="60">
        <v>2021</v>
      </c>
      <c r="G1291" s="60" t="s">
        <v>4026</v>
      </c>
      <c r="H1291" s="65">
        <v>1000</v>
      </c>
      <c r="I1291" s="65" t="s">
        <v>4036</v>
      </c>
      <c r="J1291" s="60" t="s">
        <v>4023</v>
      </c>
      <c r="K1291" s="60">
        <v>36.119287999999997</v>
      </c>
      <c r="L1291">
        <v>49.306341000000003</v>
      </c>
    </row>
    <row r="1292" spans="1:12" hidden="1" x14ac:dyDescent="0.35">
      <c r="A1292" s="60" t="s">
        <v>6132</v>
      </c>
      <c r="B1292" s="60" t="s">
        <v>6133</v>
      </c>
      <c r="C1292" s="60" t="s">
        <v>6134</v>
      </c>
      <c r="D1292" s="60" t="s">
        <v>390</v>
      </c>
      <c r="E1292" t="str">
        <f>VLOOKUP(Table10[[#This Row],[Country]],Countries!$A$1:$D$205,2,TRUE)</f>
        <v>IRQ</v>
      </c>
      <c r="F1292" s="60">
        <v>2022</v>
      </c>
      <c r="G1292" s="60" t="s">
        <v>4026</v>
      </c>
      <c r="H1292" s="65">
        <v>500</v>
      </c>
      <c r="I1292" s="65" t="s">
        <v>4110</v>
      </c>
      <c r="J1292" s="60" t="s">
        <v>4023</v>
      </c>
      <c r="K1292" s="60">
        <v>30.247163400000002</v>
      </c>
      <c r="L1292">
        <v>47.832417999999997</v>
      </c>
    </row>
    <row r="1293" spans="1:12" hidden="1" x14ac:dyDescent="0.35">
      <c r="A1293" s="60" t="s">
        <v>6135</v>
      </c>
      <c r="B1293" s="60" t="s">
        <v>6136</v>
      </c>
      <c r="C1293" s="60" t="s">
        <v>6090</v>
      </c>
      <c r="D1293" s="60" t="s">
        <v>390</v>
      </c>
      <c r="E1293" t="str">
        <f>VLOOKUP(Table10[[#This Row],[Country]],Countries!$A$1:$D$205,2,TRUE)</f>
        <v>IRQ</v>
      </c>
      <c r="F1293" s="60">
        <v>2022</v>
      </c>
      <c r="G1293" s="60" t="s">
        <v>4026</v>
      </c>
      <c r="H1293" s="65">
        <v>750</v>
      </c>
      <c r="I1293" s="65" t="s">
        <v>4036</v>
      </c>
      <c r="J1293" s="60" t="s">
        <v>4023</v>
      </c>
      <c r="K1293" s="60">
        <v>36.091030000000003</v>
      </c>
      <c r="L1293">
        <v>43.965421999999997</v>
      </c>
    </row>
    <row r="1294" spans="1:12" hidden="1" x14ac:dyDescent="0.35">
      <c r="A1294" s="60" t="s">
        <v>6137</v>
      </c>
      <c r="B1294" s="60" t="s">
        <v>6138</v>
      </c>
      <c r="C1294" s="60" t="s">
        <v>6090</v>
      </c>
      <c r="D1294" s="60" t="s">
        <v>390</v>
      </c>
      <c r="E1294" t="str">
        <f>VLOOKUP(Table10[[#This Row],[Country]],Countries!$A$1:$D$205,2,TRUE)</f>
        <v>IRQ</v>
      </c>
      <c r="F1294" s="60">
        <v>2015</v>
      </c>
      <c r="G1294" s="60" t="s">
        <v>4026</v>
      </c>
      <c r="H1294" s="65">
        <v>1250</v>
      </c>
      <c r="I1294" s="65" t="s">
        <v>4036</v>
      </c>
      <c r="J1294" s="60" t="s">
        <v>4023</v>
      </c>
      <c r="K1294" s="60">
        <v>35.660125000000001</v>
      </c>
      <c r="L1294">
        <v>45.039062000000001</v>
      </c>
    </row>
    <row r="1295" spans="1:12" hidden="1" x14ac:dyDescent="0.35">
      <c r="A1295" s="60" t="s">
        <v>6139</v>
      </c>
      <c r="B1295" s="60" t="s">
        <v>6140</v>
      </c>
      <c r="C1295" s="60" t="s">
        <v>6141</v>
      </c>
      <c r="D1295" s="60" t="s">
        <v>400</v>
      </c>
      <c r="E1295" t="str">
        <f>VLOOKUP(Table10[[#This Row],[Country]],Countries!$A$1:$D$205,2,TRUE)</f>
        <v>KWT</v>
      </c>
      <c r="F1295" s="60">
        <v>1996</v>
      </c>
      <c r="G1295" s="60" t="s">
        <v>4026</v>
      </c>
      <c r="H1295" s="65">
        <v>1200</v>
      </c>
      <c r="I1295" s="65" t="s">
        <v>4022</v>
      </c>
      <c r="J1295" s="60" t="s">
        <v>4023</v>
      </c>
      <c r="K1295" s="60">
        <v>28.989305999999999</v>
      </c>
      <c r="L1295">
        <v>48.128118000000001</v>
      </c>
    </row>
    <row r="1296" spans="1:12" hidden="1" x14ac:dyDescent="0.35">
      <c r="A1296" s="60" t="s">
        <v>6142</v>
      </c>
      <c r="B1296" s="60" t="s">
        <v>2395</v>
      </c>
      <c r="C1296" s="60" t="s">
        <v>6143</v>
      </c>
      <c r="D1296" s="60" t="s">
        <v>418</v>
      </c>
      <c r="E1296" t="str">
        <f>VLOOKUP(Table10[[#This Row],[Country]],Countries!$A$1:$D$205,2,TRUE)</f>
        <v>OMN</v>
      </c>
      <c r="F1296" s="60" t="s">
        <v>4036</v>
      </c>
      <c r="G1296" s="60" t="s">
        <v>4037</v>
      </c>
      <c r="H1296" s="65" t="s">
        <v>4022</v>
      </c>
      <c r="I1296" s="65">
        <v>2500</v>
      </c>
      <c r="J1296" s="60" t="s">
        <v>4030</v>
      </c>
      <c r="K1296" s="60">
        <v>24.499869</v>
      </c>
      <c r="L1296">
        <v>56.599111000000001</v>
      </c>
    </row>
    <row r="1297" spans="1:12" hidden="1" x14ac:dyDescent="0.35">
      <c r="A1297" s="60" t="s">
        <v>6144</v>
      </c>
      <c r="B1297" s="60" t="s">
        <v>2395</v>
      </c>
      <c r="C1297" s="60" t="s">
        <v>6143</v>
      </c>
      <c r="D1297" s="60" t="s">
        <v>418</v>
      </c>
      <c r="E1297" t="str">
        <f>VLOOKUP(Table10[[#This Row],[Country]],Countries!$A$1:$D$205,2,TRUE)</f>
        <v>OMN</v>
      </c>
      <c r="F1297" s="60" t="s">
        <v>4036</v>
      </c>
      <c r="G1297" s="60" t="s">
        <v>4026</v>
      </c>
      <c r="H1297" s="65">
        <v>650</v>
      </c>
      <c r="I1297" s="65" t="s">
        <v>4022</v>
      </c>
      <c r="J1297" s="60" t="s">
        <v>4023</v>
      </c>
      <c r="K1297" s="60">
        <v>24.499869</v>
      </c>
      <c r="L1297">
        <v>56.599111000000001</v>
      </c>
    </row>
    <row r="1298" spans="1:12" hidden="1" x14ac:dyDescent="0.35">
      <c r="A1298" s="60" t="s">
        <v>6145</v>
      </c>
      <c r="B1298" s="60" t="s">
        <v>2395</v>
      </c>
      <c r="C1298" s="60" t="s">
        <v>6143</v>
      </c>
      <c r="D1298" s="60" t="s">
        <v>418</v>
      </c>
      <c r="E1298" t="str">
        <f>VLOOKUP(Table10[[#This Row],[Country]],Countries!$A$1:$D$205,2,TRUE)</f>
        <v>OMN</v>
      </c>
      <c r="F1298" s="60">
        <v>2010</v>
      </c>
      <c r="G1298" s="60" t="s">
        <v>4026</v>
      </c>
      <c r="H1298" s="65">
        <v>2400</v>
      </c>
      <c r="I1298" s="65">
        <v>1800</v>
      </c>
      <c r="J1298" s="60" t="s">
        <v>4034</v>
      </c>
      <c r="K1298" s="60">
        <v>24.502551</v>
      </c>
      <c r="L1298">
        <v>56.600738999999997</v>
      </c>
    </row>
    <row r="1299" spans="1:12" hidden="1" x14ac:dyDescent="0.35">
      <c r="A1299" s="60" t="s">
        <v>6146</v>
      </c>
      <c r="B1299" s="60" t="s">
        <v>2395</v>
      </c>
      <c r="C1299" s="60" t="s">
        <v>6143</v>
      </c>
      <c r="D1299" s="60" t="s">
        <v>418</v>
      </c>
      <c r="E1299" t="str">
        <f>VLOOKUP(Table10[[#This Row],[Country]],Countries!$A$1:$D$205,2,TRUE)</f>
        <v>OMN</v>
      </c>
      <c r="F1299" s="60">
        <v>2023</v>
      </c>
      <c r="G1299" s="60" t="s">
        <v>4021</v>
      </c>
      <c r="H1299" s="65">
        <v>100</v>
      </c>
      <c r="I1299" s="65">
        <v>200</v>
      </c>
      <c r="J1299" s="60" t="s">
        <v>4034</v>
      </c>
      <c r="K1299" s="60">
        <v>24.502551</v>
      </c>
      <c r="L1299">
        <v>56.600738999999997</v>
      </c>
    </row>
    <row r="1300" spans="1:12" hidden="1" x14ac:dyDescent="0.35">
      <c r="A1300" s="60" t="s">
        <v>6147</v>
      </c>
      <c r="B1300" s="60" t="s">
        <v>2395</v>
      </c>
      <c r="C1300" s="60" t="s">
        <v>6143</v>
      </c>
      <c r="D1300" s="60" t="s">
        <v>418</v>
      </c>
      <c r="E1300" t="str">
        <f>VLOOKUP(Table10[[#This Row],[Country]],Countries!$A$1:$D$205,2,TRUE)</f>
        <v>OMN</v>
      </c>
      <c r="F1300" s="60">
        <v>2020</v>
      </c>
      <c r="G1300" s="60" t="s">
        <v>4026</v>
      </c>
      <c r="H1300" s="65">
        <v>1200</v>
      </c>
      <c r="I1300" s="65" t="s">
        <v>4022</v>
      </c>
      <c r="J1300" s="60" t="s">
        <v>4023</v>
      </c>
      <c r="K1300" s="60">
        <v>24.409437</v>
      </c>
      <c r="L1300">
        <v>56.520133999999999</v>
      </c>
    </row>
    <row r="1301" spans="1:12" hidden="1" x14ac:dyDescent="0.35">
      <c r="A1301" s="60" t="s">
        <v>6148</v>
      </c>
      <c r="B1301" s="60" t="s">
        <v>6149</v>
      </c>
      <c r="C1301" s="60" t="s">
        <v>6150</v>
      </c>
      <c r="D1301" s="60" t="s">
        <v>418</v>
      </c>
      <c r="E1301" t="str">
        <f>VLOOKUP(Table10[[#This Row],[Country]],Countries!$A$1:$D$205,2,TRUE)</f>
        <v>OMN</v>
      </c>
      <c r="F1301" s="60">
        <v>2014</v>
      </c>
      <c r="G1301" s="60" t="s">
        <v>4048</v>
      </c>
      <c r="H1301" s="65">
        <v>2500</v>
      </c>
      <c r="I1301" s="65" t="s">
        <v>4022</v>
      </c>
      <c r="J1301" s="60" t="s">
        <v>4023</v>
      </c>
      <c r="K1301" s="60">
        <v>22.632992000000002</v>
      </c>
      <c r="L1301">
        <v>59.416970999999997</v>
      </c>
    </row>
    <row r="1302" spans="1:12" hidden="1" x14ac:dyDescent="0.35">
      <c r="A1302" s="60" t="s">
        <v>6151</v>
      </c>
      <c r="B1302" s="60" t="s">
        <v>4036</v>
      </c>
      <c r="C1302" s="60" t="s">
        <v>4036</v>
      </c>
      <c r="D1302" s="60" t="s">
        <v>418</v>
      </c>
      <c r="E1302" t="str">
        <f>VLOOKUP(Table10[[#This Row],[Country]],Countries!$A$1:$D$205,2,TRUE)</f>
        <v>OMN</v>
      </c>
      <c r="F1302" s="60">
        <v>2026</v>
      </c>
      <c r="G1302" s="60" t="s">
        <v>4037</v>
      </c>
      <c r="H1302" s="65">
        <v>2500</v>
      </c>
      <c r="I1302" s="65">
        <v>2250</v>
      </c>
      <c r="J1302" s="60" t="s">
        <v>4034</v>
      </c>
      <c r="K1302" s="60">
        <v>19.640298999999999</v>
      </c>
      <c r="L1302">
        <v>57.677866000000002</v>
      </c>
    </row>
    <row r="1303" spans="1:12" hidden="1" x14ac:dyDescent="0.35">
      <c r="A1303" s="60" t="s">
        <v>6152</v>
      </c>
      <c r="B1303" s="60" t="s">
        <v>4036</v>
      </c>
      <c r="C1303" s="60" t="s">
        <v>4036</v>
      </c>
      <c r="D1303" s="60" t="s">
        <v>418</v>
      </c>
      <c r="E1303" t="str">
        <f>VLOOKUP(Table10[[#This Row],[Country]],Countries!$A$1:$D$205,2,TRUE)</f>
        <v>OMN</v>
      </c>
      <c r="F1303" s="60">
        <v>2027</v>
      </c>
      <c r="G1303" s="60" t="s">
        <v>4037</v>
      </c>
      <c r="H1303" s="65">
        <v>2500</v>
      </c>
      <c r="I1303" s="65">
        <v>2250</v>
      </c>
      <c r="J1303" s="60" t="s">
        <v>4034</v>
      </c>
      <c r="K1303" s="60">
        <v>19.640298999999999</v>
      </c>
      <c r="L1303">
        <v>57.677866000000002</v>
      </c>
    </row>
    <row r="1304" spans="1:12" hidden="1" x14ac:dyDescent="0.35">
      <c r="A1304" s="60" t="s">
        <v>6153</v>
      </c>
      <c r="B1304" s="60" t="s">
        <v>6154</v>
      </c>
      <c r="C1304" s="60" t="s">
        <v>2340</v>
      </c>
      <c r="D1304" s="60" t="s">
        <v>420</v>
      </c>
      <c r="E1304" t="str">
        <f>VLOOKUP(Table10[[#This Row],[Country]],Countries!$A$1:$D$205,2,TRUE)</f>
        <v>QAT</v>
      </c>
      <c r="F1304" s="60">
        <v>1978</v>
      </c>
      <c r="G1304" s="60" t="s">
        <v>4026</v>
      </c>
      <c r="H1304" s="65">
        <v>2575</v>
      </c>
      <c r="I1304" s="65">
        <v>2493</v>
      </c>
      <c r="J1304" s="60" t="s">
        <v>4034</v>
      </c>
      <c r="K1304" s="60">
        <v>24.952687999999998</v>
      </c>
      <c r="L1304">
        <v>51.584777000000003</v>
      </c>
    </row>
    <row r="1305" spans="1:12" hidden="1" x14ac:dyDescent="0.35">
      <c r="A1305" s="60" t="s">
        <v>6155</v>
      </c>
      <c r="B1305" s="60" t="s">
        <v>2348</v>
      </c>
      <c r="C1305" s="60" t="s">
        <v>6156</v>
      </c>
      <c r="D1305" s="60" t="s">
        <v>425</v>
      </c>
      <c r="E1305" t="str">
        <f>VLOOKUP(Table10[[#This Row],[Country]],Countries!$A$1:$D$205,2,TRUE)</f>
        <v>SAU</v>
      </c>
      <c r="F1305" s="60">
        <v>1979</v>
      </c>
      <c r="G1305" s="60" t="s">
        <v>4026</v>
      </c>
      <c r="H1305" s="65">
        <v>6000</v>
      </c>
      <c r="I1305" s="65">
        <v>5300</v>
      </c>
      <c r="J1305" s="60" t="s">
        <v>4034</v>
      </c>
      <c r="K1305" s="60">
        <v>27.018411</v>
      </c>
      <c r="L1305">
        <v>49.576355999999997</v>
      </c>
    </row>
    <row r="1306" spans="1:12" hidden="1" x14ac:dyDescent="0.35">
      <c r="A1306" s="60" t="s">
        <v>6157</v>
      </c>
      <c r="B1306" s="60" t="s">
        <v>2544</v>
      </c>
      <c r="C1306" s="60" t="s">
        <v>6156</v>
      </c>
      <c r="D1306" s="60" t="s">
        <v>425</v>
      </c>
      <c r="E1306" t="str">
        <f>VLOOKUP(Table10[[#This Row],[Country]],Countries!$A$1:$D$205,2,TRUE)</f>
        <v>SAU</v>
      </c>
      <c r="F1306" s="60" t="s">
        <v>4036</v>
      </c>
      <c r="G1306" s="60" t="s">
        <v>4037</v>
      </c>
      <c r="H1306" s="65">
        <v>1900</v>
      </c>
      <c r="I1306" s="65" t="s">
        <v>4022</v>
      </c>
      <c r="J1306" s="60" t="s">
        <v>4023</v>
      </c>
      <c r="K1306" s="60">
        <v>26.277916999999999</v>
      </c>
      <c r="L1306">
        <v>49.949176999999999</v>
      </c>
    </row>
    <row r="1307" spans="1:12" hidden="1" x14ac:dyDescent="0.35">
      <c r="A1307" s="60" t="s">
        <v>6158</v>
      </c>
      <c r="B1307" s="60" t="s">
        <v>2544</v>
      </c>
      <c r="C1307" s="60" t="s">
        <v>6156</v>
      </c>
      <c r="D1307" s="60" t="s">
        <v>425</v>
      </c>
      <c r="E1307" t="str">
        <f>VLOOKUP(Table10[[#This Row],[Country]],Countries!$A$1:$D$205,2,TRUE)</f>
        <v>SAU</v>
      </c>
      <c r="F1307" s="60">
        <v>2004</v>
      </c>
      <c r="G1307" s="60" t="s">
        <v>4026</v>
      </c>
      <c r="H1307" s="65">
        <v>1000</v>
      </c>
      <c r="I1307" s="65" t="s">
        <v>4110</v>
      </c>
      <c r="J1307" s="60" t="s">
        <v>4034</v>
      </c>
      <c r="K1307" s="60">
        <v>26.244786000000001</v>
      </c>
      <c r="L1307">
        <v>49.969064000000003</v>
      </c>
    </row>
    <row r="1308" spans="1:12" hidden="1" x14ac:dyDescent="0.35">
      <c r="A1308" s="60" t="s">
        <v>6159</v>
      </c>
      <c r="B1308" s="60" t="s">
        <v>2544</v>
      </c>
      <c r="C1308" s="60" t="s">
        <v>6156</v>
      </c>
      <c r="D1308" s="60" t="s">
        <v>425</v>
      </c>
      <c r="E1308" t="str">
        <f>VLOOKUP(Table10[[#This Row],[Country]],Countries!$A$1:$D$205,2,TRUE)</f>
        <v>SAU</v>
      </c>
      <c r="F1308" s="60">
        <v>1989</v>
      </c>
      <c r="G1308" s="60" t="s">
        <v>4026</v>
      </c>
      <c r="H1308" s="65">
        <v>2600</v>
      </c>
      <c r="I1308" s="65">
        <v>1000</v>
      </c>
      <c r="J1308" s="60" t="s">
        <v>4034</v>
      </c>
      <c r="K1308" s="60">
        <v>26.277916999999999</v>
      </c>
      <c r="L1308">
        <v>49.949176999999999</v>
      </c>
    </row>
    <row r="1309" spans="1:12" hidden="1" x14ac:dyDescent="0.35">
      <c r="A1309" s="60" t="s">
        <v>6160</v>
      </c>
      <c r="B1309" s="60" t="s">
        <v>6161</v>
      </c>
      <c r="C1309" s="60" t="s">
        <v>6156</v>
      </c>
      <c r="D1309" s="60" t="s">
        <v>425</v>
      </c>
      <c r="E1309" t="str">
        <f>VLOOKUP(Table10[[#This Row],[Country]],Countries!$A$1:$D$205,2,TRUE)</f>
        <v>SAU</v>
      </c>
      <c r="F1309" s="60">
        <v>2025</v>
      </c>
      <c r="G1309" s="60" t="s">
        <v>4037</v>
      </c>
      <c r="H1309" s="65">
        <v>4000</v>
      </c>
      <c r="I1309" s="65">
        <v>5000</v>
      </c>
      <c r="J1309" s="60" t="s">
        <v>4034</v>
      </c>
      <c r="K1309" s="60">
        <v>27.544748999999999</v>
      </c>
      <c r="L1309">
        <v>49.208103000000001</v>
      </c>
    </row>
    <row r="1310" spans="1:12" hidden="1" x14ac:dyDescent="0.35">
      <c r="A1310" s="60" t="s">
        <v>6162</v>
      </c>
      <c r="B1310" s="60" t="s">
        <v>6161</v>
      </c>
      <c r="C1310" s="60" t="s">
        <v>6156</v>
      </c>
      <c r="D1310" s="60" t="s">
        <v>425</v>
      </c>
      <c r="E1310" t="str">
        <f>VLOOKUP(Table10[[#This Row],[Country]],Countries!$A$1:$D$205,2,TRUE)</f>
        <v>SAU</v>
      </c>
      <c r="F1310" s="60" t="s">
        <v>4036</v>
      </c>
      <c r="G1310" s="60" t="s">
        <v>4021</v>
      </c>
      <c r="H1310" s="65">
        <v>630</v>
      </c>
      <c r="I1310" s="65" t="s">
        <v>4022</v>
      </c>
      <c r="J1310" s="60" t="s">
        <v>4023</v>
      </c>
      <c r="K1310" s="60">
        <v>27.502040999999998</v>
      </c>
      <c r="L1310">
        <v>49.189647000000001</v>
      </c>
    </row>
    <row r="1311" spans="1:12" hidden="1" x14ac:dyDescent="0.35">
      <c r="A1311" s="60" t="s">
        <v>6163</v>
      </c>
      <c r="B1311" s="60" t="s">
        <v>6164</v>
      </c>
      <c r="C1311" s="60" t="s">
        <v>6165</v>
      </c>
      <c r="D1311" s="60" t="s">
        <v>425</v>
      </c>
      <c r="E1311" t="str">
        <f>VLOOKUP(Table10[[#This Row],[Country]],Countries!$A$1:$D$205,2,TRUE)</f>
        <v>SAU</v>
      </c>
      <c r="F1311" s="60">
        <v>2009</v>
      </c>
      <c r="G1311" s="60" t="s">
        <v>4026</v>
      </c>
      <c r="H1311" s="65">
        <v>1200</v>
      </c>
      <c r="I1311" s="65" t="s">
        <v>4022</v>
      </c>
      <c r="J1311" s="60" t="s">
        <v>4023</v>
      </c>
      <c r="K1311" s="60">
        <v>17.298475</v>
      </c>
      <c r="L1311">
        <v>42.352338000000003</v>
      </c>
    </row>
    <row r="1312" spans="1:12" hidden="1" x14ac:dyDescent="0.35">
      <c r="A1312" s="60" t="s">
        <v>6166</v>
      </c>
      <c r="B1312" s="60" t="s">
        <v>6167</v>
      </c>
      <c r="C1312" s="60" t="s">
        <v>3678</v>
      </c>
      <c r="D1312" s="60" t="s">
        <v>425</v>
      </c>
      <c r="E1312" t="str">
        <f>VLOOKUP(Table10[[#This Row],[Country]],Countries!$A$1:$D$205,2,TRUE)</f>
        <v>SAU</v>
      </c>
      <c r="F1312" s="60">
        <v>1984</v>
      </c>
      <c r="G1312" s="60" t="s">
        <v>4026</v>
      </c>
      <c r="H1312" s="65">
        <v>1180</v>
      </c>
      <c r="I1312" s="65" t="s">
        <v>4110</v>
      </c>
      <c r="J1312" s="60" t="s">
        <v>4111</v>
      </c>
      <c r="K1312" s="60">
        <v>21.290402</v>
      </c>
      <c r="L1312">
        <v>39.183444000000001</v>
      </c>
    </row>
    <row r="1313" spans="1:12" hidden="1" x14ac:dyDescent="0.35">
      <c r="A1313" s="60" t="s">
        <v>6168</v>
      </c>
      <c r="B1313" s="60" t="s">
        <v>6167</v>
      </c>
      <c r="C1313" s="60" t="s">
        <v>3678</v>
      </c>
      <c r="D1313" s="60" t="s">
        <v>425</v>
      </c>
      <c r="E1313" t="str">
        <f>VLOOKUP(Table10[[#This Row],[Country]],Countries!$A$1:$D$205,2,TRUE)</f>
        <v>SAU</v>
      </c>
      <c r="F1313" s="60" t="s">
        <v>4036</v>
      </c>
      <c r="G1313" s="60" t="s">
        <v>4037</v>
      </c>
      <c r="H1313" s="65">
        <v>600</v>
      </c>
      <c r="I1313" s="65" t="s">
        <v>4022</v>
      </c>
      <c r="J1313" s="60" t="s">
        <v>4023</v>
      </c>
      <c r="K1313" s="60">
        <v>21.524004999999999</v>
      </c>
      <c r="L1313">
        <v>39.240633000000003</v>
      </c>
    </row>
    <row r="1314" spans="1:12" hidden="1" x14ac:dyDescent="0.35">
      <c r="A1314" s="60" t="s">
        <v>6169</v>
      </c>
      <c r="B1314" s="60" t="s">
        <v>2345</v>
      </c>
      <c r="C1314" s="60" t="s">
        <v>6170</v>
      </c>
      <c r="D1314" s="60" t="s">
        <v>425</v>
      </c>
      <c r="E1314" t="str">
        <f>VLOOKUP(Table10[[#This Row],[Country]],Countries!$A$1:$D$205,2,TRUE)</f>
        <v>SAU</v>
      </c>
      <c r="F1314" s="60">
        <v>2008</v>
      </c>
      <c r="G1314" s="60" t="s">
        <v>4026</v>
      </c>
      <c r="H1314" s="65">
        <v>700</v>
      </c>
      <c r="I1314" s="65" t="s">
        <v>4022</v>
      </c>
      <c r="J1314" s="60" t="s">
        <v>4023</v>
      </c>
      <c r="K1314" s="60">
        <v>23.929542000000001</v>
      </c>
      <c r="L1314">
        <v>38.336103000000001</v>
      </c>
    </row>
    <row r="1315" spans="1:12" hidden="1" x14ac:dyDescent="0.35">
      <c r="A1315" s="60" t="s">
        <v>6171</v>
      </c>
      <c r="B1315" s="60" t="s">
        <v>2345</v>
      </c>
      <c r="C1315" s="60" t="s">
        <v>6170</v>
      </c>
      <c r="D1315" s="60" t="s">
        <v>425</v>
      </c>
      <c r="E1315" t="str">
        <f>VLOOKUP(Table10[[#This Row],[Country]],Countries!$A$1:$D$205,2,TRUE)</f>
        <v>SAU</v>
      </c>
      <c r="F1315" s="60" t="s">
        <v>4036</v>
      </c>
      <c r="G1315" s="60" t="s">
        <v>4037</v>
      </c>
      <c r="H1315" s="65">
        <v>800</v>
      </c>
      <c r="I1315" s="65" t="s">
        <v>4022</v>
      </c>
      <c r="J1315" s="60" t="s">
        <v>4023</v>
      </c>
      <c r="K1315" s="60">
        <v>23.929542000000001</v>
      </c>
      <c r="L1315">
        <v>38.336103000000001</v>
      </c>
    </row>
    <row r="1316" spans="1:12" hidden="1" x14ac:dyDescent="0.35">
      <c r="A1316" s="60" t="s">
        <v>6172</v>
      </c>
      <c r="B1316" s="60" t="s">
        <v>2345</v>
      </c>
      <c r="C1316" s="60" t="s">
        <v>6170</v>
      </c>
      <c r="D1316" s="60" t="s">
        <v>425</v>
      </c>
      <c r="E1316" t="str">
        <f>VLOOKUP(Table10[[#This Row],[Country]],Countries!$A$1:$D$205,2,TRUE)</f>
        <v>SAU</v>
      </c>
      <c r="F1316" s="60" t="s">
        <v>4036</v>
      </c>
      <c r="G1316" s="60" t="s">
        <v>4021</v>
      </c>
      <c r="H1316" s="65">
        <v>910</v>
      </c>
      <c r="I1316" s="65" t="s">
        <v>4022</v>
      </c>
      <c r="J1316" s="60" t="s">
        <v>4023</v>
      </c>
      <c r="K1316" s="60">
        <v>24.029</v>
      </c>
      <c r="L1316">
        <v>38.180076999999997</v>
      </c>
    </row>
    <row r="1317" spans="1:12" hidden="1" x14ac:dyDescent="0.35">
      <c r="A1317" s="60" t="s">
        <v>6173</v>
      </c>
      <c r="B1317" s="60" t="s">
        <v>6174</v>
      </c>
      <c r="C1317" s="60" t="s">
        <v>6174</v>
      </c>
      <c r="D1317" s="60" t="s">
        <v>425</v>
      </c>
      <c r="E1317" t="str">
        <f>VLOOKUP(Table10[[#This Row],[Country]],Countries!$A$1:$D$205,2,TRUE)</f>
        <v>SAU</v>
      </c>
      <c r="F1317" s="60" t="s">
        <v>4036</v>
      </c>
      <c r="G1317" s="60" t="s">
        <v>4037</v>
      </c>
      <c r="H1317" s="65" t="s">
        <v>4022</v>
      </c>
      <c r="I1317" s="65">
        <v>2500</v>
      </c>
      <c r="J1317" s="60" t="s">
        <v>4030</v>
      </c>
      <c r="K1317" s="60">
        <v>27.509411</v>
      </c>
      <c r="L1317">
        <v>49.160353999999998</v>
      </c>
    </row>
    <row r="1318" spans="1:12" hidden="1" x14ac:dyDescent="0.35">
      <c r="A1318" s="60" t="s">
        <v>6175</v>
      </c>
      <c r="B1318" s="60" t="s">
        <v>6176</v>
      </c>
      <c r="C1318" s="60" t="s">
        <v>6177</v>
      </c>
      <c r="D1318" s="60" t="s">
        <v>439</v>
      </c>
      <c r="E1318" t="str">
        <f>VLOOKUP(Table10[[#This Row],[Country]],Countries!$A$1:$D$205,2,TRUE)</f>
        <v>SYR</v>
      </c>
      <c r="F1318" s="60">
        <v>2012</v>
      </c>
      <c r="G1318" s="60" t="s">
        <v>4026</v>
      </c>
      <c r="H1318" s="65">
        <v>1400</v>
      </c>
      <c r="I1318" s="65" t="s">
        <v>4022</v>
      </c>
      <c r="J1318" s="60" t="s">
        <v>4023</v>
      </c>
      <c r="K1318" s="60">
        <v>33.626258</v>
      </c>
      <c r="L1318">
        <v>36.574967999999998</v>
      </c>
    </row>
    <row r="1319" spans="1:12" hidden="1" x14ac:dyDescent="0.35">
      <c r="A1319" s="60" t="s">
        <v>6178</v>
      </c>
      <c r="B1319" s="60" t="s">
        <v>6179</v>
      </c>
      <c r="C1319" s="60" t="s">
        <v>6180</v>
      </c>
      <c r="D1319" s="60" t="s">
        <v>439</v>
      </c>
      <c r="E1319" t="str">
        <f>VLOOKUP(Table10[[#This Row],[Country]],Countries!$A$1:$D$205,2,TRUE)</f>
        <v>SYR</v>
      </c>
      <c r="F1319" s="60">
        <v>2010</v>
      </c>
      <c r="G1319" s="60" t="s">
        <v>4026</v>
      </c>
      <c r="H1319" s="65">
        <v>800</v>
      </c>
      <c r="I1319" s="65">
        <v>300</v>
      </c>
      <c r="J1319" s="60" t="s">
        <v>4027</v>
      </c>
      <c r="K1319" s="60">
        <v>34.364258</v>
      </c>
      <c r="L1319">
        <v>36.803848000000002</v>
      </c>
    </row>
    <row r="1320" spans="1:12" hidden="1" x14ac:dyDescent="0.35">
      <c r="A1320" s="60" t="s">
        <v>6181</v>
      </c>
      <c r="B1320" s="60" t="s">
        <v>6182</v>
      </c>
      <c r="C1320" s="60" t="s">
        <v>2580</v>
      </c>
      <c r="D1320" s="60" t="s">
        <v>447</v>
      </c>
      <c r="E1320" t="str">
        <f>VLOOKUP(Table10[[#This Row],[Country]],Countries!$A$1:$D$205,2,TRUE)</f>
        <v>ARE</v>
      </c>
      <c r="F1320" s="60">
        <v>1998</v>
      </c>
      <c r="G1320" s="60" t="s">
        <v>4026</v>
      </c>
      <c r="H1320" s="65">
        <v>3500</v>
      </c>
      <c r="I1320" s="65">
        <v>2000</v>
      </c>
      <c r="J1320" s="60" t="s">
        <v>4034</v>
      </c>
      <c r="K1320" s="60">
        <v>24.322033000000001</v>
      </c>
      <c r="L1320">
        <v>54.467987000000001</v>
      </c>
    </row>
    <row r="1321" spans="1:12" hidden="1" x14ac:dyDescent="0.35">
      <c r="A1321" s="60" t="s">
        <v>6183</v>
      </c>
      <c r="B1321" s="60" t="s">
        <v>6184</v>
      </c>
      <c r="C1321" s="60" t="s">
        <v>2580</v>
      </c>
      <c r="D1321" s="60" t="s">
        <v>447</v>
      </c>
      <c r="E1321" t="str">
        <f>VLOOKUP(Table10[[#This Row],[Country]],Countries!$A$1:$D$205,2,TRUE)</f>
        <v>ARE</v>
      </c>
      <c r="F1321" s="60" t="s">
        <v>4036</v>
      </c>
      <c r="G1321" s="60" t="s">
        <v>4037</v>
      </c>
      <c r="H1321" s="65" t="s">
        <v>4022</v>
      </c>
      <c r="I1321" s="65">
        <v>2500</v>
      </c>
      <c r="J1321" s="60" t="s">
        <v>4030</v>
      </c>
      <c r="K1321" s="60">
        <v>24.712600999999999</v>
      </c>
      <c r="L1321">
        <v>54.720792000000003</v>
      </c>
    </row>
    <row r="1322" spans="1:12" hidden="1" x14ac:dyDescent="0.35">
      <c r="A1322" s="60" t="s">
        <v>6185</v>
      </c>
      <c r="B1322" s="60" t="s">
        <v>6186</v>
      </c>
      <c r="C1322" s="60" t="s">
        <v>2580</v>
      </c>
      <c r="D1322" s="60" t="s">
        <v>447</v>
      </c>
      <c r="E1322" t="str">
        <f>VLOOKUP(Table10[[#This Row],[Country]],Countries!$A$1:$D$205,2,TRUE)</f>
        <v>ARE</v>
      </c>
      <c r="F1322" s="60" t="s">
        <v>4036</v>
      </c>
      <c r="G1322" s="60" t="s">
        <v>4037</v>
      </c>
      <c r="H1322" s="65">
        <v>1000</v>
      </c>
      <c r="I1322" s="65" t="s">
        <v>4036</v>
      </c>
      <c r="J1322" s="60" t="s">
        <v>4023</v>
      </c>
      <c r="K1322" s="60">
        <v>24.378720000000001</v>
      </c>
      <c r="L1322">
        <v>54.475152999999999</v>
      </c>
    </row>
    <row r="1323" spans="1:12" hidden="1" x14ac:dyDescent="0.35">
      <c r="A1323" s="60" t="s">
        <v>6187</v>
      </c>
      <c r="B1323" s="60" t="s">
        <v>967</v>
      </c>
      <c r="C1323" s="60" t="s">
        <v>983</v>
      </c>
      <c r="D1323" s="60" t="s">
        <v>368</v>
      </c>
      <c r="E1323" t="str">
        <f>VLOOKUP(Table10[[#This Row],[Country]],Countries!$A$1:$D$205,2,TRUE)</f>
        <v>CAN</v>
      </c>
      <c r="F1323" s="60" t="s">
        <v>4022</v>
      </c>
      <c r="G1323" s="60" t="s">
        <v>4048</v>
      </c>
      <c r="H1323" s="65">
        <v>2700</v>
      </c>
      <c r="I1323" s="65">
        <v>3024</v>
      </c>
      <c r="J1323" s="60" t="s">
        <v>4049</v>
      </c>
      <c r="K1323" s="60">
        <v>43.269255000000001</v>
      </c>
      <c r="L1323">
        <v>-79.804857999999996</v>
      </c>
    </row>
    <row r="1324" spans="1:12" hidden="1" x14ac:dyDescent="0.35">
      <c r="A1324" s="60" t="s">
        <v>6188</v>
      </c>
      <c r="B1324" s="60" t="s">
        <v>967</v>
      </c>
      <c r="C1324" s="60" t="s">
        <v>983</v>
      </c>
      <c r="D1324" s="60" t="s">
        <v>368</v>
      </c>
      <c r="E1324" t="str">
        <f>VLOOKUP(Table10[[#This Row],[Country]],Countries!$A$1:$D$205,2,TRUE)</f>
        <v>CAN</v>
      </c>
      <c r="F1324" s="60">
        <v>1912</v>
      </c>
      <c r="G1324" s="60" t="s">
        <v>4026</v>
      </c>
      <c r="H1324" s="65">
        <v>4050</v>
      </c>
      <c r="I1324" s="65">
        <v>3024</v>
      </c>
      <c r="J1324" s="60" t="s">
        <v>4161</v>
      </c>
      <c r="K1324" s="60">
        <v>43.269255000000001</v>
      </c>
      <c r="L1324">
        <v>-79.804857999999996</v>
      </c>
    </row>
    <row r="1325" spans="1:12" hidden="1" x14ac:dyDescent="0.35">
      <c r="A1325" s="60" t="s">
        <v>6189</v>
      </c>
      <c r="B1325" s="60" t="s">
        <v>967</v>
      </c>
      <c r="C1325" s="60" t="s">
        <v>983</v>
      </c>
      <c r="D1325" s="60" t="s">
        <v>368</v>
      </c>
      <c r="E1325" t="str">
        <f>VLOOKUP(Table10[[#This Row],[Country]],Countries!$A$1:$D$205,2,TRUE)</f>
        <v>CAN</v>
      </c>
      <c r="F1325" s="60">
        <v>2028</v>
      </c>
      <c r="G1325" s="60" t="s">
        <v>4037</v>
      </c>
      <c r="H1325" s="65">
        <v>2400</v>
      </c>
      <c r="I1325" s="65">
        <v>2649</v>
      </c>
      <c r="J1325" s="60" t="s">
        <v>4034</v>
      </c>
      <c r="K1325" s="60">
        <v>43.269255000000001</v>
      </c>
      <c r="L1325">
        <v>-79.804857999999996</v>
      </c>
    </row>
    <row r="1326" spans="1:12" hidden="1" x14ac:dyDescent="0.35">
      <c r="A1326" s="60" t="s">
        <v>6190</v>
      </c>
      <c r="B1326" s="60" t="s">
        <v>6191</v>
      </c>
      <c r="C1326" s="60" t="s">
        <v>983</v>
      </c>
      <c r="D1326" s="60" t="s">
        <v>368</v>
      </c>
      <c r="E1326" t="str">
        <f>VLOOKUP(Table10[[#This Row],[Country]],Countries!$A$1:$D$205,2,TRUE)</f>
        <v>CAN</v>
      </c>
      <c r="F1326" s="60">
        <v>1971</v>
      </c>
      <c r="G1326" s="60" t="s">
        <v>4026</v>
      </c>
      <c r="H1326" s="65">
        <v>650</v>
      </c>
      <c r="I1326" s="65" t="s">
        <v>4022</v>
      </c>
      <c r="J1326" s="60" t="s">
        <v>4360</v>
      </c>
      <c r="K1326" s="60">
        <v>45.613940999999997</v>
      </c>
      <c r="L1326">
        <v>-74.704607999999993</v>
      </c>
    </row>
    <row r="1327" spans="1:12" hidden="1" x14ac:dyDescent="0.35">
      <c r="A1327" s="60" t="s">
        <v>6192</v>
      </c>
      <c r="B1327" s="60" t="s">
        <v>1025</v>
      </c>
      <c r="C1327" s="60" t="s">
        <v>983</v>
      </c>
      <c r="D1327" s="60" t="s">
        <v>368</v>
      </c>
      <c r="E1327" t="str">
        <f>VLOOKUP(Table10[[#This Row],[Country]],Countries!$A$1:$D$205,2,TRUE)</f>
        <v>CAN</v>
      </c>
      <c r="F1327" s="60">
        <v>1980</v>
      </c>
      <c r="G1327" s="60" t="s">
        <v>4026</v>
      </c>
      <c r="H1327" s="65">
        <v>2500</v>
      </c>
      <c r="I1327" s="65">
        <v>2400</v>
      </c>
      <c r="J1327" s="60" t="s">
        <v>4049</v>
      </c>
      <c r="K1327" s="60">
        <v>42.805447999999998</v>
      </c>
      <c r="L1327">
        <v>-80.095313000000004</v>
      </c>
    </row>
    <row r="1328" spans="1:12" hidden="1" x14ac:dyDescent="0.35">
      <c r="A1328" s="60" t="s">
        <v>6193</v>
      </c>
      <c r="B1328" s="60" t="s">
        <v>6194</v>
      </c>
      <c r="C1328" s="60" t="s">
        <v>983</v>
      </c>
      <c r="D1328" s="60" t="s">
        <v>368</v>
      </c>
      <c r="E1328" t="str">
        <f>VLOOKUP(Table10[[#This Row],[Country]],Countries!$A$1:$D$205,2,TRUE)</f>
        <v>CAN</v>
      </c>
      <c r="F1328" s="60" t="s">
        <v>4022</v>
      </c>
      <c r="G1328" s="60" t="s">
        <v>4048</v>
      </c>
      <c r="H1328" s="65">
        <v>2800</v>
      </c>
      <c r="I1328" s="65">
        <v>2690</v>
      </c>
      <c r="J1328" s="60" t="s">
        <v>4049</v>
      </c>
      <c r="K1328" s="60">
        <v>46.518984000000003</v>
      </c>
      <c r="L1328">
        <v>-84.374067999999994</v>
      </c>
    </row>
    <row r="1329" spans="1:12" hidden="1" x14ac:dyDescent="0.35">
      <c r="A1329" s="60" t="s">
        <v>6195</v>
      </c>
      <c r="B1329" s="60" t="s">
        <v>6194</v>
      </c>
      <c r="C1329" s="60" t="s">
        <v>983</v>
      </c>
      <c r="D1329" s="60" t="s">
        <v>368</v>
      </c>
      <c r="E1329" t="str">
        <f>VLOOKUP(Table10[[#This Row],[Country]],Countries!$A$1:$D$205,2,TRUE)</f>
        <v>CAN</v>
      </c>
      <c r="F1329" s="60">
        <v>1901</v>
      </c>
      <c r="G1329" s="60" t="s">
        <v>4026</v>
      </c>
      <c r="H1329" s="65">
        <v>2800</v>
      </c>
      <c r="I1329" s="65">
        <v>2690</v>
      </c>
      <c r="J1329" s="60" t="s">
        <v>4049</v>
      </c>
      <c r="K1329" s="60">
        <v>46.518984000000003</v>
      </c>
      <c r="L1329">
        <v>-84.374067999999994</v>
      </c>
    </row>
    <row r="1330" spans="1:12" hidden="1" x14ac:dyDescent="0.35">
      <c r="A1330" s="60" t="s">
        <v>6196</v>
      </c>
      <c r="B1330" s="60" t="s">
        <v>6194</v>
      </c>
      <c r="C1330" s="60" t="s">
        <v>983</v>
      </c>
      <c r="D1330" s="60" t="s">
        <v>368</v>
      </c>
      <c r="E1330" t="str">
        <f>VLOOKUP(Table10[[#This Row],[Country]],Countries!$A$1:$D$205,2,TRUE)</f>
        <v>CAN</v>
      </c>
      <c r="F1330" s="60">
        <v>2024</v>
      </c>
      <c r="G1330" s="60" t="s">
        <v>4021</v>
      </c>
      <c r="H1330" s="65">
        <v>3700</v>
      </c>
      <c r="I1330" s="65" t="s">
        <v>4022</v>
      </c>
      <c r="J1330" s="60" t="s">
        <v>4023</v>
      </c>
      <c r="K1330" s="60">
        <v>46.518984000000003</v>
      </c>
      <c r="L1330">
        <v>-84.374067999999994</v>
      </c>
    </row>
    <row r="1331" spans="1:12" hidden="1" x14ac:dyDescent="0.35">
      <c r="A1331" s="60" t="s">
        <v>6197</v>
      </c>
      <c r="B1331" s="60" t="s">
        <v>6198</v>
      </c>
      <c r="C1331" s="60" t="s">
        <v>983</v>
      </c>
      <c r="D1331" s="60" t="s">
        <v>368</v>
      </c>
      <c r="E1331" t="str">
        <f>VLOOKUP(Table10[[#This Row],[Country]],Countries!$A$1:$D$205,2,TRUE)</f>
        <v>CAN</v>
      </c>
      <c r="F1331" s="60">
        <v>1964</v>
      </c>
      <c r="G1331" s="60" t="s">
        <v>4026</v>
      </c>
      <c r="H1331" s="65">
        <v>949</v>
      </c>
      <c r="I1331" s="65" t="s">
        <v>4022</v>
      </c>
      <c r="J1331" s="60" t="s">
        <v>4023</v>
      </c>
      <c r="K1331" s="60">
        <v>43.856461000000003</v>
      </c>
      <c r="L1331">
        <v>-78.908996999999999</v>
      </c>
    </row>
    <row r="1332" spans="1:12" hidden="1" x14ac:dyDescent="0.35">
      <c r="A1332" s="60" t="s">
        <v>6199</v>
      </c>
      <c r="B1332" s="60" t="s">
        <v>6200</v>
      </c>
      <c r="C1332" s="60" t="s">
        <v>986</v>
      </c>
      <c r="D1332" s="60" t="s">
        <v>368</v>
      </c>
      <c r="E1332" t="str">
        <f>VLOOKUP(Table10[[#This Row],[Country]],Countries!$A$1:$D$205,2,TRUE)</f>
        <v>CAN</v>
      </c>
      <c r="F1332" s="60">
        <v>1914</v>
      </c>
      <c r="G1332" s="60" t="s">
        <v>4026</v>
      </c>
      <c r="H1332" s="65">
        <v>2400</v>
      </c>
      <c r="I1332" s="65">
        <v>1000</v>
      </c>
      <c r="J1332" s="60" t="s">
        <v>4034</v>
      </c>
      <c r="K1332" s="60">
        <v>45.835147999999997</v>
      </c>
      <c r="L1332">
        <v>-73.254957000000005</v>
      </c>
    </row>
    <row r="1333" spans="1:12" hidden="1" x14ac:dyDescent="0.35">
      <c r="A1333" s="60" t="s">
        <v>6201</v>
      </c>
      <c r="B1333" s="60" t="s">
        <v>6202</v>
      </c>
      <c r="C1333" s="60" t="s">
        <v>986</v>
      </c>
      <c r="D1333" s="60" t="s">
        <v>368</v>
      </c>
      <c r="E1333" t="str">
        <f>VLOOKUP(Table10[[#This Row],[Country]],Countries!$A$1:$D$205,2,TRUE)</f>
        <v>CAN</v>
      </c>
      <c r="F1333" s="60">
        <v>1950</v>
      </c>
      <c r="G1333" s="60" t="s">
        <v>4026</v>
      </c>
      <c r="H1333" s="65">
        <v>600</v>
      </c>
      <c r="I1333" s="65" t="s">
        <v>4022</v>
      </c>
      <c r="J1333" s="60" t="s">
        <v>4163</v>
      </c>
      <c r="K1333" s="60">
        <v>46.044367000000001</v>
      </c>
      <c r="L1333">
        <v>-73.138474000000002</v>
      </c>
    </row>
    <row r="1334" spans="1:12" hidden="1" x14ac:dyDescent="0.35">
      <c r="A1334" s="60" t="s">
        <v>6203</v>
      </c>
      <c r="B1334" s="60" t="s">
        <v>1013</v>
      </c>
      <c r="C1334" s="60" t="s">
        <v>1014</v>
      </c>
      <c r="D1334" s="60" t="s">
        <v>368</v>
      </c>
      <c r="E1334" t="str">
        <f>VLOOKUP(Table10[[#This Row],[Country]],Countries!$A$1:$D$205,2,TRUE)</f>
        <v>CAN</v>
      </c>
      <c r="F1334" s="60">
        <v>1961</v>
      </c>
      <c r="G1334" s="60" t="s">
        <v>4026</v>
      </c>
      <c r="H1334" s="65">
        <v>1100</v>
      </c>
      <c r="I1334" s="65" t="s">
        <v>4022</v>
      </c>
      <c r="J1334" s="60" t="s">
        <v>4023</v>
      </c>
      <c r="K1334" s="60">
        <v>50.514989999999997</v>
      </c>
      <c r="L1334">
        <v>-104.630589</v>
      </c>
    </row>
    <row r="1335" spans="1:12" hidden="1" x14ac:dyDescent="0.35">
      <c r="A1335" s="60" t="s">
        <v>6204</v>
      </c>
      <c r="B1335" s="60" t="s">
        <v>6205</v>
      </c>
      <c r="C1335" s="60" t="s">
        <v>6206</v>
      </c>
      <c r="D1335" s="60" t="s">
        <v>406</v>
      </c>
      <c r="E1335" t="str">
        <f>VLOOKUP(Table10[[#This Row],[Country]],Countries!$A$1:$D$205,2,TRUE)</f>
        <v>MEX</v>
      </c>
      <c r="F1335" s="60">
        <v>1944</v>
      </c>
      <c r="G1335" s="60" t="s">
        <v>4026</v>
      </c>
      <c r="H1335" s="65">
        <v>5500</v>
      </c>
      <c r="I1335" s="65">
        <v>4380</v>
      </c>
      <c r="J1335" s="60" t="s">
        <v>4161</v>
      </c>
      <c r="K1335" s="60">
        <v>26.876888999999998</v>
      </c>
      <c r="L1335">
        <v>-101.416612</v>
      </c>
    </row>
    <row r="1336" spans="1:12" hidden="1" x14ac:dyDescent="0.35">
      <c r="A1336" s="60" t="s">
        <v>6207</v>
      </c>
      <c r="B1336" s="60" t="s">
        <v>6208</v>
      </c>
      <c r="C1336" s="60" t="s">
        <v>6206</v>
      </c>
      <c r="D1336" s="60" t="s">
        <v>406</v>
      </c>
      <c r="E1336" t="str">
        <f>VLOOKUP(Table10[[#This Row],[Country]],Countries!$A$1:$D$205,2,TRUE)</f>
        <v>MEX</v>
      </c>
      <c r="F1336" s="60">
        <v>2013</v>
      </c>
      <c r="G1336" s="60" t="s">
        <v>4026</v>
      </c>
      <c r="H1336" s="65">
        <v>1500</v>
      </c>
      <c r="I1336" s="65" t="s">
        <v>4022</v>
      </c>
      <c r="J1336" s="60" t="s">
        <v>4023</v>
      </c>
      <c r="K1336" s="60">
        <v>25.511161999999999</v>
      </c>
      <c r="L1336">
        <v>-100.961848</v>
      </c>
    </row>
    <row r="1337" spans="1:12" hidden="1" x14ac:dyDescent="0.35">
      <c r="A1337" s="60" t="s">
        <v>6207</v>
      </c>
      <c r="B1337" s="60" t="s">
        <v>6208</v>
      </c>
      <c r="C1337" s="60" t="s">
        <v>6206</v>
      </c>
      <c r="D1337" s="60" t="s">
        <v>406</v>
      </c>
      <c r="E1337" t="str">
        <f>VLOOKUP(Table10[[#This Row],[Country]],Countries!$A$1:$D$205,2,TRUE)</f>
        <v>MEX</v>
      </c>
      <c r="F1337" s="60">
        <v>1986</v>
      </c>
      <c r="G1337" s="60" t="s">
        <v>4026</v>
      </c>
      <c r="H1337" s="65">
        <v>700</v>
      </c>
      <c r="I1337" s="65" t="s">
        <v>4022</v>
      </c>
      <c r="J1337" s="60" t="s">
        <v>4023</v>
      </c>
      <c r="K1337" s="60">
        <v>25.511161999999999</v>
      </c>
      <c r="L1337">
        <v>-100.961848</v>
      </c>
    </row>
    <row r="1338" spans="1:12" hidden="1" x14ac:dyDescent="0.35">
      <c r="A1338" s="60" t="s">
        <v>6209</v>
      </c>
      <c r="B1338" s="60" t="s">
        <v>6210</v>
      </c>
      <c r="C1338" s="60" t="s">
        <v>4003</v>
      </c>
      <c r="D1338" s="60" t="s">
        <v>406</v>
      </c>
      <c r="E1338" t="str">
        <f>VLOOKUP(Table10[[#This Row],[Country]],Countries!$A$1:$D$205,2,TRUE)</f>
        <v>MEX</v>
      </c>
      <c r="F1338" s="60">
        <v>1998</v>
      </c>
      <c r="G1338" s="60" t="s">
        <v>4026</v>
      </c>
      <c r="H1338" s="65">
        <v>2300</v>
      </c>
      <c r="I1338" s="65" t="s">
        <v>4022</v>
      </c>
      <c r="J1338" s="60" t="s">
        <v>4023</v>
      </c>
      <c r="K1338" s="60">
        <v>20.518556</v>
      </c>
      <c r="L1338">
        <v>-100.925556</v>
      </c>
    </row>
    <row r="1339" spans="1:12" hidden="1" x14ac:dyDescent="0.35">
      <c r="A1339" s="60" t="s">
        <v>6211</v>
      </c>
      <c r="B1339" s="60" t="s">
        <v>6212</v>
      </c>
      <c r="C1339" s="60" t="s">
        <v>4005</v>
      </c>
      <c r="D1339" s="60" t="s">
        <v>406</v>
      </c>
      <c r="E1339" t="str">
        <f>VLOOKUP(Table10[[#This Row],[Country]],Countries!$A$1:$D$205,2,TRUE)</f>
        <v>MEX</v>
      </c>
      <c r="F1339" s="60">
        <v>2015</v>
      </c>
      <c r="G1339" s="60" t="s">
        <v>4026</v>
      </c>
      <c r="H1339" s="65">
        <v>1000</v>
      </c>
      <c r="I1339" s="65" t="s">
        <v>4022</v>
      </c>
      <c r="J1339" s="60" t="s">
        <v>4023</v>
      </c>
      <c r="K1339" s="60">
        <v>19.753326000000001</v>
      </c>
      <c r="L1339">
        <v>-98.596483000000006</v>
      </c>
    </row>
    <row r="1340" spans="1:12" hidden="1" x14ac:dyDescent="0.35">
      <c r="A1340" s="60" t="s">
        <v>6213</v>
      </c>
      <c r="B1340" s="60" t="s">
        <v>6214</v>
      </c>
      <c r="C1340" s="60" t="s">
        <v>6215</v>
      </c>
      <c r="D1340" s="60" t="s">
        <v>406</v>
      </c>
      <c r="E1340" t="str">
        <f>VLOOKUP(Table10[[#This Row],[Country]],Countries!$A$1:$D$205,2,TRUE)</f>
        <v>MEX</v>
      </c>
      <c r="F1340" s="60">
        <v>1976</v>
      </c>
      <c r="G1340" s="60" t="s">
        <v>4026</v>
      </c>
      <c r="H1340" s="65">
        <v>5700</v>
      </c>
      <c r="I1340" s="65">
        <v>4651.9056261343012</v>
      </c>
      <c r="J1340" s="60" t="s">
        <v>4412</v>
      </c>
      <c r="K1340" s="60">
        <v>17.930688</v>
      </c>
      <c r="L1340">
        <v>-102.201498</v>
      </c>
    </row>
    <row r="1341" spans="1:12" hidden="1" x14ac:dyDescent="0.35">
      <c r="A1341" s="60" t="s">
        <v>6216</v>
      </c>
      <c r="B1341" s="60" t="s">
        <v>6217</v>
      </c>
      <c r="C1341" s="60" t="s">
        <v>4009</v>
      </c>
      <c r="D1341" s="60" t="s">
        <v>406</v>
      </c>
      <c r="E1341" t="str">
        <f>VLOOKUP(Table10[[#This Row],[Country]],Countries!$A$1:$D$205,2,TRUE)</f>
        <v>MEX</v>
      </c>
      <c r="F1341" s="60">
        <v>1993</v>
      </c>
      <c r="G1341" s="60" t="s">
        <v>4026</v>
      </c>
      <c r="H1341" s="65">
        <v>600</v>
      </c>
      <c r="I1341" s="65" t="s">
        <v>4022</v>
      </c>
      <c r="J1341" s="60" t="s">
        <v>4023</v>
      </c>
      <c r="K1341" s="60">
        <v>25.742084999999999</v>
      </c>
      <c r="L1341">
        <v>-100.23647800000001</v>
      </c>
    </row>
    <row r="1342" spans="1:12" hidden="1" x14ac:dyDescent="0.35">
      <c r="A1342" s="60" t="s">
        <v>6218</v>
      </c>
      <c r="B1342" s="60" t="s">
        <v>6219</v>
      </c>
      <c r="C1342" s="60" t="s">
        <v>4009</v>
      </c>
      <c r="D1342" s="60" t="s">
        <v>406</v>
      </c>
      <c r="E1342" t="str">
        <f>VLOOKUP(Table10[[#This Row],[Country]],Countries!$A$1:$D$205,2,TRUE)</f>
        <v>MEX</v>
      </c>
      <c r="F1342" s="60">
        <v>2026</v>
      </c>
      <c r="G1342" s="60" t="s">
        <v>4037</v>
      </c>
      <c r="H1342" s="65">
        <v>2600</v>
      </c>
      <c r="I1342" s="65">
        <v>2100</v>
      </c>
      <c r="J1342" s="60" t="s">
        <v>4034</v>
      </c>
      <c r="K1342" s="60">
        <v>25.743836999999999</v>
      </c>
      <c r="L1342">
        <v>-99.965277999999998</v>
      </c>
    </row>
    <row r="1343" spans="1:12" hidden="1" x14ac:dyDescent="0.35">
      <c r="A1343" s="60" t="s">
        <v>6220</v>
      </c>
      <c r="B1343" s="60" t="s">
        <v>6221</v>
      </c>
      <c r="C1343" s="60" t="s">
        <v>4009</v>
      </c>
      <c r="D1343" s="60" t="s">
        <v>406</v>
      </c>
      <c r="E1343" t="str">
        <f>VLOOKUP(Table10[[#This Row],[Country]],Countries!$A$1:$D$205,2,TRUE)</f>
        <v>MEX</v>
      </c>
      <c r="F1343" s="60">
        <v>1943</v>
      </c>
      <c r="G1343" s="60" t="s">
        <v>4026</v>
      </c>
      <c r="H1343" s="65">
        <v>2400</v>
      </c>
      <c r="I1343" s="65">
        <v>1730</v>
      </c>
      <c r="J1343" s="60" t="s">
        <v>4034</v>
      </c>
      <c r="K1343" s="60">
        <v>25.720327000000001</v>
      </c>
      <c r="L1343">
        <v>-100.301175</v>
      </c>
    </row>
    <row r="1344" spans="1:12" hidden="1" x14ac:dyDescent="0.35">
      <c r="A1344" s="60" t="s">
        <v>6222</v>
      </c>
      <c r="B1344" s="60" t="s">
        <v>6223</v>
      </c>
      <c r="C1344" s="60" t="s">
        <v>6224</v>
      </c>
      <c r="D1344" s="60" t="s">
        <v>406</v>
      </c>
      <c r="E1344" t="str">
        <f>VLOOKUP(Table10[[#This Row],[Country]],Countries!$A$1:$D$205,2,TRUE)</f>
        <v>MEX</v>
      </c>
      <c r="F1344" s="60">
        <v>1969</v>
      </c>
      <c r="G1344" s="60" t="s">
        <v>4026</v>
      </c>
      <c r="H1344" s="65">
        <v>1330</v>
      </c>
      <c r="I1344" s="65">
        <v>930</v>
      </c>
      <c r="J1344" s="60" t="s">
        <v>4034</v>
      </c>
      <c r="K1344" s="60">
        <v>19.169532</v>
      </c>
      <c r="L1344">
        <v>-98.318658999999997</v>
      </c>
    </row>
    <row r="1345" spans="1:12" hidden="1" x14ac:dyDescent="0.35">
      <c r="A1345" s="60" t="s">
        <v>6225</v>
      </c>
      <c r="B1345" s="60" t="s">
        <v>6226</v>
      </c>
      <c r="C1345" s="60" t="s">
        <v>6226</v>
      </c>
      <c r="D1345" s="60" t="s">
        <v>406</v>
      </c>
      <c r="E1345" t="str">
        <f>VLOOKUP(Table10[[#This Row],[Country]],Countries!$A$1:$D$205,2,TRUE)</f>
        <v>MEX</v>
      </c>
      <c r="F1345" s="60">
        <v>2004</v>
      </c>
      <c r="G1345" s="60" t="s">
        <v>4026</v>
      </c>
      <c r="H1345" s="65">
        <v>750</v>
      </c>
      <c r="I1345" s="65" t="s">
        <v>4022</v>
      </c>
      <c r="J1345" s="60" t="s">
        <v>4023</v>
      </c>
      <c r="K1345" s="60">
        <v>22.087327999999999</v>
      </c>
      <c r="L1345">
        <v>-100.90190200000001</v>
      </c>
    </row>
    <row r="1346" spans="1:12" hidden="1" x14ac:dyDescent="0.35">
      <c r="A1346" s="60" t="s">
        <v>6227</v>
      </c>
      <c r="B1346" s="60" t="s">
        <v>6226</v>
      </c>
      <c r="C1346" s="60" t="s">
        <v>6226</v>
      </c>
      <c r="D1346" s="60" t="s">
        <v>406</v>
      </c>
      <c r="E1346" t="str">
        <f>VLOOKUP(Table10[[#This Row],[Country]],Countries!$A$1:$D$205,2,TRUE)</f>
        <v>MEX</v>
      </c>
      <c r="F1346" s="60">
        <v>1966</v>
      </c>
      <c r="G1346" s="60" t="s">
        <v>4026</v>
      </c>
      <c r="H1346" s="65">
        <v>660</v>
      </c>
      <c r="I1346" s="65" t="s">
        <v>4022</v>
      </c>
      <c r="J1346" s="60" t="s">
        <v>4023</v>
      </c>
      <c r="K1346" s="60">
        <v>22.103324000000001</v>
      </c>
      <c r="L1346">
        <v>-100.919202</v>
      </c>
    </row>
    <row r="1347" spans="1:12" hidden="1" x14ac:dyDescent="0.35">
      <c r="A1347" s="60" t="s">
        <v>6228</v>
      </c>
      <c r="B1347" s="60" t="s">
        <v>6229</v>
      </c>
      <c r="C1347" s="60" t="s">
        <v>6230</v>
      </c>
      <c r="D1347" s="60" t="s">
        <v>406</v>
      </c>
      <c r="E1347" t="str">
        <f>VLOOKUP(Table10[[#This Row],[Country]],Countries!$A$1:$D$205,2,TRUE)</f>
        <v>MEX</v>
      </c>
      <c r="F1347" s="60">
        <v>1984</v>
      </c>
      <c r="G1347" s="60" t="s">
        <v>4026</v>
      </c>
      <c r="H1347" s="65">
        <v>500</v>
      </c>
      <c r="I1347" s="65" t="s">
        <v>4022</v>
      </c>
      <c r="J1347" s="60" t="s">
        <v>4023</v>
      </c>
      <c r="K1347" s="60">
        <v>19.630355000000002</v>
      </c>
      <c r="L1347">
        <v>-99.180314999999993</v>
      </c>
    </row>
    <row r="1348" spans="1:12" hidden="1" x14ac:dyDescent="0.35">
      <c r="A1348" s="60" t="s">
        <v>6231</v>
      </c>
      <c r="B1348" s="60" t="s">
        <v>6232</v>
      </c>
      <c r="C1348" s="60" t="s">
        <v>6233</v>
      </c>
      <c r="D1348" s="60" t="s">
        <v>406</v>
      </c>
      <c r="E1348" t="str">
        <f>VLOOKUP(Table10[[#This Row],[Country]],Countries!$A$1:$D$205,2,TRUE)</f>
        <v>MEX</v>
      </c>
      <c r="F1348" s="60">
        <v>2018</v>
      </c>
      <c r="G1348" s="60" t="s">
        <v>4026</v>
      </c>
      <c r="H1348" s="65">
        <v>650</v>
      </c>
      <c r="I1348" s="65" t="s">
        <v>4022</v>
      </c>
      <c r="J1348" s="60" t="s">
        <v>4023</v>
      </c>
      <c r="K1348" s="60">
        <v>19.395627999999999</v>
      </c>
      <c r="L1348">
        <v>-98.088776999999993</v>
      </c>
    </row>
    <row r="1349" spans="1:12" hidden="1" x14ac:dyDescent="0.35">
      <c r="A1349" s="60" t="s">
        <v>6234</v>
      </c>
      <c r="B1349" s="60" t="s">
        <v>6235</v>
      </c>
      <c r="C1349" s="60" t="s">
        <v>6236</v>
      </c>
      <c r="D1349" s="60" t="s">
        <v>406</v>
      </c>
      <c r="E1349" t="str">
        <f>VLOOKUP(Table10[[#This Row],[Country]],Countries!$A$1:$D$205,2,TRUE)</f>
        <v>MEX</v>
      </c>
      <c r="F1349" s="60">
        <v>1993</v>
      </c>
      <c r="G1349" s="60" t="s">
        <v>4026</v>
      </c>
      <c r="H1349" s="65">
        <v>1650</v>
      </c>
      <c r="I1349" s="65" t="s">
        <v>4022</v>
      </c>
      <c r="J1349" s="60" t="s">
        <v>4023</v>
      </c>
      <c r="K1349" s="60">
        <v>18.869271999999999</v>
      </c>
      <c r="L1349">
        <v>-97.047263000000001</v>
      </c>
    </row>
    <row r="1350" spans="1:12" hidden="1" x14ac:dyDescent="0.35">
      <c r="A1350" s="60" t="s">
        <v>6237</v>
      </c>
      <c r="B1350" s="60" t="s">
        <v>6236</v>
      </c>
      <c r="C1350" s="60" t="s">
        <v>6236</v>
      </c>
      <c r="D1350" s="60" t="s">
        <v>406</v>
      </c>
      <c r="E1350" t="str">
        <f>VLOOKUP(Table10[[#This Row],[Country]],Countries!$A$1:$D$205,2,TRUE)</f>
        <v>MEX</v>
      </c>
      <c r="F1350" s="60">
        <v>1954</v>
      </c>
      <c r="G1350" s="60" t="s">
        <v>4026</v>
      </c>
      <c r="H1350" s="65">
        <v>1200</v>
      </c>
      <c r="I1350" s="65" t="s">
        <v>4022</v>
      </c>
      <c r="J1350" s="60" t="s">
        <v>4023</v>
      </c>
      <c r="K1350" s="60">
        <v>19.182499</v>
      </c>
      <c r="L1350">
        <v>-96.237284000000002</v>
      </c>
    </row>
    <row r="1351" spans="1:12" hidden="1" x14ac:dyDescent="0.35">
      <c r="A1351" s="60" t="s">
        <v>6238</v>
      </c>
      <c r="B1351" s="60" t="s">
        <v>6239</v>
      </c>
      <c r="C1351" s="60" t="s">
        <v>643</v>
      </c>
      <c r="D1351" s="60" t="s">
        <v>451</v>
      </c>
      <c r="E1351" t="str">
        <f>VLOOKUP(Table10[[#This Row],[Country]],Countries!$A$1:$D$205,2,TRUE)</f>
        <v>USA</v>
      </c>
      <c r="F1351" s="60">
        <v>2001</v>
      </c>
      <c r="G1351" s="60" t="s">
        <v>4026</v>
      </c>
      <c r="H1351" s="65">
        <v>1250</v>
      </c>
      <c r="I1351" s="65" t="s">
        <v>4022</v>
      </c>
      <c r="J1351" s="60" t="s">
        <v>4023</v>
      </c>
      <c r="K1351" s="60">
        <v>30.941783000000001</v>
      </c>
      <c r="L1351">
        <v>-88.012437000000006</v>
      </c>
    </row>
    <row r="1352" spans="1:12" hidden="1" x14ac:dyDescent="0.35">
      <c r="A1352" s="60" t="s">
        <v>6240</v>
      </c>
      <c r="B1352" s="60" t="s">
        <v>6241</v>
      </c>
      <c r="C1352" s="60" t="s">
        <v>643</v>
      </c>
      <c r="D1352" s="60" t="s">
        <v>451</v>
      </c>
      <c r="E1352" t="str">
        <f>VLOOKUP(Table10[[#This Row],[Country]],Countries!$A$1:$D$205,2,TRUE)</f>
        <v>USA</v>
      </c>
      <c r="F1352" s="60">
        <v>1994</v>
      </c>
      <c r="G1352" s="60" t="s">
        <v>4026</v>
      </c>
      <c r="H1352" s="65">
        <v>653</v>
      </c>
      <c r="I1352" s="65" t="s">
        <v>4022</v>
      </c>
      <c r="J1352" s="60" t="s">
        <v>4023</v>
      </c>
      <c r="K1352" s="60">
        <v>33.534371999999998</v>
      </c>
      <c r="L1352">
        <v>-86.757729999999995</v>
      </c>
    </row>
    <row r="1353" spans="1:12" hidden="1" x14ac:dyDescent="0.35">
      <c r="A1353" s="60" t="s">
        <v>6242</v>
      </c>
      <c r="B1353" s="60" t="s">
        <v>6243</v>
      </c>
      <c r="C1353" s="60" t="s">
        <v>643</v>
      </c>
      <c r="D1353" s="60" t="s">
        <v>451</v>
      </c>
      <c r="E1353" t="str">
        <f>VLOOKUP(Table10[[#This Row],[Country]],Countries!$A$1:$D$205,2,TRUE)</f>
        <v>USA</v>
      </c>
      <c r="F1353" s="60">
        <v>2023</v>
      </c>
      <c r="G1353" s="60" t="s">
        <v>4021</v>
      </c>
      <c r="H1353" s="65">
        <v>1500</v>
      </c>
      <c r="I1353" s="65" t="s">
        <v>4022</v>
      </c>
      <c r="J1353" s="60" t="s">
        <v>4023</v>
      </c>
      <c r="K1353" s="60">
        <v>31.148446</v>
      </c>
      <c r="L1353">
        <v>-87.990521000000001</v>
      </c>
    </row>
    <row r="1354" spans="1:12" hidden="1" x14ac:dyDescent="0.35">
      <c r="A1354" s="60" t="s">
        <v>6244</v>
      </c>
      <c r="B1354" s="60" t="s">
        <v>6243</v>
      </c>
      <c r="C1354" s="60" t="s">
        <v>643</v>
      </c>
      <c r="D1354" s="60" t="s">
        <v>451</v>
      </c>
      <c r="E1354" t="str">
        <f>VLOOKUP(Table10[[#This Row],[Country]],Countries!$A$1:$D$205,2,TRUE)</f>
        <v>USA</v>
      </c>
      <c r="F1354" s="60">
        <v>2007</v>
      </c>
      <c r="G1354" s="60" t="s">
        <v>4026</v>
      </c>
      <c r="H1354" s="65">
        <v>1000</v>
      </c>
      <c r="I1354" s="65" t="s">
        <v>4022</v>
      </c>
      <c r="J1354" s="60" t="s">
        <v>4023</v>
      </c>
      <c r="K1354" s="60">
        <v>31.148178999999999</v>
      </c>
      <c r="L1354">
        <v>-87.988659999999996</v>
      </c>
    </row>
    <row r="1355" spans="1:12" hidden="1" x14ac:dyDescent="0.35">
      <c r="A1355" s="60" t="s">
        <v>6245</v>
      </c>
      <c r="B1355" s="60" t="s">
        <v>6246</v>
      </c>
      <c r="C1355" s="60" t="s">
        <v>643</v>
      </c>
      <c r="D1355" s="60" t="s">
        <v>451</v>
      </c>
      <c r="E1355" t="str">
        <f>VLOOKUP(Table10[[#This Row],[Country]],Countries!$A$1:$D$205,2,TRUE)</f>
        <v>USA</v>
      </c>
      <c r="F1355" s="60">
        <v>2020</v>
      </c>
      <c r="G1355" s="60" t="s">
        <v>4026</v>
      </c>
      <c r="H1355" s="65">
        <v>1600</v>
      </c>
      <c r="I1355" s="65" t="s">
        <v>4022</v>
      </c>
      <c r="J1355" s="60" t="s">
        <v>4023</v>
      </c>
      <c r="K1355" s="60">
        <v>33.480696999999999</v>
      </c>
      <c r="L1355">
        <v>-86.937854000000002</v>
      </c>
    </row>
    <row r="1356" spans="1:12" hidden="1" x14ac:dyDescent="0.35">
      <c r="A1356" s="60" t="s">
        <v>6247</v>
      </c>
      <c r="B1356" s="60" t="s">
        <v>6248</v>
      </c>
      <c r="C1356" s="60" t="s">
        <v>643</v>
      </c>
      <c r="D1356" s="60" t="s">
        <v>451</v>
      </c>
      <c r="E1356" t="str">
        <f>VLOOKUP(Table10[[#This Row],[Country]],Countries!$A$1:$D$205,2,TRUE)</f>
        <v>USA</v>
      </c>
      <c r="F1356" s="60">
        <v>1997</v>
      </c>
      <c r="G1356" s="60" t="s">
        <v>4026</v>
      </c>
      <c r="H1356" s="65">
        <v>2268</v>
      </c>
      <c r="I1356" s="65" t="s">
        <v>4022</v>
      </c>
      <c r="J1356" s="60" t="s">
        <v>4023</v>
      </c>
      <c r="K1356" s="60">
        <v>34.639629999999997</v>
      </c>
      <c r="L1356">
        <v>-87.085738000000006</v>
      </c>
    </row>
    <row r="1357" spans="1:12" hidden="1" x14ac:dyDescent="0.35">
      <c r="A1357" s="60" t="s">
        <v>6249</v>
      </c>
      <c r="B1357" s="60" t="s">
        <v>841</v>
      </c>
      <c r="C1357" s="60" t="s">
        <v>643</v>
      </c>
      <c r="D1357" s="60" t="s">
        <v>451</v>
      </c>
      <c r="E1357" t="str">
        <f>VLOOKUP(Table10[[#This Row],[Country]],Countries!$A$1:$D$205,2,TRUE)</f>
        <v>USA</v>
      </c>
      <c r="F1357" s="60">
        <v>1985</v>
      </c>
      <c r="G1357" s="60" t="s">
        <v>4026</v>
      </c>
      <c r="H1357" s="65">
        <v>1200</v>
      </c>
      <c r="I1357" s="65" t="s">
        <v>4022</v>
      </c>
      <c r="J1357" s="60" t="s">
        <v>4023</v>
      </c>
      <c r="K1357" s="60">
        <v>33.234760999999999</v>
      </c>
      <c r="L1357">
        <v>-87.508498000000003</v>
      </c>
    </row>
    <row r="1358" spans="1:12" hidden="1" x14ac:dyDescent="0.35">
      <c r="A1358" s="60" t="s">
        <v>6250</v>
      </c>
      <c r="B1358" s="60" t="s">
        <v>6251</v>
      </c>
      <c r="C1358" s="60" t="s">
        <v>976</v>
      </c>
      <c r="D1358" s="60" t="s">
        <v>451</v>
      </c>
      <c r="E1358" t="str">
        <f>VLOOKUP(Table10[[#This Row],[Country]],Countries!$A$1:$D$205,2,TRUE)</f>
        <v>USA</v>
      </c>
      <c r="F1358" s="60">
        <v>2024</v>
      </c>
      <c r="G1358" s="60" t="s">
        <v>4037</v>
      </c>
      <c r="H1358" s="65">
        <v>544</v>
      </c>
      <c r="I1358" s="65" t="s">
        <v>4022</v>
      </c>
      <c r="J1358" s="60" t="s">
        <v>4023</v>
      </c>
      <c r="K1358" s="60">
        <v>35.143191999999999</v>
      </c>
      <c r="L1358">
        <v>-114.089568</v>
      </c>
    </row>
    <row r="1359" spans="1:12" hidden="1" x14ac:dyDescent="0.35">
      <c r="A1359" s="60" t="s">
        <v>6252</v>
      </c>
      <c r="B1359" s="60" t="s">
        <v>6253</v>
      </c>
      <c r="C1359" s="60" t="s">
        <v>976</v>
      </c>
      <c r="D1359" s="60" t="s">
        <v>451</v>
      </c>
      <c r="E1359" t="str">
        <f>VLOOKUP(Table10[[#This Row],[Country]],Countries!$A$1:$D$205,2,TRUE)</f>
        <v>USA</v>
      </c>
      <c r="F1359" s="60">
        <v>2009</v>
      </c>
      <c r="G1359" s="60" t="s">
        <v>4026</v>
      </c>
      <c r="H1359" s="65">
        <v>354</v>
      </c>
      <c r="I1359" s="65" t="s">
        <v>4022</v>
      </c>
      <c r="J1359" s="60" t="s">
        <v>4023</v>
      </c>
      <c r="K1359" s="60">
        <v>33.285828000000002</v>
      </c>
      <c r="L1359">
        <v>-111.586561</v>
      </c>
    </row>
    <row r="1360" spans="1:12" hidden="1" x14ac:dyDescent="0.35">
      <c r="A1360" s="60" t="s">
        <v>6254</v>
      </c>
      <c r="B1360" s="60" t="s">
        <v>6253</v>
      </c>
      <c r="C1360" s="60" t="s">
        <v>976</v>
      </c>
      <c r="D1360" s="60" t="s">
        <v>451</v>
      </c>
      <c r="E1360" t="str">
        <f>VLOOKUP(Table10[[#This Row],[Country]],Countries!$A$1:$D$205,2,TRUE)</f>
        <v>USA</v>
      </c>
      <c r="F1360" s="60">
        <v>2023</v>
      </c>
      <c r="G1360" s="60" t="s">
        <v>4021</v>
      </c>
      <c r="H1360" s="65">
        <v>453</v>
      </c>
      <c r="I1360" s="65" t="s">
        <v>4022</v>
      </c>
      <c r="J1360" s="60" t="s">
        <v>4023</v>
      </c>
      <c r="K1360" s="60">
        <v>33.285828000000002</v>
      </c>
      <c r="L1360">
        <v>-111.586561</v>
      </c>
    </row>
    <row r="1361" spans="1:12" hidden="1" x14ac:dyDescent="0.35">
      <c r="A1361" s="60" t="s">
        <v>6255</v>
      </c>
      <c r="B1361" s="60" t="s">
        <v>6256</v>
      </c>
      <c r="C1361" s="60" t="s">
        <v>564</v>
      </c>
      <c r="D1361" s="60" t="s">
        <v>451</v>
      </c>
      <c r="E1361" t="str">
        <f>VLOOKUP(Table10[[#This Row],[Country]],Countries!$A$1:$D$205,2,TRUE)</f>
        <v>USA</v>
      </c>
      <c r="F1361" s="60">
        <v>1992</v>
      </c>
      <c r="G1361" s="60" t="s">
        <v>4026</v>
      </c>
      <c r="H1361" s="65">
        <v>2450</v>
      </c>
      <c r="I1361" s="65" t="s">
        <v>4022</v>
      </c>
      <c r="J1361" s="60" t="s">
        <v>4023</v>
      </c>
      <c r="K1361" s="60">
        <v>35.901161999999999</v>
      </c>
      <c r="L1361">
        <v>-89.77619</v>
      </c>
    </row>
    <row r="1362" spans="1:12" hidden="1" x14ac:dyDescent="0.35">
      <c r="A1362" s="60" t="s">
        <v>6257</v>
      </c>
      <c r="B1362" s="60" t="s">
        <v>6258</v>
      </c>
      <c r="C1362" s="60" t="s">
        <v>564</v>
      </c>
      <c r="D1362" s="60" t="s">
        <v>451</v>
      </c>
      <c r="E1362" t="str">
        <f>VLOOKUP(Table10[[#This Row],[Country]],Countries!$A$1:$D$205,2,TRUE)</f>
        <v>USA</v>
      </c>
      <c r="F1362" s="60">
        <v>1988</v>
      </c>
      <c r="G1362" s="60" t="s">
        <v>4026</v>
      </c>
      <c r="H1362" s="65">
        <v>2632</v>
      </c>
      <c r="I1362" s="65" t="s">
        <v>4022</v>
      </c>
      <c r="J1362" s="60" t="s">
        <v>4023</v>
      </c>
      <c r="K1362" s="60">
        <v>35.941420999999998</v>
      </c>
      <c r="L1362">
        <v>-89.713819000000001</v>
      </c>
    </row>
    <row r="1363" spans="1:12" hidden="1" x14ac:dyDescent="0.35">
      <c r="A1363" s="60" t="s">
        <v>6259</v>
      </c>
      <c r="B1363" s="60" t="s">
        <v>6258</v>
      </c>
      <c r="C1363" s="60" t="s">
        <v>564</v>
      </c>
      <c r="D1363" s="60" t="s">
        <v>451</v>
      </c>
      <c r="E1363" t="str">
        <f>VLOOKUP(Table10[[#This Row],[Country]],Countries!$A$1:$D$205,2,TRUE)</f>
        <v>USA</v>
      </c>
      <c r="F1363" s="60">
        <v>2024</v>
      </c>
      <c r="G1363" s="60" t="s">
        <v>4021</v>
      </c>
      <c r="H1363" s="65">
        <v>2722</v>
      </c>
      <c r="I1363" s="65" t="s">
        <v>4022</v>
      </c>
      <c r="J1363" s="60" t="s">
        <v>4023</v>
      </c>
      <c r="K1363" s="60">
        <v>35.936472000000002</v>
      </c>
      <c r="L1363">
        <v>-89.910381000000001</v>
      </c>
    </row>
    <row r="1364" spans="1:12" hidden="1" x14ac:dyDescent="0.35">
      <c r="A1364" s="60" t="s">
        <v>6260</v>
      </c>
      <c r="B1364" s="60" t="s">
        <v>6261</v>
      </c>
      <c r="C1364" s="60" t="s">
        <v>564</v>
      </c>
      <c r="D1364" s="60" t="s">
        <v>451</v>
      </c>
      <c r="E1364" t="str">
        <f>VLOOKUP(Table10[[#This Row],[Country]],Countries!$A$1:$D$205,2,TRUE)</f>
        <v>USA</v>
      </c>
      <c r="F1364" s="60">
        <v>1984</v>
      </c>
      <c r="G1364" s="60" t="s">
        <v>4026</v>
      </c>
      <c r="H1364" s="65">
        <v>550</v>
      </c>
      <c r="I1364" s="65" t="s">
        <v>4022</v>
      </c>
      <c r="J1364" s="60" t="s">
        <v>4023</v>
      </c>
      <c r="K1364" s="60">
        <v>35.307054999999998</v>
      </c>
      <c r="L1364">
        <v>-94.372911999999999</v>
      </c>
    </row>
    <row r="1365" spans="1:12" hidden="1" x14ac:dyDescent="0.35">
      <c r="A1365" s="60" t="s">
        <v>6262</v>
      </c>
      <c r="B1365" s="60" t="s">
        <v>563</v>
      </c>
      <c r="C1365" s="60" t="s">
        <v>564</v>
      </c>
      <c r="D1365" s="60" t="s">
        <v>451</v>
      </c>
      <c r="E1365" t="str">
        <f>VLOOKUP(Table10[[#This Row],[Country]],Countries!$A$1:$D$205,2,TRUE)</f>
        <v>USA</v>
      </c>
      <c r="F1365" s="60">
        <v>2014</v>
      </c>
      <c r="G1365" s="60" t="s">
        <v>4026</v>
      </c>
      <c r="H1365" s="65">
        <v>3300</v>
      </c>
      <c r="I1365" s="65" t="s">
        <v>4022</v>
      </c>
      <c r="J1365" s="60" t="s">
        <v>4023</v>
      </c>
      <c r="K1365" s="60">
        <v>35.644264</v>
      </c>
      <c r="L1365">
        <v>-89.941659000000001</v>
      </c>
    </row>
    <row r="1366" spans="1:12" hidden="1" x14ac:dyDescent="0.35">
      <c r="A1366" s="60" t="s">
        <v>6263</v>
      </c>
      <c r="B1366" s="60" t="s">
        <v>6264</v>
      </c>
      <c r="C1366" s="60" t="s">
        <v>891</v>
      </c>
      <c r="D1366" s="60" t="s">
        <v>451</v>
      </c>
      <c r="E1366" t="str">
        <f>VLOOKUP(Table10[[#This Row],[Country]],Countries!$A$1:$D$205,2,TRUE)</f>
        <v>USA</v>
      </c>
      <c r="F1366" s="60">
        <v>1881</v>
      </c>
      <c r="G1366" s="60" t="s">
        <v>4026</v>
      </c>
      <c r="H1366" s="65">
        <v>1100</v>
      </c>
      <c r="I1366" s="65" t="s">
        <v>4022</v>
      </c>
      <c r="J1366" s="60" t="s">
        <v>4023</v>
      </c>
      <c r="K1366" s="60">
        <v>38.225769999999997</v>
      </c>
      <c r="L1366">
        <v>-104.607895</v>
      </c>
    </row>
    <row r="1367" spans="1:12" hidden="1" x14ac:dyDescent="0.35">
      <c r="A1367" s="60" t="s">
        <v>6265</v>
      </c>
      <c r="B1367" s="60" t="s">
        <v>734</v>
      </c>
      <c r="C1367" s="60" t="s">
        <v>764</v>
      </c>
      <c r="D1367" s="60" t="s">
        <v>451</v>
      </c>
      <c r="E1367" t="str">
        <f>VLOOKUP(Table10[[#This Row],[Country]],Countries!$A$1:$D$205,2,TRUE)</f>
        <v>USA</v>
      </c>
      <c r="F1367" s="60">
        <v>2006</v>
      </c>
      <c r="G1367" s="60" t="s">
        <v>4026</v>
      </c>
      <c r="H1367" s="65">
        <v>949</v>
      </c>
      <c r="I1367" s="65" t="s">
        <v>4022</v>
      </c>
      <c r="J1367" s="60" t="s">
        <v>4023</v>
      </c>
      <c r="K1367" s="60">
        <v>30.282907000000002</v>
      </c>
      <c r="L1367">
        <v>-81.978735</v>
      </c>
    </row>
    <row r="1368" spans="1:12" hidden="1" x14ac:dyDescent="0.35">
      <c r="A1368" s="60" t="s">
        <v>6266</v>
      </c>
      <c r="B1368" s="60" t="s">
        <v>6267</v>
      </c>
      <c r="C1368" s="60" t="s">
        <v>683</v>
      </c>
      <c r="D1368" s="60" t="s">
        <v>451</v>
      </c>
      <c r="E1368" t="str">
        <f>VLOOKUP(Table10[[#This Row],[Country]],Countries!$A$1:$D$205,2,TRUE)</f>
        <v>USA</v>
      </c>
      <c r="F1368" s="60">
        <v>1996</v>
      </c>
      <c r="G1368" s="60" t="s">
        <v>4026</v>
      </c>
      <c r="H1368" s="65">
        <v>908</v>
      </c>
      <c r="I1368" s="65" t="s">
        <v>4022</v>
      </c>
      <c r="J1368" s="60" t="s">
        <v>4023</v>
      </c>
      <c r="K1368" s="60">
        <v>34.241225999999997</v>
      </c>
      <c r="L1368">
        <v>-84.799538999999996</v>
      </c>
    </row>
    <row r="1369" spans="1:12" hidden="1" x14ac:dyDescent="0.35">
      <c r="A1369" s="60" t="s">
        <v>6268</v>
      </c>
      <c r="B1369" s="60" t="s">
        <v>6269</v>
      </c>
      <c r="C1369" s="60" t="s">
        <v>475</v>
      </c>
      <c r="D1369" s="60" t="s">
        <v>451</v>
      </c>
      <c r="E1369" t="str">
        <f>VLOOKUP(Table10[[#This Row],[Country]],Countries!$A$1:$D$205,2,TRUE)</f>
        <v>USA</v>
      </c>
      <c r="F1369" s="60">
        <v>2003</v>
      </c>
      <c r="G1369" s="60" t="s">
        <v>4026</v>
      </c>
      <c r="H1369" s="65">
        <v>680.38874999999996</v>
      </c>
      <c r="I1369" s="65" t="s">
        <v>4022</v>
      </c>
      <c r="J1369" s="60" t="s">
        <v>4023</v>
      </c>
      <c r="K1369" s="60">
        <v>38.884464999999999</v>
      </c>
      <c r="L1369">
        <v>-90.145790000000005</v>
      </c>
    </row>
    <row r="1370" spans="1:12" hidden="1" x14ac:dyDescent="0.35">
      <c r="A1370" s="60" t="s">
        <v>6270</v>
      </c>
      <c r="B1370" s="60" t="s">
        <v>6271</v>
      </c>
      <c r="C1370" s="60" t="s">
        <v>475</v>
      </c>
      <c r="D1370" s="60" t="s">
        <v>451</v>
      </c>
      <c r="E1370" t="str">
        <f>VLOOKUP(Table10[[#This Row],[Country]],Countries!$A$1:$D$205,2,TRUE)</f>
        <v>USA</v>
      </c>
      <c r="F1370" s="60">
        <v>1961</v>
      </c>
      <c r="G1370" s="60" t="s">
        <v>4026</v>
      </c>
      <c r="H1370" s="65">
        <v>794</v>
      </c>
      <c r="I1370" s="65" t="s">
        <v>4022</v>
      </c>
      <c r="J1370" s="60" t="s">
        <v>4023</v>
      </c>
      <c r="K1370" s="60">
        <v>41.180734000000001</v>
      </c>
      <c r="L1370">
        <v>-87.856195999999997</v>
      </c>
    </row>
    <row r="1371" spans="1:12" hidden="1" x14ac:dyDescent="0.35">
      <c r="A1371" s="60" t="s">
        <v>6272</v>
      </c>
      <c r="B1371" s="60" t="s">
        <v>6273</v>
      </c>
      <c r="C1371" s="60" t="s">
        <v>475</v>
      </c>
      <c r="D1371" s="60" t="s">
        <v>451</v>
      </c>
      <c r="E1371" t="str">
        <f>VLOOKUP(Table10[[#This Row],[Country]],Countries!$A$1:$D$205,2,TRUE)</f>
        <v>USA</v>
      </c>
      <c r="F1371" s="60">
        <v>2011</v>
      </c>
      <c r="G1371" s="60" t="s">
        <v>4026</v>
      </c>
      <c r="H1371" s="65">
        <v>573</v>
      </c>
      <c r="I1371" s="65" t="s">
        <v>4022</v>
      </c>
      <c r="J1371" s="60" t="s">
        <v>4023</v>
      </c>
      <c r="K1371" s="60">
        <v>41.724915000000003</v>
      </c>
      <c r="L1371">
        <v>-87.589967999999999</v>
      </c>
    </row>
    <row r="1372" spans="1:12" hidden="1" x14ac:dyDescent="0.35">
      <c r="A1372" s="60" t="s">
        <v>6274</v>
      </c>
      <c r="B1372" s="60" t="s">
        <v>6275</v>
      </c>
      <c r="C1372" s="60" t="s">
        <v>475</v>
      </c>
      <c r="D1372" s="60" t="s">
        <v>451</v>
      </c>
      <c r="E1372" t="str">
        <f>VLOOKUP(Table10[[#This Row],[Country]],Countries!$A$1:$D$205,2,TRUE)</f>
        <v>USA</v>
      </c>
      <c r="F1372" s="60">
        <v>1895</v>
      </c>
      <c r="G1372" s="60" t="s">
        <v>4026</v>
      </c>
      <c r="H1372" s="65">
        <v>2800</v>
      </c>
      <c r="I1372" s="65">
        <v>2540</v>
      </c>
      <c r="J1372" s="60" t="s">
        <v>4049</v>
      </c>
      <c r="K1372" s="60">
        <v>38.695048999999997</v>
      </c>
      <c r="L1372">
        <v>-90.136072999999996</v>
      </c>
    </row>
    <row r="1373" spans="1:12" hidden="1" x14ac:dyDescent="0.35">
      <c r="A1373" s="60" t="s">
        <v>6276</v>
      </c>
      <c r="B1373" s="60" t="s">
        <v>6277</v>
      </c>
      <c r="C1373" s="60" t="s">
        <v>475</v>
      </c>
      <c r="D1373" s="60" t="s">
        <v>451</v>
      </c>
      <c r="E1373" t="str">
        <f>VLOOKUP(Table10[[#This Row],[Country]],Countries!$A$1:$D$205,2,TRUE)</f>
        <v>USA</v>
      </c>
      <c r="F1373" s="60">
        <v>1998</v>
      </c>
      <c r="G1373" s="60" t="s">
        <v>4026</v>
      </c>
      <c r="H1373" s="65">
        <v>725</v>
      </c>
      <c r="I1373" s="65" t="s">
        <v>4022</v>
      </c>
      <c r="J1373" s="60" t="s">
        <v>4023</v>
      </c>
      <c r="K1373" s="60">
        <v>41.513249000000002</v>
      </c>
      <c r="L1373">
        <v>-87.621437999999998</v>
      </c>
    </row>
    <row r="1374" spans="1:12" hidden="1" x14ac:dyDescent="0.35">
      <c r="A1374" s="60" t="s">
        <v>6278</v>
      </c>
      <c r="B1374" s="60" t="s">
        <v>6279</v>
      </c>
      <c r="C1374" s="60" t="s">
        <v>475</v>
      </c>
      <c r="D1374" s="60" t="s">
        <v>451</v>
      </c>
      <c r="E1374" t="str">
        <f>VLOOKUP(Table10[[#This Row],[Country]],Countries!$A$1:$D$205,2,TRUE)</f>
        <v>USA</v>
      </c>
      <c r="F1374" s="60">
        <v>1917</v>
      </c>
      <c r="G1374" s="60" t="s">
        <v>4026</v>
      </c>
      <c r="H1374" s="65">
        <v>1000</v>
      </c>
      <c r="I1374" s="65" t="s">
        <v>4022</v>
      </c>
      <c r="J1374" s="60" t="s">
        <v>4163</v>
      </c>
      <c r="K1374" s="60">
        <v>41.657321000000003</v>
      </c>
      <c r="L1374">
        <v>-87.625702000000004</v>
      </c>
    </row>
    <row r="1375" spans="1:12" hidden="1" x14ac:dyDescent="0.35">
      <c r="A1375" s="60" t="s">
        <v>6280</v>
      </c>
      <c r="B1375" s="60" t="s">
        <v>6281</v>
      </c>
      <c r="C1375" s="60" t="s">
        <v>475</v>
      </c>
      <c r="D1375" s="60" t="s">
        <v>451</v>
      </c>
      <c r="E1375" t="str">
        <f>VLOOKUP(Table10[[#This Row],[Country]],Countries!$A$1:$D$205,2,TRUE)</f>
        <v>USA</v>
      </c>
      <c r="F1375" s="60">
        <v>2003</v>
      </c>
      <c r="G1375" s="60" t="s">
        <v>4026</v>
      </c>
      <c r="H1375" s="65">
        <v>1698</v>
      </c>
      <c r="I1375" s="65" t="s">
        <v>4022</v>
      </c>
      <c r="J1375" s="60" t="s">
        <v>4023</v>
      </c>
      <c r="K1375" s="60">
        <v>41.785971000000004</v>
      </c>
      <c r="L1375">
        <v>-89.710947000000004</v>
      </c>
    </row>
    <row r="1376" spans="1:12" hidden="1" x14ac:dyDescent="0.35">
      <c r="A1376" s="60" t="s">
        <v>6282</v>
      </c>
      <c r="B1376" s="60" t="s">
        <v>6283</v>
      </c>
      <c r="C1376" s="60" t="s">
        <v>508</v>
      </c>
      <c r="D1376" s="60" t="s">
        <v>451</v>
      </c>
      <c r="E1376" t="str">
        <f>VLOOKUP(Table10[[#This Row],[Country]],Countries!$A$1:$D$205,2,TRUE)</f>
        <v>USA</v>
      </c>
      <c r="F1376" s="60">
        <v>1964</v>
      </c>
      <c r="G1376" s="60" t="s">
        <v>4026</v>
      </c>
      <c r="H1376" s="65">
        <v>5000</v>
      </c>
      <c r="I1376" s="65">
        <v>3635</v>
      </c>
      <c r="J1376" s="60" t="s">
        <v>4049</v>
      </c>
      <c r="K1376" s="60">
        <v>41.631220999999996</v>
      </c>
      <c r="L1376">
        <v>-87.143845999999996</v>
      </c>
    </row>
    <row r="1377" spans="1:12" hidden="1" x14ac:dyDescent="0.35">
      <c r="A1377" s="60" t="s">
        <v>6284</v>
      </c>
      <c r="B1377" s="60" t="s">
        <v>524</v>
      </c>
      <c r="C1377" s="60" t="s">
        <v>508</v>
      </c>
      <c r="D1377" s="60" t="s">
        <v>451</v>
      </c>
      <c r="E1377" t="str">
        <f>VLOOKUP(Table10[[#This Row],[Country]],Countries!$A$1:$D$205,2,TRUE)</f>
        <v>USA</v>
      </c>
      <c r="F1377" s="60">
        <v>1996</v>
      </c>
      <c r="G1377" s="60" t="s">
        <v>4026</v>
      </c>
      <c r="H1377" s="65">
        <v>3000</v>
      </c>
      <c r="I1377" s="65" t="s">
        <v>4022</v>
      </c>
      <c r="J1377" s="60" t="s">
        <v>4023</v>
      </c>
      <c r="K1377" s="60">
        <v>41.370640000000002</v>
      </c>
      <c r="L1377">
        <v>-84.917454000000006</v>
      </c>
    </row>
    <row r="1378" spans="1:12" hidden="1" x14ac:dyDescent="0.35">
      <c r="A1378" s="60" t="s">
        <v>6285</v>
      </c>
      <c r="B1378" s="60" t="s">
        <v>6286</v>
      </c>
      <c r="C1378" s="60" t="s">
        <v>508</v>
      </c>
      <c r="D1378" s="60" t="s">
        <v>451</v>
      </c>
      <c r="E1378" t="str">
        <f>VLOOKUP(Table10[[#This Row],[Country]],Countries!$A$1:$D$205,2,TRUE)</f>
        <v>USA</v>
      </c>
      <c r="F1378" s="60">
        <v>2002</v>
      </c>
      <c r="G1378" s="60" t="s">
        <v>4026</v>
      </c>
      <c r="H1378" s="65">
        <v>2000</v>
      </c>
      <c r="I1378" s="65" t="s">
        <v>4022</v>
      </c>
      <c r="J1378" s="60" t="s">
        <v>4023</v>
      </c>
      <c r="K1378" s="60">
        <v>41.121613000000004</v>
      </c>
      <c r="L1378">
        <v>-85.348602</v>
      </c>
    </row>
    <row r="1379" spans="1:12" hidden="1" x14ac:dyDescent="0.35">
      <c r="A1379" s="60" t="s">
        <v>6287</v>
      </c>
      <c r="B1379" s="60" t="s">
        <v>638</v>
      </c>
      <c r="C1379" s="60" t="s">
        <v>508</v>
      </c>
      <c r="D1379" s="60" t="s">
        <v>451</v>
      </c>
      <c r="E1379" t="str">
        <f>VLOOKUP(Table10[[#This Row],[Country]],Countries!$A$1:$D$205,2,TRUE)</f>
        <v>USA</v>
      </c>
      <c r="F1379" s="60">
        <v>1989</v>
      </c>
      <c r="G1379" s="60" t="s">
        <v>4026</v>
      </c>
      <c r="H1379" s="65">
        <v>2304</v>
      </c>
      <c r="I1379" s="65" t="s">
        <v>4022</v>
      </c>
      <c r="J1379" s="60" t="s">
        <v>4023</v>
      </c>
      <c r="K1379" s="60">
        <v>39.976379000000001</v>
      </c>
      <c r="L1379">
        <v>-86.830726999999996</v>
      </c>
    </row>
    <row r="1380" spans="1:12" hidden="1" x14ac:dyDescent="0.35">
      <c r="A1380" s="60" t="s">
        <v>6288</v>
      </c>
      <c r="B1380" s="60" t="s">
        <v>978</v>
      </c>
      <c r="C1380" s="60" t="s">
        <v>508</v>
      </c>
      <c r="D1380" s="60" t="s">
        <v>451</v>
      </c>
      <c r="E1380" t="str">
        <f>VLOOKUP(Table10[[#This Row],[Country]],Countries!$A$1:$D$205,2,TRUE)</f>
        <v>USA</v>
      </c>
      <c r="F1380" s="60">
        <v>1901</v>
      </c>
      <c r="G1380" s="60" t="s">
        <v>4026</v>
      </c>
      <c r="H1380" s="65">
        <v>7254</v>
      </c>
      <c r="I1380" s="65">
        <v>5236</v>
      </c>
      <c r="J1380" s="60" t="s">
        <v>4161</v>
      </c>
      <c r="K1380" s="60">
        <v>41.669553000000001</v>
      </c>
      <c r="L1380">
        <v>-87.438428999999999</v>
      </c>
    </row>
    <row r="1381" spans="1:12" hidden="1" x14ac:dyDescent="0.35">
      <c r="A1381" s="60" t="s">
        <v>6289</v>
      </c>
      <c r="B1381" s="60" t="s">
        <v>6290</v>
      </c>
      <c r="C1381" s="60" t="s">
        <v>508</v>
      </c>
      <c r="D1381" s="60" t="s">
        <v>451</v>
      </c>
      <c r="E1381" t="str">
        <f>VLOOKUP(Table10[[#This Row],[Country]],Countries!$A$1:$D$205,2,TRUE)</f>
        <v>USA</v>
      </c>
      <c r="F1381" s="60">
        <v>1908</v>
      </c>
      <c r="G1381" s="60" t="s">
        <v>4026</v>
      </c>
      <c r="H1381" s="65">
        <v>7800</v>
      </c>
      <c r="I1381" s="65">
        <v>6622</v>
      </c>
      <c r="J1381" s="60" t="s">
        <v>4049</v>
      </c>
      <c r="K1381" s="60">
        <v>41.620798999999998</v>
      </c>
      <c r="L1381">
        <v>-87.348265999999995</v>
      </c>
    </row>
    <row r="1382" spans="1:12" hidden="1" x14ac:dyDescent="0.35">
      <c r="A1382" s="60" t="s">
        <v>6291</v>
      </c>
      <c r="B1382" s="60" t="s">
        <v>6292</v>
      </c>
      <c r="C1382" s="60" t="s">
        <v>508</v>
      </c>
      <c r="D1382" s="60" t="s">
        <v>451</v>
      </c>
      <c r="E1382" t="str">
        <f>VLOOKUP(Table10[[#This Row],[Country]],Countries!$A$1:$D$205,2,TRUE)</f>
        <v>USA</v>
      </c>
      <c r="F1382" s="60">
        <v>2004</v>
      </c>
      <c r="G1382" s="60" t="s">
        <v>4026</v>
      </c>
      <c r="H1382" s="65">
        <v>725</v>
      </c>
      <c r="I1382" s="65" t="s">
        <v>4022</v>
      </c>
      <c r="J1382" s="60" t="s">
        <v>4023</v>
      </c>
      <c r="K1382" s="60">
        <v>39.875508000000004</v>
      </c>
      <c r="L1382">
        <v>-86.484213999999994</v>
      </c>
    </row>
    <row r="1383" spans="1:12" hidden="1" x14ac:dyDescent="0.35">
      <c r="A1383" s="60" t="s">
        <v>6293</v>
      </c>
      <c r="B1383" s="60" t="s">
        <v>6294</v>
      </c>
      <c r="C1383" s="60" t="s">
        <v>508</v>
      </c>
      <c r="D1383" s="60" t="s">
        <v>451</v>
      </c>
      <c r="E1383" t="str">
        <f>VLOOKUP(Table10[[#This Row],[Country]],Countries!$A$1:$D$205,2,TRUE)</f>
        <v>USA</v>
      </c>
      <c r="F1383" s="60">
        <v>1992</v>
      </c>
      <c r="G1383" s="60" t="s">
        <v>4026</v>
      </c>
      <c r="H1383" s="65">
        <v>770</v>
      </c>
      <c r="I1383" s="65" t="s">
        <v>4022</v>
      </c>
      <c r="J1383" s="60" t="s">
        <v>4023</v>
      </c>
      <c r="K1383" s="60">
        <v>41.625912</v>
      </c>
      <c r="L1383">
        <v>-87.159988999999996</v>
      </c>
    </row>
    <row r="1384" spans="1:12" hidden="1" x14ac:dyDescent="0.35">
      <c r="A1384" s="60" t="s">
        <v>6295</v>
      </c>
      <c r="B1384" s="60" t="s">
        <v>6296</v>
      </c>
      <c r="C1384" s="60" t="s">
        <v>755</v>
      </c>
      <c r="D1384" s="60" t="s">
        <v>451</v>
      </c>
      <c r="E1384" t="str">
        <f>VLOOKUP(Table10[[#This Row],[Country]],Countries!$A$1:$D$205,2,TRUE)</f>
        <v>USA</v>
      </c>
      <c r="F1384" s="60">
        <v>1997</v>
      </c>
      <c r="G1384" s="60" t="s">
        <v>4026</v>
      </c>
      <c r="H1384" s="65">
        <v>1250</v>
      </c>
      <c r="I1384" s="65" t="s">
        <v>4022</v>
      </c>
      <c r="J1384" s="60" t="s">
        <v>4023</v>
      </c>
      <c r="K1384" s="60">
        <v>41.482008999999998</v>
      </c>
      <c r="L1384">
        <v>-90.820920999999998</v>
      </c>
    </row>
    <row r="1385" spans="1:12" hidden="1" x14ac:dyDescent="0.35">
      <c r="A1385" s="60" t="s">
        <v>6297</v>
      </c>
      <c r="B1385" s="60" t="s">
        <v>3334</v>
      </c>
      <c r="C1385" s="60" t="s">
        <v>530</v>
      </c>
      <c r="D1385" s="60" t="s">
        <v>451</v>
      </c>
      <c r="E1385" t="str">
        <f>VLOOKUP(Table10[[#This Row],[Country]],Countries!$A$1:$D$205,2,TRUE)</f>
        <v>USA</v>
      </c>
      <c r="F1385" s="60">
        <v>2022</v>
      </c>
      <c r="G1385" s="60" t="s">
        <v>4026</v>
      </c>
      <c r="H1385" s="65">
        <v>1089</v>
      </c>
      <c r="I1385" s="65" t="s">
        <v>4022</v>
      </c>
      <c r="J1385" s="60" t="s">
        <v>4023</v>
      </c>
      <c r="K1385" s="60">
        <v>37.999945400000001</v>
      </c>
      <c r="L1385">
        <v>-86.139873800000004</v>
      </c>
    </row>
    <row r="1386" spans="1:12" hidden="1" x14ac:dyDescent="0.35">
      <c r="A1386" s="60" t="s">
        <v>6298</v>
      </c>
      <c r="B1386" s="60" t="s">
        <v>1699</v>
      </c>
      <c r="C1386" s="60" t="s">
        <v>530</v>
      </c>
      <c r="D1386" s="60" t="s">
        <v>451</v>
      </c>
      <c r="E1386" t="str">
        <f>VLOOKUP(Table10[[#This Row],[Country]],Countries!$A$1:$D$205,2,TRUE)</f>
        <v>USA</v>
      </c>
      <c r="F1386" s="60">
        <v>1990</v>
      </c>
      <c r="G1386" s="60" t="s">
        <v>4026</v>
      </c>
      <c r="H1386" s="65">
        <v>1600</v>
      </c>
      <c r="I1386" s="65" t="s">
        <v>4022</v>
      </c>
      <c r="J1386" s="60" t="s">
        <v>4023</v>
      </c>
      <c r="K1386" s="60">
        <v>38.725417999999998</v>
      </c>
      <c r="L1386">
        <v>-85.076014999999998</v>
      </c>
    </row>
    <row r="1387" spans="1:12" hidden="1" x14ac:dyDescent="0.35">
      <c r="A1387" s="60" t="s">
        <v>6299</v>
      </c>
      <c r="B1387" s="60" t="s">
        <v>1699</v>
      </c>
      <c r="C1387" s="60" t="s">
        <v>530</v>
      </c>
      <c r="D1387" s="60" t="s">
        <v>451</v>
      </c>
      <c r="E1387" t="str">
        <f>VLOOKUP(Table10[[#This Row],[Country]],Countries!$A$1:$D$205,2,TRUE)</f>
        <v>USA</v>
      </c>
      <c r="F1387" s="60">
        <v>2022</v>
      </c>
      <c r="G1387" s="60" t="s">
        <v>4026</v>
      </c>
      <c r="H1387" s="65">
        <v>1271</v>
      </c>
      <c r="I1387" s="65" t="s">
        <v>4022</v>
      </c>
      <c r="J1387" s="60" t="s">
        <v>4023</v>
      </c>
      <c r="K1387" s="60">
        <v>38.759878</v>
      </c>
      <c r="L1387">
        <v>-84.996204000000006</v>
      </c>
    </row>
    <row r="1388" spans="1:12" hidden="1" x14ac:dyDescent="0.35">
      <c r="A1388" s="60" t="s">
        <v>6300</v>
      </c>
      <c r="B1388" s="60" t="s">
        <v>1699</v>
      </c>
      <c r="C1388" s="60" t="s">
        <v>530</v>
      </c>
      <c r="D1388" s="60" t="s">
        <v>451</v>
      </c>
      <c r="E1388" t="str">
        <f>VLOOKUP(Table10[[#This Row],[Country]],Countries!$A$1:$D$205,2,TRUE)</f>
        <v>USA</v>
      </c>
      <c r="F1388" s="60">
        <v>1995</v>
      </c>
      <c r="G1388" s="60" t="s">
        <v>4026</v>
      </c>
      <c r="H1388" s="65">
        <v>1452</v>
      </c>
      <c r="I1388" s="65" t="s">
        <v>4022</v>
      </c>
      <c r="J1388" s="60" t="s">
        <v>4023</v>
      </c>
      <c r="K1388" s="60">
        <v>38.759878</v>
      </c>
      <c r="L1388">
        <v>-84.996204000000006</v>
      </c>
    </row>
    <row r="1389" spans="1:12" hidden="1" x14ac:dyDescent="0.35">
      <c r="A1389" s="60" t="s">
        <v>6301</v>
      </c>
      <c r="B1389" s="60" t="s">
        <v>587</v>
      </c>
      <c r="C1389" s="60" t="s">
        <v>497</v>
      </c>
      <c r="D1389" s="60" t="s">
        <v>451</v>
      </c>
      <c r="E1389" t="str">
        <f>VLOOKUP(Table10[[#This Row],[Country]],Countries!$A$1:$D$205,2,TRUE)</f>
        <v>USA</v>
      </c>
      <c r="F1389" s="60">
        <v>2013</v>
      </c>
      <c r="G1389" s="60" t="s">
        <v>4026</v>
      </c>
      <c r="H1389" s="65" t="s">
        <v>4022</v>
      </c>
      <c r="I1389" s="65">
        <v>2500</v>
      </c>
      <c r="J1389" s="60" t="s">
        <v>4030</v>
      </c>
      <c r="K1389" s="60">
        <v>30.076692999999999</v>
      </c>
      <c r="L1389">
        <v>-90.859953000000004</v>
      </c>
    </row>
    <row r="1390" spans="1:12" hidden="1" x14ac:dyDescent="0.35">
      <c r="A1390" s="60" t="s">
        <v>6302</v>
      </c>
      <c r="B1390" s="60" t="s">
        <v>6303</v>
      </c>
      <c r="C1390" s="60" t="s">
        <v>556</v>
      </c>
      <c r="D1390" s="60" t="s">
        <v>451</v>
      </c>
      <c r="E1390" t="str">
        <f>VLOOKUP(Table10[[#This Row],[Country]],Countries!$A$1:$D$205,2,TRUE)</f>
        <v>USA</v>
      </c>
      <c r="F1390" s="60">
        <v>1920</v>
      </c>
      <c r="G1390" s="60" t="s">
        <v>4026</v>
      </c>
      <c r="H1390" s="65">
        <v>3000</v>
      </c>
      <c r="I1390" s="65">
        <v>2500</v>
      </c>
      <c r="J1390" s="60" t="s">
        <v>4049</v>
      </c>
      <c r="K1390" s="60">
        <v>42.308171000000002</v>
      </c>
      <c r="L1390">
        <v>-83.161353000000005</v>
      </c>
    </row>
    <row r="1391" spans="1:12" hidden="1" x14ac:dyDescent="0.35">
      <c r="A1391" s="60" t="s">
        <v>6304</v>
      </c>
      <c r="B1391" s="60" t="s">
        <v>670</v>
      </c>
      <c r="C1391" s="60" t="s">
        <v>556</v>
      </c>
      <c r="D1391" s="60" t="s">
        <v>451</v>
      </c>
      <c r="E1391" t="str">
        <f>VLOOKUP(Table10[[#This Row],[Country]],Countries!$A$1:$D$205,2,TRUE)</f>
        <v>USA</v>
      </c>
      <c r="F1391" s="60">
        <v>1902</v>
      </c>
      <c r="G1391" s="60" t="s">
        <v>4107</v>
      </c>
      <c r="H1391" s="65">
        <v>3500</v>
      </c>
      <c r="I1391" s="65">
        <v>2486</v>
      </c>
      <c r="J1391" s="60" t="s">
        <v>4049</v>
      </c>
      <c r="K1391" s="60">
        <v>42.263181000000003</v>
      </c>
      <c r="L1391">
        <v>-83.121553000000006</v>
      </c>
    </row>
    <row r="1392" spans="1:12" hidden="1" x14ac:dyDescent="0.35">
      <c r="A1392" s="60" t="s">
        <v>6305</v>
      </c>
      <c r="B1392" s="60" t="s">
        <v>6306</v>
      </c>
      <c r="C1392" s="60" t="s">
        <v>556</v>
      </c>
      <c r="D1392" s="60" t="s">
        <v>451</v>
      </c>
      <c r="E1392" t="str">
        <f>VLOOKUP(Table10[[#This Row],[Country]],Countries!$A$1:$D$205,2,TRUE)</f>
        <v>USA</v>
      </c>
      <c r="F1392" s="60">
        <v>1980</v>
      </c>
      <c r="G1392" s="60" t="s">
        <v>4026</v>
      </c>
      <c r="H1392" s="65">
        <v>771</v>
      </c>
      <c r="I1392" s="65" t="s">
        <v>4022</v>
      </c>
      <c r="J1392" s="60" t="s">
        <v>4023</v>
      </c>
      <c r="K1392" s="60">
        <v>41.894229000000003</v>
      </c>
      <c r="L1392">
        <v>-83.358697000000006</v>
      </c>
    </row>
    <row r="1393" spans="1:12" hidden="1" x14ac:dyDescent="0.35">
      <c r="A1393" s="60" t="s">
        <v>6307</v>
      </c>
      <c r="B1393" s="60" t="s">
        <v>3888</v>
      </c>
      <c r="C1393" s="60" t="s">
        <v>759</v>
      </c>
      <c r="D1393" s="60" t="s">
        <v>451</v>
      </c>
      <c r="E1393" t="str">
        <f>VLOOKUP(Table10[[#This Row],[Country]],Countries!$A$1:$D$205,2,TRUE)</f>
        <v>USA</v>
      </c>
      <c r="F1393" s="60">
        <v>1965</v>
      </c>
      <c r="G1393" s="60" t="s">
        <v>4107</v>
      </c>
      <c r="H1393" s="65">
        <v>560</v>
      </c>
      <c r="I1393" s="65" t="s">
        <v>4022</v>
      </c>
      <c r="J1393" s="60" t="s">
        <v>4023</v>
      </c>
      <c r="K1393" s="60">
        <v>44.895442000000003</v>
      </c>
      <c r="L1393">
        <v>-93.010716000000002</v>
      </c>
    </row>
    <row r="1394" spans="1:12" hidden="1" x14ac:dyDescent="0.35">
      <c r="A1394" s="60" t="s">
        <v>6308</v>
      </c>
      <c r="B1394" s="60" t="s">
        <v>923</v>
      </c>
      <c r="C1394" s="60" t="s">
        <v>799</v>
      </c>
      <c r="D1394" s="60" t="s">
        <v>451</v>
      </c>
      <c r="E1394" t="str">
        <f>VLOOKUP(Table10[[#This Row],[Country]],Countries!$A$1:$D$205,2,TRUE)</f>
        <v>USA</v>
      </c>
      <c r="F1394" s="60">
        <v>2007</v>
      </c>
      <c r="G1394" s="60" t="s">
        <v>4026</v>
      </c>
      <c r="H1394" s="65">
        <v>3400</v>
      </c>
      <c r="I1394" s="65" t="s">
        <v>4022</v>
      </c>
      <c r="J1394" s="60" t="s">
        <v>4023</v>
      </c>
      <c r="K1394" s="60">
        <v>33.447580000000002</v>
      </c>
      <c r="L1394">
        <v>-88.572682999999998</v>
      </c>
    </row>
    <row r="1395" spans="1:12" hidden="1" x14ac:dyDescent="0.35">
      <c r="A1395" s="60" t="s">
        <v>6309</v>
      </c>
      <c r="B1395" s="60" t="s">
        <v>6310</v>
      </c>
      <c r="C1395" s="60" t="s">
        <v>757</v>
      </c>
      <c r="D1395" s="60" t="s">
        <v>451</v>
      </c>
      <c r="E1395" t="str">
        <f>VLOOKUP(Table10[[#This Row],[Country]],Countries!$A$1:$D$205,2,TRUE)</f>
        <v>USA</v>
      </c>
      <c r="F1395" s="60">
        <v>1979</v>
      </c>
      <c r="G1395" s="60" t="s">
        <v>4026</v>
      </c>
      <c r="H1395" s="65">
        <v>1134</v>
      </c>
      <c r="I1395" s="65" t="s">
        <v>4022</v>
      </c>
      <c r="J1395" s="60" t="s">
        <v>4023</v>
      </c>
      <c r="K1395" s="60">
        <v>42.078907999999998</v>
      </c>
      <c r="L1395">
        <v>-97.360854000000003</v>
      </c>
    </row>
    <row r="1396" spans="1:12" hidden="1" x14ac:dyDescent="0.35">
      <c r="A1396" s="60" t="s">
        <v>6311</v>
      </c>
      <c r="B1396" s="60" t="s">
        <v>6312</v>
      </c>
      <c r="C1396" s="60" t="s">
        <v>664</v>
      </c>
      <c r="D1396" s="60" t="s">
        <v>451</v>
      </c>
      <c r="E1396" t="str">
        <f>VLOOKUP(Table10[[#This Row],[Country]],Countries!$A$1:$D$205,2,TRUE)</f>
        <v>USA</v>
      </c>
      <c r="F1396" s="60">
        <v>1994</v>
      </c>
      <c r="G1396" s="60" t="s">
        <v>4026</v>
      </c>
      <c r="H1396" s="65">
        <v>653</v>
      </c>
      <c r="I1396" s="65" t="s">
        <v>4022</v>
      </c>
      <c r="J1396" s="60" t="s">
        <v>4023</v>
      </c>
      <c r="K1396" s="60">
        <v>40.478824000000003</v>
      </c>
      <c r="L1396">
        <v>-74.321186999999995</v>
      </c>
    </row>
    <row r="1397" spans="1:12" hidden="1" x14ac:dyDescent="0.35">
      <c r="A1397" s="60" t="s">
        <v>6313</v>
      </c>
      <c r="B1397" s="60" t="s">
        <v>6314</v>
      </c>
      <c r="C1397" s="60" t="s">
        <v>785</v>
      </c>
      <c r="D1397" s="60" t="s">
        <v>451</v>
      </c>
      <c r="E1397" t="str">
        <f>VLOOKUP(Table10[[#This Row],[Country]],Countries!$A$1:$D$205,2,TRUE)</f>
        <v>USA</v>
      </c>
      <c r="F1397" s="60">
        <v>2000</v>
      </c>
      <c r="G1397" s="60" t="s">
        <v>4026</v>
      </c>
      <c r="H1397" s="65">
        <v>1542</v>
      </c>
      <c r="I1397" s="65" t="s">
        <v>4022</v>
      </c>
      <c r="J1397" s="60" t="s">
        <v>4023</v>
      </c>
      <c r="K1397" s="60">
        <v>36.353006000000001</v>
      </c>
      <c r="L1397">
        <v>-76.811470999999997</v>
      </c>
    </row>
    <row r="1398" spans="1:12" hidden="1" x14ac:dyDescent="0.35">
      <c r="A1398" s="60" t="s">
        <v>6315</v>
      </c>
      <c r="B1398" s="60" t="s">
        <v>3901</v>
      </c>
      <c r="C1398" s="60" t="s">
        <v>533</v>
      </c>
      <c r="D1398" s="60" t="s">
        <v>451</v>
      </c>
      <c r="E1398" t="str">
        <f>VLOOKUP(Table10[[#This Row],[Country]],Countries!$A$1:$D$205,2,TRUE)</f>
        <v>USA</v>
      </c>
      <c r="F1398" s="60">
        <v>1886</v>
      </c>
      <c r="G1398" s="60" t="s">
        <v>4026</v>
      </c>
      <c r="H1398" s="65">
        <v>1092</v>
      </c>
      <c r="I1398" s="65" t="s">
        <v>4022</v>
      </c>
      <c r="J1398" s="60" t="s">
        <v>4023</v>
      </c>
      <c r="K1398" s="60">
        <v>40.804113999999998</v>
      </c>
      <c r="L1398">
        <v>-81.334001999999998</v>
      </c>
    </row>
    <row r="1399" spans="1:12" hidden="1" x14ac:dyDescent="0.35">
      <c r="A1399" s="60" t="s">
        <v>6316</v>
      </c>
      <c r="B1399" s="60" t="s">
        <v>3901</v>
      </c>
      <c r="C1399" s="60" t="s">
        <v>533</v>
      </c>
      <c r="D1399" s="60" t="s">
        <v>451</v>
      </c>
      <c r="E1399" t="str">
        <f>VLOOKUP(Table10[[#This Row],[Country]],Countries!$A$1:$D$205,2,TRUE)</f>
        <v>USA</v>
      </c>
      <c r="F1399" s="60">
        <v>1916</v>
      </c>
      <c r="G1399" s="60" t="s">
        <v>4107</v>
      </c>
      <c r="H1399" s="65">
        <v>800</v>
      </c>
      <c r="I1399" s="65" t="s">
        <v>4022</v>
      </c>
      <c r="J1399" s="60" t="s">
        <v>4023</v>
      </c>
      <c r="K1399" s="60">
        <v>40.778466000000002</v>
      </c>
      <c r="L1399">
        <v>-81.396889000000002</v>
      </c>
    </row>
    <row r="1400" spans="1:12" hidden="1" x14ac:dyDescent="0.35">
      <c r="A1400" s="60" t="s">
        <v>6317</v>
      </c>
      <c r="B1400" s="60" t="s">
        <v>3901</v>
      </c>
      <c r="C1400" s="60" t="s">
        <v>533</v>
      </c>
      <c r="D1400" s="60" t="s">
        <v>451</v>
      </c>
      <c r="E1400" t="str">
        <f>VLOOKUP(Table10[[#This Row],[Country]],Countries!$A$1:$D$205,2,TRUE)</f>
        <v>USA</v>
      </c>
      <c r="F1400" s="60">
        <v>1917</v>
      </c>
      <c r="G1400" s="60" t="s">
        <v>4026</v>
      </c>
      <c r="H1400" s="65">
        <v>1200</v>
      </c>
      <c r="I1400" s="65" t="s">
        <v>4022</v>
      </c>
      <c r="J1400" s="60" t="s">
        <v>4023</v>
      </c>
      <c r="K1400" s="60">
        <v>40.755388000000004</v>
      </c>
      <c r="L1400">
        <v>-81.439368999999999</v>
      </c>
    </row>
    <row r="1401" spans="1:12" hidden="1" x14ac:dyDescent="0.35">
      <c r="A1401" s="60" t="s">
        <v>6318</v>
      </c>
      <c r="B1401" s="60" t="s">
        <v>6319</v>
      </c>
      <c r="C1401" s="60" t="s">
        <v>533</v>
      </c>
      <c r="D1401" s="60" t="s">
        <v>451</v>
      </c>
      <c r="E1401" t="str">
        <f>VLOOKUP(Table10[[#This Row],[Country]],Countries!$A$1:$D$205,2,TRUE)</f>
        <v>USA</v>
      </c>
      <c r="F1401" s="60">
        <v>1913</v>
      </c>
      <c r="G1401" s="60" t="s">
        <v>4026</v>
      </c>
      <c r="H1401" s="65">
        <v>4100</v>
      </c>
      <c r="I1401" s="65">
        <v>2810</v>
      </c>
      <c r="J1401" s="60" t="s">
        <v>4049</v>
      </c>
      <c r="K1401" s="60">
        <v>41.464041000000002</v>
      </c>
      <c r="L1401">
        <v>-81.676499000000007</v>
      </c>
    </row>
    <row r="1402" spans="1:12" hidden="1" x14ac:dyDescent="0.35">
      <c r="A1402" s="60" t="s">
        <v>6320</v>
      </c>
      <c r="B1402" s="60" t="s">
        <v>6321</v>
      </c>
      <c r="C1402" s="60" t="s">
        <v>533</v>
      </c>
      <c r="D1402" s="60" t="s">
        <v>451</v>
      </c>
      <c r="E1402" t="str">
        <f>VLOOKUP(Table10[[#This Row],[Country]],Countries!$A$1:$D$205,2,TRUE)</f>
        <v>USA</v>
      </c>
      <c r="F1402" s="60">
        <v>2006</v>
      </c>
      <c r="G1402" s="60" t="s">
        <v>4026</v>
      </c>
      <c r="H1402" s="65">
        <v>635</v>
      </c>
      <c r="I1402" s="65" t="s">
        <v>4022</v>
      </c>
      <c r="J1402" s="60" t="s">
        <v>4023</v>
      </c>
      <c r="K1402" s="60">
        <v>41.443147000000003</v>
      </c>
      <c r="L1402">
        <v>-81.659910999999994</v>
      </c>
    </row>
    <row r="1403" spans="1:12" hidden="1" x14ac:dyDescent="0.35">
      <c r="A1403" s="60" t="s">
        <v>6322</v>
      </c>
      <c r="B1403" s="60" t="s">
        <v>3524</v>
      </c>
      <c r="C1403" s="60" t="s">
        <v>533</v>
      </c>
      <c r="D1403" s="60" t="s">
        <v>451</v>
      </c>
      <c r="E1403" t="str">
        <f>VLOOKUP(Table10[[#This Row],[Country]],Countries!$A$1:$D$205,2,TRUE)</f>
        <v>USA</v>
      </c>
      <c r="F1403" s="60">
        <v>2022</v>
      </c>
      <c r="G1403" s="60" t="s">
        <v>4026</v>
      </c>
      <c r="H1403" s="65">
        <v>850</v>
      </c>
      <c r="I1403" s="65" t="s">
        <v>4022</v>
      </c>
      <c r="J1403" s="60" t="s">
        <v>4023</v>
      </c>
      <c r="K1403" s="60">
        <v>41.568783000000003</v>
      </c>
      <c r="L1403">
        <v>-84.048129000000003</v>
      </c>
    </row>
    <row r="1404" spans="1:12" hidden="1" x14ac:dyDescent="0.35">
      <c r="A1404" s="60" t="s">
        <v>6323</v>
      </c>
      <c r="B1404" s="60" t="s">
        <v>3524</v>
      </c>
      <c r="C1404" s="60" t="s">
        <v>533</v>
      </c>
      <c r="D1404" s="60" t="s">
        <v>451</v>
      </c>
      <c r="E1404" t="str">
        <f>VLOOKUP(Table10[[#This Row],[Country]],Countries!$A$1:$D$205,2,TRUE)</f>
        <v>USA</v>
      </c>
      <c r="F1404" s="60">
        <v>1996</v>
      </c>
      <c r="G1404" s="60" t="s">
        <v>4026</v>
      </c>
      <c r="H1404" s="65">
        <v>2183</v>
      </c>
      <c r="I1404" s="65" t="s">
        <v>4022</v>
      </c>
      <c r="J1404" s="60" t="s">
        <v>4023</v>
      </c>
      <c r="K1404" s="60">
        <v>41.568783000000003</v>
      </c>
      <c r="L1404">
        <v>-84.048129000000003</v>
      </c>
    </row>
    <row r="1405" spans="1:12" hidden="1" x14ac:dyDescent="0.35">
      <c r="A1405" s="60" t="s">
        <v>6324</v>
      </c>
      <c r="B1405" s="60" t="s">
        <v>6325</v>
      </c>
      <c r="C1405" s="60" t="s">
        <v>533</v>
      </c>
      <c r="D1405" s="60" t="s">
        <v>451</v>
      </c>
      <c r="E1405" t="str">
        <f>VLOOKUP(Table10[[#This Row],[Country]],Countries!$A$1:$D$205,2,TRUE)</f>
        <v>USA</v>
      </c>
      <c r="F1405" s="60">
        <v>1895</v>
      </c>
      <c r="G1405" s="60" t="s">
        <v>4048</v>
      </c>
      <c r="H1405" s="65">
        <v>907</v>
      </c>
      <c r="I1405" s="65" t="s">
        <v>4022</v>
      </c>
      <c r="J1405" s="60" t="s">
        <v>4023</v>
      </c>
      <c r="K1405" s="60">
        <v>41.450358000000001</v>
      </c>
      <c r="L1405">
        <v>-82.131124999999997</v>
      </c>
    </row>
    <row r="1406" spans="1:12" hidden="1" x14ac:dyDescent="0.35">
      <c r="A1406" s="60" t="s">
        <v>6326</v>
      </c>
      <c r="B1406" s="60" t="s">
        <v>6327</v>
      </c>
      <c r="C1406" s="60" t="s">
        <v>533</v>
      </c>
      <c r="D1406" s="60" t="s">
        <v>451</v>
      </c>
      <c r="E1406" t="str">
        <f>VLOOKUP(Table10[[#This Row],[Country]],Countries!$A$1:$D$205,2,TRUE)</f>
        <v>USA</v>
      </c>
      <c r="F1406" s="60">
        <v>1924</v>
      </c>
      <c r="G1406" s="60" t="s">
        <v>4026</v>
      </c>
      <c r="H1406" s="65">
        <v>600</v>
      </c>
      <c r="I1406" s="65" t="s">
        <v>4022</v>
      </c>
      <c r="J1406" s="60" t="s">
        <v>4023</v>
      </c>
      <c r="K1406" s="60">
        <v>40.790123000000001</v>
      </c>
      <c r="L1406">
        <v>-82.526239000000004</v>
      </c>
    </row>
    <row r="1407" spans="1:12" hidden="1" x14ac:dyDescent="0.35">
      <c r="A1407" s="60" t="s">
        <v>6328</v>
      </c>
      <c r="B1407" s="60" t="s">
        <v>6329</v>
      </c>
      <c r="C1407" s="60" t="s">
        <v>533</v>
      </c>
      <c r="D1407" s="60" t="s">
        <v>451</v>
      </c>
      <c r="E1407" t="str">
        <f>VLOOKUP(Table10[[#This Row],[Country]],Countries!$A$1:$D$205,2,TRUE)</f>
        <v>USA</v>
      </c>
      <c r="F1407" s="60">
        <v>1901</v>
      </c>
      <c r="G1407" s="60" t="s">
        <v>4026</v>
      </c>
      <c r="H1407" s="65">
        <v>3000</v>
      </c>
      <c r="I1407" s="65">
        <v>2090</v>
      </c>
      <c r="J1407" s="60" t="s">
        <v>4049</v>
      </c>
      <c r="K1407" s="60">
        <v>39.488588999999997</v>
      </c>
      <c r="L1407">
        <v>-84.386196999999996</v>
      </c>
    </row>
    <row r="1408" spans="1:12" hidden="1" x14ac:dyDescent="0.35">
      <c r="A1408" s="60" t="s">
        <v>6330</v>
      </c>
      <c r="B1408" s="60" t="s">
        <v>6331</v>
      </c>
      <c r="C1408" s="60" t="s">
        <v>533</v>
      </c>
      <c r="D1408" s="60" t="s">
        <v>451</v>
      </c>
      <c r="E1408" t="str">
        <f>VLOOKUP(Table10[[#This Row],[Country]],Countries!$A$1:$D$205,2,TRUE)</f>
        <v>USA</v>
      </c>
      <c r="F1408" s="60">
        <v>2018</v>
      </c>
      <c r="G1408" s="60" t="s">
        <v>4026</v>
      </c>
      <c r="H1408" s="65">
        <v>1500</v>
      </c>
      <c r="I1408" s="65" t="s">
        <v>4022</v>
      </c>
      <c r="J1408" s="60" t="s">
        <v>4023</v>
      </c>
      <c r="K1408" s="60">
        <v>40.314891000000003</v>
      </c>
      <c r="L1408">
        <v>-80.605553</v>
      </c>
    </row>
    <row r="1409" spans="1:12" hidden="1" x14ac:dyDescent="0.35">
      <c r="A1409" s="60" t="s">
        <v>6332</v>
      </c>
      <c r="B1409" s="60" t="s">
        <v>657</v>
      </c>
      <c r="C1409" s="60" t="s">
        <v>533</v>
      </c>
      <c r="D1409" s="60" t="s">
        <v>451</v>
      </c>
      <c r="E1409" t="str">
        <f>VLOOKUP(Table10[[#This Row],[Country]],Countries!$A$1:$D$205,2,TRUE)</f>
        <v>USA</v>
      </c>
      <c r="F1409" s="60">
        <v>2020</v>
      </c>
      <c r="G1409" s="60" t="s">
        <v>4026</v>
      </c>
      <c r="H1409" s="65" t="s">
        <v>4022</v>
      </c>
      <c r="I1409" s="65">
        <v>1900</v>
      </c>
      <c r="J1409" s="60" t="s">
        <v>4030</v>
      </c>
      <c r="K1409" s="60">
        <v>41.672815999999997</v>
      </c>
      <c r="L1409">
        <v>-83.477833000000004</v>
      </c>
    </row>
    <row r="1410" spans="1:12" hidden="1" x14ac:dyDescent="0.35">
      <c r="A1410" s="60" t="s">
        <v>6333</v>
      </c>
      <c r="B1410" s="60" t="s">
        <v>6334</v>
      </c>
      <c r="C1410" s="60" t="s">
        <v>533</v>
      </c>
      <c r="D1410" s="60" t="s">
        <v>451</v>
      </c>
      <c r="E1410" t="str">
        <f>VLOOKUP(Table10[[#This Row],[Country]],Countries!$A$1:$D$205,2,TRUE)</f>
        <v>USA</v>
      </c>
      <c r="F1410" s="60">
        <v>1985</v>
      </c>
      <c r="G1410" s="60" t="s">
        <v>4026</v>
      </c>
      <c r="H1410" s="65">
        <v>694</v>
      </c>
      <c r="I1410" s="65" t="s">
        <v>4022</v>
      </c>
      <c r="J1410" s="60" t="s">
        <v>4023</v>
      </c>
      <c r="K1410" s="60">
        <v>41.125495000000001</v>
      </c>
      <c r="L1410">
        <v>-80.683381999999995</v>
      </c>
    </row>
    <row r="1411" spans="1:12" hidden="1" x14ac:dyDescent="0.35">
      <c r="A1411" s="60" t="s">
        <v>6335</v>
      </c>
      <c r="B1411" s="60" t="s">
        <v>6336</v>
      </c>
      <c r="C1411" s="60" t="s">
        <v>6337</v>
      </c>
      <c r="D1411" s="60" t="s">
        <v>451</v>
      </c>
      <c r="E1411" t="str">
        <f>VLOOKUP(Table10[[#This Row],[Country]],Countries!$A$1:$D$205,2,TRUE)</f>
        <v>USA</v>
      </c>
      <c r="F1411" s="60">
        <v>1968</v>
      </c>
      <c r="G1411" s="60" t="s">
        <v>4026</v>
      </c>
      <c r="H1411" s="65">
        <v>860</v>
      </c>
      <c r="I1411" s="65" t="s">
        <v>4022</v>
      </c>
      <c r="J1411" s="60" t="s">
        <v>4023</v>
      </c>
      <c r="K1411" s="60">
        <v>45.228034999999998</v>
      </c>
      <c r="L1411">
        <v>-123.163599</v>
      </c>
    </row>
    <row r="1412" spans="1:12" hidden="1" x14ac:dyDescent="0.35">
      <c r="A1412" s="60" t="s">
        <v>6338</v>
      </c>
      <c r="B1412" s="60" t="s">
        <v>6339</v>
      </c>
      <c r="C1412" s="60" t="s">
        <v>513</v>
      </c>
      <c r="D1412" s="60" t="s">
        <v>451</v>
      </c>
      <c r="E1412" t="str">
        <f>VLOOKUP(Table10[[#This Row],[Country]],Countries!$A$1:$D$205,2,TRUE)</f>
        <v>USA</v>
      </c>
      <c r="F1412" s="60">
        <v>1875</v>
      </c>
      <c r="G1412" s="60" t="s">
        <v>4026</v>
      </c>
      <c r="H1412" s="65">
        <v>2900</v>
      </c>
      <c r="I1412" s="65">
        <v>2078</v>
      </c>
      <c r="J1412" s="60" t="s">
        <v>4049</v>
      </c>
      <c r="K1412" s="60">
        <v>40.395139999999998</v>
      </c>
      <c r="L1412">
        <v>-79.859645</v>
      </c>
    </row>
    <row r="1413" spans="1:12" hidden="1" x14ac:dyDescent="0.35">
      <c r="A1413" s="60" t="s">
        <v>6340</v>
      </c>
      <c r="B1413" s="60" t="s">
        <v>6341</v>
      </c>
      <c r="C1413" s="60" t="s">
        <v>513</v>
      </c>
      <c r="D1413" s="60" t="s">
        <v>451</v>
      </c>
      <c r="E1413" t="str">
        <f>VLOOKUP(Table10[[#This Row],[Country]],Countries!$A$1:$D$205,2,TRUE)</f>
        <v>USA</v>
      </c>
      <c r="F1413" s="60">
        <v>1810</v>
      </c>
      <c r="G1413" s="60" t="s">
        <v>4026</v>
      </c>
      <c r="H1413" s="65">
        <v>800</v>
      </c>
      <c r="I1413" s="65" t="s">
        <v>4022</v>
      </c>
      <c r="J1413" s="60" t="s">
        <v>4023</v>
      </c>
      <c r="K1413" s="60">
        <v>39.977818999999997</v>
      </c>
      <c r="L1413">
        <v>-75.824511999999999</v>
      </c>
    </row>
    <row r="1414" spans="1:12" hidden="1" x14ac:dyDescent="0.35">
      <c r="A1414" s="60" t="s">
        <v>6342</v>
      </c>
      <c r="B1414" s="60" t="s">
        <v>6343</v>
      </c>
      <c r="C1414" s="60" t="s">
        <v>513</v>
      </c>
      <c r="D1414" s="60" t="s">
        <v>451</v>
      </c>
      <c r="E1414" t="str">
        <f>VLOOKUP(Table10[[#This Row],[Country]],Countries!$A$1:$D$205,2,TRUE)</f>
        <v>USA</v>
      </c>
      <c r="F1414" s="60">
        <v>1908</v>
      </c>
      <c r="G1414" s="60" t="s">
        <v>4026</v>
      </c>
      <c r="H1414" s="65">
        <v>1000</v>
      </c>
      <c r="I1414" s="65" t="s">
        <v>4022</v>
      </c>
      <c r="J1414" s="60" t="s">
        <v>4023</v>
      </c>
      <c r="K1414" s="60">
        <v>40.845523999999997</v>
      </c>
      <c r="L1414">
        <v>-79.921452000000002</v>
      </c>
    </row>
    <row r="1415" spans="1:12" hidden="1" x14ac:dyDescent="0.35">
      <c r="A1415" s="60" t="s">
        <v>6344</v>
      </c>
      <c r="B1415" s="60" t="s">
        <v>6345</v>
      </c>
      <c r="C1415" s="60" t="s">
        <v>513</v>
      </c>
      <c r="D1415" s="60" t="s">
        <v>451</v>
      </c>
      <c r="E1415" t="str">
        <f>VLOOKUP(Table10[[#This Row],[Country]],Countries!$A$1:$D$205,2,TRUE)</f>
        <v>USA</v>
      </c>
      <c r="F1415" s="60">
        <v>1866</v>
      </c>
      <c r="G1415" s="60" t="s">
        <v>4026</v>
      </c>
      <c r="H1415" s="65">
        <v>1000</v>
      </c>
      <c r="I1415" s="65" t="s">
        <v>4022</v>
      </c>
      <c r="J1415" s="60" t="s">
        <v>4023</v>
      </c>
      <c r="K1415" s="60">
        <v>40.230719999999998</v>
      </c>
      <c r="L1415">
        <v>-76.838505999999995</v>
      </c>
    </row>
    <row r="1416" spans="1:12" hidden="1" x14ac:dyDescent="0.35">
      <c r="A1416" s="60" t="s">
        <v>6346</v>
      </c>
      <c r="B1416" s="60" t="s">
        <v>6347</v>
      </c>
      <c r="C1416" s="60" t="s">
        <v>941</v>
      </c>
      <c r="D1416" s="60" t="s">
        <v>451</v>
      </c>
      <c r="E1416" t="str">
        <f>VLOOKUP(Table10[[#This Row],[Country]],Countries!$A$1:$D$205,2,TRUE)</f>
        <v>USA</v>
      </c>
      <c r="F1416" s="60">
        <v>1992</v>
      </c>
      <c r="G1416" s="60" t="s">
        <v>4026</v>
      </c>
      <c r="H1416" s="65">
        <v>776</v>
      </c>
      <c r="I1416" s="65" t="s">
        <v>4022</v>
      </c>
      <c r="J1416" s="60" t="s">
        <v>4023</v>
      </c>
      <c r="K1416" s="60">
        <v>33.962271999999999</v>
      </c>
      <c r="L1416">
        <v>-81.052010999999993</v>
      </c>
    </row>
    <row r="1417" spans="1:12" hidden="1" x14ac:dyDescent="0.35">
      <c r="A1417" s="60" t="s">
        <v>6348</v>
      </c>
      <c r="B1417" s="60" t="s">
        <v>6349</v>
      </c>
      <c r="C1417" s="60" t="s">
        <v>941</v>
      </c>
      <c r="D1417" s="60" t="s">
        <v>451</v>
      </c>
      <c r="E1417" t="str">
        <f>VLOOKUP(Table10[[#This Row],[Country]],Countries!$A$1:$D$205,2,TRUE)</f>
        <v>USA</v>
      </c>
      <c r="F1417" s="60">
        <v>1969</v>
      </c>
      <c r="G1417" s="60" t="s">
        <v>4026</v>
      </c>
      <c r="H1417" s="65">
        <v>907</v>
      </c>
      <c r="I1417" s="65" t="s">
        <v>4022</v>
      </c>
      <c r="J1417" s="60" t="s">
        <v>4023</v>
      </c>
      <c r="K1417" s="60">
        <v>34.375627999999999</v>
      </c>
      <c r="L1417">
        <v>-79.895165000000006</v>
      </c>
    </row>
    <row r="1418" spans="1:12" hidden="1" x14ac:dyDescent="0.35">
      <c r="A1418" s="60" t="s">
        <v>6350</v>
      </c>
      <c r="B1418" s="60" t="s">
        <v>6351</v>
      </c>
      <c r="C1418" s="60" t="s">
        <v>941</v>
      </c>
      <c r="D1418" s="60" t="s">
        <v>451</v>
      </c>
      <c r="E1418" t="str">
        <f>VLOOKUP(Table10[[#This Row],[Country]],Countries!$A$1:$D$205,2,TRUE)</f>
        <v>USA</v>
      </c>
      <c r="F1418" s="60">
        <v>1969</v>
      </c>
      <c r="G1418" s="60" t="s">
        <v>4026</v>
      </c>
      <c r="H1418" s="65">
        <v>908</v>
      </c>
      <c r="I1418" s="65" t="s">
        <v>4022</v>
      </c>
      <c r="J1418" s="60" t="s">
        <v>4023</v>
      </c>
      <c r="K1418" s="60">
        <v>33.367258</v>
      </c>
      <c r="L1418">
        <v>-79.292514999999995</v>
      </c>
    </row>
    <row r="1419" spans="1:12" hidden="1" x14ac:dyDescent="0.35">
      <c r="A1419" s="60" t="s">
        <v>6352</v>
      </c>
      <c r="B1419" s="60" t="s">
        <v>6353</v>
      </c>
      <c r="C1419" s="60" t="s">
        <v>941</v>
      </c>
      <c r="D1419" s="60" t="s">
        <v>451</v>
      </c>
      <c r="E1419" t="str">
        <f>VLOOKUP(Table10[[#This Row],[Country]],Countries!$A$1:$D$205,2,TRUE)</f>
        <v>USA</v>
      </c>
      <c r="F1419" s="60">
        <v>1996</v>
      </c>
      <c r="G1419" s="60" t="s">
        <v>4026</v>
      </c>
      <c r="H1419" s="65">
        <v>2956</v>
      </c>
      <c r="I1419" s="65" t="s">
        <v>4022</v>
      </c>
      <c r="J1419" s="60" t="s">
        <v>4023</v>
      </c>
      <c r="K1419" s="60">
        <v>33.004319000000002</v>
      </c>
      <c r="L1419">
        <v>-79.880955</v>
      </c>
    </row>
    <row r="1420" spans="1:12" hidden="1" x14ac:dyDescent="0.35">
      <c r="A1420" s="60" t="s">
        <v>6354</v>
      </c>
      <c r="B1420" s="60" t="s">
        <v>6355</v>
      </c>
      <c r="C1420" s="60" t="s">
        <v>540</v>
      </c>
      <c r="D1420" s="60" t="s">
        <v>451</v>
      </c>
      <c r="E1420" t="str">
        <f>VLOOKUP(Table10[[#This Row],[Country]],Countries!$A$1:$D$205,2,TRUE)</f>
        <v>USA</v>
      </c>
      <c r="F1420" s="60">
        <v>2000</v>
      </c>
      <c r="G1420" s="60" t="s">
        <v>4026</v>
      </c>
      <c r="H1420" s="65">
        <v>544</v>
      </c>
      <c r="I1420" s="65" t="s">
        <v>4022</v>
      </c>
      <c r="J1420" s="60" t="s">
        <v>4023</v>
      </c>
      <c r="K1420" s="60">
        <v>35.978104000000002</v>
      </c>
      <c r="L1420">
        <v>-83.956571999999994</v>
      </c>
    </row>
    <row r="1421" spans="1:12" hidden="1" x14ac:dyDescent="0.35">
      <c r="A1421" s="60" t="s">
        <v>6356</v>
      </c>
      <c r="B1421" s="60" t="s">
        <v>760</v>
      </c>
      <c r="C1421" s="60" t="s">
        <v>540</v>
      </c>
      <c r="D1421" s="60" t="s">
        <v>451</v>
      </c>
      <c r="E1421" t="str">
        <f>VLOOKUP(Table10[[#This Row],[Country]],Countries!$A$1:$D$205,2,TRUE)</f>
        <v>USA</v>
      </c>
      <c r="F1421" s="60">
        <v>2008</v>
      </c>
      <c r="G1421" s="60" t="s">
        <v>4026</v>
      </c>
      <c r="H1421" s="65">
        <v>891</v>
      </c>
      <c r="I1421" s="65" t="s">
        <v>4022</v>
      </c>
      <c r="J1421" s="60" t="s">
        <v>4023</v>
      </c>
      <c r="K1421" s="60">
        <v>35.048394999999999</v>
      </c>
      <c r="L1421">
        <v>-90.163032999999999</v>
      </c>
    </row>
    <row r="1422" spans="1:12" hidden="1" x14ac:dyDescent="0.35">
      <c r="A1422" s="60" t="s">
        <v>6357</v>
      </c>
      <c r="B1422" s="60" t="s">
        <v>3956</v>
      </c>
      <c r="C1422" s="60" t="s">
        <v>486</v>
      </c>
      <c r="D1422" s="60" t="s">
        <v>451</v>
      </c>
      <c r="E1422" t="str">
        <f>VLOOKUP(Table10[[#This Row],[Country]],Countries!$A$1:$D$205,2,TRUE)</f>
        <v>USA</v>
      </c>
      <c r="F1422" s="60">
        <f>2018-42</f>
        <v>1976</v>
      </c>
      <c r="G1422" s="60" t="s">
        <v>4026</v>
      </c>
      <c r="H1422" s="65">
        <v>700</v>
      </c>
      <c r="I1422" s="65" t="s">
        <v>4022</v>
      </c>
      <c r="J1422" s="60" t="s">
        <v>4023</v>
      </c>
      <c r="K1422" s="60">
        <v>30.08201</v>
      </c>
      <c r="L1422">
        <v>-94.074693999999994</v>
      </c>
    </row>
    <row r="1423" spans="1:12" hidden="1" x14ac:dyDescent="0.35">
      <c r="A1423" s="60" t="s">
        <v>6358</v>
      </c>
      <c r="B1423" s="60" t="s">
        <v>6359</v>
      </c>
      <c r="C1423" s="60" t="s">
        <v>486</v>
      </c>
      <c r="D1423" s="60" t="s">
        <v>451</v>
      </c>
      <c r="E1423" t="str">
        <f>VLOOKUP(Table10[[#This Row],[Country]],Countries!$A$1:$D$205,2,TRUE)</f>
        <v>USA</v>
      </c>
      <c r="F1423" s="60">
        <v>1975</v>
      </c>
      <c r="G1423" s="60" t="s">
        <v>4026</v>
      </c>
      <c r="H1423" s="65">
        <v>907</v>
      </c>
      <c r="I1423" s="65" t="s">
        <v>4022</v>
      </c>
      <c r="J1423" s="60" t="s">
        <v>4023</v>
      </c>
      <c r="K1423" s="60">
        <v>31.351852999999998</v>
      </c>
      <c r="L1423">
        <v>-96.165436</v>
      </c>
    </row>
    <row r="1424" spans="1:12" hidden="1" x14ac:dyDescent="0.35">
      <c r="A1424" s="60" t="s">
        <v>6360</v>
      </c>
      <c r="B1424" s="60" t="s">
        <v>6361</v>
      </c>
      <c r="C1424" s="60" t="s">
        <v>486</v>
      </c>
      <c r="D1424" s="60" t="s">
        <v>451</v>
      </c>
      <c r="E1424" t="str">
        <f>VLOOKUP(Table10[[#This Row],[Country]],Countries!$A$1:$D$205,2,TRUE)</f>
        <v>USA</v>
      </c>
      <c r="F1424" s="60">
        <v>1970</v>
      </c>
      <c r="G1424" s="60" t="s">
        <v>4026</v>
      </c>
      <c r="H1424" s="65">
        <v>1786</v>
      </c>
      <c r="I1424" s="65" t="s">
        <v>4022</v>
      </c>
      <c r="J1424" s="60" t="s">
        <v>4023</v>
      </c>
      <c r="K1424" s="60">
        <v>32.457543999999999</v>
      </c>
      <c r="L1424">
        <v>-97.034245999999996</v>
      </c>
    </row>
    <row r="1425" spans="1:12" hidden="1" x14ac:dyDescent="0.35">
      <c r="A1425" s="60" t="s">
        <v>6362</v>
      </c>
      <c r="B1425" s="60" t="s">
        <v>6363</v>
      </c>
      <c r="C1425" s="60" t="s">
        <v>486</v>
      </c>
      <c r="D1425" s="60" t="s">
        <v>451</v>
      </c>
      <c r="E1425" t="str">
        <f>VLOOKUP(Table10[[#This Row],[Country]],Countries!$A$1:$D$205,2,TRUE)</f>
        <v>USA</v>
      </c>
      <c r="F1425" s="60">
        <v>2017</v>
      </c>
      <c r="G1425" s="60" t="s">
        <v>4026</v>
      </c>
      <c r="H1425" s="65" t="s">
        <v>4022</v>
      </c>
      <c r="I1425" s="65">
        <v>2000</v>
      </c>
      <c r="J1425" s="60" t="s">
        <v>4030</v>
      </c>
      <c r="K1425" s="60">
        <v>27.888929000000001</v>
      </c>
      <c r="L1425">
        <v>-97.282061999999996</v>
      </c>
    </row>
    <row r="1426" spans="1:12" hidden="1" x14ac:dyDescent="0.35">
      <c r="A1426" s="60" t="s">
        <v>6364</v>
      </c>
      <c r="B1426" s="60" t="s">
        <v>6365</v>
      </c>
      <c r="C1426" s="60" t="s">
        <v>486</v>
      </c>
      <c r="D1426" s="60" t="s">
        <v>451</v>
      </c>
      <c r="E1426" t="str">
        <f>VLOOKUP(Table10[[#This Row],[Country]],Countries!$A$1:$D$205,2,TRUE)</f>
        <v>USA</v>
      </c>
      <c r="F1426" s="60">
        <v>1982</v>
      </c>
      <c r="G1426" s="60" t="s">
        <v>4026</v>
      </c>
      <c r="H1426" s="65">
        <v>943</v>
      </c>
      <c r="I1426" s="65" t="s">
        <v>4022</v>
      </c>
      <c r="J1426" s="60" t="s">
        <v>4023</v>
      </c>
      <c r="K1426" s="60">
        <v>29.577459000000001</v>
      </c>
      <c r="L1426">
        <v>-98.032016999999996</v>
      </c>
    </row>
    <row r="1427" spans="1:12" hidden="1" x14ac:dyDescent="0.35">
      <c r="A1427" s="60" t="s">
        <v>6366</v>
      </c>
      <c r="B1427" s="60" t="s">
        <v>6367</v>
      </c>
      <c r="C1427" s="60" t="s">
        <v>486</v>
      </c>
      <c r="D1427" s="60" t="s">
        <v>451</v>
      </c>
      <c r="E1427" t="str">
        <f>VLOOKUP(Table10[[#This Row],[Country]],Countries!$A$1:$D$205,2,TRUE)</f>
        <v>USA</v>
      </c>
      <c r="F1427" s="60">
        <v>2022</v>
      </c>
      <c r="G1427" s="60" t="s">
        <v>4026</v>
      </c>
      <c r="H1427" s="65">
        <v>2722</v>
      </c>
      <c r="I1427" s="65" t="s">
        <v>4022</v>
      </c>
      <c r="J1427" s="60" t="s">
        <v>4023</v>
      </c>
      <c r="K1427" s="60">
        <v>28.051819999999999</v>
      </c>
      <c r="L1427">
        <v>-97.488039999999998</v>
      </c>
    </row>
    <row r="1428" spans="1:12" hidden="1" x14ac:dyDescent="0.35">
      <c r="A1428" s="60" t="s">
        <v>6368</v>
      </c>
      <c r="B1428" s="60" t="s">
        <v>4036</v>
      </c>
      <c r="C1428" s="60" t="s">
        <v>4036</v>
      </c>
      <c r="D1428" s="60" t="s">
        <v>451</v>
      </c>
      <c r="E1428" t="str">
        <f>VLOOKUP(Table10[[#This Row],[Country]],Countries!$A$1:$D$205,2,TRUE)</f>
        <v>USA</v>
      </c>
      <c r="F1428" s="60" t="s">
        <v>4036</v>
      </c>
      <c r="G1428" s="60" t="s">
        <v>4037</v>
      </c>
      <c r="H1428" s="65">
        <v>500</v>
      </c>
      <c r="I1428" s="65" t="s">
        <v>4022</v>
      </c>
      <c r="J1428" s="60" t="s">
        <v>4023</v>
      </c>
      <c r="K1428" s="60">
        <v>39.815711999999998</v>
      </c>
      <c r="L1428">
        <v>-101.275181</v>
      </c>
    </row>
    <row r="1429" spans="1:12" hidden="1" x14ac:dyDescent="0.35">
      <c r="A1429" s="60" t="s">
        <v>6369</v>
      </c>
      <c r="B1429" s="60" t="s">
        <v>6370</v>
      </c>
      <c r="C1429" s="60" t="s">
        <v>653</v>
      </c>
      <c r="D1429" s="60" t="s">
        <v>451</v>
      </c>
      <c r="E1429" t="str">
        <f>VLOOKUP(Table10[[#This Row],[Country]],Countries!$A$1:$D$205,2,TRUE)</f>
        <v>USA</v>
      </c>
      <c r="F1429" s="60">
        <v>1981</v>
      </c>
      <c r="G1429" s="60" t="s">
        <v>4026</v>
      </c>
      <c r="H1429" s="65">
        <v>908</v>
      </c>
      <c r="I1429" s="65" t="s">
        <v>4022</v>
      </c>
      <c r="J1429" s="60" t="s">
        <v>4023</v>
      </c>
      <c r="K1429" s="60">
        <v>41.882789000000002</v>
      </c>
      <c r="L1429">
        <v>-112.196743</v>
      </c>
    </row>
    <row r="1430" spans="1:12" hidden="1" x14ac:dyDescent="0.35">
      <c r="A1430" s="60" t="s">
        <v>6371</v>
      </c>
      <c r="B1430" s="60" t="s">
        <v>6372</v>
      </c>
      <c r="C1430" s="60" t="s">
        <v>6373</v>
      </c>
      <c r="D1430" s="60" t="s">
        <v>451</v>
      </c>
      <c r="E1430" t="str">
        <f>VLOOKUP(Table10[[#This Row],[Country]],Countries!$A$1:$D$205,2,TRUE)</f>
        <v>USA</v>
      </c>
      <c r="F1430" s="60">
        <v>1998</v>
      </c>
      <c r="G1430" s="60" t="s">
        <v>4026</v>
      </c>
      <c r="H1430" s="65">
        <v>1000</v>
      </c>
      <c r="I1430" s="65" t="s">
        <v>4022</v>
      </c>
      <c r="J1430" s="60" t="s">
        <v>4023</v>
      </c>
      <c r="K1430" s="60">
        <v>37.181168</v>
      </c>
      <c r="L1430">
        <v>-77.449517</v>
      </c>
    </row>
    <row r="1431" spans="1:12" hidden="1" x14ac:dyDescent="0.35">
      <c r="A1431" s="60" t="s">
        <v>6374</v>
      </c>
      <c r="B1431" s="60" t="s">
        <v>6375</v>
      </c>
      <c r="C1431" s="60" t="s">
        <v>6373</v>
      </c>
      <c r="D1431" s="60" t="s">
        <v>451</v>
      </c>
      <c r="E1431" t="str">
        <f>VLOOKUP(Table10[[#This Row],[Country]],Countries!$A$1:$D$205,2,TRUE)</f>
        <v>USA</v>
      </c>
      <c r="F1431" s="60">
        <v>1955</v>
      </c>
      <c r="G1431" s="60" t="s">
        <v>4026</v>
      </c>
      <c r="H1431" s="65">
        <v>660</v>
      </c>
      <c r="I1431" s="65" t="s">
        <v>4022</v>
      </c>
      <c r="J1431" s="60" t="s">
        <v>4023</v>
      </c>
      <c r="K1431" s="60">
        <v>37.272927000000003</v>
      </c>
      <c r="L1431">
        <v>-79.998828000000003</v>
      </c>
    </row>
    <row r="1432" spans="1:12" hidden="1" x14ac:dyDescent="0.35">
      <c r="A1432" s="60" t="s">
        <v>6376</v>
      </c>
      <c r="B1432" s="60" t="s">
        <v>6377</v>
      </c>
      <c r="C1432" s="60" t="s">
        <v>482</v>
      </c>
      <c r="D1432" s="60" t="s">
        <v>451</v>
      </c>
      <c r="E1432" t="str">
        <f>VLOOKUP(Table10[[#This Row],[Country]],Countries!$A$1:$D$205,2,TRUE)</f>
        <v>USA</v>
      </c>
      <c r="F1432" s="60">
        <v>1904</v>
      </c>
      <c r="G1432" s="60" t="s">
        <v>4026</v>
      </c>
      <c r="H1432" s="65">
        <v>855</v>
      </c>
      <c r="I1432" s="65" t="s">
        <v>4022</v>
      </c>
      <c r="J1432" s="60" t="s">
        <v>4023</v>
      </c>
      <c r="K1432" s="60">
        <v>47.569597000000002</v>
      </c>
      <c r="L1432">
        <v>-122.367395</v>
      </c>
    </row>
    <row r="1433" spans="1:12" hidden="1" x14ac:dyDescent="0.35">
      <c r="A1433" s="60" t="s">
        <v>6378</v>
      </c>
      <c r="B1433" s="60" t="s">
        <v>6379</v>
      </c>
      <c r="C1433" s="60" t="s">
        <v>634</v>
      </c>
      <c r="D1433" s="60" t="s">
        <v>451</v>
      </c>
      <c r="E1433" t="str">
        <f>VLOOKUP(Table10[[#This Row],[Country]],Countries!$A$1:$D$205,2,TRUE)</f>
        <v>USA</v>
      </c>
      <c r="F1433" s="60">
        <v>2024</v>
      </c>
      <c r="G1433" s="60" t="s">
        <v>4021</v>
      </c>
      <c r="H1433" s="65">
        <v>2722</v>
      </c>
      <c r="I1433" s="65" t="s">
        <v>4022</v>
      </c>
      <c r="J1433" s="60" t="s">
        <v>4023</v>
      </c>
      <c r="K1433" s="60">
        <v>38.762557999999999</v>
      </c>
      <c r="L1433">
        <v>-82.047437000000002</v>
      </c>
    </row>
    <row r="1434" spans="1:12" hidden="1" x14ac:dyDescent="0.35">
      <c r="A1434" s="60" t="s">
        <v>6380</v>
      </c>
      <c r="B1434" s="60" t="s">
        <v>6381</v>
      </c>
      <c r="C1434" s="60" t="s">
        <v>931</v>
      </c>
      <c r="D1434" s="60" t="s">
        <v>451</v>
      </c>
      <c r="E1434" t="str">
        <f>VLOOKUP(Table10[[#This Row],[Country]],Countries!$A$1:$D$205,2,TRUE)</f>
        <v>USA</v>
      </c>
      <c r="F1434" s="60">
        <v>1991</v>
      </c>
      <c r="G1434" s="60" t="s">
        <v>4026</v>
      </c>
      <c r="H1434" s="65">
        <v>550</v>
      </c>
      <c r="I1434" s="65" t="s">
        <v>4022</v>
      </c>
      <c r="J1434" s="60" t="s">
        <v>4023</v>
      </c>
      <c r="K1434" s="60">
        <v>43.400533000000003</v>
      </c>
      <c r="L1434">
        <v>-87.9482</v>
      </c>
    </row>
  </sheetData>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F298-14C4-4D29-BF15-99542822C6E6}">
  <dimension ref="A1:H2"/>
  <sheetViews>
    <sheetView workbookViewId="0">
      <selection activeCell="D5" sqref="D5"/>
    </sheetView>
  </sheetViews>
  <sheetFormatPr defaultRowHeight="14.5" x14ac:dyDescent="0.35"/>
  <cols>
    <col min="1" max="1" width="16.26953125" customWidth="1"/>
    <col min="2" max="2" width="28.7265625" customWidth="1"/>
    <col min="3" max="3" width="12.81640625" customWidth="1"/>
    <col min="4" max="4" width="18.1796875" customWidth="1"/>
    <col min="7" max="7" width="13.81640625" customWidth="1"/>
  </cols>
  <sheetData>
    <row r="1" spans="1:8" x14ac:dyDescent="0.35">
      <c r="A1" t="s">
        <v>6382</v>
      </c>
      <c r="B1" t="s">
        <v>6383</v>
      </c>
      <c r="C1" t="s">
        <v>6384</v>
      </c>
      <c r="D1" t="s">
        <v>6385</v>
      </c>
      <c r="E1" t="s">
        <v>28</v>
      </c>
      <c r="F1" t="s">
        <v>29</v>
      </c>
      <c r="G1" t="s">
        <v>464</v>
      </c>
      <c r="H1" t="s">
        <v>465</v>
      </c>
    </row>
    <row r="2" spans="1:8" x14ac:dyDescent="0.35">
      <c r="A2" t="s">
        <v>6386</v>
      </c>
      <c r="B2" t="s">
        <v>6387</v>
      </c>
      <c r="C2" s="8">
        <v>75000</v>
      </c>
      <c r="D2" t="s">
        <v>6388</v>
      </c>
      <c r="E2" t="s">
        <v>24</v>
      </c>
      <c r="F2" t="s">
        <v>354</v>
      </c>
      <c r="G2" t="s">
        <v>6389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9519-4389-4897-8FA3-F52465DED9FA}">
  <dimension ref="A1:M338"/>
  <sheetViews>
    <sheetView topLeftCell="D1" workbookViewId="0">
      <selection activeCell="F341" sqref="F341"/>
    </sheetView>
  </sheetViews>
  <sheetFormatPr defaultRowHeight="14.5" x14ac:dyDescent="0.35"/>
  <cols>
    <col min="2" max="2" width="38.81640625" customWidth="1"/>
    <col min="3" max="3" width="18.81640625" customWidth="1"/>
    <col min="4" max="4" width="20.7265625" customWidth="1"/>
    <col min="5" max="5" width="20.1796875" customWidth="1"/>
    <col min="6" max="7" width="16.54296875" customWidth="1"/>
    <col min="8" max="8" width="25" customWidth="1"/>
    <col min="9" max="9" width="12.54296875" customWidth="1"/>
    <col min="10" max="10" width="17" customWidth="1"/>
    <col min="11" max="11" width="9.81640625" customWidth="1"/>
    <col min="12" max="12" width="12" customWidth="1"/>
  </cols>
  <sheetData>
    <row r="1" spans="1:13" x14ac:dyDescent="0.35">
      <c r="A1" s="27" t="s">
        <v>29</v>
      </c>
      <c r="B1" s="27" t="s">
        <v>6390</v>
      </c>
      <c r="C1" s="27" t="s">
        <v>4014</v>
      </c>
      <c r="D1" s="18" t="s">
        <v>6391</v>
      </c>
      <c r="E1" s="27" t="s">
        <v>6392</v>
      </c>
      <c r="F1" s="27" t="s">
        <v>6393</v>
      </c>
      <c r="G1" s="18" t="s">
        <v>6394</v>
      </c>
      <c r="H1" s="18" t="s">
        <v>6395</v>
      </c>
      <c r="I1" s="18" t="s">
        <v>6382</v>
      </c>
      <c r="J1" s="18" t="s">
        <v>6396</v>
      </c>
      <c r="K1" s="18" t="s">
        <v>464</v>
      </c>
      <c r="L1" s="18" t="s">
        <v>465</v>
      </c>
      <c r="M1" s="27" t="s">
        <v>6397</v>
      </c>
    </row>
    <row r="2" spans="1:13" x14ac:dyDescent="0.35">
      <c r="A2" t="s">
        <v>354</v>
      </c>
      <c r="B2" t="s">
        <v>6398</v>
      </c>
      <c r="C2" t="s">
        <v>6399</v>
      </c>
      <c r="D2">
        <v>1</v>
      </c>
      <c r="F2" t="s">
        <v>6400</v>
      </c>
      <c r="G2" t="s">
        <v>6401</v>
      </c>
      <c r="H2" t="s">
        <v>6402</v>
      </c>
      <c r="I2" t="s">
        <v>6403</v>
      </c>
      <c r="J2" s="25">
        <v>165356250</v>
      </c>
      <c r="K2" s="24" t="s">
        <v>6404</v>
      </c>
      <c r="M2" t="s">
        <v>6405</v>
      </c>
    </row>
    <row r="3" spans="1:13" x14ac:dyDescent="0.35">
      <c r="A3" t="s">
        <v>354</v>
      </c>
      <c r="B3" t="s">
        <v>6406</v>
      </c>
      <c r="C3" t="s">
        <v>6407</v>
      </c>
      <c r="D3">
        <v>1</v>
      </c>
      <c r="E3">
        <v>2024</v>
      </c>
      <c r="F3" t="s">
        <v>6408</v>
      </c>
      <c r="G3" t="s">
        <v>6401</v>
      </c>
      <c r="H3" s="8">
        <v>2300000</v>
      </c>
      <c r="I3" t="s">
        <v>6409</v>
      </c>
      <c r="J3" s="26">
        <v>132285000</v>
      </c>
      <c r="K3" s="24" t="s">
        <v>6410</v>
      </c>
    </row>
    <row r="4" spans="1:13" x14ac:dyDescent="0.35">
      <c r="A4" t="s">
        <v>354</v>
      </c>
      <c r="B4" t="s">
        <v>6411</v>
      </c>
      <c r="C4" t="s">
        <v>6399</v>
      </c>
      <c r="D4">
        <v>1</v>
      </c>
      <c r="E4">
        <v>2024</v>
      </c>
      <c r="F4" t="s">
        <v>6412</v>
      </c>
      <c r="G4" t="s">
        <v>6401</v>
      </c>
      <c r="I4" t="s">
        <v>6413</v>
      </c>
      <c r="K4" s="28" t="s">
        <v>6414</v>
      </c>
      <c r="M4" s="29" t="s">
        <v>6415</v>
      </c>
    </row>
    <row r="5" spans="1:13" x14ac:dyDescent="0.35">
      <c r="A5" t="s">
        <v>354</v>
      </c>
      <c r="B5" t="s">
        <v>6416</v>
      </c>
      <c r="C5" t="s">
        <v>6417</v>
      </c>
      <c r="D5">
        <v>1</v>
      </c>
      <c r="E5">
        <v>2023</v>
      </c>
      <c r="F5" t="s">
        <v>4123</v>
      </c>
      <c r="G5" t="s">
        <v>6401</v>
      </c>
      <c r="H5" s="8">
        <v>1900000</v>
      </c>
      <c r="I5" t="s">
        <v>6418</v>
      </c>
      <c r="J5" s="25">
        <v>165356250</v>
      </c>
      <c r="K5" s="24" t="s">
        <v>6419</v>
      </c>
      <c r="M5" s="24" t="s">
        <v>6420</v>
      </c>
    </row>
    <row r="6" spans="1:13" x14ac:dyDescent="0.35">
      <c r="A6" t="s">
        <v>354</v>
      </c>
      <c r="B6" t="s">
        <v>6421</v>
      </c>
      <c r="C6" t="s">
        <v>6422</v>
      </c>
      <c r="D6">
        <v>2</v>
      </c>
      <c r="E6">
        <v>2017</v>
      </c>
      <c r="F6" t="s">
        <v>6423</v>
      </c>
      <c r="G6" t="s">
        <v>6424</v>
      </c>
      <c r="H6" s="8">
        <v>9000000</v>
      </c>
      <c r="I6" t="s">
        <v>6425</v>
      </c>
      <c r="J6" s="21">
        <v>2875000000</v>
      </c>
      <c r="K6" s="24" t="s">
        <v>6426</v>
      </c>
      <c r="M6" s="24" t="s">
        <v>6427</v>
      </c>
    </row>
    <row r="7" spans="1:13" x14ac:dyDescent="0.35">
      <c r="A7" t="s">
        <v>354</v>
      </c>
      <c r="B7" t="s">
        <v>6428</v>
      </c>
      <c r="C7" t="s">
        <v>6422</v>
      </c>
      <c r="D7">
        <v>2</v>
      </c>
      <c r="E7">
        <v>2015</v>
      </c>
      <c r="F7" t="s">
        <v>6428</v>
      </c>
      <c r="G7" t="s">
        <v>6424</v>
      </c>
      <c r="H7" s="8">
        <v>8500000</v>
      </c>
      <c r="I7" t="s">
        <v>880</v>
      </c>
      <c r="J7" s="21">
        <v>6000000000</v>
      </c>
      <c r="K7" s="24" t="s">
        <v>6429</v>
      </c>
      <c r="M7" s="24" t="s">
        <v>6430</v>
      </c>
    </row>
    <row r="8" spans="1:13" x14ac:dyDescent="0.35">
      <c r="A8" t="s">
        <v>354</v>
      </c>
      <c r="B8" t="s">
        <v>6431</v>
      </c>
      <c r="C8" t="s">
        <v>6422</v>
      </c>
      <c r="D8">
        <v>2</v>
      </c>
      <c r="E8">
        <v>2016</v>
      </c>
      <c r="F8" t="s">
        <v>6432</v>
      </c>
      <c r="G8" t="s">
        <v>6424</v>
      </c>
      <c r="H8" s="8">
        <v>8000000</v>
      </c>
      <c r="I8" t="s">
        <v>6433</v>
      </c>
      <c r="J8" s="21">
        <v>10582800000</v>
      </c>
      <c r="K8" s="24" t="s">
        <v>6434</v>
      </c>
      <c r="M8" s="24" t="s">
        <v>6435</v>
      </c>
    </row>
    <row r="9" spans="1:13" x14ac:dyDescent="0.35">
      <c r="A9" t="s">
        <v>354</v>
      </c>
      <c r="B9" t="s">
        <v>6436</v>
      </c>
      <c r="C9" t="s">
        <v>6422</v>
      </c>
      <c r="D9">
        <v>2</v>
      </c>
      <c r="E9">
        <v>2006</v>
      </c>
      <c r="F9" t="s">
        <v>6437</v>
      </c>
      <c r="G9" t="s">
        <v>6424</v>
      </c>
      <c r="H9" s="8">
        <f>3700000*2</f>
        <v>7400000</v>
      </c>
      <c r="I9" t="s">
        <v>6438</v>
      </c>
      <c r="J9" s="21">
        <v>1600000000</v>
      </c>
      <c r="K9" s="24" t="s">
        <v>6439</v>
      </c>
      <c r="M9" s="24" t="s">
        <v>6440</v>
      </c>
    </row>
    <row r="10" spans="1:13" x14ac:dyDescent="0.35">
      <c r="A10" t="s">
        <v>354</v>
      </c>
      <c r="B10" t="s">
        <v>6441</v>
      </c>
      <c r="C10" t="s">
        <v>6422</v>
      </c>
      <c r="D10">
        <v>1</v>
      </c>
      <c r="E10">
        <v>2018</v>
      </c>
      <c r="F10" t="s">
        <v>6442</v>
      </c>
      <c r="G10" t="s">
        <v>6424</v>
      </c>
      <c r="H10" s="8">
        <v>3600000</v>
      </c>
      <c r="I10" t="s">
        <v>880</v>
      </c>
      <c r="J10" s="21">
        <v>24000000000</v>
      </c>
      <c r="K10" s="24" t="s">
        <v>6443</v>
      </c>
      <c r="M10" s="24" t="s">
        <v>6444</v>
      </c>
    </row>
    <row r="11" spans="1:13" x14ac:dyDescent="0.35">
      <c r="A11" t="s">
        <v>354</v>
      </c>
      <c r="B11" t="s">
        <v>6445</v>
      </c>
      <c r="C11" t="s">
        <v>6422</v>
      </c>
      <c r="D11">
        <v>2</v>
      </c>
      <c r="E11">
        <v>2018</v>
      </c>
      <c r="F11" t="s">
        <v>6442</v>
      </c>
      <c r="G11" t="s">
        <v>6424</v>
      </c>
      <c r="H11" s="4">
        <f>4.45*2*1000000</f>
        <v>8900000</v>
      </c>
      <c r="I11" t="s">
        <v>6446</v>
      </c>
      <c r="J11" s="21">
        <v>45000000000</v>
      </c>
      <c r="K11" s="30">
        <v>-17.961943999999999</v>
      </c>
      <c r="L11" s="30">
        <v>122.23611099999999</v>
      </c>
      <c r="M11" s="24" t="s">
        <v>6447</v>
      </c>
    </row>
    <row r="12" spans="1:13" x14ac:dyDescent="0.35">
      <c r="A12" t="s">
        <v>354</v>
      </c>
      <c r="B12" t="s">
        <v>6445</v>
      </c>
      <c r="C12" t="s">
        <v>6407</v>
      </c>
      <c r="D12">
        <v>1</v>
      </c>
      <c r="E12">
        <v>2023</v>
      </c>
      <c r="F12" t="s">
        <v>6442</v>
      </c>
      <c r="G12" t="s">
        <v>6424</v>
      </c>
      <c r="H12" s="8">
        <v>4450000</v>
      </c>
      <c r="I12" t="s">
        <v>6446</v>
      </c>
      <c r="K12" s="30">
        <v>-17.961943999999999</v>
      </c>
      <c r="L12" s="30">
        <v>122.23611099999999</v>
      </c>
      <c r="M12" s="29" t="s">
        <v>6448</v>
      </c>
    </row>
    <row r="13" spans="1:13" x14ac:dyDescent="0.35">
      <c r="A13" t="s">
        <v>354</v>
      </c>
      <c r="B13" t="s">
        <v>6449</v>
      </c>
      <c r="C13" t="s">
        <v>6422</v>
      </c>
      <c r="D13">
        <v>2</v>
      </c>
      <c r="E13">
        <v>2018</v>
      </c>
      <c r="F13" t="s">
        <v>6450</v>
      </c>
      <c r="G13" t="s">
        <v>6424</v>
      </c>
      <c r="H13" s="8">
        <v>4450000</v>
      </c>
      <c r="I13" t="s">
        <v>797</v>
      </c>
      <c r="J13" s="21">
        <v>15000000000</v>
      </c>
      <c r="K13" s="24" t="s">
        <v>6451</v>
      </c>
      <c r="M13" s="29" t="s">
        <v>6452</v>
      </c>
    </row>
    <row r="14" spans="1:13" x14ac:dyDescent="0.35">
      <c r="A14" t="s">
        <v>354</v>
      </c>
      <c r="B14" t="s">
        <v>6453</v>
      </c>
      <c r="C14" t="s">
        <v>6422</v>
      </c>
      <c r="D14">
        <v>3</v>
      </c>
      <c r="E14">
        <v>2017</v>
      </c>
      <c r="F14" t="s">
        <v>6454</v>
      </c>
      <c r="G14" t="s">
        <v>6424</v>
      </c>
      <c r="H14">
        <f>5200000*3</f>
        <v>15600000</v>
      </c>
      <c r="I14" t="s">
        <v>797</v>
      </c>
      <c r="J14" s="21">
        <v>55000000000</v>
      </c>
      <c r="K14" s="30">
        <v>-20.79</v>
      </c>
      <c r="L14" s="30">
        <v>115.44965000000001</v>
      </c>
      <c r="M14" s="24" t="s">
        <v>6455</v>
      </c>
    </row>
    <row r="15" spans="1:13" x14ac:dyDescent="0.35">
      <c r="A15" t="s">
        <v>354</v>
      </c>
      <c r="B15" t="s">
        <v>6456</v>
      </c>
      <c r="C15" t="s">
        <v>6399</v>
      </c>
      <c r="D15">
        <v>2</v>
      </c>
      <c r="E15">
        <v>2023</v>
      </c>
      <c r="F15" t="s">
        <v>6457</v>
      </c>
      <c r="G15" t="s">
        <v>6424</v>
      </c>
      <c r="H15">
        <f>5700000*2</f>
        <v>11400000</v>
      </c>
      <c r="I15" t="s">
        <v>6458</v>
      </c>
      <c r="J15" s="21">
        <v>20500000000</v>
      </c>
      <c r="K15" s="30">
        <v>-17.961943999999999</v>
      </c>
      <c r="L15" s="30">
        <v>122.23611099999999</v>
      </c>
      <c r="M15" s="24" t="s">
        <v>6459</v>
      </c>
    </row>
    <row r="16" spans="1:13" x14ac:dyDescent="0.35">
      <c r="A16" t="s">
        <v>354</v>
      </c>
      <c r="B16" t="s">
        <v>6460</v>
      </c>
      <c r="C16" t="s">
        <v>6422</v>
      </c>
      <c r="D16">
        <v>3</v>
      </c>
      <c r="E16">
        <v>1992</v>
      </c>
      <c r="F16" t="s">
        <v>6461</v>
      </c>
      <c r="G16" t="s">
        <v>6424</v>
      </c>
      <c r="H16" s="4">
        <f>2500000*3</f>
        <v>7500000</v>
      </c>
      <c r="I16" t="s">
        <v>6462</v>
      </c>
      <c r="K16" s="24" t="s">
        <v>6463</v>
      </c>
      <c r="M16" s="29" t="s">
        <v>6464</v>
      </c>
    </row>
    <row r="17" spans="1:13" x14ac:dyDescent="0.35">
      <c r="A17" t="s">
        <v>354</v>
      </c>
      <c r="B17" t="s">
        <v>6460</v>
      </c>
      <c r="C17" t="s">
        <v>6422</v>
      </c>
      <c r="D17">
        <v>2</v>
      </c>
      <c r="E17">
        <v>2008</v>
      </c>
      <c r="F17" t="s">
        <v>6461</v>
      </c>
      <c r="G17" t="s">
        <v>6424</v>
      </c>
      <c r="H17" s="4">
        <f>4600000*2</f>
        <v>9200000</v>
      </c>
      <c r="I17" t="s">
        <v>6462</v>
      </c>
      <c r="K17" s="24" t="s">
        <v>6465</v>
      </c>
      <c r="M17" s="29" t="s">
        <v>6464</v>
      </c>
    </row>
    <row r="18" spans="1:13" x14ac:dyDescent="0.35">
      <c r="A18" t="s">
        <v>354</v>
      </c>
      <c r="B18" t="s">
        <v>6466</v>
      </c>
      <c r="C18" t="s">
        <v>6422</v>
      </c>
      <c r="D18">
        <v>1</v>
      </c>
      <c r="E18">
        <v>2012</v>
      </c>
      <c r="F18" t="s">
        <v>6467</v>
      </c>
      <c r="G18" t="s">
        <v>6424</v>
      </c>
      <c r="H18" s="8">
        <v>4900000</v>
      </c>
      <c r="I18" t="s">
        <v>6458</v>
      </c>
      <c r="J18" s="21">
        <v>12000000000</v>
      </c>
      <c r="K18" s="24" t="s">
        <v>6468</v>
      </c>
      <c r="M18" s="29" t="s">
        <v>6469</v>
      </c>
    </row>
    <row r="19" spans="1:13" x14ac:dyDescent="0.35">
      <c r="A19" t="s">
        <v>354</v>
      </c>
      <c r="B19" t="s">
        <v>6466</v>
      </c>
      <c r="C19" t="s">
        <v>6407</v>
      </c>
      <c r="D19">
        <v>1</v>
      </c>
      <c r="E19">
        <v>2026</v>
      </c>
      <c r="F19" t="s">
        <v>6467</v>
      </c>
      <c r="G19" t="s">
        <v>6424</v>
      </c>
      <c r="H19" s="8">
        <v>5000000</v>
      </c>
      <c r="I19" t="s">
        <v>6458</v>
      </c>
      <c r="J19" s="21">
        <v>5600000000</v>
      </c>
      <c r="K19" s="24" t="s">
        <v>6470</v>
      </c>
      <c r="M19" s="24" t="s">
        <v>6471</v>
      </c>
    </row>
    <row r="20" spans="1:13" x14ac:dyDescent="0.35">
      <c r="A20" t="str">
        <f>VLOOKUP("Albania",Countries!$A$1:$D$205,2,FALSE)</f>
        <v>ALB</v>
      </c>
      <c r="B20" t="s">
        <v>6472</v>
      </c>
      <c r="C20" t="s">
        <v>6399</v>
      </c>
      <c r="D20" s="69" t="s">
        <v>6473</v>
      </c>
      <c r="E20" s="69" t="s">
        <v>6474</v>
      </c>
      <c r="F20" s="16" t="s">
        <v>6475</v>
      </c>
      <c r="G20" s="16" t="s">
        <v>6401</v>
      </c>
      <c r="H20" s="67">
        <f>3500000</f>
        <v>3500000</v>
      </c>
      <c r="I20" s="16" t="s">
        <v>6476</v>
      </c>
      <c r="J20" s="68"/>
      <c r="K20" s="16" t="s">
        <v>6477</v>
      </c>
      <c r="L20" s="16" t="s">
        <v>6478</v>
      </c>
    </row>
    <row r="21" spans="1:13" x14ac:dyDescent="0.35">
      <c r="A21" t="str">
        <f>VLOOKUP("Algeria",Countries!$A$1:$D$205,2,FALSE)</f>
        <v>DZA</v>
      </c>
      <c r="B21" s="30" t="s">
        <v>6479</v>
      </c>
      <c r="C21" t="s">
        <v>6422</v>
      </c>
      <c r="D21">
        <v>6</v>
      </c>
      <c r="E21">
        <v>1978</v>
      </c>
      <c r="F21" s="30" t="s">
        <v>6480</v>
      </c>
      <c r="G21" t="s">
        <v>6424</v>
      </c>
      <c r="H21" s="4">
        <f>1.32*6*1000000</f>
        <v>7920000</v>
      </c>
      <c r="I21" t="s">
        <v>6481</v>
      </c>
      <c r="K21" s="30">
        <v>35.804519999999997</v>
      </c>
      <c r="L21" s="30">
        <v>-0.24096999999999999</v>
      </c>
    </row>
    <row r="22" spans="1:13" x14ac:dyDescent="0.35">
      <c r="A22" t="str">
        <f>VLOOKUP("Algeria",Countries!$A$1:$D$205,2,FALSE)</f>
        <v>DZA</v>
      </c>
      <c r="B22" s="30" t="s">
        <v>6479</v>
      </c>
      <c r="C22" t="s">
        <v>6422</v>
      </c>
      <c r="D22">
        <v>6</v>
      </c>
      <c r="E22">
        <v>1981</v>
      </c>
      <c r="F22" s="30" t="s">
        <v>6480</v>
      </c>
      <c r="G22" t="s">
        <v>6424</v>
      </c>
      <c r="H22" s="4">
        <f>1.37*6*1000000</f>
        <v>8220000.0000000009</v>
      </c>
      <c r="I22" t="s">
        <v>6481</v>
      </c>
      <c r="K22" s="30">
        <v>35.804519999999997</v>
      </c>
      <c r="L22" s="30">
        <v>-0.24096999999999999</v>
      </c>
    </row>
    <row r="23" spans="1:13" x14ac:dyDescent="0.35">
      <c r="A23" t="str">
        <f>VLOOKUP("Algeria",Countries!$A$1:$D$205,2,FALSE)</f>
        <v>DZA</v>
      </c>
      <c r="B23" t="s">
        <v>6482</v>
      </c>
      <c r="C23" t="s">
        <v>6422</v>
      </c>
      <c r="D23">
        <v>1</v>
      </c>
      <c r="E23">
        <v>2013</v>
      </c>
      <c r="F23" s="30" t="s">
        <v>3132</v>
      </c>
      <c r="G23" t="s">
        <v>6424</v>
      </c>
      <c r="H23" s="4">
        <f>4500000</f>
        <v>4500000</v>
      </c>
      <c r="I23" t="s">
        <v>6481</v>
      </c>
      <c r="K23" s="30">
        <v>36.877899999999997</v>
      </c>
      <c r="L23" s="30">
        <v>6.9414999999999996</v>
      </c>
    </row>
    <row r="24" spans="1:13" x14ac:dyDescent="0.35">
      <c r="A24" t="str">
        <f>VLOOKUP("Algeria",Countries!$A$1:$D$205,2,FALSE)</f>
        <v>DZA</v>
      </c>
      <c r="B24" t="s">
        <v>6483</v>
      </c>
      <c r="C24" t="s">
        <v>6422</v>
      </c>
      <c r="D24">
        <v>1</v>
      </c>
      <c r="F24" s="70" t="s">
        <v>3127</v>
      </c>
      <c r="G24" t="s">
        <v>6424</v>
      </c>
      <c r="H24" s="4">
        <v>4000000</v>
      </c>
      <c r="I24" t="s">
        <v>6484</v>
      </c>
      <c r="K24" s="70">
        <v>35.845351000000001</v>
      </c>
      <c r="L24" s="70">
        <v>-0.30576300000000001</v>
      </c>
    </row>
    <row r="25" spans="1:13" x14ac:dyDescent="0.35">
      <c r="A25" t="str">
        <f>VLOOKUP("Angola",Countries!$A$1:$D$205,2,FALSE)</f>
        <v>AGO</v>
      </c>
      <c r="B25" s="30" t="s">
        <v>6485</v>
      </c>
      <c r="C25" t="s">
        <v>6422</v>
      </c>
      <c r="D25">
        <v>1</v>
      </c>
      <c r="E25">
        <v>2013</v>
      </c>
      <c r="G25" s="30" t="s">
        <v>6424</v>
      </c>
      <c r="H25" s="8">
        <v>5200000</v>
      </c>
      <c r="I25" s="30" t="s">
        <v>6486</v>
      </c>
      <c r="K25" s="30">
        <v>-6.1195700000000004</v>
      </c>
      <c r="L25" s="30">
        <v>12.33596</v>
      </c>
    </row>
    <row r="26" spans="1:13" x14ac:dyDescent="0.35">
      <c r="A26" t="str">
        <f>VLOOKUP("Angola",Countries!$A$1:$D$205,2,FALSE)</f>
        <v>AGO</v>
      </c>
      <c r="B26" s="70" t="s">
        <v>6487</v>
      </c>
      <c r="C26" t="s">
        <v>6399</v>
      </c>
      <c r="D26">
        <v>1</v>
      </c>
      <c r="G26" s="70" t="s">
        <v>6401</v>
      </c>
      <c r="I26" s="70" t="s">
        <v>6488</v>
      </c>
    </row>
    <row r="27" spans="1:13" x14ac:dyDescent="0.35">
      <c r="A27" t="str">
        <f>VLOOKUP("Antigua and Barbuda",Countries!$A$1:$D$205,2,FALSE)</f>
        <v>ATG</v>
      </c>
      <c r="B27" t="s">
        <v>6489</v>
      </c>
      <c r="C27" t="s">
        <v>6399</v>
      </c>
      <c r="D27">
        <v>1</v>
      </c>
      <c r="E27">
        <v>2023</v>
      </c>
      <c r="F27" s="70" t="s">
        <v>6490</v>
      </c>
      <c r="G27" t="s">
        <v>6401</v>
      </c>
      <c r="I27" s="70" t="s">
        <v>6491</v>
      </c>
      <c r="K27" s="70">
        <v>17.136679000000001</v>
      </c>
      <c r="L27" s="70">
        <v>-61.751593</v>
      </c>
    </row>
    <row r="28" spans="1:13" x14ac:dyDescent="0.35">
      <c r="A28" t="str">
        <f>VLOOKUP("Argentina",Countries!$A$1:$D$205,2,FALSE)</f>
        <v>ARG</v>
      </c>
      <c r="B28" s="30" t="s">
        <v>6492</v>
      </c>
      <c r="C28" t="s">
        <v>6422</v>
      </c>
      <c r="D28">
        <v>1</v>
      </c>
      <c r="E28" s="30">
        <v>2008</v>
      </c>
      <c r="F28" s="30" t="s">
        <v>6493</v>
      </c>
      <c r="G28" s="30" t="s">
        <v>6401</v>
      </c>
      <c r="H28" s="4">
        <f>3.8*1000000</f>
        <v>3800000</v>
      </c>
      <c r="I28" s="30" t="s">
        <v>6494</v>
      </c>
      <c r="K28" s="30">
        <v>-38.785499999999999</v>
      </c>
      <c r="L28" s="30">
        <v>-62.286900000000003</v>
      </c>
    </row>
    <row r="29" spans="1:13" x14ac:dyDescent="0.35">
      <c r="A29" t="str">
        <f>VLOOKUP("Argentina",Countries!$A$1:$D$205,2,FALSE)</f>
        <v>ARG</v>
      </c>
      <c r="B29" s="30" t="s">
        <v>6495</v>
      </c>
      <c r="C29" t="s">
        <v>6422</v>
      </c>
      <c r="D29">
        <v>1</v>
      </c>
      <c r="E29" s="30">
        <v>2011</v>
      </c>
      <c r="F29" s="30" t="s">
        <v>6496</v>
      </c>
      <c r="G29" s="30" t="s">
        <v>6401</v>
      </c>
      <c r="H29" s="4">
        <f>6.1*1000000</f>
        <v>6100000</v>
      </c>
      <c r="I29" s="30" t="s">
        <v>6497</v>
      </c>
      <c r="K29" s="30">
        <v>-34.333333000000003</v>
      </c>
      <c r="L29" s="30">
        <v>-58.816667000000002</v>
      </c>
    </row>
    <row r="30" spans="1:13" x14ac:dyDescent="0.35">
      <c r="A30" t="str">
        <f>VLOOKUP("Argentina",Countries!$A$1:$D$205,2,FALSE)</f>
        <v>ARG</v>
      </c>
      <c r="B30" s="70" t="s">
        <v>6498</v>
      </c>
      <c r="C30" t="s">
        <v>6399</v>
      </c>
      <c r="D30">
        <v>1</v>
      </c>
      <c r="E30" s="70">
        <v>2024</v>
      </c>
      <c r="F30" s="70" t="s">
        <v>6499</v>
      </c>
      <c r="G30" s="70" t="s">
        <v>6424</v>
      </c>
      <c r="H30" s="4">
        <f>5.37*1000000</f>
        <v>5370000</v>
      </c>
      <c r="I30" s="70" t="s">
        <v>6500</v>
      </c>
      <c r="K30" s="70">
        <v>-38.777372999999997</v>
      </c>
      <c r="L30" s="70">
        <v>-62.304451</v>
      </c>
    </row>
    <row r="31" spans="1:13" x14ac:dyDescent="0.35">
      <c r="A31" t="s">
        <v>34</v>
      </c>
      <c r="B31" s="70" t="s">
        <v>6501</v>
      </c>
      <c r="C31" t="s">
        <v>6422</v>
      </c>
      <c r="D31">
        <v>1</v>
      </c>
      <c r="E31">
        <v>1996</v>
      </c>
      <c r="F31" s="70" t="s">
        <v>6502</v>
      </c>
      <c r="G31" t="s">
        <v>6401</v>
      </c>
      <c r="H31" s="70">
        <v>9500000</v>
      </c>
      <c r="I31" s="70" t="s">
        <v>6503</v>
      </c>
      <c r="K31" s="70">
        <v>40.198127999999997</v>
      </c>
      <c r="L31" s="70">
        <v>49.478161999999998</v>
      </c>
    </row>
    <row r="32" spans="1:13" x14ac:dyDescent="0.35">
      <c r="A32" t="str">
        <f>VLOOKUP("Bahrain",Countries!$A$1:$D$205,2,FALSE)</f>
        <v>BHR</v>
      </c>
      <c r="B32" s="30" t="s">
        <v>6504</v>
      </c>
      <c r="C32" t="s">
        <v>6422</v>
      </c>
      <c r="D32">
        <v>1</v>
      </c>
      <c r="E32" s="30">
        <v>2019</v>
      </c>
      <c r="F32" s="30" t="s">
        <v>6021</v>
      </c>
      <c r="G32" s="30" t="s">
        <v>6401</v>
      </c>
      <c r="H32" s="30">
        <v>6</v>
      </c>
      <c r="I32" s="30" t="s">
        <v>6505</v>
      </c>
      <c r="K32" s="30">
        <v>26.25</v>
      </c>
      <c r="L32" s="30">
        <v>50.65</v>
      </c>
    </row>
    <row r="33" spans="1:12" x14ac:dyDescent="0.35">
      <c r="A33" t="str">
        <f>VLOOKUP("Bahrain",Countries!$A$1:$D$205,2,FALSE)</f>
        <v>BHR</v>
      </c>
      <c r="B33" s="70" t="s">
        <v>6506</v>
      </c>
      <c r="C33" t="s">
        <v>6422</v>
      </c>
      <c r="D33">
        <v>1</v>
      </c>
      <c r="E33" s="70">
        <v>2020</v>
      </c>
      <c r="F33" s="70" t="s">
        <v>6507</v>
      </c>
      <c r="G33" s="70" t="s">
        <v>6401</v>
      </c>
      <c r="H33" s="70">
        <v>3</v>
      </c>
      <c r="I33" s="70" t="s">
        <v>6508</v>
      </c>
      <c r="K33" s="70">
        <v>26.184904199999998</v>
      </c>
      <c r="L33" s="70">
        <v>50.733975999999998</v>
      </c>
    </row>
    <row r="34" spans="1:12" x14ac:dyDescent="0.35">
      <c r="A34" t="str">
        <f>VLOOKUP(" Bangladesh",Countries!$A$1:$D$205,2,FALSE)</f>
        <v>BGD</v>
      </c>
      <c r="B34" s="30" t="s">
        <v>6509</v>
      </c>
      <c r="C34" t="s">
        <v>6422</v>
      </c>
      <c r="D34">
        <v>1</v>
      </c>
      <c r="E34" s="30">
        <v>2018</v>
      </c>
      <c r="F34" s="30" t="s">
        <v>6510</v>
      </c>
      <c r="G34" s="30" t="s">
        <v>6401</v>
      </c>
      <c r="H34" s="30">
        <v>3.8</v>
      </c>
      <c r="I34" s="30" t="s">
        <v>6511</v>
      </c>
      <c r="K34" s="30">
        <v>21.55</v>
      </c>
      <c r="L34" s="30">
        <v>91.95</v>
      </c>
    </row>
    <row r="35" spans="1:12" x14ac:dyDescent="0.35">
      <c r="A35" t="str">
        <f>VLOOKUP(" Bangladesh",Countries!$A$1:$D$205,2,FALSE)</f>
        <v>BGD</v>
      </c>
      <c r="B35" s="30" t="s">
        <v>6512</v>
      </c>
      <c r="C35" t="s">
        <v>6422</v>
      </c>
      <c r="D35">
        <v>1</v>
      </c>
      <c r="E35" s="30">
        <v>2019</v>
      </c>
      <c r="F35" s="30" t="s">
        <v>6510</v>
      </c>
      <c r="G35" s="30" t="s">
        <v>6401</v>
      </c>
      <c r="H35" s="30">
        <v>3.5</v>
      </c>
      <c r="I35" s="30" t="s">
        <v>6513</v>
      </c>
      <c r="K35" s="30">
        <v>21.55</v>
      </c>
      <c r="L35" s="30">
        <v>91.95</v>
      </c>
    </row>
    <row r="36" spans="1:12" x14ac:dyDescent="0.35">
      <c r="A36" t="str">
        <f>VLOOKUP(" Bangladesh",Countries!$A$1:$D$205,2,FALSE)</f>
        <v>BGD</v>
      </c>
      <c r="B36" s="30" t="s">
        <v>6514</v>
      </c>
      <c r="C36" t="s">
        <v>6399</v>
      </c>
      <c r="D36">
        <v>1</v>
      </c>
      <c r="E36" s="30">
        <v>2023</v>
      </c>
      <c r="F36" s="30" t="s">
        <v>6515</v>
      </c>
      <c r="G36" s="30" t="s">
        <v>6401</v>
      </c>
      <c r="H36" s="30">
        <v>7.5</v>
      </c>
      <c r="I36" s="30" t="s">
        <v>6516</v>
      </c>
      <c r="K36" s="30">
        <v>21.7271477</v>
      </c>
      <c r="L36" s="30">
        <v>91.8797371</v>
      </c>
    </row>
    <row r="37" spans="1:12" x14ac:dyDescent="0.35">
      <c r="A37" t="str">
        <f>VLOOKUP(" Bangladesh",Countries!$A$1:$D$205,2,FALSE)</f>
        <v>BGD</v>
      </c>
      <c r="B37" s="30" t="s">
        <v>6517</v>
      </c>
      <c r="C37" t="s">
        <v>6399</v>
      </c>
      <c r="D37">
        <v>1</v>
      </c>
      <c r="E37" s="30"/>
      <c r="F37" s="30" t="s">
        <v>6518</v>
      </c>
      <c r="G37" s="30" t="s">
        <v>6401</v>
      </c>
      <c r="H37" s="30">
        <v>3.75</v>
      </c>
      <c r="I37" s="30" t="s">
        <v>6519</v>
      </c>
      <c r="K37" s="30">
        <v>21.989799999999999</v>
      </c>
      <c r="L37" s="30">
        <v>90.278300000000002</v>
      </c>
    </row>
    <row r="38" spans="1:12" x14ac:dyDescent="0.35">
      <c r="A38" t="str">
        <f>VLOOKUP(" Bangladesh",Countries!$A$1:$D$205,2,FALSE)</f>
        <v>BGD</v>
      </c>
      <c r="B38" s="70" t="s">
        <v>6520</v>
      </c>
      <c r="C38" t="s">
        <v>6399</v>
      </c>
      <c r="D38">
        <v>1</v>
      </c>
      <c r="E38" s="70"/>
      <c r="F38" s="70" t="s">
        <v>6521</v>
      </c>
      <c r="G38" s="70" t="s">
        <v>6401</v>
      </c>
      <c r="H38" s="70">
        <v>3.8</v>
      </c>
      <c r="I38" s="70" t="s">
        <v>6522</v>
      </c>
      <c r="K38" s="70">
        <v>21.698509000000001</v>
      </c>
      <c r="L38" s="70">
        <v>91.870868999999999</v>
      </c>
    </row>
    <row r="39" spans="1:12" x14ac:dyDescent="0.35">
      <c r="A39" t="str">
        <f>VLOOKUP(" Belgium",Countries!$A$1:$D$205,2,FALSE)</f>
        <v>BEL</v>
      </c>
      <c r="B39" s="30" t="s">
        <v>6523</v>
      </c>
      <c r="C39" t="s">
        <v>6422</v>
      </c>
      <c r="D39">
        <v>1</v>
      </c>
      <c r="E39">
        <v>2018</v>
      </c>
      <c r="F39" s="30" t="s">
        <v>1703</v>
      </c>
      <c r="G39" s="70" t="s">
        <v>6401</v>
      </c>
      <c r="H39" s="30">
        <v>6.6</v>
      </c>
      <c r="I39" s="30" t="s">
        <v>6524</v>
      </c>
      <c r="K39" s="30">
        <v>51.353000000000002</v>
      </c>
      <c r="L39" s="30">
        <v>3.22241</v>
      </c>
    </row>
    <row r="40" spans="1:12" x14ac:dyDescent="0.35">
      <c r="A40" t="str">
        <f>VLOOKUP(" Belgium",Countries!$A$1:$D$205,2,FALSE)</f>
        <v>BEL</v>
      </c>
      <c r="B40" s="30" t="s">
        <v>6523</v>
      </c>
      <c r="C40" t="s">
        <v>6399</v>
      </c>
      <c r="D40">
        <v>1</v>
      </c>
      <c r="E40">
        <v>2024</v>
      </c>
      <c r="F40" s="30" t="s">
        <v>1703</v>
      </c>
      <c r="G40" s="70" t="s">
        <v>6401</v>
      </c>
      <c r="H40" s="30">
        <v>4.7</v>
      </c>
      <c r="I40" s="30" t="s">
        <v>6524</v>
      </c>
      <c r="K40" s="30">
        <v>51.353000000000002</v>
      </c>
      <c r="L40" s="30">
        <v>3.22241</v>
      </c>
    </row>
    <row r="41" spans="1:12" x14ac:dyDescent="0.35">
      <c r="A41" t="str">
        <f>VLOOKUP(" Belgium",Countries!$A$1:$D$205,2,FALSE)</f>
        <v>BEL</v>
      </c>
      <c r="B41" s="30" t="s">
        <v>6523</v>
      </c>
      <c r="C41" t="s">
        <v>6399</v>
      </c>
      <c r="D41">
        <v>1</v>
      </c>
      <c r="E41">
        <v>2026</v>
      </c>
      <c r="F41" s="30" t="s">
        <v>1703</v>
      </c>
      <c r="G41" s="70" t="s">
        <v>6401</v>
      </c>
      <c r="H41" s="30">
        <v>1.3</v>
      </c>
      <c r="I41" s="30" t="s">
        <v>6524</v>
      </c>
      <c r="K41" s="30">
        <v>51.353000000000002</v>
      </c>
      <c r="L41" s="30">
        <v>3.22241</v>
      </c>
    </row>
    <row r="42" spans="1:12" x14ac:dyDescent="0.35">
      <c r="A42" t="str">
        <f>VLOOKUP("Brazil",Countries!$A$1:$D$205,2,FALSE)</f>
        <v>BRA</v>
      </c>
      <c r="B42" s="30" t="s">
        <v>6525</v>
      </c>
      <c r="C42" s="30" t="s">
        <v>6422</v>
      </c>
      <c r="D42">
        <v>1</v>
      </c>
      <c r="E42">
        <v>2009</v>
      </c>
      <c r="F42" s="30" t="s">
        <v>6526</v>
      </c>
      <c r="G42" s="30" t="s">
        <v>6401</v>
      </c>
      <c r="H42" s="30">
        <v>8.0500000000000007</v>
      </c>
      <c r="I42" s="30" t="s">
        <v>6527</v>
      </c>
      <c r="K42" s="30">
        <v>-22.790278000000001</v>
      </c>
      <c r="L42" s="30">
        <v>-43.155555999999997</v>
      </c>
    </row>
    <row r="43" spans="1:12" x14ac:dyDescent="0.35">
      <c r="A43" t="str">
        <f>VLOOKUP("Brazil",Countries!$A$1:$D$205,2,FALSE)</f>
        <v>BRA</v>
      </c>
      <c r="B43" s="30" t="s">
        <v>6528</v>
      </c>
      <c r="C43" s="30" t="s">
        <v>6422</v>
      </c>
      <c r="D43">
        <v>1</v>
      </c>
      <c r="E43">
        <v>2008</v>
      </c>
      <c r="F43" s="30" t="s">
        <v>6529</v>
      </c>
      <c r="G43" s="30" t="s">
        <v>6401</v>
      </c>
      <c r="H43" s="30">
        <v>1.88</v>
      </c>
      <c r="I43" s="30" t="s">
        <v>6527</v>
      </c>
      <c r="K43" s="30">
        <v>-3.5466669999999998</v>
      </c>
      <c r="L43" s="30">
        <v>-38.831389000000001</v>
      </c>
    </row>
    <row r="44" spans="1:12" x14ac:dyDescent="0.35">
      <c r="A44" t="str">
        <f>VLOOKUP("Brazil",Countries!$A$1:$D$205,2,FALSE)</f>
        <v>BRA</v>
      </c>
      <c r="B44" s="30" t="s">
        <v>6530</v>
      </c>
      <c r="C44" s="30" t="s">
        <v>6422</v>
      </c>
      <c r="D44">
        <v>1</v>
      </c>
      <c r="E44">
        <v>2020</v>
      </c>
      <c r="F44" s="30" t="s">
        <v>6531</v>
      </c>
      <c r="G44" s="30" t="s">
        <v>6401</v>
      </c>
      <c r="H44" s="30">
        <v>5.6</v>
      </c>
      <c r="I44" s="30" t="s">
        <v>6488</v>
      </c>
      <c r="K44" s="30">
        <v>-10.843241000000001</v>
      </c>
      <c r="L44" s="30">
        <v>-36.918455000000002</v>
      </c>
    </row>
    <row r="45" spans="1:12" x14ac:dyDescent="0.35">
      <c r="A45" t="str">
        <f>VLOOKUP("Brazil",Countries!$A$1:$D$205,2,FALSE)</f>
        <v>BRA</v>
      </c>
      <c r="B45" s="30" t="s">
        <v>6532</v>
      </c>
      <c r="C45" s="30" t="s">
        <v>6422</v>
      </c>
      <c r="D45">
        <v>1</v>
      </c>
      <c r="E45">
        <v>2021</v>
      </c>
      <c r="F45" s="30" t="s">
        <v>6533</v>
      </c>
      <c r="G45" s="30" t="s">
        <v>6401</v>
      </c>
      <c r="H45" s="30">
        <v>5.6</v>
      </c>
      <c r="I45" s="30" t="s">
        <v>6534</v>
      </c>
      <c r="K45" s="30">
        <v>-21.847897</v>
      </c>
      <c r="L45" s="30">
        <v>-40.991889</v>
      </c>
    </row>
    <row r="46" spans="1:12" x14ac:dyDescent="0.35">
      <c r="A46" t="str">
        <f>VLOOKUP("Brazil",Countries!$A$1:$D$205,2,FALSE)</f>
        <v>BRA</v>
      </c>
      <c r="B46" s="30" t="s">
        <v>6535</v>
      </c>
      <c r="C46" s="30" t="s">
        <v>6422</v>
      </c>
      <c r="D46">
        <v>1</v>
      </c>
      <c r="E46">
        <v>2014</v>
      </c>
      <c r="F46" s="30" t="s">
        <v>6536</v>
      </c>
      <c r="G46" s="30" t="s">
        <v>6401</v>
      </c>
      <c r="H46" s="30">
        <v>5</v>
      </c>
      <c r="I46" s="30" t="s">
        <v>6527</v>
      </c>
      <c r="K46" s="30">
        <v>-12.785422000000001</v>
      </c>
      <c r="L46" s="30">
        <v>-38.703510999999999</v>
      </c>
    </row>
    <row r="47" spans="1:12" x14ac:dyDescent="0.35">
      <c r="A47" t="str">
        <f>VLOOKUP("Brazil",Countries!$A$1:$D$205,2,FALSE)</f>
        <v>BRA</v>
      </c>
      <c r="B47" s="30" t="s">
        <v>6537</v>
      </c>
      <c r="C47" s="30" t="s">
        <v>6417</v>
      </c>
      <c r="D47">
        <v>1</v>
      </c>
      <c r="E47">
        <v>2022</v>
      </c>
      <c r="F47" s="30" t="s">
        <v>6538</v>
      </c>
      <c r="G47" s="30" t="s">
        <v>6401</v>
      </c>
      <c r="H47" s="30">
        <v>4.03</v>
      </c>
      <c r="I47" s="30" t="s">
        <v>6488</v>
      </c>
      <c r="K47" s="30">
        <v>-1.539174</v>
      </c>
      <c r="L47" s="30">
        <v>-48.754139000000002</v>
      </c>
    </row>
    <row r="48" spans="1:12" x14ac:dyDescent="0.35">
      <c r="A48" t="str">
        <f>VLOOKUP("Brazil",Countries!$A$1:$D$205,2,FALSE)</f>
        <v>BRA</v>
      </c>
      <c r="B48" s="30" t="s">
        <v>6539</v>
      </c>
      <c r="C48" s="30" t="s">
        <v>6417</v>
      </c>
      <c r="D48">
        <v>1</v>
      </c>
      <c r="E48">
        <v>2022</v>
      </c>
      <c r="F48" s="30" t="s">
        <v>6438</v>
      </c>
      <c r="G48" s="30" t="s">
        <v>6401</v>
      </c>
      <c r="H48" s="30">
        <v>3.76</v>
      </c>
      <c r="I48" s="30" t="s">
        <v>6540</v>
      </c>
      <c r="K48" s="30">
        <v>-23.911937999999999</v>
      </c>
      <c r="L48" s="30">
        <v>-46.342196000000001</v>
      </c>
    </row>
    <row r="49" spans="1:12" x14ac:dyDescent="0.35">
      <c r="A49" t="str">
        <f>VLOOKUP("Brazil",Countries!$A$1:$D$205,2,FALSE)</f>
        <v>BRA</v>
      </c>
      <c r="B49" s="30" t="s">
        <v>6541</v>
      </c>
      <c r="C49" s="30" t="s">
        <v>6399</v>
      </c>
      <c r="D49">
        <v>1</v>
      </c>
      <c r="E49">
        <v>2026</v>
      </c>
      <c r="F49" s="30" t="s">
        <v>6542</v>
      </c>
      <c r="G49" s="30" t="s">
        <v>6401</v>
      </c>
      <c r="H49" s="30">
        <v>0</v>
      </c>
      <c r="I49" s="30" t="s">
        <v>6543</v>
      </c>
      <c r="K49" s="30">
        <v>-2.5795340000000002</v>
      </c>
      <c r="L49" s="30">
        <v>-44.368471999999997</v>
      </c>
    </row>
    <row r="50" spans="1:12" x14ac:dyDescent="0.35">
      <c r="A50" t="str">
        <f>VLOOKUP("Brazil",Countries!$A$1:$D$205,2,FALSE)</f>
        <v>BRA</v>
      </c>
      <c r="B50" s="30" t="s">
        <v>6544</v>
      </c>
      <c r="C50" s="30" t="s">
        <v>6399</v>
      </c>
      <c r="D50">
        <v>1</v>
      </c>
      <c r="E50">
        <v>2025</v>
      </c>
      <c r="F50" s="30" t="s">
        <v>6545</v>
      </c>
      <c r="G50" s="30" t="s">
        <v>6401</v>
      </c>
      <c r="H50" s="30" t="s">
        <v>6546</v>
      </c>
      <c r="I50" s="30" t="s">
        <v>6547</v>
      </c>
      <c r="K50" s="30">
        <v>-19.857997000000001</v>
      </c>
      <c r="L50" s="30">
        <v>-40.074053999999997</v>
      </c>
    </row>
    <row r="51" spans="1:12" x14ac:dyDescent="0.35">
      <c r="A51" t="str">
        <f>VLOOKUP("Brazil",Countries!$A$1:$D$205,2,FALSE)</f>
        <v>BRA</v>
      </c>
      <c r="B51" s="30" t="s">
        <v>6548</v>
      </c>
      <c r="C51" s="30" t="s">
        <v>6399</v>
      </c>
      <c r="D51">
        <v>1</v>
      </c>
      <c r="F51" s="30" t="s">
        <v>6549</v>
      </c>
      <c r="G51" s="30" t="s">
        <v>6401</v>
      </c>
      <c r="H51" s="30">
        <v>3.76</v>
      </c>
      <c r="I51" s="30" t="s">
        <v>6550</v>
      </c>
      <c r="K51" s="30">
        <v>-3.1549200000000002</v>
      </c>
      <c r="L51" s="30">
        <v>-58.433795000000003</v>
      </c>
    </row>
    <row r="52" spans="1:12" x14ac:dyDescent="0.35">
      <c r="A52" t="str">
        <f>VLOOKUP("Brazil",Countries!$A$1:$D$205,2,FALSE)</f>
        <v>BRA</v>
      </c>
      <c r="B52" s="30" t="s">
        <v>6551</v>
      </c>
      <c r="C52" s="30" t="s">
        <v>6399</v>
      </c>
      <c r="D52">
        <v>1</v>
      </c>
      <c r="F52" s="30" t="s">
        <v>6552</v>
      </c>
      <c r="G52" s="30" t="s">
        <v>6401</v>
      </c>
      <c r="H52" s="30">
        <v>3.76</v>
      </c>
      <c r="I52" s="30" t="s">
        <v>6553</v>
      </c>
      <c r="K52" s="30">
        <v>-25.540198</v>
      </c>
      <c r="L52" s="30">
        <v>-48.379359000000001</v>
      </c>
    </row>
    <row r="53" spans="1:12" x14ac:dyDescent="0.35">
      <c r="A53" t="str">
        <f>VLOOKUP("Brazil",Countries!$A$1:$D$205,2,FALSE)</f>
        <v>BRA</v>
      </c>
      <c r="B53" s="30" t="s">
        <v>6554</v>
      </c>
      <c r="C53" s="30" t="s">
        <v>6399</v>
      </c>
      <c r="D53">
        <v>1</v>
      </c>
      <c r="E53">
        <v>2027</v>
      </c>
      <c r="F53" s="30" t="s">
        <v>6555</v>
      </c>
      <c r="G53" s="30" t="s">
        <v>6401</v>
      </c>
      <c r="H53" s="30">
        <v>5.64</v>
      </c>
      <c r="I53" s="30" t="s">
        <v>6556</v>
      </c>
      <c r="K53" s="30">
        <v>-21.514932999999999</v>
      </c>
      <c r="L53" s="30">
        <v>-40.978918</v>
      </c>
    </row>
    <row r="54" spans="1:12" x14ac:dyDescent="0.35">
      <c r="A54" t="str">
        <f>VLOOKUP("Brazil",Countries!$A$1:$D$205,2,FALSE)</f>
        <v>BRA</v>
      </c>
      <c r="B54" s="30" t="s">
        <v>6557</v>
      </c>
      <c r="C54" s="30" t="s">
        <v>6399</v>
      </c>
      <c r="D54">
        <v>1</v>
      </c>
      <c r="F54" s="30" t="s">
        <v>6558</v>
      </c>
      <c r="G54" s="30" t="s">
        <v>6401</v>
      </c>
      <c r="H54" s="30">
        <v>5.37</v>
      </c>
      <c r="I54" s="30" t="s">
        <v>6559</v>
      </c>
      <c r="K54" s="30">
        <v>-21.224754000000001</v>
      </c>
      <c r="L54" s="30">
        <v>-40.946933000000001</v>
      </c>
    </row>
    <row r="55" spans="1:12" x14ac:dyDescent="0.35">
      <c r="A55" t="str">
        <f>VLOOKUP("Brazil",Countries!$A$1:$D$205,2,FALSE)</f>
        <v>BRA</v>
      </c>
      <c r="B55" s="30" t="s">
        <v>6560</v>
      </c>
      <c r="C55" s="30" t="s">
        <v>6399</v>
      </c>
      <c r="D55">
        <v>1</v>
      </c>
      <c r="F55" s="30" t="s">
        <v>6561</v>
      </c>
      <c r="G55" s="30" t="s">
        <v>6401</v>
      </c>
      <c r="H55" s="30">
        <v>5.64</v>
      </c>
      <c r="I55" s="30" t="s">
        <v>6488</v>
      </c>
      <c r="K55" s="30">
        <v>-2.5509810000000002</v>
      </c>
      <c r="L55" s="30">
        <v>-44.378683000000002</v>
      </c>
    </row>
    <row r="56" spans="1:12" x14ac:dyDescent="0.35">
      <c r="A56" t="str">
        <f>VLOOKUP("Brazil",Countries!$A$1:$D$205,2,FALSE)</f>
        <v>BRA</v>
      </c>
      <c r="B56" s="30" t="s">
        <v>6562</v>
      </c>
      <c r="C56" s="30" t="s">
        <v>6407</v>
      </c>
      <c r="D56">
        <v>1</v>
      </c>
      <c r="E56">
        <v>2022</v>
      </c>
      <c r="F56" s="30" t="s">
        <v>6563</v>
      </c>
      <c r="G56" s="30" t="s">
        <v>6401</v>
      </c>
      <c r="H56" s="30">
        <v>5.64</v>
      </c>
      <c r="I56" s="30" t="s">
        <v>6488</v>
      </c>
      <c r="K56" s="30">
        <v>-8.3981790000000007</v>
      </c>
      <c r="L56" s="30">
        <v>-34.959574000000003</v>
      </c>
    </row>
    <row r="57" spans="1:12" x14ac:dyDescent="0.35">
      <c r="A57" t="str">
        <f>VLOOKUP("Brazil",Countries!$A$1:$D$205,2,FALSE)</f>
        <v>BRA</v>
      </c>
      <c r="B57" s="30" t="s">
        <v>6564</v>
      </c>
      <c r="C57" s="30" t="s">
        <v>6399</v>
      </c>
      <c r="D57">
        <v>1</v>
      </c>
      <c r="F57" s="30" t="s">
        <v>6565</v>
      </c>
      <c r="G57" s="30" t="s">
        <v>6401</v>
      </c>
      <c r="H57" s="30">
        <v>5.64</v>
      </c>
      <c r="I57" s="30" t="s">
        <v>6566</v>
      </c>
      <c r="K57" s="30">
        <v>-22.323277000000001</v>
      </c>
      <c r="L57" s="30">
        <v>-41.723129999999998</v>
      </c>
    </row>
    <row r="58" spans="1:12" x14ac:dyDescent="0.35">
      <c r="A58" t="str">
        <f>VLOOKUP("Brazil",Countries!$A$1:$D$205,2,FALSE)</f>
        <v>BRA</v>
      </c>
      <c r="B58" s="30" t="s">
        <v>6567</v>
      </c>
      <c r="C58" s="30" t="s">
        <v>6417</v>
      </c>
      <c r="D58">
        <v>1</v>
      </c>
      <c r="E58">
        <v>2022</v>
      </c>
      <c r="F58" s="30" t="s">
        <v>6568</v>
      </c>
      <c r="G58" s="30" t="s">
        <v>6401</v>
      </c>
      <c r="H58" s="30">
        <v>4.03</v>
      </c>
      <c r="I58" s="30" t="s">
        <v>6488</v>
      </c>
      <c r="K58" s="30">
        <v>-26.230937000000001</v>
      </c>
      <c r="L58" s="30">
        <v>-48.640791</v>
      </c>
    </row>
    <row r="59" spans="1:12" x14ac:dyDescent="0.35">
      <c r="A59" t="str">
        <f>VLOOKUP("Brazil",Countries!$A$1:$D$205,2,FALSE)</f>
        <v>BRA</v>
      </c>
      <c r="B59" s="30" t="s">
        <v>6569</v>
      </c>
      <c r="C59" s="30" t="s">
        <v>6399</v>
      </c>
      <c r="D59">
        <v>1</v>
      </c>
      <c r="E59">
        <v>2024</v>
      </c>
      <c r="F59" s="30" t="s">
        <v>6570</v>
      </c>
      <c r="G59" s="30" t="s">
        <v>6401</v>
      </c>
      <c r="H59" s="30">
        <v>1.61</v>
      </c>
      <c r="I59" s="30" t="s">
        <v>6571</v>
      </c>
      <c r="K59" s="30">
        <v>-32.118352999999999</v>
      </c>
      <c r="L59" s="30">
        <v>-52.106161</v>
      </c>
    </row>
    <row r="60" spans="1:12" x14ac:dyDescent="0.35">
      <c r="A60" t="str">
        <f>VLOOKUP("Brazil",Countries!$A$1:$D$205,2,FALSE)</f>
        <v>BRA</v>
      </c>
      <c r="B60" s="70" t="s">
        <v>6572</v>
      </c>
      <c r="C60" s="30" t="s">
        <v>6399</v>
      </c>
      <c r="D60">
        <v>1</v>
      </c>
      <c r="F60" s="70" t="s">
        <v>6573</v>
      </c>
      <c r="G60" s="70" t="s">
        <v>6401</v>
      </c>
      <c r="H60" s="70">
        <v>3.76</v>
      </c>
      <c r="I60" s="70" t="s">
        <v>6574</v>
      </c>
      <c r="K60" s="70">
        <v>-2.5895540000000001</v>
      </c>
      <c r="L60" s="70">
        <v>-44.368690000000001</v>
      </c>
    </row>
    <row r="61" spans="1:12" x14ac:dyDescent="0.35">
      <c r="A61" t="str">
        <f>VLOOKUP(" Brunei",Countries!$A$1:$D$205,2,FALSE)</f>
        <v>BRN</v>
      </c>
      <c r="B61" s="30" t="s">
        <v>6575</v>
      </c>
      <c r="C61" t="s">
        <v>6422</v>
      </c>
      <c r="D61">
        <v>5</v>
      </c>
      <c r="E61">
        <v>1974</v>
      </c>
      <c r="F61" s="30" t="s">
        <v>6576</v>
      </c>
      <c r="G61" t="s">
        <v>6424</v>
      </c>
      <c r="H61">
        <f>1.5*5</f>
        <v>7.5</v>
      </c>
      <c r="I61" s="30" t="s">
        <v>6577</v>
      </c>
      <c r="K61" s="30">
        <v>4.6698000000000004</v>
      </c>
      <c r="L61" s="30">
        <v>114.467</v>
      </c>
    </row>
    <row r="62" spans="1:12" x14ac:dyDescent="0.35">
      <c r="A62" t="str">
        <f>VLOOKUP(" Cambodia",Countries!$A$1:$D$205,2,FALSE)</f>
        <v>KHM</v>
      </c>
      <c r="B62" s="30" t="s">
        <v>6578</v>
      </c>
      <c r="C62" t="s">
        <v>6422</v>
      </c>
      <c r="D62">
        <v>1</v>
      </c>
      <c r="E62" s="70">
        <v>2022</v>
      </c>
      <c r="F62" s="30" t="s">
        <v>4148</v>
      </c>
      <c r="G62" t="s">
        <v>6401</v>
      </c>
      <c r="H62" s="30">
        <v>0.6</v>
      </c>
      <c r="I62" s="30" t="s">
        <v>6579</v>
      </c>
      <c r="K62" s="30">
        <v>11.5792295</v>
      </c>
      <c r="L62" s="30">
        <v>104.6099912</v>
      </c>
    </row>
    <row r="63" spans="1:12" x14ac:dyDescent="0.35">
      <c r="A63" t="str">
        <f>VLOOKUP(" Cambodia",Countries!$A$1:$D$205,2,FALSE)</f>
        <v>KHM</v>
      </c>
      <c r="B63" s="30" t="s">
        <v>6578</v>
      </c>
      <c r="C63" t="s">
        <v>6399</v>
      </c>
      <c r="D63">
        <v>1</v>
      </c>
      <c r="E63">
        <v>2024</v>
      </c>
      <c r="F63" s="70" t="s">
        <v>4148</v>
      </c>
      <c r="G63" t="s">
        <v>6401</v>
      </c>
      <c r="H63" s="70">
        <v>3</v>
      </c>
      <c r="I63" s="70" t="s">
        <v>6579</v>
      </c>
      <c r="K63" s="70">
        <v>11.5792295</v>
      </c>
      <c r="L63" s="70">
        <v>104.6099912</v>
      </c>
    </row>
    <row r="64" spans="1:12" x14ac:dyDescent="0.35">
      <c r="A64" t="str">
        <f>VLOOKUP(" Cameroon",Countries!$A$1:$D$205,2,FALSE)</f>
        <v>CMR</v>
      </c>
      <c r="B64" s="30" t="s">
        <v>6580</v>
      </c>
      <c r="C64" t="s">
        <v>6422</v>
      </c>
      <c r="D64">
        <v>4</v>
      </c>
      <c r="E64">
        <v>2018</v>
      </c>
      <c r="F64" s="30" t="s">
        <v>6581</v>
      </c>
      <c r="G64" t="s">
        <v>6424</v>
      </c>
      <c r="H64">
        <f>0.6*4</f>
        <v>2.4</v>
      </c>
      <c r="I64" s="30" t="s">
        <v>6582</v>
      </c>
      <c r="K64" s="30">
        <v>2.9350000000000001</v>
      </c>
      <c r="L64" s="30">
        <v>9.91</v>
      </c>
    </row>
    <row r="65" spans="1:12" x14ac:dyDescent="0.35">
      <c r="A65" t="str">
        <f>VLOOKUP(" Cameroon",Countries!$A$1:$D$205,2,FALSE)</f>
        <v>CMR</v>
      </c>
      <c r="B65" s="70" t="s">
        <v>6583</v>
      </c>
      <c r="C65" t="s">
        <v>6399</v>
      </c>
      <c r="D65">
        <v>1</v>
      </c>
      <c r="E65">
        <v>2023</v>
      </c>
      <c r="F65" s="30" t="s">
        <v>6581</v>
      </c>
      <c r="G65" t="s">
        <v>6424</v>
      </c>
      <c r="H65">
        <v>1.3</v>
      </c>
      <c r="I65" s="70" t="s">
        <v>6584</v>
      </c>
      <c r="K65" s="70">
        <v>4.0237344000000004</v>
      </c>
      <c r="L65" s="70">
        <v>8.9039889999999993</v>
      </c>
    </row>
    <row r="66" spans="1:12" x14ac:dyDescent="0.35">
      <c r="A66" t="str">
        <f>VLOOKUP("Canada",Countries!$A$1:$D$205,2,FALSE)</f>
        <v>CAN</v>
      </c>
      <c r="B66" t="s">
        <v>6585</v>
      </c>
      <c r="C66" t="s">
        <v>6399</v>
      </c>
      <c r="D66">
        <v>4</v>
      </c>
      <c r="E66">
        <v>2027</v>
      </c>
      <c r="F66" s="30" t="s">
        <v>6586</v>
      </c>
      <c r="G66" t="s">
        <v>6424</v>
      </c>
      <c r="H66">
        <f>3*4</f>
        <v>12</v>
      </c>
      <c r="I66" s="30" t="s">
        <v>6587</v>
      </c>
      <c r="K66" s="30">
        <v>45.604444000000001</v>
      </c>
      <c r="L66" s="30">
        <v>-61.3675</v>
      </c>
    </row>
    <row r="67" spans="1:12" x14ac:dyDescent="0.35">
      <c r="A67" t="str">
        <f>VLOOKUP("Canada",Countries!$A$1:$D$205,2,FALSE)</f>
        <v>CAN</v>
      </c>
      <c r="B67" s="30" t="s">
        <v>6588</v>
      </c>
      <c r="C67" t="s">
        <v>6422</v>
      </c>
      <c r="D67">
        <v>1</v>
      </c>
      <c r="E67">
        <v>2009</v>
      </c>
      <c r="F67" t="s">
        <v>1026</v>
      </c>
      <c r="G67" t="s">
        <v>6401</v>
      </c>
      <c r="H67">
        <v>7.5</v>
      </c>
      <c r="I67" s="30" t="s">
        <v>6587</v>
      </c>
      <c r="K67" s="30">
        <v>45.211399999999998</v>
      </c>
      <c r="L67" s="30">
        <v>-65.977999999999994</v>
      </c>
    </row>
    <row r="68" spans="1:12" x14ac:dyDescent="0.35">
      <c r="A68" t="str">
        <f>VLOOKUP("Canada",Countries!$A$1:$D$205,2,FALSE)</f>
        <v>CAN</v>
      </c>
      <c r="B68" t="s">
        <v>6589</v>
      </c>
      <c r="C68" t="s">
        <v>6399</v>
      </c>
      <c r="D68">
        <v>1</v>
      </c>
      <c r="E68">
        <v>2027</v>
      </c>
      <c r="F68" t="s">
        <v>6590</v>
      </c>
      <c r="G68" t="s">
        <v>6424</v>
      </c>
      <c r="H68">
        <v>3</v>
      </c>
      <c r="I68" s="30" t="s">
        <v>6591</v>
      </c>
      <c r="K68" s="30">
        <v>54</v>
      </c>
      <c r="L68" s="30">
        <v>-128.69999999999999</v>
      </c>
    </row>
    <row r="69" spans="1:12" x14ac:dyDescent="0.35">
      <c r="A69" t="str">
        <f>VLOOKUP("Canada",Countries!$A$1:$D$205,2,FALSE)</f>
        <v>CAN</v>
      </c>
      <c r="B69" s="30" t="s">
        <v>6592</v>
      </c>
      <c r="C69" t="s">
        <v>6417</v>
      </c>
      <c r="D69">
        <v>4</v>
      </c>
      <c r="E69">
        <v>2025</v>
      </c>
      <c r="F69" t="s">
        <v>6590</v>
      </c>
      <c r="G69" t="s">
        <v>6424</v>
      </c>
      <c r="H69">
        <f>7*4</f>
        <v>28</v>
      </c>
      <c r="I69" s="30" t="s">
        <v>6593</v>
      </c>
      <c r="K69" s="30">
        <v>53.9245114</v>
      </c>
      <c r="L69" s="30">
        <v>-128.7515172</v>
      </c>
    </row>
    <row r="70" spans="1:12" x14ac:dyDescent="0.35">
      <c r="A70" t="str">
        <f>VLOOKUP("Canada",Countries!$A$1:$D$205,2,FALSE)</f>
        <v>CAN</v>
      </c>
      <c r="B70" t="s">
        <v>6594</v>
      </c>
      <c r="C70" t="s">
        <v>6399</v>
      </c>
      <c r="D70">
        <v>1</v>
      </c>
      <c r="E70">
        <v>2027</v>
      </c>
      <c r="F70" t="s">
        <v>6595</v>
      </c>
      <c r="G70" t="s">
        <v>6424</v>
      </c>
      <c r="H70" s="30">
        <v>2.2000000000000002</v>
      </c>
      <c r="I70" s="30" t="s">
        <v>6596</v>
      </c>
      <c r="K70" s="30">
        <v>49.701721999999997</v>
      </c>
      <c r="L70" s="30">
        <v>-123.15875</v>
      </c>
    </row>
    <row r="71" spans="1:12" x14ac:dyDescent="0.35">
      <c r="A71" t="str">
        <f>VLOOKUP("Canada",Countries!$A$1:$D$205,2,FALSE)</f>
        <v>CAN</v>
      </c>
      <c r="B71" s="30" t="s">
        <v>6597</v>
      </c>
      <c r="C71" t="s">
        <v>6399</v>
      </c>
      <c r="D71">
        <v>2</v>
      </c>
      <c r="E71">
        <v>2025</v>
      </c>
      <c r="F71" t="s">
        <v>6598</v>
      </c>
      <c r="G71" t="s">
        <v>6424</v>
      </c>
      <c r="H71">
        <f>5.5*D71</f>
        <v>11</v>
      </c>
      <c r="I71" s="30" t="s">
        <v>6599</v>
      </c>
      <c r="K71" s="30">
        <v>48.441643999999997</v>
      </c>
      <c r="L71" s="30">
        <v>-70.697434999999999</v>
      </c>
    </row>
    <row r="72" spans="1:12" x14ac:dyDescent="0.35">
      <c r="A72" t="str">
        <f>VLOOKUP("Canada",Countries!$A$1:$D$205,2,FALSE)</f>
        <v>CAN</v>
      </c>
      <c r="B72" s="30" t="s">
        <v>6600</v>
      </c>
      <c r="C72" s="30" t="s">
        <v>6422</v>
      </c>
      <c r="D72">
        <v>1</v>
      </c>
      <c r="E72" s="30">
        <v>2021</v>
      </c>
      <c r="F72" s="30" t="s">
        <v>6601</v>
      </c>
      <c r="G72" t="s">
        <v>6424</v>
      </c>
      <c r="H72" s="30">
        <v>0.02</v>
      </c>
      <c r="I72" s="30" t="s">
        <v>6602</v>
      </c>
      <c r="K72" s="30">
        <v>58.804671999999997</v>
      </c>
      <c r="L72" s="30">
        <v>-122.69978999999999</v>
      </c>
    </row>
    <row r="73" spans="1:12" x14ac:dyDescent="0.35">
      <c r="A73" t="str">
        <f>VLOOKUP("Canada",Countries!$A$1:$D$205,2,FALSE)</f>
        <v>CAN</v>
      </c>
      <c r="B73" s="30" t="s">
        <v>6603</v>
      </c>
      <c r="C73" s="30" t="s">
        <v>6399</v>
      </c>
      <c r="D73">
        <v>1</v>
      </c>
      <c r="E73" s="30">
        <v>2027</v>
      </c>
      <c r="F73" s="30" t="s">
        <v>6604</v>
      </c>
      <c r="G73" t="s">
        <v>6424</v>
      </c>
      <c r="H73" s="30">
        <v>12</v>
      </c>
      <c r="I73" s="30" t="s">
        <v>6605</v>
      </c>
      <c r="K73" s="30">
        <v>54.991962999999998</v>
      </c>
      <c r="L73" s="30">
        <v>-130.0306788</v>
      </c>
    </row>
    <row r="74" spans="1:12" x14ac:dyDescent="0.35">
      <c r="A74" t="str">
        <f>VLOOKUP("Canada",Countries!$A$1:$D$205,2,FALSE)</f>
        <v>CAN</v>
      </c>
      <c r="B74" s="30" t="s">
        <v>6606</v>
      </c>
      <c r="C74" s="30" t="s">
        <v>6399</v>
      </c>
      <c r="D74">
        <v>1</v>
      </c>
      <c r="E74" s="30">
        <v>2030</v>
      </c>
      <c r="F74" s="30" t="s">
        <v>6607</v>
      </c>
      <c r="G74" t="s">
        <v>6424</v>
      </c>
      <c r="H74" s="30">
        <v>4</v>
      </c>
      <c r="I74" s="30" t="s">
        <v>6608</v>
      </c>
      <c r="K74" s="30">
        <v>47.417157000000003</v>
      </c>
      <c r="L74" s="30">
        <v>-53.875705000000004</v>
      </c>
    </row>
    <row r="75" spans="1:12" x14ac:dyDescent="0.35">
      <c r="A75" t="str">
        <f>VLOOKUP("Canada",Countries!$A$1:$D$205,2,FALSE)</f>
        <v>CAN</v>
      </c>
      <c r="B75" s="30" t="s">
        <v>6609</v>
      </c>
      <c r="C75" s="30" t="s">
        <v>6422</v>
      </c>
      <c r="D75">
        <v>1</v>
      </c>
      <c r="E75" s="30">
        <v>1971</v>
      </c>
      <c r="F75" s="30" t="s">
        <v>6610</v>
      </c>
      <c r="G75" t="s">
        <v>6424</v>
      </c>
      <c r="H75" s="30">
        <v>0.03</v>
      </c>
      <c r="I75" s="30" t="s">
        <v>6611</v>
      </c>
      <c r="K75" s="30">
        <v>49.14251084</v>
      </c>
      <c r="L75" s="30">
        <v>-123.0340825</v>
      </c>
    </row>
    <row r="76" spans="1:12" x14ac:dyDescent="0.35">
      <c r="A76" t="str">
        <f>VLOOKUP("Canada",Countries!$A$1:$D$205,2,FALSE)</f>
        <v>CAN</v>
      </c>
      <c r="B76" s="30" t="s">
        <v>6609</v>
      </c>
      <c r="C76" s="30" t="s">
        <v>6399</v>
      </c>
      <c r="D76">
        <v>1</v>
      </c>
      <c r="E76" s="30">
        <v>2026</v>
      </c>
      <c r="F76" s="30" t="s">
        <v>6610</v>
      </c>
      <c r="G76" t="s">
        <v>6424</v>
      </c>
      <c r="H76" s="30">
        <v>0.9</v>
      </c>
      <c r="I76" s="30" t="s">
        <v>6611</v>
      </c>
      <c r="K76" s="30">
        <v>49.14251084</v>
      </c>
      <c r="L76" s="30">
        <v>-123.0340825</v>
      </c>
    </row>
    <row r="77" spans="1:12" x14ac:dyDescent="0.35">
      <c r="A77" t="str">
        <f>VLOOKUP("Canada",Countries!$A$1:$D$205,2,FALSE)</f>
        <v>CAN</v>
      </c>
      <c r="B77" s="30" t="s">
        <v>6609</v>
      </c>
      <c r="C77" s="30" t="s">
        <v>6399</v>
      </c>
      <c r="D77">
        <v>1</v>
      </c>
      <c r="E77" s="30">
        <v>2028</v>
      </c>
      <c r="F77" s="30" t="s">
        <v>6610</v>
      </c>
      <c r="G77" t="s">
        <v>6424</v>
      </c>
      <c r="H77" s="30">
        <v>2.5</v>
      </c>
      <c r="I77" s="30" t="s">
        <v>6611</v>
      </c>
      <c r="K77" s="30">
        <v>49.14251084</v>
      </c>
      <c r="L77" s="30">
        <v>-123.0340825</v>
      </c>
    </row>
    <row r="78" spans="1:12" x14ac:dyDescent="0.35">
      <c r="A78" t="str">
        <f>VLOOKUP(" Chile",Countries!$A$1:$D$205,2,FALSE)</f>
        <v>CHL</v>
      </c>
      <c r="B78" s="30" t="s">
        <v>6612</v>
      </c>
      <c r="C78" t="s">
        <v>6422</v>
      </c>
      <c r="D78">
        <v>1</v>
      </c>
      <c r="E78">
        <v>2010</v>
      </c>
      <c r="F78" s="30" t="s">
        <v>6613</v>
      </c>
      <c r="G78" t="s">
        <v>6401</v>
      </c>
      <c r="H78" s="30">
        <v>1.5</v>
      </c>
      <c r="I78" s="30" t="s">
        <v>6614</v>
      </c>
      <c r="K78" s="30">
        <v>-23.058827999999998</v>
      </c>
      <c r="L78" s="30">
        <v>-70.366057999999995</v>
      </c>
    </row>
    <row r="79" spans="1:12" x14ac:dyDescent="0.35">
      <c r="A79" t="str">
        <f>VLOOKUP(" Chile",Countries!$A$1:$D$205,2,FALSE)</f>
        <v>CHL</v>
      </c>
      <c r="B79" s="30" t="s">
        <v>6615</v>
      </c>
      <c r="C79" t="s">
        <v>6422</v>
      </c>
      <c r="D79">
        <v>1</v>
      </c>
      <c r="E79">
        <v>2010</v>
      </c>
      <c r="F79" s="30" t="s">
        <v>6616</v>
      </c>
      <c r="G79" t="s">
        <v>6401</v>
      </c>
      <c r="H79" s="30">
        <v>4.03</v>
      </c>
      <c r="I79" s="30" t="s">
        <v>6617</v>
      </c>
      <c r="K79" s="30">
        <v>-32.783332999999999</v>
      </c>
      <c r="L79" s="30">
        <v>-71.533332999999999</v>
      </c>
    </row>
    <row r="80" spans="1:12" x14ac:dyDescent="0.35">
      <c r="A80" t="str">
        <f>VLOOKUP(" Chile",Countries!$A$1:$D$205,2,FALSE)</f>
        <v>CHL</v>
      </c>
      <c r="B80" s="70" t="s">
        <v>6618</v>
      </c>
      <c r="C80" t="s">
        <v>6399</v>
      </c>
      <c r="D80">
        <v>1</v>
      </c>
      <c r="E80">
        <v>2023</v>
      </c>
      <c r="F80" s="70"/>
      <c r="G80" t="s">
        <v>6401</v>
      </c>
      <c r="H80" s="70">
        <v>2.2799999999999998</v>
      </c>
      <c r="I80" s="70" t="s">
        <v>6619</v>
      </c>
      <c r="K80" s="70">
        <v>-36.718356999999997</v>
      </c>
      <c r="L80" s="70">
        <v>-73.102768999999995</v>
      </c>
    </row>
    <row r="81" spans="1:12" x14ac:dyDescent="0.35">
      <c r="A81" t="str">
        <f>VLOOKUP(" China",Countries!$A$1:$D$205,2,FALSE)</f>
        <v>CHN</v>
      </c>
      <c r="B81" s="30" t="s">
        <v>6620</v>
      </c>
      <c r="C81" t="s">
        <v>6417</v>
      </c>
      <c r="D81">
        <v>1</v>
      </c>
      <c r="E81">
        <v>2022</v>
      </c>
      <c r="F81" s="30" t="s">
        <v>6621</v>
      </c>
      <c r="G81" t="s">
        <v>6401</v>
      </c>
      <c r="H81">
        <v>1</v>
      </c>
      <c r="I81" t="s">
        <v>6622</v>
      </c>
      <c r="K81" s="30">
        <v>23.576581999999998</v>
      </c>
      <c r="L81" s="30">
        <v>117.122439</v>
      </c>
    </row>
    <row r="82" spans="1:12" x14ac:dyDescent="0.35">
      <c r="A82" t="str">
        <f>VLOOKUP(" China",Countries!$A$1:$D$205,2,FALSE)</f>
        <v>CHN</v>
      </c>
      <c r="B82" s="30" t="s">
        <v>6623</v>
      </c>
      <c r="C82" t="s">
        <v>6422</v>
      </c>
      <c r="D82">
        <v>1</v>
      </c>
      <c r="E82">
        <v>2016</v>
      </c>
      <c r="F82" s="30" t="s">
        <v>6624</v>
      </c>
      <c r="G82" t="s">
        <v>6401</v>
      </c>
      <c r="H82">
        <v>10</v>
      </c>
      <c r="I82" s="30" t="s">
        <v>6625</v>
      </c>
      <c r="K82" s="30">
        <v>38.9604</v>
      </c>
      <c r="L82" s="30">
        <v>121.8841</v>
      </c>
    </row>
    <row r="83" spans="1:12" x14ac:dyDescent="0.35">
      <c r="A83" t="str">
        <f>VLOOKUP(" China",Countries!$A$1:$D$205,2,FALSE)</f>
        <v>CHN</v>
      </c>
      <c r="B83" s="30" t="s">
        <v>6626</v>
      </c>
      <c r="C83" t="s">
        <v>6422</v>
      </c>
      <c r="D83">
        <v>2</v>
      </c>
      <c r="E83">
        <v>2019</v>
      </c>
      <c r="F83" s="30" t="s">
        <v>4257</v>
      </c>
      <c r="G83" t="s">
        <v>6401</v>
      </c>
      <c r="H83">
        <v>0.6</v>
      </c>
      <c r="I83" s="30" t="s">
        <v>6627</v>
      </c>
      <c r="K83" s="30">
        <v>21.587365999999999</v>
      </c>
      <c r="L83" s="30">
        <v>108.35462099999999</v>
      </c>
    </row>
    <row r="84" spans="1:12" x14ac:dyDescent="0.35">
      <c r="A84" t="str">
        <f>VLOOKUP(" China",Countries!$A$1:$D$205,2,FALSE)</f>
        <v>CHN</v>
      </c>
      <c r="B84" s="30" t="s">
        <v>6628</v>
      </c>
      <c r="C84" t="s">
        <v>6422</v>
      </c>
      <c r="D84">
        <v>2</v>
      </c>
      <c r="E84">
        <v>2019</v>
      </c>
      <c r="F84" s="30" t="s">
        <v>6629</v>
      </c>
      <c r="G84" t="s">
        <v>6401</v>
      </c>
      <c r="H84">
        <f>5.2+1.3</f>
        <v>6.5</v>
      </c>
      <c r="I84" s="30" t="s">
        <v>6630</v>
      </c>
      <c r="K84" s="30">
        <v>25.2135</v>
      </c>
      <c r="L84" s="30">
        <v>118.9983</v>
      </c>
    </row>
    <row r="85" spans="1:12" ht="17.25" customHeight="1" x14ac:dyDescent="0.35">
      <c r="A85" t="str">
        <f>VLOOKUP(" China",Countries!$A$1:$D$205,2,FALSE)</f>
        <v>CHN</v>
      </c>
      <c r="B85" s="30" t="s">
        <v>6631</v>
      </c>
      <c r="C85" t="s">
        <v>6399</v>
      </c>
      <c r="D85">
        <v>1</v>
      </c>
      <c r="F85" s="30" t="s">
        <v>6632</v>
      </c>
      <c r="G85" t="s">
        <v>6401</v>
      </c>
      <c r="H85">
        <v>3</v>
      </c>
      <c r="I85" s="30" t="s">
        <v>6633</v>
      </c>
      <c r="K85" s="30">
        <v>25.339673999999999</v>
      </c>
      <c r="L85" s="30">
        <v>119.594706</v>
      </c>
    </row>
    <row r="86" spans="1:12" x14ac:dyDescent="0.35">
      <c r="A86" t="str">
        <f>VLOOKUP(" China",Countries!$A$1:$D$205,2,FALSE)</f>
        <v>CHN</v>
      </c>
      <c r="B86" s="30" t="s">
        <v>6634</v>
      </c>
      <c r="C86" s="30" t="s">
        <v>6422</v>
      </c>
      <c r="D86">
        <v>1</v>
      </c>
      <c r="E86" s="30">
        <v>2006</v>
      </c>
      <c r="F86" s="30" t="s">
        <v>6635</v>
      </c>
      <c r="G86" t="s">
        <v>6401</v>
      </c>
      <c r="H86" s="30">
        <v>7.7</v>
      </c>
      <c r="I86" s="30" t="s">
        <v>6636</v>
      </c>
      <c r="K86" s="30">
        <v>22.579599999999999</v>
      </c>
      <c r="L86" s="30">
        <v>114.4345</v>
      </c>
    </row>
    <row r="87" spans="1:12" x14ac:dyDescent="0.35">
      <c r="A87" t="str">
        <f>VLOOKUP(" China",Countries!$A$1:$D$205,2,FALSE)</f>
        <v>CHN</v>
      </c>
      <c r="B87" s="30" t="s">
        <v>6637</v>
      </c>
      <c r="C87" s="30" t="s">
        <v>6422</v>
      </c>
      <c r="D87">
        <v>1</v>
      </c>
      <c r="E87" s="30">
        <v>2016</v>
      </c>
      <c r="F87" s="30" t="s">
        <v>6638</v>
      </c>
      <c r="G87" t="s">
        <v>6401</v>
      </c>
      <c r="H87" s="30">
        <v>3</v>
      </c>
      <c r="I87" s="30" t="s">
        <v>6639</v>
      </c>
      <c r="K87" s="30">
        <v>21.448965999999999</v>
      </c>
      <c r="L87" s="30">
        <v>109.531699</v>
      </c>
    </row>
    <row r="88" spans="1:12" x14ac:dyDescent="0.35">
      <c r="A88" t="str">
        <f>VLOOKUP(" China",Countries!$A$1:$D$205,2,FALSE)</f>
        <v>CHN</v>
      </c>
      <c r="B88" s="30" t="s">
        <v>6637</v>
      </c>
      <c r="C88" s="30" t="s">
        <v>6399</v>
      </c>
      <c r="D88">
        <v>1</v>
      </c>
      <c r="E88" s="30">
        <v>2024</v>
      </c>
      <c r="F88" s="30" t="s">
        <v>6638</v>
      </c>
      <c r="G88" t="s">
        <v>6401</v>
      </c>
      <c r="H88" s="30">
        <v>6</v>
      </c>
      <c r="I88" s="30" t="s">
        <v>6640</v>
      </c>
      <c r="K88" s="30">
        <v>21.448965999999999</v>
      </c>
      <c r="L88" s="30">
        <v>109.531699</v>
      </c>
    </row>
    <row r="89" spans="1:12" x14ac:dyDescent="0.35">
      <c r="A89" t="str">
        <f>VLOOKUP(" China",Countries!$A$1:$D$205,2,FALSE)</f>
        <v>CHN</v>
      </c>
      <c r="B89" s="30" t="s">
        <v>6641</v>
      </c>
      <c r="C89" s="30" t="s">
        <v>6422</v>
      </c>
      <c r="D89">
        <v>1</v>
      </c>
      <c r="E89" s="30">
        <v>2014</v>
      </c>
      <c r="F89" s="30" t="s">
        <v>6642</v>
      </c>
      <c r="G89" t="s">
        <v>6401</v>
      </c>
      <c r="H89" s="30">
        <v>3</v>
      </c>
      <c r="I89" s="30" t="s">
        <v>6643</v>
      </c>
      <c r="K89" s="30">
        <v>19.722622999999999</v>
      </c>
      <c r="L89" s="30">
        <v>109.180655</v>
      </c>
    </row>
    <row r="90" spans="1:12" x14ac:dyDescent="0.35">
      <c r="A90" t="str">
        <f>VLOOKUP(" China",Countries!$A$1:$D$205,2,FALSE)</f>
        <v>CHN</v>
      </c>
      <c r="B90" s="30" t="s">
        <v>6644</v>
      </c>
      <c r="C90" s="30" t="s">
        <v>6422</v>
      </c>
      <c r="D90">
        <v>1</v>
      </c>
      <c r="E90" s="30">
        <v>2012</v>
      </c>
      <c r="F90" s="30" t="s">
        <v>3017</v>
      </c>
      <c r="G90" t="s">
        <v>6401</v>
      </c>
      <c r="H90" s="30">
        <v>1.5</v>
      </c>
      <c r="I90" s="30" t="s">
        <v>6645</v>
      </c>
      <c r="K90" s="30">
        <v>22.953596000000001</v>
      </c>
      <c r="L90" s="30">
        <v>113.556552</v>
      </c>
    </row>
    <row r="91" spans="1:12" x14ac:dyDescent="0.35">
      <c r="A91" t="str">
        <f>VLOOKUP(" China",Countries!$A$1:$D$205,2,FALSE)</f>
        <v>CHN</v>
      </c>
      <c r="B91" s="30" t="s">
        <v>6646</v>
      </c>
      <c r="C91" s="30" t="s">
        <v>6399</v>
      </c>
      <c r="D91">
        <v>1</v>
      </c>
      <c r="F91" s="30" t="s">
        <v>6647</v>
      </c>
      <c r="G91" t="s">
        <v>6401</v>
      </c>
      <c r="H91">
        <v>3</v>
      </c>
      <c r="I91" s="30" t="s">
        <v>6648</v>
      </c>
      <c r="K91" s="30">
        <v>21.876111000000002</v>
      </c>
      <c r="L91" s="30">
        <v>112.88815</v>
      </c>
    </row>
    <row r="92" spans="1:12" x14ac:dyDescent="0.35">
      <c r="A92" t="str">
        <f>VLOOKUP(" China",Countries!$A$1:$D$205,2,FALSE)</f>
        <v>CHN</v>
      </c>
      <c r="B92" s="30" t="s">
        <v>6649</v>
      </c>
      <c r="C92" t="s">
        <v>6422</v>
      </c>
      <c r="D92">
        <v>3</v>
      </c>
      <c r="E92">
        <v>2021</v>
      </c>
      <c r="F92" s="30" t="s">
        <v>4572</v>
      </c>
      <c r="G92" t="s">
        <v>6401</v>
      </c>
      <c r="H92">
        <f>3.5+3.5+2.2</f>
        <v>9.1999999999999993</v>
      </c>
      <c r="I92" s="30" t="s">
        <v>6650</v>
      </c>
      <c r="K92" s="30">
        <v>32.528813999999997</v>
      </c>
      <c r="L92" s="30">
        <v>121.428128</v>
      </c>
    </row>
    <row r="93" spans="1:12" x14ac:dyDescent="0.35">
      <c r="A93" t="str">
        <f>VLOOKUP(" China",Countries!$A$1:$D$205,2,FALSE)</f>
        <v>CHN</v>
      </c>
      <c r="B93" s="30" t="s">
        <v>6651</v>
      </c>
      <c r="C93" s="30" t="s">
        <v>6422</v>
      </c>
      <c r="D93">
        <v>1</v>
      </c>
      <c r="E93" s="30">
        <v>2017</v>
      </c>
      <c r="F93" s="30" t="s">
        <v>4236</v>
      </c>
      <c r="G93" t="s">
        <v>6401</v>
      </c>
      <c r="H93" s="30">
        <v>2</v>
      </c>
      <c r="I93" s="30" t="s">
        <v>6652</v>
      </c>
      <c r="K93" s="30">
        <v>22.934479</v>
      </c>
      <c r="L93" s="30">
        <v>116.371427</v>
      </c>
    </row>
    <row r="94" spans="1:12" x14ac:dyDescent="0.35">
      <c r="A94" t="str">
        <f>VLOOKUP(" China",Countries!$A$1:$D$205,2,FALSE)</f>
        <v>CHN</v>
      </c>
      <c r="B94" s="30" t="s">
        <v>6653</v>
      </c>
      <c r="C94" s="30" t="s">
        <v>6399</v>
      </c>
      <c r="D94">
        <v>1</v>
      </c>
      <c r="E94" s="30">
        <v>2026</v>
      </c>
      <c r="F94" s="30" t="s">
        <v>4722</v>
      </c>
      <c r="G94" t="s">
        <v>6401</v>
      </c>
      <c r="H94" s="30">
        <v>2.8</v>
      </c>
      <c r="I94" s="30" t="s">
        <v>6654</v>
      </c>
      <c r="K94" s="30">
        <v>37.776012999999999</v>
      </c>
      <c r="L94" s="30">
        <v>120.612407</v>
      </c>
    </row>
    <row r="95" spans="1:12" x14ac:dyDescent="0.35">
      <c r="A95" t="str">
        <f>VLOOKUP(" China",Countries!$A$1:$D$205,2,FALSE)</f>
        <v>CHN</v>
      </c>
      <c r="B95" s="30" t="s">
        <v>6655</v>
      </c>
      <c r="C95" s="30" t="s">
        <v>6399</v>
      </c>
      <c r="D95">
        <v>1</v>
      </c>
      <c r="E95" s="30">
        <v>2023</v>
      </c>
      <c r="F95" s="30" t="s">
        <v>6656</v>
      </c>
      <c r="G95" t="s">
        <v>6401</v>
      </c>
      <c r="H95" s="30">
        <v>6</v>
      </c>
      <c r="I95" s="30" t="s">
        <v>6657</v>
      </c>
      <c r="K95" s="30">
        <v>25.2135</v>
      </c>
      <c r="L95" s="30">
        <v>118.9983</v>
      </c>
    </row>
    <row r="96" spans="1:12" x14ac:dyDescent="0.35">
      <c r="A96" t="str">
        <f>VLOOKUP(" China",Countries!$A$1:$D$205,2,FALSE)</f>
        <v>CHN</v>
      </c>
      <c r="B96" s="30" t="s">
        <v>6658</v>
      </c>
      <c r="C96" t="s">
        <v>6422</v>
      </c>
      <c r="D96">
        <v>4</v>
      </c>
      <c r="E96">
        <v>2020</v>
      </c>
      <c r="F96" s="30" t="s">
        <v>6659</v>
      </c>
      <c r="G96" t="s">
        <v>6401</v>
      </c>
      <c r="H96">
        <f>1.15+1.43+1.43</f>
        <v>4.01</v>
      </c>
      <c r="I96" s="30" t="s">
        <v>6660</v>
      </c>
      <c r="K96" s="30">
        <v>32.041846</v>
      </c>
      <c r="L96" s="30">
        <v>121.74690699999999</v>
      </c>
    </row>
    <row r="97" spans="1:12" x14ac:dyDescent="0.35">
      <c r="A97" t="str">
        <f>VLOOKUP(" China",Countries!$A$1:$D$205,2,FALSE)</f>
        <v>CHN</v>
      </c>
      <c r="B97" s="30" t="s">
        <v>6658</v>
      </c>
      <c r="C97" t="s">
        <v>6399</v>
      </c>
      <c r="D97">
        <v>1</v>
      </c>
      <c r="F97" s="30" t="s">
        <v>6659</v>
      </c>
      <c r="G97" t="s">
        <v>6401</v>
      </c>
      <c r="H97">
        <v>1</v>
      </c>
      <c r="I97" s="30" t="s">
        <v>6660</v>
      </c>
      <c r="K97" s="30">
        <v>32.041846</v>
      </c>
      <c r="L97" s="30">
        <v>121.74690699999999</v>
      </c>
    </row>
    <row r="98" spans="1:12" x14ac:dyDescent="0.35">
      <c r="A98" t="str">
        <f>VLOOKUP(" China",Countries!$A$1:$D$205,2,FALSE)</f>
        <v>CHN</v>
      </c>
      <c r="B98" s="30" t="s">
        <v>6661</v>
      </c>
      <c r="C98" s="30" t="s">
        <v>6399</v>
      </c>
      <c r="D98">
        <v>1</v>
      </c>
      <c r="E98" s="30"/>
      <c r="F98" s="30" t="s">
        <v>6662</v>
      </c>
      <c r="G98" t="s">
        <v>6401</v>
      </c>
      <c r="H98">
        <v>3</v>
      </c>
      <c r="I98" s="30" t="s">
        <v>6633</v>
      </c>
      <c r="K98" s="30">
        <v>21.95</v>
      </c>
      <c r="L98" s="30">
        <v>108.61666700000001</v>
      </c>
    </row>
    <row r="99" spans="1:12" x14ac:dyDescent="0.35">
      <c r="A99" t="str">
        <f>VLOOKUP(" China",Countries!$A$1:$D$205,2,FALSE)</f>
        <v>CHN</v>
      </c>
      <c r="B99" s="30" t="s">
        <v>6663</v>
      </c>
      <c r="C99" s="30" t="s">
        <v>6399</v>
      </c>
      <c r="D99">
        <v>1</v>
      </c>
      <c r="E99" s="30">
        <v>2023</v>
      </c>
      <c r="F99" s="30" t="s">
        <v>6664</v>
      </c>
      <c r="G99" t="s">
        <v>6401</v>
      </c>
      <c r="H99">
        <v>3</v>
      </c>
      <c r="I99" s="30" t="s">
        <v>6665</v>
      </c>
      <c r="K99" s="30">
        <v>32.526845000000002</v>
      </c>
      <c r="L99" s="30">
        <v>121.412712</v>
      </c>
    </row>
    <row r="100" spans="1:12" x14ac:dyDescent="0.35">
      <c r="A100" t="str">
        <f>VLOOKUP(" China",Countries!$A$1:$D$205,2,FALSE)</f>
        <v>CHN</v>
      </c>
      <c r="B100" s="30" t="s">
        <v>6666</v>
      </c>
      <c r="C100" t="s">
        <v>6422</v>
      </c>
      <c r="D100">
        <v>2</v>
      </c>
      <c r="E100">
        <v>2021</v>
      </c>
      <c r="F100" s="30" t="s">
        <v>3058</v>
      </c>
      <c r="G100" t="s">
        <v>6401</v>
      </c>
      <c r="H100">
        <v>7</v>
      </c>
      <c r="I100" s="30" t="s">
        <v>6667</v>
      </c>
      <c r="K100" s="30">
        <v>35.586239999999997</v>
      </c>
      <c r="L100" s="30">
        <v>119.759685</v>
      </c>
    </row>
    <row r="101" spans="1:12" x14ac:dyDescent="0.35">
      <c r="A101" t="str">
        <f>VLOOKUP(" China",Countries!$A$1:$D$205,2,FALSE)</f>
        <v>CHN</v>
      </c>
      <c r="B101" s="30" t="s">
        <v>6666</v>
      </c>
      <c r="C101" t="s">
        <v>6399</v>
      </c>
      <c r="D101">
        <v>1</v>
      </c>
      <c r="E101">
        <v>2023</v>
      </c>
      <c r="F101" s="30" t="s">
        <v>3058</v>
      </c>
      <c r="G101" t="s">
        <v>6401</v>
      </c>
      <c r="H101">
        <v>4</v>
      </c>
      <c r="I101" s="30" t="s">
        <v>6667</v>
      </c>
      <c r="K101" s="30">
        <v>35.586239999999997</v>
      </c>
      <c r="L101" s="30">
        <v>119.759685</v>
      </c>
    </row>
    <row r="102" spans="1:12" x14ac:dyDescent="0.35">
      <c r="A102" t="str">
        <f>VLOOKUP(" China",Countries!$A$1:$D$205,2,FALSE)</f>
        <v>CHN</v>
      </c>
      <c r="B102" s="30" t="s">
        <v>6668</v>
      </c>
      <c r="C102" t="s">
        <v>6422</v>
      </c>
      <c r="D102">
        <v>2</v>
      </c>
      <c r="E102">
        <v>2020</v>
      </c>
      <c r="F102" s="30" t="s">
        <v>6669</v>
      </c>
      <c r="G102" t="s">
        <v>6401</v>
      </c>
      <c r="H102">
        <v>6</v>
      </c>
      <c r="I102" s="30" t="s">
        <v>6670</v>
      </c>
      <c r="K102" s="30">
        <v>30.6036</v>
      </c>
      <c r="L102" s="30">
        <v>122.111616</v>
      </c>
    </row>
    <row r="103" spans="1:12" x14ac:dyDescent="0.35">
      <c r="A103" t="str">
        <f>VLOOKUP(" China",Countries!$A$1:$D$205,2,FALSE)</f>
        <v>CHN</v>
      </c>
      <c r="B103" s="30" t="s">
        <v>6671</v>
      </c>
      <c r="C103" s="30" t="s">
        <v>6399</v>
      </c>
      <c r="D103">
        <v>1</v>
      </c>
      <c r="E103" s="30"/>
      <c r="F103" s="30" t="s">
        <v>6672</v>
      </c>
      <c r="G103" t="s">
        <v>6401</v>
      </c>
      <c r="H103" s="30">
        <v>3</v>
      </c>
      <c r="I103" s="30" t="s">
        <v>6673</v>
      </c>
      <c r="K103" s="30">
        <v>23.228707</v>
      </c>
      <c r="L103" s="30">
        <v>116.77150399999999</v>
      </c>
    </row>
    <row r="104" spans="1:12" x14ac:dyDescent="0.35">
      <c r="A104" t="str">
        <f>VLOOKUP(" China",Countries!$A$1:$D$205,2,FALSE)</f>
        <v>CHN</v>
      </c>
      <c r="B104" s="30" t="s">
        <v>6674</v>
      </c>
      <c r="C104" s="30" t="s">
        <v>6422</v>
      </c>
      <c r="D104">
        <v>1</v>
      </c>
      <c r="E104" s="30">
        <v>2018</v>
      </c>
      <c r="F104" s="30" t="s">
        <v>6675</v>
      </c>
      <c r="G104" t="s">
        <v>6401</v>
      </c>
      <c r="H104" s="30">
        <v>4</v>
      </c>
      <c r="I104" s="30" t="s">
        <v>6676</v>
      </c>
      <c r="K104" s="30">
        <v>22.593039000000001</v>
      </c>
      <c r="L104" s="30">
        <v>114.44426199999999</v>
      </c>
    </row>
    <row r="105" spans="1:12" x14ac:dyDescent="0.35">
      <c r="A105" t="str">
        <f>VLOOKUP(" China",Countries!$A$1:$D$205,2,FALSE)</f>
        <v>CHN</v>
      </c>
      <c r="B105" s="30" t="s">
        <v>6677</v>
      </c>
      <c r="C105" s="30" t="s">
        <v>6417</v>
      </c>
      <c r="D105">
        <v>1</v>
      </c>
      <c r="E105" s="30">
        <v>2022</v>
      </c>
      <c r="F105" s="30" t="s">
        <v>6678</v>
      </c>
      <c r="G105" t="s">
        <v>6401</v>
      </c>
      <c r="H105" s="30">
        <v>3</v>
      </c>
      <c r="I105" s="30" t="s">
        <v>6679</v>
      </c>
      <c r="K105" s="30">
        <v>22.594055000000001</v>
      </c>
      <c r="L105" s="30">
        <v>114.42829999999999</v>
      </c>
    </row>
    <row r="106" spans="1:12" x14ac:dyDescent="0.35">
      <c r="A106" t="str">
        <f>VLOOKUP(" China",Countries!$A$1:$D$205,2,FALSE)</f>
        <v>CHN</v>
      </c>
      <c r="B106" s="30" t="s">
        <v>6680</v>
      </c>
      <c r="C106" t="s">
        <v>6422</v>
      </c>
      <c r="D106">
        <v>3</v>
      </c>
      <c r="E106">
        <v>2021</v>
      </c>
      <c r="F106" s="30" t="s">
        <v>6681</v>
      </c>
      <c r="G106" t="s">
        <v>6401</v>
      </c>
      <c r="H106">
        <v>10</v>
      </c>
      <c r="I106" s="30" t="s">
        <v>6682</v>
      </c>
      <c r="K106" s="30">
        <v>38.933100000000003</v>
      </c>
      <c r="L106" s="30">
        <v>118.5329</v>
      </c>
    </row>
    <row r="107" spans="1:12" x14ac:dyDescent="0.35">
      <c r="A107" t="str">
        <f>VLOOKUP(" China",Countries!$A$1:$D$205,2,FALSE)</f>
        <v>CHN</v>
      </c>
      <c r="B107" s="30" t="s">
        <v>6683</v>
      </c>
      <c r="C107" t="s">
        <v>6422</v>
      </c>
      <c r="D107">
        <v>1</v>
      </c>
      <c r="E107">
        <v>2013</v>
      </c>
      <c r="F107" s="30" t="s">
        <v>6684</v>
      </c>
      <c r="G107" t="s">
        <v>6401</v>
      </c>
      <c r="H107" s="30">
        <v>2.2000000000000002</v>
      </c>
      <c r="I107" s="30" t="s">
        <v>6685</v>
      </c>
      <c r="K107" s="30">
        <v>38.975833000000002</v>
      </c>
      <c r="L107" s="30">
        <v>117.78749999999999</v>
      </c>
    </row>
    <row r="108" spans="1:12" x14ac:dyDescent="0.35">
      <c r="A108" t="str">
        <f>VLOOKUP(" China",Countries!$A$1:$D$205,2,FALSE)</f>
        <v>CHN</v>
      </c>
      <c r="B108" s="30" t="s">
        <v>6686</v>
      </c>
      <c r="C108" t="s">
        <v>6417</v>
      </c>
      <c r="D108">
        <v>1</v>
      </c>
      <c r="E108">
        <v>2023</v>
      </c>
      <c r="F108" s="30" t="s">
        <v>6684</v>
      </c>
      <c r="G108" t="s">
        <v>6401</v>
      </c>
      <c r="H108">
        <v>6</v>
      </c>
      <c r="I108" s="30" t="s">
        <v>6685</v>
      </c>
      <c r="K108" s="30">
        <v>38.975833000000002</v>
      </c>
      <c r="L108" s="30">
        <v>117.78749999999999</v>
      </c>
    </row>
    <row r="109" spans="1:12" x14ac:dyDescent="0.35">
      <c r="A109" t="str">
        <f>VLOOKUP(" China",Countries!$A$1:$D$205,2,FALSE)</f>
        <v>CHN</v>
      </c>
      <c r="B109" s="30" t="s">
        <v>6687</v>
      </c>
      <c r="C109" t="s">
        <v>6422</v>
      </c>
      <c r="D109">
        <v>1</v>
      </c>
      <c r="E109">
        <v>2018</v>
      </c>
      <c r="F109" s="30" t="s">
        <v>6684</v>
      </c>
      <c r="G109" t="s">
        <v>6401</v>
      </c>
      <c r="H109">
        <v>3</v>
      </c>
      <c r="I109" s="30" t="s">
        <v>6688</v>
      </c>
      <c r="K109" s="30">
        <v>38.749153999999997</v>
      </c>
      <c r="L109" s="30">
        <v>117.714895</v>
      </c>
    </row>
    <row r="110" spans="1:12" x14ac:dyDescent="0.35">
      <c r="A110" t="str">
        <f>VLOOKUP(" China",Countries!$A$1:$D$205,2,FALSE)</f>
        <v>CHN</v>
      </c>
      <c r="B110" s="30" t="s">
        <v>6687</v>
      </c>
      <c r="C110" t="s">
        <v>6417</v>
      </c>
      <c r="D110">
        <v>1</v>
      </c>
      <c r="E110">
        <v>2023</v>
      </c>
      <c r="F110" s="30" t="s">
        <v>6684</v>
      </c>
      <c r="G110" t="s">
        <v>6401</v>
      </c>
      <c r="H110">
        <v>4.8</v>
      </c>
      <c r="I110" s="30" t="s">
        <v>6688</v>
      </c>
      <c r="K110" s="30">
        <v>38.749153999999997</v>
      </c>
      <c r="L110" s="30">
        <v>117.714895</v>
      </c>
    </row>
    <row r="111" spans="1:12" x14ac:dyDescent="0.35">
      <c r="A111" t="str">
        <f>VLOOKUP(" China",Countries!$A$1:$D$205,2,FALSE)</f>
        <v>CHN</v>
      </c>
      <c r="B111" s="30" t="s">
        <v>6689</v>
      </c>
      <c r="C111" s="30" t="s">
        <v>6417</v>
      </c>
      <c r="D111">
        <v>1</v>
      </c>
      <c r="E111" s="30">
        <v>2022</v>
      </c>
      <c r="F111" s="30" t="s">
        <v>6690</v>
      </c>
      <c r="G111" t="s">
        <v>6401</v>
      </c>
      <c r="H111" s="30">
        <v>3</v>
      </c>
      <c r="I111" s="30" t="s">
        <v>6691</v>
      </c>
      <c r="K111" s="30">
        <v>28.004918</v>
      </c>
      <c r="L111" s="30">
        <v>121.083173</v>
      </c>
    </row>
    <row r="112" spans="1:12" x14ac:dyDescent="0.35">
      <c r="A112" t="str">
        <f>VLOOKUP(" China",Countries!$A$1:$D$205,2,FALSE)</f>
        <v>CHN</v>
      </c>
      <c r="B112" s="30" t="s">
        <v>6692</v>
      </c>
      <c r="C112" s="30" t="s">
        <v>6399</v>
      </c>
      <c r="D112">
        <v>1</v>
      </c>
      <c r="E112" s="30"/>
      <c r="F112" s="30" t="s">
        <v>6693</v>
      </c>
      <c r="G112" t="s">
        <v>6401</v>
      </c>
      <c r="H112" s="30"/>
      <c r="I112" s="30" t="s">
        <v>6694</v>
      </c>
      <c r="K112" s="30">
        <v>21.409593999999998</v>
      </c>
      <c r="L112" s="30">
        <v>111.28753</v>
      </c>
    </row>
    <row r="113" spans="1:12" x14ac:dyDescent="0.35">
      <c r="A113" t="str">
        <f>VLOOKUP(" China",Countries!$A$1:$D$205,2,FALSE)</f>
        <v>CHN</v>
      </c>
      <c r="B113" s="30" t="s">
        <v>6695</v>
      </c>
      <c r="C113" s="30" t="s">
        <v>6422</v>
      </c>
      <c r="D113">
        <v>1</v>
      </c>
      <c r="E113" s="30">
        <v>2008</v>
      </c>
      <c r="F113" s="30" t="s">
        <v>6696</v>
      </c>
      <c r="G113" t="s">
        <v>6401</v>
      </c>
      <c r="H113" s="30">
        <v>1.5</v>
      </c>
      <c r="I113" s="30" t="s">
        <v>6697</v>
      </c>
      <c r="K113" s="30">
        <v>31.293673999999999</v>
      </c>
      <c r="L113" s="30">
        <v>121.707193</v>
      </c>
    </row>
    <row r="114" spans="1:12" x14ac:dyDescent="0.35">
      <c r="A114" t="str">
        <f>VLOOKUP(" China",Countries!$A$1:$D$205,2,FALSE)</f>
        <v>CHN</v>
      </c>
      <c r="B114" s="30" t="s">
        <v>6698</v>
      </c>
      <c r="C114" s="30" t="s">
        <v>6422</v>
      </c>
      <c r="D114">
        <v>1</v>
      </c>
      <c r="E114" s="30">
        <v>2021</v>
      </c>
      <c r="F114" s="30"/>
      <c r="G114" t="s">
        <v>6401</v>
      </c>
      <c r="H114" s="30">
        <v>1.5</v>
      </c>
      <c r="I114" s="30" t="s">
        <v>6699</v>
      </c>
      <c r="K114" s="30">
        <v>31.259609999999999</v>
      </c>
      <c r="L114" s="30">
        <v>118.175307</v>
      </c>
    </row>
    <row r="115" spans="1:12" x14ac:dyDescent="0.35">
      <c r="A115" t="str">
        <f>VLOOKUP(" China",Countries!$A$1:$D$205,2,FALSE)</f>
        <v>CHN</v>
      </c>
      <c r="B115" s="30" t="s">
        <v>6700</v>
      </c>
      <c r="C115" t="s">
        <v>6417</v>
      </c>
      <c r="D115">
        <v>1</v>
      </c>
      <c r="E115" s="30">
        <v>2022</v>
      </c>
      <c r="F115" s="30" t="s">
        <v>6701</v>
      </c>
      <c r="G115" t="s">
        <v>6401</v>
      </c>
      <c r="H115" s="30">
        <v>3</v>
      </c>
      <c r="I115" s="30" t="s">
        <v>6702</v>
      </c>
      <c r="K115" s="30">
        <v>34.274036000000002</v>
      </c>
      <c r="L115" s="30">
        <v>120.268185</v>
      </c>
    </row>
    <row r="116" spans="1:12" x14ac:dyDescent="0.35">
      <c r="A116" t="str">
        <f>VLOOKUP(" China",Countries!$A$1:$D$205,2,FALSE)</f>
        <v>CHN</v>
      </c>
      <c r="B116" s="30" t="s">
        <v>6700</v>
      </c>
      <c r="C116" t="s">
        <v>6417</v>
      </c>
      <c r="D116">
        <v>1</v>
      </c>
      <c r="E116" s="30">
        <v>2023</v>
      </c>
      <c r="F116" s="30" t="s">
        <v>6701</v>
      </c>
      <c r="G116" t="s">
        <v>6401</v>
      </c>
      <c r="H116" s="30">
        <v>3</v>
      </c>
      <c r="I116" s="30" t="s">
        <v>6702</v>
      </c>
      <c r="K116" s="30">
        <v>34.274036000000002</v>
      </c>
      <c r="L116" s="30">
        <v>120.268185</v>
      </c>
    </row>
    <row r="117" spans="1:12" x14ac:dyDescent="0.35">
      <c r="A117" t="str">
        <f>VLOOKUP(" China",Countries!$A$1:$D$205,2,FALSE)</f>
        <v>CHN</v>
      </c>
      <c r="B117" s="30" t="s">
        <v>6703</v>
      </c>
      <c r="C117" t="s">
        <v>6417</v>
      </c>
      <c r="D117">
        <v>1</v>
      </c>
      <c r="E117" s="30">
        <v>2022</v>
      </c>
      <c r="F117" s="30" t="s">
        <v>6704</v>
      </c>
      <c r="G117" t="s">
        <v>6401</v>
      </c>
      <c r="H117" s="30">
        <v>5</v>
      </c>
      <c r="I117" s="30" t="s">
        <v>6705</v>
      </c>
      <c r="K117" s="30">
        <v>37.711187000000002</v>
      </c>
      <c r="L117" s="30">
        <v>121.080172</v>
      </c>
    </row>
    <row r="118" spans="1:12" x14ac:dyDescent="0.35">
      <c r="A118" t="str">
        <f>VLOOKUP(" China",Countries!$A$1:$D$205,2,FALSE)</f>
        <v>CHN</v>
      </c>
      <c r="B118" s="30" t="s">
        <v>6706</v>
      </c>
      <c r="C118" s="30" t="s">
        <v>6399</v>
      </c>
      <c r="D118">
        <v>1</v>
      </c>
      <c r="E118" s="30">
        <v>2023</v>
      </c>
      <c r="F118" s="30"/>
      <c r="G118" t="s">
        <v>6401</v>
      </c>
      <c r="H118" s="30">
        <v>3</v>
      </c>
      <c r="I118" s="30" t="s">
        <v>6707</v>
      </c>
      <c r="K118" s="30">
        <v>40.193958000000002</v>
      </c>
      <c r="L118" s="30">
        <v>122.01309500000001</v>
      </c>
    </row>
    <row r="119" spans="1:12" x14ac:dyDescent="0.35">
      <c r="A119" t="str">
        <f>VLOOKUP(" China",Countries!$A$1:$D$205,2,FALSE)</f>
        <v>CHN</v>
      </c>
      <c r="B119" s="30" t="s">
        <v>6708</v>
      </c>
      <c r="C119" s="30" t="s">
        <v>6417</v>
      </c>
      <c r="D119">
        <v>1</v>
      </c>
      <c r="E119" s="30">
        <v>2021</v>
      </c>
      <c r="F119" s="30" t="s">
        <v>6709</v>
      </c>
      <c r="G119" t="s">
        <v>6401</v>
      </c>
      <c r="H119" s="30">
        <v>3</v>
      </c>
      <c r="I119" s="30" t="s">
        <v>6710</v>
      </c>
      <c r="K119" s="30">
        <v>24.265360999999999</v>
      </c>
      <c r="L119" s="30">
        <v>118.1276</v>
      </c>
    </row>
    <row r="120" spans="1:12" x14ac:dyDescent="0.35">
      <c r="A120" t="str">
        <f>VLOOKUP(" China",Countries!$A$1:$D$205,2,FALSE)</f>
        <v>CHN</v>
      </c>
      <c r="B120" s="30" t="s">
        <v>6711</v>
      </c>
      <c r="C120" t="s">
        <v>6422</v>
      </c>
      <c r="D120">
        <v>2</v>
      </c>
      <c r="E120">
        <v>2020</v>
      </c>
      <c r="F120" s="30" t="s">
        <v>3073</v>
      </c>
      <c r="G120" t="s">
        <v>6401</v>
      </c>
      <c r="H120">
        <v>6</v>
      </c>
      <c r="I120" s="30" t="s">
        <v>6712</v>
      </c>
      <c r="K120" s="30">
        <v>29.893989000000001</v>
      </c>
      <c r="L120" s="30">
        <v>122.09177099999999</v>
      </c>
    </row>
    <row r="121" spans="1:12" x14ac:dyDescent="0.35">
      <c r="A121" t="str">
        <f>VLOOKUP(" China",Countries!$A$1:$D$205,2,FALSE)</f>
        <v>CHN</v>
      </c>
      <c r="B121" s="30" t="s">
        <v>6711</v>
      </c>
      <c r="C121" t="s">
        <v>6399</v>
      </c>
      <c r="D121">
        <v>1</v>
      </c>
      <c r="F121" s="30" t="s">
        <v>3073</v>
      </c>
      <c r="G121" t="s">
        <v>6401</v>
      </c>
      <c r="H121">
        <v>6</v>
      </c>
      <c r="I121" s="30" t="s">
        <v>6712</v>
      </c>
      <c r="K121" s="30">
        <v>29.893989000000001</v>
      </c>
      <c r="L121" s="30">
        <v>122.09177099999999</v>
      </c>
    </row>
    <row r="122" spans="1:12" x14ac:dyDescent="0.35">
      <c r="A122" t="str">
        <f>VLOOKUP(" China",Countries!$A$1:$D$205,2,FALSE)</f>
        <v>CHN</v>
      </c>
      <c r="B122" s="30" t="s">
        <v>6713</v>
      </c>
      <c r="C122" t="s">
        <v>6422</v>
      </c>
      <c r="D122">
        <v>2</v>
      </c>
      <c r="E122">
        <v>2021</v>
      </c>
      <c r="F122" s="30" t="s">
        <v>6714</v>
      </c>
      <c r="G122" t="s">
        <v>6401</v>
      </c>
      <c r="H122">
        <v>5</v>
      </c>
      <c r="I122" s="30" t="s">
        <v>6715</v>
      </c>
      <c r="K122" s="30">
        <v>30.100617</v>
      </c>
      <c r="L122" s="30">
        <v>122.28250800000001</v>
      </c>
    </row>
    <row r="123" spans="1:12" x14ac:dyDescent="0.35">
      <c r="A123" t="str">
        <f>VLOOKUP(" China",Countries!$A$1:$D$205,2,FALSE)</f>
        <v>CHN</v>
      </c>
      <c r="B123" s="30" t="s">
        <v>6713</v>
      </c>
      <c r="C123" t="s">
        <v>6399</v>
      </c>
      <c r="D123">
        <v>1</v>
      </c>
      <c r="E123">
        <v>2024</v>
      </c>
      <c r="F123" s="30" t="s">
        <v>6714</v>
      </c>
      <c r="G123" t="s">
        <v>6401</v>
      </c>
      <c r="H123">
        <v>5</v>
      </c>
      <c r="I123" s="30" t="s">
        <v>6715</v>
      </c>
      <c r="K123" s="30">
        <v>30.100617</v>
      </c>
      <c r="L123" s="30">
        <v>122.28250800000001</v>
      </c>
    </row>
    <row r="124" spans="1:12" x14ac:dyDescent="0.35">
      <c r="A124" t="str">
        <f>VLOOKUP(" China",Countries!$A$1:$D$205,2,FALSE)</f>
        <v>CHN</v>
      </c>
      <c r="B124" s="30" t="s">
        <v>6716</v>
      </c>
      <c r="C124" t="s">
        <v>6422</v>
      </c>
      <c r="D124">
        <v>1</v>
      </c>
      <c r="E124">
        <v>2013</v>
      </c>
      <c r="F124" s="30" t="s">
        <v>6717</v>
      </c>
      <c r="G124" t="s">
        <v>6401</v>
      </c>
      <c r="H124">
        <v>3.5</v>
      </c>
      <c r="I124" s="30" t="s">
        <v>6718</v>
      </c>
      <c r="K124" s="30">
        <v>21.905989999999999</v>
      </c>
      <c r="L124" s="30">
        <v>113.219326</v>
      </c>
    </row>
    <row r="125" spans="1:12" x14ac:dyDescent="0.35">
      <c r="A125" t="str">
        <f>VLOOKUP(" China",Countries!$A$1:$D$205,2,FALSE)</f>
        <v>CHN</v>
      </c>
      <c r="B125" s="30" t="s">
        <v>6716</v>
      </c>
      <c r="C125" t="s">
        <v>6399</v>
      </c>
      <c r="D125">
        <v>1</v>
      </c>
      <c r="F125" s="30" t="s">
        <v>6717</v>
      </c>
      <c r="G125" t="s">
        <v>6401</v>
      </c>
      <c r="H125">
        <v>3.5</v>
      </c>
      <c r="I125" s="30" t="s">
        <v>6718</v>
      </c>
      <c r="K125" s="30">
        <v>21.905989999999999</v>
      </c>
      <c r="L125" s="30">
        <v>113.219326</v>
      </c>
    </row>
    <row r="126" spans="1:12" x14ac:dyDescent="0.35">
      <c r="A126" t="str">
        <f>VLOOKUP(" China",Countries!$A$1:$D$205,2,FALSE)</f>
        <v>CHN</v>
      </c>
      <c r="B126" s="30" t="s">
        <v>6719</v>
      </c>
      <c r="C126" t="s">
        <v>6399</v>
      </c>
      <c r="D126">
        <v>1</v>
      </c>
      <c r="F126" s="30" t="s">
        <v>6704</v>
      </c>
      <c r="G126" t="s">
        <v>6401</v>
      </c>
      <c r="H126" s="30"/>
      <c r="I126" s="30" t="s">
        <v>6720</v>
      </c>
      <c r="K126" s="30">
        <v>37.711187000000002</v>
      </c>
      <c r="L126" s="30">
        <v>121.080172</v>
      </c>
    </row>
    <row r="127" spans="1:12" x14ac:dyDescent="0.35">
      <c r="A127" t="str">
        <f>VLOOKUP(" China",Countries!$A$1:$D$205,2,FALSE)</f>
        <v>CHN</v>
      </c>
      <c r="B127" s="30" t="s">
        <v>6721</v>
      </c>
      <c r="C127" t="s">
        <v>6417</v>
      </c>
      <c r="D127">
        <v>1</v>
      </c>
      <c r="E127" s="30">
        <v>2023</v>
      </c>
      <c r="F127" s="30" t="s">
        <v>3039</v>
      </c>
      <c r="G127" t="s">
        <v>6401</v>
      </c>
      <c r="H127" s="30">
        <v>2</v>
      </c>
      <c r="I127" s="30" t="s">
        <v>6722</v>
      </c>
      <c r="K127" s="30">
        <v>29.577548</v>
      </c>
      <c r="L127" s="30">
        <v>112.911354</v>
      </c>
    </row>
    <row r="128" spans="1:12" x14ac:dyDescent="0.35">
      <c r="A128" t="str">
        <f>VLOOKUP(" China",Countries!$A$1:$D$205,2,FALSE)</f>
        <v>CHN</v>
      </c>
      <c r="B128" s="30" t="s">
        <v>6723</v>
      </c>
      <c r="C128" t="s">
        <v>6417</v>
      </c>
      <c r="D128">
        <v>1</v>
      </c>
      <c r="E128" s="30">
        <v>2021</v>
      </c>
      <c r="F128" s="30" t="s">
        <v>6724</v>
      </c>
      <c r="G128" t="s">
        <v>6401</v>
      </c>
      <c r="H128" s="30">
        <v>1</v>
      </c>
      <c r="I128" s="30" t="s">
        <v>6725</v>
      </c>
      <c r="K128" s="30">
        <v>30.681206</v>
      </c>
      <c r="L128" s="30">
        <v>121.246827</v>
      </c>
    </row>
    <row r="129" spans="1:12" x14ac:dyDescent="0.35">
      <c r="A129" t="str">
        <f>VLOOKUP(" China",Countries!$A$1:$D$205,2,FALSE)</f>
        <v>CHN</v>
      </c>
      <c r="B129" s="30" t="s">
        <v>6726</v>
      </c>
      <c r="C129" t="s">
        <v>6417</v>
      </c>
      <c r="D129">
        <v>1</v>
      </c>
      <c r="E129" s="30">
        <v>2022</v>
      </c>
      <c r="F129" s="30" t="s">
        <v>6727</v>
      </c>
      <c r="G129" t="s">
        <v>6401</v>
      </c>
      <c r="H129" s="30">
        <v>6</v>
      </c>
      <c r="I129" s="30" t="s">
        <v>6728</v>
      </c>
      <c r="K129" s="30">
        <v>37.680774</v>
      </c>
      <c r="L129" s="30">
        <v>120.22028400000001</v>
      </c>
    </row>
    <row r="130" spans="1:12" x14ac:dyDescent="0.35">
      <c r="A130" t="str">
        <f>VLOOKUP(" China",Countries!$A$1:$D$205,2,FALSE)</f>
        <v>CHN</v>
      </c>
      <c r="B130" s="30" t="s">
        <v>6729</v>
      </c>
      <c r="C130" t="s">
        <v>6422</v>
      </c>
      <c r="D130">
        <v>1</v>
      </c>
      <c r="E130" s="30">
        <v>2019</v>
      </c>
      <c r="F130" s="30" t="s">
        <v>6678</v>
      </c>
      <c r="G130" t="s">
        <v>6401</v>
      </c>
      <c r="H130" s="30">
        <v>0.8</v>
      </c>
      <c r="I130" s="30" t="s">
        <v>6730</v>
      </c>
      <c r="K130" s="30">
        <v>22.618618999999999</v>
      </c>
      <c r="L130" s="30">
        <v>114.38484099999999</v>
      </c>
    </row>
    <row r="131" spans="1:12" x14ac:dyDescent="0.35">
      <c r="A131" t="str">
        <f>VLOOKUP(" China",Countries!$A$1:$D$205,2,FALSE)</f>
        <v>CHN</v>
      </c>
      <c r="B131" s="30" t="s">
        <v>6731</v>
      </c>
      <c r="C131" t="s">
        <v>6422</v>
      </c>
      <c r="D131">
        <v>1</v>
      </c>
      <c r="E131" s="30">
        <v>2014</v>
      </c>
      <c r="F131" s="30" t="s">
        <v>6732</v>
      </c>
      <c r="G131" t="s">
        <v>6401</v>
      </c>
      <c r="H131" s="30">
        <v>0.5</v>
      </c>
      <c r="I131" s="30" t="s">
        <v>6733</v>
      </c>
      <c r="K131" s="30">
        <v>19.977561999999999</v>
      </c>
      <c r="L131" s="30">
        <v>110.057687</v>
      </c>
    </row>
    <row r="132" spans="1:12" x14ac:dyDescent="0.35">
      <c r="A132" t="str">
        <f>VLOOKUP(" China",Countries!$A$1:$D$205,2,FALSE)</f>
        <v>CHN</v>
      </c>
      <c r="B132" s="30" t="s">
        <v>6734</v>
      </c>
      <c r="C132" t="s">
        <v>6399</v>
      </c>
      <c r="D132">
        <v>1</v>
      </c>
      <c r="E132" s="30">
        <v>2022</v>
      </c>
      <c r="F132" s="30" t="s">
        <v>6735</v>
      </c>
      <c r="G132" t="s">
        <v>6401</v>
      </c>
      <c r="H132" s="30">
        <v>2</v>
      </c>
      <c r="I132" s="30" t="s">
        <v>6736</v>
      </c>
      <c r="K132" s="30">
        <v>28.106107000000002</v>
      </c>
      <c r="L132" s="30">
        <v>121.134782</v>
      </c>
    </row>
    <row r="133" spans="1:12" x14ac:dyDescent="0.35">
      <c r="A133" t="str">
        <f>VLOOKUP(" China",Countries!$A$1:$D$205,2,FALSE)</f>
        <v>CHN</v>
      </c>
      <c r="B133" s="30" t="s">
        <v>6737</v>
      </c>
      <c r="C133" t="s">
        <v>6417</v>
      </c>
      <c r="D133">
        <v>1</v>
      </c>
      <c r="E133" s="30">
        <v>2022</v>
      </c>
      <c r="F133" s="30" t="s">
        <v>4230</v>
      </c>
      <c r="G133" t="s">
        <v>6401</v>
      </c>
      <c r="H133" s="30">
        <v>1</v>
      </c>
      <c r="I133" s="30" t="s">
        <v>6738</v>
      </c>
      <c r="K133" s="30">
        <v>22.833155999999999</v>
      </c>
      <c r="L133" s="30">
        <v>113.547222</v>
      </c>
    </row>
    <row r="134" spans="1:12" x14ac:dyDescent="0.35">
      <c r="A134" t="str">
        <f>VLOOKUP(" China",Countries!$A$1:$D$205,2,FALSE)</f>
        <v>CHN</v>
      </c>
      <c r="B134" s="30" t="s">
        <v>6739</v>
      </c>
      <c r="C134" t="s">
        <v>6417</v>
      </c>
      <c r="D134">
        <v>1</v>
      </c>
      <c r="E134" s="30">
        <v>2023</v>
      </c>
      <c r="F134" s="30" t="s">
        <v>6740</v>
      </c>
      <c r="G134" t="s">
        <v>6401</v>
      </c>
      <c r="H134" s="30">
        <v>4</v>
      </c>
      <c r="I134" s="30" t="s">
        <v>6741</v>
      </c>
      <c r="K134" s="30">
        <v>22.611927000000001</v>
      </c>
      <c r="L134" s="30">
        <v>114.742272</v>
      </c>
    </row>
    <row r="135" spans="1:12" x14ac:dyDescent="0.35">
      <c r="A135" t="str">
        <f>VLOOKUP(" China",Countries!$A$1:$D$205,2,FALSE)</f>
        <v>CHN</v>
      </c>
      <c r="B135" s="30" t="s">
        <v>6742</v>
      </c>
      <c r="C135" t="s">
        <v>6399</v>
      </c>
      <c r="D135">
        <v>1</v>
      </c>
      <c r="E135" s="30">
        <v>2025</v>
      </c>
      <c r="F135" t="s">
        <v>6743</v>
      </c>
      <c r="G135" t="s">
        <v>6401</v>
      </c>
      <c r="H135" s="30">
        <v>7</v>
      </c>
      <c r="I135" s="30" t="s">
        <v>6744</v>
      </c>
      <c r="K135" s="30">
        <v>29.711929000000001</v>
      </c>
      <c r="L135" s="30">
        <v>122.083224</v>
      </c>
    </row>
    <row r="136" spans="1:12" x14ac:dyDescent="0.35">
      <c r="A136" t="str">
        <f>VLOOKUP(" China",Countries!$A$1:$D$205,2,FALSE)</f>
        <v>CHN</v>
      </c>
      <c r="B136" s="30" t="s">
        <v>6742</v>
      </c>
      <c r="C136" t="s">
        <v>6399</v>
      </c>
      <c r="D136">
        <v>1</v>
      </c>
      <c r="E136" s="30">
        <v>2030</v>
      </c>
      <c r="F136" s="30" t="s">
        <v>6743</v>
      </c>
      <c r="G136" t="s">
        <v>6401</v>
      </c>
      <c r="H136" s="30">
        <v>9</v>
      </c>
      <c r="I136" s="30" t="s">
        <v>6744</v>
      </c>
      <c r="K136" s="30">
        <v>29.711929000000001</v>
      </c>
      <c r="L136" s="30">
        <v>122.083224</v>
      </c>
    </row>
    <row r="137" spans="1:12" x14ac:dyDescent="0.35">
      <c r="A137" t="str">
        <f>VLOOKUP(" China",Countries!$A$1:$D$205,2,FALSE)</f>
        <v>CHN</v>
      </c>
      <c r="B137" s="30" t="s">
        <v>6745</v>
      </c>
      <c r="C137" t="s">
        <v>6417</v>
      </c>
      <c r="D137">
        <v>1</v>
      </c>
      <c r="E137" s="30">
        <v>2023</v>
      </c>
      <c r="F137" s="30" t="s">
        <v>6727</v>
      </c>
      <c r="G137" t="s">
        <v>6401</v>
      </c>
      <c r="H137" s="30">
        <v>6.5</v>
      </c>
      <c r="I137" s="30" t="s">
        <v>6746</v>
      </c>
      <c r="K137" s="30">
        <v>37.668559999999999</v>
      </c>
      <c r="L137" s="30">
        <v>120.275379</v>
      </c>
    </row>
    <row r="138" spans="1:12" x14ac:dyDescent="0.35">
      <c r="A138" t="str">
        <f>VLOOKUP(" China",Countries!$A$1:$D$205,2,FALSE)</f>
        <v>CHN</v>
      </c>
      <c r="B138" s="30" t="s">
        <v>6747</v>
      </c>
      <c r="C138" t="s">
        <v>6399</v>
      </c>
      <c r="D138">
        <v>1</v>
      </c>
      <c r="E138" s="30">
        <v>2022</v>
      </c>
      <c r="F138" s="30" t="s">
        <v>6748</v>
      </c>
      <c r="G138" t="s">
        <v>6401</v>
      </c>
      <c r="H138" s="30">
        <v>3</v>
      </c>
      <c r="I138" s="30" t="s">
        <v>6749</v>
      </c>
      <c r="K138" s="30">
        <v>36.913392999999999</v>
      </c>
      <c r="L138" s="30">
        <v>122.052635</v>
      </c>
    </row>
    <row r="139" spans="1:12" x14ac:dyDescent="0.35">
      <c r="A139" t="str">
        <f>VLOOKUP(" China",Countries!$A$1:$D$205,2,FALSE)</f>
        <v>CHN</v>
      </c>
      <c r="B139" s="30" t="s">
        <v>6750</v>
      </c>
      <c r="C139" t="s">
        <v>6399</v>
      </c>
      <c r="D139">
        <v>1</v>
      </c>
      <c r="E139" s="30">
        <v>2035</v>
      </c>
      <c r="F139" s="30" t="s">
        <v>3036</v>
      </c>
      <c r="G139" t="s">
        <v>6401</v>
      </c>
      <c r="H139" s="30">
        <v>1.86</v>
      </c>
      <c r="I139" s="30" t="s">
        <v>6751</v>
      </c>
      <c r="K139" s="30">
        <v>30.594685999999999</v>
      </c>
      <c r="L139" s="30">
        <v>114.55855200000001</v>
      </c>
    </row>
    <row r="140" spans="1:12" x14ac:dyDescent="0.35">
      <c r="A140" t="str">
        <f>VLOOKUP(" China",Countries!$A$1:$D$205,2,FALSE)</f>
        <v>CHN</v>
      </c>
      <c r="B140" s="30" t="s">
        <v>6752</v>
      </c>
      <c r="C140" t="s">
        <v>6417</v>
      </c>
      <c r="D140">
        <v>1</v>
      </c>
      <c r="E140">
        <v>2022</v>
      </c>
      <c r="F140" s="30" t="s">
        <v>6681</v>
      </c>
      <c r="G140" t="s">
        <v>6401</v>
      </c>
      <c r="H140" s="30">
        <v>7</v>
      </c>
      <c r="I140" s="30" t="s">
        <v>6753</v>
      </c>
      <c r="K140" s="30">
        <v>38.938744999999997</v>
      </c>
      <c r="L140" s="30">
        <v>118.541145</v>
      </c>
    </row>
    <row r="141" spans="1:12" x14ac:dyDescent="0.35">
      <c r="A141" t="str">
        <f>VLOOKUP(" China",Countries!$A$1:$D$205,2,FALSE)</f>
        <v>CHN</v>
      </c>
      <c r="B141" s="30" t="s">
        <v>6752</v>
      </c>
      <c r="C141" t="s">
        <v>6399</v>
      </c>
      <c r="D141">
        <v>2</v>
      </c>
      <c r="F141" s="30" t="s">
        <v>6681</v>
      </c>
      <c r="G141" t="s">
        <v>6401</v>
      </c>
      <c r="H141">
        <v>7</v>
      </c>
      <c r="I141" s="30" t="s">
        <v>6753</v>
      </c>
      <c r="K141" s="30">
        <v>38.938744999999997</v>
      </c>
      <c r="L141" s="30">
        <v>118.541145</v>
      </c>
    </row>
    <row r="142" spans="1:12" x14ac:dyDescent="0.35">
      <c r="A142" t="str">
        <f>VLOOKUP(" China",Countries!$A$1:$D$205,2,FALSE)</f>
        <v>CHN</v>
      </c>
      <c r="B142" s="30" t="s">
        <v>6754</v>
      </c>
      <c r="C142" t="s">
        <v>6417</v>
      </c>
      <c r="D142">
        <v>1</v>
      </c>
      <c r="E142">
        <v>2023</v>
      </c>
      <c r="F142" s="30" t="s">
        <v>4240</v>
      </c>
      <c r="G142" t="s">
        <v>6401</v>
      </c>
      <c r="H142" s="30">
        <v>2.8</v>
      </c>
      <c r="I142" s="30" t="s">
        <v>6755</v>
      </c>
      <c r="K142" s="30">
        <v>21.674821999999999</v>
      </c>
      <c r="L142" s="30">
        <v>111.831709</v>
      </c>
    </row>
    <row r="143" spans="1:12" x14ac:dyDescent="0.35">
      <c r="A143" t="str">
        <f>VLOOKUP(" China",Countries!$A$1:$D$205,2,FALSE)</f>
        <v>CHN</v>
      </c>
      <c r="B143" s="30" t="s">
        <v>6756</v>
      </c>
      <c r="C143" t="s">
        <v>6399</v>
      </c>
      <c r="D143">
        <v>1</v>
      </c>
      <c r="E143">
        <v>2025</v>
      </c>
      <c r="F143" s="30" t="s">
        <v>6757</v>
      </c>
      <c r="G143" t="s">
        <v>6401</v>
      </c>
      <c r="H143">
        <v>5</v>
      </c>
      <c r="I143" s="30" t="s">
        <v>6758</v>
      </c>
      <c r="K143" s="30">
        <v>29.711929000000001</v>
      </c>
      <c r="L143" s="30">
        <v>122.083224</v>
      </c>
    </row>
    <row r="144" spans="1:12" x14ac:dyDescent="0.35">
      <c r="A144" t="str">
        <f>VLOOKUP(" China",Countries!$A$1:$D$205,2,FALSE)</f>
        <v>CHN</v>
      </c>
      <c r="B144" s="30" t="s">
        <v>6756</v>
      </c>
      <c r="C144" t="s">
        <v>6399</v>
      </c>
      <c r="D144">
        <v>1</v>
      </c>
      <c r="F144" s="30" t="s">
        <v>6757</v>
      </c>
      <c r="G144" t="s">
        <v>6401</v>
      </c>
      <c r="H144">
        <v>5</v>
      </c>
      <c r="I144" s="30" t="s">
        <v>6758</v>
      </c>
      <c r="K144" s="30">
        <v>29.711929000000001</v>
      </c>
      <c r="L144" s="30">
        <v>122.083224</v>
      </c>
    </row>
    <row r="145" spans="1:12" x14ac:dyDescent="0.35">
      <c r="A145" t="str">
        <f>VLOOKUP(" China",Countries!$A$1:$D$205,2,FALSE)</f>
        <v>CHN</v>
      </c>
      <c r="B145" s="30" t="s">
        <v>6759</v>
      </c>
      <c r="C145" t="s">
        <v>6399</v>
      </c>
      <c r="D145">
        <v>1</v>
      </c>
      <c r="E145" s="30">
        <v>2025</v>
      </c>
      <c r="F145" s="30"/>
      <c r="G145" s="30" t="s">
        <v>6401</v>
      </c>
      <c r="H145" s="30">
        <v>5</v>
      </c>
      <c r="I145" s="30" t="s">
        <v>6760</v>
      </c>
      <c r="K145" s="30">
        <v>21.990644</v>
      </c>
      <c r="L145" s="30">
        <v>114.153924</v>
      </c>
    </row>
    <row r="146" spans="1:12" x14ac:dyDescent="0.35">
      <c r="A146" t="str">
        <f>VLOOKUP(" China",Countries!$A$1:$D$205,2,FALSE)</f>
        <v>CHN</v>
      </c>
      <c r="B146" s="30" t="s">
        <v>6761</v>
      </c>
      <c r="C146" t="s">
        <v>6417</v>
      </c>
      <c r="D146">
        <v>1</v>
      </c>
      <c r="E146" s="30">
        <v>2022</v>
      </c>
      <c r="F146" s="30" t="s">
        <v>6684</v>
      </c>
      <c r="G146" s="30" t="s">
        <v>6401</v>
      </c>
      <c r="H146" s="30">
        <v>5</v>
      </c>
      <c r="I146" s="30" t="s">
        <v>6762</v>
      </c>
      <c r="K146" s="30">
        <v>38.738256</v>
      </c>
      <c r="L146" s="30">
        <v>117.714095</v>
      </c>
    </row>
    <row r="147" spans="1:12" x14ac:dyDescent="0.35">
      <c r="A147" t="str">
        <f>VLOOKUP(" China",Countries!$A$1:$D$205,2,FALSE)</f>
        <v>CHN</v>
      </c>
      <c r="B147" s="30" t="s">
        <v>6763</v>
      </c>
      <c r="C147" t="s">
        <v>6399</v>
      </c>
      <c r="D147">
        <v>1</v>
      </c>
      <c r="E147" s="30"/>
      <c r="F147" s="30" t="s">
        <v>6638</v>
      </c>
      <c r="G147" s="30" t="s">
        <v>6401</v>
      </c>
      <c r="H147" s="30">
        <v>6</v>
      </c>
      <c r="I147" s="30" t="s">
        <v>6633</v>
      </c>
      <c r="K147" s="30">
        <v>21.499545999999999</v>
      </c>
      <c r="L147" s="30">
        <v>109.524152</v>
      </c>
    </row>
    <row r="148" spans="1:12" x14ac:dyDescent="0.35">
      <c r="A148" t="str">
        <f>VLOOKUP(" China",Countries!$A$1:$D$205,2,FALSE)</f>
        <v>CHN</v>
      </c>
      <c r="B148" s="30" t="s">
        <v>6764</v>
      </c>
      <c r="C148" t="s">
        <v>6417</v>
      </c>
      <c r="D148">
        <v>1</v>
      </c>
      <c r="E148" s="30"/>
      <c r="F148" s="30" t="s">
        <v>6765</v>
      </c>
      <c r="G148" s="30" t="s">
        <v>6401</v>
      </c>
      <c r="H148" s="30">
        <v>6</v>
      </c>
      <c r="I148" s="30" t="s">
        <v>6766</v>
      </c>
      <c r="K148" s="30">
        <v>23.583697000000001</v>
      </c>
      <c r="L148" s="30">
        <v>117.12851000000001</v>
      </c>
    </row>
    <row r="149" spans="1:12" x14ac:dyDescent="0.35">
      <c r="A149" t="str">
        <f>VLOOKUP(" China",Countries!$A$1:$D$205,2,FALSE)</f>
        <v>CHN</v>
      </c>
      <c r="B149" s="30" t="s">
        <v>6764</v>
      </c>
      <c r="C149" t="s">
        <v>6399</v>
      </c>
      <c r="D149">
        <v>1</v>
      </c>
      <c r="E149" s="30"/>
      <c r="F149" s="30" t="s">
        <v>6765</v>
      </c>
      <c r="G149" s="30" t="s">
        <v>6401</v>
      </c>
      <c r="H149" s="30">
        <v>3</v>
      </c>
      <c r="I149" s="30" t="s">
        <v>6766</v>
      </c>
      <c r="K149" s="30">
        <v>23.583697000000001</v>
      </c>
      <c r="L149" s="30">
        <v>117.12851000000001</v>
      </c>
    </row>
    <row r="150" spans="1:12" x14ac:dyDescent="0.35">
      <c r="A150" t="str">
        <f>VLOOKUP(" China",Countries!$A$1:$D$205,2,FALSE)</f>
        <v>CHN</v>
      </c>
      <c r="B150" s="30" t="s">
        <v>6767</v>
      </c>
      <c r="C150" t="s">
        <v>6399</v>
      </c>
      <c r="D150">
        <v>1</v>
      </c>
      <c r="E150" s="30"/>
      <c r="F150" s="30" t="s">
        <v>6768</v>
      </c>
      <c r="G150" s="30" t="s">
        <v>6401</v>
      </c>
      <c r="H150" s="30">
        <v>3</v>
      </c>
      <c r="I150" s="30" t="s">
        <v>6769</v>
      </c>
      <c r="K150" s="30">
        <v>24.406884999999999</v>
      </c>
      <c r="L150" s="30">
        <v>118.063012</v>
      </c>
    </row>
    <row r="151" spans="1:12" x14ac:dyDescent="0.35">
      <c r="A151" t="str">
        <f>VLOOKUP(" China",Countries!$A$1:$D$205,2,FALSE)</f>
        <v>CHN</v>
      </c>
      <c r="B151" s="30" t="s">
        <v>6770</v>
      </c>
      <c r="C151" t="s">
        <v>6399</v>
      </c>
      <c r="D151">
        <v>1</v>
      </c>
      <c r="E151" s="30">
        <v>2022</v>
      </c>
      <c r="F151" s="30" t="s">
        <v>6771</v>
      </c>
      <c r="G151" s="30" t="s">
        <v>6401</v>
      </c>
      <c r="H151" s="30">
        <v>3</v>
      </c>
      <c r="I151" s="30" t="s">
        <v>6772</v>
      </c>
      <c r="K151" s="30">
        <v>38.087800000000001</v>
      </c>
      <c r="L151" s="30">
        <v>118.98196</v>
      </c>
    </row>
    <row r="152" spans="1:12" x14ac:dyDescent="0.35">
      <c r="A152" t="str">
        <f>VLOOKUP(" China",Countries!$A$1:$D$205,2,FALSE)</f>
        <v>CHN</v>
      </c>
      <c r="B152" s="30" t="s">
        <v>6773</v>
      </c>
      <c r="C152" t="s">
        <v>6417</v>
      </c>
      <c r="D152">
        <v>1</v>
      </c>
      <c r="E152" s="30">
        <v>2023</v>
      </c>
      <c r="F152" s="30" t="s">
        <v>4557</v>
      </c>
      <c r="G152" s="30" t="s">
        <v>6401</v>
      </c>
      <c r="H152" s="30">
        <v>3</v>
      </c>
      <c r="I152" s="30" t="s">
        <v>6774</v>
      </c>
      <c r="K152" s="30">
        <v>31.949128000000002</v>
      </c>
      <c r="L152" s="30">
        <v>120.00721299999999</v>
      </c>
    </row>
    <row r="153" spans="1:12" x14ac:dyDescent="0.35">
      <c r="A153" t="str">
        <f>VLOOKUP(" China",Countries!$A$1:$D$205,2,FALSE)</f>
        <v>CHN</v>
      </c>
      <c r="B153" s="30" t="s">
        <v>6775</v>
      </c>
      <c r="C153" t="s">
        <v>6399</v>
      </c>
      <c r="D153">
        <v>1</v>
      </c>
      <c r="E153" s="30">
        <v>2023</v>
      </c>
      <c r="F153" s="30" t="s">
        <v>3045</v>
      </c>
      <c r="G153" s="30" t="s">
        <v>6401</v>
      </c>
      <c r="H153" s="30"/>
      <c r="I153" s="30" t="s">
        <v>6776</v>
      </c>
      <c r="K153" s="30">
        <v>29.911276000000001</v>
      </c>
      <c r="L153" s="30">
        <v>116.55233699999999</v>
      </c>
    </row>
    <row r="154" spans="1:12" x14ac:dyDescent="0.35">
      <c r="A154" t="str">
        <f>VLOOKUP(" China",Countries!$A$1:$D$205,2,FALSE)</f>
        <v>CHN</v>
      </c>
      <c r="B154" s="30" t="s">
        <v>6777</v>
      </c>
      <c r="C154" t="s">
        <v>6399</v>
      </c>
      <c r="D154">
        <v>2</v>
      </c>
      <c r="F154" s="30" t="s">
        <v>6778</v>
      </c>
      <c r="G154" s="30" t="s">
        <v>6401</v>
      </c>
      <c r="H154">
        <v>6</v>
      </c>
      <c r="I154" s="30" t="s">
        <v>6779</v>
      </c>
      <c r="K154" s="30">
        <v>25.160236000000001</v>
      </c>
      <c r="L154" s="30">
        <v>118.95978100000001</v>
      </c>
    </row>
    <row r="155" spans="1:12" x14ac:dyDescent="0.35">
      <c r="A155" t="str">
        <f>VLOOKUP(" China",Countries!$A$1:$D$205,2,FALSE)</f>
        <v>CHN</v>
      </c>
      <c r="B155" s="30" t="s">
        <v>6780</v>
      </c>
      <c r="C155" t="s">
        <v>6399</v>
      </c>
      <c r="D155">
        <v>1</v>
      </c>
      <c r="E155" s="30"/>
      <c r="F155" s="30" t="s">
        <v>6781</v>
      </c>
      <c r="G155" s="30" t="s">
        <v>6401</v>
      </c>
      <c r="I155" s="30" t="s">
        <v>6782</v>
      </c>
      <c r="K155" s="30">
        <v>36.891775000000003</v>
      </c>
      <c r="L155" s="30">
        <v>122.437258</v>
      </c>
    </row>
    <row r="156" spans="1:12" x14ac:dyDescent="0.35">
      <c r="A156" t="str">
        <f>VLOOKUP(" China",Countries!$A$1:$D$205,2,FALSE)</f>
        <v>CHN</v>
      </c>
      <c r="B156" s="30" t="s">
        <v>6783</v>
      </c>
      <c r="C156" t="s">
        <v>6417</v>
      </c>
      <c r="D156">
        <v>1</v>
      </c>
      <c r="E156" s="30">
        <v>2024</v>
      </c>
      <c r="F156" s="30" t="s">
        <v>6664</v>
      </c>
      <c r="G156" s="30" t="s">
        <v>6401</v>
      </c>
      <c r="H156" s="30">
        <v>2.95</v>
      </c>
      <c r="I156" s="30" t="s">
        <v>6784</v>
      </c>
      <c r="K156" s="30">
        <v>32.526845000000002</v>
      </c>
      <c r="L156" s="30">
        <v>121.412712</v>
      </c>
    </row>
    <row r="157" spans="1:12" x14ac:dyDescent="0.35">
      <c r="A157" t="str">
        <f>VLOOKUP(" China",Countries!$A$1:$D$205,2,FALSE)</f>
        <v>CHN</v>
      </c>
      <c r="B157" s="30" t="s">
        <v>6785</v>
      </c>
      <c r="C157" t="s">
        <v>6399</v>
      </c>
      <c r="D157">
        <v>1</v>
      </c>
      <c r="E157" s="30"/>
      <c r="F157" s="30" t="s">
        <v>6786</v>
      </c>
      <c r="G157" s="30" t="s">
        <v>6401</v>
      </c>
      <c r="H157" s="30">
        <v>3</v>
      </c>
      <c r="I157" s="30" t="s">
        <v>6787</v>
      </c>
      <c r="K157" s="30">
        <v>28.682663000000002</v>
      </c>
      <c r="L157" s="30">
        <v>121.788619</v>
      </c>
    </row>
    <row r="158" spans="1:12" x14ac:dyDescent="0.35">
      <c r="A158" t="str">
        <f>VLOOKUP(" China",Countries!$A$1:$D$205,2,FALSE)</f>
        <v>CHN</v>
      </c>
      <c r="B158" s="30" t="s">
        <v>6788</v>
      </c>
      <c r="C158" t="s">
        <v>6417</v>
      </c>
      <c r="D158">
        <v>1</v>
      </c>
      <c r="E158" s="30">
        <v>2023</v>
      </c>
      <c r="F158" s="30" t="s">
        <v>6789</v>
      </c>
      <c r="G158" s="30" t="s">
        <v>6401</v>
      </c>
      <c r="H158" s="30">
        <v>3</v>
      </c>
      <c r="I158" s="30" t="s">
        <v>6790</v>
      </c>
      <c r="K158" s="30">
        <v>27.903136</v>
      </c>
      <c r="L158" s="30">
        <v>121.127993</v>
      </c>
    </row>
    <row r="159" spans="1:12" x14ac:dyDescent="0.35">
      <c r="A159" t="str">
        <f>VLOOKUP(" China",Countries!$A$1:$D$205,2,FALSE)</f>
        <v>CHN</v>
      </c>
      <c r="B159" s="30" t="s">
        <v>6791</v>
      </c>
      <c r="C159" t="s">
        <v>6399</v>
      </c>
      <c r="D159">
        <v>1</v>
      </c>
      <c r="E159" s="30"/>
      <c r="F159" s="30" t="s">
        <v>6792</v>
      </c>
      <c r="G159" s="30" t="s">
        <v>6401</v>
      </c>
      <c r="H159" s="30">
        <v>3</v>
      </c>
      <c r="I159" s="30" t="s">
        <v>6543</v>
      </c>
      <c r="K159" s="30">
        <v>30.427223999999999</v>
      </c>
      <c r="L159" s="30">
        <v>122.351978</v>
      </c>
    </row>
    <row r="160" spans="1:12" x14ac:dyDescent="0.35">
      <c r="A160" t="str">
        <f>VLOOKUP(" China",Countries!$A$1:$D$205,2,FALSE)</f>
        <v>CHN</v>
      </c>
      <c r="B160" s="70" t="s">
        <v>6793</v>
      </c>
      <c r="C160" t="s">
        <v>6399</v>
      </c>
      <c r="D160">
        <v>1</v>
      </c>
      <c r="E160" s="70"/>
      <c r="F160" s="70" t="s">
        <v>4236</v>
      </c>
      <c r="G160" s="70" t="s">
        <v>6401</v>
      </c>
      <c r="H160" s="70">
        <v>6.5</v>
      </c>
      <c r="I160" s="70" t="s">
        <v>6794</v>
      </c>
      <c r="K160" s="70">
        <v>22.934479</v>
      </c>
      <c r="L160" s="70">
        <v>116.371427</v>
      </c>
    </row>
    <row r="161" spans="1:12" x14ac:dyDescent="0.35">
      <c r="A161" t="str">
        <f>VLOOKUP(" Colombia",Countries!$A$1:$D$205,2,FALSE)</f>
        <v>COL</v>
      </c>
      <c r="B161" s="30" t="s">
        <v>6795</v>
      </c>
      <c r="C161" t="s">
        <v>6422</v>
      </c>
      <c r="D161">
        <v>1</v>
      </c>
      <c r="E161" s="30">
        <v>2016</v>
      </c>
      <c r="F161" s="30" t="s">
        <v>1585</v>
      </c>
      <c r="G161" s="70" t="s">
        <v>6401</v>
      </c>
      <c r="H161">
        <v>3.8</v>
      </c>
      <c r="I161" s="30" t="s">
        <v>6796</v>
      </c>
      <c r="K161" s="30">
        <v>10.4</v>
      </c>
      <c r="L161" s="30">
        <v>-75.5</v>
      </c>
    </row>
    <row r="162" spans="1:12" x14ac:dyDescent="0.35">
      <c r="A162" t="str">
        <f>VLOOKUP(" Colombia",Countries!$A$1:$D$205,2,FALSE)</f>
        <v>COL</v>
      </c>
      <c r="B162" s="30" t="s">
        <v>6797</v>
      </c>
      <c r="C162" t="s">
        <v>6399</v>
      </c>
      <c r="D162">
        <v>1</v>
      </c>
      <c r="E162" s="30">
        <v>2023</v>
      </c>
      <c r="F162" s="30" t="s">
        <v>6798</v>
      </c>
      <c r="G162" s="70" t="s">
        <v>6401</v>
      </c>
      <c r="I162" s="30" t="s">
        <v>6799</v>
      </c>
      <c r="K162" s="30">
        <v>3.904541</v>
      </c>
      <c r="L162" s="30">
        <v>-77.077034999999995</v>
      </c>
    </row>
    <row r="163" spans="1:12" x14ac:dyDescent="0.35">
      <c r="A163" t="str">
        <f>VLOOKUP(" Colombia",Countries!$A$1:$D$205,2,FALSE)</f>
        <v>COL</v>
      </c>
      <c r="B163" s="70" t="s">
        <v>6800</v>
      </c>
      <c r="C163" t="s">
        <v>6399</v>
      </c>
      <c r="D163">
        <v>1</v>
      </c>
      <c r="E163" s="70"/>
      <c r="F163" s="70" t="s">
        <v>6798</v>
      </c>
      <c r="G163" s="70" t="s">
        <v>6401</v>
      </c>
      <c r="I163" s="70" t="s">
        <v>6801</v>
      </c>
      <c r="K163" s="70">
        <v>3.921808</v>
      </c>
      <c r="L163" s="70">
        <v>-77.108301999999995</v>
      </c>
    </row>
    <row r="164" spans="1:12" x14ac:dyDescent="0.35">
      <c r="A164" t="str">
        <f>VLOOKUP("Ivory Coast",Countries!$A$1:$D$205,2,FALSE)</f>
        <v>CIV</v>
      </c>
      <c r="B164" s="70" t="s">
        <v>6802</v>
      </c>
      <c r="C164" t="s">
        <v>6399</v>
      </c>
      <c r="D164">
        <v>1</v>
      </c>
      <c r="F164" t="s">
        <v>6803</v>
      </c>
      <c r="G164" t="s">
        <v>6401</v>
      </c>
      <c r="H164">
        <v>0.38</v>
      </c>
      <c r="I164" s="70" t="s">
        <v>6804</v>
      </c>
      <c r="K164" s="70">
        <v>5.2729879999999998</v>
      </c>
      <c r="L164" s="70">
        <v>-4.0287439999999997</v>
      </c>
    </row>
    <row r="165" spans="1:12" x14ac:dyDescent="0.35">
      <c r="A165" t="str">
        <f>VLOOKUP(" Croatia",Countries!$A$1:$D$205,2,FALSE)</f>
        <v>HRV</v>
      </c>
      <c r="B165" s="30" t="s">
        <v>6805</v>
      </c>
      <c r="C165" t="s">
        <v>6422</v>
      </c>
      <c r="D165">
        <v>1</v>
      </c>
      <c r="E165">
        <v>2021</v>
      </c>
      <c r="F165" s="30" t="s">
        <v>6806</v>
      </c>
      <c r="G165" t="s">
        <v>6401</v>
      </c>
      <c r="H165" s="30">
        <v>2.13</v>
      </c>
      <c r="I165" s="30" t="s">
        <v>6807</v>
      </c>
      <c r="K165" s="30">
        <v>45.188543000000003</v>
      </c>
      <c r="L165" s="30">
        <v>14.545081</v>
      </c>
    </row>
    <row r="166" spans="1:12" x14ac:dyDescent="0.35">
      <c r="A166" t="str">
        <f>VLOOKUP(" Croatia",Countries!$A$1:$D$205,2,FALSE)</f>
        <v>HRV</v>
      </c>
      <c r="B166" s="70" t="s">
        <v>6805</v>
      </c>
      <c r="C166" t="s">
        <v>6399</v>
      </c>
      <c r="D166">
        <v>1</v>
      </c>
      <c r="E166">
        <v>2029</v>
      </c>
      <c r="F166" s="70" t="s">
        <v>6806</v>
      </c>
      <c r="G166" t="s">
        <v>6401</v>
      </c>
      <c r="H166" s="70">
        <v>2.35</v>
      </c>
      <c r="I166" s="70" t="s">
        <v>6807</v>
      </c>
      <c r="K166" s="70">
        <v>45.188543000000003</v>
      </c>
      <c r="L166" s="70">
        <v>14.545081</v>
      </c>
    </row>
    <row r="167" spans="1:12" x14ac:dyDescent="0.35">
      <c r="A167" t="str">
        <f>VLOOKUP(" Cyprus",Countries!$A$1:$D$205,2,FALSE)</f>
        <v>CYP</v>
      </c>
      <c r="B167" s="70" t="s">
        <v>6808</v>
      </c>
      <c r="C167" t="s">
        <v>6417</v>
      </c>
      <c r="D167">
        <v>1</v>
      </c>
      <c r="E167">
        <v>2023</v>
      </c>
      <c r="F167" s="70" t="s">
        <v>6809</v>
      </c>
      <c r="G167" t="s">
        <v>6401</v>
      </c>
      <c r="H167">
        <v>0.6</v>
      </c>
      <c r="I167" s="70" t="s">
        <v>6810</v>
      </c>
      <c r="K167" s="70">
        <v>34.712094</v>
      </c>
      <c r="L167" s="70">
        <v>33.301555999999998</v>
      </c>
    </row>
    <row r="168" spans="1:12" x14ac:dyDescent="0.35">
      <c r="A168" t="str">
        <f>VLOOKUP(" Dominican Republic",Countries!$A$1:$D$205,2,FALSE)</f>
        <v>DOM</v>
      </c>
      <c r="B168" s="70" t="s">
        <v>6811</v>
      </c>
      <c r="C168" t="s">
        <v>6422</v>
      </c>
      <c r="D168">
        <v>1</v>
      </c>
      <c r="E168">
        <v>2003</v>
      </c>
      <c r="F168" t="s">
        <v>6812</v>
      </c>
      <c r="G168" t="s">
        <v>6401</v>
      </c>
      <c r="H168">
        <v>1.9</v>
      </c>
      <c r="I168" s="70" t="s">
        <v>6813</v>
      </c>
      <c r="K168" s="70">
        <v>18.406993</v>
      </c>
      <c r="L168" s="70">
        <v>-69.628234000000006</v>
      </c>
    </row>
    <row r="169" spans="1:12" x14ac:dyDescent="0.35">
      <c r="A169" t="str">
        <f>VLOOKUP(" Ecuador",Countries!$A$1:$D$205,2,FALSE)</f>
        <v>ECU</v>
      </c>
      <c r="B169" s="70" t="s">
        <v>6814</v>
      </c>
      <c r="C169" s="70" t="s">
        <v>6399</v>
      </c>
      <c r="D169">
        <v>1</v>
      </c>
      <c r="E169">
        <v>2024</v>
      </c>
      <c r="F169" t="s">
        <v>6815</v>
      </c>
      <c r="G169" t="s">
        <v>6401</v>
      </c>
      <c r="H169">
        <v>0.38</v>
      </c>
      <c r="I169" s="70" t="s">
        <v>6816</v>
      </c>
      <c r="K169" s="70">
        <v>-3.1364899999999998</v>
      </c>
      <c r="L169" s="70">
        <v>-80.132791999999995</v>
      </c>
    </row>
    <row r="170" spans="1:12" x14ac:dyDescent="0.35">
      <c r="A170" t="str">
        <f>VLOOKUP("Egypt",Countries!$A$1:$D$205,2,FALSE)</f>
        <v>EGY</v>
      </c>
      <c r="B170" s="30" t="s">
        <v>6817</v>
      </c>
      <c r="C170" t="s">
        <v>6422</v>
      </c>
      <c r="D170">
        <v>1</v>
      </c>
      <c r="E170" s="30">
        <v>2005</v>
      </c>
      <c r="F170" s="30" t="s">
        <v>6818</v>
      </c>
      <c r="G170" t="s">
        <v>6424</v>
      </c>
      <c r="H170" s="30">
        <v>5</v>
      </c>
      <c r="I170" s="30" t="s">
        <v>6819</v>
      </c>
      <c r="K170" s="30">
        <v>31.469000000000001</v>
      </c>
      <c r="L170" s="30">
        <v>31.747299999999999</v>
      </c>
    </row>
    <row r="171" spans="1:12" x14ac:dyDescent="0.35">
      <c r="A171" t="str">
        <f>VLOOKUP("Egypt",Countries!$A$1:$D$205,2,FALSE)</f>
        <v>EGY</v>
      </c>
      <c r="B171" s="30" t="s">
        <v>6820</v>
      </c>
      <c r="C171" t="s">
        <v>6422</v>
      </c>
      <c r="D171">
        <v>1</v>
      </c>
      <c r="E171" s="30">
        <v>2005</v>
      </c>
      <c r="F171" s="30" t="s">
        <v>6821</v>
      </c>
      <c r="G171" t="s">
        <v>6424</v>
      </c>
      <c r="H171" s="30">
        <v>3.6</v>
      </c>
      <c r="I171" s="30" t="s">
        <v>6822</v>
      </c>
      <c r="K171" s="30">
        <v>31.3</v>
      </c>
      <c r="L171" s="30">
        <v>30.3</v>
      </c>
    </row>
    <row r="172" spans="1:12" x14ac:dyDescent="0.35">
      <c r="A172" t="str">
        <f>VLOOKUP("Egypt",Countries!$A$1:$D$205,2,FALSE)</f>
        <v>EGY</v>
      </c>
      <c r="B172" s="30" t="s">
        <v>6820</v>
      </c>
      <c r="C172" t="s">
        <v>6422</v>
      </c>
      <c r="D172">
        <v>1</v>
      </c>
      <c r="E172" s="30">
        <v>2005</v>
      </c>
      <c r="F172" s="30" t="s">
        <v>6821</v>
      </c>
      <c r="G172" t="s">
        <v>6424</v>
      </c>
      <c r="H172" s="30">
        <v>3.6</v>
      </c>
      <c r="I172" s="30" t="s">
        <v>6823</v>
      </c>
      <c r="K172" s="30">
        <v>31.3</v>
      </c>
      <c r="L172" s="30">
        <v>30.3</v>
      </c>
    </row>
    <row r="173" spans="1:12" x14ac:dyDescent="0.35">
      <c r="A173" t="str">
        <f>VLOOKUP("Egypt",Countries!$A$1:$D$205,2,FALSE)</f>
        <v>EGY</v>
      </c>
      <c r="B173" s="70" t="s">
        <v>6824</v>
      </c>
      <c r="C173" t="s">
        <v>6422</v>
      </c>
      <c r="D173">
        <v>1</v>
      </c>
      <c r="E173" s="70">
        <v>2015</v>
      </c>
      <c r="F173" s="70" t="s">
        <v>6825</v>
      </c>
      <c r="G173" t="s">
        <v>6401</v>
      </c>
      <c r="H173" s="70">
        <v>5.7</v>
      </c>
      <c r="I173" s="70" t="s">
        <v>6826</v>
      </c>
      <c r="K173" s="70">
        <v>29.648630000000001</v>
      </c>
      <c r="L173" s="70">
        <v>32.355922999999997</v>
      </c>
    </row>
    <row r="174" spans="1:12" x14ac:dyDescent="0.35">
      <c r="A174" t="str">
        <f>VLOOKUP(" El Salvador",Countries!$A$1:$D$205,2,FALSE)</f>
        <v>SLV</v>
      </c>
      <c r="B174" s="70" t="s">
        <v>6827</v>
      </c>
      <c r="C174" t="s">
        <v>6422</v>
      </c>
      <c r="D174">
        <v>1</v>
      </c>
      <c r="E174">
        <v>2022</v>
      </c>
      <c r="F174" t="s">
        <v>3293</v>
      </c>
      <c r="G174" t="s">
        <v>6401</v>
      </c>
      <c r="H174">
        <v>0.5</v>
      </c>
      <c r="I174" s="70" t="s">
        <v>6828</v>
      </c>
      <c r="K174" s="70">
        <v>13.576093999999999</v>
      </c>
      <c r="L174" s="70">
        <v>-89.840455000000006</v>
      </c>
    </row>
    <row r="175" spans="1:12" x14ac:dyDescent="0.35">
      <c r="A175" t="str">
        <f>VLOOKUP(" Equatorial Guinea",Countries!$A$1:$D$205,2,FALSE)</f>
        <v>GNQ</v>
      </c>
      <c r="B175" s="30" t="s">
        <v>6829</v>
      </c>
      <c r="C175" t="s">
        <v>6399</v>
      </c>
      <c r="D175">
        <v>1</v>
      </c>
      <c r="F175" s="30" t="s">
        <v>6830</v>
      </c>
      <c r="G175" s="30" t="s">
        <v>6424</v>
      </c>
      <c r="H175" s="30" t="s">
        <v>6546</v>
      </c>
      <c r="I175" s="30" t="s">
        <v>6488</v>
      </c>
      <c r="K175" s="30">
        <v>3.2</v>
      </c>
      <c r="L175" s="30">
        <v>7.6</v>
      </c>
    </row>
    <row r="176" spans="1:12" x14ac:dyDescent="0.35">
      <c r="A176" t="str">
        <f>VLOOKUP(" Equatorial Guinea",Countries!$A$1:$D$205,2,FALSE)</f>
        <v>GNQ</v>
      </c>
      <c r="B176" s="30" t="s">
        <v>6831</v>
      </c>
      <c r="C176" t="s">
        <v>6422</v>
      </c>
      <c r="D176">
        <v>1</v>
      </c>
      <c r="E176">
        <v>2007</v>
      </c>
      <c r="F176" s="30" t="s">
        <v>6832</v>
      </c>
      <c r="G176" s="30" t="s">
        <v>6424</v>
      </c>
      <c r="H176" s="30">
        <v>3.7</v>
      </c>
      <c r="I176" s="30" t="s">
        <v>6833</v>
      </c>
      <c r="K176" s="30">
        <v>3.7759999999999998</v>
      </c>
      <c r="L176" s="30">
        <v>8.7014999999999993</v>
      </c>
    </row>
    <row r="177" spans="1:12" x14ac:dyDescent="0.35">
      <c r="A177" t="str">
        <f>VLOOKUP(" Equatorial Guinea",Countries!$A$1:$D$205,2,FALSE)</f>
        <v>GNQ</v>
      </c>
      <c r="B177" s="70" t="s">
        <v>6831</v>
      </c>
      <c r="C177" t="s">
        <v>6399</v>
      </c>
      <c r="D177">
        <v>1</v>
      </c>
      <c r="F177" s="70" t="s">
        <v>6832</v>
      </c>
      <c r="G177" s="70" t="s">
        <v>6424</v>
      </c>
      <c r="H177" s="70">
        <v>4.4000000000000004</v>
      </c>
      <c r="I177" s="70" t="s">
        <v>6833</v>
      </c>
      <c r="K177" s="70">
        <v>3.7759999999999998</v>
      </c>
      <c r="L177" s="70">
        <v>8.7014999999999993</v>
      </c>
    </row>
    <row r="178" spans="1:12" x14ac:dyDescent="0.35">
      <c r="A178" t="str">
        <f>VLOOKUP(" Estonia",Countries!$A$1:$D$205,2,FALSE)</f>
        <v>EST</v>
      </c>
      <c r="B178" s="30" t="s">
        <v>6834</v>
      </c>
      <c r="C178" t="s">
        <v>6399</v>
      </c>
      <c r="D178">
        <v>1</v>
      </c>
      <c r="E178" s="30">
        <v>2025</v>
      </c>
      <c r="F178" s="30" t="s">
        <v>6835</v>
      </c>
      <c r="G178" s="30" t="s">
        <v>6401</v>
      </c>
      <c r="H178" s="30">
        <v>1.8</v>
      </c>
      <c r="I178" s="30" t="s">
        <v>6836</v>
      </c>
      <c r="K178" s="30">
        <v>59.384450000000001</v>
      </c>
      <c r="L178" s="30">
        <v>24.074940000000002</v>
      </c>
    </row>
    <row r="179" spans="1:12" x14ac:dyDescent="0.35">
      <c r="A179" t="str">
        <f>VLOOKUP(" Estonia",Countries!$A$1:$D$205,2,FALSE)</f>
        <v>EST</v>
      </c>
      <c r="B179" s="70" t="s">
        <v>6837</v>
      </c>
      <c r="C179" t="s">
        <v>6417</v>
      </c>
      <c r="D179">
        <v>1</v>
      </c>
      <c r="E179" s="70">
        <v>2022</v>
      </c>
      <c r="F179" s="70" t="s">
        <v>6838</v>
      </c>
      <c r="G179" s="70" t="s">
        <v>6401</v>
      </c>
      <c r="H179" s="70" t="s">
        <v>6546</v>
      </c>
      <c r="I179" s="70" t="s">
        <v>6839</v>
      </c>
      <c r="K179" s="70">
        <v>59.384450000000001</v>
      </c>
      <c r="L179" s="70">
        <v>24.074940000000002</v>
      </c>
    </row>
    <row r="180" spans="1:12" x14ac:dyDescent="0.35">
      <c r="A180" t="str">
        <f>VLOOKUP(" Finland",Countries!$A$1:$D$205,2,FALSE)</f>
        <v>FIN</v>
      </c>
      <c r="B180" s="30" t="s">
        <v>6840</v>
      </c>
      <c r="C180" t="s">
        <v>6417</v>
      </c>
      <c r="D180">
        <v>1</v>
      </c>
      <c r="E180" s="30">
        <v>2022</v>
      </c>
      <c r="F180" s="30" t="s">
        <v>6841</v>
      </c>
      <c r="G180" s="30" t="s">
        <v>6401</v>
      </c>
      <c r="H180" s="30">
        <v>0.1</v>
      </c>
      <c r="I180" s="30" t="s">
        <v>6842</v>
      </c>
      <c r="K180" s="30">
        <v>60.518313900000003</v>
      </c>
      <c r="L180" s="30">
        <v>27.160819799999999</v>
      </c>
    </row>
    <row r="181" spans="1:12" x14ac:dyDescent="0.35">
      <c r="A181" t="str">
        <f>VLOOKUP(" Finland",Countries!$A$1:$D$205,2,FALSE)</f>
        <v>FIN</v>
      </c>
      <c r="B181" s="30" t="s">
        <v>6843</v>
      </c>
      <c r="C181" t="s">
        <v>6422</v>
      </c>
      <c r="D181">
        <v>1</v>
      </c>
      <c r="E181" s="30">
        <v>2016</v>
      </c>
      <c r="F181" s="30" t="s">
        <v>6844</v>
      </c>
      <c r="G181" s="30" t="s">
        <v>6401</v>
      </c>
      <c r="H181" s="30">
        <v>0.1</v>
      </c>
      <c r="I181" s="30" t="s">
        <v>6845</v>
      </c>
      <c r="K181" s="30">
        <v>61.638170000000002</v>
      </c>
      <c r="L181" s="30">
        <v>21.398810000000001</v>
      </c>
    </row>
    <row r="182" spans="1:12" x14ac:dyDescent="0.35">
      <c r="A182" t="str">
        <f>VLOOKUP(" Finland",Countries!$A$1:$D$205,2,FALSE)</f>
        <v>FIN</v>
      </c>
      <c r="B182" s="30" t="s">
        <v>6846</v>
      </c>
      <c r="C182" t="s">
        <v>6422</v>
      </c>
      <c r="D182">
        <v>1</v>
      </c>
      <c r="E182" s="30">
        <v>2019</v>
      </c>
      <c r="F182" s="30" t="s">
        <v>6847</v>
      </c>
      <c r="G182" s="30" t="s">
        <v>6401</v>
      </c>
      <c r="H182" s="30">
        <v>0.4</v>
      </c>
      <c r="I182" s="30" t="s">
        <v>6848</v>
      </c>
      <c r="K182" s="30">
        <v>65.847365999999994</v>
      </c>
      <c r="L182" s="30">
        <v>24.152152000000001</v>
      </c>
    </row>
    <row r="183" spans="1:12" x14ac:dyDescent="0.35">
      <c r="A183" t="str">
        <f>VLOOKUP(" Finland",Countries!$A$1:$D$205,2,FALSE)</f>
        <v>FIN</v>
      </c>
      <c r="B183" s="70" t="s">
        <v>6849</v>
      </c>
      <c r="C183" t="s">
        <v>6399</v>
      </c>
      <c r="D183">
        <v>1</v>
      </c>
      <c r="E183" s="70">
        <v>2023</v>
      </c>
      <c r="F183" s="70" t="s">
        <v>6850</v>
      </c>
      <c r="G183" s="70" t="s">
        <v>6401</v>
      </c>
      <c r="H183" s="70">
        <v>3.68</v>
      </c>
      <c r="I183" s="70" t="s">
        <v>6851</v>
      </c>
      <c r="K183" s="70">
        <v>60.013697000000001</v>
      </c>
      <c r="L183" s="70">
        <v>23.91506</v>
      </c>
    </row>
    <row r="184" spans="1:12" x14ac:dyDescent="0.35">
      <c r="A184" t="str">
        <f>VLOOKUP(" France",Countries!$A$1:$D$205,2,FALSE)</f>
        <v>FRA</v>
      </c>
      <c r="B184" s="30" t="s">
        <v>6852</v>
      </c>
      <c r="C184" t="s">
        <v>6422</v>
      </c>
      <c r="D184">
        <v>1</v>
      </c>
      <c r="E184" s="30">
        <v>2017</v>
      </c>
      <c r="F184" s="30" t="s">
        <v>6853</v>
      </c>
      <c r="G184" s="70" t="s">
        <v>6401</v>
      </c>
      <c r="H184" s="30">
        <v>9.6</v>
      </c>
      <c r="I184" s="30" t="s">
        <v>6854</v>
      </c>
      <c r="K184" s="30">
        <v>51.033610000000003</v>
      </c>
      <c r="L184" s="30">
        <v>2.1965300000000001</v>
      </c>
    </row>
    <row r="185" spans="1:12" x14ac:dyDescent="0.35">
      <c r="A185" t="str">
        <f>VLOOKUP(" France",Countries!$A$1:$D$205,2,FALSE)</f>
        <v>FRA</v>
      </c>
      <c r="B185" s="30" t="s">
        <v>6855</v>
      </c>
      <c r="C185" t="s">
        <v>6422</v>
      </c>
      <c r="D185">
        <v>1</v>
      </c>
      <c r="E185" s="30">
        <v>2010</v>
      </c>
      <c r="F185" s="30" t="s">
        <v>1257</v>
      </c>
      <c r="G185" s="70" t="s">
        <v>6401</v>
      </c>
      <c r="H185" s="30">
        <v>6.8</v>
      </c>
      <c r="I185" s="30" t="s">
        <v>6856</v>
      </c>
      <c r="K185" s="30">
        <v>43.419629999999998</v>
      </c>
      <c r="L185" s="30">
        <v>4.9010199999999999</v>
      </c>
    </row>
    <row r="186" spans="1:12" x14ac:dyDescent="0.35">
      <c r="A186" t="str">
        <f>VLOOKUP(" France",Countries!$A$1:$D$205,2,FALSE)</f>
        <v>FRA</v>
      </c>
      <c r="B186" s="30" t="s">
        <v>6855</v>
      </c>
      <c r="C186" t="s">
        <v>6399</v>
      </c>
      <c r="D186">
        <v>1</v>
      </c>
      <c r="E186" s="30">
        <v>2024</v>
      </c>
      <c r="F186" s="30" t="s">
        <v>1257</v>
      </c>
      <c r="G186" s="70" t="s">
        <v>6401</v>
      </c>
      <c r="H186" s="30">
        <v>1.2</v>
      </c>
      <c r="I186" s="30" t="s">
        <v>6856</v>
      </c>
      <c r="K186" s="30">
        <v>43.419629999999998</v>
      </c>
      <c r="L186" s="30">
        <v>4.9010199999999999</v>
      </c>
    </row>
    <row r="187" spans="1:12" x14ac:dyDescent="0.35">
      <c r="A187" t="str">
        <f>VLOOKUP(" France",Countries!$A$1:$D$205,2,FALSE)</f>
        <v>FRA</v>
      </c>
      <c r="B187" s="30" t="s">
        <v>6855</v>
      </c>
      <c r="C187" t="s">
        <v>6399</v>
      </c>
      <c r="D187">
        <v>1</v>
      </c>
      <c r="E187" s="30">
        <v>2030</v>
      </c>
      <c r="F187" s="30" t="s">
        <v>1257</v>
      </c>
      <c r="G187" s="70" t="s">
        <v>6401</v>
      </c>
      <c r="H187" s="30">
        <v>1.6</v>
      </c>
      <c r="I187" s="30" t="s">
        <v>6856</v>
      </c>
      <c r="K187" s="30">
        <v>43.419629999999998</v>
      </c>
      <c r="L187" s="30">
        <v>4.9010199999999999</v>
      </c>
    </row>
    <row r="188" spans="1:12" x14ac:dyDescent="0.35">
      <c r="A188" t="str">
        <f>VLOOKUP(" France",Countries!$A$1:$D$205,2,FALSE)</f>
        <v>FRA</v>
      </c>
      <c r="B188" s="30" t="s">
        <v>6857</v>
      </c>
      <c r="C188" t="s">
        <v>6422</v>
      </c>
      <c r="D188">
        <v>1</v>
      </c>
      <c r="E188" s="30">
        <v>1972</v>
      </c>
      <c r="F188" s="30" t="s">
        <v>1257</v>
      </c>
      <c r="G188" s="70" t="s">
        <v>6401</v>
      </c>
      <c r="H188" s="30">
        <v>1.2</v>
      </c>
      <c r="I188" s="30" t="s">
        <v>6856</v>
      </c>
      <c r="K188" s="30">
        <v>43.454000000000001</v>
      </c>
      <c r="L188" s="30">
        <v>4.8516700000000004</v>
      </c>
    </row>
    <row r="189" spans="1:12" x14ac:dyDescent="0.35">
      <c r="A189" t="str">
        <f>VLOOKUP(" France",Countries!$A$1:$D$205,2,FALSE)</f>
        <v>FRA</v>
      </c>
      <c r="B189" s="30" t="s">
        <v>6858</v>
      </c>
      <c r="C189" t="s">
        <v>6422</v>
      </c>
      <c r="D189">
        <v>1</v>
      </c>
      <c r="E189" s="30">
        <v>1980</v>
      </c>
      <c r="F189" s="30" t="s">
        <v>6859</v>
      </c>
      <c r="G189" s="70" t="s">
        <v>6401</v>
      </c>
      <c r="H189" s="30">
        <v>8</v>
      </c>
      <c r="I189" s="30" t="s">
        <v>6856</v>
      </c>
      <c r="K189" s="30">
        <v>47.302959999999999</v>
      </c>
      <c r="L189" s="30">
        <v>-2.1427800000000001</v>
      </c>
    </row>
    <row r="190" spans="1:12" x14ac:dyDescent="0.35">
      <c r="A190" t="str">
        <f>VLOOKUP(" France",Countries!$A$1:$D$205,2,FALSE)</f>
        <v>FRA</v>
      </c>
      <c r="B190" s="70" t="s">
        <v>6860</v>
      </c>
      <c r="C190" t="s">
        <v>6399</v>
      </c>
      <c r="D190">
        <v>1</v>
      </c>
      <c r="E190" s="70">
        <v>2023</v>
      </c>
      <c r="F190" s="70" t="s">
        <v>6861</v>
      </c>
      <c r="G190" s="70" t="s">
        <v>6401</v>
      </c>
      <c r="H190" s="70">
        <v>3.09</v>
      </c>
      <c r="I190" s="70" t="s">
        <v>6862</v>
      </c>
      <c r="K190" s="70">
        <v>49.46222839</v>
      </c>
      <c r="L190" s="70">
        <v>4.2958425760000002E-2</v>
      </c>
    </row>
    <row r="191" spans="1:12" x14ac:dyDescent="0.35">
      <c r="A191" t="str">
        <f>VLOOKUP(" Gabon",Countries!$A$1:$D$205,2,FALSE)</f>
        <v>GAB</v>
      </c>
      <c r="B191" s="70" t="s">
        <v>6863</v>
      </c>
      <c r="C191" t="s">
        <v>6399</v>
      </c>
      <c r="D191">
        <v>1</v>
      </c>
      <c r="G191" t="s">
        <v>6424</v>
      </c>
      <c r="I191" s="70" t="s">
        <v>6864</v>
      </c>
      <c r="K191" s="70">
        <v>-4.3028120000000003</v>
      </c>
      <c r="L191" s="70">
        <v>10.351025</v>
      </c>
    </row>
    <row r="192" spans="1:12" x14ac:dyDescent="0.35">
      <c r="A192" t="str">
        <f>VLOOKUP(" Germany",Countries!$A$1:$D$205,2,FALSE)</f>
        <v>DEU</v>
      </c>
      <c r="B192" s="30" t="s">
        <v>6865</v>
      </c>
      <c r="C192" t="s">
        <v>6417</v>
      </c>
      <c r="D192">
        <v>1</v>
      </c>
      <c r="E192" s="30">
        <v>2022</v>
      </c>
      <c r="F192" s="30" t="s">
        <v>1328</v>
      </c>
      <c r="G192" t="s">
        <v>6401</v>
      </c>
      <c r="H192" s="30">
        <v>5.51</v>
      </c>
      <c r="I192" s="30" t="s">
        <v>6866</v>
      </c>
      <c r="K192" s="30">
        <v>53.516666999999998</v>
      </c>
      <c r="L192" s="30">
        <v>8.1333330000000004</v>
      </c>
    </row>
    <row r="193" spans="1:12" x14ac:dyDescent="0.35">
      <c r="A193" t="str">
        <f>VLOOKUP(" Germany",Countries!$A$1:$D$205,2,FALSE)</f>
        <v>DEU</v>
      </c>
      <c r="B193" s="30" t="s">
        <v>6867</v>
      </c>
      <c r="C193" t="s">
        <v>6399</v>
      </c>
      <c r="D193">
        <v>1</v>
      </c>
      <c r="E193" s="30">
        <v>2024</v>
      </c>
      <c r="F193" s="30" t="s">
        <v>1803</v>
      </c>
      <c r="G193" t="s">
        <v>6401</v>
      </c>
      <c r="H193" s="30">
        <v>5.88</v>
      </c>
      <c r="I193" s="30" t="s">
        <v>6868</v>
      </c>
      <c r="K193" s="30">
        <v>53.914000899999998</v>
      </c>
      <c r="L193" s="30">
        <v>8.9760945000000003</v>
      </c>
    </row>
    <row r="194" spans="1:12" x14ac:dyDescent="0.35">
      <c r="A194" t="str">
        <f>VLOOKUP(" Germany",Countries!$A$1:$D$205,2,FALSE)</f>
        <v>DEU</v>
      </c>
      <c r="B194" s="30" t="s">
        <v>6869</v>
      </c>
      <c r="C194" t="s">
        <v>6399</v>
      </c>
      <c r="D194">
        <v>1</v>
      </c>
      <c r="E194" s="30">
        <v>2026</v>
      </c>
      <c r="F194" s="30" t="s">
        <v>1343</v>
      </c>
      <c r="G194" t="s">
        <v>6401</v>
      </c>
      <c r="H194" s="30">
        <v>9.7799999999999994</v>
      </c>
      <c r="I194" s="30" t="s">
        <v>6870</v>
      </c>
      <c r="K194" s="30">
        <v>53.652459</v>
      </c>
      <c r="L194" s="30">
        <v>9.5103819999999999</v>
      </c>
    </row>
    <row r="195" spans="1:12" x14ac:dyDescent="0.35">
      <c r="A195" t="str">
        <f>VLOOKUP(" Germany",Countries!$A$1:$D$205,2,FALSE)</f>
        <v>DEU</v>
      </c>
      <c r="B195" s="30" t="s">
        <v>6871</v>
      </c>
      <c r="C195" t="s">
        <v>6399</v>
      </c>
      <c r="D195">
        <v>1</v>
      </c>
      <c r="E195" s="30">
        <v>2023</v>
      </c>
      <c r="F195" s="30" t="s">
        <v>1328</v>
      </c>
      <c r="G195" t="s">
        <v>6401</v>
      </c>
      <c r="H195" s="30">
        <v>6.62</v>
      </c>
      <c r="I195" s="30" t="s">
        <v>6872</v>
      </c>
      <c r="K195" s="30">
        <v>53.516666999999998</v>
      </c>
      <c r="L195" s="30">
        <v>8.1333330000000004</v>
      </c>
    </row>
    <row r="196" spans="1:12" x14ac:dyDescent="0.35">
      <c r="A196" t="str">
        <f>VLOOKUP(" Germany",Countries!$A$1:$D$205,2,FALSE)</f>
        <v>DEU</v>
      </c>
      <c r="B196" s="30" t="s">
        <v>6873</v>
      </c>
      <c r="C196" t="s">
        <v>6399</v>
      </c>
      <c r="D196">
        <v>1</v>
      </c>
      <c r="E196" s="30">
        <v>2025</v>
      </c>
      <c r="F196" s="30" t="s">
        <v>1328</v>
      </c>
      <c r="G196" t="s">
        <v>6401</v>
      </c>
      <c r="H196" s="30">
        <v>11.76</v>
      </c>
      <c r="I196" s="30" t="s">
        <v>6874</v>
      </c>
      <c r="K196" s="30">
        <v>53.516666999999998</v>
      </c>
      <c r="L196" s="30">
        <v>8.1333330000000004</v>
      </c>
    </row>
    <row r="197" spans="1:12" x14ac:dyDescent="0.35">
      <c r="A197" t="str">
        <f>VLOOKUP(" Germany",Countries!$A$1:$D$205,2,FALSE)</f>
        <v>DEU</v>
      </c>
      <c r="B197" s="30" t="s">
        <v>6875</v>
      </c>
      <c r="C197" t="s">
        <v>6399</v>
      </c>
      <c r="D197">
        <v>1</v>
      </c>
      <c r="E197" s="30">
        <v>2021</v>
      </c>
      <c r="F197" s="30" t="s">
        <v>6876</v>
      </c>
      <c r="G197" t="s">
        <v>6401</v>
      </c>
      <c r="H197" s="30">
        <v>3.31</v>
      </c>
      <c r="I197" s="30" t="s">
        <v>6877</v>
      </c>
      <c r="K197" s="30">
        <v>54.153331999999999</v>
      </c>
      <c r="L197" s="30">
        <v>13.645319000000001</v>
      </c>
    </row>
    <row r="198" spans="1:12" x14ac:dyDescent="0.35">
      <c r="A198" t="str">
        <f>VLOOKUP(" Germany",Countries!$A$1:$D$205,2,FALSE)</f>
        <v>DEU</v>
      </c>
      <c r="B198" s="30" t="s">
        <v>6878</v>
      </c>
      <c r="C198" t="s">
        <v>6399</v>
      </c>
      <c r="D198">
        <v>1</v>
      </c>
      <c r="E198" s="30">
        <v>2026</v>
      </c>
      <c r="F198" s="30" t="s">
        <v>1803</v>
      </c>
      <c r="G198" t="s">
        <v>6401</v>
      </c>
      <c r="H198" s="30">
        <v>5.88</v>
      </c>
      <c r="I198" s="30" t="s">
        <v>6879</v>
      </c>
      <c r="K198" s="30">
        <v>53.914000899999998</v>
      </c>
      <c r="L198" s="30">
        <v>8.9760945000000003</v>
      </c>
    </row>
    <row r="199" spans="1:12" x14ac:dyDescent="0.35">
      <c r="A199" t="str">
        <f>VLOOKUP(" Germany",Countries!$A$1:$D$205,2,FALSE)</f>
        <v>DEU</v>
      </c>
      <c r="B199" s="70" t="s">
        <v>6880</v>
      </c>
      <c r="C199" t="s">
        <v>6399</v>
      </c>
      <c r="D199">
        <v>1</v>
      </c>
      <c r="E199" s="70">
        <v>2023</v>
      </c>
      <c r="F199" s="70" t="s">
        <v>1343</v>
      </c>
      <c r="G199" t="s">
        <v>6401</v>
      </c>
      <c r="H199" s="70" t="s">
        <v>6546</v>
      </c>
      <c r="I199" s="70" t="s">
        <v>6543</v>
      </c>
      <c r="K199" s="70">
        <v>53.652653430000001</v>
      </c>
      <c r="L199" s="70">
        <v>9.515232997</v>
      </c>
    </row>
    <row r="200" spans="1:12" x14ac:dyDescent="0.35">
      <c r="A200" t="str">
        <f>VLOOKUP("Ghana",Countries!$A$1:$D$205,2,FALSE)</f>
        <v>GHA</v>
      </c>
      <c r="B200" s="70" t="s">
        <v>6881</v>
      </c>
      <c r="C200" t="s">
        <v>6417</v>
      </c>
      <c r="D200">
        <v>1</v>
      </c>
      <c r="E200">
        <v>2022</v>
      </c>
      <c r="F200" t="s">
        <v>3356</v>
      </c>
      <c r="G200" t="s">
        <v>6401</v>
      </c>
      <c r="H200">
        <v>1.7</v>
      </c>
      <c r="I200" s="70" t="s">
        <v>6882</v>
      </c>
      <c r="K200" s="70">
        <v>5.7340049999999998</v>
      </c>
      <c r="L200" s="70">
        <v>3.1969999999999998E-2</v>
      </c>
    </row>
    <row r="201" spans="1:12" x14ac:dyDescent="0.35">
      <c r="A201" t="str">
        <f>VLOOKUP("Gibraltar",Countries!$A$1:$D$205,2,FALSE)</f>
        <v>GIB</v>
      </c>
      <c r="B201" s="70" t="s">
        <v>6883</v>
      </c>
      <c r="C201" t="s">
        <v>6422</v>
      </c>
      <c r="D201">
        <v>1</v>
      </c>
      <c r="E201">
        <v>2019</v>
      </c>
      <c r="G201" t="s">
        <v>6401</v>
      </c>
      <c r="H201">
        <v>0.1</v>
      </c>
      <c r="I201" s="70" t="s">
        <v>6884</v>
      </c>
      <c r="K201" s="70">
        <v>36.133676999999999</v>
      </c>
      <c r="L201" s="70">
        <v>-5.3498279999999996</v>
      </c>
    </row>
    <row r="202" spans="1:12" x14ac:dyDescent="0.35">
      <c r="A202" t="str">
        <f>VLOOKUP(" Greece",Countries!$A$1:$D$205,2,FALSE)</f>
        <v>GRC</v>
      </c>
      <c r="B202" s="30" t="s">
        <v>6885</v>
      </c>
      <c r="C202" t="s">
        <v>6422</v>
      </c>
      <c r="D202">
        <v>1</v>
      </c>
      <c r="E202" s="30">
        <v>2000</v>
      </c>
      <c r="F202" s="30" t="s">
        <v>6886</v>
      </c>
      <c r="G202" t="s">
        <v>6401</v>
      </c>
      <c r="H202" s="30">
        <v>5.0999999999999996</v>
      </c>
      <c r="I202" s="30" t="s">
        <v>6887</v>
      </c>
      <c r="K202" s="30">
        <v>37.96</v>
      </c>
      <c r="L202" s="30">
        <v>23.4023</v>
      </c>
    </row>
    <row r="203" spans="1:12" x14ac:dyDescent="0.35">
      <c r="A203" t="str">
        <f>VLOOKUP(" Greece",Countries!$A$1:$D$205,2,FALSE)</f>
        <v>GRC</v>
      </c>
      <c r="B203" s="30" t="s">
        <v>6888</v>
      </c>
      <c r="C203" t="s">
        <v>6417</v>
      </c>
      <c r="D203">
        <v>1</v>
      </c>
      <c r="E203" s="30">
        <v>2023</v>
      </c>
      <c r="F203" s="30" t="s">
        <v>6889</v>
      </c>
      <c r="G203" t="s">
        <v>6401</v>
      </c>
      <c r="H203" s="30">
        <v>4.04</v>
      </c>
      <c r="I203" s="30" t="s">
        <v>6890</v>
      </c>
      <c r="K203" s="30">
        <v>40.748353999999999</v>
      </c>
      <c r="L203" s="30">
        <v>25.718754000000001</v>
      </c>
    </row>
    <row r="204" spans="1:12" x14ac:dyDescent="0.35">
      <c r="A204" t="str">
        <f>VLOOKUP(" Greece",Countries!$A$1:$D$205,2,FALSE)</f>
        <v>GRC</v>
      </c>
      <c r="B204" s="30" t="s">
        <v>6891</v>
      </c>
      <c r="C204" t="s">
        <v>6399</v>
      </c>
      <c r="D204">
        <v>1</v>
      </c>
      <c r="E204" s="30">
        <v>2023</v>
      </c>
      <c r="F204" s="30" t="s">
        <v>6892</v>
      </c>
      <c r="G204" t="s">
        <v>6401</v>
      </c>
      <c r="H204" s="30">
        <v>1.91</v>
      </c>
      <c r="I204" s="30" t="s">
        <v>6893</v>
      </c>
      <c r="K204" s="30">
        <v>37.910919999999997</v>
      </c>
      <c r="L204" s="30">
        <v>23.063538999999999</v>
      </c>
    </row>
    <row r="205" spans="1:12" x14ac:dyDescent="0.35">
      <c r="A205" t="str">
        <f>VLOOKUP(" Greece",Countries!$A$1:$D$205,2,FALSE)</f>
        <v>GRC</v>
      </c>
      <c r="B205" s="30" t="s">
        <v>6894</v>
      </c>
      <c r="C205" t="s">
        <v>6399</v>
      </c>
      <c r="D205">
        <v>1</v>
      </c>
      <c r="E205" s="30"/>
      <c r="F205" s="30" t="s">
        <v>6889</v>
      </c>
      <c r="G205" t="s">
        <v>6401</v>
      </c>
      <c r="H205" s="30">
        <v>4.04</v>
      </c>
      <c r="I205" s="30" t="s">
        <v>6890</v>
      </c>
      <c r="K205" s="30">
        <v>40.748353999999999</v>
      </c>
      <c r="L205" s="30">
        <v>25.718754000000001</v>
      </c>
    </row>
    <row r="206" spans="1:12" x14ac:dyDescent="0.35">
      <c r="A206" t="str">
        <f>VLOOKUP(" Greece",Countries!$A$1:$D$205,2,FALSE)</f>
        <v>GRC</v>
      </c>
      <c r="B206" s="30" t="s">
        <v>6895</v>
      </c>
      <c r="C206" t="s">
        <v>6399</v>
      </c>
      <c r="D206">
        <v>1</v>
      </c>
      <c r="E206" s="30">
        <v>2023</v>
      </c>
      <c r="F206" s="30" t="s">
        <v>6896</v>
      </c>
      <c r="G206" t="s">
        <v>6401</v>
      </c>
      <c r="H206" s="30">
        <v>3.38</v>
      </c>
      <c r="I206" s="30" t="s">
        <v>6897</v>
      </c>
      <c r="K206" s="30">
        <v>39.351264399999998</v>
      </c>
      <c r="L206" s="30">
        <v>22.932490399999999</v>
      </c>
    </row>
    <row r="207" spans="1:12" x14ac:dyDescent="0.35">
      <c r="A207" t="str">
        <f>VLOOKUP(" Greece",Countries!$A$1:$D$205,2,FALSE)</f>
        <v>GRC</v>
      </c>
      <c r="B207" s="70" t="s">
        <v>6898</v>
      </c>
      <c r="C207" t="s">
        <v>6399</v>
      </c>
      <c r="D207">
        <v>1</v>
      </c>
      <c r="E207" s="70">
        <v>2025</v>
      </c>
      <c r="F207" s="70" t="s">
        <v>6899</v>
      </c>
      <c r="G207" t="s">
        <v>6401</v>
      </c>
      <c r="H207" s="70">
        <v>5.37</v>
      </c>
      <c r="I207" s="70" t="s">
        <v>6900</v>
      </c>
      <c r="K207" s="70">
        <v>40.289299999999997</v>
      </c>
      <c r="L207" s="70">
        <v>23.024999999999999</v>
      </c>
    </row>
    <row r="208" spans="1:12" x14ac:dyDescent="0.35">
      <c r="A208" t="str">
        <f>VLOOKUP(" Guinea",Countries!$A$1:$D$205,2,FALSE)</f>
        <v>GIN</v>
      </c>
      <c r="B208" t="s">
        <v>6901</v>
      </c>
      <c r="C208" t="s">
        <v>6399</v>
      </c>
      <c r="D208">
        <v>1</v>
      </c>
      <c r="E208">
        <v>2023</v>
      </c>
      <c r="F208" t="s">
        <v>6902</v>
      </c>
      <c r="G208" t="s">
        <v>6903</v>
      </c>
      <c r="I208" s="30" t="s">
        <v>6904</v>
      </c>
      <c r="K208" s="30">
        <v>10.6523</v>
      </c>
      <c r="L208" s="30">
        <v>-14.6149</v>
      </c>
    </row>
    <row r="209" spans="1:12" x14ac:dyDescent="0.35">
      <c r="A209" t="str">
        <f>VLOOKUP("India",Countries!$A$1:$D$205,2,FALSE)</f>
        <v>IND</v>
      </c>
      <c r="B209" s="30" t="s">
        <v>6905</v>
      </c>
      <c r="C209" s="30" t="s">
        <v>6422</v>
      </c>
      <c r="D209">
        <v>1</v>
      </c>
      <c r="E209" s="30">
        <v>2019</v>
      </c>
      <c r="F209" s="30" t="s">
        <v>6906</v>
      </c>
      <c r="G209" t="s">
        <v>6401</v>
      </c>
      <c r="H209" s="30">
        <v>5</v>
      </c>
      <c r="I209" s="30" t="s">
        <v>6907</v>
      </c>
      <c r="K209" s="30">
        <v>13.278688000000001</v>
      </c>
      <c r="L209" s="30">
        <v>80.337451000000001</v>
      </c>
    </row>
    <row r="210" spans="1:12" x14ac:dyDescent="0.35">
      <c r="A210" t="str">
        <f>VLOOKUP("India",Countries!$A$1:$D$205,2,FALSE)</f>
        <v>IND</v>
      </c>
      <c r="B210" s="30" t="s">
        <v>6908</v>
      </c>
      <c r="C210" s="30" t="s">
        <v>6422</v>
      </c>
      <c r="D210">
        <v>1</v>
      </c>
      <c r="E210" s="30">
        <v>2004</v>
      </c>
      <c r="F210" s="30" t="s">
        <v>6909</v>
      </c>
      <c r="G210" t="s">
        <v>6401</v>
      </c>
      <c r="H210" s="30">
        <v>15</v>
      </c>
      <c r="I210" s="30" t="s">
        <v>6910</v>
      </c>
      <c r="K210" s="30">
        <v>21.674600000000002</v>
      </c>
      <c r="L210" s="30">
        <v>72.536000000000001</v>
      </c>
    </row>
    <row r="211" spans="1:12" x14ac:dyDescent="0.35">
      <c r="A211" t="str">
        <f>VLOOKUP("India",Countries!$A$1:$D$205,2,FALSE)</f>
        <v>IND</v>
      </c>
      <c r="B211" s="30" t="s">
        <v>6908</v>
      </c>
      <c r="C211" s="30" t="s">
        <v>6422</v>
      </c>
      <c r="D211">
        <v>1</v>
      </c>
      <c r="E211" s="30">
        <v>2019</v>
      </c>
      <c r="F211" s="30" t="s">
        <v>6909</v>
      </c>
      <c r="G211" t="s">
        <v>6401</v>
      </c>
      <c r="H211" s="30">
        <v>2.5</v>
      </c>
      <c r="I211" s="30" t="s">
        <v>6910</v>
      </c>
      <c r="K211" s="30">
        <v>21.674600000000002</v>
      </c>
      <c r="L211" s="30">
        <v>72.536000000000001</v>
      </c>
    </row>
    <row r="212" spans="1:12" x14ac:dyDescent="0.35">
      <c r="A212" t="str">
        <f>VLOOKUP("India",Countries!$A$1:$D$205,2,FALSE)</f>
        <v>IND</v>
      </c>
      <c r="B212" s="30" t="s">
        <v>6908</v>
      </c>
      <c r="C212" s="30" t="s">
        <v>6417</v>
      </c>
      <c r="D212">
        <v>1</v>
      </c>
      <c r="E212" s="30"/>
      <c r="F212" s="30" t="s">
        <v>6909</v>
      </c>
      <c r="G212" t="s">
        <v>6401</v>
      </c>
      <c r="H212" s="30">
        <v>5</v>
      </c>
      <c r="I212" s="30" t="s">
        <v>6910</v>
      </c>
      <c r="K212" s="30">
        <v>21.674600000000002</v>
      </c>
      <c r="L212" s="30">
        <v>72.536000000000001</v>
      </c>
    </row>
    <row r="213" spans="1:12" x14ac:dyDescent="0.35">
      <c r="A213" t="str">
        <f>VLOOKUP("India",Countries!$A$1:$D$205,2,FALSE)</f>
        <v>IND</v>
      </c>
      <c r="B213" s="30" t="s">
        <v>6911</v>
      </c>
      <c r="C213" s="30" t="s">
        <v>6422</v>
      </c>
      <c r="D213">
        <v>1</v>
      </c>
      <c r="E213" s="30">
        <v>2009</v>
      </c>
      <c r="F213" s="30" t="s">
        <v>6912</v>
      </c>
      <c r="G213" t="s">
        <v>6401</v>
      </c>
      <c r="H213" s="30">
        <v>5</v>
      </c>
      <c r="I213" s="30" t="s">
        <v>6913</v>
      </c>
      <c r="K213" s="30">
        <v>17.54</v>
      </c>
      <c r="L213" s="30">
        <v>73.16</v>
      </c>
    </row>
    <row r="214" spans="1:12" x14ac:dyDescent="0.35">
      <c r="A214" t="str">
        <f>VLOOKUP("India",Countries!$A$1:$D$205,2,FALSE)</f>
        <v>IND</v>
      </c>
      <c r="B214" s="30" t="s">
        <v>6914</v>
      </c>
      <c r="C214" s="30" t="s">
        <v>6417</v>
      </c>
      <c r="D214">
        <v>1</v>
      </c>
      <c r="E214" s="30">
        <v>2022</v>
      </c>
      <c r="F214" s="30" t="s">
        <v>6915</v>
      </c>
      <c r="G214" t="s">
        <v>6401</v>
      </c>
      <c r="H214" s="30">
        <v>12</v>
      </c>
      <c r="I214" s="30" t="s">
        <v>6916</v>
      </c>
      <c r="K214" s="30">
        <v>20.821109</v>
      </c>
      <c r="L214" s="30">
        <v>86.965264300000001</v>
      </c>
    </row>
    <row r="215" spans="1:12" x14ac:dyDescent="0.35">
      <c r="A215" t="str">
        <f>VLOOKUP("India",Countries!$A$1:$D$205,2,FALSE)</f>
        <v>IND</v>
      </c>
      <c r="B215" s="30" t="s">
        <v>6917</v>
      </c>
      <c r="C215" s="30" t="s">
        <v>6422</v>
      </c>
      <c r="D215">
        <v>1</v>
      </c>
      <c r="E215" s="30">
        <v>2005</v>
      </c>
      <c r="F215" s="30" t="s">
        <v>6918</v>
      </c>
      <c r="G215" t="s">
        <v>6401</v>
      </c>
      <c r="H215" s="30">
        <v>5</v>
      </c>
      <c r="I215" s="30" t="s">
        <v>6919</v>
      </c>
      <c r="K215" s="30">
        <v>21.097999999999999</v>
      </c>
      <c r="L215" s="30">
        <v>72.623999999999995</v>
      </c>
    </row>
    <row r="216" spans="1:12" x14ac:dyDescent="0.35">
      <c r="A216" t="str">
        <f>VLOOKUP("India",Countries!$A$1:$D$205,2,FALSE)</f>
        <v>IND</v>
      </c>
      <c r="B216" s="30" t="s">
        <v>6920</v>
      </c>
      <c r="C216" s="30" t="s">
        <v>6399</v>
      </c>
      <c r="D216">
        <v>1</v>
      </c>
      <c r="E216" s="30"/>
      <c r="F216" s="30" t="s">
        <v>6921</v>
      </c>
      <c r="G216" t="s">
        <v>6401</v>
      </c>
      <c r="H216" s="30">
        <v>14</v>
      </c>
      <c r="I216" s="30" t="s">
        <v>6922</v>
      </c>
      <c r="K216" s="30">
        <v>17.304011299999999</v>
      </c>
      <c r="L216" s="30">
        <v>73.206139500000006</v>
      </c>
    </row>
    <row r="217" spans="1:12" x14ac:dyDescent="0.35">
      <c r="A217" t="str">
        <f>VLOOKUP("India",Countries!$A$1:$D$205,2,FALSE)</f>
        <v>IND</v>
      </c>
      <c r="B217" s="30" t="s">
        <v>6923</v>
      </c>
      <c r="C217" s="30" t="s">
        <v>6422</v>
      </c>
      <c r="D217">
        <v>1</v>
      </c>
      <c r="E217" s="30">
        <v>2013</v>
      </c>
      <c r="F217" s="30" t="s">
        <v>6924</v>
      </c>
      <c r="G217" t="s">
        <v>6401</v>
      </c>
      <c r="H217" s="30">
        <v>5</v>
      </c>
      <c r="I217" s="30" t="s">
        <v>6910</v>
      </c>
      <c r="K217" s="30">
        <v>9.9786999999999999</v>
      </c>
      <c r="L217" s="30">
        <v>76.226100000000002</v>
      </c>
    </row>
    <row r="218" spans="1:12" x14ac:dyDescent="0.35">
      <c r="A218" t="str">
        <f>VLOOKUP("India",Countries!$A$1:$D$205,2,FALSE)</f>
        <v>IND</v>
      </c>
      <c r="B218" s="30" t="s">
        <v>6925</v>
      </c>
      <c r="C218" s="30" t="s">
        <v>6422</v>
      </c>
      <c r="D218">
        <v>1</v>
      </c>
      <c r="E218" s="30">
        <v>2020</v>
      </c>
      <c r="F218" s="30" t="s">
        <v>6926</v>
      </c>
      <c r="G218" t="s">
        <v>6401</v>
      </c>
      <c r="H218" s="30">
        <v>5</v>
      </c>
      <c r="I218" s="30" t="s">
        <v>6927</v>
      </c>
      <c r="K218" s="30">
        <v>22.737432200000001</v>
      </c>
      <c r="L218" s="30">
        <v>69.666865099999995</v>
      </c>
    </row>
    <row r="219" spans="1:12" x14ac:dyDescent="0.35">
      <c r="A219" t="str">
        <f>VLOOKUP("India",Countries!$A$1:$D$205,2,FALSE)</f>
        <v>IND</v>
      </c>
      <c r="B219" s="30" t="s">
        <v>6928</v>
      </c>
      <c r="C219" s="30" t="s">
        <v>6417</v>
      </c>
      <c r="D219">
        <v>1</v>
      </c>
      <c r="E219" s="30">
        <v>2022</v>
      </c>
      <c r="F219" s="30" t="s">
        <v>6929</v>
      </c>
      <c r="G219" t="s">
        <v>6401</v>
      </c>
      <c r="H219" s="30">
        <v>10</v>
      </c>
      <c r="I219" s="30" t="s">
        <v>6930</v>
      </c>
      <c r="K219" s="30">
        <v>20.866700000000002</v>
      </c>
      <c r="L219" s="30">
        <v>71.366699999999994</v>
      </c>
    </row>
    <row r="220" spans="1:12" x14ac:dyDescent="0.35">
      <c r="A220" t="str">
        <f>VLOOKUP("India",Countries!$A$1:$D$205,2,FALSE)</f>
        <v>IND</v>
      </c>
      <c r="B220" s="30" t="s">
        <v>6931</v>
      </c>
      <c r="C220" s="30" t="s">
        <v>6422</v>
      </c>
      <c r="D220">
        <v>1</v>
      </c>
      <c r="E220" s="30">
        <v>2019</v>
      </c>
      <c r="F220" s="30" t="s">
        <v>6932</v>
      </c>
      <c r="G220" t="s">
        <v>6401</v>
      </c>
      <c r="H220" s="30">
        <v>5</v>
      </c>
      <c r="I220" s="30" t="s">
        <v>6933</v>
      </c>
      <c r="K220" s="30">
        <v>13.259406999999999</v>
      </c>
      <c r="L220" s="30">
        <v>80.337424999999996</v>
      </c>
    </row>
    <row r="221" spans="1:12" x14ac:dyDescent="0.35">
      <c r="A221" t="str">
        <f>VLOOKUP("India",Countries!$A$1:$D$205,2,FALSE)</f>
        <v>IND</v>
      </c>
      <c r="B221" s="30" t="s">
        <v>6934</v>
      </c>
      <c r="C221" s="30" t="s">
        <v>6417</v>
      </c>
      <c r="D221">
        <v>1</v>
      </c>
      <c r="E221" s="30">
        <v>2025</v>
      </c>
      <c r="F221" s="30" t="s">
        <v>6935</v>
      </c>
      <c r="G221" t="s">
        <v>6401</v>
      </c>
      <c r="H221" s="30">
        <v>5</v>
      </c>
      <c r="I221" s="30" t="s">
        <v>6936</v>
      </c>
      <c r="K221" s="30">
        <v>20.721240000000002</v>
      </c>
      <c r="L221" s="30">
        <v>70.749983</v>
      </c>
    </row>
    <row r="222" spans="1:12" x14ac:dyDescent="0.35">
      <c r="A222" t="str">
        <f>VLOOKUP("India",Countries!$A$1:$D$205,2,FALSE)</f>
        <v>IND</v>
      </c>
      <c r="B222" s="30" t="s">
        <v>6937</v>
      </c>
      <c r="C222" s="30" t="s">
        <v>6399</v>
      </c>
      <c r="D222">
        <v>1</v>
      </c>
      <c r="E222" s="30">
        <v>2024</v>
      </c>
      <c r="F222" s="30" t="s">
        <v>6938</v>
      </c>
      <c r="G222" t="s">
        <v>6401</v>
      </c>
      <c r="H222" s="30">
        <v>4</v>
      </c>
      <c r="I222" s="30" t="s">
        <v>6939</v>
      </c>
      <c r="K222" s="30">
        <v>16.975000000000001</v>
      </c>
      <c r="L222" s="30">
        <v>82.278999999999996</v>
      </c>
    </row>
    <row r="223" spans="1:12" x14ac:dyDescent="0.35">
      <c r="A223" t="str">
        <f>VLOOKUP("India",Countries!$A$1:$D$205,2,FALSE)</f>
        <v>IND</v>
      </c>
      <c r="B223" s="30" t="s">
        <v>6940</v>
      </c>
      <c r="C223" s="30" t="s">
        <v>6399</v>
      </c>
      <c r="D223">
        <v>1</v>
      </c>
      <c r="E223" s="30">
        <v>2024</v>
      </c>
      <c r="F223" s="30" t="s">
        <v>6941</v>
      </c>
      <c r="G223" t="s">
        <v>6401</v>
      </c>
      <c r="H223" s="30">
        <v>5</v>
      </c>
      <c r="I223" s="30" t="s">
        <v>6942</v>
      </c>
      <c r="K223" s="30">
        <v>21.918011</v>
      </c>
      <c r="L223" s="30">
        <v>88.002516</v>
      </c>
    </row>
    <row r="224" spans="1:12" x14ac:dyDescent="0.35">
      <c r="A224" t="str">
        <f>VLOOKUP("India",Countries!$A$1:$D$205,2,FALSE)</f>
        <v>IND</v>
      </c>
      <c r="B224" s="30" t="s">
        <v>6943</v>
      </c>
      <c r="C224" s="30" t="s">
        <v>6417</v>
      </c>
      <c r="D224">
        <v>1</v>
      </c>
      <c r="E224" s="30">
        <v>2022</v>
      </c>
      <c r="F224" s="30" t="s">
        <v>6944</v>
      </c>
      <c r="G224" t="s">
        <v>6401</v>
      </c>
      <c r="H224" s="30">
        <v>1</v>
      </c>
      <c r="I224" s="30" t="s">
        <v>6945</v>
      </c>
      <c r="K224" s="30">
        <v>10.911092</v>
      </c>
      <c r="L224" s="30">
        <v>79.843825300000006</v>
      </c>
    </row>
    <row r="225" spans="1:12" x14ac:dyDescent="0.35">
      <c r="A225" t="str">
        <f>VLOOKUP("India",Countries!$A$1:$D$205,2,FALSE)</f>
        <v>IND</v>
      </c>
      <c r="B225" s="30" t="s">
        <v>6946</v>
      </c>
      <c r="C225" s="30" t="s">
        <v>6399</v>
      </c>
      <c r="D225">
        <v>1</v>
      </c>
      <c r="E225" s="30"/>
      <c r="F225" s="30" t="s">
        <v>6947</v>
      </c>
      <c r="G225" t="s">
        <v>6401</v>
      </c>
      <c r="H225" s="30">
        <v>5</v>
      </c>
      <c r="I225" s="30" t="s">
        <v>6948</v>
      </c>
      <c r="K225" s="30">
        <v>18.958760999999999</v>
      </c>
      <c r="L225" s="30">
        <v>72.850767000000005</v>
      </c>
    </row>
    <row r="226" spans="1:12" x14ac:dyDescent="0.35">
      <c r="A226" t="str">
        <f>VLOOKUP("India",Countries!$A$1:$D$205,2,FALSE)</f>
        <v>IND</v>
      </c>
      <c r="B226" s="30" t="s">
        <v>6949</v>
      </c>
      <c r="C226" s="30" t="s">
        <v>6399</v>
      </c>
      <c r="D226">
        <v>1</v>
      </c>
      <c r="E226" s="30"/>
      <c r="F226" s="30" t="s">
        <v>6950</v>
      </c>
      <c r="G226" t="s">
        <v>6401</v>
      </c>
      <c r="H226" s="30" t="s">
        <v>6546</v>
      </c>
      <c r="I226" s="30" t="s">
        <v>6951</v>
      </c>
      <c r="K226" s="30">
        <v>16.952400000000001</v>
      </c>
      <c r="L226" s="30">
        <v>82.386899999999997</v>
      </c>
    </row>
    <row r="227" spans="1:12" x14ac:dyDescent="0.35">
      <c r="A227" t="str">
        <f>VLOOKUP("India",Countries!$A$1:$D$205,2,FALSE)</f>
        <v>IND</v>
      </c>
      <c r="B227" s="70" t="s">
        <v>6952</v>
      </c>
      <c r="C227" s="70" t="s">
        <v>6399</v>
      </c>
      <c r="D227">
        <v>1</v>
      </c>
      <c r="E227" s="70"/>
      <c r="F227" s="70" t="s">
        <v>2722</v>
      </c>
      <c r="G227" t="s">
        <v>6401</v>
      </c>
      <c r="H227" s="70">
        <v>4</v>
      </c>
      <c r="I227" s="70" t="s">
        <v>6953</v>
      </c>
      <c r="K227" s="70">
        <v>12.926024</v>
      </c>
      <c r="L227" s="70">
        <v>74.812569999999994</v>
      </c>
    </row>
    <row r="228" spans="1:12" x14ac:dyDescent="0.35">
      <c r="A228" t="str">
        <f>VLOOKUP("Indonesia",Countries!$A$1:$D$205,2,FALSE)</f>
        <v>IDN</v>
      </c>
      <c r="B228" s="30" t="s">
        <v>6954</v>
      </c>
      <c r="C228" t="s">
        <v>6399</v>
      </c>
      <c r="D228">
        <v>1</v>
      </c>
      <c r="E228" s="30">
        <v>2030</v>
      </c>
      <c r="F228" s="30" t="s">
        <v>6955</v>
      </c>
      <c r="G228" s="30" t="s">
        <v>6424</v>
      </c>
      <c r="H228" s="30">
        <v>9.5</v>
      </c>
      <c r="I228" s="30" t="s">
        <v>6956</v>
      </c>
      <c r="K228" s="30">
        <v>-9.0822830000000003</v>
      </c>
      <c r="L228" s="30">
        <v>131.31973199999999</v>
      </c>
    </row>
    <row r="229" spans="1:12" x14ac:dyDescent="0.35">
      <c r="A229" t="str">
        <f>VLOOKUP("Indonesia",Countries!$A$1:$D$205,2,FALSE)</f>
        <v>IDN</v>
      </c>
      <c r="B229" s="30" t="s">
        <v>6957</v>
      </c>
      <c r="C229" t="s">
        <v>6422</v>
      </c>
      <c r="D229">
        <v>1</v>
      </c>
      <c r="E229" s="30">
        <v>2015</v>
      </c>
      <c r="F229" s="30" t="s">
        <v>3367</v>
      </c>
      <c r="G229" s="30" t="s">
        <v>6401</v>
      </c>
      <c r="H229" s="30">
        <v>3</v>
      </c>
      <c r="I229" s="30" t="s">
        <v>6958</v>
      </c>
      <c r="K229" s="30">
        <v>5.2233999999999998</v>
      </c>
      <c r="L229" s="30">
        <v>97.082999999999998</v>
      </c>
    </row>
    <row r="230" spans="1:12" x14ac:dyDescent="0.35">
      <c r="A230" t="str">
        <f>VLOOKUP("Indonesia",Countries!$A$1:$D$205,2,FALSE)</f>
        <v>IDN</v>
      </c>
      <c r="B230" s="30" t="s">
        <v>6959</v>
      </c>
      <c r="C230" t="s">
        <v>6422</v>
      </c>
      <c r="D230">
        <v>1</v>
      </c>
      <c r="E230" s="30">
        <v>2016</v>
      </c>
      <c r="F230" s="30" t="s">
        <v>6960</v>
      </c>
      <c r="G230" s="30" t="s">
        <v>6401</v>
      </c>
      <c r="H230" s="30">
        <v>0.35</v>
      </c>
      <c r="I230" s="30" t="s">
        <v>6961</v>
      </c>
      <c r="K230" s="30">
        <v>-8.7463060000000006</v>
      </c>
      <c r="L230" s="30">
        <v>115.2094864</v>
      </c>
    </row>
    <row r="231" spans="1:12" x14ac:dyDescent="0.35">
      <c r="A231" t="str">
        <f>VLOOKUP("Indonesia",Countries!$A$1:$D$205,2,FALSE)</f>
        <v>IDN</v>
      </c>
      <c r="B231" t="s">
        <v>6962</v>
      </c>
      <c r="C231" t="s">
        <v>6422</v>
      </c>
      <c r="D231">
        <v>4</v>
      </c>
      <c r="E231">
        <v>1998</v>
      </c>
      <c r="F231" t="s">
        <v>6963</v>
      </c>
      <c r="G231" t="s">
        <v>6424</v>
      </c>
      <c r="H231">
        <f>(2.3*3)+2.95</f>
        <v>9.85</v>
      </c>
      <c r="I231" s="30" t="s">
        <v>6964</v>
      </c>
      <c r="K231" s="30">
        <v>0.10123</v>
      </c>
      <c r="L231" s="30">
        <v>117.4701</v>
      </c>
    </row>
    <row r="232" spans="1:12" x14ac:dyDescent="0.35">
      <c r="A232" t="str">
        <f>VLOOKUP("Indonesia",Countries!$A$1:$D$205,2,FALSE)</f>
        <v>IDN</v>
      </c>
      <c r="B232" s="30" t="s">
        <v>6965</v>
      </c>
      <c r="C232" t="s">
        <v>6422</v>
      </c>
      <c r="D232">
        <v>1</v>
      </c>
      <c r="E232" s="30">
        <v>2021</v>
      </c>
      <c r="F232" s="30" t="s">
        <v>6966</v>
      </c>
      <c r="G232" t="s">
        <v>6401</v>
      </c>
      <c r="H232" s="30">
        <v>2.4</v>
      </c>
      <c r="I232" s="30" t="s">
        <v>6967</v>
      </c>
      <c r="K232" s="30">
        <v>-6.2443159000000001</v>
      </c>
      <c r="L232" s="30">
        <v>107.5832748</v>
      </c>
    </row>
    <row r="233" spans="1:12" x14ac:dyDescent="0.35">
      <c r="A233" t="str">
        <f>VLOOKUP("Indonesia",Countries!$A$1:$D$205,2,FALSE)</f>
        <v>IDN</v>
      </c>
      <c r="B233" s="30" t="s">
        <v>6968</v>
      </c>
      <c r="C233" t="s">
        <v>6422</v>
      </c>
      <c r="D233">
        <v>1</v>
      </c>
      <c r="E233" s="30">
        <v>2015</v>
      </c>
      <c r="F233" s="30" t="s">
        <v>6969</v>
      </c>
      <c r="G233" t="s">
        <v>6424</v>
      </c>
      <c r="H233" s="30">
        <v>2</v>
      </c>
      <c r="I233" s="30" t="s">
        <v>6970</v>
      </c>
      <c r="K233" s="30">
        <v>-1.2543690000000001</v>
      </c>
      <c r="L233" s="30">
        <v>122.58559</v>
      </c>
    </row>
    <row r="234" spans="1:12" x14ac:dyDescent="0.35">
      <c r="A234" t="str">
        <f>VLOOKUP("Indonesia",Countries!$A$1:$D$205,2,FALSE)</f>
        <v>IDN</v>
      </c>
      <c r="B234" s="30" t="s">
        <v>6971</v>
      </c>
      <c r="C234" t="s">
        <v>6422</v>
      </c>
      <c r="D234">
        <v>1</v>
      </c>
      <c r="E234" s="30">
        <v>2014</v>
      </c>
      <c r="F234" s="30" t="s">
        <v>6972</v>
      </c>
      <c r="G234" t="s">
        <v>6401</v>
      </c>
      <c r="H234" s="30">
        <v>2.5</v>
      </c>
      <c r="I234" s="30" t="s">
        <v>6973</v>
      </c>
      <c r="K234" s="30">
        <v>-5.45</v>
      </c>
      <c r="L234" s="30">
        <v>105.94</v>
      </c>
    </row>
    <row r="235" spans="1:12" x14ac:dyDescent="0.35">
      <c r="A235" t="str">
        <f>VLOOKUP("Indonesia",Countries!$A$1:$D$205,2,FALSE)</f>
        <v>IDN</v>
      </c>
      <c r="B235" s="30" t="s">
        <v>6974</v>
      </c>
      <c r="C235" t="s">
        <v>6422</v>
      </c>
      <c r="D235">
        <v>1</v>
      </c>
      <c r="E235" s="30">
        <v>2012</v>
      </c>
      <c r="F235" s="30" t="s">
        <v>6975</v>
      </c>
      <c r="G235" t="s">
        <v>6401</v>
      </c>
      <c r="H235" s="30">
        <v>3</v>
      </c>
      <c r="I235" s="30" t="s">
        <v>6976</v>
      </c>
      <c r="K235" s="30">
        <v>-5.992909</v>
      </c>
      <c r="L235" s="30">
        <v>106.82</v>
      </c>
    </row>
    <row r="236" spans="1:12" x14ac:dyDescent="0.35">
      <c r="A236" t="str">
        <f>VLOOKUP("Indonesia",Countries!$A$1:$D$205,2,FALSE)</f>
        <v>IDN</v>
      </c>
      <c r="B236" s="30" t="s">
        <v>6977</v>
      </c>
      <c r="C236" t="s">
        <v>6417</v>
      </c>
      <c r="D236">
        <v>4</v>
      </c>
      <c r="E236">
        <v>2022</v>
      </c>
      <c r="F236" s="30" t="s">
        <v>6978</v>
      </c>
      <c r="G236" t="s">
        <v>6424</v>
      </c>
      <c r="H236">
        <v>2</v>
      </c>
      <c r="I236" s="30" t="s">
        <v>6979</v>
      </c>
      <c r="K236" s="30">
        <v>-4.5459731999999997</v>
      </c>
      <c r="L236" s="30">
        <v>120.4136867</v>
      </c>
    </row>
    <row r="237" spans="1:12" x14ac:dyDescent="0.35">
      <c r="A237" t="str">
        <f>VLOOKUP("Indonesia",Countries!$A$1:$D$205,2,FALSE)</f>
        <v>IDN</v>
      </c>
      <c r="B237" s="30" t="s">
        <v>6980</v>
      </c>
      <c r="C237" t="s">
        <v>6422</v>
      </c>
      <c r="D237">
        <v>2</v>
      </c>
      <c r="E237">
        <v>2009</v>
      </c>
      <c r="F237" s="30" t="s">
        <v>6981</v>
      </c>
      <c r="G237" t="s">
        <v>6424</v>
      </c>
      <c r="H237">
        <f>3.8*2</f>
        <v>7.6</v>
      </c>
      <c r="I237" s="30" t="s">
        <v>6982</v>
      </c>
      <c r="K237" s="30">
        <v>-2.4431400000000001</v>
      </c>
      <c r="L237" s="30">
        <v>133.13900000000001</v>
      </c>
    </row>
    <row r="238" spans="1:12" x14ac:dyDescent="0.35">
      <c r="A238" t="str">
        <f>VLOOKUP("Indonesia",Countries!$A$1:$D$205,2,FALSE)</f>
        <v>IDN</v>
      </c>
      <c r="B238" s="30" t="s">
        <v>6980</v>
      </c>
      <c r="C238" t="s">
        <v>6417</v>
      </c>
      <c r="D238">
        <v>1</v>
      </c>
      <c r="E238">
        <v>2022</v>
      </c>
      <c r="F238" t="s">
        <v>6981</v>
      </c>
      <c r="G238" t="s">
        <v>6424</v>
      </c>
      <c r="H238">
        <v>3.8</v>
      </c>
      <c r="I238" s="30" t="s">
        <v>6982</v>
      </c>
      <c r="K238" s="30">
        <v>-2.4431400000000001</v>
      </c>
      <c r="L238" s="30">
        <v>133.13900000000001</v>
      </c>
    </row>
    <row r="239" spans="1:12" x14ac:dyDescent="0.35">
      <c r="A239" t="str">
        <f>VLOOKUP("Indonesia",Countries!$A$1:$D$205,2,FALSE)</f>
        <v>IDN</v>
      </c>
      <c r="B239" s="30" t="s">
        <v>6983</v>
      </c>
      <c r="C239" t="s">
        <v>6422</v>
      </c>
      <c r="D239">
        <v>1</v>
      </c>
      <c r="E239" s="30">
        <v>2018</v>
      </c>
      <c r="G239" t="s">
        <v>6401</v>
      </c>
      <c r="H239" s="30">
        <v>3.5</v>
      </c>
      <c r="I239" s="30" t="s">
        <v>6984</v>
      </c>
      <c r="K239" s="30">
        <v>-8.4556974</v>
      </c>
      <c r="L239" s="30">
        <v>114.51105819999999</v>
      </c>
    </row>
    <row r="240" spans="1:12" x14ac:dyDescent="0.35">
      <c r="A240" t="str">
        <f>VLOOKUP("Indonesia",Countries!$A$1:$D$205,2,FALSE)</f>
        <v>IDN</v>
      </c>
      <c r="B240" s="30" t="s">
        <v>6985</v>
      </c>
      <c r="C240" t="s">
        <v>6417</v>
      </c>
      <c r="D240">
        <v>1</v>
      </c>
      <c r="E240" s="30"/>
      <c r="F240" t="s">
        <v>6986</v>
      </c>
      <c r="G240" t="s">
        <v>6401</v>
      </c>
      <c r="H240" s="30">
        <v>0.3</v>
      </c>
      <c r="I240" s="30" t="s">
        <v>6987</v>
      </c>
      <c r="K240" s="30">
        <v>-7.2038831999999999</v>
      </c>
      <c r="L240" s="30">
        <v>112.66914800000001</v>
      </c>
    </row>
    <row r="241" spans="1:12" x14ac:dyDescent="0.35">
      <c r="A241" t="str">
        <f>VLOOKUP("Indonesia",Countries!$A$1:$D$205,2,FALSE)</f>
        <v>IDN</v>
      </c>
      <c r="B241" s="30" t="s">
        <v>6988</v>
      </c>
      <c r="C241" t="s">
        <v>6399</v>
      </c>
      <c r="D241">
        <v>1</v>
      </c>
      <c r="E241" s="30"/>
      <c r="G241" t="s">
        <v>6401</v>
      </c>
      <c r="H241" s="30" t="s">
        <v>6546</v>
      </c>
      <c r="I241" s="30" t="s">
        <v>6989</v>
      </c>
      <c r="K241" s="30">
        <v>-3.6934689999999999</v>
      </c>
      <c r="L241" s="30">
        <v>128.176579</v>
      </c>
    </row>
    <row r="242" spans="1:12" x14ac:dyDescent="0.35">
      <c r="A242" t="str">
        <f>VLOOKUP("Indonesia",Countries!$A$1:$D$205,2,FALSE)</f>
        <v>IDN</v>
      </c>
      <c r="B242" s="30" t="s">
        <v>6990</v>
      </c>
      <c r="C242" t="s">
        <v>6399</v>
      </c>
      <c r="D242">
        <v>1</v>
      </c>
      <c r="E242" s="30"/>
      <c r="F242" t="s">
        <v>6991</v>
      </c>
      <c r="G242" t="s">
        <v>6401</v>
      </c>
      <c r="H242" s="30">
        <v>1.5</v>
      </c>
      <c r="I242" s="30" t="s">
        <v>6992</v>
      </c>
      <c r="K242" s="30">
        <v>-7.2043119999999998</v>
      </c>
      <c r="L242" s="30">
        <v>112.669408</v>
      </c>
    </row>
    <row r="243" spans="1:12" x14ac:dyDescent="0.35">
      <c r="A243" t="str">
        <f>VLOOKUP("Indonesia",Countries!$A$1:$D$205,2,FALSE)</f>
        <v>IDN</v>
      </c>
      <c r="B243" s="30" t="s">
        <v>6993</v>
      </c>
      <c r="C243" t="s">
        <v>6417</v>
      </c>
      <c r="D243">
        <v>1</v>
      </c>
      <c r="E243" s="30"/>
      <c r="F243" t="s">
        <v>6994</v>
      </c>
      <c r="G243" t="s">
        <v>6401</v>
      </c>
      <c r="H243" s="30">
        <v>0.1</v>
      </c>
      <c r="I243" s="30" t="s">
        <v>6995</v>
      </c>
      <c r="K243" s="30">
        <v>-8.6143070000000002</v>
      </c>
      <c r="L243" s="30">
        <v>122.220117</v>
      </c>
    </row>
    <row r="244" spans="1:12" x14ac:dyDescent="0.35">
      <c r="A244" t="str">
        <f>VLOOKUP("Indonesia",Countries!$A$1:$D$205,2,FALSE)</f>
        <v>IDN</v>
      </c>
      <c r="B244" s="30" t="s">
        <v>6996</v>
      </c>
      <c r="C244" t="s">
        <v>6422</v>
      </c>
      <c r="D244">
        <v>1</v>
      </c>
      <c r="E244" s="30">
        <v>2020</v>
      </c>
      <c r="F244" t="s">
        <v>6997</v>
      </c>
      <c r="G244" t="s">
        <v>6401</v>
      </c>
      <c r="H244" s="30">
        <v>0.1</v>
      </c>
      <c r="I244" s="30" t="s">
        <v>6998</v>
      </c>
      <c r="K244" s="30">
        <v>1.192442</v>
      </c>
      <c r="L244" s="30">
        <v>124.55566899999999</v>
      </c>
    </row>
    <row r="245" spans="1:12" x14ac:dyDescent="0.35">
      <c r="A245" t="str">
        <f>VLOOKUP("Indonesia",Countries!$A$1:$D$205,2,FALSE)</f>
        <v>IDN</v>
      </c>
      <c r="B245" s="30" t="s">
        <v>6999</v>
      </c>
      <c r="C245" t="s">
        <v>6399</v>
      </c>
      <c r="D245">
        <v>1</v>
      </c>
      <c r="E245" s="30">
        <v>2024</v>
      </c>
      <c r="G245" t="s">
        <v>6401</v>
      </c>
      <c r="H245" s="30" t="s">
        <v>6546</v>
      </c>
      <c r="I245" s="30" t="s">
        <v>7000</v>
      </c>
      <c r="K245" s="30">
        <v>0.98874499999999999</v>
      </c>
      <c r="L245" s="30">
        <v>103.43378300000001</v>
      </c>
    </row>
    <row r="246" spans="1:12" x14ac:dyDescent="0.35">
      <c r="A246" t="str">
        <f>VLOOKUP("Indonesia",Countries!$A$1:$D$205,2,FALSE)</f>
        <v>IDN</v>
      </c>
      <c r="B246" s="30" t="s">
        <v>7001</v>
      </c>
      <c r="C246" t="s">
        <v>6399</v>
      </c>
      <c r="D246">
        <v>1</v>
      </c>
      <c r="E246" s="30"/>
      <c r="F246" t="s">
        <v>3373</v>
      </c>
      <c r="G246" t="s">
        <v>6401</v>
      </c>
      <c r="H246" s="30">
        <v>0.84</v>
      </c>
      <c r="I246" s="30" t="s">
        <v>6992</v>
      </c>
      <c r="K246" s="30">
        <v>-7.68757</v>
      </c>
      <c r="L246" s="30">
        <v>109.01464</v>
      </c>
    </row>
    <row r="247" spans="1:12" x14ac:dyDescent="0.35">
      <c r="A247" t="str">
        <f>VLOOKUP("Indonesia",Countries!$A$1:$D$205,2,FALSE)</f>
        <v>IDN</v>
      </c>
      <c r="B247" s="30" t="s">
        <v>7002</v>
      </c>
      <c r="C247" t="s">
        <v>6399</v>
      </c>
      <c r="D247">
        <v>1</v>
      </c>
      <c r="E247" s="30"/>
      <c r="F247" t="s">
        <v>7003</v>
      </c>
      <c r="G247" t="s">
        <v>6401</v>
      </c>
      <c r="H247" s="30">
        <v>2</v>
      </c>
      <c r="I247" s="30" t="s">
        <v>7004</v>
      </c>
      <c r="K247" s="30">
        <v>-0.71357999999999999</v>
      </c>
      <c r="L247" s="30">
        <v>19.860430000000001</v>
      </c>
    </row>
    <row r="248" spans="1:12" x14ac:dyDescent="0.35">
      <c r="A248" t="str">
        <f>VLOOKUP("Indonesia",Countries!$A$1:$D$205,2,FALSE)</f>
        <v>IDN</v>
      </c>
      <c r="B248" s="70" t="s">
        <v>7005</v>
      </c>
      <c r="C248" t="s">
        <v>6399</v>
      </c>
      <c r="D248">
        <v>1</v>
      </c>
      <c r="E248" s="70"/>
      <c r="F248" t="s">
        <v>7006</v>
      </c>
      <c r="G248" t="s">
        <v>6401</v>
      </c>
      <c r="H248" s="70" t="s">
        <v>6546</v>
      </c>
      <c r="I248" s="70" t="s">
        <v>7007</v>
      </c>
      <c r="K248" s="70">
        <v>-7.728885891</v>
      </c>
      <c r="L248" s="70">
        <v>113.2170407</v>
      </c>
    </row>
    <row r="249" spans="1:12" x14ac:dyDescent="0.35">
      <c r="A249" t="str">
        <f>VLOOKUP(" Ireland",Countries!$A$1:$D$205,2,FALSE)</f>
        <v>IRL</v>
      </c>
      <c r="B249" s="30" t="s">
        <v>7008</v>
      </c>
      <c r="C249" t="s">
        <v>6399</v>
      </c>
      <c r="D249">
        <v>1</v>
      </c>
      <c r="E249" s="30">
        <v>2023</v>
      </c>
      <c r="F249" s="30" t="s">
        <v>7009</v>
      </c>
      <c r="G249" t="s">
        <v>6401</v>
      </c>
      <c r="H249" s="30">
        <v>2.06</v>
      </c>
      <c r="I249" s="30" t="s">
        <v>6488</v>
      </c>
      <c r="K249" s="30">
        <v>52.58099</v>
      </c>
      <c r="L249" s="30">
        <v>-9.4424600000000005</v>
      </c>
    </row>
    <row r="250" spans="1:12" x14ac:dyDescent="0.35">
      <c r="A250" t="str">
        <f>VLOOKUP(" Ireland",Countries!$A$1:$D$205,2,FALSE)</f>
        <v>IRL</v>
      </c>
      <c r="B250" s="30" t="s">
        <v>7008</v>
      </c>
      <c r="C250" t="s">
        <v>6399</v>
      </c>
      <c r="D250">
        <v>1</v>
      </c>
      <c r="E250" s="30">
        <v>2025</v>
      </c>
      <c r="F250" s="30" t="s">
        <v>7009</v>
      </c>
      <c r="G250" t="s">
        <v>6401</v>
      </c>
      <c r="H250" s="30">
        <v>1.54</v>
      </c>
      <c r="I250" s="30" t="s">
        <v>6488</v>
      </c>
      <c r="K250" s="30">
        <v>52.58099</v>
      </c>
      <c r="L250" s="30">
        <v>-9.4424600000000005</v>
      </c>
    </row>
    <row r="251" spans="1:12" x14ac:dyDescent="0.35">
      <c r="A251" t="str">
        <f>VLOOKUP(" Ireland",Countries!$A$1:$D$205,2,FALSE)</f>
        <v>IRL</v>
      </c>
      <c r="B251" s="30" t="s">
        <v>7008</v>
      </c>
      <c r="C251" t="s">
        <v>6399</v>
      </c>
      <c r="D251">
        <v>1</v>
      </c>
      <c r="E251" s="30">
        <v>2029</v>
      </c>
      <c r="F251" s="30" t="s">
        <v>7009</v>
      </c>
      <c r="G251" t="s">
        <v>6401</v>
      </c>
      <c r="H251" s="30">
        <v>2.4300000000000002</v>
      </c>
      <c r="I251" s="30" t="s">
        <v>6488</v>
      </c>
      <c r="K251" s="30">
        <v>52.58099</v>
      </c>
      <c r="L251" s="30">
        <v>-9.4424600000000005</v>
      </c>
    </row>
    <row r="252" spans="1:12" x14ac:dyDescent="0.35">
      <c r="A252" t="str">
        <f>VLOOKUP(" Ireland",Countries!$A$1:$D$205,2,FALSE)</f>
        <v>IRL</v>
      </c>
      <c r="B252" s="70" t="s">
        <v>7010</v>
      </c>
      <c r="C252" t="s">
        <v>6399</v>
      </c>
      <c r="D252">
        <v>1</v>
      </c>
      <c r="E252" s="70">
        <v>2024</v>
      </c>
      <c r="F252" s="70"/>
      <c r="G252" t="s">
        <v>6401</v>
      </c>
      <c r="H252" s="70">
        <v>1.91</v>
      </c>
      <c r="I252" s="70" t="s">
        <v>7011</v>
      </c>
      <c r="K252" s="70">
        <v>51.264274</v>
      </c>
      <c r="L252" s="70">
        <v>-8.0456190000000003</v>
      </c>
    </row>
    <row r="253" spans="1:12" x14ac:dyDescent="0.35">
      <c r="A253" t="str">
        <f>VLOOKUP("Israel",Countries!$A$1:$D$205,2,FALSE)</f>
        <v>ISR</v>
      </c>
      <c r="B253" s="30" t="s">
        <v>7012</v>
      </c>
      <c r="C253" t="s">
        <v>6422</v>
      </c>
      <c r="D253">
        <v>1</v>
      </c>
      <c r="E253">
        <v>2013</v>
      </c>
      <c r="F253" s="30" t="s">
        <v>7013</v>
      </c>
      <c r="G253" s="30" t="s">
        <v>6401</v>
      </c>
      <c r="H253" s="30">
        <v>3.5</v>
      </c>
      <c r="I253" s="30" t="s">
        <v>7014</v>
      </c>
      <c r="K253" s="30">
        <v>32.450000000000003</v>
      </c>
      <c r="L253" s="30">
        <v>34.916666999999997</v>
      </c>
    </row>
    <row r="254" spans="1:12" x14ac:dyDescent="0.35">
      <c r="A254" t="str">
        <f>VLOOKUP(" Italy",Countries!$A$1:$D$205,2,FALSE)</f>
        <v>ITA</v>
      </c>
      <c r="B254" s="30" t="s">
        <v>7015</v>
      </c>
      <c r="C254" t="s">
        <v>6422</v>
      </c>
      <c r="D254">
        <v>1</v>
      </c>
      <c r="E254" s="30">
        <v>2009</v>
      </c>
      <c r="F254" s="30" t="s">
        <v>7016</v>
      </c>
      <c r="G254" s="30" t="s">
        <v>6401</v>
      </c>
      <c r="H254" s="30">
        <v>6.62</v>
      </c>
      <c r="I254" s="30" t="s">
        <v>7017</v>
      </c>
      <c r="K254" s="30">
        <v>45.091667000000001</v>
      </c>
      <c r="L254" s="30">
        <v>12.586111000000001</v>
      </c>
    </row>
    <row r="255" spans="1:12" x14ac:dyDescent="0.35">
      <c r="A255" t="str">
        <f>VLOOKUP(" Italy",Countries!$A$1:$D$205,2,FALSE)</f>
        <v>ITA</v>
      </c>
      <c r="B255" s="30" t="s">
        <v>7018</v>
      </c>
      <c r="C255" t="s">
        <v>6399</v>
      </c>
      <c r="D255">
        <v>1</v>
      </c>
      <c r="E255" s="30">
        <v>2026</v>
      </c>
      <c r="F255" s="30" t="s">
        <v>7019</v>
      </c>
      <c r="G255" s="30" t="s">
        <v>6401</v>
      </c>
      <c r="H255" s="30">
        <v>8.6</v>
      </c>
      <c r="I255" s="30" t="s">
        <v>7020</v>
      </c>
      <c r="K255" s="30">
        <v>38.466920000000002</v>
      </c>
      <c r="L255" s="30">
        <v>15.898999999999999</v>
      </c>
    </row>
    <row r="256" spans="1:12" x14ac:dyDescent="0.35">
      <c r="A256" t="str">
        <f>VLOOKUP(" Italy",Countries!$A$1:$D$205,2,FALSE)</f>
        <v>ITA</v>
      </c>
      <c r="B256" s="30" t="s">
        <v>7021</v>
      </c>
      <c r="C256" t="s">
        <v>6422</v>
      </c>
      <c r="D256">
        <v>1</v>
      </c>
      <c r="E256" s="30">
        <v>2014</v>
      </c>
      <c r="F256" s="30" t="s">
        <v>7016</v>
      </c>
      <c r="G256" s="30" t="s">
        <v>6401</v>
      </c>
      <c r="H256" s="30">
        <v>2.8</v>
      </c>
      <c r="I256" s="30" t="s">
        <v>7022</v>
      </c>
      <c r="K256" s="30">
        <v>43.644444</v>
      </c>
      <c r="L256" s="30">
        <v>9.9888890000000004</v>
      </c>
    </row>
    <row r="257" spans="1:12" x14ac:dyDescent="0.35">
      <c r="A257" t="str">
        <f>VLOOKUP(" Italy",Countries!$A$1:$D$205,2,FALSE)</f>
        <v>ITA</v>
      </c>
      <c r="B257" s="30" t="s">
        <v>7023</v>
      </c>
      <c r="C257" t="s">
        <v>6422</v>
      </c>
      <c r="D257">
        <v>1</v>
      </c>
      <c r="E257" s="30">
        <v>1971</v>
      </c>
      <c r="F257" s="30" t="s">
        <v>7024</v>
      </c>
      <c r="G257" s="30" t="s">
        <v>6401</v>
      </c>
      <c r="H257" s="30">
        <v>2.5</v>
      </c>
      <c r="I257" s="30" t="s">
        <v>7025</v>
      </c>
      <c r="K257" s="30">
        <v>44.074280000000002</v>
      </c>
      <c r="L257" s="30">
        <v>9.8308700000000009</v>
      </c>
    </row>
    <row r="258" spans="1:12" x14ac:dyDescent="0.35">
      <c r="A258" t="str">
        <f>VLOOKUP(" Italy",Countries!$A$1:$D$205,2,FALSE)</f>
        <v>ITA</v>
      </c>
      <c r="B258" s="30" t="s">
        <v>7026</v>
      </c>
      <c r="C258" t="s">
        <v>6399</v>
      </c>
      <c r="D258">
        <v>1</v>
      </c>
      <c r="E258" s="30">
        <v>2015</v>
      </c>
      <c r="F258" s="30" t="s">
        <v>7027</v>
      </c>
      <c r="G258" s="30" t="s">
        <v>6401</v>
      </c>
      <c r="H258" s="30">
        <v>6</v>
      </c>
      <c r="I258" s="30" t="s">
        <v>7028</v>
      </c>
      <c r="K258" s="30">
        <v>37.282969999999999</v>
      </c>
      <c r="L258" s="30">
        <v>13.537739999999999</v>
      </c>
    </row>
    <row r="259" spans="1:12" x14ac:dyDescent="0.35">
      <c r="A259" t="str">
        <f>VLOOKUP(" Italy",Countries!$A$1:$D$205,2,FALSE)</f>
        <v>ITA</v>
      </c>
      <c r="B259" s="30" t="s">
        <v>7029</v>
      </c>
      <c r="C259" t="s">
        <v>6422</v>
      </c>
      <c r="D259">
        <v>1</v>
      </c>
      <c r="E259" s="30">
        <v>2021</v>
      </c>
      <c r="F259" s="30" t="s">
        <v>7030</v>
      </c>
      <c r="G259" s="30" t="s">
        <v>6401</v>
      </c>
      <c r="H259" s="30">
        <v>0.7</v>
      </c>
      <c r="I259" s="30" t="s">
        <v>7031</v>
      </c>
      <c r="K259" s="30">
        <v>44.471733999999998</v>
      </c>
      <c r="L259" s="30">
        <v>12.248134</v>
      </c>
    </row>
    <row r="260" spans="1:12" x14ac:dyDescent="0.35">
      <c r="A260" t="str">
        <f>VLOOKUP(" Italy",Countries!$A$1:$D$205,2,FALSE)</f>
        <v>ITA</v>
      </c>
      <c r="B260" s="30" t="s">
        <v>7032</v>
      </c>
      <c r="C260" t="s">
        <v>6422</v>
      </c>
      <c r="D260">
        <v>1</v>
      </c>
      <c r="E260" s="30">
        <v>2021</v>
      </c>
      <c r="F260" s="30" t="s">
        <v>7033</v>
      </c>
      <c r="G260" s="30" t="s">
        <v>6401</v>
      </c>
      <c r="H260" s="30">
        <v>0.2</v>
      </c>
      <c r="I260" s="30" t="s">
        <v>7034</v>
      </c>
      <c r="K260" s="30">
        <v>39.863872999999998</v>
      </c>
      <c r="L260" s="30">
        <v>8.5542379999999998</v>
      </c>
    </row>
    <row r="261" spans="1:12" x14ac:dyDescent="0.35">
      <c r="A261" t="str">
        <f>VLOOKUP(" Italy",Countries!$A$1:$D$205,2,FALSE)</f>
        <v>ITA</v>
      </c>
      <c r="B261" s="30" t="s">
        <v>7035</v>
      </c>
      <c r="C261" t="s">
        <v>6399</v>
      </c>
      <c r="D261">
        <v>1</v>
      </c>
      <c r="E261" s="30">
        <v>2024</v>
      </c>
      <c r="F261" s="30" t="s">
        <v>7036</v>
      </c>
      <c r="G261" s="30" t="s">
        <v>6401</v>
      </c>
      <c r="H261" s="30" t="s">
        <v>6546</v>
      </c>
      <c r="I261" s="30" t="s">
        <v>7037</v>
      </c>
      <c r="K261" s="30">
        <v>39.195611999999997</v>
      </c>
      <c r="L261" s="30">
        <v>8.3919250000000005</v>
      </c>
    </row>
    <row r="262" spans="1:12" x14ac:dyDescent="0.35">
      <c r="A262" t="str">
        <f>VLOOKUP(" Italy",Countries!$A$1:$D$205,2,FALSE)</f>
        <v>ITA</v>
      </c>
      <c r="B262" s="70" t="s">
        <v>7038</v>
      </c>
      <c r="C262" t="s">
        <v>6399</v>
      </c>
      <c r="D262">
        <v>1</v>
      </c>
      <c r="E262" s="70">
        <v>2023</v>
      </c>
      <c r="F262" s="70" t="s">
        <v>7039</v>
      </c>
      <c r="G262" s="30" t="s">
        <v>6401</v>
      </c>
      <c r="H262" s="70">
        <v>3.68</v>
      </c>
      <c r="I262" s="70" t="s">
        <v>7037</v>
      </c>
      <c r="K262" s="70">
        <v>40.842385999999998</v>
      </c>
      <c r="L262" s="70">
        <v>8.3997810000000008</v>
      </c>
    </row>
    <row r="263" spans="1:12" x14ac:dyDescent="0.35">
      <c r="A263" t="str">
        <f>VLOOKUP(" Jamaica",Countries!$A$1:$D$205,2,FALSE)</f>
        <v>JAM</v>
      </c>
      <c r="B263" s="30" t="s">
        <v>7040</v>
      </c>
      <c r="C263" t="s">
        <v>6422</v>
      </c>
      <c r="D263">
        <v>1</v>
      </c>
      <c r="E263" s="30">
        <v>2016</v>
      </c>
      <c r="F263" s="30" t="s">
        <v>6488</v>
      </c>
      <c r="G263" s="30" t="s">
        <v>6401</v>
      </c>
      <c r="H263" s="30">
        <v>0.5</v>
      </c>
      <c r="I263" s="30" t="s">
        <v>6488</v>
      </c>
      <c r="K263" s="30">
        <v>18.463028999999999</v>
      </c>
      <c r="L263" s="30">
        <v>-77.934847000000005</v>
      </c>
    </row>
    <row r="264" spans="1:12" x14ac:dyDescent="0.35">
      <c r="A264" t="str">
        <f>VLOOKUP(" Jamaica",Countries!$A$1:$D$205,2,FALSE)</f>
        <v>JAM</v>
      </c>
      <c r="B264" s="70" t="s">
        <v>7041</v>
      </c>
      <c r="C264" t="s">
        <v>6422</v>
      </c>
      <c r="D264">
        <v>1</v>
      </c>
      <c r="E264" s="70">
        <v>2019</v>
      </c>
      <c r="F264" s="70" t="s">
        <v>6488</v>
      </c>
      <c r="G264" s="70" t="s">
        <v>6401</v>
      </c>
      <c r="H264" s="70">
        <v>3.6</v>
      </c>
      <c r="I264" s="70" t="s">
        <v>6488</v>
      </c>
      <c r="K264" s="70">
        <v>17.894691999999999</v>
      </c>
      <c r="L264" s="70">
        <v>-77.101153999999994</v>
      </c>
    </row>
    <row r="265" spans="1:12" x14ac:dyDescent="0.35">
      <c r="A265" t="str">
        <f>VLOOKUP("Japan",Countries!$A$1:$D$205,2,FALSE)</f>
        <v>JPN</v>
      </c>
      <c r="B265" s="30" t="s">
        <v>7042</v>
      </c>
      <c r="C265" t="s">
        <v>6422</v>
      </c>
      <c r="D265">
        <v>1</v>
      </c>
      <c r="E265" s="30">
        <v>1977</v>
      </c>
      <c r="F265" s="30" t="s">
        <v>7043</v>
      </c>
      <c r="G265" s="30" t="s">
        <v>6401</v>
      </c>
      <c r="H265" s="30">
        <v>7.5</v>
      </c>
      <c r="I265" s="30" t="s">
        <v>7044</v>
      </c>
      <c r="J265" s="30" t="s">
        <v>7045</v>
      </c>
      <c r="K265" s="30">
        <v>34.966639999999998</v>
      </c>
      <c r="L265" s="30">
        <v>136.82288</v>
      </c>
    </row>
    <row r="266" spans="1:12" x14ac:dyDescent="0.35">
      <c r="A266" t="str">
        <f>VLOOKUP("Japan",Countries!$A$1:$D$205,2,FALSE)</f>
        <v>JPN</v>
      </c>
      <c r="B266" s="30" t="s">
        <v>7046</v>
      </c>
      <c r="C266" t="s">
        <v>6422</v>
      </c>
      <c r="D266">
        <v>1</v>
      </c>
      <c r="E266" s="30">
        <v>1977</v>
      </c>
      <c r="F266" s="30" t="s">
        <v>7043</v>
      </c>
      <c r="G266" s="30" t="s">
        <v>6401</v>
      </c>
      <c r="H266" s="30">
        <v>8.4</v>
      </c>
      <c r="I266" s="30" t="s">
        <v>7047</v>
      </c>
      <c r="J266" s="30" t="s">
        <v>7047</v>
      </c>
      <c r="K266" s="30">
        <v>34.968260000000001</v>
      </c>
      <c r="L266" s="30">
        <v>136.82721000000001</v>
      </c>
    </row>
    <row r="267" spans="1:12" x14ac:dyDescent="0.35">
      <c r="A267" t="str">
        <f>VLOOKUP("Japan",Countries!$A$1:$D$205,2,FALSE)</f>
        <v>JPN</v>
      </c>
      <c r="B267" s="30" t="s">
        <v>7048</v>
      </c>
      <c r="C267" t="s">
        <v>6422</v>
      </c>
      <c r="D267">
        <v>1</v>
      </c>
      <c r="E267" s="30">
        <v>2001</v>
      </c>
      <c r="F267" s="30" t="s">
        <v>7043</v>
      </c>
      <c r="G267" s="30" t="s">
        <v>6401</v>
      </c>
      <c r="H267" s="30">
        <v>7.7</v>
      </c>
      <c r="I267" s="30" t="s">
        <v>7049</v>
      </c>
      <c r="J267" s="30" t="s">
        <v>7049</v>
      </c>
      <c r="K267" s="30">
        <v>34.962449999999997</v>
      </c>
      <c r="L267" s="30">
        <v>136.81950000000001</v>
      </c>
    </row>
    <row r="268" spans="1:12" x14ac:dyDescent="0.35">
      <c r="A268" t="str">
        <f>VLOOKUP("Japan",Countries!$A$1:$D$205,2,FALSE)</f>
        <v>JPN</v>
      </c>
      <c r="B268" s="30" t="s">
        <v>7050</v>
      </c>
      <c r="C268" t="s">
        <v>6422</v>
      </c>
      <c r="D268">
        <v>1</v>
      </c>
      <c r="E268" s="30">
        <v>1993</v>
      </c>
      <c r="F268" s="30" t="s">
        <v>7051</v>
      </c>
      <c r="G268" s="30" t="s">
        <v>6401</v>
      </c>
      <c r="H268" s="30">
        <v>0.64</v>
      </c>
      <c r="I268" s="30" t="s">
        <v>7052</v>
      </c>
      <c r="J268" s="30" t="s">
        <v>7052</v>
      </c>
      <c r="K268" s="30">
        <v>33.617457000000002</v>
      </c>
      <c r="L268" s="30">
        <v>130.4074</v>
      </c>
    </row>
    <row r="269" spans="1:12" x14ac:dyDescent="0.35">
      <c r="A269" t="str">
        <f>VLOOKUP("Japan",Countries!$A$1:$D$205,2,FALSE)</f>
        <v>JPN</v>
      </c>
      <c r="B269" s="30" t="s">
        <v>7053</v>
      </c>
      <c r="C269" t="s">
        <v>6422</v>
      </c>
      <c r="D269">
        <v>1</v>
      </c>
      <c r="E269" s="30">
        <v>1985</v>
      </c>
      <c r="F269" s="30" t="s">
        <v>7054</v>
      </c>
      <c r="G269" s="30" t="s">
        <v>6401</v>
      </c>
      <c r="H269" s="30">
        <v>19.100000000000001</v>
      </c>
      <c r="I269" s="30" t="s">
        <v>7055</v>
      </c>
      <c r="J269" s="30" t="s">
        <v>7056</v>
      </c>
      <c r="K269" s="30">
        <v>35.345172400000003</v>
      </c>
      <c r="L269" s="30">
        <v>139.8213313</v>
      </c>
    </row>
    <row r="270" spans="1:12" x14ac:dyDescent="0.35">
      <c r="A270" t="str">
        <f>VLOOKUP("Japan",Countries!$A$1:$D$205,2,FALSE)</f>
        <v>JPN</v>
      </c>
      <c r="B270" s="30" t="s">
        <v>7057</v>
      </c>
      <c r="C270" t="s">
        <v>6422</v>
      </c>
      <c r="D270">
        <v>1</v>
      </c>
      <c r="E270" s="30">
        <v>2015</v>
      </c>
      <c r="F270" s="30" t="s">
        <v>7058</v>
      </c>
      <c r="G270" s="30" t="s">
        <v>6401</v>
      </c>
      <c r="H270" s="30">
        <v>1.6</v>
      </c>
      <c r="I270" s="30" t="s">
        <v>7059</v>
      </c>
      <c r="J270" s="30" t="s">
        <v>7059</v>
      </c>
      <c r="K270" s="30">
        <v>40.543239200000002</v>
      </c>
      <c r="L270" s="30">
        <v>141.52453689999999</v>
      </c>
    </row>
    <row r="271" spans="1:12" x14ac:dyDescent="0.35">
      <c r="A271" t="str">
        <f>VLOOKUP("Japan",Countries!$A$1:$D$205,2,FALSE)</f>
        <v>JPN</v>
      </c>
      <c r="B271" s="30" t="s">
        <v>7060</v>
      </c>
      <c r="C271" t="s">
        <v>6422</v>
      </c>
      <c r="D271">
        <v>1</v>
      </c>
      <c r="E271" s="30">
        <v>2006</v>
      </c>
      <c r="F271" s="30" t="s">
        <v>7061</v>
      </c>
      <c r="G271" s="30" t="s">
        <v>6401</v>
      </c>
      <c r="H271" s="30">
        <v>0.08</v>
      </c>
      <c r="I271" s="30" t="s">
        <v>7062</v>
      </c>
      <c r="J271" s="30" t="s">
        <v>7062</v>
      </c>
      <c r="K271" s="30">
        <v>41.807200000000002</v>
      </c>
      <c r="L271" s="30">
        <v>140.71292</v>
      </c>
    </row>
    <row r="272" spans="1:12" x14ac:dyDescent="0.35">
      <c r="A272" t="str">
        <f>VLOOKUP("Japan",Countries!$A$1:$D$205,2,FALSE)</f>
        <v>JPN</v>
      </c>
      <c r="B272" s="30" t="s">
        <v>7063</v>
      </c>
      <c r="C272" t="s">
        <v>6422</v>
      </c>
      <c r="D272">
        <v>1</v>
      </c>
      <c r="E272" s="30">
        <v>1996</v>
      </c>
      <c r="F272" s="30" t="s">
        <v>7064</v>
      </c>
      <c r="G272" s="30" t="s">
        <v>6401</v>
      </c>
      <c r="H272" s="30">
        <v>0.9</v>
      </c>
      <c r="I272" s="30" t="s">
        <v>7065</v>
      </c>
      <c r="J272" s="30" t="s">
        <v>7065</v>
      </c>
      <c r="K272" s="30">
        <v>34.340532699999997</v>
      </c>
      <c r="L272" s="30">
        <v>132.33962099999999</v>
      </c>
    </row>
    <row r="273" spans="1:12" x14ac:dyDescent="0.35">
      <c r="A273" t="str">
        <f>VLOOKUP("Japan",Countries!$A$1:$D$205,2,FALSE)</f>
        <v>JPN</v>
      </c>
      <c r="B273" s="30" t="s">
        <v>7066</v>
      </c>
      <c r="C273" t="s">
        <v>6422</v>
      </c>
      <c r="D273">
        <v>1</v>
      </c>
      <c r="E273" s="30">
        <v>2014</v>
      </c>
      <c r="F273" s="30" t="s">
        <v>5138</v>
      </c>
      <c r="G273" s="30" t="s">
        <v>6401</v>
      </c>
      <c r="H273" s="30">
        <v>2.4</v>
      </c>
      <c r="I273" s="30" t="s">
        <v>7067</v>
      </c>
      <c r="J273" s="30" t="s">
        <v>7067</v>
      </c>
      <c r="K273" s="30">
        <v>33.930500000000002</v>
      </c>
      <c r="L273" s="30">
        <v>130.778885</v>
      </c>
    </row>
    <row r="274" spans="1:12" x14ac:dyDescent="0.35">
      <c r="A274" t="str">
        <f>VLOOKUP("Japan",Countries!$A$1:$D$205,2,FALSE)</f>
        <v>JPN</v>
      </c>
      <c r="B274" s="30" t="s">
        <v>7068</v>
      </c>
      <c r="C274" t="s">
        <v>6422</v>
      </c>
      <c r="D274">
        <v>1</v>
      </c>
      <c r="E274" s="30">
        <v>1984</v>
      </c>
      <c r="F274" s="30" t="s">
        <v>7069</v>
      </c>
      <c r="G274" s="30" t="s">
        <v>6401</v>
      </c>
      <c r="H274" s="30">
        <v>8.9</v>
      </c>
      <c r="I274" s="30" t="s">
        <v>7070</v>
      </c>
      <c r="J274" s="30" t="s">
        <v>7070</v>
      </c>
      <c r="K274" s="30">
        <v>37.996250000000003</v>
      </c>
      <c r="L274" s="30">
        <v>139.2373</v>
      </c>
    </row>
    <row r="275" spans="1:12" x14ac:dyDescent="0.35">
      <c r="A275" t="str">
        <f>VLOOKUP("Japan",Countries!$A$1:$D$205,2,FALSE)</f>
        <v>JPN</v>
      </c>
      <c r="B275" s="30" t="s">
        <v>7071</v>
      </c>
      <c r="C275" t="s">
        <v>6422</v>
      </c>
      <c r="D275">
        <v>1</v>
      </c>
      <c r="E275" s="30">
        <v>1984</v>
      </c>
      <c r="F275" s="30" t="s">
        <v>7072</v>
      </c>
      <c r="G275" s="30" t="s">
        <v>6401</v>
      </c>
      <c r="H275" s="30">
        <v>13.2</v>
      </c>
      <c r="I275" s="30" t="s">
        <v>7055</v>
      </c>
      <c r="J275" s="30" t="s">
        <v>7056</v>
      </c>
      <c r="K275" s="30">
        <v>35.495399999999997</v>
      </c>
      <c r="L275" s="30">
        <v>139.745</v>
      </c>
    </row>
    <row r="276" spans="1:12" x14ac:dyDescent="0.35">
      <c r="A276" t="str">
        <f>VLOOKUP("Japan",Countries!$A$1:$D$205,2,FALSE)</f>
        <v>JPN</v>
      </c>
      <c r="B276" s="30" t="s">
        <v>7073</v>
      </c>
      <c r="C276" t="s">
        <v>6422</v>
      </c>
      <c r="D276">
        <v>2</v>
      </c>
      <c r="E276">
        <v>1984</v>
      </c>
      <c r="F276" s="30" t="s">
        <v>5102</v>
      </c>
      <c r="G276" s="30" t="s">
        <v>6401</v>
      </c>
      <c r="H276">
        <f>2+3.57</f>
        <v>5.57</v>
      </c>
      <c r="I276" s="30" t="s">
        <v>7074</v>
      </c>
      <c r="K276" s="30">
        <v>34.816667000000002</v>
      </c>
      <c r="L276" s="30">
        <v>134.683333</v>
      </c>
    </row>
    <row r="277" spans="1:12" x14ac:dyDescent="0.35">
      <c r="A277" t="str">
        <f>VLOOKUP("Japan",Countries!$A$1:$D$205,2,FALSE)</f>
        <v>JPN</v>
      </c>
      <c r="B277" s="30" t="s">
        <v>7075</v>
      </c>
      <c r="C277" t="s">
        <v>6422</v>
      </c>
      <c r="D277">
        <v>2</v>
      </c>
      <c r="E277">
        <v>2021</v>
      </c>
      <c r="F277" s="30" t="s">
        <v>7076</v>
      </c>
      <c r="G277" t="s">
        <v>6401</v>
      </c>
      <c r="H277">
        <f>3.2*2</f>
        <v>6.4</v>
      </c>
      <c r="I277" s="30" t="s">
        <v>7077</v>
      </c>
      <c r="K277" s="30">
        <v>36.484278699999997</v>
      </c>
      <c r="L277" s="30">
        <v>140.61888200000001</v>
      </c>
    </row>
    <row r="278" spans="1:12" x14ac:dyDescent="0.35">
      <c r="A278" t="str">
        <f>VLOOKUP("Japan",Countries!$A$1:$D$205,2,FALSE)</f>
        <v>JPN</v>
      </c>
      <c r="B278" s="30" t="s">
        <v>7078</v>
      </c>
      <c r="C278" t="s">
        <v>6422</v>
      </c>
      <c r="D278">
        <v>1</v>
      </c>
      <c r="E278" s="30">
        <v>2012</v>
      </c>
      <c r="F278" s="30" t="s">
        <v>7079</v>
      </c>
      <c r="G278" t="s">
        <v>6401</v>
      </c>
      <c r="H278" s="30">
        <v>4.5999999999999996</v>
      </c>
      <c r="I278" s="30" t="s">
        <v>7062</v>
      </c>
      <c r="J278" s="30" t="s">
        <v>7062</v>
      </c>
      <c r="K278" s="30">
        <v>43.209969999999998</v>
      </c>
      <c r="L278" s="30">
        <v>141.29324700000001</v>
      </c>
    </row>
    <row r="279" spans="1:12" x14ac:dyDescent="0.35">
      <c r="A279" t="str">
        <f>VLOOKUP("Japan",Countries!$A$1:$D$205,2,FALSE)</f>
        <v>JPN</v>
      </c>
      <c r="B279" s="30" t="s">
        <v>7080</v>
      </c>
      <c r="C279" t="s">
        <v>6422</v>
      </c>
      <c r="D279">
        <v>1</v>
      </c>
      <c r="E279" s="30">
        <v>2012</v>
      </c>
      <c r="F279" s="30" t="s">
        <v>7081</v>
      </c>
      <c r="G279" t="s">
        <v>6401</v>
      </c>
      <c r="H279" s="30">
        <v>3.2</v>
      </c>
      <c r="I279" s="30" t="s">
        <v>7055</v>
      </c>
      <c r="J279" s="30" t="s">
        <v>7056</v>
      </c>
      <c r="K279" s="30">
        <v>37.209020000000002</v>
      </c>
      <c r="L279" s="30">
        <v>138.27697800000001</v>
      </c>
    </row>
    <row r="280" spans="1:12" x14ac:dyDescent="0.35">
      <c r="A280" t="str">
        <f>VLOOKUP("Japan",Countries!$A$1:$D$205,2,FALSE)</f>
        <v>JPN</v>
      </c>
      <c r="B280" s="30" t="s">
        <v>7082</v>
      </c>
      <c r="C280" t="s">
        <v>6422</v>
      </c>
      <c r="D280">
        <v>1</v>
      </c>
      <c r="E280" s="30">
        <v>1996</v>
      </c>
      <c r="F280" s="30" t="s">
        <v>7083</v>
      </c>
      <c r="G280" t="s">
        <v>6401</v>
      </c>
      <c r="H280" s="30">
        <v>0.2</v>
      </c>
      <c r="I280" s="30" t="s">
        <v>7084</v>
      </c>
      <c r="J280" s="30" t="s">
        <v>7084</v>
      </c>
      <c r="K280" s="30">
        <v>31.485154999999999</v>
      </c>
      <c r="L280" s="30">
        <v>130.52953299999999</v>
      </c>
    </row>
    <row r="281" spans="1:12" x14ac:dyDescent="0.35">
      <c r="A281" t="str">
        <f>VLOOKUP("Japan",Countries!$A$1:$D$205,2,FALSE)</f>
        <v>JPN</v>
      </c>
      <c r="B281" s="30" t="s">
        <v>7085</v>
      </c>
      <c r="C281" t="s">
        <v>6422</v>
      </c>
      <c r="D281">
        <v>1</v>
      </c>
      <c r="E281" s="30">
        <v>1997</v>
      </c>
      <c r="F281" s="30" t="s">
        <v>7086</v>
      </c>
      <c r="G281" t="s">
        <v>6401</v>
      </c>
      <c r="H281" s="30">
        <v>7.1</v>
      </c>
      <c r="I281" s="30" t="s">
        <v>7055</v>
      </c>
      <c r="J281" s="30" t="s">
        <v>7056</v>
      </c>
      <c r="K281" s="30">
        <v>35.01</v>
      </c>
      <c r="L281" s="30">
        <v>136.69700700000001</v>
      </c>
    </row>
    <row r="282" spans="1:12" x14ac:dyDescent="0.35">
      <c r="A282" t="str">
        <f>VLOOKUP("Japan",Countries!$A$1:$D$205,2,FALSE)</f>
        <v>JPN</v>
      </c>
      <c r="B282" s="30" t="s">
        <v>7087</v>
      </c>
      <c r="C282" t="s">
        <v>6422</v>
      </c>
      <c r="D282">
        <v>1</v>
      </c>
      <c r="E282" s="30">
        <v>2015</v>
      </c>
      <c r="F282" s="30" t="s">
        <v>7088</v>
      </c>
      <c r="G282" t="s">
        <v>6401</v>
      </c>
      <c r="H282" s="30">
        <v>0.5</v>
      </c>
      <c r="I282" s="30" t="s">
        <v>7059</v>
      </c>
      <c r="J282" s="30" t="s">
        <v>7059</v>
      </c>
      <c r="K282" s="30">
        <v>42.997850999999997</v>
      </c>
      <c r="L282" s="30">
        <v>144.345032</v>
      </c>
    </row>
    <row r="283" spans="1:12" x14ac:dyDescent="0.35">
      <c r="A283" t="str">
        <f>VLOOKUP("Japan",Countries!$A$1:$D$205,2,FALSE)</f>
        <v>JPN</v>
      </c>
      <c r="B283" s="30" t="s">
        <v>7089</v>
      </c>
      <c r="C283" t="s">
        <v>6422</v>
      </c>
      <c r="D283">
        <v>1</v>
      </c>
      <c r="E283" s="30">
        <v>2006</v>
      </c>
      <c r="F283" s="30" t="s">
        <v>2977</v>
      </c>
      <c r="G283" t="s">
        <v>6401</v>
      </c>
      <c r="H283" s="30">
        <v>4.3</v>
      </c>
      <c r="I283" s="30" t="s">
        <v>7059</v>
      </c>
      <c r="J283" s="30" t="s">
        <v>7059</v>
      </c>
      <c r="K283" s="30">
        <v>34.499450000000003</v>
      </c>
      <c r="L283" s="30">
        <v>133.73324</v>
      </c>
    </row>
    <row r="284" spans="1:12" x14ac:dyDescent="0.35">
      <c r="A284" t="str">
        <f>VLOOKUP("Japan",Countries!$A$1:$D$205,2,FALSE)</f>
        <v>JPN</v>
      </c>
      <c r="B284" s="30" t="s">
        <v>7090</v>
      </c>
      <c r="C284" t="s">
        <v>6422</v>
      </c>
      <c r="D284">
        <v>1</v>
      </c>
      <c r="E284" s="30">
        <v>2003</v>
      </c>
      <c r="F284" s="30" t="s">
        <v>7091</v>
      </c>
      <c r="G284" t="s">
        <v>6401</v>
      </c>
      <c r="H284" s="30">
        <v>0.1</v>
      </c>
      <c r="I284" s="30" t="s">
        <v>7052</v>
      </c>
      <c r="J284" s="30" t="s">
        <v>7052</v>
      </c>
      <c r="K284" s="30">
        <v>32.758980000000001</v>
      </c>
      <c r="L284" s="30">
        <v>129.80636699999999</v>
      </c>
    </row>
    <row r="285" spans="1:12" x14ac:dyDescent="0.35">
      <c r="A285" t="str">
        <f>VLOOKUP("Japan",Countries!$A$1:$D$205,2,FALSE)</f>
        <v>JPN</v>
      </c>
      <c r="B285" s="30" t="s">
        <v>7092</v>
      </c>
      <c r="C285" t="s">
        <v>6422</v>
      </c>
      <c r="D285">
        <v>1</v>
      </c>
      <c r="E285" s="30">
        <v>2013</v>
      </c>
      <c r="F285" s="30" t="s">
        <v>7093</v>
      </c>
      <c r="G285" t="s">
        <v>6401</v>
      </c>
      <c r="H285" s="30">
        <v>9</v>
      </c>
      <c r="I285" s="30" t="s">
        <v>7094</v>
      </c>
      <c r="J285" s="30" t="s">
        <v>7094</v>
      </c>
      <c r="K285" s="30">
        <v>26.275375</v>
      </c>
      <c r="L285" s="30">
        <v>127.811727</v>
      </c>
    </row>
    <row r="286" spans="1:12" x14ac:dyDescent="0.35">
      <c r="A286" t="str">
        <f>VLOOKUP("Japan",Countries!$A$1:$D$205,2,FALSE)</f>
        <v>JPN</v>
      </c>
      <c r="B286" s="30" t="s">
        <v>7095</v>
      </c>
      <c r="C286" t="s">
        <v>6422</v>
      </c>
      <c r="D286">
        <v>1</v>
      </c>
      <c r="E286" s="30">
        <v>1969</v>
      </c>
      <c r="F286" s="30" t="s">
        <v>7096</v>
      </c>
      <c r="G286" t="s">
        <v>6401</v>
      </c>
      <c r="H286" s="30">
        <v>12</v>
      </c>
      <c r="I286" s="30" t="s">
        <v>7097</v>
      </c>
      <c r="J286" s="30" t="s">
        <v>7098</v>
      </c>
      <c r="K286" s="30">
        <v>35.404229999999998</v>
      </c>
      <c r="L286" s="30">
        <v>139.6285</v>
      </c>
    </row>
    <row r="287" spans="1:12" x14ac:dyDescent="0.35">
      <c r="A287" t="str">
        <f>VLOOKUP("Japan",Countries!$A$1:$D$205,2,FALSE)</f>
        <v>JPN</v>
      </c>
      <c r="B287" s="30" t="s">
        <v>7099</v>
      </c>
      <c r="C287" t="s">
        <v>6422</v>
      </c>
      <c r="D287">
        <v>1</v>
      </c>
      <c r="E287" s="30">
        <v>2013</v>
      </c>
      <c r="F287" s="30" t="s">
        <v>7100</v>
      </c>
      <c r="G287" t="s">
        <v>6401</v>
      </c>
      <c r="H287" s="30">
        <v>2.1</v>
      </c>
      <c r="I287" s="30" t="s">
        <v>7101</v>
      </c>
      <c r="J287" s="30" t="s">
        <v>7101</v>
      </c>
      <c r="K287" s="30">
        <v>37.205349599999998</v>
      </c>
      <c r="L287" s="30">
        <v>138.27708860000001</v>
      </c>
    </row>
    <row r="288" spans="1:12" x14ac:dyDescent="0.35">
      <c r="A288" t="str">
        <f>VLOOKUP("Japan",Countries!$A$1:$D$205,2,FALSE)</f>
        <v>JPN</v>
      </c>
      <c r="B288" s="30" t="s">
        <v>7102</v>
      </c>
      <c r="C288" t="s">
        <v>6422</v>
      </c>
      <c r="D288">
        <v>1</v>
      </c>
      <c r="E288" s="30">
        <v>1998</v>
      </c>
      <c r="F288" s="30" t="s">
        <v>7103</v>
      </c>
      <c r="G288" t="s">
        <v>6401</v>
      </c>
      <c r="H288" s="30">
        <v>10.4</v>
      </c>
      <c r="I288" s="30" t="s">
        <v>7077</v>
      </c>
      <c r="J288" s="30" t="s">
        <v>7077</v>
      </c>
      <c r="K288" s="30">
        <v>35.493544999999997</v>
      </c>
      <c r="L288" s="30">
        <v>139.73969199999999</v>
      </c>
    </row>
    <row r="289" spans="1:12" x14ac:dyDescent="0.35">
      <c r="A289" t="str">
        <f>VLOOKUP("Japan",Countries!$A$1:$D$205,2,FALSE)</f>
        <v>JPN</v>
      </c>
      <c r="B289" s="30" t="s">
        <v>7104</v>
      </c>
      <c r="C289" t="s">
        <v>6422</v>
      </c>
      <c r="D289">
        <v>1</v>
      </c>
      <c r="E289" s="30">
        <v>1990</v>
      </c>
      <c r="F289" s="30" t="s">
        <v>5143</v>
      </c>
      <c r="G289" t="s">
        <v>6401</v>
      </c>
      <c r="H289" s="30">
        <v>5.0999999999999996</v>
      </c>
      <c r="I289" s="30" t="s">
        <v>7105</v>
      </c>
      <c r="J289" s="30" t="s">
        <v>7105</v>
      </c>
      <c r="K289" s="30">
        <v>33.270699999999998</v>
      </c>
      <c r="L289" s="30">
        <v>131.70769999999999</v>
      </c>
    </row>
    <row r="290" spans="1:12" x14ac:dyDescent="0.35">
      <c r="A290" t="str">
        <f>VLOOKUP("Japan",Countries!$A$1:$D$205,2,FALSE)</f>
        <v>JPN</v>
      </c>
      <c r="B290" s="30" t="s">
        <v>7106</v>
      </c>
      <c r="C290" t="s">
        <v>6422</v>
      </c>
      <c r="D290">
        <v>1</v>
      </c>
      <c r="E290" s="30">
        <v>2006</v>
      </c>
      <c r="F290" s="30" t="s">
        <v>7107</v>
      </c>
      <c r="G290" t="s">
        <v>6401</v>
      </c>
      <c r="H290" s="30">
        <v>6.4</v>
      </c>
      <c r="I290" s="30" t="s">
        <v>7074</v>
      </c>
      <c r="J290" s="30" t="s">
        <v>7074</v>
      </c>
      <c r="K290" s="30">
        <v>34.571420000000003</v>
      </c>
      <c r="L290" s="30">
        <v>135.41399999999999</v>
      </c>
    </row>
    <row r="291" spans="1:12" x14ac:dyDescent="0.35">
      <c r="A291" t="str">
        <f>VLOOKUP("Japan",Countries!$A$1:$D$205,2,FALSE)</f>
        <v>JPN</v>
      </c>
      <c r="B291" s="30" t="s">
        <v>7108</v>
      </c>
      <c r="C291" t="s">
        <v>6422</v>
      </c>
      <c r="D291">
        <v>1</v>
      </c>
      <c r="E291" s="30">
        <v>2010</v>
      </c>
      <c r="F291" s="30" t="s">
        <v>7109</v>
      </c>
      <c r="G291" t="s">
        <v>6401</v>
      </c>
      <c r="H291" s="30">
        <v>1.2</v>
      </c>
      <c r="I291" s="30" t="s">
        <v>7110</v>
      </c>
      <c r="J291" s="30" t="s">
        <v>7110</v>
      </c>
      <c r="K291" s="30">
        <v>34.356834800000001</v>
      </c>
      <c r="L291" s="30">
        <v>133.83673060000001</v>
      </c>
    </row>
    <row r="292" spans="1:12" x14ac:dyDescent="0.35">
      <c r="A292" t="str">
        <f>VLOOKUP("Japan",Countries!$A$1:$D$205,2,FALSE)</f>
        <v>JPN</v>
      </c>
      <c r="B292" s="30" t="s">
        <v>7111</v>
      </c>
      <c r="C292" t="s">
        <v>6422</v>
      </c>
      <c r="D292">
        <v>2</v>
      </c>
      <c r="E292">
        <v>1977</v>
      </c>
      <c r="F292" s="30" t="s">
        <v>7112</v>
      </c>
      <c r="G292" t="s">
        <v>6401</v>
      </c>
      <c r="H292">
        <v>12.5</v>
      </c>
      <c r="I292" s="30" t="s">
        <v>7113</v>
      </c>
      <c r="K292" s="30">
        <v>34.548883400000001</v>
      </c>
      <c r="L292" s="30">
        <v>135.42840469999999</v>
      </c>
    </row>
    <row r="293" spans="1:12" x14ac:dyDescent="0.35">
      <c r="A293" t="str">
        <f>VLOOKUP("Japan",Countries!$A$1:$D$205,2,FALSE)</f>
        <v>JPN</v>
      </c>
      <c r="B293" s="30" t="s">
        <v>7114</v>
      </c>
      <c r="C293" t="s">
        <v>6422</v>
      </c>
      <c r="D293">
        <v>1</v>
      </c>
      <c r="E293" s="30">
        <v>1997</v>
      </c>
      <c r="F293" s="30" t="s">
        <v>3005</v>
      </c>
      <c r="G293" s="30" t="s">
        <v>6401</v>
      </c>
      <c r="H293" s="30">
        <v>0.3</v>
      </c>
      <c r="I293" s="30" t="s">
        <v>7115</v>
      </c>
      <c r="K293" s="30">
        <v>38.280127999999998</v>
      </c>
      <c r="L293" s="30">
        <v>141.025958</v>
      </c>
    </row>
    <row r="294" spans="1:12" x14ac:dyDescent="0.35">
      <c r="A294" t="str">
        <f>VLOOKUP("Japan",Countries!$A$1:$D$205,2,FALSE)</f>
        <v>JPN</v>
      </c>
      <c r="B294" s="30" t="s">
        <v>7116</v>
      </c>
      <c r="C294" t="s">
        <v>6422</v>
      </c>
      <c r="D294">
        <v>1</v>
      </c>
      <c r="E294" s="30">
        <v>2016</v>
      </c>
      <c r="F294" s="30" t="s">
        <v>2989</v>
      </c>
      <c r="G294" s="30" t="s">
        <v>6401</v>
      </c>
      <c r="H294" s="30">
        <v>0.8</v>
      </c>
      <c r="I294" s="30" t="s">
        <v>7070</v>
      </c>
      <c r="K294" s="30">
        <v>38.276780000000002</v>
      </c>
      <c r="L294" s="30">
        <v>141.0393</v>
      </c>
    </row>
    <row r="295" spans="1:12" x14ac:dyDescent="0.35">
      <c r="A295" t="str">
        <f>VLOOKUP("Japan",Countries!$A$1:$D$205,2,FALSE)</f>
        <v>JPN</v>
      </c>
      <c r="B295" s="30" t="s">
        <v>7117</v>
      </c>
      <c r="C295" t="s">
        <v>6422</v>
      </c>
      <c r="D295">
        <v>1</v>
      </c>
      <c r="E295" s="30">
        <v>1973</v>
      </c>
      <c r="F295" s="30" t="s">
        <v>7118</v>
      </c>
      <c r="G295" s="30" t="s">
        <v>6401</v>
      </c>
      <c r="H295" s="30">
        <v>35.5</v>
      </c>
      <c r="I295" s="30" t="s">
        <v>7097</v>
      </c>
      <c r="K295" s="30">
        <v>35.467955000000003</v>
      </c>
      <c r="L295" s="30">
        <v>139.97239300000001</v>
      </c>
    </row>
    <row r="296" spans="1:12" x14ac:dyDescent="0.35">
      <c r="A296" t="str">
        <f>VLOOKUP("Japan",Countries!$A$1:$D$205,2,FALSE)</f>
        <v>JPN</v>
      </c>
      <c r="B296" s="30" t="s">
        <v>7119</v>
      </c>
      <c r="C296" t="s">
        <v>6422</v>
      </c>
      <c r="D296">
        <v>1</v>
      </c>
      <c r="E296" s="30">
        <v>1996</v>
      </c>
      <c r="F296" s="30" t="s">
        <v>5138</v>
      </c>
      <c r="G296" s="30" t="s">
        <v>6401</v>
      </c>
      <c r="H296" s="30">
        <v>2.9</v>
      </c>
      <c r="I296" s="30" t="s">
        <v>7120</v>
      </c>
      <c r="K296" s="30">
        <v>35.0274</v>
      </c>
      <c r="L296" s="30">
        <v>138.49780000000001</v>
      </c>
    </row>
    <row r="297" spans="1:12" x14ac:dyDescent="0.35">
      <c r="A297" t="str">
        <f>VLOOKUP("Japan",Countries!$A$1:$D$205,2,FALSE)</f>
        <v>JPN</v>
      </c>
      <c r="B297" s="30" t="s">
        <v>7121</v>
      </c>
      <c r="C297" t="s">
        <v>6422</v>
      </c>
      <c r="D297">
        <v>1</v>
      </c>
      <c r="E297" s="30">
        <v>1977</v>
      </c>
      <c r="F297" s="30" t="s">
        <v>7122</v>
      </c>
      <c r="G297" s="30" t="s">
        <v>6401</v>
      </c>
      <c r="H297" s="30">
        <v>7.6</v>
      </c>
      <c r="I297" s="30" t="s">
        <v>7123</v>
      </c>
      <c r="K297" s="30">
        <v>33.91818</v>
      </c>
      <c r="L297" s="30">
        <v>130.86609000000001</v>
      </c>
    </row>
    <row r="298" spans="1:12" x14ac:dyDescent="0.35">
      <c r="A298" t="str">
        <f>VLOOKUP("Japan",Countries!$A$1:$D$205,2,FALSE)</f>
        <v>JPN</v>
      </c>
      <c r="B298" s="30" t="s">
        <v>7124</v>
      </c>
      <c r="C298" t="s">
        <v>6422</v>
      </c>
      <c r="D298">
        <v>1</v>
      </c>
      <c r="E298" s="30">
        <v>1990</v>
      </c>
      <c r="F298" s="30" t="s">
        <v>7125</v>
      </c>
      <c r="G298" s="30" t="s">
        <v>6401</v>
      </c>
      <c r="H298" s="30">
        <v>2.2999999999999998</v>
      </c>
      <c r="I298" s="30" t="s">
        <v>7126</v>
      </c>
      <c r="K298" s="30">
        <v>33.950744999999998</v>
      </c>
      <c r="L298" s="30">
        <v>132.12518</v>
      </c>
    </row>
    <row r="299" spans="1:12" x14ac:dyDescent="0.35">
      <c r="A299" t="str">
        <f>VLOOKUP("Japan",Countries!$A$1:$D$205,2,FALSE)</f>
        <v>JPN</v>
      </c>
      <c r="B299" s="30" t="s">
        <v>7127</v>
      </c>
      <c r="C299" t="s">
        <v>6422</v>
      </c>
      <c r="D299">
        <v>1</v>
      </c>
      <c r="E299" s="30">
        <v>1991</v>
      </c>
      <c r="F299" s="30" t="s">
        <v>7128</v>
      </c>
      <c r="G299" s="30" t="s">
        <v>6401</v>
      </c>
      <c r="H299" s="30">
        <v>2.1</v>
      </c>
      <c r="I299" s="30" t="s">
        <v>7049</v>
      </c>
      <c r="K299" s="30">
        <v>34.977260000000001</v>
      </c>
      <c r="L299" s="30">
        <v>136.66645800000001</v>
      </c>
    </row>
    <row r="300" spans="1:12" x14ac:dyDescent="0.35">
      <c r="A300" t="str">
        <f>VLOOKUP("Japan",Countries!$A$1:$D$205,2,FALSE)</f>
        <v>JPN</v>
      </c>
      <c r="B300" s="30" t="s">
        <v>7129</v>
      </c>
      <c r="C300" t="s">
        <v>6422</v>
      </c>
      <c r="D300">
        <v>1</v>
      </c>
      <c r="E300" s="30">
        <v>2022</v>
      </c>
      <c r="F300" s="30" t="s">
        <v>7130</v>
      </c>
      <c r="G300" s="30" t="s">
        <v>6401</v>
      </c>
      <c r="H300" s="30">
        <v>1</v>
      </c>
      <c r="I300" s="30" t="s">
        <v>7131</v>
      </c>
      <c r="K300" s="30">
        <v>33.984979000000003</v>
      </c>
      <c r="L300" s="30">
        <v>133.31424100000001</v>
      </c>
    </row>
    <row r="301" spans="1:12" x14ac:dyDescent="0.35">
      <c r="A301" t="str">
        <f>VLOOKUP("Japan",Countries!$A$1:$D$205,2,FALSE)</f>
        <v>JPN</v>
      </c>
      <c r="B301" s="30" t="s">
        <v>7132</v>
      </c>
      <c r="C301" t="s">
        <v>6422</v>
      </c>
      <c r="D301">
        <v>1</v>
      </c>
      <c r="E301" s="30">
        <v>2015</v>
      </c>
      <c r="F301" s="30" t="s">
        <v>7133</v>
      </c>
      <c r="G301" s="30" t="s">
        <v>6401</v>
      </c>
      <c r="H301" s="30" t="s">
        <v>6546</v>
      </c>
      <c r="I301" s="30" t="s">
        <v>7134</v>
      </c>
      <c r="K301" s="30">
        <v>39.761799400000001</v>
      </c>
      <c r="L301" s="30">
        <v>140.0547406</v>
      </c>
    </row>
    <row r="302" spans="1:12" x14ac:dyDescent="0.35">
      <c r="A302" t="str">
        <f>VLOOKUP("Japan",Countries!$A$1:$D$205,2,FALSE)</f>
        <v>JPN</v>
      </c>
      <c r="B302" s="30" t="s">
        <v>7135</v>
      </c>
      <c r="C302" t="s">
        <v>6422</v>
      </c>
      <c r="D302">
        <v>1</v>
      </c>
      <c r="E302" s="30">
        <v>1987</v>
      </c>
      <c r="F302" s="30" t="s">
        <v>7125</v>
      </c>
      <c r="G302" s="30" t="s">
        <v>6401</v>
      </c>
      <c r="H302" s="30">
        <v>6.4</v>
      </c>
      <c r="I302" s="30" t="s">
        <v>7056</v>
      </c>
      <c r="K302" s="30">
        <v>34.978155999999998</v>
      </c>
      <c r="L302" s="30">
        <v>136.66645800000001</v>
      </c>
    </row>
    <row r="303" spans="1:12" x14ac:dyDescent="0.35">
      <c r="A303" t="str">
        <f>VLOOKUP("Japan",Countries!$A$1:$D$205,2,FALSE)</f>
        <v>JPN</v>
      </c>
      <c r="B303" s="30" t="s">
        <v>7136</v>
      </c>
      <c r="C303" t="s">
        <v>6422</v>
      </c>
      <c r="D303">
        <v>1</v>
      </c>
      <c r="E303" s="30">
        <v>2012</v>
      </c>
      <c r="F303" s="30" t="s">
        <v>7137</v>
      </c>
      <c r="G303" s="30" t="s">
        <v>6401</v>
      </c>
      <c r="H303" s="30">
        <v>0.8</v>
      </c>
      <c r="I303" s="30" t="s">
        <v>7094</v>
      </c>
      <c r="K303" s="30">
        <v>26.479444000000001</v>
      </c>
      <c r="L303" s="30">
        <v>127.927778</v>
      </c>
    </row>
    <row r="304" spans="1:12" x14ac:dyDescent="0.35">
      <c r="A304" t="str">
        <f>VLOOKUP("Japan",Countries!$A$1:$D$205,2,FALSE)</f>
        <v>JPN</v>
      </c>
      <c r="B304" s="30" t="s">
        <v>7138</v>
      </c>
      <c r="C304" t="s">
        <v>6422</v>
      </c>
      <c r="D304">
        <v>1</v>
      </c>
      <c r="E304" s="30">
        <v>2006</v>
      </c>
      <c r="F304" s="30" t="s">
        <v>7139</v>
      </c>
      <c r="G304" s="30" t="s">
        <v>6401</v>
      </c>
      <c r="H304" s="30">
        <v>4.3</v>
      </c>
      <c r="I304" s="30" t="s">
        <v>7126</v>
      </c>
      <c r="K304" s="30">
        <v>33.892989999999998</v>
      </c>
      <c r="L304" s="30">
        <v>130.88608099999999</v>
      </c>
    </row>
    <row r="305" spans="1:12" x14ac:dyDescent="0.35">
      <c r="A305" t="str">
        <f>VLOOKUP("Japan",Countries!$A$1:$D$205,2,FALSE)</f>
        <v>JPN</v>
      </c>
      <c r="B305" s="30" t="s">
        <v>7140</v>
      </c>
      <c r="C305" t="s">
        <v>6422</v>
      </c>
      <c r="D305">
        <v>1</v>
      </c>
      <c r="E305" s="30">
        <v>2013</v>
      </c>
      <c r="F305" s="30" t="s">
        <v>3005</v>
      </c>
      <c r="G305" s="30" t="s">
        <v>6401</v>
      </c>
      <c r="H305" s="30">
        <v>0.8</v>
      </c>
      <c r="I305" s="30" t="s">
        <v>7141</v>
      </c>
      <c r="K305" s="30">
        <v>38.273591000000003</v>
      </c>
      <c r="L305" s="30">
        <v>141.00562300000001</v>
      </c>
    </row>
    <row r="306" spans="1:12" x14ac:dyDescent="0.35">
      <c r="A306" t="str">
        <f>VLOOKUP("Japan",Countries!$A$1:$D$205,2,FALSE)</f>
        <v>JPN</v>
      </c>
      <c r="B306" s="30" t="s">
        <v>7142</v>
      </c>
      <c r="C306" t="s">
        <v>6422</v>
      </c>
      <c r="D306">
        <v>1</v>
      </c>
      <c r="E306" s="30">
        <v>2018</v>
      </c>
      <c r="F306" s="30" t="s">
        <v>3004</v>
      </c>
      <c r="G306" s="30" t="s">
        <v>6401</v>
      </c>
      <c r="H306" s="30">
        <v>1.8</v>
      </c>
      <c r="I306" s="30" t="s">
        <v>7143</v>
      </c>
      <c r="K306" s="30">
        <v>36.757157999999997</v>
      </c>
      <c r="L306" s="30">
        <v>137.22246000000001</v>
      </c>
    </row>
    <row r="307" spans="1:12" x14ac:dyDescent="0.35">
      <c r="A307" t="str">
        <f>VLOOKUP("Jordan",Countries!$A$1:$D$205,2,FALSE)</f>
        <v>JOR</v>
      </c>
      <c r="B307" s="70" t="s">
        <v>7144</v>
      </c>
      <c r="C307" t="s">
        <v>6422</v>
      </c>
      <c r="D307">
        <v>1</v>
      </c>
      <c r="E307">
        <v>2015</v>
      </c>
      <c r="F307" s="70" t="s">
        <v>7128</v>
      </c>
      <c r="G307" t="s">
        <v>6401</v>
      </c>
      <c r="H307">
        <v>3.8</v>
      </c>
      <c r="I307" s="70" t="s">
        <v>7145</v>
      </c>
      <c r="K307" s="70">
        <v>29.375252700000001</v>
      </c>
      <c r="L307" s="70">
        <v>34.963568700000003</v>
      </c>
    </row>
    <row r="308" spans="1:12" x14ac:dyDescent="0.35">
      <c r="A308" t="str">
        <f>VLOOKUP(" Kenya",Countries!$A$1:$D$205,2,FALSE)</f>
        <v>KEN</v>
      </c>
      <c r="B308" s="70" t="s">
        <v>7146</v>
      </c>
      <c r="C308" t="s">
        <v>6399</v>
      </c>
      <c r="D308">
        <v>1</v>
      </c>
      <c r="F308" s="70" t="s">
        <v>3469</v>
      </c>
      <c r="G308" t="s">
        <v>6401</v>
      </c>
      <c r="I308" s="70" t="s">
        <v>7147</v>
      </c>
      <c r="K308" s="70">
        <v>-4.05</v>
      </c>
      <c r="L308" s="70">
        <v>39.666666999999997</v>
      </c>
    </row>
    <row r="309" spans="1:12" x14ac:dyDescent="0.35">
      <c r="A309" t="str">
        <f>VLOOKUP("Kuwait",Countries!$A$1:$D$205,2,FALSE)</f>
        <v>KWT</v>
      </c>
      <c r="B309" s="30" t="s">
        <v>7148</v>
      </c>
      <c r="C309" t="s">
        <v>6422</v>
      </c>
      <c r="D309">
        <v>1</v>
      </c>
      <c r="E309" s="30">
        <v>2014</v>
      </c>
      <c r="F309" s="30" t="s">
        <v>3471</v>
      </c>
      <c r="G309" t="s">
        <v>6401</v>
      </c>
      <c r="H309" s="30">
        <v>5.8</v>
      </c>
      <c r="I309" s="30" t="s">
        <v>6804</v>
      </c>
      <c r="K309" s="30">
        <v>29.083333</v>
      </c>
      <c r="L309" s="30">
        <v>48.083333000000003</v>
      </c>
    </row>
    <row r="310" spans="1:12" x14ac:dyDescent="0.35">
      <c r="A310" t="str">
        <f>VLOOKUP("Kuwait",Countries!$A$1:$D$205,2,FALSE)</f>
        <v>KWT</v>
      </c>
      <c r="B310" s="70" t="s">
        <v>7149</v>
      </c>
      <c r="C310" t="s">
        <v>6422</v>
      </c>
      <c r="D310">
        <v>1</v>
      </c>
      <c r="E310" s="70">
        <v>2022</v>
      </c>
      <c r="F310" s="70" t="s">
        <v>2380</v>
      </c>
      <c r="G310" t="s">
        <v>6401</v>
      </c>
      <c r="H310" s="70">
        <v>11.3</v>
      </c>
      <c r="I310" s="70" t="s">
        <v>7150</v>
      </c>
      <c r="K310" s="70">
        <v>28.734574800000001</v>
      </c>
      <c r="L310" s="70">
        <v>48.388703900000003</v>
      </c>
    </row>
    <row r="311" spans="1:12" x14ac:dyDescent="0.35">
      <c r="A311" t="str">
        <f>VLOOKUP(" Latvia",Countries!$A$1:$D$205,2,FALSE)</f>
        <v>LVA</v>
      </c>
      <c r="B311" s="30" t="s">
        <v>7151</v>
      </c>
      <c r="C311" t="s">
        <v>6399</v>
      </c>
      <c r="D311">
        <v>1</v>
      </c>
      <c r="F311" s="30" t="s">
        <v>7152</v>
      </c>
      <c r="G311" t="s">
        <v>6401</v>
      </c>
      <c r="H311" s="30">
        <v>3.6</v>
      </c>
      <c r="I311" s="30" t="s">
        <v>7153</v>
      </c>
      <c r="K311" s="30">
        <v>56.948889000000001</v>
      </c>
      <c r="L311" s="30">
        <v>24.106389</v>
      </c>
    </row>
    <row r="312" spans="1:12" x14ac:dyDescent="0.35">
      <c r="A312" t="str">
        <f>VLOOKUP(" Latvia",Countries!$A$1:$D$205,2,FALSE)</f>
        <v>LVA</v>
      </c>
      <c r="B312" s="70" t="s">
        <v>7154</v>
      </c>
      <c r="C312" t="s">
        <v>6399</v>
      </c>
      <c r="D312">
        <v>1</v>
      </c>
      <c r="E312">
        <v>2023</v>
      </c>
      <c r="F312" s="70" t="s">
        <v>7155</v>
      </c>
      <c r="G312" t="s">
        <v>6401</v>
      </c>
      <c r="H312" s="70">
        <v>4.5599999999999996</v>
      </c>
      <c r="I312" s="70" t="s">
        <v>7156</v>
      </c>
      <c r="K312" s="70">
        <v>57.314999999999998</v>
      </c>
      <c r="L312" s="70">
        <v>24.367000000000001</v>
      </c>
    </row>
    <row r="313" spans="1:12" x14ac:dyDescent="0.35">
      <c r="A313" t="str">
        <f>VLOOKUP("Lebanon",Countries!$A$1:$D$205,2,FALSE)</f>
        <v>LBN</v>
      </c>
      <c r="B313" s="70" t="s">
        <v>7157</v>
      </c>
      <c r="C313" t="s">
        <v>6399</v>
      </c>
      <c r="D313">
        <v>2</v>
      </c>
      <c r="F313" s="70" t="s">
        <v>7158</v>
      </c>
      <c r="G313" t="s">
        <v>6401</v>
      </c>
      <c r="I313" s="70" t="s">
        <v>7159</v>
      </c>
      <c r="K313" s="70">
        <v>33.508046999999998</v>
      </c>
      <c r="L313" s="70">
        <v>35.342265500000003</v>
      </c>
    </row>
    <row r="314" spans="1:12" x14ac:dyDescent="0.35">
      <c r="A314" t="str">
        <f>VLOOKUP(" Lithuania",Countries!$A$1:$D$205,2,FALSE)</f>
        <v>LTU</v>
      </c>
      <c r="B314" s="70" t="s">
        <v>7160</v>
      </c>
      <c r="C314" t="s">
        <v>6422</v>
      </c>
      <c r="D314">
        <v>1</v>
      </c>
      <c r="E314">
        <v>2014</v>
      </c>
      <c r="F314" s="70" t="s">
        <v>7161</v>
      </c>
      <c r="G314" t="s">
        <v>6401</v>
      </c>
      <c r="H314" s="70">
        <v>2.9</v>
      </c>
      <c r="I314" s="70" t="s">
        <v>7162</v>
      </c>
      <c r="K314" s="70">
        <v>55.66451</v>
      </c>
      <c r="L314" s="70">
        <v>21.137619999999998</v>
      </c>
    </row>
    <row r="315" spans="1:12" x14ac:dyDescent="0.35">
      <c r="A315" t="str">
        <f>VLOOKUP(" Malaysia",Countries!$A$1:$D$205,2,FALSE)</f>
        <v>MYS</v>
      </c>
      <c r="B315" s="30" t="s">
        <v>7163</v>
      </c>
      <c r="C315" t="s">
        <v>6422</v>
      </c>
      <c r="D315">
        <v>1</v>
      </c>
      <c r="E315" s="30">
        <v>2017</v>
      </c>
      <c r="F315" s="30" t="s">
        <v>7164</v>
      </c>
      <c r="G315" t="s">
        <v>6424</v>
      </c>
      <c r="H315" s="30">
        <v>1.2</v>
      </c>
      <c r="I315" s="30" t="s">
        <v>6864</v>
      </c>
      <c r="K315" s="30">
        <v>7.375718</v>
      </c>
      <c r="L315" s="30">
        <v>115.48002200000001</v>
      </c>
    </row>
    <row r="316" spans="1:12" x14ac:dyDescent="0.35">
      <c r="A316" t="str">
        <f>VLOOKUP(" Malaysia",Countries!$A$1:$D$205,2,FALSE)</f>
        <v>MYS</v>
      </c>
      <c r="B316" s="30" t="s">
        <v>7165</v>
      </c>
      <c r="C316" t="s">
        <v>6422</v>
      </c>
      <c r="D316">
        <v>1</v>
      </c>
      <c r="E316" s="30">
        <v>2021</v>
      </c>
      <c r="F316" s="30" t="s">
        <v>7166</v>
      </c>
      <c r="G316" t="s">
        <v>6424</v>
      </c>
      <c r="H316" s="30">
        <v>1.5</v>
      </c>
      <c r="I316" s="30" t="s">
        <v>6864</v>
      </c>
      <c r="K316" s="30">
        <v>12</v>
      </c>
      <c r="L316" s="30">
        <v>113</v>
      </c>
    </row>
    <row r="317" spans="1:12" x14ac:dyDescent="0.35">
      <c r="A317" t="str">
        <f>VLOOKUP(" Malaysia",Countries!$A$1:$D$205,2,FALSE)</f>
        <v>MYS</v>
      </c>
      <c r="B317" s="30" t="s">
        <v>7167</v>
      </c>
      <c r="C317" t="s">
        <v>6422</v>
      </c>
      <c r="D317">
        <v>1</v>
      </c>
      <c r="E317" s="30">
        <v>2013</v>
      </c>
      <c r="F317" s="30" t="s">
        <v>7168</v>
      </c>
      <c r="G317" t="s">
        <v>6401</v>
      </c>
      <c r="H317" s="30">
        <v>3.8</v>
      </c>
      <c r="I317" s="30" t="s">
        <v>6864</v>
      </c>
      <c r="K317" s="30">
        <v>2.2444375000000001</v>
      </c>
      <c r="L317" s="30">
        <v>102.1234396</v>
      </c>
    </row>
    <row r="318" spans="1:12" x14ac:dyDescent="0.35">
      <c r="A318" t="str">
        <f>VLOOKUP(" Malaysia",Countries!$A$1:$D$205,2,FALSE)</f>
        <v>MYS</v>
      </c>
      <c r="B318" s="30" t="s">
        <v>7169</v>
      </c>
      <c r="C318" t="s">
        <v>6422</v>
      </c>
      <c r="D318">
        <v>1</v>
      </c>
      <c r="E318" s="30">
        <v>2017</v>
      </c>
      <c r="F318" s="30" t="s">
        <v>7170</v>
      </c>
      <c r="G318" t="s">
        <v>6401</v>
      </c>
      <c r="H318" s="30">
        <v>3.5</v>
      </c>
      <c r="I318" s="30" t="s">
        <v>7171</v>
      </c>
      <c r="K318" s="30">
        <v>1.3413820000000001</v>
      </c>
      <c r="L318" s="30">
        <v>104.182089</v>
      </c>
    </row>
    <row r="319" spans="1:12" x14ac:dyDescent="0.35">
      <c r="A319" t="str">
        <f>VLOOKUP(" Malaysia",Countries!$A$1:$D$205,2,FALSE)</f>
        <v>MYS</v>
      </c>
      <c r="B319" s="30" t="s">
        <v>7172</v>
      </c>
      <c r="C319" t="s">
        <v>6422</v>
      </c>
      <c r="D319">
        <v>3</v>
      </c>
      <c r="E319">
        <v>1995</v>
      </c>
      <c r="F319" t="s">
        <v>7164</v>
      </c>
      <c r="G319" t="s">
        <v>6424</v>
      </c>
      <c r="H319">
        <f>3.2*3</f>
        <v>9.6000000000000014</v>
      </c>
      <c r="I319" s="30" t="s">
        <v>7171</v>
      </c>
      <c r="K319" s="30">
        <v>3.2823799999999999</v>
      </c>
      <c r="L319" s="30">
        <v>113.083</v>
      </c>
    </row>
    <row r="320" spans="1:12" x14ac:dyDescent="0.35">
      <c r="A320" t="str">
        <f>VLOOKUP(" Malaysia",Countries!$A$1:$D$205,2,FALSE)</f>
        <v>MYS</v>
      </c>
      <c r="B320" s="30" t="s">
        <v>7173</v>
      </c>
      <c r="C320" t="s">
        <v>6422</v>
      </c>
      <c r="D320">
        <v>1</v>
      </c>
      <c r="E320">
        <v>2016</v>
      </c>
      <c r="F320" t="s">
        <v>7164</v>
      </c>
      <c r="G320" t="s">
        <v>6424</v>
      </c>
      <c r="H320">
        <v>3.6</v>
      </c>
      <c r="I320" s="30" t="s">
        <v>7171</v>
      </c>
      <c r="K320" s="30">
        <v>3.2902999999999998</v>
      </c>
      <c r="L320" s="30">
        <v>113.087</v>
      </c>
    </row>
    <row r="321" spans="1:12" x14ac:dyDescent="0.35">
      <c r="A321" t="str">
        <f>VLOOKUP(" Malaysia",Countries!$A$1:$D$205,2,FALSE)</f>
        <v>MYS</v>
      </c>
      <c r="B321" s="30" t="s">
        <v>7174</v>
      </c>
      <c r="C321" t="s">
        <v>6422</v>
      </c>
      <c r="D321">
        <v>3</v>
      </c>
      <c r="E321">
        <v>1983</v>
      </c>
      <c r="F321" t="s">
        <v>7164</v>
      </c>
      <c r="G321" t="s">
        <v>6424</v>
      </c>
      <c r="H321">
        <f>2.8*3</f>
        <v>8.3999999999999986</v>
      </c>
      <c r="I321" s="30" t="s">
        <v>7171</v>
      </c>
      <c r="K321" s="30">
        <v>3.2850999999999999</v>
      </c>
      <c r="L321" s="30">
        <v>113.08114</v>
      </c>
    </row>
    <row r="322" spans="1:12" x14ac:dyDescent="0.35">
      <c r="A322" t="str">
        <f>VLOOKUP(" Malaysia",Countries!$A$1:$D$205,2,FALSE)</f>
        <v>MYS</v>
      </c>
      <c r="B322" s="30" t="s">
        <v>7175</v>
      </c>
      <c r="C322" t="s">
        <v>6422</v>
      </c>
      <c r="D322">
        <v>2</v>
      </c>
      <c r="E322">
        <v>2003</v>
      </c>
      <c r="F322" t="s">
        <v>7164</v>
      </c>
      <c r="G322" t="s">
        <v>6424</v>
      </c>
      <c r="H322">
        <f>3.6*2</f>
        <v>7.2</v>
      </c>
      <c r="I322" s="30" t="s">
        <v>7171</v>
      </c>
      <c r="K322" s="30">
        <v>3.29033</v>
      </c>
      <c r="L322" s="30">
        <v>113.08767</v>
      </c>
    </row>
    <row r="323" spans="1:12" x14ac:dyDescent="0.35">
      <c r="A323" t="str">
        <f>VLOOKUP(" Malaysia",Countries!$A$1:$D$205,2,FALSE)</f>
        <v>MYS</v>
      </c>
      <c r="B323" s="70" t="s">
        <v>7176</v>
      </c>
      <c r="C323" t="s">
        <v>6399</v>
      </c>
      <c r="D323">
        <v>1</v>
      </c>
      <c r="E323">
        <v>2026</v>
      </c>
      <c r="F323" t="s">
        <v>7164</v>
      </c>
      <c r="G323" t="s">
        <v>6424</v>
      </c>
      <c r="H323">
        <v>3.6</v>
      </c>
      <c r="I323" s="30" t="s">
        <v>7171</v>
      </c>
      <c r="K323" s="70">
        <v>5.968</v>
      </c>
      <c r="L323" s="70">
        <v>118.215</v>
      </c>
    </row>
    <row r="324" spans="1:12" x14ac:dyDescent="0.35">
      <c r="A324" t="str">
        <f>VLOOKUP(" Malta",Countries!$A$1:$D$205,2,FALSE)</f>
        <v>MLT</v>
      </c>
      <c r="B324" s="70" t="s">
        <v>7177</v>
      </c>
      <c r="C324" t="s">
        <v>6422</v>
      </c>
      <c r="D324">
        <v>1</v>
      </c>
      <c r="E324">
        <v>2017</v>
      </c>
      <c r="F324" s="70" t="s">
        <v>7178</v>
      </c>
      <c r="G324" t="s">
        <v>6401</v>
      </c>
      <c r="H324">
        <v>0.5</v>
      </c>
      <c r="I324" s="70" t="s">
        <v>7179</v>
      </c>
      <c r="K324" s="70">
        <v>35.8277</v>
      </c>
      <c r="L324" s="70">
        <v>14.5542</v>
      </c>
    </row>
    <row r="325" spans="1:12" x14ac:dyDescent="0.35">
      <c r="A325" t="str">
        <f>VLOOKUP(" Mauritania",Countries!$A$1:$D$205,2,FALSE)</f>
        <v>MRT</v>
      </c>
      <c r="B325" s="30" t="s">
        <v>7180</v>
      </c>
      <c r="C325" t="s">
        <v>6417</v>
      </c>
      <c r="D325">
        <v>5</v>
      </c>
      <c r="E325">
        <v>2023</v>
      </c>
      <c r="G325" t="s">
        <v>6424</v>
      </c>
      <c r="H325">
        <f>7.5+(0.63*4)</f>
        <v>10.02</v>
      </c>
      <c r="I325" s="30" t="s">
        <v>7181</v>
      </c>
      <c r="K325" s="30">
        <v>16.355626000000001</v>
      </c>
      <c r="L325" s="30">
        <v>-17.745782999999999</v>
      </c>
    </row>
    <row r="326" spans="1:12" x14ac:dyDescent="0.35">
      <c r="A326" t="str">
        <f>VLOOKUP(" Mauritania",Countries!$A$1:$D$205,2,FALSE)</f>
        <v>MRT</v>
      </c>
      <c r="B326" s="70" t="s">
        <v>7182</v>
      </c>
      <c r="C326" t="s">
        <v>6399</v>
      </c>
      <c r="D326">
        <v>1</v>
      </c>
      <c r="E326">
        <v>2024</v>
      </c>
      <c r="F326" t="s">
        <v>7183</v>
      </c>
      <c r="G326" t="s">
        <v>6424</v>
      </c>
      <c r="I326" s="70" t="s">
        <v>6488</v>
      </c>
      <c r="K326" s="70">
        <v>17.948231</v>
      </c>
      <c r="L326" s="70">
        <v>-16.658218999999999</v>
      </c>
    </row>
    <row r="327" spans="1:12" x14ac:dyDescent="0.35">
      <c r="A327" t="str">
        <f>VLOOKUP("Mexico",Countries!$A$1:$D$205,2,FALSE)</f>
        <v>MEX</v>
      </c>
      <c r="B327" s="30" t="s">
        <v>7184</v>
      </c>
      <c r="C327" t="s">
        <v>6422</v>
      </c>
      <c r="D327">
        <v>1</v>
      </c>
      <c r="E327" s="30">
        <v>2006</v>
      </c>
      <c r="F327" s="30" t="s">
        <v>7185</v>
      </c>
      <c r="G327" t="s">
        <v>6401</v>
      </c>
      <c r="H327" s="30">
        <v>5.7</v>
      </c>
      <c r="I327" s="30" t="s">
        <v>7186</v>
      </c>
      <c r="K327" s="30">
        <v>22.337499999999999</v>
      </c>
      <c r="L327" s="30">
        <v>-97.869444000000001</v>
      </c>
    </row>
    <row r="328" spans="1:12" x14ac:dyDescent="0.35">
      <c r="A328" t="str">
        <f>VLOOKUP("Mexico",Countries!$A$1:$D$205,2,FALSE)</f>
        <v>MEX</v>
      </c>
      <c r="B328" s="30" t="s">
        <v>7187</v>
      </c>
      <c r="C328" t="s">
        <v>6422</v>
      </c>
      <c r="D328">
        <v>1</v>
      </c>
      <c r="E328" s="30">
        <v>2012</v>
      </c>
      <c r="F328" s="30" t="s">
        <v>7188</v>
      </c>
      <c r="G328" t="s">
        <v>6401</v>
      </c>
      <c r="H328" s="30">
        <v>3.8</v>
      </c>
      <c r="I328" s="30" t="s">
        <v>7189</v>
      </c>
      <c r="K328" s="30">
        <v>19.052222</v>
      </c>
      <c r="L328" s="30">
        <v>-104.315833</v>
      </c>
    </row>
    <row r="329" spans="1:12" x14ac:dyDescent="0.35">
      <c r="A329" t="str">
        <f>VLOOKUP("Mexico",Countries!$A$1:$D$205,2,FALSE)</f>
        <v>MEX</v>
      </c>
      <c r="B329" s="30" t="s">
        <v>7190</v>
      </c>
      <c r="C329" t="s">
        <v>6422</v>
      </c>
      <c r="D329">
        <v>1</v>
      </c>
      <c r="E329" s="30">
        <v>2021</v>
      </c>
      <c r="F329" s="30" t="s">
        <v>7191</v>
      </c>
      <c r="G329" t="s">
        <v>6401</v>
      </c>
      <c r="H329" s="30">
        <v>3</v>
      </c>
      <c r="I329" s="30" t="s">
        <v>6488</v>
      </c>
      <c r="K329" s="30">
        <v>24.2740568</v>
      </c>
      <c r="L329" s="30">
        <v>-110.3273078</v>
      </c>
    </row>
    <row r="330" spans="1:12" x14ac:dyDescent="0.35">
      <c r="A330" t="str">
        <f>VLOOKUP("Mexico",Countries!$A$1:$D$205,2,FALSE)</f>
        <v>MEX</v>
      </c>
      <c r="B330" s="30" t="s">
        <v>7192</v>
      </c>
      <c r="C330" t="s">
        <v>6399</v>
      </c>
      <c r="D330">
        <v>1</v>
      </c>
      <c r="E330" s="30"/>
      <c r="F330" s="30" t="s">
        <v>4011</v>
      </c>
      <c r="G330" t="s">
        <v>6424</v>
      </c>
      <c r="H330" s="30">
        <v>3</v>
      </c>
      <c r="I330" s="30" t="s">
        <v>7193</v>
      </c>
      <c r="K330" s="30">
        <v>16.161733000000002</v>
      </c>
      <c r="L330" s="30">
        <v>-95.195758999999995</v>
      </c>
    </row>
    <row r="331" spans="1:12" x14ac:dyDescent="0.35">
      <c r="A331" t="str">
        <f>VLOOKUP("Mexico",Countries!$A$1:$D$205,2,FALSE)</f>
        <v>MEX</v>
      </c>
      <c r="B331" s="30" t="s">
        <v>7194</v>
      </c>
      <c r="C331" t="s">
        <v>6399</v>
      </c>
      <c r="D331">
        <v>6</v>
      </c>
      <c r="E331">
        <v>2025</v>
      </c>
      <c r="F331" s="30" t="s">
        <v>7195</v>
      </c>
      <c r="G331" t="s">
        <v>6424</v>
      </c>
      <c r="H331">
        <f>4.7*D331</f>
        <v>28.200000000000003</v>
      </c>
      <c r="I331" s="30" t="s">
        <v>7196</v>
      </c>
      <c r="K331" s="30">
        <v>29.905837999999999</v>
      </c>
      <c r="L331" s="30">
        <v>-112.68803800000001</v>
      </c>
    </row>
    <row r="332" spans="1:12" x14ac:dyDescent="0.35">
      <c r="A332" t="str">
        <f>VLOOKUP("Mexico",Countries!$A$1:$D$205,2,FALSE)</f>
        <v>MEX</v>
      </c>
      <c r="B332" s="30" t="s">
        <v>7197</v>
      </c>
      <c r="C332" t="s">
        <v>6422</v>
      </c>
      <c r="D332">
        <v>1</v>
      </c>
      <c r="E332">
        <v>2008</v>
      </c>
      <c r="F332" s="30" t="s">
        <v>3140</v>
      </c>
      <c r="G332" t="s">
        <v>6401</v>
      </c>
      <c r="H332" s="30">
        <v>7.6</v>
      </c>
      <c r="I332" s="30" t="s">
        <v>7197</v>
      </c>
      <c r="K332" s="30">
        <v>31.988557</v>
      </c>
      <c r="L332" s="30">
        <v>-116.84646600000001</v>
      </c>
    </row>
    <row r="333" spans="1:12" x14ac:dyDescent="0.35">
      <c r="A333" t="str">
        <f>VLOOKUP("Mexico",Countries!$A$1:$D$205,2,FALSE)</f>
        <v>MEX</v>
      </c>
      <c r="B333" s="30" t="s">
        <v>7198</v>
      </c>
      <c r="C333" t="s">
        <v>6417</v>
      </c>
      <c r="D333">
        <v>1</v>
      </c>
      <c r="E333">
        <v>2024</v>
      </c>
      <c r="F333" s="30" t="s">
        <v>3140</v>
      </c>
      <c r="G333" t="s">
        <v>6424</v>
      </c>
      <c r="H333" s="30">
        <v>3.25</v>
      </c>
      <c r="I333" s="30" t="s">
        <v>7199</v>
      </c>
      <c r="K333" s="30">
        <v>31.988557</v>
      </c>
      <c r="L333" s="30">
        <v>-116.84646600000001</v>
      </c>
    </row>
    <row r="334" spans="1:12" x14ac:dyDescent="0.35">
      <c r="A334" t="str">
        <f>VLOOKUP("Mexico",Countries!$A$1:$D$205,2,FALSE)</f>
        <v>MEX</v>
      </c>
      <c r="B334" s="30" t="s">
        <v>7198</v>
      </c>
      <c r="C334" t="s">
        <v>6399</v>
      </c>
      <c r="D334">
        <v>1</v>
      </c>
      <c r="E334">
        <v>2024</v>
      </c>
      <c r="F334" s="30" t="s">
        <v>3140</v>
      </c>
      <c r="G334" t="s">
        <v>6424</v>
      </c>
      <c r="H334" s="30">
        <v>12</v>
      </c>
      <c r="I334" s="30" t="s">
        <v>7200</v>
      </c>
      <c r="K334" s="30">
        <v>31.988557</v>
      </c>
      <c r="L334" s="30">
        <v>-116.84646600000001</v>
      </c>
    </row>
    <row r="335" spans="1:12" x14ac:dyDescent="0.35">
      <c r="A335" t="str">
        <f>VLOOKUP("Mexico",Countries!$A$1:$D$205,2,FALSE)</f>
        <v>MEX</v>
      </c>
      <c r="B335" s="30" t="s">
        <v>7201</v>
      </c>
      <c r="C335" t="s">
        <v>6399</v>
      </c>
      <c r="D335">
        <v>2</v>
      </c>
      <c r="E335">
        <v>2027</v>
      </c>
      <c r="F335" s="30" t="s">
        <v>7195</v>
      </c>
      <c r="G335" t="s">
        <v>6424</v>
      </c>
      <c r="H335" s="30">
        <f>3.9*2</f>
        <v>7.8</v>
      </c>
      <c r="I335" s="30" t="s">
        <v>7200</v>
      </c>
      <c r="K335" s="30">
        <v>29.905837999999999</v>
      </c>
      <c r="L335" s="30">
        <v>-112.68803800000001</v>
      </c>
    </row>
    <row r="336" spans="1:12" x14ac:dyDescent="0.35">
      <c r="A336" t="str">
        <f>VLOOKUP("Mexico",Countries!$A$1:$D$205,2,FALSE)</f>
        <v>MEX</v>
      </c>
      <c r="B336" s="30" t="s">
        <v>7202</v>
      </c>
      <c r="C336" t="s">
        <v>6399</v>
      </c>
      <c r="D336">
        <v>1</v>
      </c>
      <c r="E336">
        <v>2025</v>
      </c>
      <c r="F336" s="30" t="s">
        <v>7203</v>
      </c>
      <c r="G336" t="s">
        <v>6424</v>
      </c>
      <c r="H336">
        <v>4</v>
      </c>
      <c r="I336" s="30" t="s">
        <v>7202</v>
      </c>
      <c r="K336" s="30">
        <v>25.581941</v>
      </c>
      <c r="L336" s="30">
        <v>-109.059196</v>
      </c>
    </row>
    <row r="337" spans="1:12" x14ac:dyDescent="0.35">
      <c r="A337" t="str">
        <f>VLOOKUP("Mexico",Countries!$A$1:$D$205,2,FALSE)</f>
        <v>MEX</v>
      </c>
      <c r="B337" s="30" t="s">
        <v>7204</v>
      </c>
      <c r="C337" t="s">
        <v>6399</v>
      </c>
      <c r="D337">
        <v>1</v>
      </c>
      <c r="F337" s="30" t="s">
        <v>7205</v>
      </c>
      <c r="G337" t="s">
        <v>6424</v>
      </c>
      <c r="H337">
        <v>1.4</v>
      </c>
      <c r="I337" s="30" t="s">
        <v>7204</v>
      </c>
      <c r="K337" s="30">
        <v>19.293299999999999</v>
      </c>
      <c r="L337" s="30">
        <v>-95.401799999999994</v>
      </c>
    </row>
    <row r="338" spans="1:12" x14ac:dyDescent="0.35">
      <c r="A338" t="str">
        <f>VLOOKUP("Mexico",Countries!$A$1:$D$205,2,FALSE)</f>
        <v>MEX</v>
      </c>
      <c r="B338" s="30" t="s">
        <v>7206</v>
      </c>
      <c r="C338" t="s">
        <v>6399</v>
      </c>
      <c r="D338">
        <v>2</v>
      </c>
      <c r="F338" s="30" t="s">
        <v>7207</v>
      </c>
      <c r="G338" t="s">
        <v>6424</v>
      </c>
      <c r="H338">
        <f>1.4*2</f>
        <v>2.8</v>
      </c>
      <c r="I338" s="30" t="s">
        <v>7206</v>
      </c>
      <c r="K338" s="30">
        <v>22.415500000000002</v>
      </c>
      <c r="L338" s="30">
        <v>-97.811199999999999</v>
      </c>
    </row>
  </sheetData>
  <phoneticPr fontId="3" type="noConversion"/>
  <hyperlinks>
    <hyperlink ref="M4" r:id="rId1" location="cite_note-argus-1" display="https://www.gem.wiki/Port_Phillip_Bay_FSRU - cite_note-argus-1" xr:uid="{E5937070-9025-42D7-ACC7-F8C4C8D143D6}"/>
    <hyperlink ref="M13" r:id="rId2" location="cite_note-Sonali-7" display="https://www.gem.wiki/Wheatstone_LNG_Terminal - cite_note-Sonali-7" xr:uid="{C146CB77-F66D-4571-AC54-26AD515F9D27}"/>
    <hyperlink ref="M12" r:id="rId3" location="cite_note-reu-28" display="https://www.gem.wiki/Ichthys_FLNG_Terminal - cite_note-reu-28" xr:uid="{B0861DA3-BB8C-4EB4-85A0-28270ED24323}"/>
    <hyperlink ref="M16" r:id="rId4" location="cite_note-3" display="https://www.gem.wiki/North_West_Shelf_LNG_Terminal - cite_note-3" xr:uid="{BFEA03FF-8FA5-4BA0-B9FD-FDC6AF388A01}"/>
    <hyperlink ref="M17" r:id="rId5" location="cite_note-3" display="https://www.gem.wiki/North_West_Shelf_LNG_Terminal - cite_note-3" xr:uid="{033F06E9-6F18-4EF5-ACC9-35E894596693}"/>
    <hyperlink ref="M18" r:id="rId6" location="cite_note-12" display="https://www.gem.wiki/Pluto_LNG_Terminal - cite_note-12" xr:uid="{0A7ADB66-BE82-472A-815E-453948CE0CFE}"/>
  </hyperlinks>
  <pageMargins left="0.7" right="0.7" top="0.75" bottom="0.75" header="0.3" footer="0.3"/>
  <pageSetup orientation="portrait" r:id="rId7"/>
  <tableParts count="1">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1E1D-B1FE-4C3B-88D8-0EB7179A3592}">
  <dimension ref="A1:AO3145"/>
  <sheetViews>
    <sheetView workbookViewId="0">
      <selection activeCell="U826" sqref="U826"/>
    </sheetView>
  </sheetViews>
  <sheetFormatPr defaultRowHeight="14.5" x14ac:dyDescent="0.35"/>
  <cols>
    <col min="1" max="1" width="10.54296875" customWidth="1"/>
    <col min="3" max="3" width="13.54296875" customWidth="1"/>
    <col min="4" max="4" width="12.7265625" customWidth="1"/>
    <col min="5" max="6" width="12" customWidth="1"/>
    <col min="8" max="8" width="15" customWidth="1"/>
    <col min="9" max="9" width="15.453125" customWidth="1"/>
    <col min="10" max="10" width="19.54296875" customWidth="1"/>
    <col min="14" max="16" width="11.453125" customWidth="1"/>
    <col min="17" max="17" width="10.453125" customWidth="1"/>
    <col min="18" max="18" width="10" customWidth="1"/>
    <col min="19" max="19" width="14.453125" customWidth="1"/>
    <col min="20" max="20" width="15.26953125" customWidth="1"/>
    <col min="21" max="21" width="14.453125" customWidth="1"/>
    <col min="22" max="22" width="17.1796875" customWidth="1"/>
    <col min="23" max="23" width="18.7265625" customWidth="1"/>
    <col min="24" max="24" width="17.81640625" customWidth="1"/>
    <col min="25" max="25" width="10.81640625" customWidth="1"/>
    <col min="26" max="26" width="15.1796875" customWidth="1"/>
    <col min="27" max="27" width="12.26953125" customWidth="1"/>
    <col min="28" max="28" width="13.81640625" customWidth="1"/>
    <col min="29" max="29" width="12.7265625" customWidth="1"/>
    <col min="30" max="30" width="22.54296875" customWidth="1"/>
    <col min="31" max="31" width="19.453125" customWidth="1"/>
    <col min="32" max="32" width="13.1796875" customWidth="1"/>
    <col min="33" max="33" width="21.81640625" customWidth="1"/>
    <col min="34" max="34" width="18.54296875" customWidth="1"/>
    <col min="35" max="35" width="11.81640625" customWidth="1"/>
    <col min="37" max="37" width="9.26953125" customWidth="1"/>
    <col min="38" max="38" width="34.453125" customWidth="1"/>
    <col min="39" max="39" width="28.26953125" customWidth="1"/>
    <col min="40" max="40" width="23.54296875" customWidth="1"/>
    <col min="41" max="41" width="12.7265625" customWidth="1"/>
  </cols>
  <sheetData>
    <row r="1" spans="1:41" x14ac:dyDescent="0.35">
      <c r="A1" t="s">
        <v>7208</v>
      </c>
      <c r="B1" t="s">
        <v>913</v>
      </c>
      <c r="C1" t="s">
        <v>7209</v>
      </c>
      <c r="D1" t="s">
        <v>7210</v>
      </c>
      <c r="E1" t="s">
        <v>2</v>
      </c>
      <c r="F1" t="s">
        <v>7211</v>
      </c>
      <c r="G1" t="s">
        <v>7212</v>
      </c>
      <c r="H1" t="s">
        <v>7213</v>
      </c>
      <c r="I1" t="s">
        <v>7214</v>
      </c>
      <c r="J1" t="s">
        <v>7215</v>
      </c>
      <c r="K1" t="s">
        <v>7216</v>
      </c>
      <c r="L1" t="s">
        <v>7217</v>
      </c>
      <c r="M1" t="s">
        <v>4014</v>
      </c>
      <c r="N1" t="s">
        <v>7218</v>
      </c>
      <c r="O1" t="s">
        <v>7219</v>
      </c>
      <c r="P1" t="s">
        <v>7220</v>
      </c>
      <c r="Q1" t="s">
        <v>7221</v>
      </c>
      <c r="R1" t="s">
        <v>7222</v>
      </c>
      <c r="S1" t="s">
        <v>7223</v>
      </c>
      <c r="T1" t="s">
        <v>7224</v>
      </c>
      <c r="U1" t="s">
        <v>7225</v>
      </c>
      <c r="V1" t="s">
        <v>7226</v>
      </c>
      <c r="W1" t="s">
        <v>7227</v>
      </c>
      <c r="X1" t="s">
        <v>7228</v>
      </c>
      <c r="Y1" t="s">
        <v>7229</v>
      </c>
      <c r="Z1" t="s">
        <v>7230</v>
      </c>
      <c r="AA1" t="s">
        <v>7231</v>
      </c>
      <c r="AB1" t="s">
        <v>7232</v>
      </c>
      <c r="AC1" t="s">
        <v>7233</v>
      </c>
      <c r="AD1" t="s">
        <v>7234</v>
      </c>
      <c r="AE1" t="s">
        <v>7235</v>
      </c>
      <c r="AF1" t="s">
        <v>7236</v>
      </c>
      <c r="AG1" t="s">
        <v>7237</v>
      </c>
      <c r="AH1" t="s">
        <v>7238</v>
      </c>
      <c r="AI1" t="s">
        <v>7239</v>
      </c>
      <c r="AJ1" t="s">
        <v>6407</v>
      </c>
      <c r="AK1" t="s">
        <v>7240</v>
      </c>
      <c r="AL1" t="s">
        <v>7241</v>
      </c>
      <c r="AM1" t="s">
        <v>7242</v>
      </c>
      <c r="AN1" t="s">
        <v>7243</v>
      </c>
      <c r="AO1" t="s">
        <v>7244</v>
      </c>
    </row>
    <row r="2" spans="1:41" hidden="1" x14ac:dyDescent="0.35">
      <c r="A2" t="s">
        <v>7245</v>
      </c>
      <c r="B2" t="s">
        <v>7246</v>
      </c>
      <c r="C2" t="s">
        <v>451</v>
      </c>
      <c r="D2" t="s">
        <v>451</v>
      </c>
      <c r="E2" t="s">
        <v>451</v>
      </c>
      <c r="G2" s="13" t="s">
        <v>7247</v>
      </c>
      <c r="H2" t="s">
        <v>7248</v>
      </c>
      <c r="K2" t="s">
        <v>7249</v>
      </c>
      <c r="L2" t="s">
        <v>7249</v>
      </c>
      <c r="M2" t="s">
        <v>7250</v>
      </c>
      <c r="N2">
        <v>2021</v>
      </c>
      <c r="R2">
        <v>1350</v>
      </c>
      <c r="S2" t="s">
        <v>7251</v>
      </c>
      <c r="T2">
        <v>13.96</v>
      </c>
      <c r="U2">
        <v>6498</v>
      </c>
      <c r="V2">
        <v>217.6</v>
      </c>
      <c r="W2">
        <v>190.3</v>
      </c>
      <c r="X2">
        <v>217.6</v>
      </c>
      <c r="Y2" t="s">
        <v>7252</v>
      </c>
      <c r="Z2" t="s">
        <v>7253</v>
      </c>
      <c r="AA2" t="s">
        <v>7254</v>
      </c>
      <c r="AC2" t="s">
        <v>7255</v>
      </c>
      <c r="AD2" t="s">
        <v>7256</v>
      </c>
      <c r="AE2" t="s">
        <v>837</v>
      </c>
      <c r="AF2" t="s">
        <v>7257</v>
      </c>
      <c r="AH2" t="s">
        <v>486</v>
      </c>
      <c r="AI2" t="s">
        <v>7255</v>
      </c>
      <c r="AO2" t="s">
        <v>7258</v>
      </c>
    </row>
    <row r="3" spans="1:41" hidden="1" x14ac:dyDescent="0.35">
      <c r="A3" t="s">
        <v>7259</v>
      </c>
      <c r="B3" t="s">
        <v>7246</v>
      </c>
      <c r="C3" t="s">
        <v>451</v>
      </c>
      <c r="D3" t="s">
        <v>451</v>
      </c>
      <c r="E3" t="s">
        <v>451</v>
      </c>
      <c r="G3" s="13" t="s">
        <v>7260</v>
      </c>
      <c r="H3" t="s">
        <v>7261</v>
      </c>
      <c r="K3" t="s">
        <v>7262</v>
      </c>
      <c r="L3" t="s">
        <v>7262</v>
      </c>
      <c r="M3" t="s">
        <v>7250</v>
      </c>
      <c r="R3">
        <v>1000</v>
      </c>
      <c r="S3" t="s">
        <v>7251</v>
      </c>
      <c r="T3">
        <v>10.34</v>
      </c>
      <c r="U3">
        <v>4813.33</v>
      </c>
      <c r="V3">
        <v>2111.46</v>
      </c>
      <c r="W3">
        <v>1097.9000000000001</v>
      </c>
      <c r="X3">
        <v>2111.46</v>
      </c>
      <c r="AA3" t="s">
        <v>7263</v>
      </c>
      <c r="AB3" t="s">
        <v>7263</v>
      </c>
      <c r="AC3" t="s">
        <v>7255</v>
      </c>
      <c r="AE3" t="s">
        <v>497</v>
      </c>
      <c r="AH3" t="s">
        <v>497</v>
      </c>
      <c r="AI3" t="s">
        <v>7255</v>
      </c>
      <c r="AO3" t="s">
        <v>7264</v>
      </c>
    </row>
    <row r="4" spans="1:41" hidden="1" x14ac:dyDescent="0.35">
      <c r="A4" t="s">
        <v>7265</v>
      </c>
      <c r="B4" t="s">
        <v>7246</v>
      </c>
      <c r="C4" t="s">
        <v>451</v>
      </c>
      <c r="D4" t="s">
        <v>451</v>
      </c>
      <c r="E4" t="s">
        <v>451</v>
      </c>
      <c r="G4" s="13" t="s">
        <v>7266</v>
      </c>
      <c r="H4" t="s">
        <v>7267</v>
      </c>
      <c r="K4" t="s">
        <v>7268</v>
      </c>
      <c r="L4" t="s">
        <v>7268</v>
      </c>
      <c r="M4" t="s">
        <v>7269</v>
      </c>
      <c r="R4">
        <v>500</v>
      </c>
      <c r="S4" t="s">
        <v>7251</v>
      </c>
      <c r="T4">
        <v>5.17</v>
      </c>
      <c r="U4">
        <v>2406.67</v>
      </c>
      <c r="V4">
        <v>0</v>
      </c>
      <c r="W4" t="s">
        <v>6546</v>
      </c>
      <c r="X4">
        <v>0</v>
      </c>
      <c r="AC4" t="s">
        <v>7255</v>
      </c>
      <c r="AD4" t="s">
        <v>7270</v>
      </c>
      <c r="AE4" t="s">
        <v>7271</v>
      </c>
      <c r="AG4" t="s">
        <v>7272</v>
      </c>
      <c r="AH4" t="s">
        <v>7273</v>
      </c>
      <c r="AI4" t="s">
        <v>7255</v>
      </c>
      <c r="AO4" t="s">
        <v>6546</v>
      </c>
    </row>
    <row r="5" spans="1:41" hidden="1" x14ac:dyDescent="0.35">
      <c r="A5" t="s">
        <v>7274</v>
      </c>
      <c r="B5" t="s">
        <v>7246</v>
      </c>
      <c r="C5" t="s">
        <v>451</v>
      </c>
      <c r="D5" t="s">
        <v>451</v>
      </c>
      <c r="E5" t="s">
        <v>451</v>
      </c>
      <c r="G5" s="13" t="s">
        <v>7275</v>
      </c>
      <c r="H5" t="s">
        <v>7276</v>
      </c>
      <c r="K5" t="s">
        <v>7268</v>
      </c>
      <c r="L5" t="s">
        <v>7268</v>
      </c>
      <c r="M5" t="s">
        <v>7250</v>
      </c>
      <c r="N5">
        <v>2017</v>
      </c>
      <c r="R5">
        <v>622</v>
      </c>
      <c r="S5" t="s">
        <v>7251</v>
      </c>
      <c r="T5">
        <v>6.43</v>
      </c>
      <c r="U5">
        <v>2993.89</v>
      </c>
      <c r="V5">
        <v>1287</v>
      </c>
      <c r="W5">
        <v>1151.92</v>
      </c>
      <c r="X5">
        <v>1287</v>
      </c>
      <c r="AB5" t="s">
        <v>7277</v>
      </c>
      <c r="AC5" t="s">
        <v>7255</v>
      </c>
      <c r="AE5" t="s">
        <v>513</v>
      </c>
      <c r="AF5" t="s">
        <v>7278</v>
      </c>
      <c r="AH5" t="s">
        <v>799</v>
      </c>
      <c r="AI5" t="s">
        <v>7255</v>
      </c>
      <c r="AO5" t="s">
        <v>7279</v>
      </c>
    </row>
    <row r="6" spans="1:41" hidden="1" x14ac:dyDescent="0.35">
      <c r="A6" t="s">
        <v>7280</v>
      </c>
      <c r="B6" t="s">
        <v>7246</v>
      </c>
      <c r="C6" t="s">
        <v>451</v>
      </c>
      <c r="D6" t="s">
        <v>368</v>
      </c>
      <c r="E6" t="s">
        <v>7281</v>
      </c>
      <c r="G6" s="13" t="s">
        <v>7282</v>
      </c>
      <c r="H6" t="s">
        <v>7283</v>
      </c>
      <c r="K6" t="s">
        <v>7284</v>
      </c>
      <c r="L6" t="s">
        <v>7284</v>
      </c>
      <c r="M6" t="s">
        <v>7269</v>
      </c>
      <c r="R6">
        <v>4100</v>
      </c>
      <c r="S6" t="s">
        <v>7251</v>
      </c>
      <c r="T6">
        <v>42.41</v>
      </c>
      <c r="U6">
        <v>19734.669999999998</v>
      </c>
      <c r="V6" t="s">
        <v>6546</v>
      </c>
      <c r="W6">
        <v>3092.29</v>
      </c>
      <c r="X6">
        <v>3092.29</v>
      </c>
      <c r="AB6" t="s">
        <v>3830</v>
      </c>
      <c r="AC6" t="s">
        <v>7255</v>
      </c>
      <c r="AE6" t="s">
        <v>896</v>
      </c>
      <c r="AF6" t="s">
        <v>7285</v>
      </c>
      <c r="AH6" t="s">
        <v>989</v>
      </c>
      <c r="AI6" t="s">
        <v>7255</v>
      </c>
      <c r="AO6" t="s">
        <v>7286</v>
      </c>
    </row>
    <row r="7" spans="1:41" hidden="1" x14ac:dyDescent="0.35">
      <c r="A7" t="s">
        <v>7287</v>
      </c>
      <c r="B7" t="s">
        <v>7246</v>
      </c>
      <c r="C7" t="s">
        <v>451</v>
      </c>
      <c r="D7" t="s">
        <v>451</v>
      </c>
      <c r="E7" t="s">
        <v>451</v>
      </c>
      <c r="G7" s="13" t="s">
        <v>7288</v>
      </c>
      <c r="H7" t="s">
        <v>7289</v>
      </c>
      <c r="J7" t="s">
        <v>7290</v>
      </c>
      <c r="K7" t="s">
        <v>7291</v>
      </c>
      <c r="L7" t="s">
        <v>7291</v>
      </c>
      <c r="M7" t="s">
        <v>7292</v>
      </c>
      <c r="N7">
        <v>2025</v>
      </c>
      <c r="R7">
        <v>3500</v>
      </c>
      <c r="S7" t="s">
        <v>7251</v>
      </c>
      <c r="T7">
        <v>36.200000000000003</v>
      </c>
      <c r="U7">
        <v>16846.669999999998</v>
      </c>
      <c r="V7">
        <v>1295.52</v>
      </c>
      <c r="W7">
        <v>1217.83</v>
      </c>
      <c r="X7">
        <v>1295.52</v>
      </c>
      <c r="Y7">
        <v>42</v>
      </c>
      <c r="Z7" t="s">
        <v>7253</v>
      </c>
      <c r="AB7" t="s">
        <v>7293</v>
      </c>
      <c r="AC7" t="s">
        <v>7255</v>
      </c>
      <c r="AE7" t="s">
        <v>896</v>
      </c>
      <c r="AF7" t="s">
        <v>7294</v>
      </c>
      <c r="AH7" t="s">
        <v>896</v>
      </c>
      <c r="AI7" t="s">
        <v>7255</v>
      </c>
      <c r="AO7" t="s">
        <v>7295</v>
      </c>
    </row>
    <row r="8" spans="1:41" hidden="1" x14ac:dyDescent="0.35">
      <c r="A8" t="s">
        <v>7296</v>
      </c>
      <c r="B8" t="s">
        <v>7246</v>
      </c>
      <c r="C8" t="s">
        <v>451</v>
      </c>
      <c r="D8" t="s">
        <v>451</v>
      </c>
      <c r="E8" t="s">
        <v>451</v>
      </c>
      <c r="G8" s="13" t="s">
        <v>7297</v>
      </c>
      <c r="H8" t="s">
        <v>7298</v>
      </c>
      <c r="K8" t="s">
        <v>7268</v>
      </c>
      <c r="L8" t="s">
        <v>7268</v>
      </c>
      <c r="M8" t="s">
        <v>7250</v>
      </c>
      <c r="N8">
        <v>1997</v>
      </c>
      <c r="R8">
        <v>3120</v>
      </c>
      <c r="S8" t="s">
        <v>7251</v>
      </c>
      <c r="T8">
        <v>32.270000000000003</v>
      </c>
      <c r="U8">
        <v>15017.6</v>
      </c>
      <c r="V8">
        <v>1816.95</v>
      </c>
      <c r="W8">
        <v>700.57</v>
      </c>
      <c r="X8">
        <v>1816.95</v>
      </c>
      <c r="AB8" t="s">
        <v>7299</v>
      </c>
      <c r="AC8" t="s">
        <v>7255</v>
      </c>
      <c r="AE8" t="s">
        <v>548</v>
      </c>
      <c r="AF8" t="s">
        <v>7270</v>
      </c>
      <c r="AH8" t="s">
        <v>7271</v>
      </c>
      <c r="AI8" t="s">
        <v>7255</v>
      </c>
      <c r="AO8" t="s">
        <v>7300</v>
      </c>
    </row>
    <row r="9" spans="1:41" hidden="1" x14ac:dyDescent="0.35">
      <c r="A9" t="s">
        <v>7301</v>
      </c>
      <c r="B9" t="s">
        <v>7246</v>
      </c>
      <c r="C9" t="s">
        <v>451</v>
      </c>
      <c r="D9" t="s">
        <v>451</v>
      </c>
      <c r="E9" t="s">
        <v>451</v>
      </c>
      <c r="G9" s="13" t="s">
        <v>7302</v>
      </c>
      <c r="H9" t="s">
        <v>7303</v>
      </c>
      <c r="K9" t="s">
        <v>7268</v>
      </c>
      <c r="L9" t="s">
        <v>7268</v>
      </c>
      <c r="M9" t="s">
        <v>7250</v>
      </c>
      <c r="N9">
        <v>2016</v>
      </c>
      <c r="R9">
        <v>342</v>
      </c>
      <c r="S9" t="s">
        <v>7251</v>
      </c>
      <c r="T9">
        <v>3.54</v>
      </c>
      <c r="U9">
        <v>1646.16</v>
      </c>
      <c r="V9" t="s">
        <v>6546</v>
      </c>
      <c r="W9">
        <v>27.23</v>
      </c>
      <c r="X9">
        <v>27.23</v>
      </c>
      <c r="AA9" t="s">
        <v>7304</v>
      </c>
      <c r="AB9" t="s">
        <v>7305</v>
      </c>
      <c r="AC9" t="s">
        <v>7255</v>
      </c>
      <c r="AE9" t="s">
        <v>548</v>
      </c>
      <c r="AF9" t="s">
        <v>7306</v>
      </c>
      <c r="AH9" t="s">
        <v>548</v>
      </c>
      <c r="AI9" t="s">
        <v>7255</v>
      </c>
      <c r="AO9" t="s">
        <v>7307</v>
      </c>
    </row>
    <row r="10" spans="1:41" hidden="1" x14ac:dyDescent="0.35">
      <c r="A10" t="s">
        <v>7308</v>
      </c>
      <c r="B10" t="s">
        <v>7246</v>
      </c>
      <c r="C10" t="s">
        <v>368</v>
      </c>
      <c r="D10" t="s">
        <v>451</v>
      </c>
      <c r="E10" t="s">
        <v>7309</v>
      </c>
      <c r="G10" s="13" t="s">
        <v>7310</v>
      </c>
      <c r="H10" t="s">
        <v>7311</v>
      </c>
      <c r="K10" t="s">
        <v>7312</v>
      </c>
      <c r="L10" t="s">
        <v>7313</v>
      </c>
      <c r="M10" t="s">
        <v>7250</v>
      </c>
      <c r="N10">
        <v>2000</v>
      </c>
      <c r="R10">
        <v>1600</v>
      </c>
      <c r="S10" t="s">
        <v>7251</v>
      </c>
      <c r="T10">
        <v>16.55</v>
      </c>
      <c r="U10">
        <v>7701.34</v>
      </c>
      <c r="V10">
        <v>3848</v>
      </c>
      <c r="W10">
        <v>3283.78</v>
      </c>
      <c r="X10">
        <v>3848</v>
      </c>
      <c r="AA10" t="s">
        <v>7314</v>
      </c>
      <c r="AC10" t="s">
        <v>7255</v>
      </c>
      <c r="AE10" t="s">
        <v>1020</v>
      </c>
      <c r="AF10" t="s">
        <v>6273</v>
      </c>
      <c r="AH10" t="s">
        <v>475</v>
      </c>
      <c r="AI10" t="s">
        <v>7255</v>
      </c>
      <c r="AO10" t="s">
        <v>7315</v>
      </c>
    </row>
    <row r="11" spans="1:41" hidden="1" x14ac:dyDescent="0.35">
      <c r="A11" t="s">
        <v>7316</v>
      </c>
      <c r="B11" t="s">
        <v>7246</v>
      </c>
      <c r="C11" t="s">
        <v>451</v>
      </c>
      <c r="D11" t="s">
        <v>451</v>
      </c>
      <c r="E11" t="s">
        <v>451</v>
      </c>
      <c r="G11" s="13" t="s">
        <v>7317</v>
      </c>
      <c r="H11" t="s">
        <v>7318</v>
      </c>
      <c r="K11" t="s">
        <v>7319</v>
      </c>
      <c r="L11" t="s">
        <v>7320</v>
      </c>
      <c r="M11" t="s">
        <v>7250</v>
      </c>
      <c r="N11">
        <v>1949</v>
      </c>
      <c r="R11">
        <v>6000</v>
      </c>
      <c r="S11" t="s">
        <v>7251</v>
      </c>
      <c r="T11">
        <v>62.06</v>
      </c>
      <c r="U11">
        <v>28880.01</v>
      </c>
      <c r="V11">
        <v>2896.82</v>
      </c>
      <c r="W11">
        <v>10810.09</v>
      </c>
      <c r="X11">
        <v>2896.82</v>
      </c>
      <c r="AC11" t="s">
        <v>7255</v>
      </c>
      <c r="AE11" t="s">
        <v>486</v>
      </c>
      <c r="AF11" t="s">
        <v>6273</v>
      </c>
      <c r="AH11" t="s">
        <v>475</v>
      </c>
      <c r="AI11" t="s">
        <v>7255</v>
      </c>
      <c r="AO11" t="s">
        <v>7321</v>
      </c>
    </row>
    <row r="12" spans="1:41" hidden="1" x14ac:dyDescent="0.35">
      <c r="A12" t="s">
        <v>7322</v>
      </c>
      <c r="B12" t="s">
        <v>7246</v>
      </c>
      <c r="C12" t="s">
        <v>451</v>
      </c>
      <c r="D12" t="s">
        <v>451</v>
      </c>
      <c r="E12" t="s">
        <v>451</v>
      </c>
      <c r="G12" s="13" t="s">
        <v>7323</v>
      </c>
      <c r="H12" t="s">
        <v>7324</v>
      </c>
      <c r="K12" t="s">
        <v>7325</v>
      </c>
      <c r="L12" t="s">
        <v>7325</v>
      </c>
      <c r="M12" t="s">
        <v>7250</v>
      </c>
      <c r="N12">
        <v>2018</v>
      </c>
      <c r="R12">
        <v>2000</v>
      </c>
      <c r="S12" t="s">
        <v>7251</v>
      </c>
      <c r="T12">
        <v>20.69</v>
      </c>
      <c r="U12">
        <v>9626.67</v>
      </c>
      <c r="V12">
        <v>83.69</v>
      </c>
      <c r="W12" t="s">
        <v>6546</v>
      </c>
      <c r="X12">
        <v>83.69</v>
      </c>
      <c r="AC12" t="s">
        <v>7255</v>
      </c>
      <c r="AE12" t="s">
        <v>7326</v>
      </c>
      <c r="AF12" t="s">
        <v>533</v>
      </c>
      <c r="AH12" t="s">
        <v>7327</v>
      </c>
      <c r="AI12" t="s">
        <v>7255</v>
      </c>
      <c r="AO12" t="s">
        <v>6546</v>
      </c>
    </row>
    <row r="13" spans="1:41" hidden="1" x14ac:dyDescent="0.35">
      <c r="A13" t="s">
        <v>7328</v>
      </c>
      <c r="B13" t="s">
        <v>7246</v>
      </c>
      <c r="C13" t="s">
        <v>451</v>
      </c>
      <c r="D13" t="s">
        <v>451</v>
      </c>
      <c r="E13" t="s">
        <v>451</v>
      </c>
      <c r="G13" s="13" t="s">
        <v>7329</v>
      </c>
      <c r="H13" t="s">
        <v>7330</v>
      </c>
      <c r="I13" t="s">
        <v>7331</v>
      </c>
      <c r="K13" t="s">
        <v>7268</v>
      </c>
      <c r="L13" t="s">
        <v>7268</v>
      </c>
      <c r="M13" t="s">
        <v>7250</v>
      </c>
      <c r="N13">
        <v>2017</v>
      </c>
      <c r="O13">
        <v>2021</v>
      </c>
      <c r="R13">
        <v>132</v>
      </c>
      <c r="S13" t="s">
        <v>7251</v>
      </c>
      <c r="T13">
        <v>1.37</v>
      </c>
      <c r="U13">
        <v>635.36</v>
      </c>
      <c r="V13">
        <v>6.3</v>
      </c>
      <c r="W13" t="s">
        <v>6546</v>
      </c>
      <c r="X13">
        <v>6.3</v>
      </c>
      <c r="AC13" t="s">
        <v>7255</v>
      </c>
      <c r="AE13" t="s">
        <v>664</v>
      </c>
      <c r="AH13" t="s">
        <v>7332</v>
      </c>
      <c r="AI13" t="s">
        <v>7255</v>
      </c>
      <c r="AO13" t="s">
        <v>6546</v>
      </c>
    </row>
    <row r="14" spans="1:41" hidden="1" x14ac:dyDescent="0.35">
      <c r="A14" t="s">
        <v>7333</v>
      </c>
      <c r="B14" t="s">
        <v>7246</v>
      </c>
      <c r="C14" t="s">
        <v>451</v>
      </c>
      <c r="D14" t="s">
        <v>451</v>
      </c>
      <c r="E14" t="s">
        <v>451</v>
      </c>
      <c r="G14" s="13" t="s">
        <v>7334</v>
      </c>
      <c r="H14" t="s">
        <v>7335</v>
      </c>
      <c r="K14" t="s">
        <v>7336</v>
      </c>
      <c r="L14" t="s">
        <v>7337</v>
      </c>
      <c r="M14" t="s">
        <v>7269</v>
      </c>
      <c r="N14">
        <v>2022</v>
      </c>
      <c r="R14">
        <v>1500</v>
      </c>
      <c r="S14" t="s">
        <v>7251</v>
      </c>
      <c r="T14">
        <v>15.51</v>
      </c>
      <c r="U14">
        <v>7220</v>
      </c>
      <c r="V14">
        <v>965.61</v>
      </c>
      <c r="W14">
        <v>897.61</v>
      </c>
      <c r="X14">
        <v>965.61</v>
      </c>
      <c r="Y14" t="s">
        <v>7338</v>
      </c>
      <c r="Z14" t="s">
        <v>7253</v>
      </c>
      <c r="AA14" t="s">
        <v>7339</v>
      </c>
      <c r="AB14" t="s">
        <v>7340</v>
      </c>
      <c r="AC14" t="s">
        <v>7255</v>
      </c>
      <c r="AE14" t="s">
        <v>634</v>
      </c>
      <c r="AF14" t="s">
        <v>7341</v>
      </c>
      <c r="AH14" t="s">
        <v>785</v>
      </c>
      <c r="AI14" t="s">
        <v>7255</v>
      </c>
      <c r="AO14" t="s">
        <v>7342</v>
      </c>
    </row>
    <row r="15" spans="1:41" hidden="1" x14ac:dyDescent="0.35">
      <c r="A15" t="s">
        <v>7343</v>
      </c>
      <c r="B15" t="s">
        <v>7246</v>
      </c>
      <c r="C15" t="s">
        <v>451</v>
      </c>
      <c r="D15" t="s">
        <v>451</v>
      </c>
      <c r="E15" t="s">
        <v>451</v>
      </c>
      <c r="G15" s="13" t="s">
        <v>7344</v>
      </c>
      <c r="H15" t="s">
        <v>7345</v>
      </c>
      <c r="K15" t="s">
        <v>7346</v>
      </c>
      <c r="L15" t="s">
        <v>7346</v>
      </c>
      <c r="M15" t="s">
        <v>7250</v>
      </c>
      <c r="N15">
        <v>2018</v>
      </c>
      <c r="R15">
        <v>1700</v>
      </c>
      <c r="S15" t="s">
        <v>7251</v>
      </c>
      <c r="T15">
        <v>17.579999999999998</v>
      </c>
      <c r="U15">
        <v>8182.67</v>
      </c>
      <c r="V15">
        <v>317.85000000000002</v>
      </c>
      <c r="W15">
        <v>270.93</v>
      </c>
      <c r="X15">
        <v>317.85000000000002</v>
      </c>
      <c r="AA15" t="s">
        <v>7347</v>
      </c>
      <c r="AC15" t="s">
        <v>7255</v>
      </c>
      <c r="AE15" t="s">
        <v>7348</v>
      </c>
      <c r="AF15" t="s">
        <v>513</v>
      </c>
      <c r="AH15" t="s">
        <v>7349</v>
      </c>
      <c r="AI15" t="s">
        <v>7255</v>
      </c>
      <c r="AO15" t="s">
        <v>7350</v>
      </c>
    </row>
    <row r="16" spans="1:41" hidden="1" x14ac:dyDescent="0.35">
      <c r="A16" t="s">
        <v>7351</v>
      </c>
      <c r="B16" t="s">
        <v>7246</v>
      </c>
      <c r="C16" t="s">
        <v>368</v>
      </c>
      <c r="D16" t="s">
        <v>451</v>
      </c>
      <c r="E16" t="s">
        <v>7309</v>
      </c>
      <c r="G16" s="13" t="s">
        <v>7352</v>
      </c>
      <c r="H16" t="s">
        <v>7353</v>
      </c>
      <c r="J16" t="s">
        <v>7354</v>
      </c>
      <c r="K16" t="s">
        <v>7268</v>
      </c>
      <c r="L16" t="s">
        <v>7268</v>
      </c>
      <c r="M16" t="s">
        <v>7250</v>
      </c>
      <c r="N16">
        <v>1957</v>
      </c>
      <c r="R16">
        <v>3400</v>
      </c>
      <c r="S16" t="s">
        <v>7251</v>
      </c>
      <c r="T16">
        <v>35.17</v>
      </c>
      <c r="U16">
        <v>16365.34</v>
      </c>
      <c r="V16">
        <v>2953</v>
      </c>
      <c r="W16">
        <v>1555.64</v>
      </c>
      <c r="X16">
        <v>2953</v>
      </c>
      <c r="AB16" t="s">
        <v>6601</v>
      </c>
      <c r="AC16" t="s">
        <v>7255</v>
      </c>
      <c r="AE16" t="s">
        <v>1020</v>
      </c>
      <c r="AF16" t="s">
        <v>7355</v>
      </c>
      <c r="AH16" t="s">
        <v>482</v>
      </c>
      <c r="AI16" t="s">
        <v>7255</v>
      </c>
      <c r="AO16" t="s">
        <v>7356</v>
      </c>
    </row>
    <row r="17" spans="1:41" hidden="1" x14ac:dyDescent="0.35">
      <c r="A17" t="s">
        <v>7357</v>
      </c>
      <c r="B17" t="s">
        <v>7246</v>
      </c>
      <c r="C17" t="s">
        <v>451</v>
      </c>
      <c r="D17" t="s">
        <v>451</v>
      </c>
      <c r="E17" t="s">
        <v>451</v>
      </c>
      <c r="G17" s="13" t="s">
        <v>7358</v>
      </c>
      <c r="H17" t="s">
        <v>7359</v>
      </c>
      <c r="K17" t="s">
        <v>7320</v>
      </c>
      <c r="L17" t="s">
        <v>7320</v>
      </c>
      <c r="M17" t="s">
        <v>7250</v>
      </c>
      <c r="N17">
        <v>2011</v>
      </c>
      <c r="R17">
        <v>477</v>
      </c>
      <c r="S17" t="s">
        <v>7251</v>
      </c>
      <c r="T17">
        <v>4.93</v>
      </c>
      <c r="U17">
        <v>2295.96</v>
      </c>
      <c r="V17">
        <v>486</v>
      </c>
      <c r="W17">
        <v>460.88</v>
      </c>
      <c r="X17">
        <v>486</v>
      </c>
      <c r="Y17">
        <v>30</v>
      </c>
      <c r="Z17" t="s">
        <v>7253</v>
      </c>
      <c r="AA17" t="s">
        <v>7360</v>
      </c>
      <c r="AB17" t="s">
        <v>7361</v>
      </c>
      <c r="AC17" t="s">
        <v>7255</v>
      </c>
      <c r="AE17" t="s">
        <v>751</v>
      </c>
      <c r="AF17" t="s">
        <v>7362</v>
      </c>
      <c r="AH17" t="s">
        <v>3899</v>
      </c>
      <c r="AI17" t="s">
        <v>7255</v>
      </c>
      <c r="AO17" t="s">
        <v>7363</v>
      </c>
    </row>
    <row r="18" spans="1:41" hidden="1" x14ac:dyDescent="0.35">
      <c r="A18" t="s">
        <v>7364</v>
      </c>
      <c r="B18" t="s">
        <v>7246</v>
      </c>
      <c r="C18" t="s">
        <v>451</v>
      </c>
      <c r="D18" t="s">
        <v>451</v>
      </c>
      <c r="E18" t="s">
        <v>451</v>
      </c>
      <c r="G18" s="13" t="s">
        <v>7365</v>
      </c>
      <c r="H18" t="s">
        <v>7366</v>
      </c>
      <c r="K18" t="s">
        <v>7367</v>
      </c>
      <c r="L18" t="s">
        <v>7367</v>
      </c>
      <c r="M18" t="s">
        <v>7250</v>
      </c>
      <c r="N18">
        <v>2000</v>
      </c>
      <c r="R18">
        <v>920</v>
      </c>
      <c r="S18" t="s">
        <v>7251</v>
      </c>
      <c r="T18">
        <v>9.52</v>
      </c>
      <c r="U18">
        <v>4428.2700000000004</v>
      </c>
      <c r="V18">
        <v>1585</v>
      </c>
      <c r="W18">
        <v>792.6</v>
      </c>
      <c r="X18">
        <v>1585</v>
      </c>
      <c r="AB18" t="s">
        <v>7368</v>
      </c>
      <c r="AC18" t="s">
        <v>7255</v>
      </c>
      <c r="AE18" t="s">
        <v>497</v>
      </c>
      <c r="AH18" t="s">
        <v>497</v>
      </c>
      <c r="AI18" t="s">
        <v>7255</v>
      </c>
      <c r="AO18" t="s">
        <v>7369</v>
      </c>
    </row>
    <row r="19" spans="1:41" hidden="1" x14ac:dyDescent="0.35">
      <c r="A19" t="s">
        <v>7370</v>
      </c>
      <c r="B19" t="s">
        <v>7246</v>
      </c>
      <c r="C19" t="s">
        <v>368</v>
      </c>
      <c r="D19" t="s">
        <v>368</v>
      </c>
      <c r="E19" t="s">
        <v>368</v>
      </c>
      <c r="G19" s="13" t="s">
        <v>7371</v>
      </c>
      <c r="H19" t="s">
        <v>7372</v>
      </c>
      <c r="K19" t="s">
        <v>7320</v>
      </c>
      <c r="L19" t="s">
        <v>7320</v>
      </c>
      <c r="M19" t="s">
        <v>7250</v>
      </c>
      <c r="N19">
        <v>1950</v>
      </c>
      <c r="R19">
        <v>8000</v>
      </c>
      <c r="S19" t="s">
        <v>7251</v>
      </c>
      <c r="T19">
        <v>82.74</v>
      </c>
      <c r="U19">
        <v>38506.68</v>
      </c>
      <c r="V19">
        <v>14100</v>
      </c>
      <c r="W19">
        <v>3822.27</v>
      </c>
      <c r="X19">
        <v>14100</v>
      </c>
      <c r="AA19" t="s">
        <v>7373</v>
      </c>
      <c r="AC19" t="s">
        <v>7255</v>
      </c>
      <c r="AE19" t="s">
        <v>7374</v>
      </c>
      <c r="AH19" t="s">
        <v>983</v>
      </c>
      <c r="AI19" t="s">
        <v>7255</v>
      </c>
      <c r="AO19" t="s">
        <v>7375</v>
      </c>
    </row>
    <row r="20" spans="1:41" hidden="1" x14ac:dyDescent="0.35">
      <c r="A20" t="s">
        <v>7376</v>
      </c>
      <c r="B20" t="s">
        <v>7246</v>
      </c>
      <c r="C20" t="s">
        <v>451</v>
      </c>
      <c r="D20" t="s">
        <v>451</v>
      </c>
      <c r="E20" t="s">
        <v>451</v>
      </c>
      <c r="G20" s="13" t="s">
        <v>7377</v>
      </c>
      <c r="H20" t="s">
        <v>7378</v>
      </c>
      <c r="K20" t="s">
        <v>7379</v>
      </c>
      <c r="L20" t="s">
        <v>7380</v>
      </c>
      <c r="M20" t="s">
        <v>7250</v>
      </c>
      <c r="R20">
        <v>6600</v>
      </c>
      <c r="S20" t="s">
        <v>7251</v>
      </c>
      <c r="T20">
        <v>68.260000000000005</v>
      </c>
      <c r="U20">
        <v>31768.01</v>
      </c>
      <c r="V20">
        <v>9495</v>
      </c>
      <c r="W20">
        <v>11516.08</v>
      </c>
      <c r="X20">
        <v>9495</v>
      </c>
      <c r="AC20" t="s">
        <v>7255</v>
      </c>
      <c r="AE20" t="s">
        <v>486</v>
      </c>
      <c r="AH20" t="s">
        <v>497</v>
      </c>
      <c r="AI20" t="s">
        <v>7255</v>
      </c>
      <c r="AO20" t="s">
        <v>7381</v>
      </c>
    </row>
    <row r="21" spans="1:41" hidden="1" x14ac:dyDescent="0.35">
      <c r="A21" t="s">
        <v>7382</v>
      </c>
      <c r="B21" t="s">
        <v>7246</v>
      </c>
      <c r="C21" t="s">
        <v>451</v>
      </c>
      <c r="D21" t="s">
        <v>451</v>
      </c>
      <c r="E21" t="s">
        <v>451</v>
      </c>
      <c r="G21" s="13" t="s">
        <v>7383</v>
      </c>
      <c r="H21" t="s">
        <v>7384</v>
      </c>
      <c r="K21" t="s">
        <v>7385</v>
      </c>
      <c r="L21" t="s">
        <v>7385</v>
      </c>
      <c r="M21" t="s">
        <v>7250</v>
      </c>
      <c r="R21">
        <v>1900</v>
      </c>
      <c r="S21" t="s">
        <v>7251</v>
      </c>
      <c r="T21">
        <v>19.649999999999999</v>
      </c>
      <c r="U21">
        <v>9145.34</v>
      </c>
      <c r="V21">
        <v>2574</v>
      </c>
      <c r="W21">
        <v>1294.29</v>
      </c>
      <c r="X21">
        <v>2574</v>
      </c>
      <c r="AC21" t="s">
        <v>7255</v>
      </c>
      <c r="AE21" t="s">
        <v>486</v>
      </c>
      <c r="AH21" t="s">
        <v>475</v>
      </c>
      <c r="AI21" t="s">
        <v>7255</v>
      </c>
      <c r="AO21" t="s">
        <v>7386</v>
      </c>
    </row>
    <row r="22" spans="1:41" hidden="1" x14ac:dyDescent="0.35">
      <c r="A22" t="s">
        <v>7387</v>
      </c>
      <c r="B22" t="s">
        <v>7246</v>
      </c>
      <c r="C22" t="s">
        <v>451</v>
      </c>
      <c r="D22" t="s">
        <v>451</v>
      </c>
      <c r="E22" t="s">
        <v>451</v>
      </c>
      <c r="G22" s="13" t="s">
        <v>7388</v>
      </c>
      <c r="H22" t="s">
        <v>7389</v>
      </c>
      <c r="K22" t="s">
        <v>7385</v>
      </c>
      <c r="L22" t="s">
        <v>7385</v>
      </c>
      <c r="M22" t="s">
        <v>7250</v>
      </c>
      <c r="R22">
        <v>2300</v>
      </c>
      <c r="S22" t="s">
        <v>7251</v>
      </c>
      <c r="T22">
        <v>23.79</v>
      </c>
      <c r="U22">
        <v>11070.67</v>
      </c>
      <c r="V22">
        <v>3540</v>
      </c>
      <c r="W22">
        <v>2313.06</v>
      </c>
      <c r="X22">
        <v>3540</v>
      </c>
      <c r="AB22" t="s">
        <v>812</v>
      </c>
      <c r="AC22" t="s">
        <v>7255</v>
      </c>
      <c r="AE22" t="s">
        <v>812</v>
      </c>
      <c r="AF22" t="s">
        <v>812</v>
      </c>
      <c r="AH22" t="s">
        <v>812</v>
      </c>
      <c r="AI22" t="s">
        <v>7255</v>
      </c>
      <c r="AO22" t="s">
        <v>7390</v>
      </c>
    </row>
    <row r="23" spans="1:41" hidden="1" x14ac:dyDescent="0.35">
      <c r="A23" t="s">
        <v>7391</v>
      </c>
      <c r="B23" t="s">
        <v>7246</v>
      </c>
      <c r="C23" t="s">
        <v>451</v>
      </c>
      <c r="D23" t="s">
        <v>451</v>
      </c>
      <c r="E23" t="s">
        <v>451</v>
      </c>
      <c r="G23" s="13" t="s">
        <v>7392</v>
      </c>
      <c r="H23" t="s">
        <v>7393</v>
      </c>
      <c r="K23" t="s">
        <v>7394</v>
      </c>
      <c r="L23" t="s">
        <v>7394</v>
      </c>
      <c r="M23" t="s">
        <v>7250</v>
      </c>
      <c r="R23">
        <v>1100</v>
      </c>
      <c r="S23" t="s">
        <v>7251</v>
      </c>
      <c r="T23">
        <v>11.38</v>
      </c>
      <c r="U23">
        <v>5294.67</v>
      </c>
      <c r="V23">
        <v>462</v>
      </c>
      <c r="W23">
        <v>495.89</v>
      </c>
      <c r="X23">
        <v>462</v>
      </c>
      <c r="AC23" t="s">
        <v>7255</v>
      </c>
      <c r="AI23" t="s">
        <v>7255</v>
      </c>
      <c r="AO23" t="s">
        <v>7395</v>
      </c>
    </row>
    <row r="24" spans="1:41" hidden="1" x14ac:dyDescent="0.35">
      <c r="A24" t="s">
        <v>7396</v>
      </c>
      <c r="B24" t="s">
        <v>7246</v>
      </c>
      <c r="C24" t="s">
        <v>451</v>
      </c>
      <c r="D24" t="s">
        <v>451</v>
      </c>
      <c r="E24" t="s">
        <v>451</v>
      </c>
      <c r="G24" s="13" t="s">
        <v>7397</v>
      </c>
      <c r="H24" t="s">
        <v>7398</v>
      </c>
      <c r="K24" t="s">
        <v>7399</v>
      </c>
      <c r="L24" t="s">
        <v>7399</v>
      </c>
      <c r="M24" t="s">
        <v>7250</v>
      </c>
      <c r="N24">
        <v>1964</v>
      </c>
      <c r="R24">
        <v>330</v>
      </c>
      <c r="S24" t="s">
        <v>7251</v>
      </c>
      <c r="T24">
        <v>3.41</v>
      </c>
      <c r="U24">
        <v>1588.4</v>
      </c>
      <c r="V24">
        <v>346</v>
      </c>
      <c r="W24">
        <v>149.02000000000001</v>
      </c>
      <c r="X24">
        <v>346</v>
      </c>
      <c r="AA24" t="s">
        <v>7400</v>
      </c>
      <c r="AB24" t="s">
        <v>7401</v>
      </c>
      <c r="AC24" t="s">
        <v>7255</v>
      </c>
      <c r="AE24" t="s">
        <v>7402</v>
      </c>
      <c r="AF24" t="s">
        <v>798</v>
      </c>
      <c r="AH24" t="s">
        <v>799</v>
      </c>
      <c r="AI24" t="s">
        <v>7255</v>
      </c>
      <c r="AO24" t="s">
        <v>7403</v>
      </c>
    </row>
    <row r="25" spans="1:41" hidden="1" x14ac:dyDescent="0.35">
      <c r="A25" t="s">
        <v>7404</v>
      </c>
      <c r="B25" t="s">
        <v>7246</v>
      </c>
      <c r="C25" t="s">
        <v>451</v>
      </c>
      <c r="D25" t="s">
        <v>451</v>
      </c>
      <c r="E25" t="s">
        <v>451</v>
      </c>
      <c r="G25" s="13" t="s">
        <v>7405</v>
      </c>
      <c r="H25" t="s">
        <v>7406</v>
      </c>
      <c r="K25" t="s">
        <v>7407</v>
      </c>
      <c r="L25" t="s">
        <v>7407</v>
      </c>
      <c r="M25" t="s">
        <v>7250</v>
      </c>
      <c r="N25">
        <v>2005</v>
      </c>
      <c r="R25">
        <v>800</v>
      </c>
      <c r="S25" t="s">
        <v>7251</v>
      </c>
      <c r="T25">
        <v>8.27</v>
      </c>
      <c r="U25">
        <v>3850.67</v>
      </c>
      <c r="V25">
        <v>611</v>
      </c>
      <c r="W25">
        <v>600.47</v>
      </c>
      <c r="X25">
        <v>611</v>
      </c>
      <c r="AB25" t="s">
        <v>7408</v>
      </c>
      <c r="AC25" t="s">
        <v>7255</v>
      </c>
      <c r="AE25" t="s">
        <v>891</v>
      </c>
      <c r="AF25" t="s">
        <v>7409</v>
      </c>
      <c r="AH25" t="s">
        <v>479</v>
      </c>
      <c r="AI25" t="s">
        <v>7255</v>
      </c>
      <c r="AO25" t="s">
        <v>7410</v>
      </c>
    </row>
    <row r="26" spans="1:41" hidden="1" x14ac:dyDescent="0.35">
      <c r="A26" t="s">
        <v>7411</v>
      </c>
      <c r="B26" t="s">
        <v>7246</v>
      </c>
      <c r="C26" t="s">
        <v>368</v>
      </c>
      <c r="D26" t="s">
        <v>368</v>
      </c>
      <c r="E26" t="s">
        <v>368</v>
      </c>
      <c r="G26" s="13" t="s">
        <v>7412</v>
      </c>
      <c r="H26" t="s">
        <v>7413</v>
      </c>
      <c r="K26" t="s">
        <v>7414</v>
      </c>
      <c r="L26" t="s">
        <v>7414</v>
      </c>
      <c r="M26" t="s">
        <v>7415</v>
      </c>
      <c r="N26">
        <v>2023</v>
      </c>
      <c r="R26">
        <v>3000</v>
      </c>
      <c r="S26" t="s">
        <v>7251</v>
      </c>
      <c r="T26">
        <v>31.03</v>
      </c>
      <c r="U26">
        <v>14440</v>
      </c>
      <c r="V26">
        <v>670</v>
      </c>
      <c r="W26">
        <v>626.29999999999995</v>
      </c>
      <c r="X26">
        <v>670</v>
      </c>
      <c r="Y26">
        <v>48</v>
      </c>
      <c r="Z26" t="s">
        <v>7253</v>
      </c>
      <c r="AA26" t="s">
        <v>7416</v>
      </c>
      <c r="AB26" t="s">
        <v>7417</v>
      </c>
      <c r="AC26" t="s">
        <v>7255</v>
      </c>
      <c r="AE26" t="s">
        <v>1020</v>
      </c>
      <c r="AF26" t="s">
        <v>6590</v>
      </c>
      <c r="AH26" t="s">
        <v>1020</v>
      </c>
      <c r="AI26" t="s">
        <v>7255</v>
      </c>
      <c r="AO26" t="s">
        <v>7418</v>
      </c>
    </row>
    <row r="27" spans="1:41" hidden="1" x14ac:dyDescent="0.35">
      <c r="A27" t="s">
        <v>7419</v>
      </c>
      <c r="B27" t="s">
        <v>7246</v>
      </c>
      <c r="C27" t="s">
        <v>451</v>
      </c>
      <c r="D27" t="s">
        <v>451</v>
      </c>
      <c r="E27" t="s">
        <v>451</v>
      </c>
      <c r="G27" s="13" t="s">
        <v>7420</v>
      </c>
      <c r="H27" t="s">
        <v>7421</v>
      </c>
      <c r="K27" t="s">
        <v>7422</v>
      </c>
      <c r="L27" t="s">
        <v>7422</v>
      </c>
      <c r="M27" t="s">
        <v>7250</v>
      </c>
      <c r="N27">
        <v>2008</v>
      </c>
      <c r="R27">
        <v>5150</v>
      </c>
      <c r="S27" t="s">
        <v>7251</v>
      </c>
      <c r="T27">
        <v>53.27</v>
      </c>
      <c r="U27">
        <v>24788.67</v>
      </c>
      <c r="V27">
        <v>6920</v>
      </c>
      <c r="W27">
        <v>2473.37</v>
      </c>
      <c r="X27">
        <v>6920</v>
      </c>
      <c r="AC27" t="s">
        <v>7255</v>
      </c>
      <c r="AE27" t="s">
        <v>7423</v>
      </c>
      <c r="AF27" t="s">
        <v>490</v>
      </c>
      <c r="AH27" t="s">
        <v>891</v>
      </c>
      <c r="AI27" t="s">
        <v>7255</v>
      </c>
      <c r="AO27" t="s">
        <v>7424</v>
      </c>
    </row>
    <row r="28" spans="1:41" hidden="1" x14ac:dyDescent="0.35">
      <c r="A28" t="s">
        <v>7425</v>
      </c>
      <c r="B28" t="s">
        <v>7246</v>
      </c>
      <c r="C28" t="s">
        <v>451</v>
      </c>
      <c r="D28" t="s">
        <v>451</v>
      </c>
      <c r="E28" t="s">
        <v>451</v>
      </c>
      <c r="G28" s="13" t="s">
        <v>7426</v>
      </c>
      <c r="H28" t="s">
        <v>7427</v>
      </c>
      <c r="J28" t="s">
        <v>7428</v>
      </c>
      <c r="K28" t="s">
        <v>7429</v>
      </c>
      <c r="L28" t="s">
        <v>7320</v>
      </c>
      <c r="M28" t="s">
        <v>7250</v>
      </c>
      <c r="N28">
        <v>1996</v>
      </c>
      <c r="R28">
        <v>3000</v>
      </c>
      <c r="S28" t="s">
        <v>7251</v>
      </c>
      <c r="T28">
        <v>31.03</v>
      </c>
      <c r="U28">
        <v>14440</v>
      </c>
      <c r="V28">
        <v>19312</v>
      </c>
      <c r="W28">
        <v>3942.01</v>
      </c>
      <c r="X28">
        <v>19312</v>
      </c>
      <c r="AB28" t="s">
        <v>7430</v>
      </c>
      <c r="AC28" t="s">
        <v>7255</v>
      </c>
      <c r="AH28" t="s">
        <v>548</v>
      </c>
      <c r="AI28" t="s">
        <v>7255</v>
      </c>
      <c r="AO28" t="s">
        <v>7431</v>
      </c>
    </row>
    <row r="29" spans="1:41" hidden="1" x14ac:dyDescent="0.35">
      <c r="A29" t="s">
        <v>7432</v>
      </c>
      <c r="B29" t="s">
        <v>7246</v>
      </c>
      <c r="C29" t="s">
        <v>451</v>
      </c>
      <c r="D29" t="s">
        <v>451</v>
      </c>
      <c r="E29" t="s">
        <v>451</v>
      </c>
      <c r="G29" s="13" t="s">
        <v>7433</v>
      </c>
      <c r="H29" t="s">
        <v>7434</v>
      </c>
      <c r="K29" t="s">
        <v>7435</v>
      </c>
      <c r="L29" t="s">
        <v>7435</v>
      </c>
      <c r="M29" t="s">
        <v>7269</v>
      </c>
      <c r="R29">
        <v>1200</v>
      </c>
      <c r="S29" t="s">
        <v>7251</v>
      </c>
      <c r="T29">
        <v>12.41</v>
      </c>
      <c r="U29">
        <v>5776</v>
      </c>
      <c r="V29" t="s">
        <v>6546</v>
      </c>
      <c r="W29">
        <v>197.07</v>
      </c>
      <c r="X29">
        <v>197.07</v>
      </c>
      <c r="AA29" t="s">
        <v>7436</v>
      </c>
      <c r="AB29" t="s">
        <v>7437</v>
      </c>
      <c r="AC29" t="s">
        <v>7255</v>
      </c>
      <c r="AE29" t="s">
        <v>513</v>
      </c>
      <c r="AF29" t="s">
        <v>7438</v>
      </c>
      <c r="AH29" t="s">
        <v>572</v>
      </c>
      <c r="AI29" t="s">
        <v>7255</v>
      </c>
      <c r="AO29" t="s">
        <v>7439</v>
      </c>
    </row>
    <row r="30" spans="1:41" hidden="1" x14ac:dyDescent="0.35">
      <c r="A30" t="s">
        <v>7440</v>
      </c>
      <c r="B30" t="s">
        <v>7246</v>
      </c>
      <c r="C30" t="s">
        <v>451</v>
      </c>
      <c r="D30" t="s">
        <v>451</v>
      </c>
      <c r="E30" t="s">
        <v>451</v>
      </c>
      <c r="G30" s="13" t="s">
        <v>7441</v>
      </c>
      <c r="H30" t="s">
        <v>7442</v>
      </c>
      <c r="K30" t="s">
        <v>7443</v>
      </c>
      <c r="L30" t="s">
        <v>7443</v>
      </c>
      <c r="M30" t="s">
        <v>7269</v>
      </c>
      <c r="N30">
        <v>2022</v>
      </c>
      <c r="R30">
        <v>650</v>
      </c>
      <c r="S30" t="s">
        <v>7251</v>
      </c>
      <c r="T30">
        <v>6.72</v>
      </c>
      <c r="U30">
        <v>3128.67</v>
      </c>
      <c r="V30" t="s">
        <v>6546</v>
      </c>
      <c r="W30">
        <v>184.47</v>
      </c>
      <c r="X30">
        <v>184.47</v>
      </c>
      <c r="AA30" t="s">
        <v>7444</v>
      </c>
      <c r="AB30" t="s">
        <v>7349</v>
      </c>
      <c r="AC30" t="s">
        <v>7255</v>
      </c>
      <c r="AE30" t="s">
        <v>513</v>
      </c>
      <c r="AF30" t="s">
        <v>7445</v>
      </c>
      <c r="AH30" t="s">
        <v>664</v>
      </c>
      <c r="AI30" t="s">
        <v>7255</v>
      </c>
      <c r="AO30" t="s">
        <v>7446</v>
      </c>
    </row>
    <row r="31" spans="1:41" hidden="1" x14ac:dyDescent="0.35">
      <c r="A31" t="s">
        <v>7447</v>
      </c>
      <c r="B31" t="s">
        <v>7246</v>
      </c>
      <c r="C31" t="s">
        <v>451</v>
      </c>
      <c r="D31" t="s">
        <v>451</v>
      </c>
      <c r="E31" t="s">
        <v>451</v>
      </c>
      <c r="G31" s="13" t="s">
        <v>7448</v>
      </c>
      <c r="H31" t="s">
        <v>7449</v>
      </c>
      <c r="K31" t="s">
        <v>7320</v>
      </c>
      <c r="L31" t="s">
        <v>7320</v>
      </c>
      <c r="M31" t="s">
        <v>7250</v>
      </c>
      <c r="N31">
        <v>1995</v>
      </c>
      <c r="R31">
        <v>300</v>
      </c>
      <c r="S31" t="s">
        <v>7251</v>
      </c>
      <c r="T31">
        <v>3.1</v>
      </c>
      <c r="U31">
        <v>1444</v>
      </c>
      <c r="V31">
        <v>325</v>
      </c>
      <c r="W31">
        <v>319.39</v>
      </c>
      <c r="X31">
        <v>325</v>
      </c>
      <c r="AB31" t="s">
        <v>7450</v>
      </c>
      <c r="AC31" t="s">
        <v>7255</v>
      </c>
      <c r="AE31" t="s">
        <v>508</v>
      </c>
      <c r="AF31" t="s">
        <v>7451</v>
      </c>
      <c r="AH31" t="s">
        <v>533</v>
      </c>
      <c r="AI31" t="s">
        <v>7255</v>
      </c>
      <c r="AO31" t="s">
        <v>7452</v>
      </c>
    </row>
    <row r="32" spans="1:41" hidden="1" x14ac:dyDescent="0.35">
      <c r="A32" t="s">
        <v>7453</v>
      </c>
      <c r="B32" t="s">
        <v>7246</v>
      </c>
      <c r="C32" t="s">
        <v>451</v>
      </c>
      <c r="D32" t="s">
        <v>451</v>
      </c>
      <c r="E32" t="s">
        <v>451</v>
      </c>
      <c r="G32" s="13" t="s">
        <v>7454</v>
      </c>
      <c r="H32" t="s">
        <v>7455</v>
      </c>
      <c r="K32" t="s">
        <v>7456</v>
      </c>
      <c r="L32" t="s">
        <v>7456</v>
      </c>
      <c r="M32" t="s">
        <v>7292</v>
      </c>
      <c r="N32">
        <v>2026</v>
      </c>
      <c r="R32">
        <v>1500</v>
      </c>
      <c r="S32" t="s">
        <v>7251</v>
      </c>
      <c r="T32">
        <v>15.51</v>
      </c>
      <c r="U32">
        <v>7220</v>
      </c>
      <c r="V32">
        <v>50</v>
      </c>
      <c r="W32">
        <v>76.8</v>
      </c>
      <c r="X32">
        <v>50</v>
      </c>
      <c r="AB32" t="s">
        <v>7457</v>
      </c>
      <c r="AC32" t="s">
        <v>7255</v>
      </c>
      <c r="AE32" t="s">
        <v>7458</v>
      </c>
      <c r="AF32" t="s">
        <v>7459</v>
      </c>
      <c r="AH32" t="s">
        <v>497</v>
      </c>
      <c r="AI32" t="s">
        <v>7255</v>
      </c>
      <c r="AO32" t="s">
        <v>7460</v>
      </c>
    </row>
    <row r="33" spans="1:41" hidden="1" x14ac:dyDescent="0.35">
      <c r="A33" t="s">
        <v>7461</v>
      </c>
      <c r="B33" t="s">
        <v>7246</v>
      </c>
      <c r="C33" t="s">
        <v>451</v>
      </c>
      <c r="D33" t="s">
        <v>368</v>
      </c>
      <c r="E33" t="s">
        <v>7281</v>
      </c>
      <c r="G33" s="13" t="s">
        <v>7462</v>
      </c>
      <c r="H33" t="s">
        <v>7463</v>
      </c>
      <c r="K33" t="s">
        <v>7464</v>
      </c>
      <c r="L33" t="s">
        <v>7464</v>
      </c>
      <c r="M33" t="s">
        <v>7269</v>
      </c>
      <c r="N33">
        <v>2020</v>
      </c>
      <c r="R33">
        <v>4500</v>
      </c>
      <c r="S33" t="s">
        <v>7251</v>
      </c>
      <c r="T33">
        <v>46.54</v>
      </c>
      <c r="U33">
        <v>21660.01</v>
      </c>
      <c r="V33">
        <v>1126</v>
      </c>
      <c r="W33">
        <v>2627.91</v>
      </c>
      <c r="X33">
        <v>1126</v>
      </c>
      <c r="AB33" t="s">
        <v>7465</v>
      </c>
      <c r="AC33" t="s">
        <v>7255</v>
      </c>
      <c r="AE33" t="s">
        <v>896</v>
      </c>
      <c r="AH33" t="s">
        <v>989</v>
      </c>
      <c r="AI33" t="s">
        <v>7255</v>
      </c>
      <c r="AO33" t="s">
        <v>7466</v>
      </c>
    </row>
    <row r="34" spans="1:41" hidden="1" x14ac:dyDescent="0.35">
      <c r="A34" t="s">
        <v>7467</v>
      </c>
      <c r="B34" t="s">
        <v>7246</v>
      </c>
      <c r="C34" t="s">
        <v>451</v>
      </c>
      <c r="D34" t="s">
        <v>451</v>
      </c>
      <c r="E34" t="s">
        <v>451</v>
      </c>
      <c r="G34" s="13" t="s">
        <v>7468</v>
      </c>
      <c r="H34" t="s">
        <v>7469</v>
      </c>
      <c r="K34" t="s">
        <v>7470</v>
      </c>
      <c r="L34" t="s">
        <v>7470</v>
      </c>
      <c r="M34" t="s">
        <v>7250</v>
      </c>
      <c r="N34">
        <v>1998</v>
      </c>
      <c r="R34">
        <v>1200</v>
      </c>
      <c r="S34" t="s">
        <v>7251</v>
      </c>
      <c r="T34">
        <v>12.41</v>
      </c>
      <c r="U34">
        <v>5776</v>
      </c>
      <c r="V34">
        <v>620</v>
      </c>
      <c r="W34">
        <v>171.08</v>
      </c>
      <c r="X34">
        <v>620</v>
      </c>
      <c r="Y34" t="s">
        <v>7471</v>
      </c>
      <c r="Z34" t="s">
        <v>7253</v>
      </c>
      <c r="AB34" t="s">
        <v>7458</v>
      </c>
      <c r="AC34" t="s">
        <v>7255</v>
      </c>
      <c r="AE34" t="s">
        <v>799</v>
      </c>
      <c r="AF34" t="s">
        <v>7472</v>
      </c>
      <c r="AH34" t="s">
        <v>799</v>
      </c>
      <c r="AI34" t="s">
        <v>7255</v>
      </c>
      <c r="AO34" t="s">
        <v>7473</v>
      </c>
    </row>
    <row r="35" spans="1:41" hidden="1" x14ac:dyDescent="0.35">
      <c r="A35" t="s">
        <v>7474</v>
      </c>
      <c r="B35" t="s">
        <v>7246</v>
      </c>
      <c r="C35" t="s">
        <v>451</v>
      </c>
      <c r="D35" t="s">
        <v>451</v>
      </c>
      <c r="E35" t="s">
        <v>451</v>
      </c>
      <c r="G35" s="13" t="s">
        <v>7475</v>
      </c>
      <c r="H35" t="s">
        <v>7476</v>
      </c>
      <c r="K35" t="s">
        <v>7477</v>
      </c>
      <c r="L35" t="s">
        <v>7477</v>
      </c>
      <c r="M35" t="s">
        <v>7250</v>
      </c>
      <c r="N35">
        <v>2001</v>
      </c>
      <c r="R35">
        <v>7200</v>
      </c>
      <c r="S35" t="s">
        <v>7251</v>
      </c>
      <c r="T35">
        <v>74.47</v>
      </c>
      <c r="U35">
        <v>34656.01</v>
      </c>
      <c r="V35">
        <v>6059</v>
      </c>
      <c r="W35">
        <v>3293.6</v>
      </c>
      <c r="X35">
        <v>6059</v>
      </c>
      <c r="AB35" t="s">
        <v>7478</v>
      </c>
      <c r="AC35" t="s">
        <v>7255</v>
      </c>
      <c r="AH35" t="s">
        <v>7479</v>
      </c>
      <c r="AI35" t="s">
        <v>7255</v>
      </c>
      <c r="AO35" t="s">
        <v>7480</v>
      </c>
    </row>
    <row r="36" spans="1:41" hidden="1" x14ac:dyDescent="0.35">
      <c r="A36" t="s">
        <v>7481</v>
      </c>
      <c r="B36" t="s">
        <v>7246</v>
      </c>
      <c r="C36" t="s">
        <v>451</v>
      </c>
      <c r="D36" t="s">
        <v>451</v>
      </c>
      <c r="E36" t="s">
        <v>451</v>
      </c>
      <c r="G36" s="13" t="s">
        <v>7482</v>
      </c>
      <c r="H36" t="s">
        <v>7483</v>
      </c>
      <c r="K36" t="s">
        <v>7484</v>
      </c>
      <c r="L36" t="s">
        <v>7485</v>
      </c>
      <c r="M36" t="s">
        <v>7292</v>
      </c>
      <c r="N36">
        <v>2024</v>
      </c>
      <c r="R36">
        <v>3500</v>
      </c>
      <c r="S36" t="s">
        <v>7251</v>
      </c>
      <c r="T36">
        <v>36.200000000000003</v>
      </c>
      <c r="U36">
        <v>16846.669999999998</v>
      </c>
      <c r="V36">
        <v>154.5</v>
      </c>
      <c r="W36">
        <v>148.62</v>
      </c>
      <c r="X36">
        <v>154.5</v>
      </c>
      <c r="Y36" t="s">
        <v>7486</v>
      </c>
      <c r="Z36" t="s">
        <v>7253</v>
      </c>
      <c r="AB36" t="s">
        <v>7487</v>
      </c>
      <c r="AC36" t="s">
        <v>7255</v>
      </c>
      <c r="AE36" t="s">
        <v>497</v>
      </c>
      <c r="AF36" t="s">
        <v>7488</v>
      </c>
      <c r="AH36" t="s">
        <v>497</v>
      </c>
      <c r="AI36" t="s">
        <v>7255</v>
      </c>
      <c r="AO36" t="s">
        <v>7489</v>
      </c>
    </row>
    <row r="37" spans="1:41" hidden="1" x14ac:dyDescent="0.35">
      <c r="A37" t="s">
        <v>7490</v>
      </c>
      <c r="B37" t="s">
        <v>7246</v>
      </c>
      <c r="C37" t="s">
        <v>368</v>
      </c>
      <c r="D37" t="s">
        <v>368</v>
      </c>
      <c r="E37" t="s">
        <v>368</v>
      </c>
      <c r="G37" s="13" t="s">
        <v>7491</v>
      </c>
      <c r="H37" t="s">
        <v>7492</v>
      </c>
      <c r="K37" t="s">
        <v>7493</v>
      </c>
      <c r="L37" t="s">
        <v>7493</v>
      </c>
      <c r="M37" t="s">
        <v>7292</v>
      </c>
      <c r="N37">
        <v>2023</v>
      </c>
      <c r="R37">
        <v>228</v>
      </c>
      <c r="S37" t="s">
        <v>7251</v>
      </c>
      <c r="T37">
        <v>2.36</v>
      </c>
      <c r="U37">
        <v>1097.44</v>
      </c>
      <c r="V37">
        <v>47</v>
      </c>
      <c r="W37">
        <v>42.86</v>
      </c>
      <c r="X37">
        <v>47</v>
      </c>
      <c r="Y37">
        <v>24</v>
      </c>
      <c r="Z37" t="s">
        <v>7253</v>
      </c>
      <c r="AB37" t="s">
        <v>7494</v>
      </c>
      <c r="AC37" t="s">
        <v>7255</v>
      </c>
      <c r="AE37" t="s">
        <v>1020</v>
      </c>
      <c r="AF37" t="s">
        <v>7495</v>
      </c>
      <c r="AI37" t="s">
        <v>7255</v>
      </c>
      <c r="AO37" t="s">
        <v>7496</v>
      </c>
    </row>
    <row r="38" spans="1:41" hidden="1" x14ac:dyDescent="0.35">
      <c r="A38" t="s">
        <v>7497</v>
      </c>
      <c r="B38" t="s">
        <v>7246</v>
      </c>
      <c r="C38" t="s">
        <v>451</v>
      </c>
      <c r="D38" t="s">
        <v>451</v>
      </c>
      <c r="E38" t="s">
        <v>451</v>
      </c>
      <c r="G38" s="13" t="s">
        <v>7498</v>
      </c>
      <c r="H38" t="s">
        <v>7499</v>
      </c>
      <c r="K38" t="s">
        <v>7268</v>
      </c>
      <c r="L38" t="s">
        <v>7268</v>
      </c>
      <c r="M38" t="s">
        <v>7250</v>
      </c>
      <c r="N38">
        <v>1996</v>
      </c>
      <c r="R38">
        <v>1860</v>
      </c>
      <c r="S38" t="s">
        <v>7251</v>
      </c>
      <c r="T38">
        <v>19.239999999999998</v>
      </c>
      <c r="U38">
        <v>8952.7999999999993</v>
      </c>
      <c r="V38">
        <v>2456</v>
      </c>
      <c r="W38">
        <v>1801.43</v>
      </c>
      <c r="X38">
        <v>2456</v>
      </c>
      <c r="AC38" t="s">
        <v>7255</v>
      </c>
      <c r="AE38" t="s">
        <v>540</v>
      </c>
      <c r="AF38" t="s">
        <v>6375</v>
      </c>
      <c r="AH38" t="s">
        <v>6373</v>
      </c>
      <c r="AI38" t="s">
        <v>7255</v>
      </c>
      <c r="AO38" t="s">
        <v>7500</v>
      </c>
    </row>
    <row r="39" spans="1:41" hidden="1" x14ac:dyDescent="0.35">
      <c r="A39" t="s">
        <v>7501</v>
      </c>
      <c r="B39" t="s">
        <v>7246</v>
      </c>
      <c r="C39" t="s">
        <v>451</v>
      </c>
      <c r="D39" t="s">
        <v>451</v>
      </c>
      <c r="E39" t="s">
        <v>451</v>
      </c>
      <c r="G39" s="13" t="s">
        <v>7502</v>
      </c>
      <c r="H39" t="s">
        <v>7503</v>
      </c>
      <c r="K39" t="s">
        <v>7504</v>
      </c>
      <c r="L39" t="s">
        <v>7380</v>
      </c>
      <c r="M39" t="s">
        <v>7250</v>
      </c>
      <c r="N39">
        <v>2008</v>
      </c>
      <c r="R39">
        <v>2400</v>
      </c>
      <c r="S39" t="s">
        <v>7251</v>
      </c>
      <c r="T39">
        <v>24.82</v>
      </c>
      <c r="U39">
        <v>11552</v>
      </c>
      <c r="V39">
        <v>595</v>
      </c>
      <c r="W39">
        <v>218.03</v>
      </c>
      <c r="X39">
        <v>595</v>
      </c>
      <c r="AC39" t="s">
        <v>7255</v>
      </c>
      <c r="AE39" t="s">
        <v>486</v>
      </c>
      <c r="AH39" t="s">
        <v>486</v>
      </c>
      <c r="AI39" t="s">
        <v>7255</v>
      </c>
      <c r="AO39" t="s">
        <v>7505</v>
      </c>
    </row>
    <row r="40" spans="1:41" hidden="1" x14ac:dyDescent="0.35">
      <c r="A40" t="s">
        <v>7506</v>
      </c>
      <c r="B40" t="s">
        <v>7246</v>
      </c>
      <c r="C40" t="s">
        <v>451</v>
      </c>
      <c r="D40" t="s">
        <v>451</v>
      </c>
      <c r="E40" t="s">
        <v>451</v>
      </c>
      <c r="G40" s="13" t="s">
        <v>7507</v>
      </c>
      <c r="H40" t="s">
        <v>7508</v>
      </c>
      <c r="K40" t="s">
        <v>7509</v>
      </c>
      <c r="L40" t="s">
        <v>7509</v>
      </c>
      <c r="M40" t="s">
        <v>7250</v>
      </c>
      <c r="N40">
        <v>1959</v>
      </c>
      <c r="R40">
        <v>100</v>
      </c>
      <c r="S40" t="s">
        <v>7251</v>
      </c>
      <c r="T40">
        <v>1.03</v>
      </c>
      <c r="U40">
        <v>481.33</v>
      </c>
      <c r="V40">
        <v>732</v>
      </c>
      <c r="W40">
        <v>420.84</v>
      </c>
      <c r="X40">
        <v>732</v>
      </c>
      <c r="AA40" t="s">
        <v>7510</v>
      </c>
      <c r="AC40" t="s">
        <v>7255</v>
      </c>
      <c r="AE40" t="s">
        <v>513</v>
      </c>
      <c r="AH40" t="s">
        <v>537</v>
      </c>
      <c r="AI40" t="s">
        <v>7255</v>
      </c>
      <c r="AO40" t="s">
        <v>7511</v>
      </c>
    </row>
    <row r="41" spans="1:41" hidden="1" x14ac:dyDescent="0.35">
      <c r="A41" t="s">
        <v>7512</v>
      </c>
      <c r="B41" t="s">
        <v>7246</v>
      </c>
      <c r="C41" t="s">
        <v>451</v>
      </c>
      <c r="D41" t="s">
        <v>451</v>
      </c>
      <c r="E41" t="s">
        <v>451</v>
      </c>
      <c r="G41" s="13" t="s">
        <v>7513</v>
      </c>
      <c r="H41" t="s">
        <v>7514</v>
      </c>
      <c r="K41" t="s">
        <v>7422</v>
      </c>
      <c r="L41" t="s">
        <v>7422</v>
      </c>
      <c r="M41" t="s">
        <v>7250</v>
      </c>
      <c r="N41">
        <v>1997</v>
      </c>
      <c r="R41">
        <v>5600</v>
      </c>
      <c r="S41" t="s">
        <v>7251</v>
      </c>
      <c r="T41">
        <v>57.92</v>
      </c>
      <c r="U41">
        <v>26954.67</v>
      </c>
      <c r="V41">
        <v>16318.75</v>
      </c>
      <c r="W41">
        <v>3751</v>
      </c>
      <c r="X41">
        <v>16318.75</v>
      </c>
      <c r="AA41" t="s">
        <v>7515</v>
      </c>
      <c r="AC41" t="s">
        <v>7255</v>
      </c>
      <c r="AE41" t="s">
        <v>486</v>
      </c>
      <c r="AH41" t="s">
        <v>490</v>
      </c>
      <c r="AI41" t="s">
        <v>7255</v>
      </c>
      <c r="AO41" t="s">
        <v>7516</v>
      </c>
    </row>
    <row r="42" spans="1:41" hidden="1" x14ac:dyDescent="0.35">
      <c r="A42" t="s">
        <v>7517</v>
      </c>
      <c r="B42" t="s">
        <v>7246</v>
      </c>
      <c r="C42" t="s">
        <v>451</v>
      </c>
      <c r="D42" t="s">
        <v>451</v>
      </c>
      <c r="E42" t="s">
        <v>451</v>
      </c>
      <c r="G42" s="13" t="s">
        <v>7518</v>
      </c>
      <c r="H42" t="s">
        <v>7519</v>
      </c>
      <c r="K42" t="s">
        <v>7520</v>
      </c>
      <c r="L42" t="s">
        <v>7520</v>
      </c>
      <c r="M42" t="s">
        <v>7250</v>
      </c>
      <c r="N42">
        <v>2002</v>
      </c>
      <c r="R42">
        <v>200</v>
      </c>
      <c r="S42" t="s">
        <v>7251</v>
      </c>
      <c r="T42">
        <v>2.0699999999999998</v>
      </c>
      <c r="U42">
        <v>962.67</v>
      </c>
      <c r="V42">
        <v>475</v>
      </c>
      <c r="W42">
        <v>281.7</v>
      </c>
      <c r="X42">
        <v>475</v>
      </c>
      <c r="AC42" t="s">
        <v>7255</v>
      </c>
      <c r="AE42" t="s">
        <v>540</v>
      </c>
      <c r="AH42" t="s">
        <v>7521</v>
      </c>
      <c r="AI42" t="s">
        <v>7255</v>
      </c>
      <c r="AO42" t="s">
        <v>7522</v>
      </c>
    </row>
    <row r="43" spans="1:41" hidden="1" x14ac:dyDescent="0.35">
      <c r="A43" t="s">
        <v>7523</v>
      </c>
      <c r="B43" t="s">
        <v>7246</v>
      </c>
      <c r="C43" t="s">
        <v>451</v>
      </c>
      <c r="D43" t="s">
        <v>451</v>
      </c>
      <c r="E43" t="s">
        <v>451</v>
      </c>
      <c r="G43" s="13" t="s">
        <v>7524</v>
      </c>
      <c r="H43" t="s">
        <v>7525</v>
      </c>
      <c r="K43" t="s">
        <v>7526</v>
      </c>
      <c r="L43" t="s">
        <v>7526</v>
      </c>
      <c r="M43" t="s">
        <v>7250</v>
      </c>
      <c r="N43">
        <v>1995</v>
      </c>
      <c r="R43">
        <v>160</v>
      </c>
      <c r="S43" t="s">
        <v>7251</v>
      </c>
      <c r="T43">
        <v>1.65</v>
      </c>
      <c r="U43">
        <v>770.13</v>
      </c>
      <c r="V43">
        <v>1817</v>
      </c>
      <c r="W43">
        <v>250.63</v>
      </c>
      <c r="X43">
        <v>1817</v>
      </c>
      <c r="AC43" t="s">
        <v>7255</v>
      </c>
      <c r="AE43" t="s">
        <v>812</v>
      </c>
      <c r="AF43" t="s">
        <v>790</v>
      </c>
      <c r="AH43" t="s">
        <v>479</v>
      </c>
      <c r="AI43" t="s">
        <v>7255</v>
      </c>
      <c r="AO43" t="s">
        <v>7527</v>
      </c>
    </row>
    <row r="44" spans="1:41" hidden="1" x14ac:dyDescent="0.35">
      <c r="A44" t="s">
        <v>7528</v>
      </c>
      <c r="B44" t="s">
        <v>7246</v>
      </c>
      <c r="C44" t="s">
        <v>451</v>
      </c>
      <c r="D44" t="s">
        <v>451</v>
      </c>
      <c r="E44" t="s">
        <v>451</v>
      </c>
      <c r="G44" s="13" t="s">
        <v>7529</v>
      </c>
      <c r="H44" t="s">
        <v>7530</v>
      </c>
      <c r="K44" t="s">
        <v>7520</v>
      </c>
      <c r="L44" t="s">
        <v>7520</v>
      </c>
      <c r="M44" t="s">
        <v>7250</v>
      </c>
      <c r="N44">
        <v>2017</v>
      </c>
      <c r="R44">
        <v>5000</v>
      </c>
      <c r="S44" t="s">
        <v>7251</v>
      </c>
      <c r="T44">
        <v>51.71</v>
      </c>
      <c r="U44">
        <v>24066.67</v>
      </c>
      <c r="V44">
        <v>83.7</v>
      </c>
      <c r="W44">
        <v>82.03</v>
      </c>
      <c r="X44">
        <v>83.7</v>
      </c>
      <c r="Y44">
        <v>12</v>
      </c>
      <c r="Z44" t="s">
        <v>7253</v>
      </c>
      <c r="AB44" t="s">
        <v>7531</v>
      </c>
      <c r="AC44" t="s">
        <v>7255</v>
      </c>
      <c r="AE44" t="s">
        <v>497</v>
      </c>
      <c r="AF44" t="s">
        <v>7532</v>
      </c>
      <c r="AH44" t="s">
        <v>799</v>
      </c>
      <c r="AI44" t="s">
        <v>7255</v>
      </c>
      <c r="AO44" t="s">
        <v>7533</v>
      </c>
    </row>
    <row r="45" spans="1:41" hidden="1" x14ac:dyDescent="0.35">
      <c r="A45" t="s">
        <v>7534</v>
      </c>
      <c r="B45" t="s">
        <v>7246</v>
      </c>
      <c r="C45" t="s">
        <v>451</v>
      </c>
      <c r="D45" t="s">
        <v>451</v>
      </c>
      <c r="E45" t="s">
        <v>451</v>
      </c>
      <c r="G45" s="13" t="s">
        <v>7535</v>
      </c>
      <c r="H45" t="s">
        <v>7536</v>
      </c>
      <c r="K45" t="s">
        <v>7537</v>
      </c>
      <c r="L45" t="s">
        <v>7537</v>
      </c>
      <c r="M45" t="s">
        <v>7250</v>
      </c>
      <c r="N45">
        <v>1978</v>
      </c>
      <c r="R45">
        <v>2000</v>
      </c>
      <c r="S45" t="s">
        <v>7251</v>
      </c>
      <c r="T45">
        <v>20.69</v>
      </c>
      <c r="U45">
        <v>9626.67</v>
      </c>
      <c r="V45">
        <v>50</v>
      </c>
      <c r="W45">
        <v>61.86</v>
      </c>
      <c r="X45">
        <v>50</v>
      </c>
      <c r="AB45" t="s">
        <v>7458</v>
      </c>
      <c r="AC45" t="s">
        <v>7255</v>
      </c>
      <c r="AH45" t="s">
        <v>7538</v>
      </c>
      <c r="AI45" t="s">
        <v>7255</v>
      </c>
      <c r="AO45" t="s">
        <v>7539</v>
      </c>
    </row>
    <row r="46" spans="1:41" hidden="1" x14ac:dyDescent="0.35">
      <c r="A46" t="s">
        <v>7540</v>
      </c>
      <c r="B46" t="s">
        <v>7246</v>
      </c>
      <c r="C46" t="s">
        <v>451</v>
      </c>
      <c r="D46" t="s">
        <v>451</v>
      </c>
      <c r="E46" t="s">
        <v>451</v>
      </c>
      <c r="G46" s="13" t="s">
        <v>7541</v>
      </c>
      <c r="H46" t="s">
        <v>7542</v>
      </c>
      <c r="K46" t="s">
        <v>7543</v>
      </c>
      <c r="L46" t="s">
        <v>7544</v>
      </c>
      <c r="M46" t="s">
        <v>7250</v>
      </c>
      <c r="N46">
        <v>2010</v>
      </c>
      <c r="R46">
        <v>2000</v>
      </c>
      <c r="S46" t="s">
        <v>7251</v>
      </c>
      <c r="T46">
        <v>20.69</v>
      </c>
      <c r="U46">
        <v>9626.67</v>
      </c>
      <c r="V46">
        <v>298</v>
      </c>
      <c r="W46">
        <v>279.77999999999997</v>
      </c>
      <c r="X46">
        <v>298</v>
      </c>
      <c r="Y46">
        <v>42</v>
      </c>
      <c r="Z46" t="s">
        <v>7253</v>
      </c>
      <c r="AA46" t="s">
        <v>7545</v>
      </c>
      <c r="AB46" t="s">
        <v>7546</v>
      </c>
      <c r="AC46" t="s">
        <v>7255</v>
      </c>
      <c r="AE46" t="s">
        <v>564</v>
      </c>
      <c r="AF46" t="s">
        <v>7547</v>
      </c>
      <c r="AH46" t="s">
        <v>799</v>
      </c>
      <c r="AI46" t="s">
        <v>7255</v>
      </c>
      <c r="AO46" t="s">
        <v>7548</v>
      </c>
    </row>
    <row r="47" spans="1:41" hidden="1" x14ac:dyDescent="0.35">
      <c r="A47" t="s">
        <v>7549</v>
      </c>
      <c r="B47" t="s">
        <v>7246</v>
      </c>
      <c r="C47" t="s">
        <v>451</v>
      </c>
      <c r="D47" t="s">
        <v>451</v>
      </c>
      <c r="E47" t="s">
        <v>451</v>
      </c>
      <c r="G47" s="13" t="s">
        <v>7550</v>
      </c>
      <c r="H47" t="s">
        <v>7551</v>
      </c>
      <c r="K47" t="s">
        <v>7552</v>
      </c>
      <c r="L47" t="s">
        <v>7553</v>
      </c>
      <c r="M47" t="s">
        <v>7250</v>
      </c>
      <c r="N47">
        <v>1998</v>
      </c>
      <c r="R47">
        <v>1059.44</v>
      </c>
      <c r="S47" t="s">
        <v>7251</v>
      </c>
      <c r="T47">
        <v>10.96</v>
      </c>
      <c r="U47">
        <v>5099.4399999999996</v>
      </c>
      <c r="V47">
        <v>8529.52</v>
      </c>
      <c r="W47">
        <v>2924.55</v>
      </c>
      <c r="X47">
        <v>8529.52</v>
      </c>
      <c r="AB47" t="s">
        <v>7554</v>
      </c>
      <c r="AC47" t="s">
        <v>7255</v>
      </c>
      <c r="AE47" t="s">
        <v>486</v>
      </c>
      <c r="AF47" t="s">
        <v>7555</v>
      </c>
      <c r="AH47" t="s">
        <v>764</v>
      </c>
      <c r="AI47" t="s">
        <v>7255</v>
      </c>
      <c r="AO47" t="s">
        <v>7556</v>
      </c>
    </row>
    <row r="48" spans="1:41" hidden="1" x14ac:dyDescent="0.35">
      <c r="A48" t="s">
        <v>7557</v>
      </c>
      <c r="B48" t="s">
        <v>7246</v>
      </c>
      <c r="C48" t="s">
        <v>368</v>
      </c>
      <c r="D48" t="s">
        <v>368</v>
      </c>
      <c r="E48" t="s">
        <v>368</v>
      </c>
      <c r="G48" s="13" t="s">
        <v>7558</v>
      </c>
      <c r="H48" t="s">
        <v>7559</v>
      </c>
      <c r="K48" t="s">
        <v>7320</v>
      </c>
      <c r="L48" t="s">
        <v>7320</v>
      </c>
      <c r="M48" t="s">
        <v>7250</v>
      </c>
      <c r="N48">
        <v>1981</v>
      </c>
      <c r="O48">
        <v>2006</v>
      </c>
      <c r="R48">
        <v>3300</v>
      </c>
      <c r="S48" t="s">
        <v>7251</v>
      </c>
      <c r="T48">
        <v>34.130000000000003</v>
      </c>
      <c r="U48">
        <v>15884</v>
      </c>
      <c r="V48">
        <v>1241</v>
      </c>
      <c r="W48">
        <v>639.66</v>
      </c>
      <c r="X48">
        <v>1241</v>
      </c>
      <c r="AA48" t="s">
        <v>7560</v>
      </c>
      <c r="AB48" t="s">
        <v>7285</v>
      </c>
      <c r="AC48" t="s">
        <v>7255</v>
      </c>
      <c r="AE48" t="s">
        <v>989</v>
      </c>
      <c r="AF48" t="s">
        <v>7561</v>
      </c>
      <c r="AH48" t="s">
        <v>1014</v>
      </c>
      <c r="AI48" t="s">
        <v>7255</v>
      </c>
      <c r="AO48" t="s">
        <v>7562</v>
      </c>
    </row>
    <row r="49" spans="1:41" hidden="1" x14ac:dyDescent="0.35">
      <c r="A49" t="s">
        <v>7563</v>
      </c>
      <c r="B49" t="s">
        <v>7246</v>
      </c>
      <c r="C49" t="s">
        <v>451</v>
      </c>
      <c r="D49" t="s">
        <v>451</v>
      </c>
      <c r="E49" t="s">
        <v>451</v>
      </c>
      <c r="G49" s="13" t="s">
        <v>7564</v>
      </c>
      <c r="H49" t="s">
        <v>7565</v>
      </c>
      <c r="K49" t="s">
        <v>7268</v>
      </c>
      <c r="L49" t="s">
        <v>7268</v>
      </c>
      <c r="M49" t="s">
        <v>7250</v>
      </c>
      <c r="N49">
        <v>1997</v>
      </c>
      <c r="R49">
        <v>1000</v>
      </c>
      <c r="S49" t="s">
        <v>7251</v>
      </c>
      <c r="T49">
        <v>10.34</v>
      </c>
      <c r="U49">
        <v>4813.33</v>
      </c>
      <c r="V49">
        <v>84</v>
      </c>
      <c r="W49">
        <v>628.73</v>
      </c>
      <c r="X49">
        <v>84</v>
      </c>
      <c r="Y49">
        <v>30</v>
      </c>
      <c r="Z49" t="s">
        <v>7253</v>
      </c>
      <c r="AA49" t="s">
        <v>7566</v>
      </c>
      <c r="AB49" t="s">
        <v>7458</v>
      </c>
      <c r="AC49" t="s">
        <v>7255</v>
      </c>
      <c r="AE49" t="s">
        <v>7458</v>
      </c>
      <c r="AF49" t="s">
        <v>7458</v>
      </c>
      <c r="AH49" t="s">
        <v>7458</v>
      </c>
      <c r="AI49" t="s">
        <v>7255</v>
      </c>
      <c r="AO49" t="s">
        <v>7567</v>
      </c>
    </row>
    <row r="50" spans="1:41" hidden="1" x14ac:dyDescent="0.35">
      <c r="A50" t="s">
        <v>7568</v>
      </c>
      <c r="B50" t="s">
        <v>7246</v>
      </c>
      <c r="C50" t="s">
        <v>451</v>
      </c>
      <c r="D50" t="s">
        <v>451</v>
      </c>
      <c r="E50" t="s">
        <v>451</v>
      </c>
      <c r="G50" s="13" t="s">
        <v>7569</v>
      </c>
      <c r="H50" t="s">
        <v>7570</v>
      </c>
      <c r="I50" t="s">
        <v>7331</v>
      </c>
      <c r="K50" t="s">
        <v>7571</v>
      </c>
      <c r="L50" t="s">
        <v>7571</v>
      </c>
      <c r="M50" t="s">
        <v>7292</v>
      </c>
      <c r="N50">
        <v>2022</v>
      </c>
      <c r="R50">
        <v>1970</v>
      </c>
      <c r="S50" t="s">
        <v>7251</v>
      </c>
      <c r="T50">
        <v>20.38</v>
      </c>
      <c r="U50">
        <v>9482.27</v>
      </c>
      <c r="V50">
        <v>24.14</v>
      </c>
      <c r="W50">
        <v>40.65</v>
      </c>
      <c r="X50">
        <v>24.14</v>
      </c>
      <c r="Y50">
        <v>42</v>
      </c>
      <c r="Z50" t="s">
        <v>7253</v>
      </c>
      <c r="AA50" t="s">
        <v>7572</v>
      </c>
      <c r="AC50" t="s">
        <v>7255</v>
      </c>
      <c r="AE50" t="s">
        <v>497</v>
      </c>
      <c r="AF50" t="s">
        <v>7573</v>
      </c>
      <c r="AH50" t="s">
        <v>497</v>
      </c>
      <c r="AI50" t="s">
        <v>7255</v>
      </c>
      <c r="AO50" t="s">
        <v>7574</v>
      </c>
    </row>
    <row r="51" spans="1:41" hidden="1" x14ac:dyDescent="0.35">
      <c r="A51" t="s">
        <v>7575</v>
      </c>
      <c r="B51" t="s">
        <v>7246</v>
      </c>
      <c r="C51" t="s">
        <v>368</v>
      </c>
      <c r="D51" t="s">
        <v>451</v>
      </c>
      <c r="E51" t="s">
        <v>7309</v>
      </c>
      <c r="G51" s="13" t="s">
        <v>7576</v>
      </c>
      <c r="H51" t="s">
        <v>7577</v>
      </c>
      <c r="K51" t="s">
        <v>7320</v>
      </c>
      <c r="L51" t="s">
        <v>7320</v>
      </c>
      <c r="M51" t="s">
        <v>7250</v>
      </c>
      <c r="N51">
        <v>1967</v>
      </c>
      <c r="R51">
        <v>2400</v>
      </c>
      <c r="S51" t="s">
        <v>7251</v>
      </c>
      <c r="T51">
        <v>24.82</v>
      </c>
      <c r="U51">
        <v>11552</v>
      </c>
      <c r="V51">
        <v>3403</v>
      </c>
      <c r="W51">
        <v>1600.99</v>
      </c>
      <c r="X51">
        <v>3403</v>
      </c>
      <c r="AB51" t="s">
        <v>7578</v>
      </c>
      <c r="AC51" t="s">
        <v>7255</v>
      </c>
      <c r="AH51" t="s">
        <v>7579</v>
      </c>
      <c r="AI51" t="s">
        <v>7255</v>
      </c>
      <c r="AO51" t="s">
        <v>7580</v>
      </c>
    </row>
    <row r="52" spans="1:41" hidden="1" x14ac:dyDescent="0.35">
      <c r="A52" t="s">
        <v>7581</v>
      </c>
      <c r="B52" t="s">
        <v>7246</v>
      </c>
      <c r="C52" t="s">
        <v>451</v>
      </c>
      <c r="D52" t="s">
        <v>451</v>
      </c>
      <c r="E52" t="s">
        <v>451</v>
      </c>
      <c r="G52" s="13" t="s">
        <v>7582</v>
      </c>
      <c r="H52" t="s">
        <v>7583</v>
      </c>
      <c r="K52" t="s">
        <v>7584</v>
      </c>
      <c r="L52" t="s">
        <v>7584</v>
      </c>
      <c r="M52" t="s">
        <v>7250</v>
      </c>
      <c r="N52">
        <v>2002</v>
      </c>
      <c r="R52">
        <v>750</v>
      </c>
      <c r="S52" t="s">
        <v>7251</v>
      </c>
      <c r="T52">
        <v>7.76</v>
      </c>
      <c r="U52">
        <v>3610</v>
      </c>
      <c r="V52">
        <v>229</v>
      </c>
      <c r="W52">
        <v>183.92</v>
      </c>
      <c r="X52">
        <v>229</v>
      </c>
      <c r="AB52" t="s">
        <v>545</v>
      </c>
      <c r="AC52" t="s">
        <v>7255</v>
      </c>
      <c r="AE52" t="s">
        <v>475</v>
      </c>
      <c r="AF52" t="s">
        <v>7585</v>
      </c>
      <c r="AH52" t="s">
        <v>931</v>
      </c>
      <c r="AI52" t="s">
        <v>7255</v>
      </c>
      <c r="AO52" t="s">
        <v>7586</v>
      </c>
    </row>
    <row r="53" spans="1:41" hidden="1" x14ac:dyDescent="0.35">
      <c r="A53" t="s">
        <v>7587</v>
      </c>
      <c r="B53" t="s">
        <v>7246</v>
      </c>
      <c r="C53" t="s">
        <v>451</v>
      </c>
      <c r="D53" t="s">
        <v>451</v>
      </c>
      <c r="E53" t="s">
        <v>451</v>
      </c>
      <c r="G53" s="13" t="s">
        <v>7588</v>
      </c>
      <c r="H53" t="s">
        <v>7589</v>
      </c>
      <c r="K53" t="s">
        <v>7590</v>
      </c>
      <c r="L53" t="s">
        <v>7590</v>
      </c>
      <c r="M53" t="s">
        <v>7250</v>
      </c>
      <c r="N53">
        <v>2009</v>
      </c>
      <c r="R53">
        <v>1726</v>
      </c>
      <c r="S53" t="s">
        <v>7251</v>
      </c>
      <c r="T53">
        <v>17.850000000000001</v>
      </c>
      <c r="U53">
        <v>8307.82</v>
      </c>
      <c r="V53">
        <v>568.1</v>
      </c>
      <c r="W53">
        <v>459.81</v>
      </c>
      <c r="X53">
        <v>568.1</v>
      </c>
      <c r="Y53">
        <v>42</v>
      </c>
      <c r="Z53" t="s">
        <v>7253</v>
      </c>
      <c r="AA53" t="s">
        <v>7591</v>
      </c>
      <c r="AB53" t="s">
        <v>7409</v>
      </c>
      <c r="AC53" t="s">
        <v>7255</v>
      </c>
      <c r="AE53" t="s">
        <v>486</v>
      </c>
      <c r="AF53" t="s">
        <v>7592</v>
      </c>
      <c r="AH53" t="s">
        <v>497</v>
      </c>
      <c r="AI53" t="s">
        <v>7255</v>
      </c>
      <c r="AO53" t="s">
        <v>7593</v>
      </c>
    </row>
    <row r="54" spans="1:41" hidden="1" x14ac:dyDescent="0.35">
      <c r="A54" t="s">
        <v>7594</v>
      </c>
      <c r="B54" t="s">
        <v>7246</v>
      </c>
      <c r="C54" t="s">
        <v>451</v>
      </c>
      <c r="D54" t="s">
        <v>451</v>
      </c>
      <c r="E54" t="s">
        <v>451</v>
      </c>
      <c r="G54" s="13" t="s">
        <v>7595</v>
      </c>
      <c r="H54" t="s">
        <v>7596</v>
      </c>
      <c r="K54" t="s">
        <v>7590</v>
      </c>
      <c r="L54" t="s">
        <v>7590</v>
      </c>
      <c r="M54" t="s">
        <v>7250</v>
      </c>
      <c r="N54">
        <v>2008</v>
      </c>
      <c r="R54">
        <v>2700</v>
      </c>
      <c r="S54" t="s">
        <v>7251</v>
      </c>
      <c r="T54">
        <v>27.93</v>
      </c>
      <c r="U54">
        <v>12996</v>
      </c>
      <c r="V54">
        <v>12070.08</v>
      </c>
      <c r="W54">
        <v>3857.92</v>
      </c>
      <c r="X54">
        <v>12070.08</v>
      </c>
      <c r="AC54" t="s">
        <v>7255</v>
      </c>
      <c r="AE54" t="s">
        <v>486</v>
      </c>
      <c r="AH54" t="s">
        <v>7597</v>
      </c>
      <c r="AI54" t="s">
        <v>7255</v>
      </c>
      <c r="AO54" t="s">
        <v>7598</v>
      </c>
    </row>
    <row r="55" spans="1:41" hidden="1" x14ac:dyDescent="0.35">
      <c r="A55" t="s">
        <v>7599</v>
      </c>
      <c r="B55" t="s">
        <v>7246</v>
      </c>
      <c r="C55" t="s">
        <v>451</v>
      </c>
      <c r="D55" t="s">
        <v>451</v>
      </c>
      <c r="E55" t="s">
        <v>451</v>
      </c>
      <c r="G55" s="13" t="s">
        <v>7600</v>
      </c>
      <c r="H55" t="s">
        <v>7601</v>
      </c>
      <c r="K55" t="s">
        <v>7590</v>
      </c>
      <c r="L55" t="s">
        <v>7590</v>
      </c>
      <c r="M55" t="s">
        <v>7250</v>
      </c>
      <c r="N55">
        <v>2018</v>
      </c>
      <c r="R55">
        <v>1420</v>
      </c>
      <c r="S55" t="s">
        <v>7251</v>
      </c>
      <c r="T55">
        <v>14.69</v>
      </c>
      <c r="U55">
        <v>6834.93</v>
      </c>
      <c r="V55">
        <v>106</v>
      </c>
      <c r="W55">
        <v>72.42</v>
      </c>
      <c r="X55">
        <v>106</v>
      </c>
      <c r="AB55" t="s">
        <v>7602</v>
      </c>
      <c r="AC55" t="s">
        <v>7255</v>
      </c>
      <c r="AE55" t="s">
        <v>486</v>
      </c>
      <c r="AF55" t="s">
        <v>7602</v>
      </c>
      <c r="AH55" t="s">
        <v>486</v>
      </c>
      <c r="AI55" t="s">
        <v>7255</v>
      </c>
      <c r="AO55" t="s">
        <v>7603</v>
      </c>
    </row>
    <row r="56" spans="1:41" hidden="1" x14ac:dyDescent="0.35">
      <c r="A56" t="s">
        <v>7604</v>
      </c>
      <c r="B56" t="s">
        <v>7246</v>
      </c>
      <c r="C56" t="s">
        <v>451</v>
      </c>
      <c r="D56" t="s">
        <v>451</v>
      </c>
      <c r="E56" t="s">
        <v>451</v>
      </c>
      <c r="G56" s="13" t="s">
        <v>7605</v>
      </c>
      <c r="H56" t="s">
        <v>7606</v>
      </c>
      <c r="K56" t="s">
        <v>7607</v>
      </c>
      <c r="L56" t="s">
        <v>7607</v>
      </c>
      <c r="M56" t="s">
        <v>7250</v>
      </c>
      <c r="N56">
        <v>2002</v>
      </c>
      <c r="R56">
        <v>1310</v>
      </c>
      <c r="S56" t="s">
        <v>7251</v>
      </c>
      <c r="T56">
        <v>13.55</v>
      </c>
      <c r="U56">
        <v>6305.47</v>
      </c>
      <c r="V56">
        <v>1199</v>
      </c>
      <c r="W56">
        <v>1127.47</v>
      </c>
      <c r="X56">
        <v>1199</v>
      </c>
      <c r="AB56" t="s">
        <v>7608</v>
      </c>
      <c r="AC56" t="s">
        <v>7255</v>
      </c>
      <c r="AE56" t="s">
        <v>643</v>
      </c>
      <c r="AH56" t="s">
        <v>764</v>
      </c>
      <c r="AI56" t="s">
        <v>7255</v>
      </c>
      <c r="AO56" t="s">
        <v>7609</v>
      </c>
    </row>
    <row r="57" spans="1:41" hidden="1" x14ac:dyDescent="0.35">
      <c r="A57" t="s">
        <v>7610</v>
      </c>
      <c r="B57" t="s">
        <v>7246</v>
      </c>
      <c r="C57" t="s">
        <v>451</v>
      </c>
      <c r="D57" t="s">
        <v>451</v>
      </c>
      <c r="E57" t="s">
        <v>451</v>
      </c>
      <c r="G57" s="13" t="s">
        <v>7611</v>
      </c>
      <c r="H57" t="s">
        <v>7612</v>
      </c>
      <c r="K57" t="s">
        <v>7613</v>
      </c>
      <c r="L57" t="s">
        <v>7613</v>
      </c>
      <c r="M57" t="s">
        <v>7250</v>
      </c>
      <c r="N57">
        <v>1978</v>
      </c>
      <c r="R57">
        <v>1800</v>
      </c>
      <c r="S57" t="s">
        <v>7251</v>
      </c>
      <c r="T57">
        <v>18.62</v>
      </c>
      <c r="U57">
        <v>8664</v>
      </c>
      <c r="V57">
        <v>462</v>
      </c>
      <c r="W57">
        <v>142.04</v>
      </c>
      <c r="X57">
        <v>462</v>
      </c>
      <c r="AB57" t="s">
        <v>7458</v>
      </c>
      <c r="AC57" t="s">
        <v>7255</v>
      </c>
      <c r="AH57" t="s">
        <v>7458</v>
      </c>
      <c r="AI57" t="s">
        <v>7255</v>
      </c>
      <c r="AO57" t="s">
        <v>7614</v>
      </c>
    </row>
    <row r="58" spans="1:41" hidden="1" x14ac:dyDescent="0.35">
      <c r="A58" t="s">
        <v>7615</v>
      </c>
      <c r="B58" t="s">
        <v>7246</v>
      </c>
      <c r="C58" t="s">
        <v>451</v>
      </c>
      <c r="D58" t="s">
        <v>451</v>
      </c>
      <c r="E58" t="s">
        <v>451</v>
      </c>
      <c r="G58" s="13" t="s">
        <v>7616</v>
      </c>
      <c r="H58" t="s">
        <v>7617</v>
      </c>
      <c r="K58" t="s">
        <v>7618</v>
      </c>
      <c r="L58" t="s">
        <v>7618</v>
      </c>
      <c r="M58" t="s">
        <v>7250</v>
      </c>
      <c r="N58">
        <v>2002</v>
      </c>
      <c r="R58">
        <v>380</v>
      </c>
      <c r="S58" t="s">
        <v>7251</v>
      </c>
      <c r="T58">
        <v>3.93</v>
      </c>
      <c r="U58">
        <v>1829.07</v>
      </c>
      <c r="V58">
        <v>117</v>
      </c>
      <c r="W58">
        <v>104.34</v>
      </c>
      <c r="X58">
        <v>117</v>
      </c>
      <c r="AB58" t="s">
        <v>545</v>
      </c>
      <c r="AC58" t="s">
        <v>7255</v>
      </c>
      <c r="AE58" t="s">
        <v>475</v>
      </c>
      <c r="AF58" t="s">
        <v>7619</v>
      </c>
      <c r="AH58" t="s">
        <v>475</v>
      </c>
      <c r="AI58" t="s">
        <v>7255</v>
      </c>
      <c r="AO58" t="s">
        <v>7620</v>
      </c>
    </row>
    <row r="59" spans="1:41" hidden="1" x14ac:dyDescent="0.35">
      <c r="A59" t="s">
        <v>7621</v>
      </c>
      <c r="B59" t="s">
        <v>7246</v>
      </c>
      <c r="C59" t="s">
        <v>368</v>
      </c>
      <c r="D59" t="s">
        <v>368</v>
      </c>
      <c r="E59" t="s">
        <v>368</v>
      </c>
      <c r="G59" s="13" t="s">
        <v>7622</v>
      </c>
      <c r="H59" t="s">
        <v>7623</v>
      </c>
      <c r="K59" t="s">
        <v>7320</v>
      </c>
      <c r="L59" t="s">
        <v>7320</v>
      </c>
      <c r="M59" t="s">
        <v>7269</v>
      </c>
      <c r="R59">
        <v>1000</v>
      </c>
      <c r="S59" t="s">
        <v>7251</v>
      </c>
      <c r="T59">
        <v>10.34</v>
      </c>
      <c r="U59">
        <v>4813.33</v>
      </c>
      <c r="V59">
        <v>100</v>
      </c>
      <c r="W59">
        <v>669.97</v>
      </c>
      <c r="X59">
        <v>100</v>
      </c>
      <c r="AA59" t="s">
        <v>7624</v>
      </c>
      <c r="AB59" t="s">
        <v>7625</v>
      </c>
      <c r="AC59" t="s">
        <v>7255</v>
      </c>
      <c r="AE59" t="s">
        <v>1020</v>
      </c>
      <c r="AF59" t="s">
        <v>7626</v>
      </c>
      <c r="AH59" t="s">
        <v>1020</v>
      </c>
      <c r="AI59" t="s">
        <v>7255</v>
      </c>
      <c r="AO59" t="s">
        <v>7627</v>
      </c>
    </row>
    <row r="60" spans="1:41" hidden="1" x14ac:dyDescent="0.35">
      <c r="A60" t="s">
        <v>7628</v>
      </c>
      <c r="B60" t="s">
        <v>7246</v>
      </c>
      <c r="C60" t="s">
        <v>451</v>
      </c>
      <c r="D60" t="s">
        <v>451</v>
      </c>
      <c r="E60" t="s">
        <v>451</v>
      </c>
      <c r="G60" s="13" t="s">
        <v>7629</v>
      </c>
      <c r="H60" t="s">
        <v>7630</v>
      </c>
      <c r="K60" t="s">
        <v>7504</v>
      </c>
      <c r="L60" t="s">
        <v>7380</v>
      </c>
      <c r="M60" t="s">
        <v>7250</v>
      </c>
      <c r="R60">
        <v>5300</v>
      </c>
      <c r="S60" t="s">
        <v>7251</v>
      </c>
      <c r="T60">
        <v>54.82</v>
      </c>
      <c r="U60">
        <v>25510.67</v>
      </c>
      <c r="V60">
        <v>6116</v>
      </c>
      <c r="W60">
        <v>2024.15</v>
      </c>
      <c r="X60">
        <v>6116</v>
      </c>
      <c r="AB60" t="s">
        <v>7631</v>
      </c>
      <c r="AC60" t="s">
        <v>7255</v>
      </c>
      <c r="AE60" t="s">
        <v>486</v>
      </c>
      <c r="AF60" t="s">
        <v>7631</v>
      </c>
      <c r="AH60" t="s">
        <v>486</v>
      </c>
      <c r="AI60" t="s">
        <v>7255</v>
      </c>
      <c r="AO60" t="s">
        <v>7632</v>
      </c>
    </row>
    <row r="61" spans="1:41" hidden="1" x14ac:dyDescent="0.35">
      <c r="A61" t="s">
        <v>7633</v>
      </c>
      <c r="B61" t="s">
        <v>7246</v>
      </c>
      <c r="C61" t="s">
        <v>451</v>
      </c>
      <c r="D61" t="s">
        <v>451</v>
      </c>
      <c r="E61" t="s">
        <v>451</v>
      </c>
      <c r="G61" s="13" t="s">
        <v>7634</v>
      </c>
      <c r="H61" t="s">
        <v>7635</v>
      </c>
      <c r="K61" t="s">
        <v>7262</v>
      </c>
      <c r="L61" t="s">
        <v>7262</v>
      </c>
      <c r="M61" t="s">
        <v>7250</v>
      </c>
      <c r="N61">
        <v>2007</v>
      </c>
      <c r="R61">
        <v>1000</v>
      </c>
      <c r="S61" t="s">
        <v>7251</v>
      </c>
      <c r="T61">
        <v>10.34</v>
      </c>
      <c r="U61">
        <v>4813.33</v>
      </c>
      <c r="V61">
        <v>216</v>
      </c>
      <c r="W61">
        <v>154.06</v>
      </c>
      <c r="X61">
        <v>216</v>
      </c>
      <c r="AA61" t="s">
        <v>7636</v>
      </c>
      <c r="AB61" t="s">
        <v>7636</v>
      </c>
      <c r="AC61" t="s">
        <v>7255</v>
      </c>
      <c r="AE61" t="s">
        <v>7458</v>
      </c>
      <c r="AF61" t="s">
        <v>7637</v>
      </c>
      <c r="AH61" t="s">
        <v>7458</v>
      </c>
      <c r="AI61" t="s">
        <v>7255</v>
      </c>
      <c r="AO61" t="s">
        <v>7638</v>
      </c>
    </row>
    <row r="62" spans="1:41" hidden="1" x14ac:dyDescent="0.35">
      <c r="A62" t="s">
        <v>7639</v>
      </c>
      <c r="B62" t="s">
        <v>7246</v>
      </c>
      <c r="C62" t="s">
        <v>368</v>
      </c>
      <c r="D62" t="s">
        <v>451</v>
      </c>
      <c r="E62" t="s">
        <v>7309</v>
      </c>
      <c r="G62" s="13" t="s">
        <v>7640</v>
      </c>
      <c r="H62" t="s">
        <v>7641</v>
      </c>
      <c r="K62" t="s">
        <v>7642</v>
      </c>
      <c r="L62" t="s">
        <v>7643</v>
      </c>
      <c r="M62" t="s">
        <v>7250</v>
      </c>
      <c r="N62">
        <v>1992</v>
      </c>
      <c r="R62">
        <v>500</v>
      </c>
      <c r="S62" t="s">
        <v>7251</v>
      </c>
      <c r="T62">
        <v>5.17</v>
      </c>
      <c r="U62">
        <v>2406.67</v>
      </c>
      <c r="V62">
        <v>669</v>
      </c>
      <c r="W62">
        <v>571.79</v>
      </c>
      <c r="X62">
        <v>669</v>
      </c>
      <c r="AA62" t="s">
        <v>7644</v>
      </c>
      <c r="AB62" t="s">
        <v>7645</v>
      </c>
      <c r="AC62" t="s">
        <v>7255</v>
      </c>
      <c r="AE62" t="s">
        <v>548</v>
      </c>
      <c r="AF62" t="s">
        <v>7646</v>
      </c>
      <c r="AH62" t="s">
        <v>548</v>
      </c>
      <c r="AI62" t="s">
        <v>7255</v>
      </c>
      <c r="AO62" t="s">
        <v>7647</v>
      </c>
    </row>
    <row r="63" spans="1:41" hidden="1" x14ac:dyDescent="0.35">
      <c r="A63" t="s">
        <v>7648</v>
      </c>
      <c r="B63" t="s">
        <v>7246</v>
      </c>
      <c r="C63" t="s">
        <v>451</v>
      </c>
      <c r="D63" t="s">
        <v>451</v>
      </c>
      <c r="E63" t="s">
        <v>451</v>
      </c>
      <c r="G63" s="13" t="s">
        <v>7649</v>
      </c>
      <c r="H63" t="s">
        <v>7650</v>
      </c>
      <c r="K63" t="s">
        <v>7651</v>
      </c>
      <c r="L63" t="s">
        <v>7652</v>
      </c>
      <c r="M63" t="s">
        <v>7250</v>
      </c>
      <c r="N63">
        <v>1991</v>
      </c>
      <c r="R63">
        <v>1760</v>
      </c>
      <c r="S63" t="s">
        <v>7251</v>
      </c>
      <c r="T63">
        <v>18.2</v>
      </c>
      <c r="U63">
        <v>8471.4699999999993</v>
      </c>
      <c r="V63">
        <v>2702</v>
      </c>
      <c r="W63">
        <v>1261.1199999999999</v>
      </c>
      <c r="X63">
        <v>2702</v>
      </c>
      <c r="AB63" t="s">
        <v>7653</v>
      </c>
      <c r="AC63" t="s">
        <v>7255</v>
      </c>
      <c r="AE63" t="s">
        <v>751</v>
      </c>
      <c r="AF63" t="s">
        <v>7654</v>
      </c>
      <c r="AH63" t="s">
        <v>490</v>
      </c>
      <c r="AI63" t="s">
        <v>7255</v>
      </c>
      <c r="AO63" t="s">
        <v>7655</v>
      </c>
    </row>
    <row r="64" spans="1:41" hidden="1" x14ac:dyDescent="0.35">
      <c r="A64" t="s">
        <v>7656</v>
      </c>
      <c r="B64" t="s">
        <v>7246</v>
      </c>
      <c r="C64" t="s">
        <v>451</v>
      </c>
      <c r="D64" t="s">
        <v>451</v>
      </c>
      <c r="E64" t="s">
        <v>451</v>
      </c>
      <c r="G64" s="13" t="s">
        <v>7657</v>
      </c>
      <c r="H64" t="s">
        <v>7658</v>
      </c>
      <c r="K64" t="s">
        <v>7659</v>
      </c>
      <c r="L64" t="s">
        <v>7659</v>
      </c>
      <c r="M64" t="s">
        <v>7250</v>
      </c>
      <c r="N64">
        <v>1927</v>
      </c>
      <c r="R64">
        <v>830</v>
      </c>
      <c r="S64" t="s">
        <v>7251</v>
      </c>
      <c r="T64">
        <v>8.58</v>
      </c>
      <c r="U64">
        <v>3995.07</v>
      </c>
      <c r="V64">
        <v>8208</v>
      </c>
      <c r="W64">
        <v>5438.83</v>
      </c>
      <c r="X64">
        <v>8208</v>
      </c>
      <c r="AB64" t="s">
        <v>751</v>
      </c>
      <c r="AC64" t="s">
        <v>7255</v>
      </c>
      <c r="AH64" t="s">
        <v>7660</v>
      </c>
      <c r="AI64" t="s">
        <v>7255</v>
      </c>
      <c r="AO64" t="s">
        <v>7661</v>
      </c>
    </row>
    <row r="65" spans="1:41" hidden="1" x14ac:dyDescent="0.35">
      <c r="A65" t="s">
        <v>7662</v>
      </c>
      <c r="B65" t="s">
        <v>7246</v>
      </c>
      <c r="C65" t="s">
        <v>451</v>
      </c>
      <c r="D65" t="s">
        <v>451</v>
      </c>
      <c r="E65" t="s">
        <v>451</v>
      </c>
      <c r="G65" s="13" t="s">
        <v>7663</v>
      </c>
      <c r="H65" t="s">
        <v>7664</v>
      </c>
      <c r="K65" t="s">
        <v>7320</v>
      </c>
      <c r="L65" t="s">
        <v>7320</v>
      </c>
      <c r="M65" t="s">
        <v>7250</v>
      </c>
      <c r="N65">
        <v>2018</v>
      </c>
      <c r="R65">
        <v>1500</v>
      </c>
      <c r="S65" t="s">
        <v>7251</v>
      </c>
      <c r="T65">
        <v>15.51</v>
      </c>
      <c r="U65">
        <v>7220</v>
      </c>
      <c r="V65">
        <v>257</v>
      </c>
      <c r="W65">
        <v>236.23</v>
      </c>
      <c r="X65">
        <v>257</v>
      </c>
      <c r="AA65" t="s">
        <v>7665</v>
      </c>
      <c r="AC65" t="s">
        <v>7255</v>
      </c>
      <c r="AE65" t="s">
        <v>513</v>
      </c>
      <c r="AH65" t="s">
        <v>533</v>
      </c>
      <c r="AI65" t="s">
        <v>7255</v>
      </c>
      <c r="AO65" t="s">
        <v>7666</v>
      </c>
    </row>
    <row r="66" spans="1:41" hidden="1" x14ac:dyDescent="0.35">
      <c r="A66" t="s">
        <v>7667</v>
      </c>
      <c r="B66" t="s">
        <v>7246</v>
      </c>
      <c r="C66" t="s">
        <v>451</v>
      </c>
      <c r="D66" t="s">
        <v>451</v>
      </c>
      <c r="E66" t="s">
        <v>451</v>
      </c>
      <c r="G66" s="13" t="s">
        <v>7668</v>
      </c>
      <c r="H66" t="s">
        <v>7669</v>
      </c>
      <c r="K66" t="s">
        <v>7399</v>
      </c>
      <c r="L66" t="s">
        <v>7399</v>
      </c>
      <c r="M66" t="s">
        <v>7250</v>
      </c>
      <c r="N66">
        <v>1998</v>
      </c>
      <c r="R66">
        <v>700</v>
      </c>
      <c r="S66" t="s">
        <v>7251</v>
      </c>
      <c r="T66">
        <v>7.24</v>
      </c>
      <c r="U66">
        <v>3369.33</v>
      </c>
      <c r="V66">
        <v>3219</v>
      </c>
      <c r="W66">
        <v>724.59</v>
      </c>
      <c r="X66">
        <v>3219</v>
      </c>
      <c r="AA66" t="s">
        <v>7670</v>
      </c>
      <c r="AB66" t="s">
        <v>3872</v>
      </c>
      <c r="AC66" t="s">
        <v>7255</v>
      </c>
      <c r="AE66" t="s">
        <v>497</v>
      </c>
      <c r="AF66" t="s">
        <v>561</v>
      </c>
      <c r="AH66" t="s">
        <v>497</v>
      </c>
      <c r="AI66" t="s">
        <v>7255</v>
      </c>
      <c r="AO66" t="s">
        <v>7671</v>
      </c>
    </row>
    <row r="67" spans="1:41" hidden="1" x14ac:dyDescent="0.35">
      <c r="A67" t="s">
        <v>7672</v>
      </c>
      <c r="B67" t="s">
        <v>7246</v>
      </c>
      <c r="C67" t="s">
        <v>368</v>
      </c>
      <c r="D67" t="s">
        <v>368</v>
      </c>
      <c r="E67" t="s">
        <v>368</v>
      </c>
      <c r="G67" s="13" t="s">
        <v>7673</v>
      </c>
      <c r="H67" t="s">
        <v>7674</v>
      </c>
      <c r="K67" t="s">
        <v>7675</v>
      </c>
      <c r="L67" t="s">
        <v>7675</v>
      </c>
      <c r="M67" t="s">
        <v>7269</v>
      </c>
      <c r="R67">
        <v>1850</v>
      </c>
      <c r="S67" t="s">
        <v>7251</v>
      </c>
      <c r="T67">
        <v>19.13</v>
      </c>
      <c r="U67">
        <v>8904.67</v>
      </c>
      <c r="V67">
        <v>1220</v>
      </c>
      <c r="W67">
        <v>1278.3800000000001</v>
      </c>
      <c r="X67">
        <v>1220</v>
      </c>
      <c r="AA67" t="s">
        <v>7676</v>
      </c>
      <c r="AB67" t="s">
        <v>7677</v>
      </c>
      <c r="AC67" t="s">
        <v>7255</v>
      </c>
      <c r="AE67" t="s">
        <v>7678</v>
      </c>
      <c r="AH67" t="s">
        <v>989</v>
      </c>
      <c r="AI67" t="s">
        <v>7255</v>
      </c>
      <c r="AO67" t="s">
        <v>7679</v>
      </c>
    </row>
    <row r="68" spans="1:41" hidden="1" x14ac:dyDescent="0.35">
      <c r="A68" t="s">
        <v>7680</v>
      </c>
      <c r="B68" t="s">
        <v>7246</v>
      </c>
      <c r="C68" t="s">
        <v>368</v>
      </c>
      <c r="D68" t="s">
        <v>451</v>
      </c>
      <c r="E68" t="s">
        <v>7309</v>
      </c>
      <c r="G68" s="13" t="s">
        <v>7681</v>
      </c>
      <c r="H68" t="s">
        <v>7682</v>
      </c>
      <c r="K68" t="s">
        <v>7683</v>
      </c>
      <c r="L68" t="s">
        <v>7683</v>
      </c>
      <c r="M68" t="s">
        <v>7250</v>
      </c>
      <c r="N68">
        <v>2000</v>
      </c>
      <c r="R68">
        <v>1380</v>
      </c>
      <c r="S68" t="s">
        <v>7251</v>
      </c>
      <c r="T68">
        <v>14.27</v>
      </c>
      <c r="U68">
        <v>6642.4</v>
      </c>
      <c r="V68">
        <v>1429</v>
      </c>
      <c r="W68">
        <v>1035.47</v>
      </c>
      <c r="X68">
        <v>1429</v>
      </c>
      <c r="Y68">
        <v>30</v>
      </c>
      <c r="Z68" t="s">
        <v>7253</v>
      </c>
      <c r="AB68" t="s">
        <v>7684</v>
      </c>
      <c r="AC68" t="s">
        <v>7255</v>
      </c>
      <c r="AE68" t="s">
        <v>1023</v>
      </c>
      <c r="AF68" t="s">
        <v>7685</v>
      </c>
      <c r="AH68" t="s">
        <v>7271</v>
      </c>
      <c r="AI68" t="s">
        <v>7255</v>
      </c>
      <c r="AO68" t="s">
        <v>7686</v>
      </c>
    </row>
    <row r="69" spans="1:41" hidden="1" x14ac:dyDescent="0.35">
      <c r="A69" t="s">
        <v>7687</v>
      </c>
      <c r="B69" t="s">
        <v>7246</v>
      </c>
      <c r="C69" t="s">
        <v>451</v>
      </c>
      <c r="D69" t="s">
        <v>451</v>
      </c>
      <c r="E69" t="s">
        <v>451</v>
      </c>
      <c r="G69" s="13" t="s">
        <v>7688</v>
      </c>
      <c r="H69" t="s">
        <v>7689</v>
      </c>
      <c r="K69" t="s">
        <v>7690</v>
      </c>
      <c r="L69" t="s">
        <v>7553</v>
      </c>
      <c r="M69" t="s">
        <v>7250</v>
      </c>
      <c r="N69">
        <v>2009</v>
      </c>
      <c r="R69">
        <v>1533</v>
      </c>
      <c r="S69" t="s">
        <v>7251</v>
      </c>
      <c r="T69">
        <v>15.86</v>
      </c>
      <c r="U69">
        <v>7378.84</v>
      </c>
      <c r="V69">
        <v>816.4</v>
      </c>
      <c r="W69">
        <v>803.38</v>
      </c>
      <c r="X69">
        <v>816.4</v>
      </c>
      <c r="Y69" t="s">
        <v>7691</v>
      </c>
      <c r="Z69" t="s">
        <v>7253</v>
      </c>
      <c r="AB69" t="s">
        <v>7692</v>
      </c>
      <c r="AC69" t="s">
        <v>7255</v>
      </c>
      <c r="AE69" t="s">
        <v>812</v>
      </c>
      <c r="AF69" t="s">
        <v>524</v>
      </c>
      <c r="AH69" t="s">
        <v>643</v>
      </c>
      <c r="AI69" t="s">
        <v>7255</v>
      </c>
      <c r="AO69" t="s">
        <v>7693</v>
      </c>
    </row>
    <row r="70" spans="1:41" hidden="1" x14ac:dyDescent="0.35">
      <c r="A70" t="s">
        <v>7694</v>
      </c>
      <c r="B70" t="s">
        <v>7246</v>
      </c>
      <c r="C70" t="s">
        <v>451</v>
      </c>
      <c r="D70" t="s">
        <v>451</v>
      </c>
      <c r="E70" t="s">
        <v>451</v>
      </c>
      <c r="G70" s="13" t="s">
        <v>7695</v>
      </c>
      <c r="H70" t="s">
        <v>7696</v>
      </c>
      <c r="K70" t="s">
        <v>7697</v>
      </c>
      <c r="L70" t="s">
        <v>7698</v>
      </c>
      <c r="M70" t="s">
        <v>7250</v>
      </c>
      <c r="N70">
        <v>1951</v>
      </c>
      <c r="R70">
        <v>650</v>
      </c>
      <c r="S70" t="s">
        <v>7251</v>
      </c>
      <c r="T70">
        <v>6.72</v>
      </c>
      <c r="U70">
        <v>3128.67</v>
      </c>
      <c r="V70">
        <v>589</v>
      </c>
      <c r="W70">
        <v>565.53</v>
      </c>
      <c r="X70">
        <v>589</v>
      </c>
      <c r="AB70" t="s">
        <v>6363</v>
      </c>
      <c r="AC70" t="s">
        <v>7255</v>
      </c>
      <c r="AE70" t="s">
        <v>540</v>
      </c>
      <c r="AF70" t="s">
        <v>545</v>
      </c>
      <c r="AH70" t="s">
        <v>475</v>
      </c>
      <c r="AI70" t="s">
        <v>7255</v>
      </c>
      <c r="AO70" t="s">
        <v>7699</v>
      </c>
    </row>
    <row r="71" spans="1:41" hidden="1" x14ac:dyDescent="0.35">
      <c r="A71" t="s">
        <v>7700</v>
      </c>
      <c r="B71" t="s">
        <v>7246</v>
      </c>
      <c r="C71" t="s">
        <v>451</v>
      </c>
      <c r="D71" t="s">
        <v>406</v>
      </c>
      <c r="E71" t="s">
        <v>7701</v>
      </c>
      <c r="G71" s="13" t="s">
        <v>7702</v>
      </c>
      <c r="H71" t="s">
        <v>7703</v>
      </c>
      <c r="K71" t="s">
        <v>7422</v>
      </c>
      <c r="L71" t="s">
        <v>7422</v>
      </c>
      <c r="M71" t="s">
        <v>7250</v>
      </c>
      <c r="N71">
        <v>2003</v>
      </c>
      <c r="R71">
        <v>640</v>
      </c>
      <c r="S71" t="s">
        <v>7251</v>
      </c>
      <c r="T71">
        <v>6.62</v>
      </c>
      <c r="U71">
        <v>3080.53</v>
      </c>
      <c r="V71">
        <v>145</v>
      </c>
      <c r="W71">
        <v>138.66</v>
      </c>
      <c r="X71">
        <v>145</v>
      </c>
      <c r="AB71" t="s">
        <v>7704</v>
      </c>
      <c r="AC71" t="s">
        <v>7255</v>
      </c>
      <c r="AE71" t="s">
        <v>486</v>
      </c>
      <c r="AF71" t="s">
        <v>7705</v>
      </c>
      <c r="AH71" t="s">
        <v>4009</v>
      </c>
      <c r="AI71" t="s">
        <v>7255</v>
      </c>
      <c r="AL71" t="s">
        <v>7706</v>
      </c>
      <c r="AN71" s="13" t="s">
        <v>7707</v>
      </c>
      <c r="AO71" t="s">
        <v>7708</v>
      </c>
    </row>
    <row r="72" spans="1:41" hidden="1" x14ac:dyDescent="0.35">
      <c r="A72" t="s">
        <v>7709</v>
      </c>
      <c r="B72" t="s">
        <v>7246</v>
      </c>
      <c r="C72" t="s">
        <v>451</v>
      </c>
      <c r="D72" t="s">
        <v>451</v>
      </c>
      <c r="E72" t="s">
        <v>451</v>
      </c>
      <c r="G72" s="13" t="s">
        <v>7710</v>
      </c>
      <c r="H72" t="s">
        <v>7711</v>
      </c>
      <c r="K72" t="s">
        <v>7712</v>
      </c>
      <c r="L72" t="s">
        <v>7712</v>
      </c>
      <c r="M72" t="s">
        <v>7250</v>
      </c>
      <c r="N72">
        <v>2008</v>
      </c>
      <c r="R72">
        <v>500</v>
      </c>
      <c r="S72" t="s">
        <v>7251</v>
      </c>
      <c r="T72">
        <v>5.17</v>
      </c>
      <c r="U72">
        <v>2406.67</v>
      </c>
      <c r="V72">
        <v>354.1</v>
      </c>
      <c r="W72">
        <v>330.02</v>
      </c>
      <c r="X72">
        <v>354.1</v>
      </c>
      <c r="AB72" t="s">
        <v>7713</v>
      </c>
      <c r="AC72" t="s">
        <v>7255</v>
      </c>
      <c r="AE72" t="s">
        <v>548</v>
      </c>
      <c r="AF72" t="s">
        <v>966</v>
      </c>
      <c r="AH72" t="s">
        <v>548</v>
      </c>
      <c r="AI72" t="s">
        <v>7255</v>
      </c>
      <c r="AO72" t="s">
        <v>7714</v>
      </c>
    </row>
    <row r="73" spans="1:41" hidden="1" x14ac:dyDescent="0.35">
      <c r="A73" t="s">
        <v>7715</v>
      </c>
      <c r="B73" t="s">
        <v>7246</v>
      </c>
      <c r="C73" t="s">
        <v>451</v>
      </c>
      <c r="D73" t="s">
        <v>451</v>
      </c>
      <c r="E73" t="s">
        <v>451</v>
      </c>
      <c r="G73" s="13" t="s">
        <v>7716</v>
      </c>
      <c r="H73" t="s">
        <v>7717</v>
      </c>
      <c r="K73" t="s">
        <v>7268</v>
      </c>
      <c r="L73" t="s">
        <v>7268</v>
      </c>
      <c r="M73" t="s">
        <v>7250</v>
      </c>
      <c r="N73">
        <v>1996</v>
      </c>
      <c r="R73">
        <v>800</v>
      </c>
      <c r="S73" t="s">
        <v>7251</v>
      </c>
      <c r="T73">
        <v>8.27</v>
      </c>
      <c r="U73">
        <v>3850.67</v>
      </c>
      <c r="V73">
        <v>71</v>
      </c>
      <c r="W73">
        <v>78.28</v>
      </c>
      <c r="X73">
        <v>71</v>
      </c>
      <c r="Y73">
        <v>30</v>
      </c>
      <c r="Z73" t="s">
        <v>7253</v>
      </c>
      <c r="AB73" t="s">
        <v>7718</v>
      </c>
      <c r="AC73" t="s">
        <v>7255</v>
      </c>
      <c r="AE73" t="s">
        <v>497</v>
      </c>
      <c r="AH73" t="s">
        <v>497</v>
      </c>
      <c r="AI73" t="s">
        <v>7255</v>
      </c>
      <c r="AO73" t="s">
        <v>7719</v>
      </c>
    </row>
    <row r="74" spans="1:41" hidden="1" x14ac:dyDescent="0.35">
      <c r="A74" t="s">
        <v>7720</v>
      </c>
      <c r="B74" t="s">
        <v>7246</v>
      </c>
      <c r="C74" t="s">
        <v>451</v>
      </c>
      <c r="D74" t="s">
        <v>451</v>
      </c>
      <c r="E74" t="s">
        <v>451</v>
      </c>
      <c r="G74" s="13" t="s">
        <v>7721</v>
      </c>
      <c r="H74" t="s">
        <v>7722</v>
      </c>
      <c r="K74" t="s">
        <v>7407</v>
      </c>
      <c r="L74" t="s">
        <v>7407</v>
      </c>
      <c r="M74" t="s">
        <v>7250</v>
      </c>
      <c r="N74">
        <v>1991</v>
      </c>
      <c r="R74">
        <v>400</v>
      </c>
      <c r="S74" t="s">
        <v>7251</v>
      </c>
      <c r="T74">
        <v>4.1399999999999997</v>
      </c>
      <c r="U74">
        <v>1925.33</v>
      </c>
      <c r="V74">
        <v>804.7</v>
      </c>
      <c r="W74">
        <v>539.63</v>
      </c>
      <c r="X74">
        <v>804.7</v>
      </c>
      <c r="AB74" t="s">
        <v>7723</v>
      </c>
      <c r="AC74" t="s">
        <v>7255</v>
      </c>
      <c r="AE74" t="s">
        <v>976</v>
      </c>
      <c r="AF74" t="s">
        <v>7724</v>
      </c>
      <c r="AH74" t="s">
        <v>490</v>
      </c>
      <c r="AI74" t="s">
        <v>7255</v>
      </c>
      <c r="AO74" t="s">
        <v>7725</v>
      </c>
    </row>
    <row r="75" spans="1:41" hidden="1" x14ac:dyDescent="0.35">
      <c r="A75" t="s">
        <v>7726</v>
      </c>
      <c r="B75" t="s">
        <v>7246</v>
      </c>
      <c r="C75" t="s">
        <v>451</v>
      </c>
      <c r="D75" t="s">
        <v>451</v>
      </c>
      <c r="E75" t="s">
        <v>451</v>
      </c>
      <c r="G75" s="13" t="s">
        <v>7727</v>
      </c>
      <c r="H75" t="s">
        <v>7728</v>
      </c>
      <c r="K75" t="s">
        <v>7729</v>
      </c>
      <c r="L75" t="s">
        <v>7730</v>
      </c>
      <c r="M75" t="s">
        <v>7731</v>
      </c>
      <c r="N75">
        <v>2023</v>
      </c>
      <c r="R75">
        <v>2000</v>
      </c>
      <c r="S75" t="s">
        <v>7251</v>
      </c>
      <c r="T75">
        <v>20.69</v>
      </c>
      <c r="U75">
        <v>9626.67</v>
      </c>
      <c r="V75">
        <v>487.63</v>
      </c>
      <c r="W75">
        <v>420.95</v>
      </c>
      <c r="X75">
        <v>487.63</v>
      </c>
      <c r="AA75" t="s">
        <v>7732</v>
      </c>
      <c r="AB75" t="s">
        <v>7733</v>
      </c>
      <c r="AC75" t="s">
        <v>7255</v>
      </c>
      <c r="AE75" t="s">
        <v>634</v>
      </c>
      <c r="AF75" t="s">
        <v>7734</v>
      </c>
      <c r="AH75" t="s">
        <v>6373</v>
      </c>
      <c r="AI75" t="s">
        <v>7255</v>
      </c>
      <c r="AO75" t="s">
        <v>7735</v>
      </c>
    </row>
    <row r="76" spans="1:41" hidden="1" x14ac:dyDescent="0.35">
      <c r="A76" t="s">
        <v>7736</v>
      </c>
      <c r="B76" t="s">
        <v>7246</v>
      </c>
      <c r="C76" t="s">
        <v>451</v>
      </c>
      <c r="D76" t="s">
        <v>451</v>
      </c>
      <c r="E76" t="s">
        <v>451</v>
      </c>
      <c r="G76" s="13" t="s">
        <v>7737</v>
      </c>
      <c r="H76" t="s">
        <v>7738</v>
      </c>
      <c r="K76" t="s">
        <v>7320</v>
      </c>
      <c r="L76" t="s">
        <v>7320</v>
      </c>
      <c r="M76" t="s">
        <v>7250</v>
      </c>
      <c r="N76">
        <v>2019</v>
      </c>
      <c r="R76">
        <v>386</v>
      </c>
      <c r="S76" t="s">
        <v>7251</v>
      </c>
      <c r="T76">
        <v>3.99</v>
      </c>
      <c r="U76">
        <v>1857.95</v>
      </c>
      <c r="V76">
        <v>265.54000000000002</v>
      </c>
      <c r="W76">
        <v>243.14</v>
      </c>
      <c r="X76">
        <v>265.54000000000002</v>
      </c>
      <c r="AA76" t="s">
        <v>7665</v>
      </c>
      <c r="AC76" t="s">
        <v>7255</v>
      </c>
      <c r="AE76" t="s">
        <v>634</v>
      </c>
      <c r="AH76" t="s">
        <v>634</v>
      </c>
      <c r="AI76" t="s">
        <v>7255</v>
      </c>
      <c r="AO76" t="s">
        <v>7739</v>
      </c>
    </row>
    <row r="77" spans="1:41" hidden="1" x14ac:dyDescent="0.35">
      <c r="A77" t="s">
        <v>7740</v>
      </c>
      <c r="B77" t="s">
        <v>7246</v>
      </c>
      <c r="C77" t="s">
        <v>451</v>
      </c>
      <c r="D77" t="s">
        <v>451</v>
      </c>
      <c r="E77" t="s">
        <v>451</v>
      </c>
      <c r="G77" s="13" t="s">
        <v>7741</v>
      </c>
      <c r="H77" t="s">
        <v>7742</v>
      </c>
      <c r="K77" t="s">
        <v>7422</v>
      </c>
      <c r="L77" t="s">
        <v>7422</v>
      </c>
      <c r="M77" t="s">
        <v>7250</v>
      </c>
      <c r="N77">
        <v>2000</v>
      </c>
      <c r="R77">
        <v>1600</v>
      </c>
      <c r="S77" t="s">
        <v>7251</v>
      </c>
      <c r="T77">
        <v>16.55</v>
      </c>
      <c r="U77">
        <v>7701.34</v>
      </c>
      <c r="V77">
        <v>14805</v>
      </c>
      <c r="W77">
        <v>6469.66</v>
      </c>
      <c r="X77">
        <v>14805</v>
      </c>
      <c r="AB77" t="s">
        <v>7743</v>
      </c>
      <c r="AC77" t="s">
        <v>7255</v>
      </c>
      <c r="AF77" t="s">
        <v>6273</v>
      </c>
      <c r="AH77" t="s">
        <v>475</v>
      </c>
      <c r="AI77" t="s">
        <v>7255</v>
      </c>
      <c r="AO77" t="s">
        <v>7744</v>
      </c>
    </row>
    <row r="78" spans="1:41" hidden="1" x14ac:dyDescent="0.35">
      <c r="A78" t="s">
        <v>7745</v>
      </c>
      <c r="B78" t="s">
        <v>7246</v>
      </c>
      <c r="C78" t="s">
        <v>451</v>
      </c>
      <c r="D78" t="s">
        <v>451</v>
      </c>
      <c r="E78" t="s">
        <v>451</v>
      </c>
      <c r="G78" s="13" t="s">
        <v>7746</v>
      </c>
      <c r="H78" t="s">
        <v>7747</v>
      </c>
      <c r="K78" t="s">
        <v>7268</v>
      </c>
      <c r="L78" t="s">
        <v>7268</v>
      </c>
      <c r="M78" t="s">
        <v>7250</v>
      </c>
      <c r="N78">
        <v>1997</v>
      </c>
      <c r="R78">
        <v>600</v>
      </c>
      <c r="S78" t="s">
        <v>7251</v>
      </c>
      <c r="T78">
        <v>6.21</v>
      </c>
      <c r="U78">
        <v>2888</v>
      </c>
      <c r="V78">
        <v>154</v>
      </c>
      <c r="W78">
        <v>480.99</v>
      </c>
      <c r="X78">
        <v>154</v>
      </c>
      <c r="Y78">
        <v>30</v>
      </c>
      <c r="Z78" t="s">
        <v>7253</v>
      </c>
      <c r="AA78" t="s">
        <v>7748</v>
      </c>
      <c r="AB78" t="s">
        <v>7749</v>
      </c>
      <c r="AC78" t="s">
        <v>7255</v>
      </c>
      <c r="AE78" t="s">
        <v>7750</v>
      </c>
      <c r="AF78" t="s">
        <v>7751</v>
      </c>
      <c r="AH78" t="s">
        <v>497</v>
      </c>
      <c r="AI78" t="s">
        <v>7255</v>
      </c>
      <c r="AO78" t="s">
        <v>7752</v>
      </c>
    </row>
    <row r="79" spans="1:41" hidden="1" x14ac:dyDescent="0.35">
      <c r="A79" t="s">
        <v>7753</v>
      </c>
      <c r="B79" t="s">
        <v>7246</v>
      </c>
      <c r="C79" t="s">
        <v>451</v>
      </c>
      <c r="D79" t="s">
        <v>451</v>
      </c>
      <c r="E79" t="s">
        <v>451</v>
      </c>
      <c r="G79" s="13" t="s">
        <v>7754</v>
      </c>
      <c r="H79" t="s">
        <v>7755</v>
      </c>
      <c r="J79" t="s">
        <v>7756</v>
      </c>
      <c r="K79" t="s">
        <v>7757</v>
      </c>
      <c r="L79" t="s">
        <v>7757</v>
      </c>
      <c r="M79" t="s">
        <v>7250</v>
      </c>
      <c r="N79">
        <v>2014</v>
      </c>
      <c r="R79">
        <v>2100</v>
      </c>
      <c r="S79" t="s">
        <v>7251</v>
      </c>
      <c r="T79">
        <v>21.72</v>
      </c>
      <c r="U79">
        <v>10108</v>
      </c>
      <c r="V79">
        <v>200</v>
      </c>
      <c r="W79">
        <v>183.73</v>
      </c>
      <c r="X79">
        <v>200</v>
      </c>
      <c r="AA79" t="s">
        <v>7758</v>
      </c>
      <c r="AB79" t="s">
        <v>7759</v>
      </c>
      <c r="AC79" t="s">
        <v>7255</v>
      </c>
      <c r="AE79" t="s">
        <v>486</v>
      </c>
      <c r="AF79" t="s">
        <v>7760</v>
      </c>
      <c r="AH79" t="s">
        <v>486</v>
      </c>
      <c r="AI79" t="s">
        <v>7255</v>
      </c>
      <c r="AO79" t="s">
        <v>7761</v>
      </c>
    </row>
    <row r="80" spans="1:41" hidden="1" x14ac:dyDescent="0.35">
      <c r="A80" t="s">
        <v>7762</v>
      </c>
      <c r="B80" t="s">
        <v>7246</v>
      </c>
      <c r="C80" t="s">
        <v>451</v>
      </c>
      <c r="D80" t="s">
        <v>451</v>
      </c>
      <c r="E80" t="s">
        <v>451</v>
      </c>
      <c r="G80" s="13" t="s">
        <v>7763</v>
      </c>
      <c r="H80" t="s">
        <v>7764</v>
      </c>
      <c r="K80" t="s">
        <v>7765</v>
      </c>
      <c r="L80" t="s">
        <v>7765</v>
      </c>
      <c r="M80" t="s">
        <v>7250</v>
      </c>
      <c r="N80">
        <v>2018</v>
      </c>
      <c r="R80">
        <v>1500</v>
      </c>
      <c r="S80" t="s">
        <v>7251</v>
      </c>
      <c r="T80">
        <v>15.51</v>
      </c>
      <c r="U80">
        <v>7220</v>
      </c>
      <c r="V80">
        <v>414</v>
      </c>
      <c r="W80">
        <v>376.91</v>
      </c>
      <c r="X80">
        <v>414</v>
      </c>
      <c r="Y80">
        <v>36</v>
      </c>
      <c r="Z80" t="s">
        <v>7253</v>
      </c>
      <c r="AA80" t="s">
        <v>7732</v>
      </c>
      <c r="AB80" t="s">
        <v>7766</v>
      </c>
      <c r="AC80" t="s">
        <v>7255</v>
      </c>
      <c r="AE80" t="s">
        <v>533</v>
      </c>
      <c r="AF80" t="s">
        <v>7767</v>
      </c>
      <c r="AH80" t="s">
        <v>556</v>
      </c>
      <c r="AI80" t="s">
        <v>7255</v>
      </c>
      <c r="AO80" t="s">
        <v>7768</v>
      </c>
    </row>
    <row r="81" spans="1:41" hidden="1" x14ac:dyDescent="0.35">
      <c r="A81" t="s">
        <v>7769</v>
      </c>
      <c r="B81" t="s">
        <v>7246</v>
      </c>
      <c r="C81" t="s">
        <v>451</v>
      </c>
      <c r="D81" t="s">
        <v>451</v>
      </c>
      <c r="E81" t="s">
        <v>451</v>
      </c>
      <c r="G81" s="13" t="s">
        <v>7770</v>
      </c>
      <c r="H81" t="s">
        <v>7771</v>
      </c>
      <c r="K81" t="s">
        <v>7772</v>
      </c>
      <c r="L81" t="s">
        <v>7320</v>
      </c>
      <c r="M81" t="s">
        <v>7250</v>
      </c>
      <c r="N81">
        <v>2002</v>
      </c>
      <c r="R81">
        <v>600</v>
      </c>
      <c r="S81" t="s">
        <v>7251</v>
      </c>
      <c r="T81">
        <v>6.21</v>
      </c>
      <c r="U81">
        <v>2888</v>
      </c>
      <c r="V81">
        <v>129</v>
      </c>
      <c r="W81">
        <v>139.41</v>
      </c>
      <c r="X81">
        <v>129</v>
      </c>
      <c r="AB81" t="s">
        <v>7773</v>
      </c>
      <c r="AC81" t="s">
        <v>7255</v>
      </c>
      <c r="AE81" t="s">
        <v>976</v>
      </c>
      <c r="AF81" t="s">
        <v>7774</v>
      </c>
      <c r="AH81" t="s">
        <v>490</v>
      </c>
      <c r="AI81" t="s">
        <v>7255</v>
      </c>
      <c r="AO81" t="s">
        <v>7775</v>
      </c>
    </row>
    <row r="82" spans="1:41" hidden="1" x14ac:dyDescent="0.35">
      <c r="A82" t="s">
        <v>7776</v>
      </c>
      <c r="B82" t="s">
        <v>7246</v>
      </c>
      <c r="C82" t="s">
        <v>451</v>
      </c>
      <c r="D82" t="s">
        <v>451</v>
      </c>
      <c r="E82" t="s">
        <v>451</v>
      </c>
      <c r="G82" s="13" t="s">
        <v>7777</v>
      </c>
      <c r="H82" t="s">
        <v>7778</v>
      </c>
      <c r="K82" t="s">
        <v>7346</v>
      </c>
      <c r="L82" t="s">
        <v>7346</v>
      </c>
      <c r="M82" t="s">
        <v>7250</v>
      </c>
      <c r="N82">
        <v>1965</v>
      </c>
      <c r="R82">
        <v>3700</v>
      </c>
      <c r="S82" t="s">
        <v>7251</v>
      </c>
      <c r="T82">
        <v>38.270000000000003</v>
      </c>
      <c r="U82">
        <v>17809.34</v>
      </c>
      <c r="V82">
        <v>6437</v>
      </c>
      <c r="W82">
        <v>3619.13</v>
      </c>
      <c r="X82">
        <v>6437</v>
      </c>
      <c r="AB82" t="s">
        <v>7355</v>
      </c>
      <c r="AC82" t="s">
        <v>7255</v>
      </c>
      <c r="AE82" t="s">
        <v>482</v>
      </c>
      <c r="AF82" t="s">
        <v>7779</v>
      </c>
      <c r="AH82" t="s">
        <v>891</v>
      </c>
      <c r="AI82" t="s">
        <v>7255</v>
      </c>
      <c r="AO82" t="s">
        <v>7780</v>
      </c>
    </row>
    <row r="83" spans="1:41" hidden="1" x14ac:dyDescent="0.35">
      <c r="A83" t="s">
        <v>7781</v>
      </c>
      <c r="B83" t="s">
        <v>7246</v>
      </c>
      <c r="C83" t="s">
        <v>368</v>
      </c>
      <c r="D83" t="s">
        <v>451</v>
      </c>
      <c r="E83" t="s">
        <v>7309</v>
      </c>
      <c r="G83" s="13" t="s">
        <v>7782</v>
      </c>
      <c r="H83" t="s">
        <v>7783</v>
      </c>
      <c r="K83" t="s">
        <v>7320</v>
      </c>
      <c r="L83" t="s">
        <v>7320</v>
      </c>
      <c r="M83" t="s">
        <v>7250</v>
      </c>
      <c r="N83">
        <v>1961</v>
      </c>
      <c r="R83">
        <v>2900</v>
      </c>
      <c r="S83" t="s">
        <v>7251</v>
      </c>
      <c r="T83">
        <v>29.99</v>
      </c>
      <c r="U83">
        <v>13958.67</v>
      </c>
      <c r="V83">
        <v>2177.44</v>
      </c>
      <c r="W83">
        <v>943.66</v>
      </c>
      <c r="X83">
        <v>2177.44</v>
      </c>
      <c r="AB83" t="s">
        <v>7784</v>
      </c>
      <c r="AC83" t="s">
        <v>7255</v>
      </c>
      <c r="AE83" t="s">
        <v>1020</v>
      </c>
      <c r="AF83" t="s">
        <v>7785</v>
      </c>
      <c r="AH83" t="s">
        <v>6337</v>
      </c>
      <c r="AI83" t="s">
        <v>7255</v>
      </c>
      <c r="AO83" t="s">
        <v>7786</v>
      </c>
    </row>
    <row r="84" spans="1:41" hidden="1" x14ac:dyDescent="0.35">
      <c r="A84" t="s">
        <v>7787</v>
      </c>
      <c r="B84" t="s">
        <v>7246</v>
      </c>
      <c r="C84" t="s">
        <v>368</v>
      </c>
      <c r="D84" t="s">
        <v>368</v>
      </c>
      <c r="E84" t="s">
        <v>368</v>
      </c>
      <c r="G84" s="13" t="s">
        <v>7788</v>
      </c>
      <c r="H84" t="s">
        <v>7789</v>
      </c>
      <c r="I84" t="s">
        <v>7790</v>
      </c>
      <c r="K84" t="s">
        <v>7320</v>
      </c>
      <c r="L84" t="s">
        <v>7320</v>
      </c>
      <c r="M84" t="s">
        <v>7250</v>
      </c>
      <c r="N84">
        <v>1957</v>
      </c>
      <c r="R84">
        <v>16800</v>
      </c>
      <c r="S84" t="s">
        <v>7251</v>
      </c>
      <c r="T84">
        <v>173.76</v>
      </c>
      <c r="U84">
        <v>80864.02</v>
      </c>
      <c r="V84">
        <v>24500</v>
      </c>
      <c r="W84">
        <v>9789.0499999999993</v>
      </c>
      <c r="X84">
        <v>24500</v>
      </c>
      <c r="AA84" t="s">
        <v>7791</v>
      </c>
      <c r="AB84" t="s">
        <v>7792</v>
      </c>
      <c r="AC84" t="s">
        <v>7255</v>
      </c>
      <c r="AE84" t="s">
        <v>1014</v>
      </c>
      <c r="AF84" t="s">
        <v>6601</v>
      </c>
      <c r="AH84" t="s">
        <v>1020</v>
      </c>
      <c r="AI84" t="s">
        <v>7255</v>
      </c>
      <c r="AO84" t="s">
        <v>7793</v>
      </c>
    </row>
    <row r="85" spans="1:41" hidden="1" x14ac:dyDescent="0.35">
      <c r="A85" t="s">
        <v>7794</v>
      </c>
      <c r="B85" t="s">
        <v>7246</v>
      </c>
      <c r="C85" t="s">
        <v>451</v>
      </c>
      <c r="D85" t="s">
        <v>451</v>
      </c>
      <c r="E85" t="s">
        <v>451</v>
      </c>
      <c r="G85" s="13" t="s">
        <v>7795</v>
      </c>
      <c r="H85" t="s">
        <v>7796</v>
      </c>
      <c r="K85" t="s">
        <v>7643</v>
      </c>
      <c r="L85" t="s">
        <v>7643</v>
      </c>
      <c r="M85" t="s">
        <v>7269</v>
      </c>
      <c r="T85" t="s">
        <v>6546</v>
      </c>
      <c r="U85" t="s">
        <v>6546</v>
      </c>
      <c r="V85">
        <v>106</v>
      </c>
      <c r="W85">
        <v>85.43</v>
      </c>
      <c r="X85">
        <v>106</v>
      </c>
      <c r="AB85" t="s">
        <v>7797</v>
      </c>
      <c r="AC85" t="s">
        <v>7255</v>
      </c>
      <c r="AE85" t="s">
        <v>664</v>
      </c>
      <c r="AF85" t="s">
        <v>7798</v>
      </c>
      <c r="AH85" t="s">
        <v>548</v>
      </c>
      <c r="AI85" t="s">
        <v>7255</v>
      </c>
      <c r="AO85" t="s">
        <v>7799</v>
      </c>
    </row>
    <row r="86" spans="1:41" hidden="1" x14ac:dyDescent="0.35">
      <c r="A86" t="s">
        <v>7800</v>
      </c>
      <c r="B86" t="s">
        <v>7246</v>
      </c>
      <c r="C86" t="s">
        <v>451</v>
      </c>
      <c r="D86" t="s">
        <v>451</v>
      </c>
      <c r="E86" t="s">
        <v>451</v>
      </c>
      <c r="G86" s="13" t="s">
        <v>7801</v>
      </c>
      <c r="H86" t="s">
        <v>7802</v>
      </c>
      <c r="K86" t="s">
        <v>7380</v>
      </c>
      <c r="L86" t="s">
        <v>7380</v>
      </c>
      <c r="M86" t="s">
        <v>7250</v>
      </c>
      <c r="R86">
        <v>1200</v>
      </c>
      <c r="S86" t="s">
        <v>7251</v>
      </c>
      <c r="T86">
        <v>12.41</v>
      </c>
      <c r="U86">
        <v>5776</v>
      </c>
      <c r="V86">
        <v>966</v>
      </c>
      <c r="W86">
        <v>752.64</v>
      </c>
      <c r="X86">
        <v>966</v>
      </c>
      <c r="AC86" t="s">
        <v>7255</v>
      </c>
      <c r="AE86" t="s">
        <v>486</v>
      </c>
      <c r="AH86" t="s">
        <v>486</v>
      </c>
      <c r="AI86" t="s">
        <v>7255</v>
      </c>
      <c r="AO86" t="s">
        <v>7803</v>
      </c>
    </row>
    <row r="87" spans="1:41" hidden="1" x14ac:dyDescent="0.35">
      <c r="A87" t="s">
        <v>7804</v>
      </c>
      <c r="B87" t="s">
        <v>7246</v>
      </c>
      <c r="C87" t="s">
        <v>451</v>
      </c>
      <c r="D87" t="s">
        <v>451</v>
      </c>
      <c r="E87" t="s">
        <v>451</v>
      </c>
      <c r="G87" s="13" t="s">
        <v>7805</v>
      </c>
      <c r="H87" t="s">
        <v>7806</v>
      </c>
      <c r="K87" t="s">
        <v>7268</v>
      </c>
      <c r="L87" t="s">
        <v>7268</v>
      </c>
      <c r="M87" t="s">
        <v>7250</v>
      </c>
      <c r="N87">
        <v>2015</v>
      </c>
      <c r="R87">
        <v>1000</v>
      </c>
      <c r="S87" t="s">
        <v>7251</v>
      </c>
      <c r="T87">
        <v>10.34</v>
      </c>
      <c r="U87">
        <v>4813.33</v>
      </c>
      <c r="V87">
        <v>122</v>
      </c>
      <c r="W87">
        <v>113.7</v>
      </c>
      <c r="X87">
        <v>122</v>
      </c>
      <c r="AA87" t="s">
        <v>7807</v>
      </c>
      <c r="AB87" t="s">
        <v>7808</v>
      </c>
      <c r="AC87" t="s">
        <v>7255</v>
      </c>
      <c r="AE87" t="s">
        <v>533</v>
      </c>
      <c r="AF87" t="s">
        <v>7809</v>
      </c>
      <c r="AH87" t="s">
        <v>533</v>
      </c>
      <c r="AI87" t="s">
        <v>7255</v>
      </c>
      <c r="AO87" t="s">
        <v>7810</v>
      </c>
    </row>
    <row r="88" spans="1:41" hidden="1" x14ac:dyDescent="0.35">
      <c r="A88" t="s">
        <v>7811</v>
      </c>
      <c r="B88" t="s">
        <v>7246</v>
      </c>
      <c r="C88" t="s">
        <v>451</v>
      </c>
      <c r="D88" t="s">
        <v>451</v>
      </c>
      <c r="E88" t="s">
        <v>451</v>
      </c>
      <c r="G88" s="13" t="s">
        <v>7812</v>
      </c>
      <c r="H88" t="s">
        <v>7813</v>
      </c>
      <c r="K88" t="s">
        <v>7268</v>
      </c>
      <c r="L88" t="s">
        <v>7268</v>
      </c>
      <c r="M88" t="s">
        <v>7250</v>
      </c>
      <c r="N88">
        <v>1982</v>
      </c>
      <c r="R88">
        <v>170</v>
      </c>
      <c r="S88" t="s">
        <v>7251</v>
      </c>
      <c r="T88">
        <v>1.76</v>
      </c>
      <c r="U88">
        <v>818.27</v>
      </c>
      <c r="V88">
        <v>589</v>
      </c>
      <c r="W88">
        <v>780.08</v>
      </c>
      <c r="X88">
        <v>589</v>
      </c>
      <c r="AB88" t="s">
        <v>7814</v>
      </c>
      <c r="AC88" t="s">
        <v>7255</v>
      </c>
      <c r="AE88" t="s">
        <v>812</v>
      </c>
      <c r="AH88" t="s">
        <v>543</v>
      </c>
      <c r="AI88" t="s">
        <v>7255</v>
      </c>
      <c r="AO88" t="s">
        <v>7815</v>
      </c>
    </row>
    <row r="89" spans="1:41" hidden="1" x14ac:dyDescent="0.35">
      <c r="A89" t="s">
        <v>7816</v>
      </c>
      <c r="B89" t="s">
        <v>7246</v>
      </c>
      <c r="C89" t="s">
        <v>451</v>
      </c>
      <c r="D89" t="s">
        <v>451</v>
      </c>
      <c r="E89" t="s">
        <v>451</v>
      </c>
      <c r="G89" s="13" t="s">
        <v>7817</v>
      </c>
      <c r="H89" t="s">
        <v>7818</v>
      </c>
      <c r="K89" t="s">
        <v>7819</v>
      </c>
      <c r="L89" t="s">
        <v>7819</v>
      </c>
      <c r="M89" t="s">
        <v>7731</v>
      </c>
      <c r="N89">
        <v>2022</v>
      </c>
      <c r="R89">
        <v>2024</v>
      </c>
      <c r="S89" t="s">
        <v>7251</v>
      </c>
      <c r="T89">
        <v>20.93</v>
      </c>
      <c r="U89">
        <v>9742.19</v>
      </c>
      <c r="V89">
        <v>373.37</v>
      </c>
      <c r="W89">
        <v>332.12</v>
      </c>
      <c r="X89">
        <v>373.37</v>
      </c>
      <c r="AB89" t="s">
        <v>7785</v>
      </c>
      <c r="AC89" t="s">
        <v>7255</v>
      </c>
      <c r="AE89" t="s">
        <v>6337</v>
      </c>
      <c r="AF89" t="s">
        <v>7820</v>
      </c>
      <c r="AH89" t="s">
        <v>6337</v>
      </c>
      <c r="AI89" t="s">
        <v>7255</v>
      </c>
      <c r="AO89" t="s">
        <v>7821</v>
      </c>
    </row>
    <row r="90" spans="1:41" hidden="1" x14ac:dyDescent="0.35">
      <c r="A90" t="s">
        <v>7822</v>
      </c>
      <c r="B90" t="s">
        <v>7246</v>
      </c>
      <c r="C90" t="s">
        <v>368</v>
      </c>
      <c r="D90" t="s">
        <v>368</v>
      </c>
      <c r="E90" t="s">
        <v>368</v>
      </c>
      <c r="G90" s="13" t="s">
        <v>7823</v>
      </c>
      <c r="H90" t="s">
        <v>7824</v>
      </c>
      <c r="K90" t="s">
        <v>7825</v>
      </c>
      <c r="L90" t="s">
        <v>7825</v>
      </c>
      <c r="M90" t="s">
        <v>7731</v>
      </c>
      <c r="R90">
        <v>1000</v>
      </c>
      <c r="S90" t="s">
        <v>7251</v>
      </c>
      <c r="T90">
        <v>10.34</v>
      </c>
      <c r="U90">
        <v>4813.33</v>
      </c>
      <c r="V90">
        <v>471</v>
      </c>
      <c r="W90">
        <v>402.01</v>
      </c>
      <c r="X90">
        <v>471</v>
      </c>
      <c r="AB90" t="s">
        <v>7826</v>
      </c>
      <c r="AC90" t="s">
        <v>7255</v>
      </c>
      <c r="AE90" t="s">
        <v>1020</v>
      </c>
      <c r="AF90" t="s">
        <v>6590</v>
      </c>
      <c r="AH90" t="s">
        <v>1020</v>
      </c>
      <c r="AI90" t="s">
        <v>7255</v>
      </c>
      <c r="AO90" t="s">
        <v>7827</v>
      </c>
    </row>
    <row r="91" spans="1:41" hidden="1" x14ac:dyDescent="0.35">
      <c r="A91" t="s">
        <v>7828</v>
      </c>
      <c r="B91" t="s">
        <v>7246</v>
      </c>
      <c r="C91" t="s">
        <v>451</v>
      </c>
      <c r="D91" t="s">
        <v>451</v>
      </c>
      <c r="E91" t="s">
        <v>451</v>
      </c>
      <c r="G91" s="13" t="s">
        <v>7829</v>
      </c>
      <c r="H91" t="s">
        <v>7830</v>
      </c>
      <c r="K91" t="s">
        <v>7504</v>
      </c>
      <c r="L91" t="s">
        <v>7380</v>
      </c>
      <c r="M91" t="s">
        <v>7250</v>
      </c>
      <c r="R91">
        <v>2800</v>
      </c>
      <c r="S91" t="s">
        <v>7251</v>
      </c>
      <c r="T91">
        <v>28.96</v>
      </c>
      <c r="U91">
        <v>13477.34</v>
      </c>
      <c r="V91" t="s">
        <v>6546</v>
      </c>
      <c r="W91">
        <v>2867.79</v>
      </c>
      <c r="X91">
        <v>2867.79</v>
      </c>
      <c r="AC91" t="s">
        <v>7255</v>
      </c>
      <c r="AE91" t="s">
        <v>812</v>
      </c>
      <c r="AH91" t="s">
        <v>7831</v>
      </c>
      <c r="AI91" t="s">
        <v>7255</v>
      </c>
      <c r="AO91" t="s">
        <v>7832</v>
      </c>
    </row>
    <row r="92" spans="1:41" hidden="1" x14ac:dyDescent="0.35">
      <c r="A92" t="s">
        <v>7833</v>
      </c>
      <c r="B92" t="s">
        <v>7246</v>
      </c>
      <c r="C92" t="s">
        <v>451</v>
      </c>
      <c r="D92" t="s">
        <v>451</v>
      </c>
      <c r="E92" t="s">
        <v>451</v>
      </c>
      <c r="G92" s="13" t="s">
        <v>7834</v>
      </c>
      <c r="H92" t="s">
        <v>7835</v>
      </c>
      <c r="I92" t="s">
        <v>7331</v>
      </c>
      <c r="K92" t="s">
        <v>7836</v>
      </c>
      <c r="L92" t="s">
        <v>7837</v>
      </c>
      <c r="M92" t="s">
        <v>7269</v>
      </c>
      <c r="N92">
        <v>2021</v>
      </c>
      <c r="R92">
        <v>1107</v>
      </c>
      <c r="S92" t="s">
        <v>7251</v>
      </c>
      <c r="T92">
        <v>11.45</v>
      </c>
      <c r="U92">
        <v>5328.36</v>
      </c>
      <c r="V92">
        <v>109.4</v>
      </c>
      <c r="W92">
        <v>104.18</v>
      </c>
      <c r="X92">
        <v>109.4</v>
      </c>
      <c r="Y92">
        <v>36</v>
      </c>
      <c r="Z92" t="s">
        <v>7253</v>
      </c>
      <c r="AB92" t="s">
        <v>7838</v>
      </c>
      <c r="AC92" t="s">
        <v>7255</v>
      </c>
      <c r="AE92" t="s">
        <v>513</v>
      </c>
      <c r="AH92" t="s">
        <v>513</v>
      </c>
      <c r="AI92" t="s">
        <v>7255</v>
      </c>
      <c r="AO92" t="s">
        <v>7839</v>
      </c>
    </row>
    <row r="93" spans="1:41" hidden="1" x14ac:dyDescent="0.35">
      <c r="A93" t="s">
        <v>7840</v>
      </c>
      <c r="B93" t="s">
        <v>7246</v>
      </c>
      <c r="C93" t="s">
        <v>451</v>
      </c>
      <c r="D93" t="s">
        <v>451</v>
      </c>
      <c r="E93" t="s">
        <v>451</v>
      </c>
      <c r="G93" s="13" t="s">
        <v>7841</v>
      </c>
      <c r="H93" t="s">
        <v>7842</v>
      </c>
      <c r="I93" t="s">
        <v>7843</v>
      </c>
      <c r="K93" t="s">
        <v>7844</v>
      </c>
      <c r="L93" t="s">
        <v>7845</v>
      </c>
      <c r="M93" t="s">
        <v>7292</v>
      </c>
      <c r="N93">
        <v>2023</v>
      </c>
      <c r="R93">
        <v>2000</v>
      </c>
      <c r="S93" t="s">
        <v>7251</v>
      </c>
      <c r="T93">
        <v>20.69</v>
      </c>
      <c r="U93">
        <v>9626.67</v>
      </c>
      <c r="V93">
        <v>210.66</v>
      </c>
      <c r="W93">
        <v>204.89</v>
      </c>
      <c r="X93">
        <v>210.66</v>
      </c>
      <c r="Y93">
        <v>42</v>
      </c>
      <c r="Z93" t="s">
        <v>7253</v>
      </c>
      <c r="AB93" t="s">
        <v>7846</v>
      </c>
      <c r="AC93" t="s">
        <v>7255</v>
      </c>
      <c r="AE93" t="s">
        <v>486</v>
      </c>
      <c r="AF93" t="s">
        <v>7847</v>
      </c>
      <c r="AH93" t="s">
        <v>497</v>
      </c>
      <c r="AI93" t="s">
        <v>7255</v>
      </c>
      <c r="AO93" t="s">
        <v>7848</v>
      </c>
    </row>
    <row r="94" spans="1:41" hidden="1" x14ac:dyDescent="0.35">
      <c r="A94" t="s">
        <v>7849</v>
      </c>
      <c r="B94" t="s">
        <v>7246</v>
      </c>
      <c r="C94" t="s">
        <v>451</v>
      </c>
      <c r="D94" t="s">
        <v>451</v>
      </c>
      <c r="E94" t="s">
        <v>451</v>
      </c>
      <c r="G94" s="13" t="s">
        <v>7850</v>
      </c>
      <c r="H94" t="s">
        <v>7851</v>
      </c>
      <c r="K94" t="s">
        <v>7320</v>
      </c>
      <c r="L94" t="s">
        <v>7320</v>
      </c>
      <c r="M94" t="s">
        <v>7250</v>
      </c>
      <c r="N94">
        <v>1999</v>
      </c>
      <c r="R94">
        <v>210</v>
      </c>
      <c r="S94" t="s">
        <v>7251</v>
      </c>
      <c r="T94">
        <v>2.17</v>
      </c>
      <c r="U94">
        <v>1010.8</v>
      </c>
      <c r="V94">
        <v>302.60000000000002</v>
      </c>
      <c r="W94">
        <v>424.31</v>
      </c>
      <c r="X94">
        <v>302.60000000000002</v>
      </c>
      <c r="Y94">
        <v>24</v>
      </c>
      <c r="Z94" t="s">
        <v>7253</v>
      </c>
      <c r="AB94" t="s">
        <v>7852</v>
      </c>
      <c r="AC94" t="s">
        <v>7255</v>
      </c>
      <c r="AE94" t="s">
        <v>7853</v>
      </c>
      <c r="AF94" t="s">
        <v>7854</v>
      </c>
      <c r="AH94" t="s">
        <v>7332</v>
      </c>
      <c r="AI94" t="s">
        <v>7255</v>
      </c>
      <c r="AO94" t="s">
        <v>7855</v>
      </c>
    </row>
    <row r="95" spans="1:41" hidden="1" x14ac:dyDescent="0.35">
      <c r="A95" t="s">
        <v>7856</v>
      </c>
      <c r="B95" t="s">
        <v>7246</v>
      </c>
      <c r="C95" t="s">
        <v>368</v>
      </c>
      <c r="D95" t="s">
        <v>368</v>
      </c>
      <c r="E95" t="s">
        <v>368</v>
      </c>
      <c r="G95" s="13" t="s">
        <v>7857</v>
      </c>
      <c r="H95" t="s">
        <v>7858</v>
      </c>
      <c r="K95" t="s">
        <v>7320</v>
      </c>
      <c r="L95" t="s">
        <v>7320</v>
      </c>
      <c r="M95" t="s">
        <v>7731</v>
      </c>
      <c r="N95">
        <v>2021</v>
      </c>
      <c r="R95">
        <v>2000</v>
      </c>
      <c r="S95" t="s">
        <v>7251</v>
      </c>
      <c r="T95">
        <v>20.69</v>
      </c>
      <c r="U95">
        <v>9626.67</v>
      </c>
      <c r="V95">
        <v>900</v>
      </c>
      <c r="W95">
        <v>725.06</v>
      </c>
      <c r="X95">
        <v>900</v>
      </c>
      <c r="AB95" t="s">
        <v>7859</v>
      </c>
      <c r="AC95" t="s">
        <v>7255</v>
      </c>
      <c r="AE95" t="s">
        <v>1020</v>
      </c>
      <c r="AF95" t="s">
        <v>7860</v>
      </c>
      <c r="AH95" t="s">
        <v>1020</v>
      </c>
      <c r="AI95" t="s">
        <v>7255</v>
      </c>
      <c r="AO95" t="s">
        <v>7861</v>
      </c>
    </row>
    <row r="96" spans="1:41" hidden="1" x14ac:dyDescent="0.35">
      <c r="A96" t="s">
        <v>7862</v>
      </c>
      <c r="B96" t="s">
        <v>7246</v>
      </c>
      <c r="C96" t="s">
        <v>451</v>
      </c>
      <c r="D96" t="s">
        <v>451</v>
      </c>
      <c r="E96" t="s">
        <v>451</v>
      </c>
      <c r="G96" s="13" t="s">
        <v>7863</v>
      </c>
      <c r="H96" t="s">
        <v>7864</v>
      </c>
      <c r="K96" t="s">
        <v>7504</v>
      </c>
      <c r="L96" t="s">
        <v>7380</v>
      </c>
      <c r="M96" t="s">
        <v>7250</v>
      </c>
      <c r="N96">
        <v>2005</v>
      </c>
      <c r="R96">
        <v>2100</v>
      </c>
      <c r="S96" t="s">
        <v>7251</v>
      </c>
      <c r="T96">
        <v>21.72</v>
      </c>
      <c r="U96">
        <v>10108</v>
      </c>
      <c r="V96">
        <v>724</v>
      </c>
      <c r="W96">
        <v>209.42</v>
      </c>
      <c r="X96">
        <v>724</v>
      </c>
      <c r="AA96" t="s">
        <v>7865</v>
      </c>
      <c r="AB96" t="s">
        <v>7866</v>
      </c>
      <c r="AC96" t="s">
        <v>7255</v>
      </c>
      <c r="AE96" t="s">
        <v>497</v>
      </c>
      <c r="AF96" t="s">
        <v>7867</v>
      </c>
      <c r="AH96" t="s">
        <v>497</v>
      </c>
      <c r="AI96" t="s">
        <v>7255</v>
      </c>
      <c r="AO96" t="s">
        <v>7868</v>
      </c>
    </row>
    <row r="97" spans="1:41" hidden="1" x14ac:dyDescent="0.35">
      <c r="A97" t="s">
        <v>7869</v>
      </c>
      <c r="B97" t="s">
        <v>7246</v>
      </c>
      <c r="C97" t="s">
        <v>451</v>
      </c>
      <c r="D97" t="s">
        <v>451</v>
      </c>
      <c r="E97" t="s">
        <v>451</v>
      </c>
      <c r="G97" s="13" t="s">
        <v>7870</v>
      </c>
      <c r="H97" t="s">
        <v>7871</v>
      </c>
      <c r="K97" t="s">
        <v>7872</v>
      </c>
      <c r="L97" t="s">
        <v>7268</v>
      </c>
      <c r="M97" t="s">
        <v>7292</v>
      </c>
      <c r="N97">
        <v>2023</v>
      </c>
      <c r="R97">
        <v>4500</v>
      </c>
      <c r="S97" t="s">
        <v>7251</v>
      </c>
      <c r="T97">
        <v>46.54</v>
      </c>
      <c r="U97">
        <v>21660.01</v>
      </c>
      <c r="V97">
        <v>220</v>
      </c>
      <c r="W97">
        <v>223.03</v>
      </c>
      <c r="X97">
        <v>220</v>
      </c>
      <c r="AB97" t="s">
        <v>7873</v>
      </c>
      <c r="AC97" t="s">
        <v>7255</v>
      </c>
      <c r="AE97" t="s">
        <v>486</v>
      </c>
      <c r="AF97" t="s">
        <v>7874</v>
      </c>
      <c r="AH97" t="s">
        <v>486</v>
      </c>
      <c r="AI97" t="s">
        <v>7255</v>
      </c>
      <c r="AO97" t="s">
        <v>7875</v>
      </c>
    </row>
    <row r="98" spans="1:41" hidden="1" x14ac:dyDescent="0.35">
      <c r="A98" t="s">
        <v>7876</v>
      </c>
      <c r="B98" t="s">
        <v>7246</v>
      </c>
      <c r="C98" t="s">
        <v>451</v>
      </c>
      <c r="D98" t="s">
        <v>451</v>
      </c>
      <c r="E98" t="s">
        <v>451</v>
      </c>
      <c r="G98" s="13" t="s">
        <v>7877</v>
      </c>
      <c r="H98" t="s">
        <v>7878</v>
      </c>
      <c r="K98" t="s">
        <v>7879</v>
      </c>
      <c r="L98" t="s">
        <v>7879</v>
      </c>
      <c r="M98" t="s">
        <v>7250</v>
      </c>
      <c r="N98">
        <v>2009</v>
      </c>
      <c r="R98">
        <v>3600</v>
      </c>
      <c r="S98" t="s">
        <v>7251</v>
      </c>
      <c r="T98">
        <v>37.229999999999997</v>
      </c>
      <c r="U98">
        <v>17328</v>
      </c>
      <c r="V98">
        <v>2702</v>
      </c>
      <c r="W98">
        <v>2483.17</v>
      </c>
      <c r="X98">
        <v>2702</v>
      </c>
      <c r="AC98" t="s">
        <v>7255</v>
      </c>
      <c r="AE98" t="s">
        <v>7880</v>
      </c>
      <c r="AH98" t="s">
        <v>533</v>
      </c>
      <c r="AI98" t="s">
        <v>7255</v>
      </c>
      <c r="AO98" t="s">
        <v>7881</v>
      </c>
    </row>
    <row r="99" spans="1:41" hidden="1" x14ac:dyDescent="0.35">
      <c r="A99" t="s">
        <v>7882</v>
      </c>
      <c r="B99" t="s">
        <v>7246</v>
      </c>
      <c r="C99" t="s">
        <v>451</v>
      </c>
      <c r="D99" t="s">
        <v>451</v>
      </c>
      <c r="E99" t="s">
        <v>451</v>
      </c>
      <c r="G99" s="13" t="s">
        <v>7883</v>
      </c>
      <c r="H99" t="s">
        <v>7884</v>
      </c>
      <c r="K99" t="s">
        <v>7885</v>
      </c>
      <c r="L99" t="s">
        <v>7886</v>
      </c>
      <c r="M99" t="s">
        <v>7250</v>
      </c>
      <c r="N99">
        <v>2011</v>
      </c>
      <c r="R99">
        <v>1500</v>
      </c>
      <c r="S99" t="s">
        <v>7251</v>
      </c>
      <c r="T99">
        <v>15.51</v>
      </c>
      <c r="U99">
        <v>7220</v>
      </c>
      <c r="V99">
        <v>1094</v>
      </c>
      <c r="W99">
        <v>1064.98</v>
      </c>
      <c r="X99">
        <v>1094</v>
      </c>
      <c r="Y99">
        <v>42</v>
      </c>
      <c r="Z99" t="s">
        <v>7253</v>
      </c>
      <c r="AB99" t="s">
        <v>7653</v>
      </c>
      <c r="AC99" t="s">
        <v>7255</v>
      </c>
      <c r="AE99" t="s">
        <v>751</v>
      </c>
      <c r="AF99" t="s">
        <v>7785</v>
      </c>
      <c r="AH99" t="s">
        <v>6337</v>
      </c>
      <c r="AI99" t="s">
        <v>7255</v>
      </c>
      <c r="AO99" t="s">
        <v>7887</v>
      </c>
    </row>
    <row r="100" spans="1:41" hidden="1" x14ac:dyDescent="0.35">
      <c r="A100" t="s">
        <v>7888</v>
      </c>
      <c r="B100" t="s">
        <v>7246</v>
      </c>
      <c r="C100" t="s">
        <v>451</v>
      </c>
      <c r="D100" t="s">
        <v>451</v>
      </c>
      <c r="E100" t="s">
        <v>451</v>
      </c>
      <c r="G100" s="13" t="s">
        <v>7889</v>
      </c>
      <c r="H100" t="s">
        <v>7890</v>
      </c>
      <c r="K100" t="s">
        <v>7891</v>
      </c>
      <c r="L100" t="s">
        <v>7891</v>
      </c>
      <c r="M100" t="s">
        <v>7250</v>
      </c>
      <c r="N100">
        <v>2017</v>
      </c>
      <c r="R100">
        <v>1100</v>
      </c>
      <c r="S100" t="s">
        <v>7251</v>
      </c>
      <c r="T100">
        <v>11.38</v>
      </c>
      <c r="U100">
        <v>5294.67</v>
      </c>
      <c r="V100">
        <v>830</v>
      </c>
      <c r="W100">
        <v>795.63</v>
      </c>
      <c r="X100">
        <v>830</v>
      </c>
      <c r="Y100" t="s">
        <v>7471</v>
      </c>
      <c r="Z100" t="s">
        <v>7253</v>
      </c>
      <c r="AB100" t="s">
        <v>7892</v>
      </c>
      <c r="AC100" t="s">
        <v>7255</v>
      </c>
      <c r="AE100" t="s">
        <v>643</v>
      </c>
      <c r="AF100" t="s">
        <v>7893</v>
      </c>
      <c r="AH100" t="s">
        <v>764</v>
      </c>
      <c r="AI100" t="s">
        <v>7255</v>
      </c>
      <c r="AO100" t="s">
        <v>7894</v>
      </c>
    </row>
    <row r="101" spans="1:41" hidden="1" x14ac:dyDescent="0.35">
      <c r="A101" t="s">
        <v>7895</v>
      </c>
      <c r="B101" t="s">
        <v>7246</v>
      </c>
      <c r="C101" t="s">
        <v>451</v>
      </c>
      <c r="D101" t="s">
        <v>451</v>
      </c>
      <c r="E101" t="s">
        <v>451</v>
      </c>
      <c r="G101" s="13" t="s">
        <v>7896</v>
      </c>
      <c r="H101" t="s">
        <v>7897</v>
      </c>
      <c r="K101" t="s">
        <v>7399</v>
      </c>
      <c r="L101" t="s">
        <v>7399</v>
      </c>
      <c r="M101" t="s">
        <v>7250</v>
      </c>
      <c r="N101">
        <v>1987</v>
      </c>
      <c r="R101">
        <v>235</v>
      </c>
      <c r="S101" t="s">
        <v>7251</v>
      </c>
      <c r="T101">
        <v>2.4300000000000002</v>
      </c>
      <c r="U101">
        <v>1131.1300000000001</v>
      </c>
      <c r="V101">
        <v>211</v>
      </c>
      <c r="W101">
        <v>205.05</v>
      </c>
      <c r="X101">
        <v>211</v>
      </c>
      <c r="AB101" t="s">
        <v>7898</v>
      </c>
      <c r="AC101" t="s">
        <v>7255</v>
      </c>
      <c r="AE101" t="s">
        <v>497</v>
      </c>
      <c r="AF101" t="s">
        <v>566</v>
      </c>
      <c r="AH101" t="s">
        <v>486</v>
      </c>
      <c r="AI101" t="s">
        <v>7255</v>
      </c>
      <c r="AO101" t="s">
        <v>7899</v>
      </c>
    </row>
    <row r="102" spans="1:41" hidden="1" x14ac:dyDescent="0.35">
      <c r="A102" t="s">
        <v>7900</v>
      </c>
      <c r="B102" t="s">
        <v>7246</v>
      </c>
      <c r="C102" t="s">
        <v>451</v>
      </c>
      <c r="D102" t="s">
        <v>451</v>
      </c>
      <c r="E102" t="s">
        <v>451</v>
      </c>
      <c r="G102" s="13" t="s">
        <v>7901</v>
      </c>
      <c r="H102" t="s">
        <v>7902</v>
      </c>
      <c r="K102" t="s">
        <v>7504</v>
      </c>
      <c r="L102" t="s">
        <v>7380</v>
      </c>
      <c r="M102" t="s">
        <v>7250</v>
      </c>
      <c r="N102">
        <v>1969</v>
      </c>
      <c r="R102">
        <v>2000</v>
      </c>
      <c r="S102" t="s">
        <v>7251</v>
      </c>
      <c r="T102">
        <v>20.69</v>
      </c>
      <c r="U102">
        <v>9626.67</v>
      </c>
      <c r="V102">
        <v>705</v>
      </c>
      <c r="W102">
        <v>268.22000000000003</v>
      </c>
      <c r="X102">
        <v>705</v>
      </c>
      <c r="AB102" t="s">
        <v>7458</v>
      </c>
      <c r="AC102" t="s">
        <v>7255</v>
      </c>
      <c r="AH102" t="s">
        <v>497</v>
      </c>
      <c r="AI102" t="s">
        <v>7255</v>
      </c>
      <c r="AO102" t="s">
        <v>7903</v>
      </c>
    </row>
    <row r="103" spans="1:41" hidden="1" x14ac:dyDescent="0.35">
      <c r="A103" t="s">
        <v>7904</v>
      </c>
      <c r="B103" t="s">
        <v>7246</v>
      </c>
      <c r="C103" t="s">
        <v>451</v>
      </c>
      <c r="D103" t="s">
        <v>451</v>
      </c>
      <c r="E103" t="s">
        <v>451</v>
      </c>
      <c r="G103" s="13" t="s">
        <v>7905</v>
      </c>
      <c r="H103" t="s">
        <v>7906</v>
      </c>
      <c r="K103" t="s">
        <v>7618</v>
      </c>
      <c r="L103" t="s">
        <v>7618</v>
      </c>
      <c r="M103" t="s">
        <v>7250</v>
      </c>
      <c r="N103">
        <v>1928</v>
      </c>
      <c r="R103">
        <v>3900</v>
      </c>
      <c r="S103" t="s">
        <v>7251</v>
      </c>
      <c r="T103">
        <v>40.340000000000003</v>
      </c>
      <c r="U103">
        <v>18772</v>
      </c>
      <c r="V103">
        <v>12231</v>
      </c>
      <c r="W103">
        <v>4059.65</v>
      </c>
      <c r="X103">
        <v>12231</v>
      </c>
      <c r="AC103" t="s">
        <v>7255</v>
      </c>
      <c r="AE103" t="s">
        <v>486</v>
      </c>
      <c r="AH103" t="s">
        <v>764</v>
      </c>
      <c r="AI103" t="s">
        <v>7255</v>
      </c>
      <c r="AO103" t="s">
        <v>7907</v>
      </c>
    </row>
    <row r="104" spans="1:41" hidden="1" x14ac:dyDescent="0.35">
      <c r="A104" t="s">
        <v>7908</v>
      </c>
      <c r="B104" t="s">
        <v>7246</v>
      </c>
      <c r="C104" t="s">
        <v>451</v>
      </c>
      <c r="D104" t="s">
        <v>451</v>
      </c>
      <c r="E104" t="s">
        <v>451</v>
      </c>
      <c r="G104" s="13" t="s">
        <v>7909</v>
      </c>
      <c r="H104" t="s">
        <v>7910</v>
      </c>
      <c r="K104" t="s">
        <v>7911</v>
      </c>
      <c r="L104" t="s">
        <v>7911</v>
      </c>
      <c r="M104" t="s">
        <v>7250</v>
      </c>
      <c r="N104">
        <v>1904</v>
      </c>
      <c r="R104">
        <v>2400</v>
      </c>
      <c r="S104" t="s">
        <v>7251</v>
      </c>
      <c r="T104">
        <v>24.82</v>
      </c>
      <c r="U104">
        <v>11552</v>
      </c>
      <c r="V104">
        <v>9334</v>
      </c>
      <c r="W104">
        <v>4466.93</v>
      </c>
      <c r="X104">
        <v>9334</v>
      </c>
      <c r="AB104" t="s">
        <v>7912</v>
      </c>
      <c r="AC104" t="s">
        <v>7255</v>
      </c>
      <c r="AE104" t="s">
        <v>486</v>
      </c>
      <c r="AH104" t="s">
        <v>543</v>
      </c>
      <c r="AI104" t="s">
        <v>7255</v>
      </c>
      <c r="AO104" t="s">
        <v>7913</v>
      </c>
    </row>
    <row r="105" spans="1:41" hidden="1" x14ac:dyDescent="0.35">
      <c r="A105" t="s">
        <v>7914</v>
      </c>
      <c r="B105" t="s">
        <v>7246</v>
      </c>
      <c r="C105" t="s">
        <v>451</v>
      </c>
      <c r="D105" t="s">
        <v>451</v>
      </c>
      <c r="E105" t="s">
        <v>451</v>
      </c>
      <c r="G105" s="13" t="s">
        <v>7915</v>
      </c>
      <c r="H105" t="s">
        <v>7916</v>
      </c>
      <c r="K105" t="s">
        <v>7477</v>
      </c>
      <c r="L105" t="s">
        <v>7477</v>
      </c>
      <c r="M105" t="s">
        <v>7250</v>
      </c>
      <c r="N105">
        <v>2002</v>
      </c>
      <c r="R105">
        <v>87</v>
      </c>
      <c r="S105" t="s">
        <v>7251</v>
      </c>
      <c r="T105">
        <v>0.9</v>
      </c>
      <c r="U105">
        <v>418.76</v>
      </c>
      <c r="V105">
        <v>651.79999999999995</v>
      </c>
      <c r="W105">
        <v>660.94</v>
      </c>
      <c r="X105">
        <v>651.79999999999995</v>
      </c>
      <c r="Y105">
        <v>16</v>
      </c>
      <c r="Z105" t="s">
        <v>7253</v>
      </c>
      <c r="AB105" t="s">
        <v>7917</v>
      </c>
      <c r="AC105" t="s">
        <v>7255</v>
      </c>
      <c r="AE105" t="s">
        <v>837</v>
      </c>
      <c r="AH105" t="s">
        <v>490</v>
      </c>
      <c r="AI105" t="s">
        <v>7255</v>
      </c>
      <c r="AO105" t="s">
        <v>7918</v>
      </c>
    </row>
    <row r="106" spans="1:41" hidden="1" x14ac:dyDescent="0.35">
      <c r="A106" t="s">
        <v>7919</v>
      </c>
      <c r="B106" t="s">
        <v>7246</v>
      </c>
      <c r="C106" t="s">
        <v>451</v>
      </c>
      <c r="D106" t="s">
        <v>451</v>
      </c>
      <c r="E106" t="s">
        <v>451</v>
      </c>
      <c r="G106" s="13" t="s">
        <v>7920</v>
      </c>
      <c r="H106" t="s">
        <v>7921</v>
      </c>
      <c r="K106" t="s">
        <v>7922</v>
      </c>
      <c r="L106" t="s">
        <v>7922</v>
      </c>
      <c r="M106" t="s">
        <v>7250</v>
      </c>
      <c r="N106">
        <v>2020</v>
      </c>
      <c r="R106">
        <v>400</v>
      </c>
      <c r="S106" t="s">
        <v>7251</v>
      </c>
      <c r="T106">
        <v>4.1399999999999997</v>
      </c>
      <c r="U106">
        <v>1925.33</v>
      </c>
      <c r="V106">
        <v>104.6</v>
      </c>
      <c r="W106">
        <v>99.48</v>
      </c>
      <c r="X106">
        <v>104.6</v>
      </c>
      <c r="Y106">
        <v>24</v>
      </c>
      <c r="Z106" t="s">
        <v>7253</v>
      </c>
      <c r="AB106" t="s">
        <v>7923</v>
      </c>
      <c r="AC106" t="s">
        <v>7255</v>
      </c>
      <c r="AE106" t="s">
        <v>475</v>
      </c>
      <c r="AF106" t="s">
        <v>7924</v>
      </c>
      <c r="AH106" t="s">
        <v>543</v>
      </c>
      <c r="AI106" t="s">
        <v>7255</v>
      </c>
      <c r="AO106" t="s">
        <v>7925</v>
      </c>
    </row>
    <row r="107" spans="1:41" hidden="1" x14ac:dyDescent="0.35">
      <c r="A107" t="s">
        <v>7926</v>
      </c>
      <c r="B107" t="s">
        <v>7246</v>
      </c>
      <c r="C107" t="s">
        <v>451</v>
      </c>
      <c r="D107" t="s">
        <v>451</v>
      </c>
      <c r="E107" t="s">
        <v>451</v>
      </c>
      <c r="G107" s="13" t="s">
        <v>7927</v>
      </c>
      <c r="H107" t="s">
        <v>7928</v>
      </c>
      <c r="K107" t="s">
        <v>7320</v>
      </c>
      <c r="L107" t="s">
        <v>7320</v>
      </c>
      <c r="M107" t="s">
        <v>7250</v>
      </c>
      <c r="N107">
        <v>1974</v>
      </c>
      <c r="R107">
        <v>1200</v>
      </c>
      <c r="S107" t="s">
        <v>7251</v>
      </c>
      <c r="T107">
        <v>12.41</v>
      </c>
      <c r="U107">
        <v>5776</v>
      </c>
      <c r="V107">
        <v>523</v>
      </c>
      <c r="W107">
        <v>242.99</v>
      </c>
      <c r="X107">
        <v>523</v>
      </c>
      <c r="Y107">
        <v>36</v>
      </c>
      <c r="Z107" t="s">
        <v>7253</v>
      </c>
      <c r="AB107" t="s">
        <v>7458</v>
      </c>
      <c r="AC107" t="s">
        <v>7255</v>
      </c>
      <c r="AH107" t="s">
        <v>497</v>
      </c>
      <c r="AI107" t="s">
        <v>7255</v>
      </c>
      <c r="AO107" t="s">
        <v>7929</v>
      </c>
    </row>
    <row r="108" spans="1:41" hidden="1" x14ac:dyDescent="0.35">
      <c r="A108" t="s">
        <v>7930</v>
      </c>
      <c r="B108" t="s">
        <v>7246</v>
      </c>
      <c r="C108" t="s">
        <v>451</v>
      </c>
      <c r="D108" t="s">
        <v>406</v>
      </c>
      <c r="E108" t="s">
        <v>7701</v>
      </c>
      <c r="G108" s="13" t="s">
        <v>7931</v>
      </c>
      <c r="H108" t="s">
        <v>7932</v>
      </c>
      <c r="K108" t="s">
        <v>7933</v>
      </c>
      <c r="L108" t="s">
        <v>7933</v>
      </c>
      <c r="M108" t="s">
        <v>7250</v>
      </c>
      <c r="N108">
        <v>2019</v>
      </c>
      <c r="R108">
        <v>2600</v>
      </c>
      <c r="S108" t="s">
        <v>7251</v>
      </c>
      <c r="T108">
        <v>26.89</v>
      </c>
      <c r="U108">
        <v>12514.67</v>
      </c>
      <c r="V108">
        <v>772</v>
      </c>
      <c r="W108">
        <v>851.25</v>
      </c>
      <c r="X108">
        <v>772</v>
      </c>
      <c r="Y108">
        <v>42</v>
      </c>
      <c r="Z108" t="s">
        <v>7253</v>
      </c>
      <c r="AB108" t="s">
        <v>7458</v>
      </c>
      <c r="AC108" t="s">
        <v>7255</v>
      </c>
      <c r="AE108" t="s">
        <v>486</v>
      </c>
      <c r="AF108" t="s">
        <v>7934</v>
      </c>
      <c r="AH108" t="s">
        <v>7935</v>
      </c>
      <c r="AI108" t="s">
        <v>7255</v>
      </c>
      <c r="AL108" t="s">
        <v>7936</v>
      </c>
      <c r="AN108" s="13" t="s">
        <v>7937</v>
      </c>
      <c r="AO108" t="s">
        <v>7938</v>
      </c>
    </row>
    <row r="109" spans="1:41" hidden="1" x14ac:dyDescent="0.35">
      <c r="A109" t="s">
        <v>7939</v>
      </c>
      <c r="B109" t="s">
        <v>7246</v>
      </c>
      <c r="C109" t="s">
        <v>451</v>
      </c>
      <c r="D109" t="s">
        <v>451</v>
      </c>
      <c r="E109" t="s">
        <v>451</v>
      </c>
      <c r="G109" s="13" t="s">
        <v>7940</v>
      </c>
      <c r="H109" t="s">
        <v>7941</v>
      </c>
      <c r="K109" t="s">
        <v>7422</v>
      </c>
      <c r="L109" t="s">
        <v>7422</v>
      </c>
      <c r="M109" t="s">
        <v>7250</v>
      </c>
      <c r="N109">
        <v>1953</v>
      </c>
      <c r="R109">
        <v>120</v>
      </c>
      <c r="S109" t="s">
        <v>7251</v>
      </c>
      <c r="T109">
        <v>1.24</v>
      </c>
      <c r="U109">
        <v>577.6</v>
      </c>
      <c r="V109">
        <v>5221</v>
      </c>
      <c r="W109">
        <v>2638.34</v>
      </c>
      <c r="X109">
        <v>5221</v>
      </c>
      <c r="AB109" t="s">
        <v>7942</v>
      </c>
      <c r="AC109" t="s">
        <v>7255</v>
      </c>
      <c r="AE109" t="s">
        <v>486</v>
      </c>
      <c r="AF109" t="s">
        <v>7943</v>
      </c>
      <c r="AH109" t="s">
        <v>486</v>
      </c>
      <c r="AI109" t="s">
        <v>7255</v>
      </c>
      <c r="AO109" t="s">
        <v>7944</v>
      </c>
    </row>
    <row r="110" spans="1:41" hidden="1" x14ac:dyDescent="0.35">
      <c r="A110" t="s">
        <v>7945</v>
      </c>
      <c r="B110" t="s">
        <v>7246</v>
      </c>
      <c r="C110" t="s">
        <v>451</v>
      </c>
      <c r="D110" t="s">
        <v>451</v>
      </c>
      <c r="E110" t="s">
        <v>451</v>
      </c>
      <c r="G110" s="13" t="s">
        <v>7946</v>
      </c>
      <c r="H110" t="s">
        <v>7947</v>
      </c>
      <c r="K110" t="s">
        <v>7422</v>
      </c>
      <c r="L110" t="s">
        <v>7422</v>
      </c>
      <c r="M110" t="s">
        <v>7250</v>
      </c>
      <c r="N110">
        <v>1943</v>
      </c>
      <c r="R110">
        <v>1000</v>
      </c>
      <c r="S110" t="s">
        <v>7251</v>
      </c>
      <c r="T110">
        <v>10.34</v>
      </c>
      <c r="U110">
        <v>4813.33</v>
      </c>
      <c r="V110">
        <v>19151</v>
      </c>
      <c r="W110">
        <v>7024.6</v>
      </c>
      <c r="X110">
        <v>19151</v>
      </c>
      <c r="AC110" t="s">
        <v>7255</v>
      </c>
      <c r="AE110" t="s">
        <v>486</v>
      </c>
      <c r="AH110" t="s">
        <v>7479</v>
      </c>
      <c r="AI110" t="s">
        <v>7255</v>
      </c>
      <c r="AO110" t="s">
        <v>7948</v>
      </c>
    </row>
    <row r="111" spans="1:41" hidden="1" x14ac:dyDescent="0.35">
      <c r="A111" t="s">
        <v>7949</v>
      </c>
      <c r="B111" t="s">
        <v>7246</v>
      </c>
      <c r="C111" t="s">
        <v>451</v>
      </c>
      <c r="D111" t="s">
        <v>451</v>
      </c>
      <c r="E111" t="s">
        <v>451</v>
      </c>
      <c r="G111" s="13" t="s">
        <v>7950</v>
      </c>
      <c r="H111" t="s">
        <v>7951</v>
      </c>
      <c r="K111" t="s">
        <v>7268</v>
      </c>
      <c r="L111" t="s">
        <v>7268</v>
      </c>
      <c r="M111" t="s">
        <v>7250</v>
      </c>
      <c r="N111">
        <v>2014</v>
      </c>
      <c r="R111">
        <v>300</v>
      </c>
      <c r="S111" t="s">
        <v>7251</v>
      </c>
      <c r="T111">
        <v>3.1</v>
      </c>
      <c r="U111">
        <v>1444</v>
      </c>
      <c r="V111" t="s">
        <v>6546</v>
      </c>
      <c r="W111">
        <v>475.15</v>
      </c>
      <c r="X111">
        <v>475.15</v>
      </c>
      <c r="AB111" t="s">
        <v>7277</v>
      </c>
      <c r="AC111" t="s">
        <v>7255</v>
      </c>
      <c r="AE111" t="s">
        <v>513</v>
      </c>
      <c r="AF111" t="s">
        <v>7299</v>
      </c>
      <c r="AH111" t="s">
        <v>664</v>
      </c>
      <c r="AI111" t="s">
        <v>7255</v>
      </c>
      <c r="AO111" t="s">
        <v>7952</v>
      </c>
    </row>
    <row r="112" spans="1:41" hidden="1" x14ac:dyDescent="0.35">
      <c r="A112" t="s">
        <v>7953</v>
      </c>
      <c r="B112" t="s">
        <v>7246</v>
      </c>
      <c r="C112" t="s">
        <v>451</v>
      </c>
      <c r="D112" t="s">
        <v>451</v>
      </c>
      <c r="E112" t="s">
        <v>451</v>
      </c>
      <c r="G112" s="13" t="s">
        <v>7954</v>
      </c>
      <c r="H112" t="s">
        <v>7955</v>
      </c>
      <c r="K112" t="s">
        <v>7268</v>
      </c>
      <c r="L112" t="s">
        <v>7268</v>
      </c>
      <c r="M112" t="s">
        <v>7250</v>
      </c>
      <c r="N112">
        <v>2018</v>
      </c>
      <c r="R112">
        <v>950</v>
      </c>
      <c r="S112" t="s">
        <v>7251</v>
      </c>
      <c r="T112">
        <v>9.83</v>
      </c>
      <c r="U112">
        <v>4572.67</v>
      </c>
      <c r="V112">
        <v>7</v>
      </c>
      <c r="W112">
        <v>15.92</v>
      </c>
      <c r="X112">
        <v>7</v>
      </c>
      <c r="AC112" t="s">
        <v>7255</v>
      </c>
      <c r="AE112" t="s">
        <v>533</v>
      </c>
      <c r="AH112" t="s">
        <v>533</v>
      </c>
      <c r="AI112" t="s">
        <v>7255</v>
      </c>
      <c r="AO112" t="s">
        <v>7956</v>
      </c>
    </row>
    <row r="113" spans="1:41" hidden="1" x14ac:dyDescent="0.35">
      <c r="A113" t="s">
        <v>7957</v>
      </c>
      <c r="B113" t="s">
        <v>7246</v>
      </c>
      <c r="C113" t="s">
        <v>451</v>
      </c>
      <c r="D113" t="s">
        <v>451</v>
      </c>
      <c r="E113" t="s">
        <v>451</v>
      </c>
      <c r="G113" s="13" t="s">
        <v>7958</v>
      </c>
      <c r="H113" t="s">
        <v>7959</v>
      </c>
      <c r="K113" t="s">
        <v>7960</v>
      </c>
      <c r="L113" t="s">
        <v>7268</v>
      </c>
      <c r="M113" t="s">
        <v>7250</v>
      </c>
      <c r="N113">
        <v>1942</v>
      </c>
      <c r="R113">
        <v>11690</v>
      </c>
      <c r="S113" t="s">
        <v>7251</v>
      </c>
      <c r="T113">
        <v>120.91</v>
      </c>
      <c r="U113">
        <v>56267.88</v>
      </c>
      <c r="V113">
        <v>14202</v>
      </c>
      <c r="W113">
        <v>7291.33</v>
      </c>
      <c r="X113">
        <v>14202</v>
      </c>
      <c r="AC113" t="s">
        <v>7255</v>
      </c>
      <c r="AE113" t="s">
        <v>486</v>
      </c>
      <c r="AH113" t="s">
        <v>548</v>
      </c>
      <c r="AI113" t="s">
        <v>7255</v>
      </c>
      <c r="AO113" t="s">
        <v>7961</v>
      </c>
    </row>
    <row r="114" spans="1:41" hidden="1" x14ac:dyDescent="0.35">
      <c r="A114" t="s">
        <v>7962</v>
      </c>
      <c r="B114" t="s">
        <v>7246</v>
      </c>
      <c r="C114" t="s">
        <v>451</v>
      </c>
      <c r="D114" t="s">
        <v>451</v>
      </c>
      <c r="E114" t="s">
        <v>451</v>
      </c>
      <c r="G114" s="13" t="s">
        <v>7963</v>
      </c>
      <c r="H114" t="s">
        <v>7964</v>
      </c>
      <c r="K114" t="s">
        <v>7590</v>
      </c>
      <c r="L114" t="s">
        <v>7590</v>
      </c>
      <c r="M114" t="s">
        <v>7250</v>
      </c>
      <c r="N114">
        <v>1948</v>
      </c>
      <c r="R114">
        <v>4400</v>
      </c>
      <c r="S114" t="s">
        <v>7251</v>
      </c>
      <c r="T114">
        <v>45.51</v>
      </c>
      <c r="U114">
        <v>21178.67</v>
      </c>
      <c r="V114">
        <v>9817</v>
      </c>
      <c r="W114">
        <v>3175.34</v>
      </c>
      <c r="X114">
        <v>9817</v>
      </c>
      <c r="AC114" t="s">
        <v>7255</v>
      </c>
      <c r="AE114" t="s">
        <v>7965</v>
      </c>
      <c r="AH114" t="s">
        <v>7966</v>
      </c>
      <c r="AI114" t="s">
        <v>7255</v>
      </c>
      <c r="AO114" t="s">
        <v>7967</v>
      </c>
    </row>
    <row r="115" spans="1:41" hidden="1" x14ac:dyDescent="0.35">
      <c r="A115" t="s">
        <v>7968</v>
      </c>
      <c r="B115" t="s">
        <v>7246</v>
      </c>
      <c r="C115" t="s">
        <v>451</v>
      </c>
      <c r="D115" t="s">
        <v>451</v>
      </c>
      <c r="E115" t="s">
        <v>451</v>
      </c>
      <c r="G115" s="13" t="s">
        <v>7969</v>
      </c>
      <c r="H115" t="s">
        <v>7970</v>
      </c>
      <c r="K115" t="s">
        <v>7262</v>
      </c>
      <c r="L115" t="s">
        <v>7262</v>
      </c>
      <c r="M115" t="s">
        <v>7250</v>
      </c>
      <c r="N115">
        <v>1960</v>
      </c>
      <c r="R115">
        <v>1100</v>
      </c>
      <c r="S115" t="s">
        <v>7251</v>
      </c>
      <c r="T115">
        <v>11.38</v>
      </c>
      <c r="U115">
        <v>5294.67</v>
      </c>
      <c r="V115">
        <v>11895</v>
      </c>
      <c r="W115">
        <v>1757.29</v>
      </c>
      <c r="X115">
        <v>11895</v>
      </c>
      <c r="AC115" t="s">
        <v>7255</v>
      </c>
      <c r="AE115" t="s">
        <v>486</v>
      </c>
      <c r="AH115" t="s">
        <v>486</v>
      </c>
      <c r="AI115" t="s">
        <v>7255</v>
      </c>
      <c r="AO115" t="s">
        <v>7971</v>
      </c>
    </row>
    <row r="116" spans="1:41" hidden="1" x14ac:dyDescent="0.35">
      <c r="A116" t="s">
        <v>7972</v>
      </c>
      <c r="B116" t="s">
        <v>7246</v>
      </c>
      <c r="C116" t="s">
        <v>451</v>
      </c>
      <c r="D116" t="s">
        <v>451</v>
      </c>
      <c r="E116" t="s">
        <v>451</v>
      </c>
      <c r="G116" s="13" t="s">
        <v>7973</v>
      </c>
      <c r="H116" t="s">
        <v>7974</v>
      </c>
      <c r="K116" t="s">
        <v>7504</v>
      </c>
      <c r="L116" t="s">
        <v>7380</v>
      </c>
      <c r="M116" t="s">
        <v>7250</v>
      </c>
      <c r="N116">
        <v>2010</v>
      </c>
      <c r="R116">
        <v>2000</v>
      </c>
      <c r="S116" t="s">
        <v>7251</v>
      </c>
      <c r="T116">
        <v>20.69</v>
      </c>
      <c r="U116">
        <v>9626.67</v>
      </c>
      <c r="V116">
        <v>281.60000000000002</v>
      </c>
      <c r="W116">
        <v>270.01</v>
      </c>
      <c r="X116">
        <v>281.60000000000002</v>
      </c>
      <c r="Y116">
        <v>42</v>
      </c>
      <c r="Z116" t="s">
        <v>7253</v>
      </c>
      <c r="AB116" t="s">
        <v>7975</v>
      </c>
      <c r="AC116" t="s">
        <v>7255</v>
      </c>
      <c r="AE116" t="s">
        <v>486</v>
      </c>
      <c r="AF116" t="s">
        <v>7976</v>
      </c>
      <c r="AH116" t="s">
        <v>497</v>
      </c>
      <c r="AI116" t="s">
        <v>7255</v>
      </c>
      <c r="AO116" t="s">
        <v>7977</v>
      </c>
    </row>
    <row r="117" spans="1:41" hidden="1" x14ac:dyDescent="0.35">
      <c r="A117" t="s">
        <v>7978</v>
      </c>
      <c r="B117" t="s">
        <v>7246</v>
      </c>
      <c r="C117" t="s">
        <v>451</v>
      </c>
      <c r="D117" t="s">
        <v>451</v>
      </c>
      <c r="E117" t="s">
        <v>451</v>
      </c>
      <c r="G117" s="13" t="s">
        <v>7979</v>
      </c>
      <c r="H117" t="s">
        <v>7980</v>
      </c>
      <c r="K117" t="s">
        <v>7659</v>
      </c>
      <c r="L117" t="s">
        <v>7659</v>
      </c>
      <c r="M117" t="s">
        <v>7250</v>
      </c>
      <c r="N117">
        <v>1981</v>
      </c>
      <c r="R117">
        <v>878</v>
      </c>
      <c r="S117" t="s">
        <v>7251</v>
      </c>
      <c r="T117">
        <v>9.08</v>
      </c>
      <c r="U117">
        <v>4226.1099999999997</v>
      </c>
      <c r="V117">
        <v>701.67</v>
      </c>
      <c r="W117">
        <v>688.15</v>
      </c>
      <c r="X117">
        <v>701.67</v>
      </c>
      <c r="AA117" t="s">
        <v>891</v>
      </c>
      <c r="AB117" t="s">
        <v>840</v>
      </c>
      <c r="AC117" t="s">
        <v>7255</v>
      </c>
      <c r="AE117" t="s">
        <v>751</v>
      </c>
      <c r="AF117" t="s">
        <v>7981</v>
      </c>
      <c r="AH117" t="s">
        <v>757</v>
      </c>
      <c r="AI117" t="s">
        <v>7255</v>
      </c>
      <c r="AO117" t="s">
        <v>7982</v>
      </c>
    </row>
    <row r="118" spans="1:41" hidden="1" x14ac:dyDescent="0.35">
      <c r="A118" t="s">
        <v>7983</v>
      </c>
      <c r="B118" t="s">
        <v>7246</v>
      </c>
      <c r="C118" t="s">
        <v>368</v>
      </c>
      <c r="D118" t="s">
        <v>368</v>
      </c>
      <c r="E118" t="s">
        <v>368</v>
      </c>
      <c r="G118" s="13" t="s">
        <v>7984</v>
      </c>
      <c r="H118" t="s">
        <v>7985</v>
      </c>
      <c r="K118" t="s">
        <v>7986</v>
      </c>
      <c r="L118" t="s">
        <v>7986</v>
      </c>
      <c r="M118" t="s">
        <v>7250</v>
      </c>
      <c r="N118">
        <v>1982</v>
      </c>
      <c r="R118">
        <v>800</v>
      </c>
      <c r="S118" t="s">
        <v>7251</v>
      </c>
      <c r="T118">
        <v>8.27</v>
      </c>
      <c r="U118">
        <v>3850.67</v>
      </c>
      <c r="V118">
        <v>572</v>
      </c>
      <c r="W118">
        <v>489.98</v>
      </c>
      <c r="X118">
        <v>572</v>
      </c>
      <c r="AB118" t="s">
        <v>7987</v>
      </c>
      <c r="AC118" t="s">
        <v>7255</v>
      </c>
      <c r="AE118" t="s">
        <v>986</v>
      </c>
      <c r="AF118" t="s">
        <v>7988</v>
      </c>
      <c r="AH118" t="s">
        <v>986</v>
      </c>
      <c r="AI118" t="s">
        <v>7255</v>
      </c>
      <c r="AO118" t="s">
        <v>7989</v>
      </c>
    </row>
    <row r="119" spans="1:41" hidden="1" x14ac:dyDescent="0.35">
      <c r="A119" t="s">
        <v>7990</v>
      </c>
      <c r="B119" t="s">
        <v>7246</v>
      </c>
      <c r="C119" t="s">
        <v>451</v>
      </c>
      <c r="D119" t="s">
        <v>451</v>
      </c>
      <c r="E119" t="s">
        <v>451</v>
      </c>
      <c r="G119" s="13" t="s">
        <v>7991</v>
      </c>
      <c r="H119" t="s">
        <v>7992</v>
      </c>
      <c r="J119" t="s">
        <v>7993</v>
      </c>
      <c r="K119" t="s">
        <v>7504</v>
      </c>
      <c r="L119" t="s">
        <v>7380</v>
      </c>
      <c r="M119" t="s">
        <v>7250</v>
      </c>
      <c r="N119">
        <v>2017</v>
      </c>
      <c r="R119">
        <v>1400</v>
      </c>
      <c r="S119" t="s">
        <v>7251</v>
      </c>
      <c r="T119">
        <v>14.48</v>
      </c>
      <c r="U119">
        <v>6738.67</v>
      </c>
      <c r="V119">
        <v>238</v>
      </c>
      <c r="W119">
        <v>238.16</v>
      </c>
      <c r="X119">
        <v>238</v>
      </c>
      <c r="Y119">
        <v>42</v>
      </c>
      <c r="Z119" t="s">
        <v>7253</v>
      </c>
      <c r="AB119" t="s">
        <v>7994</v>
      </c>
      <c r="AC119" t="s">
        <v>7255</v>
      </c>
      <c r="AE119" t="s">
        <v>486</v>
      </c>
      <c r="AF119" t="s">
        <v>7995</v>
      </c>
      <c r="AH119" t="s">
        <v>486</v>
      </c>
      <c r="AI119" t="s">
        <v>7255</v>
      </c>
      <c r="AO119" t="s">
        <v>7996</v>
      </c>
    </row>
    <row r="120" spans="1:41" hidden="1" x14ac:dyDescent="0.35">
      <c r="A120" t="s">
        <v>7997</v>
      </c>
      <c r="B120" t="s">
        <v>7246</v>
      </c>
      <c r="C120" t="s">
        <v>451</v>
      </c>
      <c r="D120" t="s">
        <v>451</v>
      </c>
      <c r="E120" t="s">
        <v>451</v>
      </c>
      <c r="G120" s="13" t="s">
        <v>7998</v>
      </c>
      <c r="H120" t="s">
        <v>7999</v>
      </c>
      <c r="K120" t="s">
        <v>8000</v>
      </c>
      <c r="L120" t="s">
        <v>7571</v>
      </c>
      <c r="M120" t="s">
        <v>7250</v>
      </c>
      <c r="N120">
        <v>2021</v>
      </c>
      <c r="R120">
        <v>1900</v>
      </c>
      <c r="S120" t="s">
        <v>7251</v>
      </c>
      <c r="T120">
        <v>19.649999999999999</v>
      </c>
      <c r="U120">
        <v>9145.34</v>
      </c>
      <c r="V120">
        <v>38.619999999999997</v>
      </c>
      <c r="W120">
        <v>34.21</v>
      </c>
      <c r="X120">
        <v>38.619999999999997</v>
      </c>
      <c r="Y120">
        <v>42</v>
      </c>
      <c r="Z120" t="s">
        <v>7253</v>
      </c>
      <c r="AB120" t="s">
        <v>8001</v>
      </c>
      <c r="AC120" t="s">
        <v>7255</v>
      </c>
      <c r="AE120" t="s">
        <v>497</v>
      </c>
      <c r="AF120" t="s">
        <v>8002</v>
      </c>
      <c r="AH120" t="s">
        <v>497</v>
      </c>
      <c r="AI120" t="s">
        <v>7255</v>
      </c>
      <c r="AO120" t="s">
        <v>8003</v>
      </c>
    </row>
    <row r="121" spans="1:41" hidden="1" x14ac:dyDescent="0.35">
      <c r="A121" t="s">
        <v>8004</v>
      </c>
      <c r="B121" t="s">
        <v>7246</v>
      </c>
      <c r="C121" t="s">
        <v>451</v>
      </c>
      <c r="D121" t="s">
        <v>451</v>
      </c>
      <c r="E121" t="s">
        <v>451</v>
      </c>
      <c r="G121" s="13" t="s">
        <v>8005</v>
      </c>
      <c r="H121" t="s">
        <v>8006</v>
      </c>
      <c r="K121" t="s">
        <v>7422</v>
      </c>
      <c r="L121" t="s">
        <v>7422</v>
      </c>
      <c r="M121" t="s">
        <v>7250</v>
      </c>
      <c r="N121">
        <v>1996</v>
      </c>
      <c r="R121">
        <v>1000</v>
      </c>
      <c r="S121" t="s">
        <v>7251</v>
      </c>
      <c r="T121">
        <v>10.34</v>
      </c>
      <c r="U121">
        <v>4813.33</v>
      </c>
      <c r="V121">
        <v>499</v>
      </c>
      <c r="W121">
        <v>369.57</v>
      </c>
      <c r="X121">
        <v>499</v>
      </c>
      <c r="AB121" t="s">
        <v>8007</v>
      </c>
      <c r="AC121" t="s">
        <v>7255</v>
      </c>
      <c r="AE121" t="s">
        <v>891</v>
      </c>
      <c r="AF121" t="s">
        <v>8008</v>
      </c>
      <c r="AH121" t="s">
        <v>837</v>
      </c>
      <c r="AI121" t="s">
        <v>7255</v>
      </c>
      <c r="AO121" t="s">
        <v>8009</v>
      </c>
    </row>
    <row r="122" spans="1:41" hidden="1" x14ac:dyDescent="0.35">
      <c r="A122" t="s">
        <v>8010</v>
      </c>
      <c r="B122" t="s">
        <v>7246</v>
      </c>
      <c r="C122" t="s">
        <v>451</v>
      </c>
      <c r="D122" t="s">
        <v>451</v>
      </c>
      <c r="E122" t="s">
        <v>451</v>
      </c>
      <c r="G122" s="13" t="s">
        <v>8011</v>
      </c>
      <c r="H122" t="s">
        <v>8012</v>
      </c>
      <c r="J122" t="s">
        <v>8013</v>
      </c>
      <c r="K122" t="s">
        <v>8014</v>
      </c>
      <c r="L122" t="s">
        <v>7346</v>
      </c>
      <c r="M122" t="s">
        <v>7250</v>
      </c>
      <c r="N122">
        <v>1950</v>
      </c>
      <c r="R122">
        <v>15580</v>
      </c>
      <c r="S122" t="s">
        <v>7251</v>
      </c>
      <c r="T122">
        <v>161.13999999999999</v>
      </c>
      <c r="U122">
        <v>74991.75</v>
      </c>
      <c r="V122">
        <v>10200</v>
      </c>
      <c r="W122">
        <v>5786.71</v>
      </c>
      <c r="X122">
        <v>10200</v>
      </c>
      <c r="AB122" t="s">
        <v>7016</v>
      </c>
      <c r="AC122" t="s">
        <v>7255</v>
      </c>
      <c r="AE122" t="s">
        <v>486</v>
      </c>
      <c r="AF122" t="s">
        <v>548</v>
      </c>
      <c r="AH122" t="s">
        <v>548</v>
      </c>
      <c r="AI122" t="s">
        <v>7255</v>
      </c>
      <c r="AO122" t="s">
        <v>8015</v>
      </c>
    </row>
    <row r="123" spans="1:41" hidden="1" x14ac:dyDescent="0.35">
      <c r="A123" t="s">
        <v>8016</v>
      </c>
      <c r="B123" t="s">
        <v>7246</v>
      </c>
      <c r="C123" t="s">
        <v>368</v>
      </c>
      <c r="D123" t="s">
        <v>451</v>
      </c>
      <c r="E123" t="s">
        <v>7309</v>
      </c>
      <c r="G123" s="13" t="s">
        <v>8017</v>
      </c>
      <c r="H123" t="s">
        <v>8018</v>
      </c>
      <c r="K123" t="s">
        <v>8019</v>
      </c>
      <c r="L123" t="s">
        <v>8019</v>
      </c>
      <c r="M123" t="s">
        <v>7250</v>
      </c>
      <c r="N123">
        <v>1988</v>
      </c>
      <c r="R123">
        <v>44</v>
      </c>
      <c r="S123" t="s">
        <v>7251</v>
      </c>
      <c r="T123">
        <v>0.46</v>
      </c>
      <c r="U123">
        <v>211.79</v>
      </c>
      <c r="V123">
        <v>14000</v>
      </c>
      <c r="W123">
        <v>3627.76</v>
      </c>
      <c r="X123">
        <v>14000</v>
      </c>
      <c r="AC123" t="s">
        <v>7255</v>
      </c>
      <c r="AE123" t="s">
        <v>1014</v>
      </c>
      <c r="AH123" t="s">
        <v>8020</v>
      </c>
      <c r="AI123" t="s">
        <v>7255</v>
      </c>
      <c r="AO123" t="s">
        <v>8021</v>
      </c>
    </row>
    <row r="124" spans="1:41" hidden="1" x14ac:dyDescent="0.35">
      <c r="A124" t="s">
        <v>8022</v>
      </c>
      <c r="B124" t="s">
        <v>7246</v>
      </c>
      <c r="C124" t="s">
        <v>451</v>
      </c>
      <c r="D124" t="s">
        <v>451</v>
      </c>
      <c r="E124" t="s">
        <v>451</v>
      </c>
      <c r="G124" s="13" t="s">
        <v>8023</v>
      </c>
      <c r="H124" t="s">
        <v>8024</v>
      </c>
      <c r="K124" t="s">
        <v>7504</v>
      </c>
      <c r="L124" t="s">
        <v>7380</v>
      </c>
      <c r="M124" t="s">
        <v>7250</v>
      </c>
      <c r="N124">
        <v>1960</v>
      </c>
      <c r="R124">
        <v>2835</v>
      </c>
      <c r="S124" t="s">
        <v>7251</v>
      </c>
      <c r="T124">
        <v>29.32</v>
      </c>
      <c r="U124">
        <v>13645.8</v>
      </c>
      <c r="V124">
        <v>4345</v>
      </c>
      <c r="W124">
        <v>2525.73</v>
      </c>
      <c r="X124">
        <v>4345</v>
      </c>
      <c r="AC124" t="s">
        <v>7255</v>
      </c>
      <c r="AE124" t="s">
        <v>837</v>
      </c>
      <c r="AH124" t="s">
        <v>8025</v>
      </c>
      <c r="AI124" t="s">
        <v>7255</v>
      </c>
      <c r="AO124" t="s">
        <v>8026</v>
      </c>
    </row>
    <row r="125" spans="1:41" hidden="1" x14ac:dyDescent="0.35">
      <c r="A125" t="s">
        <v>8027</v>
      </c>
      <c r="B125" t="s">
        <v>7246</v>
      </c>
      <c r="C125" t="s">
        <v>451</v>
      </c>
      <c r="D125" t="s">
        <v>451</v>
      </c>
      <c r="E125" t="s">
        <v>451</v>
      </c>
      <c r="G125" s="13" t="s">
        <v>8028</v>
      </c>
      <c r="H125" t="s">
        <v>8029</v>
      </c>
      <c r="K125" t="s">
        <v>7504</v>
      </c>
      <c r="L125" t="s">
        <v>7380</v>
      </c>
      <c r="M125" t="s">
        <v>7250</v>
      </c>
      <c r="N125">
        <v>1947</v>
      </c>
      <c r="R125">
        <v>1500</v>
      </c>
      <c r="S125" t="s">
        <v>7251</v>
      </c>
      <c r="T125">
        <v>15.51</v>
      </c>
      <c r="U125">
        <v>7220</v>
      </c>
      <c r="V125">
        <v>3932</v>
      </c>
      <c r="W125">
        <v>2382.9</v>
      </c>
      <c r="X125">
        <v>3932</v>
      </c>
      <c r="AC125" t="s">
        <v>7255</v>
      </c>
      <c r="AE125" t="s">
        <v>486</v>
      </c>
      <c r="AH125" t="s">
        <v>8030</v>
      </c>
      <c r="AI125" t="s">
        <v>7255</v>
      </c>
      <c r="AO125" t="s">
        <v>8031</v>
      </c>
    </row>
    <row r="126" spans="1:41" hidden="1" x14ac:dyDescent="0.35">
      <c r="A126" t="s">
        <v>8032</v>
      </c>
      <c r="B126" t="s">
        <v>7246</v>
      </c>
      <c r="C126" t="s">
        <v>451</v>
      </c>
      <c r="D126" t="s">
        <v>451</v>
      </c>
      <c r="E126" t="s">
        <v>451</v>
      </c>
      <c r="G126" s="13" t="s">
        <v>8033</v>
      </c>
      <c r="H126" t="s">
        <v>8034</v>
      </c>
      <c r="K126" t="s">
        <v>8035</v>
      </c>
      <c r="L126" t="s">
        <v>8035</v>
      </c>
      <c r="M126" t="s">
        <v>7250</v>
      </c>
      <c r="N126">
        <v>1995</v>
      </c>
      <c r="R126">
        <v>230</v>
      </c>
      <c r="S126" t="s">
        <v>7251</v>
      </c>
      <c r="T126">
        <v>2.38</v>
      </c>
      <c r="U126">
        <v>1107.07</v>
      </c>
      <c r="V126">
        <v>491</v>
      </c>
      <c r="W126">
        <v>319</v>
      </c>
      <c r="X126">
        <v>491</v>
      </c>
      <c r="AB126" t="s">
        <v>7785</v>
      </c>
      <c r="AC126" t="s">
        <v>7255</v>
      </c>
      <c r="AE126" t="s">
        <v>6337</v>
      </c>
      <c r="AF126" t="s">
        <v>8036</v>
      </c>
      <c r="AH126" t="s">
        <v>958</v>
      </c>
      <c r="AI126" t="s">
        <v>7255</v>
      </c>
      <c r="AO126" t="s">
        <v>8037</v>
      </c>
    </row>
    <row r="127" spans="1:41" hidden="1" x14ac:dyDescent="0.35">
      <c r="A127" t="s">
        <v>8038</v>
      </c>
      <c r="B127" t="s">
        <v>7246</v>
      </c>
      <c r="C127" t="s">
        <v>451</v>
      </c>
      <c r="D127" t="s">
        <v>451</v>
      </c>
      <c r="E127" t="s">
        <v>451</v>
      </c>
      <c r="G127" s="13" t="s">
        <v>8039</v>
      </c>
      <c r="H127" t="s">
        <v>8040</v>
      </c>
      <c r="K127" t="s">
        <v>7268</v>
      </c>
      <c r="L127" t="s">
        <v>7268</v>
      </c>
      <c r="M127" t="s">
        <v>7250</v>
      </c>
      <c r="N127">
        <v>2019</v>
      </c>
      <c r="R127">
        <v>2600</v>
      </c>
      <c r="S127" t="s">
        <v>7251</v>
      </c>
      <c r="T127">
        <v>26.89</v>
      </c>
      <c r="U127">
        <v>12514.67</v>
      </c>
      <c r="V127">
        <v>284.85000000000002</v>
      </c>
      <c r="W127">
        <v>262.14</v>
      </c>
      <c r="X127">
        <v>284.85000000000002</v>
      </c>
      <c r="Y127" t="s">
        <v>8041</v>
      </c>
      <c r="Z127" t="s">
        <v>7253</v>
      </c>
      <c r="AB127" t="s">
        <v>8042</v>
      </c>
      <c r="AC127" t="s">
        <v>7255</v>
      </c>
      <c r="AE127" t="s">
        <v>486</v>
      </c>
      <c r="AF127" t="s">
        <v>7458</v>
      </c>
      <c r="AH127" t="s">
        <v>486</v>
      </c>
      <c r="AI127" t="s">
        <v>7255</v>
      </c>
      <c r="AO127" t="s">
        <v>8043</v>
      </c>
    </row>
    <row r="128" spans="1:41" hidden="1" x14ac:dyDescent="0.35">
      <c r="A128" t="s">
        <v>8044</v>
      </c>
      <c r="B128" t="s">
        <v>7246</v>
      </c>
      <c r="C128" t="s">
        <v>451</v>
      </c>
      <c r="D128" t="s">
        <v>368</v>
      </c>
      <c r="E128" t="s">
        <v>7281</v>
      </c>
      <c r="G128" s="13" t="s">
        <v>8045</v>
      </c>
      <c r="H128" t="s">
        <v>8046</v>
      </c>
      <c r="K128" t="s">
        <v>7765</v>
      </c>
      <c r="L128" t="s">
        <v>7765</v>
      </c>
      <c r="M128" t="s">
        <v>7250</v>
      </c>
      <c r="N128">
        <v>2000</v>
      </c>
      <c r="R128">
        <v>1745</v>
      </c>
      <c r="S128" t="s">
        <v>7251</v>
      </c>
      <c r="T128">
        <v>18.05</v>
      </c>
      <c r="U128">
        <v>8399.27</v>
      </c>
      <c r="V128">
        <v>560.04999999999995</v>
      </c>
      <c r="W128">
        <v>519.67999999999995</v>
      </c>
      <c r="X128">
        <v>560.04999999999995</v>
      </c>
      <c r="Y128" t="s">
        <v>7691</v>
      </c>
      <c r="Z128" t="s">
        <v>7253</v>
      </c>
      <c r="AB128" t="s">
        <v>545</v>
      </c>
      <c r="AC128" t="s">
        <v>7255</v>
      </c>
      <c r="AE128" t="s">
        <v>475</v>
      </c>
      <c r="AH128" t="s">
        <v>983</v>
      </c>
      <c r="AI128" t="s">
        <v>7255</v>
      </c>
      <c r="AO128" t="s">
        <v>8047</v>
      </c>
    </row>
    <row r="129" spans="1:41" hidden="1" x14ac:dyDescent="0.35">
      <c r="A129" t="s">
        <v>8048</v>
      </c>
      <c r="B129" t="s">
        <v>7246</v>
      </c>
      <c r="C129" t="s">
        <v>368</v>
      </c>
      <c r="D129" t="s">
        <v>451</v>
      </c>
      <c r="E129" t="s">
        <v>7309</v>
      </c>
      <c r="G129" s="13" t="s">
        <v>8049</v>
      </c>
      <c r="H129" t="s">
        <v>8050</v>
      </c>
      <c r="K129" t="s">
        <v>7697</v>
      </c>
      <c r="L129" t="s">
        <v>7698</v>
      </c>
      <c r="M129" t="s">
        <v>7250</v>
      </c>
      <c r="N129">
        <v>1996</v>
      </c>
      <c r="R129">
        <v>500</v>
      </c>
      <c r="S129" t="s">
        <v>7251</v>
      </c>
      <c r="T129">
        <v>5.17</v>
      </c>
      <c r="U129">
        <v>2406.67</v>
      </c>
      <c r="V129">
        <v>758</v>
      </c>
      <c r="W129">
        <v>812.58</v>
      </c>
      <c r="X129">
        <v>758</v>
      </c>
      <c r="AB129" t="s">
        <v>8051</v>
      </c>
      <c r="AC129" t="s">
        <v>7255</v>
      </c>
      <c r="AE129" t="s">
        <v>1055</v>
      </c>
      <c r="AF129" t="s">
        <v>8052</v>
      </c>
      <c r="AH129" t="s">
        <v>931</v>
      </c>
      <c r="AI129" t="s">
        <v>7255</v>
      </c>
      <c r="AO129" t="s">
        <v>8053</v>
      </c>
    </row>
    <row r="130" spans="1:41" hidden="1" x14ac:dyDescent="0.35">
      <c r="A130" t="s">
        <v>8054</v>
      </c>
      <c r="B130" t="s">
        <v>7246</v>
      </c>
      <c r="C130" t="s">
        <v>451</v>
      </c>
      <c r="D130" t="s">
        <v>451</v>
      </c>
      <c r="E130" t="s">
        <v>451</v>
      </c>
      <c r="G130" s="13" t="s">
        <v>8055</v>
      </c>
      <c r="H130" t="s">
        <v>8056</v>
      </c>
      <c r="I130" t="s">
        <v>8057</v>
      </c>
      <c r="K130" t="s">
        <v>7320</v>
      </c>
      <c r="L130" t="s">
        <v>7320</v>
      </c>
      <c r="M130" t="s">
        <v>7250</v>
      </c>
      <c r="N130">
        <v>2018</v>
      </c>
      <c r="R130">
        <v>500</v>
      </c>
      <c r="S130" t="s">
        <v>7251</v>
      </c>
      <c r="T130">
        <v>5.17</v>
      </c>
      <c r="U130">
        <v>2406.67</v>
      </c>
      <c r="V130">
        <v>46.7</v>
      </c>
      <c r="W130">
        <v>35.200000000000003</v>
      </c>
      <c r="X130">
        <v>46.7</v>
      </c>
      <c r="AC130" t="s">
        <v>7255</v>
      </c>
      <c r="AE130" t="s">
        <v>6373</v>
      </c>
      <c r="AH130" t="s">
        <v>634</v>
      </c>
      <c r="AI130" t="s">
        <v>7255</v>
      </c>
      <c r="AO130" t="s">
        <v>8058</v>
      </c>
    </row>
    <row r="131" spans="1:41" hidden="1" x14ac:dyDescent="0.35">
      <c r="A131" t="s">
        <v>8059</v>
      </c>
      <c r="B131" t="s">
        <v>7246</v>
      </c>
      <c r="C131" t="s">
        <v>368</v>
      </c>
      <c r="D131" t="s">
        <v>368</v>
      </c>
      <c r="E131" t="s">
        <v>368</v>
      </c>
      <c r="G131" s="13" t="s">
        <v>8060</v>
      </c>
      <c r="H131" t="s">
        <v>8061</v>
      </c>
      <c r="K131" t="s">
        <v>8062</v>
      </c>
      <c r="L131" t="s">
        <v>8063</v>
      </c>
      <c r="M131" t="s">
        <v>7269</v>
      </c>
      <c r="N131">
        <v>2020</v>
      </c>
      <c r="R131">
        <v>4200</v>
      </c>
      <c r="S131" t="s">
        <v>7251</v>
      </c>
      <c r="T131">
        <v>43.44</v>
      </c>
      <c r="U131">
        <v>20216</v>
      </c>
      <c r="V131">
        <v>860</v>
      </c>
      <c r="W131">
        <v>693.42</v>
      </c>
      <c r="X131">
        <v>860</v>
      </c>
      <c r="AB131" t="s">
        <v>8064</v>
      </c>
      <c r="AC131" t="s">
        <v>7255</v>
      </c>
      <c r="AE131" t="s">
        <v>1020</v>
      </c>
      <c r="AF131" t="s">
        <v>8065</v>
      </c>
      <c r="AH131" t="s">
        <v>1020</v>
      </c>
      <c r="AI131" t="s">
        <v>7255</v>
      </c>
      <c r="AO131" t="s">
        <v>8066</v>
      </c>
    </row>
    <row r="132" spans="1:41" hidden="1" x14ac:dyDescent="0.35">
      <c r="A132" t="s">
        <v>8067</v>
      </c>
      <c r="B132" t="s">
        <v>7246</v>
      </c>
      <c r="C132" t="s">
        <v>451</v>
      </c>
      <c r="D132" t="s">
        <v>451</v>
      </c>
      <c r="E132" t="s">
        <v>451</v>
      </c>
      <c r="G132" s="13" t="s">
        <v>8068</v>
      </c>
      <c r="H132" t="s">
        <v>8069</v>
      </c>
      <c r="K132" t="s">
        <v>8070</v>
      </c>
      <c r="L132" t="s">
        <v>8070</v>
      </c>
      <c r="M132" t="s">
        <v>7250</v>
      </c>
      <c r="N132">
        <v>1920</v>
      </c>
      <c r="R132">
        <v>213</v>
      </c>
      <c r="S132" t="s">
        <v>7251</v>
      </c>
      <c r="T132">
        <v>2.2000000000000002</v>
      </c>
      <c r="U132">
        <v>1025.24</v>
      </c>
      <c r="V132">
        <v>5416</v>
      </c>
      <c r="W132">
        <v>3286.76</v>
      </c>
      <c r="X132">
        <v>5416</v>
      </c>
      <c r="AC132" t="s">
        <v>7255</v>
      </c>
      <c r="AE132" t="s">
        <v>751</v>
      </c>
      <c r="AH132" t="s">
        <v>3899</v>
      </c>
      <c r="AI132" t="s">
        <v>7255</v>
      </c>
      <c r="AO132" t="s">
        <v>8071</v>
      </c>
    </row>
    <row r="133" spans="1:41" hidden="1" x14ac:dyDescent="0.35">
      <c r="A133" t="s">
        <v>8072</v>
      </c>
      <c r="B133" t="s">
        <v>7246</v>
      </c>
      <c r="C133" t="s">
        <v>451</v>
      </c>
      <c r="D133" t="s">
        <v>451</v>
      </c>
      <c r="E133" t="s">
        <v>451</v>
      </c>
      <c r="G133" s="13" t="s">
        <v>8073</v>
      </c>
      <c r="H133" t="s">
        <v>8074</v>
      </c>
      <c r="K133" t="s">
        <v>7422</v>
      </c>
      <c r="L133" t="s">
        <v>7422</v>
      </c>
      <c r="M133" t="s">
        <v>7250</v>
      </c>
      <c r="R133">
        <v>3900</v>
      </c>
      <c r="S133" t="s">
        <v>7251</v>
      </c>
      <c r="T133">
        <v>40.340000000000003</v>
      </c>
      <c r="U133">
        <v>18772</v>
      </c>
      <c r="V133">
        <v>1288</v>
      </c>
      <c r="W133">
        <v>893.21</v>
      </c>
      <c r="X133">
        <v>1288</v>
      </c>
      <c r="AC133" t="s">
        <v>7255</v>
      </c>
      <c r="AE133" t="s">
        <v>751</v>
      </c>
      <c r="AH133" t="s">
        <v>891</v>
      </c>
      <c r="AI133" t="s">
        <v>7255</v>
      </c>
      <c r="AO133" t="s">
        <v>8075</v>
      </c>
    </row>
    <row r="134" spans="1:41" hidden="1" x14ac:dyDescent="0.35">
      <c r="A134" t="s">
        <v>8076</v>
      </c>
      <c r="B134" t="s">
        <v>7246</v>
      </c>
      <c r="C134" t="s">
        <v>451</v>
      </c>
      <c r="D134" t="s">
        <v>451</v>
      </c>
      <c r="E134" t="s">
        <v>451</v>
      </c>
      <c r="G134" s="13" t="s">
        <v>8077</v>
      </c>
      <c r="H134" t="s">
        <v>8078</v>
      </c>
      <c r="K134" t="s">
        <v>8079</v>
      </c>
      <c r="L134" t="s">
        <v>8079</v>
      </c>
      <c r="M134" t="s">
        <v>7250</v>
      </c>
      <c r="N134">
        <v>2008</v>
      </c>
      <c r="R134">
        <v>1500</v>
      </c>
      <c r="S134" t="s">
        <v>7251</v>
      </c>
      <c r="T134">
        <v>15.51</v>
      </c>
      <c r="U134">
        <v>7220</v>
      </c>
      <c r="V134">
        <v>94</v>
      </c>
      <c r="W134">
        <v>143.59</v>
      </c>
      <c r="X134">
        <v>94</v>
      </c>
      <c r="AB134" t="s">
        <v>8080</v>
      </c>
      <c r="AC134" t="s">
        <v>7255</v>
      </c>
      <c r="AE134" t="s">
        <v>497</v>
      </c>
      <c r="AF134" t="s">
        <v>8081</v>
      </c>
      <c r="AH134" t="s">
        <v>497</v>
      </c>
      <c r="AI134" t="s">
        <v>7255</v>
      </c>
      <c r="AO134" t="s">
        <v>8082</v>
      </c>
    </row>
    <row r="135" spans="1:41" hidden="1" x14ac:dyDescent="0.35">
      <c r="A135" t="s">
        <v>8083</v>
      </c>
      <c r="B135" t="s">
        <v>7246</v>
      </c>
      <c r="C135" t="s">
        <v>451</v>
      </c>
      <c r="D135" t="s">
        <v>451</v>
      </c>
      <c r="E135" t="s">
        <v>451</v>
      </c>
      <c r="G135" s="13" t="s">
        <v>8084</v>
      </c>
      <c r="H135" t="s">
        <v>8085</v>
      </c>
      <c r="K135" t="s">
        <v>8079</v>
      </c>
      <c r="L135" t="s">
        <v>8079</v>
      </c>
      <c r="M135" t="s">
        <v>7250</v>
      </c>
      <c r="N135">
        <v>2020</v>
      </c>
      <c r="R135">
        <v>1100</v>
      </c>
      <c r="S135" t="s">
        <v>7251</v>
      </c>
      <c r="T135">
        <v>11.38</v>
      </c>
      <c r="U135">
        <v>5294.67</v>
      </c>
      <c r="V135">
        <v>387</v>
      </c>
      <c r="W135">
        <v>365.55</v>
      </c>
      <c r="X135">
        <v>387</v>
      </c>
      <c r="AA135" t="s">
        <v>812</v>
      </c>
      <c r="AC135" t="s">
        <v>7255</v>
      </c>
      <c r="AD135" t="s">
        <v>8086</v>
      </c>
      <c r="AE135" t="s">
        <v>812</v>
      </c>
      <c r="AF135" t="s">
        <v>7692</v>
      </c>
      <c r="AH135" t="s">
        <v>812</v>
      </c>
      <c r="AI135" t="s">
        <v>7255</v>
      </c>
      <c r="AO135" t="s">
        <v>8087</v>
      </c>
    </row>
    <row r="136" spans="1:41" hidden="1" x14ac:dyDescent="0.35">
      <c r="A136" t="s">
        <v>8088</v>
      </c>
      <c r="B136" t="s">
        <v>7246</v>
      </c>
      <c r="C136" t="s">
        <v>451</v>
      </c>
      <c r="D136" t="s">
        <v>451</v>
      </c>
      <c r="E136" t="s">
        <v>451</v>
      </c>
      <c r="G136" s="13" t="s">
        <v>8089</v>
      </c>
      <c r="H136" t="s">
        <v>8090</v>
      </c>
      <c r="K136" t="s">
        <v>8091</v>
      </c>
      <c r="L136" t="s">
        <v>8091</v>
      </c>
      <c r="M136" t="s">
        <v>7731</v>
      </c>
      <c r="N136">
        <v>2023</v>
      </c>
      <c r="R136">
        <v>2000</v>
      </c>
      <c r="S136" t="s">
        <v>7251</v>
      </c>
      <c r="T136">
        <v>20.69</v>
      </c>
      <c r="U136">
        <v>9626.67</v>
      </c>
      <c r="V136">
        <v>321.89999999999998</v>
      </c>
      <c r="W136">
        <v>309.02999999999997</v>
      </c>
      <c r="X136">
        <v>321.89999999999998</v>
      </c>
      <c r="AA136" t="s">
        <v>8092</v>
      </c>
      <c r="AB136" t="s">
        <v>8093</v>
      </c>
      <c r="AC136" t="s">
        <v>7255</v>
      </c>
      <c r="AE136" t="s">
        <v>497</v>
      </c>
      <c r="AF136" t="s">
        <v>8094</v>
      </c>
      <c r="AH136" t="s">
        <v>497</v>
      </c>
      <c r="AI136" t="s">
        <v>7255</v>
      </c>
      <c r="AO136" t="s">
        <v>8095</v>
      </c>
    </row>
    <row r="137" spans="1:41" hidden="1" x14ac:dyDescent="0.35">
      <c r="A137" t="s">
        <v>8096</v>
      </c>
      <c r="B137" t="s">
        <v>7246</v>
      </c>
      <c r="C137" t="s">
        <v>451</v>
      </c>
      <c r="D137" t="s">
        <v>451</v>
      </c>
      <c r="E137" t="s">
        <v>451</v>
      </c>
      <c r="G137" s="13" t="s">
        <v>8097</v>
      </c>
      <c r="H137" t="s">
        <v>8098</v>
      </c>
      <c r="I137" t="s">
        <v>8099</v>
      </c>
      <c r="K137" t="s">
        <v>8100</v>
      </c>
      <c r="L137" t="s">
        <v>8101</v>
      </c>
      <c r="M137" t="s">
        <v>7250</v>
      </c>
      <c r="N137">
        <v>2016</v>
      </c>
      <c r="R137">
        <v>170</v>
      </c>
      <c r="S137" t="s">
        <v>7251</v>
      </c>
      <c r="T137">
        <v>1.76</v>
      </c>
      <c r="U137">
        <v>818.27</v>
      </c>
      <c r="V137">
        <v>321.89999999999998</v>
      </c>
      <c r="W137">
        <v>311.39999999999998</v>
      </c>
      <c r="X137">
        <v>321.89999999999998</v>
      </c>
      <c r="Y137">
        <v>30</v>
      </c>
      <c r="Z137" t="s">
        <v>7253</v>
      </c>
      <c r="AA137" t="s">
        <v>8102</v>
      </c>
      <c r="AB137" t="s">
        <v>7257</v>
      </c>
      <c r="AC137" t="s">
        <v>7255</v>
      </c>
      <c r="AE137" t="s">
        <v>486</v>
      </c>
      <c r="AF137" t="s">
        <v>8103</v>
      </c>
      <c r="AH137" t="s">
        <v>486</v>
      </c>
      <c r="AI137" t="s">
        <v>7255</v>
      </c>
      <c r="AO137" t="s">
        <v>8104</v>
      </c>
    </row>
    <row r="138" spans="1:41" hidden="1" x14ac:dyDescent="0.35">
      <c r="A138" t="s">
        <v>8105</v>
      </c>
      <c r="B138" t="s">
        <v>7246</v>
      </c>
      <c r="C138" t="s">
        <v>451</v>
      </c>
      <c r="D138" t="s">
        <v>451</v>
      </c>
      <c r="E138" t="s">
        <v>451</v>
      </c>
      <c r="G138" s="13" t="s">
        <v>8106</v>
      </c>
      <c r="H138" t="s">
        <v>8107</v>
      </c>
      <c r="I138" t="s">
        <v>8108</v>
      </c>
      <c r="K138" t="s">
        <v>7422</v>
      </c>
      <c r="L138" t="s">
        <v>7422</v>
      </c>
      <c r="M138" t="s">
        <v>7292</v>
      </c>
      <c r="N138">
        <v>2022</v>
      </c>
      <c r="R138">
        <v>260</v>
      </c>
      <c r="S138" t="s">
        <v>7251</v>
      </c>
      <c r="T138">
        <v>2.69</v>
      </c>
      <c r="U138">
        <v>1251.47</v>
      </c>
      <c r="V138">
        <v>0</v>
      </c>
      <c r="W138" t="s">
        <v>6546</v>
      </c>
      <c r="X138">
        <v>0</v>
      </c>
      <c r="AB138" t="s">
        <v>6273</v>
      </c>
      <c r="AC138" t="s">
        <v>7255</v>
      </c>
      <c r="AE138" t="s">
        <v>475</v>
      </c>
      <c r="AF138" t="s">
        <v>8109</v>
      </c>
      <c r="AH138" t="s">
        <v>497</v>
      </c>
      <c r="AI138" t="s">
        <v>7255</v>
      </c>
      <c r="AO138" t="s">
        <v>6546</v>
      </c>
    </row>
    <row r="139" spans="1:41" hidden="1" x14ac:dyDescent="0.35">
      <c r="A139" t="s">
        <v>8110</v>
      </c>
      <c r="B139" t="s">
        <v>7246</v>
      </c>
      <c r="C139" t="s">
        <v>368</v>
      </c>
      <c r="D139" t="s">
        <v>451</v>
      </c>
      <c r="E139" t="s">
        <v>7309</v>
      </c>
      <c r="G139" s="13" t="s">
        <v>8111</v>
      </c>
      <c r="H139" t="s">
        <v>8112</v>
      </c>
      <c r="K139" t="s">
        <v>8113</v>
      </c>
      <c r="L139" t="s">
        <v>8114</v>
      </c>
      <c r="M139" t="s">
        <v>7250</v>
      </c>
      <c r="N139">
        <v>1993</v>
      </c>
      <c r="R139">
        <v>300</v>
      </c>
      <c r="S139" t="s">
        <v>7251</v>
      </c>
      <c r="T139">
        <v>3.1</v>
      </c>
      <c r="U139">
        <v>1444</v>
      </c>
      <c r="V139">
        <v>432.91</v>
      </c>
      <c r="W139">
        <v>302.69</v>
      </c>
      <c r="X139">
        <v>432.91</v>
      </c>
      <c r="AB139" t="s">
        <v>8115</v>
      </c>
      <c r="AC139" t="s">
        <v>7255</v>
      </c>
      <c r="AE139" t="s">
        <v>983</v>
      </c>
      <c r="AG139" t="s">
        <v>8116</v>
      </c>
      <c r="AH139" t="s">
        <v>513</v>
      </c>
      <c r="AI139" t="s">
        <v>7255</v>
      </c>
      <c r="AO139" t="s">
        <v>8117</v>
      </c>
    </row>
    <row r="140" spans="1:41" hidden="1" x14ac:dyDescent="0.35">
      <c r="A140" t="s">
        <v>8118</v>
      </c>
      <c r="B140" t="s">
        <v>7246</v>
      </c>
      <c r="C140" t="s">
        <v>451</v>
      </c>
      <c r="D140" t="s">
        <v>451</v>
      </c>
      <c r="E140" t="s">
        <v>451</v>
      </c>
      <c r="G140" s="13" t="s">
        <v>8119</v>
      </c>
      <c r="H140" t="s">
        <v>8120</v>
      </c>
      <c r="K140" t="s">
        <v>8121</v>
      </c>
      <c r="L140" t="s">
        <v>8122</v>
      </c>
      <c r="M140" t="s">
        <v>7731</v>
      </c>
      <c r="N140">
        <v>2021</v>
      </c>
      <c r="R140">
        <v>1850</v>
      </c>
      <c r="S140" t="s">
        <v>7251</v>
      </c>
      <c r="T140">
        <v>19.13</v>
      </c>
      <c r="U140">
        <v>8904.67</v>
      </c>
      <c r="V140">
        <v>753</v>
      </c>
      <c r="W140">
        <v>736.99</v>
      </c>
      <c r="X140">
        <v>753</v>
      </c>
      <c r="AA140" t="s">
        <v>8102</v>
      </c>
      <c r="AC140" t="s">
        <v>7255</v>
      </c>
      <c r="AD140" t="s">
        <v>8123</v>
      </c>
      <c r="AE140" t="s">
        <v>486</v>
      </c>
      <c r="AF140" t="s">
        <v>8109</v>
      </c>
      <c r="AH140" t="s">
        <v>486</v>
      </c>
      <c r="AI140" t="s">
        <v>7255</v>
      </c>
      <c r="AO140" t="s">
        <v>8124</v>
      </c>
    </row>
    <row r="141" spans="1:41" hidden="1" x14ac:dyDescent="0.35">
      <c r="A141" t="s">
        <v>8125</v>
      </c>
      <c r="B141" t="s">
        <v>7246</v>
      </c>
      <c r="C141" t="s">
        <v>451</v>
      </c>
      <c r="D141" t="s">
        <v>406</v>
      </c>
      <c r="E141" t="s">
        <v>7701</v>
      </c>
      <c r="G141" s="13" t="s">
        <v>8126</v>
      </c>
      <c r="H141" t="s">
        <v>8127</v>
      </c>
      <c r="J141" t="s">
        <v>8128</v>
      </c>
      <c r="K141" t="s">
        <v>8129</v>
      </c>
      <c r="L141" t="s">
        <v>8129</v>
      </c>
      <c r="M141" t="s">
        <v>7250</v>
      </c>
      <c r="N141">
        <v>2018</v>
      </c>
      <c r="R141">
        <v>600</v>
      </c>
      <c r="S141" t="s">
        <v>7251</v>
      </c>
      <c r="T141">
        <v>6.21</v>
      </c>
      <c r="U141">
        <v>2888</v>
      </c>
      <c r="V141">
        <v>302</v>
      </c>
      <c r="W141">
        <v>301.33</v>
      </c>
      <c r="X141">
        <v>302</v>
      </c>
      <c r="Y141">
        <v>30</v>
      </c>
      <c r="Z141" t="s">
        <v>7253</v>
      </c>
      <c r="AC141" t="s">
        <v>7255</v>
      </c>
      <c r="AD141" t="s">
        <v>8130</v>
      </c>
      <c r="AE141" t="s">
        <v>486</v>
      </c>
      <c r="AF141" t="s">
        <v>7705</v>
      </c>
      <c r="AH141" t="s">
        <v>4009</v>
      </c>
      <c r="AI141" t="s">
        <v>7255</v>
      </c>
      <c r="AL141" t="s">
        <v>8131</v>
      </c>
      <c r="AN141" s="13" t="s">
        <v>8132</v>
      </c>
      <c r="AO141" t="s">
        <v>8133</v>
      </c>
    </row>
    <row r="142" spans="1:41" hidden="1" x14ac:dyDescent="0.35">
      <c r="A142" t="s">
        <v>8134</v>
      </c>
      <c r="B142" t="s">
        <v>7246</v>
      </c>
      <c r="C142" t="s">
        <v>451</v>
      </c>
      <c r="D142" t="s">
        <v>451</v>
      </c>
      <c r="E142" t="s">
        <v>451</v>
      </c>
      <c r="G142" s="13" t="s">
        <v>8135</v>
      </c>
      <c r="H142" t="s">
        <v>8136</v>
      </c>
      <c r="J142" t="s">
        <v>8137</v>
      </c>
      <c r="K142" t="s">
        <v>8138</v>
      </c>
      <c r="L142" t="s">
        <v>8138</v>
      </c>
      <c r="M142" t="s">
        <v>7250</v>
      </c>
      <c r="N142">
        <v>2017</v>
      </c>
      <c r="R142">
        <v>200</v>
      </c>
      <c r="S142" t="s">
        <v>7251</v>
      </c>
      <c r="T142">
        <v>2.0699999999999998</v>
      </c>
      <c r="U142">
        <v>962.67</v>
      </c>
      <c r="V142">
        <v>56.3</v>
      </c>
      <c r="W142">
        <v>52.47</v>
      </c>
      <c r="X142">
        <v>56.3</v>
      </c>
      <c r="AB142" t="s">
        <v>8139</v>
      </c>
      <c r="AC142" t="s">
        <v>7255</v>
      </c>
      <c r="AE142" t="s">
        <v>513</v>
      </c>
      <c r="AG142" t="s">
        <v>8140</v>
      </c>
      <c r="AH142" t="s">
        <v>513</v>
      </c>
      <c r="AI142" t="s">
        <v>7255</v>
      </c>
      <c r="AO142" t="s">
        <v>8141</v>
      </c>
    </row>
    <row r="143" spans="1:41" hidden="1" x14ac:dyDescent="0.35">
      <c r="A143" t="s">
        <v>8142</v>
      </c>
      <c r="B143" t="s">
        <v>7246</v>
      </c>
      <c r="C143" t="s">
        <v>451</v>
      </c>
      <c r="D143" t="s">
        <v>451</v>
      </c>
      <c r="E143" t="s">
        <v>451</v>
      </c>
      <c r="G143" s="13" t="s">
        <v>8143</v>
      </c>
      <c r="H143" t="s">
        <v>8144</v>
      </c>
      <c r="K143" t="s">
        <v>7659</v>
      </c>
      <c r="L143" t="s">
        <v>7659</v>
      </c>
      <c r="M143" t="s">
        <v>7269</v>
      </c>
      <c r="R143">
        <v>1500</v>
      </c>
      <c r="S143" t="s">
        <v>7251</v>
      </c>
      <c r="T143">
        <v>15.51</v>
      </c>
      <c r="U143">
        <v>7220</v>
      </c>
      <c r="V143">
        <v>225.3</v>
      </c>
      <c r="W143">
        <v>218.98</v>
      </c>
      <c r="X143">
        <v>225.3</v>
      </c>
      <c r="AB143" t="s">
        <v>8145</v>
      </c>
      <c r="AC143" t="s">
        <v>7255</v>
      </c>
      <c r="AE143" t="s">
        <v>475</v>
      </c>
      <c r="AF143" t="s">
        <v>8146</v>
      </c>
      <c r="AH143" t="s">
        <v>475</v>
      </c>
      <c r="AI143" t="s">
        <v>7255</v>
      </c>
      <c r="AO143" t="s">
        <v>8147</v>
      </c>
    </row>
    <row r="144" spans="1:41" hidden="1" x14ac:dyDescent="0.35">
      <c r="A144" t="s">
        <v>8148</v>
      </c>
      <c r="B144" t="s">
        <v>7246</v>
      </c>
      <c r="C144" t="s">
        <v>451</v>
      </c>
      <c r="D144" t="s">
        <v>451</v>
      </c>
      <c r="E144" t="s">
        <v>451</v>
      </c>
      <c r="G144" s="13" t="s">
        <v>8149</v>
      </c>
      <c r="H144" t="s">
        <v>8150</v>
      </c>
      <c r="J144" t="s">
        <v>8151</v>
      </c>
      <c r="K144" t="s">
        <v>7291</v>
      </c>
      <c r="L144" t="s">
        <v>7291</v>
      </c>
      <c r="M144" t="s">
        <v>7731</v>
      </c>
      <c r="N144">
        <v>2025</v>
      </c>
      <c r="R144">
        <v>500</v>
      </c>
      <c r="S144" t="s">
        <v>7251</v>
      </c>
      <c r="T144">
        <v>5.17</v>
      </c>
      <c r="U144">
        <v>2406.67</v>
      </c>
      <c r="V144">
        <v>1169.99</v>
      </c>
      <c r="W144">
        <v>1121.54</v>
      </c>
      <c r="X144">
        <v>1169.99</v>
      </c>
      <c r="Y144">
        <v>36</v>
      </c>
      <c r="Z144" t="s">
        <v>7253</v>
      </c>
      <c r="AB144" t="s">
        <v>3830</v>
      </c>
      <c r="AC144" t="s">
        <v>7255</v>
      </c>
      <c r="AE144" t="s">
        <v>896</v>
      </c>
      <c r="AF144" t="s">
        <v>8152</v>
      </c>
      <c r="AH144" t="s">
        <v>896</v>
      </c>
      <c r="AI144" t="s">
        <v>7255</v>
      </c>
      <c r="AO144" t="s">
        <v>8153</v>
      </c>
    </row>
    <row r="145" spans="1:41" hidden="1" x14ac:dyDescent="0.35">
      <c r="A145" t="s">
        <v>8154</v>
      </c>
      <c r="B145" t="s">
        <v>7246</v>
      </c>
      <c r="C145" t="s">
        <v>451</v>
      </c>
      <c r="D145" t="s">
        <v>451</v>
      </c>
      <c r="E145" t="s">
        <v>451</v>
      </c>
      <c r="G145" s="13" t="s">
        <v>8155</v>
      </c>
      <c r="H145" t="s">
        <v>8156</v>
      </c>
      <c r="K145" t="s">
        <v>7520</v>
      </c>
      <c r="L145" t="s">
        <v>7520</v>
      </c>
      <c r="M145" t="s">
        <v>7250</v>
      </c>
      <c r="R145">
        <v>500</v>
      </c>
      <c r="S145" t="s">
        <v>7251</v>
      </c>
      <c r="T145">
        <v>5.17</v>
      </c>
      <c r="U145">
        <v>2406.67</v>
      </c>
      <c r="V145" t="s">
        <v>6546</v>
      </c>
      <c r="W145">
        <v>155.11000000000001</v>
      </c>
      <c r="X145">
        <v>155.11000000000001</v>
      </c>
      <c r="AC145" t="s">
        <v>7255</v>
      </c>
      <c r="AD145" t="s">
        <v>8157</v>
      </c>
      <c r="AE145" t="s">
        <v>643</v>
      </c>
      <c r="AG145" t="s">
        <v>8158</v>
      </c>
      <c r="AH145" t="s">
        <v>799</v>
      </c>
      <c r="AI145" t="s">
        <v>7255</v>
      </c>
      <c r="AO145" t="s">
        <v>8159</v>
      </c>
    </row>
    <row r="146" spans="1:41" hidden="1" x14ac:dyDescent="0.35">
      <c r="A146" t="s">
        <v>8160</v>
      </c>
      <c r="B146" t="s">
        <v>7246</v>
      </c>
      <c r="C146" t="s">
        <v>451</v>
      </c>
      <c r="D146" t="s">
        <v>451</v>
      </c>
      <c r="E146" t="s">
        <v>451</v>
      </c>
      <c r="G146" s="13" t="s">
        <v>8161</v>
      </c>
      <c r="H146" t="s">
        <v>8162</v>
      </c>
      <c r="K146" t="s">
        <v>8163</v>
      </c>
      <c r="L146" t="s">
        <v>8163</v>
      </c>
      <c r="M146" t="s">
        <v>7292</v>
      </c>
      <c r="N146">
        <v>2022</v>
      </c>
      <c r="T146" t="s">
        <v>6546</v>
      </c>
      <c r="U146" t="s">
        <v>6546</v>
      </c>
      <c r="V146">
        <v>305.8</v>
      </c>
      <c r="W146">
        <v>271.45999999999998</v>
      </c>
      <c r="X146">
        <v>305.8</v>
      </c>
      <c r="AB146" t="s">
        <v>8164</v>
      </c>
      <c r="AC146" t="s">
        <v>7255</v>
      </c>
      <c r="AE146" t="s">
        <v>572</v>
      </c>
      <c r="AF146" t="s">
        <v>8165</v>
      </c>
      <c r="AH146" t="s">
        <v>6373</v>
      </c>
      <c r="AI146" t="s">
        <v>7255</v>
      </c>
      <c r="AO146" t="s">
        <v>8166</v>
      </c>
    </row>
    <row r="147" spans="1:41" hidden="1" x14ac:dyDescent="0.35">
      <c r="A147" t="s">
        <v>8167</v>
      </c>
      <c r="B147" t="s">
        <v>7246</v>
      </c>
      <c r="C147" t="s">
        <v>451</v>
      </c>
      <c r="D147" t="s">
        <v>451</v>
      </c>
      <c r="E147" t="s">
        <v>451</v>
      </c>
      <c r="G147" s="13" t="s">
        <v>8168</v>
      </c>
      <c r="H147" t="s">
        <v>8169</v>
      </c>
      <c r="K147" t="s">
        <v>8170</v>
      </c>
      <c r="L147" t="s">
        <v>8170</v>
      </c>
      <c r="M147" t="s">
        <v>7415</v>
      </c>
      <c r="N147">
        <v>2022</v>
      </c>
      <c r="T147" t="s">
        <v>6546</v>
      </c>
      <c r="U147" t="s">
        <v>6546</v>
      </c>
      <c r="V147">
        <v>22.5</v>
      </c>
      <c r="W147">
        <v>13.6</v>
      </c>
      <c r="X147">
        <v>22.5</v>
      </c>
      <c r="AC147" t="s">
        <v>7255</v>
      </c>
      <c r="AD147" t="s">
        <v>8171</v>
      </c>
      <c r="AE147" t="s">
        <v>533</v>
      </c>
      <c r="AG147" t="s">
        <v>8171</v>
      </c>
      <c r="AH147" t="s">
        <v>533</v>
      </c>
      <c r="AI147" t="s">
        <v>7255</v>
      </c>
      <c r="AO147" t="s">
        <v>8172</v>
      </c>
    </row>
    <row r="148" spans="1:41" hidden="1" x14ac:dyDescent="0.35">
      <c r="A148" t="s">
        <v>8173</v>
      </c>
      <c r="B148" t="s">
        <v>7246</v>
      </c>
      <c r="C148" t="s">
        <v>451</v>
      </c>
      <c r="D148" t="s">
        <v>451</v>
      </c>
      <c r="E148" t="s">
        <v>451</v>
      </c>
      <c r="G148" s="13" t="s">
        <v>8174</v>
      </c>
      <c r="H148" t="s">
        <v>8175</v>
      </c>
      <c r="K148" t="s">
        <v>8176</v>
      </c>
      <c r="L148" t="s">
        <v>8177</v>
      </c>
      <c r="M148" t="s">
        <v>7250</v>
      </c>
      <c r="N148">
        <v>2018</v>
      </c>
      <c r="R148">
        <v>160</v>
      </c>
      <c r="S148" t="s">
        <v>7251</v>
      </c>
      <c r="T148">
        <v>1.65</v>
      </c>
      <c r="U148">
        <v>770.13</v>
      </c>
      <c r="V148">
        <v>386.2</v>
      </c>
      <c r="W148">
        <v>383.92</v>
      </c>
      <c r="X148">
        <v>386.2</v>
      </c>
      <c r="AA148" t="s">
        <v>8178</v>
      </c>
      <c r="AB148" t="s">
        <v>8179</v>
      </c>
      <c r="AC148" t="s">
        <v>7255</v>
      </c>
      <c r="AD148" t="s">
        <v>8180</v>
      </c>
      <c r="AE148" t="s">
        <v>486</v>
      </c>
      <c r="AF148" t="s">
        <v>8181</v>
      </c>
      <c r="AG148" t="s">
        <v>8182</v>
      </c>
      <c r="AH148" t="s">
        <v>486</v>
      </c>
      <c r="AI148" t="s">
        <v>7255</v>
      </c>
      <c r="AO148" t="s">
        <v>8183</v>
      </c>
    </row>
    <row r="149" spans="1:41" hidden="1" x14ac:dyDescent="0.35">
      <c r="A149" t="s">
        <v>8184</v>
      </c>
      <c r="B149" t="s">
        <v>7246</v>
      </c>
      <c r="C149" t="s">
        <v>451</v>
      </c>
      <c r="D149" t="s">
        <v>451</v>
      </c>
      <c r="E149" t="s">
        <v>451</v>
      </c>
      <c r="G149" s="13" t="s">
        <v>8185</v>
      </c>
      <c r="H149" t="s">
        <v>8186</v>
      </c>
      <c r="K149" t="s">
        <v>8187</v>
      </c>
      <c r="L149" t="s">
        <v>8187</v>
      </c>
      <c r="M149" t="s">
        <v>7269</v>
      </c>
      <c r="R149">
        <v>52.1</v>
      </c>
      <c r="S149" t="s">
        <v>7251</v>
      </c>
      <c r="T149">
        <v>0.54</v>
      </c>
      <c r="U149">
        <v>250.77</v>
      </c>
      <c r="V149">
        <v>827.2</v>
      </c>
      <c r="W149">
        <v>616.69000000000005</v>
      </c>
      <c r="X149">
        <v>827.2</v>
      </c>
      <c r="AB149" t="s">
        <v>3830</v>
      </c>
      <c r="AC149" t="s">
        <v>7255</v>
      </c>
      <c r="AE149" t="s">
        <v>896</v>
      </c>
      <c r="AF149" t="s">
        <v>3833</v>
      </c>
      <c r="AH149" t="s">
        <v>896</v>
      </c>
      <c r="AI149" t="s">
        <v>7255</v>
      </c>
      <c r="AO149" t="s">
        <v>8188</v>
      </c>
    </row>
    <row r="150" spans="1:41" hidden="1" x14ac:dyDescent="0.35">
      <c r="A150" t="s">
        <v>8189</v>
      </c>
      <c r="B150" t="s">
        <v>7246</v>
      </c>
      <c r="C150" t="s">
        <v>451</v>
      </c>
      <c r="D150" t="s">
        <v>451</v>
      </c>
      <c r="E150" t="s">
        <v>451</v>
      </c>
      <c r="G150" s="13" t="s">
        <v>8190</v>
      </c>
      <c r="H150" t="s">
        <v>8191</v>
      </c>
      <c r="K150" t="s">
        <v>7422</v>
      </c>
      <c r="L150" t="s">
        <v>7422</v>
      </c>
      <c r="M150" t="s">
        <v>7292</v>
      </c>
      <c r="R150">
        <v>275</v>
      </c>
      <c r="S150" t="s">
        <v>7251</v>
      </c>
      <c r="T150">
        <v>2.84</v>
      </c>
      <c r="U150">
        <v>1323.67</v>
      </c>
      <c r="V150">
        <v>40.6</v>
      </c>
      <c r="W150">
        <v>454.54</v>
      </c>
      <c r="X150">
        <v>40.6</v>
      </c>
      <c r="AC150" t="s">
        <v>7255</v>
      </c>
      <c r="AD150" t="s">
        <v>8192</v>
      </c>
      <c r="AE150" t="s">
        <v>486</v>
      </c>
      <c r="AG150" t="s">
        <v>8193</v>
      </c>
      <c r="AH150" t="s">
        <v>497</v>
      </c>
      <c r="AI150" t="s">
        <v>7255</v>
      </c>
      <c r="AO150" t="s">
        <v>8194</v>
      </c>
    </row>
    <row r="151" spans="1:41" hidden="1" x14ac:dyDescent="0.35">
      <c r="A151" t="s">
        <v>8195</v>
      </c>
      <c r="B151" t="s">
        <v>7246</v>
      </c>
      <c r="C151" t="s">
        <v>451</v>
      </c>
      <c r="D151" t="s">
        <v>451</v>
      </c>
      <c r="E151" t="s">
        <v>451</v>
      </c>
      <c r="G151" s="13" t="s">
        <v>8196</v>
      </c>
      <c r="H151" t="s">
        <v>8197</v>
      </c>
      <c r="K151" t="s">
        <v>8198</v>
      </c>
      <c r="L151" t="s">
        <v>8199</v>
      </c>
      <c r="M151" t="s">
        <v>7250</v>
      </c>
      <c r="N151">
        <v>2020</v>
      </c>
      <c r="R151">
        <v>2100</v>
      </c>
      <c r="S151" t="s">
        <v>7251</v>
      </c>
      <c r="T151">
        <v>21.72</v>
      </c>
      <c r="U151">
        <v>10108</v>
      </c>
      <c r="V151">
        <v>692</v>
      </c>
      <c r="W151">
        <v>696.35</v>
      </c>
      <c r="X151">
        <v>692</v>
      </c>
      <c r="AA151" t="s">
        <v>8200</v>
      </c>
      <c r="AB151" t="s">
        <v>7257</v>
      </c>
      <c r="AC151" t="s">
        <v>7255</v>
      </c>
      <c r="AE151" t="s">
        <v>486</v>
      </c>
      <c r="AG151" t="s">
        <v>8201</v>
      </c>
      <c r="AH151" t="s">
        <v>486</v>
      </c>
      <c r="AI151" t="s">
        <v>7255</v>
      </c>
      <c r="AO151" t="s">
        <v>8202</v>
      </c>
    </row>
    <row r="152" spans="1:41" hidden="1" x14ac:dyDescent="0.35">
      <c r="A152" t="s">
        <v>8203</v>
      </c>
      <c r="B152" t="s">
        <v>7246</v>
      </c>
      <c r="C152" t="s">
        <v>451</v>
      </c>
      <c r="D152" t="s">
        <v>451</v>
      </c>
      <c r="E152" t="s">
        <v>451</v>
      </c>
      <c r="G152" s="13" t="s">
        <v>8204</v>
      </c>
      <c r="H152" t="s">
        <v>8205</v>
      </c>
      <c r="K152" t="s">
        <v>8206</v>
      </c>
      <c r="L152" t="s">
        <v>8206</v>
      </c>
      <c r="M152" t="s">
        <v>7269</v>
      </c>
      <c r="T152" t="s">
        <v>6546</v>
      </c>
      <c r="U152" t="s">
        <v>6546</v>
      </c>
      <c r="V152">
        <v>43.5</v>
      </c>
      <c r="W152">
        <v>39.35</v>
      </c>
      <c r="X152">
        <v>43.5</v>
      </c>
      <c r="AB152" t="s">
        <v>8207</v>
      </c>
      <c r="AC152" t="s">
        <v>7255</v>
      </c>
      <c r="AE152" t="s">
        <v>7853</v>
      </c>
      <c r="AF152" t="s">
        <v>8208</v>
      </c>
      <c r="AH152" t="s">
        <v>7853</v>
      </c>
      <c r="AI152" t="s">
        <v>7255</v>
      </c>
      <c r="AO152" t="s">
        <v>8209</v>
      </c>
    </row>
    <row r="153" spans="1:41" hidden="1" x14ac:dyDescent="0.35">
      <c r="A153" t="s">
        <v>8210</v>
      </c>
      <c r="B153" t="s">
        <v>7246</v>
      </c>
      <c r="C153" t="s">
        <v>451</v>
      </c>
      <c r="D153" t="s">
        <v>451</v>
      </c>
      <c r="E153" t="s">
        <v>451</v>
      </c>
      <c r="G153" s="13" t="s">
        <v>8211</v>
      </c>
      <c r="H153" t="s">
        <v>8212</v>
      </c>
      <c r="J153" t="s">
        <v>8213</v>
      </c>
      <c r="K153" t="s">
        <v>8214</v>
      </c>
      <c r="L153" t="s">
        <v>8214</v>
      </c>
      <c r="M153" t="s">
        <v>7731</v>
      </c>
      <c r="N153">
        <v>2021</v>
      </c>
      <c r="R153">
        <v>2000</v>
      </c>
      <c r="S153" t="s">
        <v>7251</v>
      </c>
      <c r="T153">
        <v>20.69</v>
      </c>
      <c r="U153">
        <v>9626.67</v>
      </c>
      <c r="V153">
        <v>1046.0999999999999</v>
      </c>
      <c r="W153">
        <v>1097.57</v>
      </c>
      <c r="X153">
        <v>1046.0999999999999</v>
      </c>
      <c r="Y153" t="s">
        <v>8215</v>
      </c>
      <c r="Z153" t="s">
        <v>7253</v>
      </c>
      <c r="AB153" t="s">
        <v>652</v>
      </c>
      <c r="AC153" t="s">
        <v>7255</v>
      </c>
      <c r="AE153" t="s">
        <v>653</v>
      </c>
      <c r="AF153" t="s">
        <v>8216</v>
      </c>
      <c r="AH153" t="s">
        <v>976</v>
      </c>
      <c r="AI153" t="s">
        <v>7255</v>
      </c>
      <c r="AO153" t="s">
        <v>8217</v>
      </c>
    </row>
    <row r="154" spans="1:41" hidden="1" x14ac:dyDescent="0.35">
      <c r="A154" t="s">
        <v>8218</v>
      </c>
      <c r="B154" t="s">
        <v>7246</v>
      </c>
      <c r="C154" t="s">
        <v>451</v>
      </c>
      <c r="D154" t="s">
        <v>451</v>
      </c>
      <c r="E154" t="s">
        <v>451</v>
      </c>
      <c r="G154" s="13" t="s">
        <v>8219</v>
      </c>
      <c r="H154" t="s">
        <v>8220</v>
      </c>
      <c r="K154" t="s">
        <v>7268</v>
      </c>
      <c r="L154" t="s">
        <v>7268</v>
      </c>
      <c r="M154" t="s">
        <v>7250</v>
      </c>
      <c r="N154">
        <v>2021</v>
      </c>
      <c r="R154">
        <v>1000</v>
      </c>
      <c r="S154" t="s">
        <v>7251</v>
      </c>
      <c r="T154">
        <v>10.34</v>
      </c>
      <c r="U154">
        <v>4813.33</v>
      </c>
      <c r="V154">
        <v>172.2</v>
      </c>
      <c r="W154">
        <v>168.89</v>
      </c>
      <c r="X154">
        <v>172.2</v>
      </c>
      <c r="Y154">
        <v>36</v>
      </c>
      <c r="Z154" t="s">
        <v>7253</v>
      </c>
      <c r="AC154" t="s">
        <v>7255</v>
      </c>
      <c r="AD154" t="s">
        <v>7547</v>
      </c>
      <c r="AE154" t="s">
        <v>486</v>
      </c>
      <c r="AG154" t="s">
        <v>8221</v>
      </c>
      <c r="AH154" t="s">
        <v>486</v>
      </c>
      <c r="AI154" t="s">
        <v>7255</v>
      </c>
      <c r="AO154" t="s">
        <v>8222</v>
      </c>
    </row>
    <row r="155" spans="1:41" hidden="1" x14ac:dyDescent="0.35">
      <c r="A155" t="s">
        <v>8223</v>
      </c>
      <c r="B155" t="s">
        <v>7246</v>
      </c>
      <c r="C155" t="s">
        <v>451</v>
      </c>
      <c r="D155" t="s">
        <v>451</v>
      </c>
      <c r="E155" t="s">
        <v>451</v>
      </c>
      <c r="G155" s="13" t="s">
        <v>8224</v>
      </c>
      <c r="H155" t="s">
        <v>8225</v>
      </c>
      <c r="K155" t="s">
        <v>8070</v>
      </c>
      <c r="L155" t="s">
        <v>8070</v>
      </c>
      <c r="M155" t="s">
        <v>7250</v>
      </c>
      <c r="N155">
        <v>2018</v>
      </c>
      <c r="T155" t="s">
        <v>6546</v>
      </c>
      <c r="U155" t="s">
        <v>6546</v>
      </c>
      <c r="V155">
        <v>33.799999999999997</v>
      </c>
      <c r="W155">
        <v>16.37</v>
      </c>
      <c r="X155">
        <v>33.799999999999997</v>
      </c>
      <c r="AB155" t="s">
        <v>8226</v>
      </c>
      <c r="AC155" t="s">
        <v>7255</v>
      </c>
      <c r="AE155" t="s">
        <v>3899</v>
      </c>
      <c r="AF155" t="s">
        <v>8227</v>
      </c>
      <c r="AH155" t="s">
        <v>3899</v>
      </c>
      <c r="AI155" t="s">
        <v>7255</v>
      </c>
      <c r="AO155" t="s">
        <v>8228</v>
      </c>
    </row>
    <row r="156" spans="1:41" hidden="1" x14ac:dyDescent="0.35">
      <c r="A156" t="s">
        <v>8229</v>
      </c>
      <c r="B156" t="s">
        <v>7246</v>
      </c>
      <c r="C156" t="s">
        <v>451</v>
      </c>
      <c r="D156" t="s">
        <v>451</v>
      </c>
      <c r="E156" t="s">
        <v>451</v>
      </c>
      <c r="G156" s="13" t="s">
        <v>8230</v>
      </c>
      <c r="H156" t="s">
        <v>8231</v>
      </c>
      <c r="I156" t="s">
        <v>7331</v>
      </c>
      <c r="K156" t="s">
        <v>8232</v>
      </c>
      <c r="L156" t="s">
        <v>8233</v>
      </c>
      <c r="M156" t="s">
        <v>7250</v>
      </c>
      <c r="N156">
        <v>2019</v>
      </c>
      <c r="T156" t="s">
        <v>6546</v>
      </c>
      <c r="U156" t="s">
        <v>6546</v>
      </c>
      <c r="V156">
        <v>44.3</v>
      </c>
      <c r="W156">
        <v>149.22999999999999</v>
      </c>
      <c r="X156">
        <v>44.3</v>
      </c>
      <c r="AB156" t="s">
        <v>8234</v>
      </c>
      <c r="AC156" t="s">
        <v>7255</v>
      </c>
      <c r="AE156" t="s">
        <v>6373</v>
      </c>
      <c r="AF156" t="s">
        <v>8235</v>
      </c>
      <c r="AH156" t="s">
        <v>634</v>
      </c>
      <c r="AI156" t="s">
        <v>7255</v>
      </c>
      <c r="AO156" t="s">
        <v>8236</v>
      </c>
    </row>
    <row r="157" spans="1:41" hidden="1" x14ac:dyDescent="0.35">
      <c r="A157" t="s">
        <v>8237</v>
      </c>
      <c r="B157" t="s">
        <v>7246</v>
      </c>
      <c r="C157" t="s">
        <v>451</v>
      </c>
      <c r="D157" t="s">
        <v>451</v>
      </c>
      <c r="E157" t="s">
        <v>451</v>
      </c>
      <c r="G157" s="13" t="s">
        <v>8238</v>
      </c>
      <c r="H157" t="s">
        <v>8239</v>
      </c>
      <c r="J157" t="s">
        <v>8240</v>
      </c>
      <c r="K157" t="s">
        <v>8241</v>
      </c>
      <c r="L157" t="s">
        <v>8241</v>
      </c>
      <c r="M157" t="s">
        <v>7415</v>
      </c>
      <c r="N157">
        <v>2022</v>
      </c>
      <c r="R157">
        <v>280</v>
      </c>
      <c r="S157" t="s">
        <v>7251</v>
      </c>
      <c r="T157">
        <v>2.9</v>
      </c>
      <c r="U157">
        <v>1347.73</v>
      </c>
      <c r="V157">
        <v>48.3</v>
      </c>
      <c r="W157">
        <v>44.95</v>
      </c>
      <c r="X157">
        <v>48.3</v>
      </c>
      <c r="AB157" t="s">
        <v>8242</v>
      </c>
      <c r="AC157" t="s">
        <v>7255</v>
      </c>
      <c r="AE157" t="s">
        <v>664</v>
      </c>
      <c r="AF157" t="s">
        <v>8243</v>
      </c>
      <c r="AH157" t="s">
        <v>664</v>
      </c>
      <c r="AI157" t="s">
        <v>7255</v>
      </c>
      <c r="AO157" t="s">
        <v>8244</v>
      </c>
    </row>
    <row r="158" spans="1:41" hidden="1" x14ac:dyDescent="0.35">
      <c r="A158" t="s">
        <v>8245</v>
      </c>
      <c r="B158" t="s">
        <v>7246</v>
      </c>
      <c r="C158" t="s">
        <v>451</v>
      </c>
      <c r="D158" t="s">
        <v>451</v>
      </c>
      <c r="E158" t="s">
        <v>451</v>
      </c>
      <c r="G158" s="13" t="s">
        <v>8246</v>
      </c>
      <c r="H158" t="s">
        <v>8247</v>
      </c>
      <c r="K158" t="s">
        <v>8248</v>
      </c>
      <c r="L158" t="s">
        <v>8241</v>
      </c>
      <c r="M158" t="s">
        <v>7415</v>
      </c>
      <c r="N158">
        <v>2023</v>
      </c>
      <c r="R158">
        <v>250</v>
      </c>
      <c r="S158" t="s">
        <v>7251</v>
      </c>
      <c r="T158">
        <v>2.59</v>
      </c>
      <c r="U158">
        <v>1203.33</v>
      </c>
      <c r="V158">
        <v>80.47</v>
      </c>
      <c r="W158">
        <v>128.22</v>
      </c>
      <c r="X158">
        <v>80.47</v>
      </c>
      <c r="Y158" t="s">
        <v>8249</v>
      </c>
      <c r="Z158" t="s">
        <v>7253</v>
      </c>
      <c r="AC158" t="s">
        <v>7255</v>
      </c>
      <c r="AD158" t="s">
        <v>8250</v>
      </c>
      <c r="AE158" t="s">
        <v>513</v>
      </c>
      <c r="AG158" t="s">
        <v>8251</v>
      </c>
      <c r="AH158" t="s">
        <v>513</v>
      </c>
      <c r="AI158" t="s">
        <v>7255</v>
      </c>
      <c r="AO158" t="s">
        <v>8252</v>
      </c>
    </row>
    <row r="159" spans="1:41" hidden="1" x14ac:dyDescent="0.35">
      <c r="A159" t="s">
        <v>8253</v>
      </c>
      <c r="B159" t="s">
        <v>7246</v>
      </c>
      <c r="C159" t="s">
        <v>451</v>
      </c>
      <c r="D159" t="s">
        <v>451</v>
      </c>
      <c r="E159" t="s">
        <v>451</v>
      </c>
      <c r="G159" s="13" t="s">
        <v>8254</v>
      </c>
      <c r="H159" t="s">
        <v>8255</v>
      </c>
      <c r="K159" t="s">
        <v>8256</v>
      </c>
      <c r="L159" t="s">
        <v>8256</v>
      </c>
      <c r="M159" t="s">
        <v>7250</v>
      </c>
      <c r="N159">
        <v>1953</v>
      </c>
      <c r="R159">
        <v>1.45</v>
      </c>
      <c r="S159" t="s">
        <v>8257</v>
      </c>
      <c r="T159">
        <v>1.45</v>
      </c>
      <c r="U159">
        <v>674.81</v>
      </c>
      <c r="V159">
        <v>40.200000000000003</v>
      </c>
      <c r="W159">
        <v>38.799999999999997</v>
      </c>
      <c r="X159">
        <v>40.200000000000003</v>
      </c>
      <c r="AB159" t="s">
        <v>8258</v>
      </c>
      <c r="AC159" t="s">
        <v>7255</v>
      </c>
      <c r="AE159" t="s">
        <v>548</v>
      </c>
      <c r="AF159" t="s">
        <v>8259</v>
      </c>
      <c r="AH159" t="s">
        <v>548</v>
      </c>
      <c r="AI159" t="s">
        <v>7255</v>
      </c>
      <c r="AO159" t="s">
        <v>8260</v>
      </c>
    </row>
    <row r="160" spans="1:41" hidden="1" x14ac:dyDescent="0.35">
      <c r="A160" t="s">
        <v>8261</v>
      </c>
      <c r="B160" t="s">
        <v>7246</v>
      </c>
      <c r="C160" t="s">
        <v>451</v>
      </c>
      <c r="D160" t="s">
        <v>451</v>
      </c>
      <c r="E160" t="s">
        <v>451</v>
      </c>
      <c r="G160" s="13" t="s">
        <v>8262</v>
      </c>
      <c r="H160" t="s">
        <v>8263</v>
      </c>
      <c r="K160" t="s">
        <v>8264</v>
      </c>
      <c r="L160" t="s">
        <v>8264</v>
      </c>
      <c r="M160" t="s">
        <v>7292</v>
      </c>
      <c r="T160" t="s">
        <v>6546</v>
      </c>
      <c r="U160" t="s">
        <v>6546</v>
      </c>
      <c r="V160">
        <v>19.3</v>
      </c>
      <c r="W160">
        <v>14.7</v>
      </c>
      <c r="X160">
        <v>19.3</v>
      </c>
      <c r="AB160" t="s">
        <v>8265</v>
      </c>
      <c r="AC160" t="s">
        <v>7255</v>
      </c>
      <c r="AE160" t="s">
        <v>785</v>
      </c>
      <c r="AF160" t="s">
        <v>8266</v>
      </c>
      <c r="AH160" t="s">
        <v>8267</v>
      </c>
      <c r="AI160" t="s">
        <v>7255</v>
      </c>
      <c r="AO160" t="s">
        <v>8268</v>
      </c>
    </row>
    <row r="161" spans="1:41" hidden="1" x14ac:dyDescent="0.35">
      <c r="A161" t="s">
        <v>8269</v>
      </c>
      <c r="B161" t="s">
        <v>7246</v>
      </c>
      <c r="C161" t="s">
        <v>451</v>
      </c>
      <c r="D161" t="s">
        <v>451</v>
      </c>
      <c r="E161" t="s">
        <v>451</v>
      </c>
      <c r="G161" s="13" t="s">
        <v>8270</v>
      </c>
      <c r="H161" t="s">
        <v>8271</v>
      </c>
      <c r="K161" t="s">
        <v>8272</v>
      </c>
      <c r="L161" t="s">
        <v>8272</v>
      </c>
      <c r="M161" t="s">
        <v>7250</v>
      </c>
      <c r="N161">
        <v>2019</v>
      </c>
      <c r="R161">
        <v>55</v>
      </c>
      <c r="S161" t="s">
        <v>7251</v>
      </c>
      <c r="T161">
        <v>0.56999999999999995</v>
      </c>
      <c r="U161">
        <v>264.73</v>
      </c>
      <c r="V161">
        <v>45</v>
      </c>
      <c r="W161">
        <v>39.92</v>
      </c>
      <c r="X161">
        <v>45</v>
      </c>
      <c r="Y161">
        <v>12</v>
      </c>
      <c r="Z161" t="s">
        <v>7253</v>
      </c>
      <c r="AC161" t="s">
        <v>7255</v>
      </c>
      <c r="AD161" t="s">
        <v>8273</v>
      </c>
      <c r="AE161" t="s">
        <v>513</v>
      </c>
      <c r="AG161" t="s">
        <v>8274</v>
      </c>
      <c r="AH161" t="s">
        <v>533</v>
      </c>
      <c r="AI161" t="s">
        <v>7255</v>
      </c>
      <c r="AO161" t="s">
        <v>8275</v>
      </c>
    </row>
    <row r="162" spans="1:41" hidden="1" x14ac:dyDescent="0.35">
      <c r="A162" t="s">
        <v>8276</v>
      </c>
      <c r="B162" t="s">
        <v>7246</v>
      </c>
      <c r="C162" t="s">
        <v>451</v>
      </c>
      <c r="D162" t="s">
        <v>451</v>
      </c>
      <c r="E162" t="s">
        <v>451</v>
      </c>
      <c r="G162" s="13" t="s">
        <v>8277</v>
      </c>
      <c r="H162" t="s">
        <v>8278</v>
      </c>
      <c r="K162" t="s">
        <v>8279</v>
      </c>
      <c r="L162" t="s">
        <v>8279</v>
      </c>
      <c r="M162" t="s">
        <v>7250</v>
      </c>
      <c r="N162">
        <v>2019</v>
      </c>
      <c r="R162">
        <v>144</v>
      </c>
      <c r="S162" t="s">
        <v>7251</v>
      </c>
      <c r="T162">
        <v>1.49</v>
      </c>
      <c r="U162">
        <v>693.12</v>
      </c>
      <c r="V162">
        <v>67.599999999999994</v>
      </c>
      <c r="W162">
        <v>66.48</v>
      </c>
      <c r="X162">
        <v>67.599999999999994</v>
      </c>
      <c r="AB162" t="s">
        <v>8280</v>
      </c>
      <c r="AC162" t="s">
        <v>7255</v>
      </c>
      <c r="AE162" t="s">
        <v>556</v>
      </c>
      <c r="AF162" t="s">
        <v>8281</v>
      </c>
      <c r="AH162" t="s">
        <v>556</v>
      </c>
      <c r="AI162" t="s">
        <v>7255</v>
      </c>
      <c r="AO162" t="s">
        <v>8282</v>
      </c>
    </row>
    <row r="163" spans="1:41" hidden="1" x14ac:dyDescent="0.35">
      <c r="A163" t="s">
        <v>8283</v>
      </c>
      <c r="B163" t="s">
        <v>7246</v>
      </c>
      <c r="C163" t="s">
        <v>451</v>
      </c>
      <c r="D163" t="s">
        <v>451</v>
      </c>
      <c r="E163" t="s">
        <v>451</v>
      </c>
      <c r="G163" s="13" t="s">
        <v>8284</v>
      </c>
      <c r="H163" t="s">
        <v>8285</v>
      </c>
      <c r="J163" t="s">
        <v>8286</v>
      </c>
      <c r="K163" t="s">
        <v>8287</v>
      </c>
      <c r="L163" t="s">
        <v>8287</v>
      </c>
      <c r="M163" t="s">
        <v>7731</v>
      </c>
      <c r="N163">
        <v>2021</v>
      </c>
      <c r="R163">
        <v>2000</v>
      </c>
      <c r="S163" t="s">
        <v>7251</v>
      </c>
      <c r="T163">
        <v>20.69</v>
      </c>
      <c r="U163">
        <v>9626.67</v>
      </c>
      <c r="V163">
        <v>836.9</v>
      </c>
      <c r="W163">
        <v>802.87</v>
      </c>
      <c r="X163">
        <v>836.9</v>
      </c>
      <c r="AA163" t="s">
        <v>8102</v>
      </c>
      <c r="AB163" t="s">
        <v>7257</v>
      </c>
      <c r="AC163" t="s">
        <v>7255</v>
      </c>
      <c r="AE163" t="s">
        <v>486</v>
      </c>
      <c r="AF163" t="s">
        <v>8288</v>
      </c>
      <c r="AH163" t="s">
        <v>486</v>
      </c>
      <c r="AI163" t="s">
        <v>7255</v>
      </c>
      <c r="AO163" t="s">
        <v>8289</v>
      </c>
    </row>
    <row r="164" spans="1:41" hidden="1" x14ac:dyDescent="0.35">
      <c r="A164" t="s">
        <v>8290</v>
      </c>
      <c r="B164" t="s">
        <v>7246</v>
      </c>
      <c r="C164" t="s">
        <v>451</v>
      </c>
      <c r="D164" t="s">
        <v>451</v>
      </c>
      <c r="E164" t="s">
        <v>451</v>
      </c>
      <c r="G164" s="13" t="s">
        <v>8291</v>
      </c>
      <c r="H164" t="s">
        <v>8292</v>
      </c>
      <c r="K164" t="s">
        <v>8293</v>
      </c>
      <c r="L164" t="s">
        <v>8293</v>
      </c>
      <c r="M164" t="s">
        <v>7269</v>
      </c>
      <c r="T164" t="s">
        <v>6546</v>
      </c>
      <c r="U164" t="s">
        <v>6546</v>
      </c>
      <c r="V164">
        <v>402.3</v>
      </c>
      <c r="W164">
        <v>376.65</v>
      </c>
      <c r="X164">
        <v>402.3</v>
      </c>
      <c r="AC164" t="s">
        <v>7255</v>
      </c>
      <c r="AD164" t="s">
        <v>8294</v>
      </c>
      <c r="AE164" t="s">
        <v>812</v>
      </c>
      <c r="AG164" t="s">
        <v>8295</v>
      </c>
      <c r="AH164" t="s">
        <v>486</v>
      </c>
      <c r="AI164" t="s">
        <v>7255</v>
      </c>
      <c r="AO164" t="s">
        <v>8296</v>
      </c>
    </row>
    <row r="165" spans="1:41" hidden="1" x14ac:dyDescent="0.35">
      <c r="A165" t="s">
        <v>8297</v>
      </c>
      <c r="B165" t="s">
        <v>7246</v>
      </c>
      <c r="C165" t="s">
        <v>451</v>
      </c>
      <c r="D165" t="s">
        <v>451</v>
      </c>
      <c r="E165" t="s">
        <v>451</v>
      </c>
      <c r="G165" s="13" t="s">
        <v>8298</v>
      </c>
      <c r="H165" t="s">
        <v>8299</v>
      </c>
      <c r="K165" t="s">
        <v>8300</v>
      </c>
      <c r="L165" t="s">
        <v>8300</v>
      </c>
      <c r="M165" t="s">
        <v>7250</v>
      </c>
      <c r="N165">
        <v>2018</v>
      </c>
      <c r="R165">
        <v>30</v>
      </c>
      <c r="S165" t="s">
        <v>7251</v>
      </c>
      <c r="T165">
        <v>0.31</v>
      </c>
      <c r="U165">
        <v>144.4</v>
      </c>
      <c r="V165">
        <v>3.5</v>
      </c>
      <c r="W165">
        <v>1.27</v>
      </c>
      <c r="X165">
        <v>3.5</v>
      </c>
      <c r="Y165">
        <v>10.75</v>
      </c>
      <c r="Z165" t="s">
        <v>7253</v>
      </c>
      <c r="AB165" t="s">
        <v>8301</v>
      </c>
      <c r="AC165" t="s">
        <v>7255</v>
      </c>
      <c r="AE165" t="s">
        <v>3899</v>
      </c>
      <c r="AG165" t="s">
        <v>8302</v>
      </c>
      <c r="AH165" t="s">
        <v>1014</v>
      </c>
      <c r="AI165" t="s">
        <v>7255</v>
      </c>
      <c r="AO165" t="s">
        <v>8303</v>
      </c>
    </row>
    <row r="166" spans="1:41" hidden="1" x14ac:dyDescent="0.35">
      <c r="A166" t="s">
        <v>8304</v>
      </c>
      <c r="B166" t="s">
        <v>7246</v>
      </c>
      <c r="C166" t="s">
        <v>451</v>
      </c>
      <c r="D166" t="s">
        <v>451</v>
      </c>
      <c r="E166" t="s">
        <v>451</v>
      </c>
      <c r="G166" s="13" t="s">
        <v>8305</v>
      </c>
      <c r="H166" t="s">
        <v>8306</v>
      </c>
      <c r="K166" t="s">
        <v>8307</v>
      </c>
      <c r="L166" t="s">
        <v>8307</v>
      </c>
      <c r="M166" t="s">
        <v>7269</v>
      </c>
      <c r="T166" t="s">
        <v>6546</v>
      </c>
      <c r="U166" t="s">
        <v>6546</v>
      </c>
      <c r="V166">
        <v>24.1</v>
      </c>
      <c r="W166">
        <v>11.96</v>
      </c>
      <c r="X166">
        <v>24.1</v>
      </c>
      <c r="AC166" t="s">
        <v>7255</v>
      </c>
      <c r="AD166" t="s">
        <v>8308</v>
      </c>
      <c r="AE166" t="s">
        <v>513</v>
      </c>
      <c r="AG166" t="s">
        <v>8308</v>
      </c>
      <c r="AH166" t="s">
        <v>513</v>
      </c>
      <c r="AI166" t="s">
        <v>7255</v>
      </c>
      <c r="AO166" t="s">
        <v>8309</v>
      </c>
    </row>
    <row r="167" spans="1:41" hidden="1" x14ac:dyDescent="0.35">
      <c r="A167" t="s">
        <v>8310</v>
      </c>
      <c r="B167" t="s">
        <v>7246</v>
      </c>
      <c r="C167" t="s">
        <v>451</v>
      </c>
      <c r="D167" t="s">
        <v>451</v>
      </c>
      <c r="E167" t="s">
        <v>451</v>
      </c>
      <c r="G167" s="13" t="s">
        <v>8311</v>
      </c>
      <c r="H167" t="s">
        <v>8312</v>
      </c>
      <c r="K167" t="s">
        <v>8313</v>
      </c>
      <c r="L167" t="s">
        <v>8313</v>
      </c>
      <c r="M167" t="s">
        <v>7731</v>
      </c>
      <c r="N167">
        <v>2019</v>
      </c>
      <c r="R167">
        <v>1000</v>
      </c>
      <c r="S167" t="s">
        <v>7251</v>
      </c>
      <c r="T167">
        <v>10.34</v>
      </c>
      <c r="U167">
        <v>4813.33</v>
      </c>
      <c r="V167">
        <v>128.69999999999999</v>
      </c>
      <c r="W167">
        <v>120.36</v>
      </c>
      <c r="X167">
        <v>128.69999999999999</v>
      </c>
      <c r="AC167" t="s">
        <v>7255</v>
      </c>
      <c r="AD167" t="s">
        <v>8314</v>
      </c>
      <c r="AE167" t="s">
        <v>812</v>
      </c>
      <c r="AF167" t="s">
        <v>7692</v>
      </c>
      <c r="AH167" t="s">
        <v>812</v>
      </c>
      <c r="AI167" t="s">
        <v>7255</v>
      </c>
      <c r="AO167" t="s">
        <v>8315</v>
      </c>
    </row>
    <row r="168" spans="1:41" hidden="1" x14ac:dyDescent="0.35">
      <c r="A168" t="s">
        <v>8316</v>
      </c>
      <c r="B168" t="s">
        <v>7246</v>
      </c>
      <c r="C168" t="s">
        <v>451</v>
      </c>
      <c r="D168" t="s">
        <v>451</v>
      </c>
      <c r="E168" t="s">
        <v>451</v>
      </c>
      <c r="G168" s="13" t="s">
        <v>8317</v>
      </c>
      <c r="H168" t="s">
        <v>8318</v>
      </c>
      <c r="I168" t="s">
        <v>8319</v>
      </c>
      <c r="K168" t="s">
        <v>8320</v>
      </c>
      <c r="L168" t="s">
        <v>8321</v>
      </c>
      <c r="M168" t="s">
        <v>7250</v>
      </c>
      <c r="N168">
        <v>2021</v>
      </c>
      <c r="R168">
        <v>2000</v>
      </c>
      <c r="S168" t="s">
        <v>7251</v>
      </c>
      <c r="T168">
        <v>20.69</v>
      </c>
      <c r="U168">
        <v>9626.67</v>
      </c>
      <c r="V168">
        <v>764</v>
      </c>
      <c r="W168">
        <v>712.12</v>
      </c>
      <c r="X168">
        <v>764</v>
      </c>
      <c r="Y168" t="s">
        <v>7252</v>
      </c>
      <c r="Z168" t="s">
        <v>7253</v>
      </c>
      <c r="AA168" t="s">
        <v>8102</v>
      </c>
      <c r="AB168" t="s">
        <v>7257</v>
      </c>
      <c r="AC168" t="s">
        <v>7255</v>
      </c>
      <c r="AE168" t="s">
        <v>486</v>
      </c>
      <c r="AG168" t="s">
        <v>8201</v>
      </c>
      <c r="AH168" t="s">
        <v>486</v>
      </c>
      <c r="AI168" t="s">
        <v>7255</v>
      </c>
      <c r="AO168" t="s">
        <v>8322</v>
      </c>
    </row>
    <row r="169" spans="1:41" hidden="1" x14ac:dyDescent="0.35">
      <c r="A169" t="s">
        <v>8323</v>
      </c>
      <c r="B169" t="s">
        <v>7246</v>
      </c>
      <c r="C169" t="s">
        <v>451</v>
      </c>
      <c r="D169" t="s">
        <v>451</v>
      </c>
      <c r="E169" t="s">
        <v>451</v>
      </c>
      <c r="G169" s="13" t="s">
        <v>8324</v>
      </c>
      <c r="H169" t="s">
        <v>8325</v>
      </c>
      <c r="J169" t="s">
        <v>8326</v>
      </c>
      <c r="K169" t="s">
        <v>8091</v>
      </c>
      <c r="L169" t="s">
        <v>8091</v>
      </c>
      <c r="M169" t="s">
        <v>7731</v>
      </c>
      <c r="N169">
        <v>2023</v>
      </c>
      <c r="R169">
        <v>2000</v>
      </c>
      <c r="S169" t="s">
        <v>7251</v>
      </c>
      <c r="T169">
        <v>20.69</v>
      </c>
      <c r="U169">
        <v>9626.67</v>
      </c>
      <c r="V169">
        <v>1005.8</v>
      </c>
      <c r="W169">
        <v>983.5</v>
      </c>
      <c r="X169">
        <v>1005.8</v>
      </c>
      <c r="AA169" t="s">
        <v>8102</v>
      </c>
      <c r="AB169" t="s">
        <v>7257</v>
      </c>
      <c r="AC169" t="s">
        <v>7255</v>
      </c>
      <c r="AD169" t="s">
        <v>718</v>
      </c>
      <c r="AE169" t="s">
        <v>486</v>
      </c>
      <c r="AF169" t="s">
        <v>8094</v>
      </c>
      <c r="AH169" t="s">
        <v>497</v>
      </c>
      <c r="AI169" t="s">
        <v>7255</v>
      </c>
      <c r="AO169" t="s">
        <v>8327</v>
      </c>
    </row>
    <row r="170" spans="1:41" hidden="1" x14ac:dyDescent="0.35">
      <c r="A170" t="s">
        <v>8328</v>
      </c>
      <c r="B170" t="s">
        <v>7246</v>
      </c>
      <c r="C170" t="s">
        <v>451</v>
      </c>
      <c r="D170" t="s">
        <v>451</v>
      </c>
      <c r="E170" t="s">
        <v>451</v>
      </c>
      <c r="G170" s="13" t="s">
        <v>8329</v>
      </c>
      <c r="H170" t="s">
        <v>8330</v>
      </c>
      <c r="K170" t="s">
        <v>8091</v>
      </c>
      <c r="L170" t="s">
        <v>8091</v>
      </c>
      <c r="M170" t="s">
        <v>7269</v>
      </c>
      <c r="R170">
        <v>300</v>
      </c>
      <c r="S170" t="s">
        <v>7251</v>
      </c>
      <c r="T170">
        <v>3.1</v>
      </c>
      <c r="U170">
        <v>1444</v>
      </c>
      <c r="V170">
        <v>48.3</v>
      </c>
      <c r="W170">
        <v>5.07</v>
      </c>
      <c r="X170">
        <v>48.3</v>
      </c>
      <c r="AB170" t="s">
        <v>8331</v>
      </c>
      <c r="AC170" t="s">
        <v>7255</v>
      </c>
      <c r="AE170" t="s">
        <v>7332</v>
      </c>
      <c r="AF170" t="s">
        <v>8331</v>
      </c>
      <c r="AH170" t="s">
        <v>7332</v>
      </c>
      <c r="AI170" t="s">
        <v>7255</v>
      </c>
      <c r="AO170" t="s">
        <v>8332</v>
      </c>
    </row>
    <row r="171" spans="1:41" hidden="1" x14ac:dyDescent="0.35">
      <c r="A171" t="s">
        <v>8333</v>
      </c>
      <c r="B171" t="s">
        <v>7246</v>
      </c>
      <c r="C171" t="s">
        <v>451</v>
      </c>
      <c r="D171" t="s">
        <v>451</v>
      </c>
      <c r="E171" t="s">
        <v>451</v>
      </c>
      <c r="G171" s="13" t="s">
        <v>8334</v>
      </c>
      <c r="H171" t="s">
        <v>8335</v>
      </c>
      <c r="K171" t="s">
        <v>7268</v>
      </c>
      <c r="L171" t="s">
        <v>7268</v>
      </c>
      <c r="M171" t="s">
        <v>7269</v>
      </c>
      <c r="R171">
        <v>1250</v>
      </c>
      <c r="S171" t="s">
        <v>7251</v>
      </c>
      <c r="T171">
        <v>12.93</v>
      </c>
      <c r="U171">
        <v>6016.67</v>
      </c>
      <c r="V171">
        <v>370.1</v>
      </c>
      <c r="W171">
        <v>341.59</v>
      </c>
      <c r="X171">
        <v>370.1</v>
      </c>
      <c r="AB171" t="s">
        <v>8336</v>
      </c>
      <c r="AC171" t="s">
        <v>7255</v>
      </c>
      <c r="AE171" t="s">
        <v>540</v>
      </c>
      <c r="AF171" t="s">
        <v>8337</v>
      </c>
      <c r="AH171" t="s">
        <v>683</v>
      </c>
      <c r="AI171" t="s">
        <v>7255</v>
      </c>
      <c r="AO171" t="s">
        <v>8338</v>
      </c>
    </row>
    <row r="172" spans="1:41" hidden="1" x14ac:dyDescent="0.35">
      <c r="A172" t="s">
        <v>8339</v>
      </c>
      <c r="B172" t="s">
        <v>7246</v>
      </c>
      <c r="C172" t="s">
        <v>451</v>
      </c>
      <c r="D172" t="s">
        <v>451</v>
      </c>
      <c r="E172" t="s">
        <v>451</v>
      </c>
      <c r="G172" s="13" t="s">
        <v>8340</v>
      </c>
      <c r="H172" t="s">
        <v>8341</v>
      </c>
      <c r="K172" t="s">
        <v>7268</v>
      </c>
      <c r="L172" t="s">
        <v>7268</v>
      </c>
      <c r="M172" t="s">
        <v>7292</v>
      </c>
      <c r="N172">
        <v>2022</v>
      </c>
      <c r="R172">
        <v>475</v>
      </c>
      <c r="S172" t="s">
        <v>7251</v>
      </c>
      <c r="T172">
        <v>4.91</v>
      </c>
      <c r="U172">
        <v>2286.33</v>
      </c>
      <c r="V172">
        <v>56.3</v>
      </c>
      <c r="W172">
        <v>37.369999999999997</v>
      </c>
      <c r="X172">
        <v>56.3</v>
      </c>
      <c r="AB172" t="s">
        <v>8342</v>
      </c>
      <c r="AC172" t="s">
        <v>7255</v>
      </c>
      <c r="AE172" t="s">
        <v>513</v>
      </c>
      <c r="AF172" t="s">
        <v>659</v>
      </c>
      <c r="AH172" t="s">
        <v>513</v>
      </c>
      <c r="AI172" t="s">
        <v>7255</v>
      </c>
      <c r="AO172" t="s">
        <v>8343</v>
      </c>
    </row>
    <row r="173" spans="1:41" hidden="1" x14ac:dyDescent="0.35">
      <c r="A173" t="s">
        <v>8344</v>
      </c>
      <c r="B173" t="s">
        <v>7246</v>
      </c>
      <c r="C173" t="s">
        <v>451</v>
      </c>
      <c r="D173" t="s">
        <v>451</v>
      </c>
      <c r="E173" t="s">
        <v>451</v>
      </c>
      <c r="G173" s="13" t="s">
        <v>8345</v>
      </c>
      <c r="H173" t="s">
        <v>8346</v>
      </c>
      <c r="K173" t="s">
        <v>7320</v>
      </c>
      <c r="L173" t="s">
        <v>7320</v>
      </c>
      <c r="M173" t="s">
        <v>7250</v>
      </c>
      <c r="N173">
        <v>2020</v>
      </c>
      <c r="R173">
        <v>275</v>
      </c>
      <c r="S173" t="s">
        <v>7251</v>
      </c>
      <c r="T173">
        <v>2.84</v>
      </c>
      <c r="U173">
        <v>1323.67</v>
      </c>
      <c r="V173">
        <v>103</v>
      </c>
      <c r="W173">
        <v>96.64</v>
      </c>
      <c r="X173">
        <v>103</v>
      </c>
      <c r="AC173" t="s">
        <v>7255</v>
      </c>
      <c r="AD173" t="s">
        <v>8347</v>
      </c>
      <c r="AE173" t="s">
        <v>533</v>
      </c>
      <c r="AG173" t="s">
        <v>8348</v>
      </c>
      <c r="AH173" t="s">
        <v>634</v>
      </c>
      <c r="AI173" t="s">
        <v>7255</v>
      </c>
      <c r="AO173" t="s">
        <v>8349</v>
      </c>
    </row>
    <row r="174" spans="1:41" hidden="1" x14ac:dyDescent="0.35">
      <c r="A174" t="s">
        <v>8350</v>
      </c>
      <c r="B174" t="s">
        <v>7246</v>
      </c>
      <c r="C174" t="s">
        <v>451</v>
      </c>
      <c r="D174" t="s">
        <v>451</v>
      </c>
      <c r="E174" t="s">
        <v>451</v>
      </c>
      <c r="G174" s="13" t="s">
        <v>8351</v>
      </c>
      <c r="H174" t="s">
        <v>8352</v>
      </c>
      <c r="K174" t="s">
        <v>7346</v>
      </c>
      <c r="L174" t="s">
        <v>7346</v>
      </c>
      <c r="M174" t="s">
        <v>7731</v>
      </c>
      <c r="N174">
        <v>2020</v>
      </c>
      <c r="R174">
        <v>2000</v>
      </c>
      <c r="S174" t="s">
        <v>7251</v>
      </c>
      <c r="T174">
        <v>20.69</v>
      </c>
      <c r="U174">
        <v>9626.67</v>
      </c>
      <c r="V174">
        <v>804.7</v>
      </c>
      <c r="W174">
        <v>717.65</v>
      </c>
      <c r="X174">
        <v>804.7</v>
      </c>
      <c r="AA174" t="s">
        <v>8102</v>
      </c>
      <c r="AB174" t="s">
        <v>7257</v>
      </c>
      <c r="AC174" t="s">
        <v>7255</v>
      </c>
      <c r="AE174" t="s">
        <v>486</v>
      </c>
      <c r="AF174" t="s">
        <v>8288</v>
      </c>
      <c r="AH174" t="s">
        <v>486</v>
      </c>
      <c r="AI174" t="s">
        <v>7255</v>
      </c>
      <c r="AO174" t="s">
        <v>8353</v>
      </c>
    </row>
    <row r="175" spans="1:41" hidden="1" x14ac:dyDescent="0.35">
      <c r="A175" t="s">
        <v>8354</v>
      </c>
      <c r="B175" t="s">
        <v>7246</v>
      </c>
      <c r="C175" t="s">
        <v>451</v>
      </c>
      <c r="D175" t="s">
        <v>451</v>
      </c>
      <c r="E175" t="s">
        <v>451</v>
      </c>
      <c r="G175" s="13" t="s">
        <v>8355</v>
      </c>
      <c r="H175" t="s">
        <v>8356</v>
      </c>
      <c r="K175" t="s">
        <v>7346</v>
      </c>
      <c r="L175" t="s">
        <v>7346</v>
      </c>
      <c r="M175" t="s">
        <v>7269</v>
      </c>
      <c r="N175">
        <v>2020</v>
      </c>
      <c r="T175" t="s">
        <v>6546</v>
      </c>
      <c r="U175" t="s">
        <v>6546</v>
      </c>
      <c r="V175">
        <v>128.69999999999999</v>
      </c>
      <c r="W175">
        <v>109.02</v>
      </c>
      <c r="X175">
        <v>128.69999999999999</v>
      </c>
      <c r="AB175" t="s">
        <v>7355</v>
      </c>
      <c r="AC175" t="s">
        <v>7255</v>
      </c>
      <c r="AE175" t="s">
        <v>482</v>
      </c>
      <c r="AF175" t="s">
        <v>8357</v>
      </c>
      <c r="AH175" t="s">
        <v>1020</v>
      </c>
      <c r="AI175" t="s">
        <v>7255</v>
      </c>
      <c r="AO175" t="s">
        <v>8358</v>
      </c>
    </row>
    <row r="176" spans="1:41" hidden="1" x14ac:dyDescent="0.35">
      <c r="A176" t="s">
        <v>8359</v>
      </c>
      <c r="B176" t="s">
        <v>7246</v>
      </c>
      <c r="C176" t="s">
        <v>451</v>
      </c>
      <c r="D176" t="s">
        <v>451</v>
      </c>
      <c r="E176" t="s">
        <v>451</v>
      </c>
      <c r="G176" s="13" t="s">
        <v>8360</v>
      </c>
      <c r="H176" t="s">
        <v>8361</v>
      </c>
      <c r="K176" t="s">
        <v>8362</v>
      </c>
      <c r="L176" t="s">
        <v>8362</v>
      </c>
      <c r="M176" t="s">
        <v>7250</v>
      </c>
      <c r="N176">
        <v>2020</v>
      </c>
      <c r="T176" t="s">
        <v>6546</v>
      </c>
      <c r="U176" t="s">
        <v>6546</v>
      </c>
      <c r="V176">
        <v>24.1</v>
      </c>
      <c r="W176">
        <v>29.87</v>
      </c>
      <c r="X176">
        <v>24.1</v>
      </c>
      <c r="AC176" t="s">
        <v>7255</v>
      </c>
      <c r="AD176" t="s">
        <v>8363</v>
      </c>
      <c r="AE176" t="s">
        <v>891</v>
      </c>
      <c r="AF176" t="s">
        <v>8364</v>
      </c>
      <c r="AH176" t="s">
        <v>891</v>
      </c>
      <c r="AI176" t="s">
        <v>7255</v>
      </c>
      <c r="AO176" t="s">
        <v>8365</v>
      </c>
    </row>
    <row r="177" spans="1:41" hidden="1" x14ac:dyDescent="0.35">
      <c r="A177" t="s">
        <v>8366</v>
      </c>
      <c r="B177" t="s">
        <v>7246</v>
      </c>
      <c r="C177" t="s">
        <v>368</v>
      </c>
      <c r="D177" t="s">
        <v>368</v>
      </c>
      <c r="E177" t="s">
        <v>368</v>
      </c>
      <c r="G177" s="13" t="s">
        <v>8367</v>
      </c>
      <c r="H177" t="s">
        <v>8368</v>
      </c>
      <c r="K177" t="s">
        <v>8369</v>
      </c>
      <c r="L177" t="s">
        <v>8369</v>
      </c>
      <c r="M177" t="s">
        <v>7731</v>
      </c>
      <c r="N177">
        <v>2020</v>
      </c>
      <c r="R177">
        <v>340</v>
      </c>
      <c r="S177" t="s">
        <v>7251</v>
      </c>
      <c r="T177">
        <v>3.52</v>
      </c>
      <c r="U177">
        <v>1636.53</v>
      </c>
      <c r="V177">
        <v>120</v>
      </c>
      <c r="W177">
        <v>147.72999999999999</v>
      </c>
      <c r="X177">
        <v>120</v>
      </c>
      <c r="AB177" t="s">
        <v>8370</v>
      </c>
      <c r="AC177" t="s">
        <v>7255</v>
      </c>
      <c r="AE177" t="s">
        <v>989</v>
      </c>
      <c r="AF177" t="s">
        <v>8371</v>
      </c>
      <c r="AH177" t="s">
        <v>989</v>
      </c>
      <c r="AI177" t="s">
        <v>7255</v>
      </c>
      <c r="AO177" t="s">
        <v>8372</v>
      </c>
    </row>
    <row r="178" spans="1:41" hidden="1" x14ac:dyDescent="0.35">
      <c r="A178" t="s">
        <v>8373</v>
      </c>
      <c r="B178" t="s">
        <v>7246</v>
      </c>
      <c r="C178" t="s">
        <v>368</v>
      </c>
      <c r="D178" t="s">
        <v>368</v>
      </c>
      <c r="E178" t="s">
        <v>368</v>
      </c>
      <c r="G178" s="13" t="s">
        <v>8374</v>
      </c>
      <c r="H178" t="s">
        <v>8375</v>
      </c>
      <c r="K178" t="s">
        <v>7320</v>
      </c>
      <c r="L178" t="s">
        <v>7320</v>
      </c>
      <c r="M178" t="s">
        <v>7415</v>
      </c>
      <c r="N178">
        <v>2022</v>
      </c>
      <c r="R178">
        <v>355</v>
      </c>
      <c r="S178" t="s">
        <v>7251</v>
      </c>
      <c r="T178">
        <v>3.67</v>
      </c>
      <c r="U178">
        <v>1708.73</v>
      </c>
      <c r="V178">
        <v>29</v>
      </c>
      <c r="W178">
        <v>51.69</v>
      </c>
      <c r="X178">
        <v>29</v>
      </c>
      <c r="AC178" t="s">
        <v>7255</v>
      </c>
      <c r="AD178" t="s">
        <v>8376</v>
      </c>
      <c r="AE178" t="s">
        <v>989</v>
      </c>
      <c r="AG178" t="s">
        <v>8376</v>
      </c>
      <c r="AH178" t="s">
        <v>989</v>
      </c>
      <c r="AI178" t="s">
        <v>7255</v>
      </c>
      <c r="AO178" t="s">
        <v>8377</v>
      </c>
    </row>
    <row r="179" spans="1:41" hidden="1" x14ac:dyDescent="0.35">
      <c r="A179" t="s">
        <v>8378</v>
      </c>
      <c r="B179" t="s">
        <v>7246</v>
      </c>
      <c r="C179" t="s">
        <v>451</v>
      </c>
      <c r="D179" t="s">
        <v>451</v>
      </c>
      <c r="E179" t="s">
        <v>451</v>
      </c>
      <c r="G179" s="13" t="s">
        <v>8379</v>
      </c>
      <c r="H179" t="s">
        <v>8380</v>
      </c>
      <c r="K179" t="s">
        <v>7320</v>
      </c>
      <c r="L179" t="s">
        <v>7320</v>
      </c>
      <c r="M179" t="s">
        <v>7269</v>
      </c>
      <c r="R179">
        <v>2000</v>
      </c>
      <c r="S179" t="s">
        <v>7251</v>
      </c>
      <c r="T179">
        <v>20.69</v>
      </c>
      <c r="U179">
        <v>9626.67</v>
      </c>
      <c r="V179">
        <v>259.10000000000002</v>
      </c>
      <c r="W179">
        <v>225.11</v>
      </c>
      <c r="X179">
        <v>259.10000000000002</v>
      </c>
      <c r="AB179" t="s">
        <v>7826</v>
      </c>
      <c r="AC179" t="s">
        <v>7255</v>
      </c>
      <c r="AE179" t="s">
        <v>1020</v>
      </c>
      <c r="AF179" t="s">
        <v>8381</v>
      </c>
      <c r="AH179" t="s">
        <v>1020</v>
      </c>
      <c r="AI179" t="s">
        <v>7255</v>
      </c>
      <c r="AO179" t="s">
        <v>8382</v>
      </c>
    </row>
    <row r="180" spans="1:41" hidden="1" x14ac:dyDescent="0.35">
      <c r="A180" t="s">
        <v>8383</v>
      </c>
      <c r="B180" t="s">
        <v>7246</v>
      </c>
      <c r="C180" t="s">
        <v>406</v>
      </c>
      <c r="D180" t="s">
        <v>406</v>
      </c>
      <c r="E180" t="s">
        <v>406</v>
      </c>
      <c r="G180" s="13" t="s">
        <v>8384</v>
      </c>
      <c r="H180" t="s">
        <v>8385</v>
      </c>
      <c r="K180" t="s">
        <v>8386</v>
      </c>
      <c r="L180" t="s">
        <v>8386</v>
      </c>
      <c r="M180" t="s">
        <v>7250</v>
      </c>
      <c r="N180">
        <v>1999</v>
      </c>
      <c r="R180">
        <v>250</v>
      </c>
      <c r="S180" t="s">
        <v>7251</v>
      </c>
      <c r="T180">
        <v>2.59</v>
      </c>
      <c r="U180">
        <v>1203.33</v>
      </c>
      <c r="V180">
        <v>780</v>
      </c>
      <c r="W180">
        <v>715.18</v>
      </c>
      <c r="X180">
        <v>780</v>
      </c>
      <c r="AB180" t="s">
        <v>8387</v>
      </c>
      <c r="AC180" t="s">
        <v>7255</v>
      </c>
      <c r="AE180" t="s">
        <v>8388</v>
      </c>
      <c r="AF180" t="s">
        <v>8389</v>
      </c>
      <c r="AH180" t="s">
        <v>8390</v>
      </c>
      <c r="AI180" t="s">
        <v>7255</v>
      </c>
      <c r="AL180" t="s">
        <v>8391</v>
      </c>
      <c r="AN180" s="13" t="s">
        <v>8392</v>
      </c>
      <c r="AO180" t="s">
        <v>8393</v>
      </c>
    </row>
    <row r="181" spans="1:41" hidden="1" x14ac:dyDescent="0.35">
      <c r="A181" t="s">
        <v>8394</v>
      </c>
      <c r="B181" t="s">
        <v>7246</v>
      </c>
      <c r="C181" t="s">
        <v>451</v>
      </c>
      <c r="D181" t="s">
        <v>451</v>
      </c>
      <c r="E181" t="s">
        <v>451</v>
      </c>
      <c r="G181" s="13" t="s">
        <v>8395</v>
      </c>
      <c r="H181" t="s">
        <v>8396</v>
      </c>
      <c r="K181" t="s">
        <v>8264</v>
      </c>
      <c r="L181" t="s">
        <v>8264</v>
      </c>
      <c r="M181" t="s">
        <v>7250</v>
      </c>
      <c r="T181" t="s">
        <v>6546</v>
      </c>
      <c r="U181" t="s">
        <v>6546</v>
      </c>
      <c r="V181" t="s">
        <v>6546</v>
      </c>
      <c r="W181">
        <v>58.01</v>
      </c>
      <c r="X181">
        <v>58.01</v>
      </c>
      <c r="AC181" t="s">
        <v>7255</v>
      </c>
      <c r="AD181" t="s">
        <v>8397</v>
      </c>
      <c r="AE181" t="s">
        <v>785</v>
      </c>
      <c r="AG181" t="s">
        <v>8398</v>
      </c>
      <c r="AH181" t="s">
        <v>785</v>
      </c>
      <c r="AI181" t="s">
        <v>7255</v>
      </c>
      <c r="AO181" t="s">
        <v>8399</v>
      </c>
    </row>
    <row r="182" spans="1:41" hidden="1" x14ac:dyDescent="0.35">
      <c r="A182" t="s">
        <v>8400</v>
      </c>
      <c r="B182" t="s">
        <v>7246</v>
      </c>
      <c r="C182" t="s">
        <v>451</v>
      </c>
      <c r="D182" t="s">
        <v>451</v>
      </c>
      <c r="E182" t="s">
        <v>451</v>
      </c>
      <c r="G182" s="13" t="s">
        <v>8401</v>
      </c>
      <c r="H182" t="s">
        <v>8402</v>
      </c>
      <c r="K182" t="s">
        <v>8403</v>
      </c>
      <c r="L182" t="s">
        <v>8404</v>
      </c>
      <c r="M182" t="s">
        <v>7250</v>
      </c>
      <c r="N182">
        <v>2020</v>
      </c>
      <c r="R182">
        <v>600</v>
      </c>
      <c r="S182" t="s">
        <v>7251</v>
      </c>
      <c r="T182">
        <v>6.21</v>
      </c>
      <c r="U182">
        <v>2888</v>
      </c>
      <c r="V182">
        <v>112.7</v>
      </c>
      <c r="W182">
        <v>106.68</v>
      </c>
      <c r="X182">
        <v>112.7</v>
      </c>
      <c r="AC182" t="s">
        <v>7255</v>
      </c>
      <c r="AD182" t="s">
        <v>8405</v>
      </c>
      <c r="AE182" t="s">
        <v>891</v>
      </c>
      <c r="AG182" t="s">
        <v>8405</v>
      </c>
      <c r="AH182" t="s">
        <v>891</v>
      </c>
      <c r="AI182" t="s">
        <v>7255</v>
      </c>
      <c r="AO182" t="s">
        <v>8406</v>
      </c>
    </row>
    <row r="183" spans="1:41" hidden="1" x14ac:dyDescent="0.35">
      <c r="A183" t="s">
        <v>8407</v>
      </c>
      <c r="B183" t="s">
        <v>7246</v>
      </c>
      <c r="C183" t="s">
        <v>451</v>
      </c>
      <c r="D183" t="s">
        <v>451</v>
      </c>
      <c r="E183" t="s">
        <v>451</v>
      </c>
      <c r="G183" s="13" t="s">
        <v>8408</v>
      </c>
      <c r="H183" t="s">
        <v>8409</v>
      </c>
      <c r="K183" t="s">
        <v>8410</v>
      </c>
      <c r="L183" t="s">
        <v>8070</v>
      </c>
      <c r="M183" t="s">
        <v>7250</v>
      </c>
      <c r="N183">
        <v>2018</v>
      </c>
      <c r="R183">
        <v>33</v>
      </c>
      <c r="S183" t="s">
        <v>7251</v>
      </c>
      <c r="T183">
        <v>0.34</v>
      </c>
      <c r="U183">
        <v>158.84</v>
      </c>
      <c r="V183">
        <v>60.03</v>
      </c>
      <c r="W183">
        <v>52.01</v>
      </c>
      <c r="X183">
        <v>60.03</v>
      </c>
      <c r="Y183">
        <v>16</v>
      </c>
      <c r="Z183" t="s">
        <v>7253</v>
      </c>
      <c r="AB183" t="s">
        <v>824</v>
      </c>
      <c r="AC183" t="s">
        <v>7255</v>
      </c>
      <c r="AE183" t="s">
        <v>3899</v>
      </c>
      <c r="AG183" t="s">
        <v>8411</v>
      </c>
      <c r="AH183" t="s">
        <v>759</v>
      </c>
      <c r="AI183" t="s">
        <v>7255</v>
      </c>
      <c r="AO183" t="s">
        <v>8412</v>
      </c>
    </row>
    <row r="184" spans="1:41" hidden="1" x14ac:dyDescent="0.35">
      <c r="A184" t="s">
        <v>8413</v>
      </c>
      <c r="B184" t="s">
        <v>7246</v>
      </c>
      <c r="C184" t="s">
        <v>451</v>
      </c>
      <c r="D184" t="s">
        <v>451</v>
      </c>
      <c r="E184" t="s">
        <v>451</v>
      </c>
      <c r="G184" s="13" t="s">
        <v>8414</v>
      </c>
      <c r="H184" t="s">
        <v>8415</v>
      </c>
      <c r="K184" t="s">
        <v>8416</v>
      </c>
      <c r="L184" t="s">
        <v>8416</v>
      </c>
      <c r="M184" t="s">
        <v>7250</v>
      </c>
      <c r="R184">
        <v>180</v>
      </c>
      <c r="S184" t="s">
        <v>7251</v>
      </c>
      <c r="T184">
        <v>1.86</v>
      </c>
      <c r="U184">
        <v>866.4</v>
      </c>
      <c r="V184">
        <v>9012.2999999999993</v>
      </c>
      <c r="W184">
        <v>8239.7999999999993</v>
      </c>
      <c r="X184">
        <v>9012.2999999999993</v>
      </c>
      <c r="AC184" t="s">
        <v>7255</v>
      </c>
      <c r="AE184" t="s">
        <v>486</v>
      </c>
      <c r="AH184" t="s">
        <v>486</v>
      </c>
      <c r="AI184" t="s">
        <v>7255</v>
      </c>
      <c r="AO184" t="s">
        <v>8417</v>
      </c>
    </row>
    <row r="185" spans="1:41" hidden="1" x14ac:dyDescent="0.35">
      <c r="A185" t="s">
        <v>8418</v>
      </c>
      <c r="B185" t="s">
        <v>7246</v>
      </c>
      <c r="C185" t="s">
        <v>451</v>
      </c>
      <c r="D185" t="s">
        <v>451</v>
      </c>
      <c r="E185" t="s">
        <v>451</v>
      </c>
      <c r="G185" s="13" t="s">
        <v>8419</v>
      </c>
      <c r="H185" t="s">
        <v>8420</v>
      </c>
      <c r="K185" t="s">
        <v>8421</v>
      </c>
      <c r="L185" t="s">
        <v>8421</v>
      </c>
      <c r="M185" t="s">
        <v>7250</v>
      </c>
      <c r="N185">
        <v>2018</v>
      </c>
      <c r="R185">
        <v>79</v>
      </c>
      <c r="S185" t="s">
        <v>7251</v>
      </c>
      <c r="T185">
        <v>0.82</v>
      </c>
      <c r="U185">
        <v>380.25</v>
      </c>
      <c r="V185">
        <v>21.2</v>
      </c>
      <c r="W185">
        <v>17.440000000000001</v>
      </c>
      <c r="X185">
        <v>21.2</v>
      </c>
      <c r="Y185">
        <v>12</v>
      </c>
      <c r="Z185" t="s">
        <v>7253</v>
      </c>
      <c r="AB185" t="s">
        <v>8422</v>
      </c>
      <c r="AC185" t="s">
        <v>7255</v>
      </c>
      <c r="AE185" t="s">
        <v>513</v>
      </c>
      <c r="AF185" t="s">
        <v>8423</v>
      </c>
      <c r="AH185" t="s">
        <v>513</v>
      </c>
      <c r="AI185" t="s">
        <v>7255</v>
      </c>
      <c r="AO185" t="s">
        <v>8424</v>
      </c>
    </row>
    <row r="186" spans="1:41" hidden="1" x14ac:dyDescent="0.35">
      <c r="A186" t="s">
        <v>8425</v>
      </c>
      <c r="B186" t="s">
        <v>7246</v>
      </c>
      <c r="C186" t="s">
        <v>451</v>
      </c>
      <c r="D186" t="s">
        <v>451</v>
      </c>
      <c r="E186" t="s">
        <v>451</v>
      </c>
      <c r="G186" s="13" t="s">
        <v>8426</v>
      </c>
      <c r="H186" t="s">
        <v>8427</v>
      </c>
      <c r="K186" t="s">
        <v>8428</v>
      </c>
      <c r="L186" t="s">
        <v>8429</v>
      </c>
      <c r="M186" t="s">
        <v>7269</v>
      </c>
      <c r="R186">
        <v>225</v>
      </c>
      <c r="S186" t="s">
        <v>7251</v>
      </c>
      <c r="T186">
        <v>2.33</v>
      </c>
      <c r="U186">
        <v>1083</v>
      </c>
      <c r="V186">
        <v>10</v>
      </c>
      <c r="W186">
        <v>14.43</v>
      </c>
      <c r="X186">
        <v>10</v>
      </c>
      <c r="AC186" t="s">
        <v>7255</v>
      </c>
      <c r="AD186" t="s">
        <v>8430</v>
      </c>
      <c r="AE186" t="s">
        <v>812</v>
      </c>
      <c r="AG186" t="s">
        <v>8430</v>
      </c>
      <c r="AH186" t="s">
        <v>812</v>
      </c>
      <c r="AI186" t="s">
        <v>7255</v>
      </c>
      <c r="AO186" t="s">
        <v>8431</v>
      </c>
    </row>
    <row r="187" spans="1:41" hidden="1" x14ac:dyDescent="0.35">
      <c r="A187" t="s">
        <v>8432</v>
      </c>
      <c r="B187" t="s">
        <v>7246</v>
      </c>
      <c r="C187" t="s">
        <v>451</v>
      </c>
      <c r="D187" t="s">
        <v>451</v>
      </c>
      <c r="E187" t="s">
        <v>451</v>
      </c>
      <c r="G187" s="13" t="s">
        <v>8433</v>
      </c>
      <c r="H187" t="s">
        <v>8434</v>
      </c>
      <c r="K187" t="s">
        <v>8079</v>
      </c>
      <c r="L187" t="s">
        <v>8079</v>
      </c>
      <c r="M187" t="s">
        <v>7250</v>
      </c>
      <c r="N187">
        <v>2018</v>
      </c>
      <c r="O187">
        <v>2018</v>
      </c>
      <c r="R187">
        <v>2250</v>
      </c>
      <c r="S187" t="s">
        <v>7251</v>
      </c>
      <c r="T187">
        <v>23.27</v>
      </c>
      <c r="U187">
        <v>10830</v>
      </c>
      <c r="V187">
        <v>37</v>
      </c>
      <c r="W187">
        <v>28.41</v>
      </c>
      <c r="X187">
        <v>37</v>
      </c>
      <c r="Y187">
        <v>48</v>
      </c>
      <c r="Z187" t="s">
        <v>7253</v>
      </c>
      <c r="AB187" t="s">
        <v>6367</v>
      </c>
      <c r="AC187" t="s">
        <v>7255</v>
      </c>
      <c r="AE187" t="s">
        <v>486</v>
      </c>
      <c r="AF187" t="s">
        <v>517</v>
      </c>
      <c r="AH187" t="s">
        <v>486</v>
      </c>
      <c r="AI187" t="s">
        <v>7255</v>
      </c>
      <c r="AO187" t="s">
        <v>8435</v>
      </c>
    </row>
    <row r="188" spans="1:41" hidden="1" x14ac:dyDescent="0.35">
      <c r="A188" t="s">
        <v>8436</v>
      </c>
      <c r="B188" t="s">
        <v>7246</v>
      </c>
      <c r="C188" t="s">
        <v>451</v>
      </c>
      <c r="D188" t="s">
        <v>451</v>
      </c>
      <c r="E188" t="s">
        <v>451</v>
      </c>
      <c r="G188" s="13" t="s">
        <v>8437</v>
      </c>
      <c r="H188" t="s">
        <v>8438</v>
      </c>
      <c r="K188" t="s">
        <v>7320</v>
      </c>
      <c r="L188" t="s">
        <v>7320</v>
      </c>
      <c r="M188" t="s">
        <v>7731</v>
      </c>
      <c r="N188">
        <v>2019</v>
      </c>
      <c r="T188" t="s">
        <v>6546</v>
      </c>
      <c r="U188" t="s">
        <v>6546</v>
      </c>
      <c r="V188">
        <v>33.5</v>
      </c>
      <c r="W188">
        <v>48.39</v>
      </c>
      <c r="X188">
        <v>33.5</v>
      </c>
      <c r="AC188" t="s">
        <v>7255</v>
      </c>
      <c r="AD188" t="s">
        <v>8439</v>
      </c>
      <c r="AE188" t="s">
        <v>533</v>
      </c>
      <c r="AG188" t="s">
        <v>8397</v>
      </c>
      <c r="AH188" t="s">
        <v>533</v>
      </c>
      <c r="AI188" t="s">
        <v>7255</v>
      </c>
      <c r="AO188" t="s">
        <v>8440</v>
      </c>
    </row>
    <row r="189" spans="1:41" hidden="1" x14ac:dyDescent="0.35">
      <c r="A189" t="s">
        <v>8441</v>
      </c>
      <c r="B189" t="s">
        <v>7246</v>
      </c>
      <c r="C189" t="s">
        <v>451</v>
      </c>
      <c r="D189" t="s">
        <v>451</v>
      </c>
      <c r="E189" t="s">
        <v>451</v>
      </c>
      <c r="G189" s="13" t="s">
        <v>8442</v>
      </c>
      <c r="H189" t="s">
        <v>8443</v>
      </c>
      <c r="K189" t="s">
        <v>8444</v>
      </c>
      <c r="L189" t="s">
        <v>8444</v>
      </c>
      <c r="M189" t="s">
        <v>7250</v>
      </c>
      <c r="N189">
        <v>2020</v>
      </c>
      <c r="T189" t="s">
        <v>6546</v>
      </c>
      <c r="U189" t="s">
        <v>6546</v>
      </c>
      <c r="V189">
        <v>151.30000000000001</v>
      </c>
      <c r="W189">
        <v>149.05000000000001</v>
      </c>
      <c r="X189">
        <v>151.30000000000001</v>
      </c>
      <c r="AC189" t="s">
        <v>7255</v>
      </c>
      <c r="AD189" t="s">
        <v>8445</v>
      </c>
      <c r="AE189" t="s">
        <v>556</v>
      </c>
      <c r="AG189" t="s">
        <v>8446</v>
      </c>
      <c r="AH189" t="s">
        <v>556</v>
      </c>
      <c r="AI189" t="s">
        <v>7255</v>
      </c>
      <c r="AO189" t="s">
        <v>8447</v>
      </c>
    </row>
    <row r="190" spans="1:41" hidden="1" x14ac:dyDescent="0.35">
      <c r="A190" t="s">
        <v>8448</v>
      </c>
      <c r="B190" t="s">
        <v>7246</v>
      </c>
      <c r="C190" t="s">
        <v>451</v>
      </c>
      <c r="D190" t="s">
        <v>451</v>
      </c>
      <c r="E190" t="s">
        <v>451</v>
      </c>
      <c r="G190" s="13" t="s">
        <v>8449</v>
      </c>
      <c r="H190" t="s">
        <v>8450</v>
      </c>
      <c r="K190" t="s">
        <v>7385</v>
      </c>
      <c r="L190" t="s">
        <v>7385</v>
      </c>
      <c r="M190" t="s">
        <v>7269</v>
      </c>
      <c r="N190">
        <v>2019</v>
      </c>
      <c r="R190">
        <v>228</v>
      </c>
      <c r="S190" t="s">
        <v>7251</v>
      </c>
      <c r="T190">
        <v>2.36</v>
      </c>
      <c r="U190">
        <v>1097.44</v>
      </c>
      <c r="V190">
        <v>109</v>
      </c>
      <c r="W190">
        <v>129.66</v>
      </c>
      <c r="X190">
        <v>109</v>
      </c>
      <c r="AC190" t="s">
        <v>7255</v>
      </c>
      <c r="AE190" t="s">
        <v>812</v>
      </c>
      <c r="AF190" t="s">
        <v>8451</v>
      </c>
      <c r="AH190" t="s">
        <v>812</v>
      </c>
      <c r="AI190" t="s">
        <v>7255</v>
      </c>
      <c r="AO190" t="s">
        <v>8452</v>
      </c>
    </row>
    <row r="191" spans="1:41" hidden="1" x14ac:dyDescent="0.35">
      <c r="A191" t="s">
        <v>8453</v>
      </c>
      <c r="B191" t="s">
        <v>7246</v>
      </c>
      <c r="C191" t="s">
        <v>451</v>
      </c>
      <c r="D191" t="s">
        <v>451</v>
      </c>
      <c r="E191" t="s">
        <v>451</v>
      </c>
      <c r="G191" s="13" t="s">
        <v>8454</v>
      </c>
      <c r="H191" t="s">
        <v>8455</v>
      </c>
      <c r="K191" t="s">
        <v>7380</v>
      </c>
      <c r="L191" t="s">
        <v>7380</v>
      </c>
      <c r="M191" t="s">
        <v>7250</v>
      </c>
      <c r="N191">
        <v>2018</v>
      </c>
      <c r="R191">
        <v>440</v>
      </c>
      <c r="S191" t="s">
        <v>7251</v>
      </c>
      <c r="T191">
        <v>4.55</v>
      </c>
      <c r="U191">
        <v>2117.87</v>
      </c>
      <c r="V191">
        <v>193</v>
      </c>
      <c r="W191">
        <v>134.47</v>
      </c>
      <c r="X191">
        <v>193</v>
      </c>
      <c r="Y191" t="s">
        <v>8456</v>
      </c>
      <c r="Z191" t="s">
        <v>7253</v>
      </c>
      <c r="AC191" t="s">
        <v>7255</v>
      </c>
      <c r="AD191" t="s">
        <v>8457</v>
      </c>
      <c r="AE191" t="s">
        <v>513</v>
      </c>
      <c r="AF191" t="s">
        <v>8458</v>
      </c>
      <c r="AH191" t="s">
        <v>513</v>
      </c>
      <c r="AI191" t="s">
        <v>7255</v>
      </c>
      <c r="AO191" t="s">
        <v>8459</v>
      </c>
    </row>
    <row r="192" spans="1:41" hidden="1" x14ac:dyDescent="0.35">
      <c r="A192" t="s">
        <v>8460</v>
      </c>
      <c r="B192" t="s">
        <v>7246</v>
      </c>
      <c r="C192" t="s">
        <v>451</v>
      </c>
      <c r="D192" t="s">
        <v>451</v>
      </c>
      <c r="E192" t="s">
        <v>451</v>
      </c>
      <c r="G192" s="13" t="s">
        <v>8461</v>
      </c>
      <c r="H192" t="s">
        <v>8462</v>
      </c>
      <c r="J192" t="s">
        <v>8463</v>
      </c>
      <c r="K192" t="s">
        <v>8464</v>
      </c>
      <c r="L192" t="s">
        <v>8465</v>
      </c>
      <c r="M192" t="s">
        <v>7250</v>
      </c>
      <c r="N192">
        <v>2019</v>
      </c>
      <c r="R192">
        <v>1980</v>
      </c>
      <c r="S192" t="s">
        <v>7251</v>
      </c>
      <c r="T192">
        <v>20.48</v>
      </c>
      <c r="U192">
        <v>9530.4</v>
      </c>
      <c r="V192">
        <v>800.6</v>
      </c>
      <c r="W192">
        <v>722.55</v>
      </c>
      <c r="X192">
        <v>800.6</v>
      </c>
      <c r="Y192" t="s">
        <v>7691</v>
      </c>
      <c r="Z192" t="s">
        <v>7253</v>
      </c>
      <c r="AA192" t="s">
        <v>8102</v>
      </c>
      <c r="AB192" t="s">
        <v>8466</v>
      </c>
      <c r="AC192" t="s">
        <v>7255</v>
      </c>
      <c r="AE192" t="s">
        <v>486</v>
      </c>
      <c r="AF192" t="s">
        <v>8042</v>
      </c>
      <c r="AH192" t="s">
        <v>486</v>
      </c>
      <c r="AI192" t="s">
        <v>7255</v>
      </c>
      <c r="AO192" t="s">
        <v>8467</v>
      </c>
    </row>
    <row r="193" spans="1:41" hidden="1" x14ac:dyDescent="0.35">
      <c r="A193" t="s">
        <v>8468</v>
      </c>
      <c r="B193" t="s">
        <v>7246</v>
      </c>
      <c r="C193" t="s">
        <v>451</v>
      </c>
      <c r="D193" t="s">
        <v>451</v>
      </c>
      <c r="E193" t="s">
        <v>451</v>
      </c>
      <c r="G193" s="13" t="s">
        <v>8469</v>
      </c>
      <c r="H193" t="s">
        <v>8470</v>
      </c>
      <c r="K193" t="s">
        <v>8471</v>
      </c>
      <c r="L193" t="s">
        <v>8471</v>
      </c>
      <c r="M193" t="s">
        <v>7269</v>
      </c>
      <c r="N193">
        <v>2019</v>
      </c>
      <c r="T193" t="s">
        <v>6546</v>
      </c>
      <c r="U193" t="s">
        <v>6546</v>
      </c>
      <c r="V193">
        <v>64.400000000000006</v>
      </c>
      <c r="W193">
        <v>39.520000000000003</v>
      </c>
      <c r="X193">
        <v>64.400000000000006</v>
      </c>
      <c r="AB193" t="s">
        <v>8472</v>
      </c>
      <c r="AC193" t="s">
        <v>7255</v>
      </c>
      <c r="AE193" t="s">
        <v>486</v>
      </c>
      <c r="AF193" t="s">
        <v>492</v>
      </c>
      <c r="AH193" t="s">
        <v>8473</v>
      </c>
      <c r="AI193" t="s">
        <v>7255</v>
      </c>
      <c r="AO193" t="s">
        <v>8474</v>
      </c>
    </row>
    <row r="194" spans="1:41" hidden="1" x14ac:dyDescent="0.35">
      <c r="A194" t="s">
        <v>8475</v>
      </c>
      <c r="B194" t="s">
        <v>7246</v>
      </c>
      <c r="C194" t="s">
        <v>451</v>
      </c>
      <c r="D194" t="s">
        <v>406</v>
      </c>
      <c r="E194" t="s">
        <v>7701</v>
      </c>
      <c r="G194" s="13" t="s">
        <v>8476</v>
      </c>
      <c r="H194" t="s">
        <v>8477</v>
      </c>
      <c r="K194" t="s">
        <v>8478</v>
      </c>
      <c r="L194" t="s">
        <v>8478</v>
      </c>
      <c r="M194" t="s">
        <v>7292</v>
      </c>
      <c r="R194">
        <v>366</v>
      </c>
      <c r="S194" t="s">
        <v>7251</v>
      </c>
      <c r="T194">
        <v>3.79</v>
      </c>
      <c r="U194">
        <v>1761.68</v>
      </c>
      <c r="V194">
        <v>547.20000000000005</v>
      </c>
      <c r="W194">
        <v>506.38</v>
      </c>
      <c r="X194">
        <v>547.20000000000005</v>
      </c>
      <c r="AB194" t="s">
        <v>8479</v>
      </c>
      <c r="AC194" t="s">
        <v>7255</v>
      </c>
      <c r="AE194" t="s">
        <v>837</v>
      </c>
      <c r="AF194" t="s">
        <v>8480</v>
      </c>
      <c r="AH194" t="s">
        <v>8481</v>
      </c>
      <c r="AI194" t="s">
        <v>7255</v>
      </c>
      <c r="AL194" t="s">
        <v>8482</v>
      </c>
      <c r="AN194" s="13" t="s">
        <v>8483</v>
      </c>
      <c r="AO194" t="s">
        <v>8484</v>
      </c>
    </row>
    <row r="195" spans="1:41" hidden="1" x14ac:dyDescent="0.35">
      <c r="A195" t="s">
        <v>8485</v>
      </c>
      <c r="B195" t="s">
        <v>7246</v>
      </c>
      <c r="C195" t="s">
        <v>451</v>
      </c>
      <c r="D195" t="s">
        <v>451</v>
      </c>
      <c r="E195" t="s">
        <v>451</v>
      </c>
      <c r="G195" s="13" t="s">
        <v>8486</v>
      </c>
      <c r="H195" t="s">
        <v>8487</v>
      </c>
      <c r="K195" t="s">
        <v>7268</v>
      </c>
      <c r="L195" t="s">
        <v>7268</v>
      </c>
      <c r="M195" t="s">
        <v>7250</v>
      </c>
      <c r="N195">
        <v>2019</v>
      </c>
      <c r="R195">
        <v>400</v>
      </c>
      <c r="S195" t="s">
        <v>7251</v>
      </c>
      <c r="T195">
        <v>4.1399999999999997</v>
      </c>
      <c r="U195">
        <v>1925.33</v>
      </c>
      <c r="V195">
        <v>22.5</v>
      </c>
      <c r="W195">
        <v>20.99</v>
      </c>
      <c r="X195">
        <v>22.5</v>
      </c>
      <c r="Y195">
        <v>30</v>
      </c>
      <c r="Z195" t="s">
        <v>7253</v>
      </c>
      <c r="AC195" t="s">
        <v>7255</v>
      </c>
      <c r="AD195" t="s">
        <v>7759</v>
      </c>
      <c r="AE195" t="s">
        <v>486</v>
      </c>
      <c r="AG195" t="s">
        <v>7759</v>
      </c>
      <c r="AH195" t="s">
        <v>486</v>
      </c>
      <c r="AI195" t="s">
        <v>7255</v>
      </c>
      <c r="AO195" t="s">
        <v>8488</v>
      </c>
    </row>
    <row r="196" spans="1:41" hidden="1" x14ac:dyDescent="0.35">
      <c r="A196" t="s">
        <v>8489</v>
      </c>
      <c r="B196" t="s">
        <v>7246</v>
      </c>
      <c r="C196" t="s">
        <v>451</v>
      </c>
      <c r="D196" t="s">
        <v>451</v>
      </c>
      <c r="E196" t="s">
        <v>451</v>
      </c>
      <c r="G196" s="13" t="s">
        <v>8490</v>
      </c>
      <c r="H196" t="s">
        <v>8491</v>
      </c>
      <c r="K196" t="s">
        <v>8492</v>
      </c>
      <c r="L196" t="s">
        <v>8492</v>
      </c>
      <c r="M196" t="s">
        <v>7250</v>
      </c>
      <c r="T196" t="s">
        <v>6546</v>
      </c>
      <c r="U196" t="s">
        <v>6546</v>
      </c>
      <c r="V196" t="s">
        <v>6546</v>
      </c>
      <c r="W196">
        <v>81.739999999999995</v>
      </c>
      <c r="X196">
        <v>81.739999999999995</v>
      </c>
      <c r="AC196" t="s">
        <v>7255</v>
      </c>
      <c r="AD196" t="s">
        <v>8405</v>
      </c>
      <c r="AE196" t="s">
        <v>891</v>
      </c>
      <c r="AG196" t="s">
        <v>8405</v>
      </c>
      <c r="AH196" t="s">
        <v>891</v>
      </c>
      <c r="AI196" t="s">
        <v>7255</v>
      </c>
      <c r="AO196" t="s">
        <v>8493</v>
      </c>
    </row>
    <row r="197" spans="1:41" hidden="1" x14ac:dyDescent="0.35">
      <c r="A197" t="s">
        <v>8494</v>
      </c>
      <c r="B197" t="s">
        <v>7246</v>
      </c>
      <c r="C197" t="s">
        <v>451</v>
      </c>
      <c r="D197" t="s">
        <v>451</v>
      </c>
      <c r="E197" t="s">
        <v>451</v>
      </c>
      <c r="G197" s="13" t="s">
        <v>8495</v>
      </c>
      <c r="H197" t="s">
        <v>8496</v>
      </c>
      <c r="K197" t="s">
        <v>7320</v>
      </c>
      <c r="L197" t="s">
        <v>7320</v>
      </c>
      <c r="M197" t="s">
        <v>7250</v>
      </c>
      <c r="N197">
        <v>2019</v>
      </c>
      <c r="R197">
        <v>875</v>
      </c>
      <c r="S197" t="s">
        <v>7251</v>
      </c>
      <c r="T197">
        <v>9.0500000000000007</v>
      </c>
      <c r="U197">
        <v>4211.67</v>
      </c>
      <c r="V197">
        <v>0</v>
      </c>
      <c r="W197" t="s">
        <v>6546</v>
      </c>
      <c r="X197">
        <v>0</v>
      </c>
      <c r="AC197" t="s">
        <v>7255</v>
      </c>
      <c r="AD197" t="s">
        <v>8497</v>
      </c>
      <c r="AE197" t="s">
        <v>634</v>
      </c>
      <c r="AH197" t="s">
        <v>799</v>
      </c>
      <c r="AI197" t="s">
        <v>7255</v>
      </c>
      <c r="AO197" t="s">
        <v>6546</v>
      </c>
    </row>
    <row r="198" spans="1:41" hidden="1" x14ac:dyDescent="0.35">
      <c r="A198" t="s">
        <v>8498</v>
      </c>
      <c r="B198" t="s">
        <v>7246</v>
      </c>
      <c r="C198" t="s">
        <v>451</v>
      </c>
      <c r="D198" t="s">
        <v>451</v>
      </c>
      <c r="E198" t="s">
        <v>451</v>
      </c>
      <c r="G198" s="13" t="s">
        <v>8499</v>
      </c>
      <c r="H198" t="s">
        <v>8500</v>
      </c>
      <c r="I198" t="s">
        <v>8099</v>
      </c>
      <c r="K198" t="s">
        <v>7380</v>
      </c>
      <c r="L198" t="s">
        <v>7380</v>
      </c>
      <c r="M198" t="s">
        <v>7250</v>
      </c>
      <c r="N198">
        <v>2017</v>
      </c>
      <c r="R198">
        <v>1700</v>
      </c>
      <c r="S198" t="s">
        <v>7251</v>
      </c>
      <c r="T198">
        <v>17.579999999999998</v>
      </c>
      <c r="U198">
        <v>8182.67</v>
      </c>
      <c r="V198">
        <v>1144.2</v>
      </c>
      <c r="W198">
        <v>925.47</v>
      </c>
      <c r="X198">
        <v>1144.2</v>
      </c>
      <c r="Y198">
        <v>48</v>
      </c>
      <c r="Z198" t="s">
        <v>7253</v>
      </c>
      <c r="AC198" t="s">
        <v>7255</v>
      </c>
      <c r="AE198" t="s">
        <v>533</v>
      </c>
      <c r="AH198" t="s">
        <v>556</v>
      </c>
      <c r="AI198" t="s">
        <v>7255</v>
      </c>
      <c r="AO198" t="s">
        <v>8501</v>
      </c>
    </row>
    <row r="199" spans="1:41" hidden="1" x14ac:dyDescent="0.35">
      <c r="A199" t="s">
        <v>8502</v>
      </c>
      <c r="B199" t="s">
        <v>7246</v>
      </c>
      <c r="C199" t="s">
        <v>451</v>
      </c>
      <c r="D199" t="s">
        <v>451</v>
      </c>
      <c r="E199" t="s">
        <v>451</v>
      </c>
      <c r="G199" s="13" t="s">
        <v>8503</v>
      </c>
      <c r="H199" t="s">
        <v>8504</v>
      </c>
      <c r="K199" t="s">
        <v>8505</v>
      </c>
      <c r="L199" t="s">
        <v>8506</v>
      </c>
      <c r="M199" t="s">
        <v>7250</v>
      </c>
      <c r="N199">
        <v>2017</v>
      </c>
      <c r="R199">
        <v>1135</v>
      </c>
      <c r="S199" t="s">
        <v>7251</v>
      </c>
      <c r="T199">
        <v>11.74</v>
      </c>
      <c r="U199">
        <v>5463.13</v>
      </c>
      <c r="V199">
        <v>290</v>
      </c>
      <c r="W199">
        <v>310.02999999999997</v>
      </c>
      <c r="X199">
        <v>290</v>
      </c>
      <c r="AA199" t="s">
        <v>8507</v>
      </c>
      <c r="AC199" t="s">
        <v>7255</v>
      </c>
      <c r="AE199" t="s">
        <v>486</v>
      </c>
      <c r="AF199" t="s">
        <v>8103</v>
      </c>
      <c r="AH199" t="s">
        <v>486</v>
      </c>
      <c r="AI199" t="s">
        <v>7255</v>
      </c>
      <c r="AO199" t="s">
        <v>8508</v>
      </c>
    </row>
    <row r="200" spans="1:41" hidden="1" x14ac:dyDescent="0.35">
      <c r="A200" t="s">
        <v>8509</v>
      </c>
      <c r="B200" t="s">
        <v>7246</v>
      </c>
      <c r="C200" t="s">
        <v>451</v>
      </c>
      <c r="D200" t="s">
        <v>406</v>
      </c>
      <c r="E200" t="s">
        <v>7701</v>
      </c>
      <c r="G200" s="13" t="s">
        <v>8510</v>
      </c>
      <c r="H200" t="s">
        <v>8511</v>
      </c>
      <c r="K200" t="s">
        <v>7845</v>
      </c>
      <c r="L200" t="s">
        <v>7845</v>
      </c>
      <c r="M200" t="s">
        <v>7250</v>
      </c>
      <c r="N200">
        <v>2017</v>
      </c>
      <c r="R200">
        <v>130</v>
      </c>
      <c r="S200" t="s">
        <v>7251</v>
      </c>
      <c r="T200">
        <v>1.34</v>
      </c>
      <c r="U200">
        <v>625.73</v>
      </c>
      <c r="V200">
        <v>160</v>
      </c>
      <c r="W200">
        <v>130.09</v>
      </c>
      <c r="X200">
        <v>160</v>
      </c>
      <c r="AB200" t="s">
        <v>7773</v>
      </c>
      <c r="AC200" t="s">
        <v>7255</v>
      </c>
      <c r="AE200" t="s">
        <v>976</v>
      </c>
      <c r="AF200" t="s">
        <v>8512</v>
      </c>
      <c r="AH200" t="s">
        <v>8513</v>
      </c>
      <c r="AI200" t="s">
        <v>7255</v>
      </c>
      <c r="AL200" t="s">
        <v>8514</v>
      </c>
      <c r="AN200" s="13" t="s">
        <v>8515</v>
      </c>
      <c r="AO200" t="s">
        <v>8516</v>
      </c>
    </row>
    <row r="201" spans="1:41" hidden="1" x14ac:dyDescent="0.35">
      <c r="A201" t="s">
        <v>8517</v>
      </c>
      <c r="B201" t="s">
        <v>7246</v>
      </c>
      <c r="C201" t="s">
        <v>5430</v>
      </c>
      <c r="D201" t="s">
        <v>5430</v>
      </c>
      <c r="E201" t="s">
        <v>5430</v>
      </c>
      <c r="G201" s="13" t="s">
        <v>8518</v>
      </c>
      <c r="H201" t="s">
        <v>8519</v>
      </c>
      <c r="K201" t="s">
        <v>8520</v>
      </c>
      <c r="L201" t="s">
        <v>8520</v>
      </c>
      <c r="M201" t="s">
        <v>7250</v>
      </c>
      <c r="N201">
        <v>2019</v>
      </c>
      <c r="R201">
        <v>600</v>
      </c>
      <c r="S201" t="s">
        <v>7251</v>
      </c>
      <c r="T201">
        <v>6.21</v>
      </c>
      <c r="U201">
        <v>2888</v>
      </c>
      <c r="V201">
        <v>21</v>
      </c>
      <c r="W201">
        <v>17.45</v>
      </c>
      <c r="X201">
        <v>21</v>
      </c>
      <c r="Y201">
        <v>26</v>
      </c>
      <c r="Z201" t="s">
        <v>7253</v>
      </c>
      <c r="AA201" t="s">
        <v>8521</v>
      </c>
      <c r="AB201" t="s">
        <v>8522</v>
      </c>
      <c r="AC201" t="s">
        <v>8523</v>
      </c>
      <c r="AI201" t="s">
        <v>8523</v>
      </c>
      <c r="AL201" t="s">
        <v>8524</v>
      </c>
      <c r="AN201" s="13" t="s">
        <v>8525</v>
      </c>
      <c r="AO201" t="s">
        <v>8526</v>
      </c>
    </row>
    <row r="202" spans="1:41" hidden="1" x14ac:dyDescent="0.35">
      <c r="A202" t="s">
        <v>8527</v>
      </c>
      <c r="B202" t="s">
        <v>7246</v>
      </c>
      <c r="C202" t="s">
        <v>406</v>
      </c>
      <c r="D202" t="s">
        <v>406</v>
      </c>
      <c r="E202" t="s">
        <v>406</v>
      </c>
      <c r="G202" s="13" t="s">
        <v>8528</v>
      </c>
      <c r="H202" t="s">
        <v>8529</v>
      </c>
      <c r="K202" t="s">
        <v>8530</v>
      </c>
      <c r="L202" t="s">
        <v>8530</v>
      </c>
      <c r="M202" t="s">
        <v>7250</v>
      </c>
      <c r="N202">
        <v>2018</v>
      </c>
      <c r="R202">
        <v>1500</v>
      </c>
      <c r="S202" t="s">
        <v>7251</v>
      </c>
      <c r="T202">
        <v>15.51</v>
      </c>
      <c r="U202">
        <v>7220</v>
      </c>
      <c r="V202">
        <v>414</v>
      </c>
      <c r="W202">
        <v>410.12</v>
      </c>
      <c r="X202">
        <v>414</v>
      </c>
      <c r="Y202">
        <v>42</v>
      </c>
      <c r="Z202" t="s">
        <v>7253</v>
      </c>
      <c r="AB202" t="s">
        <v>8531</v>
      </c>
      <c r="AC202" t="s">
        <v>7255</v>
      </c>
      <c r="AD202" t="s">
        <v>8481</v>
      </c>
      <c r="AE202" t="s">
        <v>8481</v>
      </c>
      <c r="AF202" t="s">
        <v>8532</v>
      </c>
      <c r="AG202" t="s">
        <v>8533</v>
      </c>
      <c r="AH202" t="s">
        <v>8534</v>
      </c>
      <c r="AI202" t="s">
        <v>7255</v>
      </c>
      <c r="AL202" t="s">
        <v>8535</v>
      </c>
      <c r="AN202" s="13" t="s">
        <v>8536</v>
      </c>
      <c r="AO202" t="s">
        <v>8537</v>
      </c>
    </row>
    <row r="203" spans="1:41" hidden="1" x14ac:dyDescent="0.35">
      <c r="A203" t="s">
        <v>8538</v>
      </c>
      <c r="B203" t="s">
        <v>7246</v>
      </c>
      <c r="C203" t="s">
        <v>351</v>
      </c>
      <c r="D203" t="s">
        <v>351</v>
      </c>
      <c r="E203" t="s">
        <v>351</v>
      </c>
      <c r="G203" s="13" t="s">
        <v>8539</v>
      </c>
      <c r="H203" t="s">
        <v>8540</v>
      </c>
      <c r="J203" t="s">
        <v>3981</v>
      </c>
      <c r="K203" t="s">
        <v>8541</v>
      </c>
      <c r="L203" t="s">
        <v>8542</v>
      </c>
      <c r="M203" t="s">
        <v>7250</v>
      </c>
      <c r="N203">
        <v>2004</v>
      </c>
      <c r="R203">
        <v>1.68</v>
      </c>
      <c r="S203" t="s">
        <v>8257</v>
      </c>
      <c r="T203">
        <v>1.68</v>
      </c>
      <c r="U203">
        <v>781.38</v>
      </c>
      <c r="V203">
        <v>680</v>
      </c>
      <c r="W203">
        <v>397.03</v>
      </c>
      <c r="X203">
        <v>680</v>
      </c>
      <c r="AB203" t="s">
        <v>8543</v>
      </c>
      <c r="AC203" t="s">
        <v>8523</v>
      </c>
      <c r="AE203" t="s">
        <v>3137</v>
      </c>
      <c r="AF203" t="s">
        <v>8544</v>
      </c>
      <c r="AH203" t="s">
        <v>3137</v>
      </c>
      <c r="AI203" t="s">
        <v>8523</v>
      </c>
      <c r="AL203" t="s">
        <v>8545</v>
      </c>
      <c r="AN203" s="13" t="s">
        <v>8546</v>
      </c>
      <c r="AO203" t="s">
        <v>8547</v>
      </c>
    </row>
    <row r="204" spans="1:41" hidden="1" x14ac:dyDescent="0.35">
      <c r="A204" t="s">
        <v>8548</v>
      </c>
      <c r="B204" t="s">
        <v>7246</v>
      </c>
      <c r="C204" t="s">
        <v>406</v>
      </c>
      <c r="D204" t="s">
        <v>406</v>
      </c>
      <c r="E204" t="s">
        <v>406</v>
      </c>
      <c r="G204" s="13" t="s">
        <v>8549</v>
      </c>
      <c r="H204" t="s">
        <v>8550</v>
      </c>
      <c r="J204" t="s">
        <v>8551</v>
      </c>
      <c r="K204" t="s">
        <v>8552</v>
      </c>
      <c r="L204" t="s">
        <v>8552</v>
      </c>
      <c r="M204" t="s">
        <v>7292</v>
      </c>
      <c r="N204">
        <v>2023</v>
      </c>
      <c r="R204">
        <v>500</v>
      </c>
      <c r="S204" t="s">
        <v>7251</v>
      </c>
      <c r="T204">
        <v>5.17</v>
      </c>
      <c r="U204">
        <v>2406.67</v>
      </c>
      <c r="V204">
        <v>270</v>
      </c>
      <c r="W204">
        <v>287.67</v>
      </c>
      <c r="X204">
        <v>270</v>
      </c>
      <c r="Y204">
        <v>36</v>
      </c>
      <c r="Z204" t="s">
        <v>7253</v>
      </c>
      <c r="AB204" t="s">
        <v>8553</v>
      </c>
      <c r="AC204" t="s">
        <v>7255</v>
      </c>
      <c r="AE204" t="s">
        <v>6236</v>
      </c>
      <c r="AF204" t="s">
        <v>4011</v>
      </c>
      <c r="AH204" t="s">
        <v>8554</v>
      </c>
      <c r="AI204" t="s">
        <v>7255</v>
      </c>
      <c r="AL204" t="s">
        <v>8555</v>
      </c>
      <c r="AN204" s="13" t="s">
        <v>8556</v>
      </c>
      <c r="AO204" t="s">
        <v>8557</v>
      </c>
    </row>
    <row r="205" spans="1:41" hidden="1" x14ac:dyDescent="0.35">
      <c r="A205" t="s">
        <v>8558</v>
      </c>
      <c r="B205" t="s">
        <v>7246</v>
      </c>
      <c r="C205" t="s">
        <v>406</v>
      </c>
      <c r="D205" t="s">
        <v>406</v>
      </c>
      <c r="E205" t="s">
        <v>406</v>
      </c>
      <c r="G205" s="13" t="s">
        <v>8559</v>
      </c>
      <c r="H205" t="s">
        <v>8560</v>
      </c>
      <c r="K205" t="s">
        <v>8552</v>
      </c>
      <c r="L205" t="s">
        <v>8552</v>
      </c>
      <c r="M205" t="s">
        <v>7250</v>
      </c>
      <c r="N205">
        <v>2014</v>
      </c>
      <c r="R205">
        <v>90</v>
      </c>
      <c r="S205" t="s">
        <v>7251</v>
      </c>
      <c r="T205">
        <v>0.93</v>
      </c>
      <c r="U205">
        <v>433.2</v>
      </c>
      <c r="V205">
        <v>247</v>
      </c>
      <c r="W205">
        <v>248.02</v>
      </c>
      <c r="X205">
        <v>247</v>
      </c>
      <c r="Y205">
        <v>12</v>
      </c>
      <c r="Z205" t="s">
        <v>7253</v>
      </c>
      <c r="AB205" t="s">
        <v>8561</v>
      </c>
      <c r="AC205" t="s">
        <v>7255</v>
      </c>
      <c r="AE205" t="s">
        <v>6236</v>
      </c>
      <c r="AF205" t="s">
        <v>4011</v>
      </c>
      <c r="AH205" t="s">
        <v>8554</v>
      </c>
      <c r="AI205" t="s">
        <v>7255</v>
      </c>
      <c r="AL205" t="s">
        <v>8562</v>
      </c>
      <c r="AN205" s="13" t="s">
        <v>8563</v>
      </c>
      <c r="AO205" t="s">
        <v>8564</v>
      </c>
    </row>
    <row r="206" spans="1:41" hidden="1" x14ac:dyDescent="0.35">
      <c r="A206" t="s">
        <v>8565</v>
      </c>
      <c r="B206" t="s">
        <v>7246</v>
      </c>
      <c r="C206" t="s">
        <v>8566</v>
      </c>
      <c r="D206" t="s">
        <v>351</v>
      </c>
      <c r="E206" t="s">
        <v>8567</v>
      </c>
      <c r="G206" s="13" t="s">
        <v>8568</v>
      </c>
      <c r="H206" t="s">
        <v>8569</v>
      </c>
      <c r="J206" t="s">
        <v>8570</v>
      </c>
      <c r="K206" t="s">
        <v>8571</v>
      </c>
      <c r="L206" t="s">
        <v>8571</v>
      </c>
      <c r="M206" t="s">
        <v>7250</v>
      </c>
      <c r="N206">
        <v>2011</v>
      </c>
      <c r="R206">
        <v>27</v>
      </c>
      <c r="S206" t="s">
        <v>7251</v>
      </c>
      <c r="T206">
        <v>0.28000000000000003</v>
      </c>
      <c r="U206">
        <v>129.96</v>
      </c>
      <c r="V206">
        <v>52</v>
      </c>
      <c r="W206">
        <v>37.950000000000003</v>
      </c>
      <c r="X206">
        <v>52</v>
      </c>
      <c r="Y206">
        <v>32</v>
      </c>
      <c r="Z206" t="s">
        <v>7253</v>
      </c>
      <c r="AA206" t="s">
        <v>8572</v>
      </c>
      <c r="AB206" t="s">
        <v>8573</v>
      </c>
      <c r="AC206" t="s">
        <v>8523</v>
      </c>
      <c r="AE206" t="s">
        <v>8574</v>
      </c>
      <c r="AF206" t="s">
        <v>3149</v>
      </c>
      <c r="AH206" t="s">
        <v>3148</v>
      </c>
      <c r="AI206" t="s">
        <v>8523</v>
      </c>
      <c r="AL206" t="s">
        <v>8575</v>
      </c>
      <c r="AN206" s="13" t="s">
        <v>8576</v>
      </c>
      <c r="AO206" t="s">
        <v>8577</v>
      </c>
    </row>
    <row r="207" spans="1:41" hidden="1" x14ac:dyDescent="0.35">
      <c r="A207" t="s">
        <v>8578</v>
      </c>
      <c r="B207" t="s">
        <v>7246</v>
      </c>
      <c r="C207" t="s">
        <v>406</v>
      </c>
      <c r="D207" t="s">
        <v>406</v>
      </c>
      <c r="E207" t="s">
        <v>406</v>
      </c>
      <c r="G207" s="13" t="s">
        <v>8579</v>
      </c>
      <c r="H207" t="s">
        <v>8580</v>
      </c>
      <c r="K207" t="s">
        <v>8530</v>
      </c>
      <c r="L207" t="s">
        <v>8530</v>
      </c>
      <c r="M207" t="s">
        <v>7250</v>
      </c>
      <c r="N207">
        <v>2019</v>
      </c>
      <c r="R207">
        <v>1189</v>
      </c>
      <c r="S207" t="s">
        <v>7251</v>
      </c>
      <c r="T207">
        <v>12.3</v>
      </c>
      <c r="U207">
        <v>5723.05</v>
      </c>
      <c r="V207">
        <v>453</v>
      </c>
      <c r="W207">
        <v>568.71</v>
      </c>
      <c r="X207">
        <v>453</v>
      </c>
      <c r="Y207">
        <v>48</v>
      </c>
      <c r="Z207" t="s">
        <v>7253</v>
      </c>
      <c r="AB207" t="s">
        <v>8532</v>
      </c>
      <c r="AC207" t="s">
        <v>7255</v>
      </c>
      <c r="AD207" t="s">
        <v>8533</v>
      </c>
      <c r="AE207" t="s">
        <v>8534</v>
      </c>
      <c r="AF207" t="s">
        <v>8581</v>
      </c>
      <c r="AH207" t="s">
        <v>8581</v>
      </c>
      <c r="AI207" t="s">
        <v>7255</v>
      </c>
      <c r="AL207" t="s">
        <v>8582</v>
      </c>
      <c r="AN207" s="13" t="s">
        <v>8583</v>
      </c>
      <c r="AO207" t="s">
        <v>8584</v>
      </c>
    </row>
    <row r="208" spans="1:41" hidden="1" x14ac:dyDescent="0.35">
      <c r="A208" t="s">
        <v>8585</v>
      </c>
      <c r="B208" t="s">
        <v>7246</v>
      </c>
      <c r="C208" t="s">
        <v>406</v>
      </c>
      <c r="D208" t="s">
        <v>406</v>
      </c>
      <c r="E208" t="s">
        <v>406</v>
      </c>
      <c r="G208" s="13" t="s">
        <v>8586</v>
      </c>
      <c r="H208" t="s">
        <v>8587</v>
      </c>
      <c r="K208" t="s">
        <v>8588</v>
      </c>
      <c r="L208" t="s">
        <v>8588</v>
      </c>
      <c r="M208" t="s">
        <v>7731</v>
      </c>
      <c r="R208">
        <v>500</v>
      </c>
      <c r="S208" t="s">
        <v>7251</v>
      </c>
      <c r="T208">
        <v>5.17</v>
      </c>
      <c r="U208">
        <v>2406.67</v>
      </c>
      <c r="V208">
        <v>142</v>
      </c>
      <c r="W208">
        <v>122.11</v>
      </c>
      <c r="X208">
        <v>142</v>
      </c>
      <c r="AA208" t="s">
        <v>8589</v>
      </c>
      <c r="AB208" t="s">
        <v>8522</v>
      </c>
      <c r="AC208" t="s">
        <v>7255</v>
      </c>
      <c r="AF208" t="s">
        <v>8590</v>
      </c>
      <c r="AH208" t="s">
        <v>8534</v>
      </c>
      <c r="AI208" t="s">
        <v>7255</v>
      </c>
      <c r="AL208" t="s">
        <v>8591</v>
      </c>
      <c r="AN208" s="13" t="s">
        <v>8592</v>
      </c>
      <c r="AO208" t="s">
        <v>8593</v>
      </c>
    </row>
    <row r="209" spans="1:41" hidden="1" x14ac:dyDescent="0.35">
      <c r="A209" t="s">
        <v>8594</v>
      </c>
      <c r="B209" t="s">
        <v>7246</v>
      </c>
      <c r="C209" t="s">
        <v>406</v>
      </c>
      <c r="D209" t="s">
        <v>406</v>
      </c>
      <c r="E209" t="s">
        <v>406</v>
      </c>
      <c r="G209" s="13" t="s">
        <v>8595</v>
      </c>
      <c r="H209" t="s">
        <v>8596</v>
      </c>
      <c r="K209" t="s">
        <v>8597</v>
      </c>
      <c r="L209" t="s">
        <v>8597</v>
      </c>
      <c r="M209" t="s">
        <v>7269</v>
      </c>
      <c r="R209">
        <v>100</v>
      </c>
      <c r="S209" t="s">
        <v>7251</v>
      </c>
      <c r="T209">
        <v>1.03</v>
      </c>
      <c r="U209">
        <v>481.33</v>
      </c>
      <c r="V209">
        <v>331</v>
      </c>
      <c r="W209">
        <v>279.91000000000003</v>
      </c>
      <c r="X209">
        <v>331</v>
      </c>
      <c r="AB209" t="s">
        <v>8598</v>
      </c>
      <c r="AC209" t="s">
        <v>7255</v>
      </c>
      <c r="AE209" t="s">
        <v>6215</v>
      </c>
      <c r="AF209" t="s">
        <v>8599</v>
      </c>
      <c r="AH209" t="s">
        <v>8600</v>
      </c>
      <c r="AI209" t="s">
        <v>7255</v>
      </c>
      <c r="AL209" t="s">
        <v>8601</v>
      </c>
      <c r="AN209" s="13" t="s">
        <v>8602</v>
      </c>
      <c r="AO209" t="s">
        <v>8603</v>
      </c>
    </row>
    <row r="210" spans="1:41" hidden="1" x14ac:dyDescent="0.35">
      <c r="A210" t="s">
        <v>8604</v>
      </c>
      <c r="B210" t="s">
        <v>7246</v>
      </c>
      <c r="C210" t="s">
        <v>8605</v>
      </c>
      <c r="D210" t="s">
        <v>8605</v>
      </c>
      <c r="E210" t="s">
        <v>8605</v>
      </c>
      <c r="G210" s="13" t="s">
        <v>8606</v>
      </c>
      <c r="H210" t="s">
        <v>8607</v>
      </c>
      <c r="K210" t="s">
        <v>8608</v>
      </c>
      <c r="L210" t="s">
        <v>8609</v>
      </c>
      <c r="M210" t="s">
        <v>7292</v>
      </c>
      <c r="N210">
        <v>2024</v>
      </c>
      <c r="R210">
        <v>50</v>
      </c>
      <c r="S210" t="s">
        <v>7251</v>
      </c>
      <c r="T210">
        <v>0.52</v>
      </c>
      <c r="U210">
        <v>240.67</v>
      </c>
      <c r="V210">
        <v>225</v>
      </c>
      <c r="W210">
        <v>225.1</v>
      </c>
      <c r="X210">
        <v>225</v>
      </c>
      <c r="AA210" t="s">
        <v>8610</v>
      </c>
      <c r="AC210" t="s">
        <v>8523</v>
      </c>
      <c r="AF210" t="s">
        <v>8611</v>
      </c>
      <c r="AH210" t="s">
        <v>8612</v>
      </c>
      <c r="AI210" t="s">
        <v>8523</v>
      </c>
      <c r="AL210" t="s">
        <v>8613</v>
      </c>
      <c r="AN210" s="13" t="s">
        <v>8614</v>
      </c>
      <c r="AO210" t="s">
        <v>8615</v>
      </c>
    </row>
    <row r="211" spans="1:41" hidden="1" x14ac:dyDescent="0.35">
      <c r="A211" t="s">
        <v>8616</v>
      </c>
      <c r="B211" t="s">
        <v>7246</v>
      </c>
      <c r="C211" t="s">
        <v>406</v>
      </c>
      <c r="D211" t="s">
        <v>406</v>
      </c>
      <c r="E211" t="s">
        <v>406</v>
      </c>
      <c r="G211" s="13" t="s">
        <v>8617</v>
      </c>
      <c r="H211" t="s">
        <v>8618</v>
      </c>
      <c r="K211" t="s">
        <v>8552</v>
      </c>
      <c r="L211" t="s">
        <v>8552</v>
      </c>
      <c r="M211" t="s">
        <v>7250</v>
      </c>
      <c r="N211">
        <v>1984</v>
      </c>
      <c r="R211">
        <v>90</v>
      </c>
      <c r="S211" t="s">
        <v>7251</v>
      </c>
      <c r="T211">
        <v>0.93</v>
      </c>
      <c r="U211">
        <v>433.2</v>
      </c>
      <c r="V211">
        <v>340</v>
      </c>
      <c r="W211">
        <v>320.7</v>
      </c>
      <c r="X211">
        <v>340</v>
      </c>
      <c r="Y211">
        <v>16</v>
      </c>
      <c r="Z211" t="s">
        <v>7253</v>
      </c>
      <c r="AB211" t="s">
        <v>8619</v>
      </c>
      <c r="AC211" t="s">
        <v>7255</v>
      </c>
      <c r="AE211" t="s">
        <v>8513</v>
      </c>
      <c r="AF211" t="s">
        <v>8620</v>
      </c>
      <c r="AH211" t="s">
        <v>8513</v>
      </c>
      <c r="AI211" t="s">
        <v>7255</v>
      </c>
      <c r="AL211" t="s">
        <v>8621</v>
      </c>
      <c r="AN211" s="13" t="s">
        <v>8622</v>
      </c>
      <c r="AO211" t="s">
        <v>8623</v>
      </c>
    </row>
    <row r="212" spans="1:41" hidden="1" x14ac:dyDescent="0.35">
      <c r="A212" t="s">
        <v>8624</v>
      </c>
      <c r="B212" t="s">
        <v>7246</v>
      </c>
      <c r="C212" t="s">
        <v>351</v>
      </c>
      <c r="D212" t="s">
        <v>5411</v>
      </c>
      <c r="E212" t="s">
        <v>8625</v>
      </c>
      <c r="G212" s="13" t="s">
        <v>8626</v>
      </c>
      <c r="H212" t="s">
        <v>8627</v>
      </c>
      <c r="K212" t="s">
        <v>8628</v>
      </c>
      <c r="L212" t="s">
        <v>6856</v>
      </c>
      <c r="M212" t="s">
        <v>7250</v>
      </c>
      <c r="N212">
        <v>1999</v>
      </c>
      <c r="R212">
        <v>2.92</v>
      </c>
      <c r="S212" t="s">
        <v>8257</v>
      </c>
      <c r="T212">
        <v>2.92</v>
      </c>
      <c r="U212">
        <v>1358.92</v>
      </c>
      <c r="V212">
        <v>1070</v>
      </c>
      <c r="W212">
        <v>788.82</v>
      </c>
      <c r="X212">
        <v>1070</v>
      </c>
      <c r="Y212" t="s">
        <v>8629</v>
      </c>
      <c r="Z212" t="s">
        <v>7253</v>
      </c>
      <c r="AC212" t="s">
        <v>8523</v>
      </c>
      <c r="AE212" t="s">
        <v>3148</v>
      </c>
      <c r="AF212" t="s">
        <v>8630</v>
      </c>
      <c r="AH212" t="s">
        <v>8631</v>
      </c>
      <c r="AI212" t="s">
        <v>8523</v>
      </c>
      <c r="AL212" t="s">
        <v>8632</v>
      </c>
      <c r="AN212" s="13" t="s">
        <v>8633</v>
      </c>
      <c r="AO212" t="s">
        <v>8634</v>
      </c>
    </row>
    <row r="213" spans="1:41" hidden="1" x14ac:dyDescent="0.35">
      <c r="A213" t="s">
        <v>8635</v>
      </c>
      <c r="B213" t="s">
        <v>7246</v>
      </c>
      <c r="C213" t="s">
        <v>406</v>
      </c>
      <c r="D213" t="s">
        <v>406</v>
      </c>
      <c r="E213" t="s">
        <v>406</v>
      </c>
      <c r="G213" s="13" t="s">
        <v>8636</v>
      </c>
      <c r="H213" t="s">
        <v>8637</v>
      </c>
      <c r="K213" t="s">
        <v>8638</v>
      </c>
      <c r="L213" t="s">
        <v>7845</v>
      </c>
      <c r="M213" t="s">
        <v>7250</v>
      </c>
      <c r="N213">
        <v>2017</v>
      </c>
      <c r="R213">
        <v>1356</v>
      </c>
      <c r="S213" t="s">
        <v>7251</v>
      </c>
      <c r="T213">
        <v>14.02</v>
      </c>
      <c r="U213">
        <v>6526.88</v>
      </c>
      <c r="V213">
        <v>220</v>
      </c>
      <c r="W213">
        <v>198.81</v>
      </c>
      <c r="X213">
        <v>220</v>
      </c>
      <c r="Y213">
        <v>42</v>
      </c>
      <c r="Z213" t="s">
        <v>7253</v>
      </c>
      <c r="AB213" t="s">
        <v>8639</v>
      </c>
      <c r="AC213" t="s">
        <v>7255</v>
      </c>
      <c r="AE213" t="s">
        <v>8481</v>
      </c>
      <c r="AF213" t="s">
        <v>8640</v>
      </c>
      <c r="AH213" t="s">
        <v>8481</v>
      </c>
      <c r="AI213" t="s">
        <v>7255</v>
      </c>
      <c r="AL213" t="s">
        <v>8641</v>
      </c>
      <c r="AN213" s="13" t="s">
        <v>8642</v>
      </c>
      <c r="AO213" t="s">
        <v>8643</v>
      </c>
    </row>
    <row r="214" spans="1:41" hidden="1" x14ac:dyDescent="0.35">
      <c r="A214" t="s">
        <v>8644</v>
      </c>
      <c r="B214" t="s">
        <v>7246</v>
      </c>
      <c r="C214" t="s">
        <v>406</v>
      </c>
      <c r="D214" t="s">
        <v>406</v>
      </c>
      <c r="E214" t="s">
        <v>406</v>
      </c>
      <c r="G214" s="13" t="s">
        <v>8645</v>
      </c>
      <c r="H214" t="s">
        <v>8646</v>
      </c>
      <c r="K214" t="s">
        <v>8530</v>
      </c>
      <c r="L214" t="s">
        <v>8530</v>
      </c>
      <c r="M214" t="s">
        <v>7250</v>
      </c>
      <c r="N214">
        <v>2003</v>
      </c>
      <c r="R214">
        <v>96</v>
      </c>
      <c r="S214" t="s">
        <v>7251</v>
      </c>
      <c r="T214">
        <v>0.99</v>
      </c>
      <c r="U214">
        <v>462.08</v>
      </c>
      <c r="V214">
        <v>127</v>
      </c>
      <c r="W214">
        <v>120.25</v>
      </c>
      <c r="X214">
        <v>127</v>
      </c>
      <c r="Y214">
        <v>16</v>
      </c>
      <c r="Z214" t="s">
        <v>7253</v>
      </c>
      <c r="AB214" t="s">
        <v>8647</v>
      </c>
      <c r="AC214" t="s">
        <v>7255</v>
      </c>
      <c r="AE214" t="s">
        <v>8648</v>
      </c>
      <c r="AF214" t="s">
        <v>8649</v>
      </c>
      <c r="AH214" t="s">
        <v>406</v>
      </c>
      <c r="AI214" t="s">
        <v>7255</v>
      </c>
      <c r="AL214" t="s">
        <v>8650</v>
      </c>
      <c r="AN214" s="13" t="s">
        <v>8651</v>
      </c>
      <c r="AO214" t="s">
        <v>8652</v>
      </c>
    </row>
    <row r="215" spans="1:41" hidden="1" x14ac:dyDescent="0.35">
      <c r="A215" t="s">
        <v>8653</v>
      </c>
      <c r="B215" t="s">
        <v>7246</v>
      </c>
      <c r="C215" t="s">
        <v>406</v>
      </c>
      <c r="D215" t="s">
        <v>406</v>
      </c>
      <c r="E215" t="s">
        <v>406</v>
      </c>
      <c r="G215" s="13" t="s">
        <v>8654</v>
      </c>
      <c r="H215" t="s">
        <v>8655</v>
      </c>
      <c r="J215" t="s">
        <v>8656</v>
      </c>
      <c r="K215" t="s">
        <v>8638</v>
      </c>
      <c r="L215" t="s">
        <v>7845</v>
      </c>
      <c r="M215" t="s">
        <v>7250</v>
      </c>
      <c r="N215">
        <v>2017</v>
      </c>
      <c r="R215">
        <v>226</v>
      </c>
      <c r="S215" t="s">
        <v>7251</v>
      </c>
      <c r="T215">
        <v>2.34</v>
      </c>
      <c r="U215">
        <v>1087.81</v>
      </c>
      <c r="V215">
        <v>20</v>
      </c>
      <c r="W215">
        <v>10.71</v>
      </c>
      <c r="X215">
        <v>20</v>
      </c>
      <c r="Y215" t="s">
        <v>8657</v>
      </c>
      <c r="Z215" t="s">
        <v>7253</v>
      </c>
      <c r="AB215" t="s">
        <v>8658</v>
      </c>
      <c r="AC215" t="s">
        <v>7255</v>
      </c>
      <c r="AE215" t="s">
        <v>8513</v>
      </c>
      <c r="AF215" t="s">
        <v>8659</v>
      </c>
      <c r="AH215" t="s">
        <v>8513</v>
      </c>
      <c r="AI215" t="s">
        <v>7255</v>
      </c>
      <c r="AL215" t="s">
        <v>8660</v>
      </c>
      <c r="AN215" s="13" t="s">
        <v>8661</v>
      </c>
      <c r="AO215" t="s">
        <v>8662</v>
      </c>
    </row>
    <row r="216" spans="1:41" hidden="1" x14ac:dyDescent="0.35">
      <c r="A216" t="s">
        <v>8663</v>
      </c>
      <c r="B216" t="s">
        <v>7246</v>
      </c>
      <c r="C216" t="s">
        <v>406</v>
      </c>
      <c r="D216" t="s">
        <v>406</v>
      </c>
      <c r="E216" t="s">
        <v>406</v>
      </c>
      <c r="G216" s="13" t="s">
        <v>8664</v>
      </c>
      <c r="H216" t="s">
        <v>8665</v>
      </c>
      <c r="K216" t="s">
        <v>8666</v>
      </c>
      <c r="L216" t="s">
        <v>8667</v>
      </c>
      <c r="M216" t="s">
        <v>7250</v>
      </c>
      <c r="N216">
        <v>2018</v>
      </c>
      <c r="R216">
        <v>100</v>
      </c>
      <c r="S216" t="s">
        <v>7251</v>
      </c>
      <c r="T216">
        <v>1.03</v>
      </c>
      <c r="U216">
        <v>481.33</v>
      </c>
      <c r="V216">
        <v>48</v>
      </c>
      <c r="W216">
        <v>52.87</v>
      </c>
      <c r="X216">
        <v>48</v>
      </c>
      <c r="Y216">
        <v>16</v>
      </c>
      <c r="Z216" t="s">
        <v>7253</v>
      </c>
      <c r="AB216" t="s">
        <v>8668</v>
      </c>
      <c r="AC216" t="s">
        <v>7255</v>
      </c>
      <c r="AE216" t="s">
        <v>8513</v>
      </c>
      <c r="AF216" t="s">
        <v>8669</v>
      </c>
      <c r="AH216" t="s">
        <v>8513</v>
      </c>
      <c r="AI216" t="s">
        <v>7255</v>
      </c>
      <c r="AL216" t="s">
        <v>8670</v>
      </c>
      <c r="AN216" s="13" t="s">
        <v>8671</v>
      </c>
      <c r="AO216" t="s">
        <v>8672</v>
      </c>
    </row>
    <row r="217" spans="1:41" hidden="1" x14ac:dyDescent="0.35">
      <c r="A217" t="s">
        <v>8673</v>
      </c>
      <c r="B217" t="s">
        <v>7246</v>
      </c>
      <c r="C217" t="s">
        <v>406</v>
      </c>
      <c r="D217" t="s">
        <v>406</v>
      </c>
      <c r="E217" t="s">
        <v>406</v>
      </c>
      <c r="G217" s="13" t="s">
        <v>8674</v>
      </c>
      <c r="H217" t="s">
        <v>8675</v>
      </c>
      <c r="K217" t="s">
        <v>8676</v>
      </c>
      <c r="L217" t="s">
        <v>8676</v>
      </c>
      <c r="M217" t="s">
        <v>7269</v>
      </c>
      <c r="R217">
        <v>505</v>
      </c>
      <c r="S217" t="s">
        <v>7251</v>
      </c>
      <c r="T217">
        <v>5.22</v>
      </c>
      <c r="U217">
        <v>2430.73</v>
      </c>
      <c r="V217">
        <v>17</v>
      </c>
      <c r="W217">
        <v>25.53</v>
      </c>
      <c r="X217">
        <v>17</v>
      </c>
      <c r="AC217" t="s">
        <v>7255</v>
      </c>
      <c r="AE217" t="s">
        <v>4005</v>
      </c>
      <c r="AF217" t="s">
        <v>5529</v>
      </c>
      <c r="AH217" t="s">
        <v>4005</v>
      </c>
      <c r="AI217" t="s">
        <v>7255</v>
      </c>
      <c r="AL217" t="s">
        <v>8677</v>
      </c>
      <c r="AN217" s="13" t="s">
        <v>8678</v>
      </c>
      <c r="AO217" t="s">
        <v>8679</v>
      </c>
    </row>
    <row r="218" spans="1:41" hidden="1" x14ac:dyDescent="0.35">
      <c r="A218" t="s">
        <v>8680</v>
      </c>
      <c r="B218" t="s">
        <v>7246</v>
      </c>
      <c r="C218" t="s">
        <v>406</v>
      </c>
      <c r="D218" t="s">
        <v>406</v>
      </c>
      <c r="E218" t="s">
        <v>406</v>
      </c>
      <c r="G218" s="13" t="s">
        <v>8681</v>
      </c>
      <c r="H218" t="s">
        <v>8682</v>
      </c>
      <c r="I218" t="s">
        <v>8683</v>
      </c>
      <c r="K218" t="s">
        <v>8638</v>
      </c>
      <c r="L218" t="s">
        <v>7845</v>
      </c>
      <c r="M218" t="s">
        <v>7250</v>
      </c>
      <c r="N218">
        <v>2008</v>
      </c>
      <c r="R218">
        <v>2600</v>
      </c>
      <c r="S218" t="s">
        <v>7251</v>
      </c>
      <c r="T218">
        <v>26.89</v>
      </c>
      <c r="U218">
        <v>12514.67</v>
      </c>
      <c r="V218">
        <v>78.040000000000006</v>
      </c>
      <c r="W218">
        <v>59.18</v>
      </c>
      <c r="X218">
        <v>78.040000000000006</v>
      </c>
      <c r="Y218">
        <v>42</v>
      </c>
      <c r="Z218" t="s">
        <v>7253</v>
      </c>
      <c r="AB218" t="s">
        <v>3140</v>
      </c>
      <c r="AC218" t="s">
        <v>7255</v>
      </c>
      <c r="AE218" t="s">
        <v>8684</v>
      </c>
      <c r="AF218" t="s">
        <v>8685</v>
      </c>
      <c r="AH218" t="s">
        <v>8684</v>
      </c>
      <c r="AI218" t="s">
        <v>7255</v>
      </c>
      <c r="AL218" t="s">
        <v>8686</v>
      </c>
      <c r="AM218" t="s">
        <v>8687</v>
      </c>
      <c r="AN218" s="13" t="s">
        <v>8688</v>
      </c>
      <c r="AO218" t="s">
        <v>8689</v>
      </c>
    </row>
    <row r="219" spans="1:41" hidden="1" x14ac:dyDescent="0.35">
      <c r="A219" t="s">
        <v>8690</v>
      </c>
      <c r="B219" t="s">
        <v>7246</v>
      </c>
      <c r="C219" t="s">
        <v>406</v>
      </c>
      <c r="D219" t="s">
        <v>406</v>
      </c>
      <c r="E219" t="s">
        <v>406</v>
      </c>
      <c r="G219" s="13" t="s">
        <v>8691</v>
      </c>
      <c r="H219" t="s">
        <v>8692</v>
      </c>
      <c r="J219" t="s">
        <v>8693</v>
      </c>
      <c r="K219" t="s">
        <v>8694</v>
      </c>
      <c r="L219" t="s">
        <v>8694</v>
      </c>
      <c r="M219" t="s">
        <v>7269</v>
      </c>
      <c r="R219">
        <v>145</v>
      </c>
      <c r="S219" t="s">
        <v>7251</v>
      </c>
      <c r="T219">
        <v>1.5</v>
      </c>
      <c r="U219">
        <v>697.93</v>
      </c>
      <c r="V219">
        <v>400</v>
      </c>
      <c r="W219">
        <v>386.45</v>
      </c>
      <c r="X219">
        <v>400</v>
      </c>
      <c r="AB219" t="s">
        <v>4011</v>
      </c>
      <c r="AC219" t="s">
        <v>7255</v>
      </c>
      <c r="AE219" t="s">
        <v>8554</v>
      </c>
      <c r="AF219" t="s">
        <v>8695</v>
      </c>
      <c r="AH219" t="s">
        <v>8696</v>
      </c>
      <c r="AI219" t="s">
        <v>7255</v>
      </c>
      <c r="AL219" t="s">
        <v>8697</v>
      </c>
      <c r="AN219" s="13" t="s">
        <v>8698</v>
      </c>
      <c r="AO219" t="s">
        <v>8699</v>
      </c>
    </row>
    <row r="220" spans="1:41" hidden="1" x14ac:dyDescent="0.35">
      <c r="A220" t="s">
        <v>8700</v>
      </c>
      <c r="B220" t="s">
        <v>7246</v>
      </c>
      <c r="C220" t="s">
        <v>406</v>
      </c>
      <c r="D220" t="s">
        <v>406</v>
      </c>
      <c r="E220" t="s">
        <v>406</v>
      </c>
      <c r="G220" s="13" t="s">
        <v>8701</v>
      </c>
      <c r="H220" t="s">
        <v>8702</v>
      </c>
      <c r="K220" t="s">
        <v>8703</v>
      </c>
      <c r="L220" t="s">
        <v>8704</v>
      </c>
      <c r="M220" t="s">
        <v>7250</v>
      </c>
      <c r="N220">
        <v>2021</v>
      </c>
      <c r="R220">
        <v>472</v>
      </c>
      <c r="S220" t="s">
        <v>7251</v>
      </c>
      <c r="T220">
        <v>4.88</v>
      </c>
      <c r="U220">
        <v>2271.89</v>
      </c>
      <c r="V220">
        <v>650</v>
      </c>
      <c r="W220">
        <v>505.63</v>
      </c>
      <c r="X220">
        <v>650</v>
      </c>
      <c r="Y220">
        <v>36</v>
      </c>
      <c r="Z220" t="s">
        <v>7253</v>
      </c>
      <c r="AB220" t="s">
        <v>8705</v>
      </c>
      <c r="AC220" t="s">
        <v>7255</v>
      </c>
      <c r="AE220" t="s">
        <v>8481</v>
      </c>
      <c r="AF220" t="s">
        <v>8706</v>
      </c>
      <c r="AH220" t="s">
        <v>8513</v>
      </c>
      <c r="AI220" t="s">
        <v>7255</v>
      </c>
      <c r="AL220" t="s">
        <v>8707</v>
      </c>
      <c r="AN220" s="13" t="s">
        <v>8708</v>
      </c>
      <c r="AO220" t="s">
        <v>8709</v>
      </c>
    </row>
    <row r="221" spans="1:41" hidden="1" x14ac:dyDescent="0.35">
      <c r="A221" t="s">
        <v>8710</v>
      </c>
      <c r="B221" t="s">
        <v>7246</v>
      </c>
      <c r="C221" t="s">
        <v>406</v>
      </c>
      <c r="D221" t="s">
        <v>406</v>
      </c>
      <c r="E221" t="s">
        <v>406</v>
      </c>
      <c r="G221" s="13" t="s">
        <v>8711</v>
      </c>
      <c r="H221" t="s">
        <v>8712</v>
      </c>
      <c r="K221" t="s">
        <v>8638</v>
      </c>
      <c r="L221" t="s">
        <v>7845</v>
      </c>
      <c r="M221" t="s">
        <v>7250</v>
      </c>
      <c r="N221">
        <v>2017</v>
      </c>
      <c r="R221">
        <v>1135</v>
      </c>
      <c r="S221" t="s">
        <v>7251</v>
      </c>
      <c r="T221">
        <v>11.74</v>
      </c>
      <c r="U221">
        <v>5463.13</v>
      </c>
      <c r="V221">
        <v>23</v>
      </c>
      <c r="W221">
        <v>35.53</v>
      </c>
      <c r="X221">
        <v>23</v>
      </c>
      <c r="Y221" t="s">
        <v>7691</v>
      </c>
      <c r="Z221" t="s">
        <v>7253</v>
      </c>
      <c r="AB221" t="s">
        <v>8713</v>
      </c>
      <c r="AC221" t="s">
        <v>7255</v>
      </c>
      <c r="AE221" t="s">
        <v>8481</v>
      </c>
      <c r="AF221" t="s">
        <v>8714</v>
      </c>
      <c r="AH221" t="s">
        <v>8481</v>
      </c>
      <c r="AI221" t="s">
        <v>7255</v>
      </c>
      <c r="AL221" t="s">
        <v>8715</v>
      </c>
      <c r="AN221" s="13" t="s">
        <v>8716</v>
      </c>
      <c r="AO221" t="s">
        <v>8717</v>
      </c>
    </row>
    <row r="222" spans="1:41" hidden="1" x14ac:dyDescent="0.35">
      <c r="A222" t="s">
        <v>8718</v>
      </c>
      <c r="B222" t="s">
        <v>7246</v>
      </c>
      <c r="C222" t="s">
        <v>406</v>
      </c>
      <c r="D222" t="s">
        <v>406</v>
      </c>
      <c r="E222" t="s">
        <v>406</v>
      </c>
      <c r="G222" s="13" t="s">
        <v>8719</v>
      </c>
      <c r="H222" t="s">
        <v>8720</v>
      </c>
      <c r="J222" t="s">
        <v>8721</v>
      </c>
      <c r="K222" t="s">
        <v>8530</v>
      </c>
      <c r="L222" t="s">
        <v>8530</v>
      </c>
      <c r="M222" t="s">
        <v>7250</v>
      </c>
      <c r="N222">
        <v>2013</v>
      </c>
      <c r="R222">
        <v>850</v>
      </c>
      <c r="S222" t="s">
        <v>7251</v>
      </c>
      <c r="T222">
        <v>8.7899999999999991</v>
      </c>
      <c r="U222">
        <v>4091.33</v>
      </c>
      <c r="V222">
        <v>383</v>
      </c>
      <c r="W222">
        <v>360.67</v>
      </c>
      <c r="X222">
        <v>383</v>
      </c>
      <c r="Y222">
        <v>36</v>
      </c>
      <c r="Z222" t="s">
        <v>7253</v>
      </c>
      <c r="AB222" t="s">
        <v>8722</v>
      </c>
      <c r="AC222" t="s">
        <v>7255</v>
      </c>
      <c r="AE222" t="s">
        <v>8481</v>
      </c>
      <c r="AI222" t="s">
        <v>7255</v>
      </c>
      <c r="AL222" t="s">
        <v>8723</v>
      </c>
      <c r="AN222" s="13" t="s">
        <v>8724</v>
      </c>
      <c r="AO222" t="s">
        <v>8725</v>
      </c>
    </row>
    <row r="223" spans="1:41" hidden="1" x14ac:dyDescent="0.35">
      <c r="A223" t="s">
        <v>8726</v>
      </c>
      <c r="B223" t="s">
        <v>7246</v>
      </c>
      <c r="C223" t="s">
        <v>406</v>
      </c>
      <c r="D223" t="s">
        <v>406</v>
      </c>
      <c r="E223" t="s">
        <v>406</v>
      </c>
      <c r="G223" s="13" t="s">
        <v>8727</v>
      </c>
      <c r="H223" t="s">
        <v>8728</v>
      </c>
      <c r="K223" t="s">
        <v>8729</v>
      </c>
      <c r="L223" t="s">
        <v>7320</v>
      </c>
      <c r="M223" t="s">
        <v>7415</v>
      </c>
      <c r="N223">
        <v>2022</v>
      </c>
      <c r="R223">
        <v>886</v>
      </c>
      <c r="S223" t="s">
        <v>7251</v>
      </c>
      <c r="T223">
        <v>9.16</v>
      </c>
      <c r="U223">
        <v>4264.6099999999997</v>
      </c>
      <c r="V223">
        <v>287</v>
      </c>
      <c r="W223">
        <v>255.57</v>
      </c>
      <c r="X223">
        <v>287</v>
      </c>
      <c r="Y223">
        <v>36</v>
      </c>
      <c r="Z223" t="s">
        <v>7253</v>
      </c>
      <c r="AB223" t="s">
        <v>7934</v>
      </c>
      <c r="AC223" t="s">
        <v>7255</v>
      </c>
      <c r="AE223" t="s">
        <v>6236</v>
      </c>
      <c r="AF223" t="s">
        <v>5529</v>
      </c>
      <c r="AH223" t="s">
        <v>4005</v>
      </c>
      <c r="AI223" t="s">
        <v>7255</v>
      </c>
      <c r="AL223" t="s">
        <v>8730</v>
      </c>
      <c r="AN223" s="13" t="s">
        <v>8731</v>
      </c>
      <c r="AO223" t="s">
        <v>8732</v>
      </c>
    </row>
    <row r="224" spans="1:41" hidden="1" x14ac:dyDescent="0.35">
      <c r="A224" t="s">
        <v>8733</v>
      </c>
      <c r="B224" t="s">
        <v>7246</v>
      </c>
      <c r="C224" t="s">
        <v>406</v>
      </c>
      <c r="D224" t="s">
        <v>406</v>
      </c>
      <c r="E224" t="s">
        <v>406</v>
      </c>
      <c r="G224" s="13" t="s">
        <v>8734</v>
      </c>
      <c r="H224" t="s">
        <v>8735</v>
      </c>
      <c r="J224" t="s">
        <v>8736</v>
      </c>
      <c r="K224" t="s">
        <v>8530</v>
      </c>
      <c r="L224" t="s">
        <v>8530</v>
      </c>
      <c r="M224" t="s">
        <v>7250</v>
      </c>
      <c r="N224">
        <v>2020</v>
      </c>
      <c r="R224">
        <v>886</v>
      </c>
      <c r="S224" t="s">
        <v>7251</v>
      </c>
      <c r="T224">
        <v>9.16</v>
      </c>
      <c r="U224">
        <v>4264.6099999999997</v>
      </c>
      <c r="V224">
        <v>388</v>
      </c>
      <c r="W224">
        <v>368.49</v>
      </c>
      <c r="X224">
        <v>388</v>
      </c>
      <c r="Y224">
        <v>36</v>
      </c>
      <c r="Z224" t="s">
        <v>7253</v>
      </c>
      <c r="AC224" t="s">
        <v>7255</v>
      </c>
      <c r="AI224" t="s">
        <v>7255</v>
      </c>
      <c r="AL224" t="s">
        <v>8737</v>
      </c>
      <c r="AN224" s="13" t="s">
        <v>8738</v>
      </c>
      <c r="AO224" t="s">
        <v>8739</v>
      </c>
    </row>
    <row r="225" spans="1:41" hidden="1" x14ac:dyDescent="0.35">
      <c r="A225" t="s">
        <v>8740</v>
      </c>
      <c r="B225" t="s">
        <v>7246</v>
      </c>
      <c r="C225" t="s">
        <v>370</v>
      </c>
      <c r="D225" t="s">
        <v>402</v>
      </c>
      <c r="E225" t="s">
        <v>8741</v>
      </c>
      <c r="G225" s="13" t="s">
        <v>8742</v>
      </c>
      <c r="H225" t="s">
        <v>8743</v>
      </c>
      <c r="K225" t="s">
        <v>8744</v>
      </c>
      <c r="L225" t="s">
        <v>8744</v>
      </c>
      <c r="M225" t="s">
        <v>7250</v>
      </c>
      <c r="N225">
        <v>2003</v>
      </c>
      <c r="O225">
        <v>2005</v>
      </c>
      <c r="P225" t="s">
        <v>8745</v>
      </c>
      <c r="R225">
        <v>10</v>
      </c>
      <c r="S225" t="s">
        <v>8257</v>
      </c>
      <c r="T225">
        <v>10</v>
      </c>
      <c r="U225">
        <v>4653.83</v>
      </c>
      <c r="V225">
        <v>1200</v>
      </c>
      <c r="W225">
        <v>1115.1600000000001</v>
      </c>
      <c r="X225">
        <v>1200</v>
      </c>
      <c r="AB225" t="s">
        <v>8746</v>
      </c>
      <c r="AC225" t="s">
        <v>8747</v>
      </c>
      <c r="AF225" t="s">
        <v>8748</v>
      </c>
      <c r="AH225" t="s">
        <v>8749</v>
      </c>
      <c r="AI225" t="s">
        <v>8747</v>
      </c>
      <c r="AO225" t="s">
        <v>8750</v>
      </c>
    </row>
    <row r="226" spans="1:41" hidden="1" x14ac:dyDescent="0.35">
      <c r="A226" t="s">
        <v>8751</v>
      </c>
      <c r="B226" t="s">
        <v>7246</v>
      </c>
      <c r="C226" t="s">
        <v>420</v>
      </c>
      <c r="D226" t="s">
        <v>418</v>
      </c>
      <c r="E226" t="s">
        <v>8752</v>
      </c>
      <c r="G226" s="13" t="s">
        <v>8753</v>
      </c>
      <c r="H226" t="s">
        <v>8754</v>
      </c>
      <c r="K226" t="s">
        <v>8755</v>
      </c>
      <c r="L226" t="s">
        <v>8755</v>
      </c>
      <c r="M226" t="s">
        <v>7250</v>
      </c>
      <c r="N226">
        <v>2006</v>
      </c>
      <c r="R226">
        <v>3200</v>
      </c>
      <c r="S226" t="s">
        <v>7251</v>
      </c>
      <c r="T226">
        <v>33.1</v>
      </c>
      <c r="U226">
        <v>15402.67</v>
      </c>
      <c r="V226">
        <v>364</v>
      </c>
      <c r="W226">
        <v>358.79</v>
      </c>
      <c r="X226">
        <v>364</v>
      </c>
      <c r="Y226">
        <v>48</v>
      </c>
      <c r="Z226" t="s">
        <v>7253</v>
      </c>
      <c r="AA226" t="s">
        <v>8756</v>
      </c>
      <c r="AC226" t="s">
        <v>8747</v>
      </c>
      <c r="AE226" t="s">
        <v>8757</v>
      </c>
      <c r="AI226" t="s">
        <v>8747</v>
      </c>
      <c r="AL226" t="s">
        <v>8758</v>
      </c>
      <c r="AO226" t="s">
        <v>8759</v>
      </c>
    </row>
    <row r="227" spans="1:41" hidden="1" x14ac:dyDescent="0.35">
      <c r="A227" t="s">
        <v>8760</v>
      </c>
      <c r="B227" t="s">
        <v>7246</v>
      </c>
      <c r="C227" t="s">
        <v>414</v>
      </c>
      <c r="D227" t="s">
        <v>414</v>
      </c>
      <c r="E227" t="s">
        <v>414</v>
      </c>
      <c r="G227" s="13" t="s">
        <v>8761</v>
      </c>
      <c r="H227" t="s">
        <v>8762</v>
      </c>
      <c r="K227" t="s">
        <v>8763</v>
      </c>
      <c r="L227" t="s">
        <v>8763</v>
      </c>
      <c r="M227" t="s">
        <v>7250</v>
      </c>
      <c r="N227">
        <v>1989</v>
      </c>
      <c r="R227">
        <v>1100</v>
      </c>
      <c r="S227" t="s">
        <v>7251</v>
      </c>
      <c r="T227">
        <v>11.38</v>
      </c>
      <c r="U227">
        <v>5294.67</v>
      </c>
      <c r="V227">
        <v>342</v>
      </c>
      <c r="W227">
        <v>523.4</v>
      </c>
      <c r="X227">
        <v>342</v>
      </c>
      <c r="Y227">
        <v>36</v>
      </c>
      <c r="Z227" t="s">
        <v>7253</v>
      </c>
      <c r="AA227" t="s">
        <v>8764</v>
      </c>
      <c r="AB227" t="s">
        <v>2659</v>
      </c>
      <c r="AC227" t="s">
        <v>8765</v>
      </c>
      <c r="AE227" t="s">
        <v>3524</v>
      </c>
      <c r="AF227" t="s">
        <v>8766</v>
      </c>
      <c r="AI227" t="s">
        <v>8765</v>
      </c>
      <c r="AO227" t="s">
        <v>8767</v>
      </c>
    </row>
    <row r="228" spans="1:41" hidden="1" x14ac:dyDescent="0.35">
      <c r="A228" t="s">
        <v>8768</v>
      </c>
      <c r="B228" t="s">
        <v>7246</v>
      </c>
      <c r="C228" t="s">
        <v>404</v>
      </c>
      <c r="D228" t="s">
        <v>5714</v>
      </c>
      <c r="E228" t="s">
        <v>8769</v>
      </c>
      <c r="G228" s="13" t="s">
        <v>8770</v>
      </c>
      <c r="H228" t="s">
        <v>8771</v>
      </c>
      <c r="J228" t="s">
        <v>8772</v>
      </c>
      <c r="K228" t="s">
        <v>8773</v>
      </c>
      <c r="L228" t="s">
        <v>8773</v>
      </c>
      <c r="M228" t="s">
        <v>7250</v>
      </c>
      <c r="N228">
        <v>2004</v>
      </c>
      <c r="O228">
        <v>2006</v>
      </c>
      <c r="R228">
        <v>20</v>
      </c>
      <c r="S228" t="s">
        <v>7251</v>
      </c>
      <c r="T228">
        <v>0.21</v>
      </c>
      <c r="U228">
        <v>96.27</v>
      </c>
      <c r="V228">
        <v>520</v>
      </c>
      <c r="W228">
        <v>522.47</v>
      </c>
      <c r="X228">
        <v>520</v>
      </c>
      <c r="Y228" t="s">
        <v>8774</v>
      </c>
      <c r="Z228" t="s">
        <v>7253</v>
      </c>
      <c r="AA228" s="13" t="s">
        <v>8775</v>
      </c>
      <c r="AB228" t="s">
        <v>8776</v>
      </c>
      <c r="AC228" t="s">
        <v>8747</v>
      </c>
      <c r="AF228" t="s">
        <v>1437</v>
      </c>
      <c r="AI228" t="s">
        <v>8777</v>
      </c>
      <c r="AL228" t="s">
        <v>8778</v>
      </c>
      <c r="AO228" t="s">
        <v>8779</v>
      </c>
    </row>
    <row r="229" spans="1:41" hidden="1" x14ac:dyDescent="0.35">
      <c r="A229" t="s">
        <v>8780</v>
      </c>
      <c r="B229" t="s">
        <v>7246</v>
      </c>
      <c r="C229" t="s">
        <v>387</v>
      </c>
      <c r="D229" t="s">
        <v>387</v>
      </c>
      <c r="E229" t="s">
        <v>387</v>
      </c>
      <c r="G229" s="13" t="s">
        <v>8781</v>
      </c>
      <c r="H229" t="s">
        <v>8782</v>
      </c>
      <c r="J229" t="s">
        <v>8783</v>
      </c>
      <c r="K229" t="s">
        <v>8784</v>
      </c>
      <c r="L229" t="s">
        <v>8784</v>
      </c>
      <c r="M229" t="s">
        <v>7250</v>
      </c>
      <c r="N229">
        <v>2014</v>
      </c>
      <c r="R229">
        <v>2472.0300000000002</v>
      </c>
      <c r="S229" t="s">
        <v>7251</v>
      </c>
      <c r="T229">
        <v>25.57</v>
      </c>
      <c r="U229">
        <v>11898.71</v>
      </c>
      <c r="V229">
        <v>632</v>
      </c>
      <c r="W229">
        <v>1032.2</v>
      </c>
      <c r="X229">
        <v>632</v>
      </c>
      <c r="AB229" t="s">
        <v>8785</v>
      </c>
      <c r="AC229" t="s">
        <v>8747</v>
      </c>
      <c r="AF229" t="s">
        <v>8786</v>
      </c>
      <c r="AI229" t="s">
        <v>8747</v>
      </c>
      <c r="AO229" t="s">
        <v>8787</v>
      </c>
    </row>
    <row r="230" spans="1:41" hidden="1" x14ac:dyDescent="0.35">
      <c r="A230" t="s">
        <v>8788</v>
      </c>
      <c r="B230" t="s">
        <v>7246</v>
      </c>
      <c r="C230" t="s">
        <v>387</v>
      </c>
      <c r="D230" t="s">
        <v>387</v>
      </c>
      <c r="E230" t="s">
        <v>387</v>
      </c>
      <c r="G230" s="13" t="s">
        <v>8789</v>
      </c>
      <c r="H230" t="s">
        <v>8790</v>
      </c>
      <c r="J230" t="s">
        <v>8791</v>
      </c>
      <c r="K230" t="s">
        <v>8784</v>
      </c>
      <c r="L230" t="s">
        <v>8784</v>
      </c>
      <c r="M230" t="s">
        <v>7415</v>
      </c>
      <c r="N230">
        <v>2025</v>
      </c>
      <c r="R230">
        <v>110</v>
      </c>
      <c r="S230" t="s">
        <v>8792</v>
      </c>
      <c r="T230">
        <v>40.18</v>
      </c>
      <c r="U230">
        <v>18697.939999999999</v>
      </c>
      <c r="V230">
        <v>1200</v>
      </c>
      <c r="W230">
        <v>1621.19</v>
      </c>
      <c r="X230">
        <v>1200</v>
      </c>
      <c r="Y230">
        <v>56</v>
      </c>
      <c r="Z230" t="s">
        <v>7253</v>
      </c>
      <c r="AB230" t="s">
        <v>8793</v>
      </c>
      <c r="AC230" t="s">
        <v>8747</v>
      </c>
      <c r="AE230" t="s">
        <v>8794</v>
      </c>
      <c r="AF230" t="s">
        <v>8795</v>
      </c>
      <c r="AH230" t="s">
        <v>5445</v>
      </c>
      <c r="AI230" t="s">
        <v>8747</v>
      </c>
      <c r="AO230" t="s">
        <v>8796</v>
      </c>
    </row>
    <row r="231" spans="1:41" hidden="1" x14ac:dyDescent="0.35">
      <c r="A231" t="s">
        <v>8797</v>
      </c>
      <c r="B231" t="s">
        <v>7246</v>
      </c>
      <c r="C231" t="s">
        <v>387</v>
      </c>
      <c r="D231" t="s">
        <v>387</v>
      </c>
      <c r="E231" t="s">
        <v>387</v>
      </c>
      <c r="G231" s="13" t="s">
        <v>8798</v>
      </c>
      <c r="H231" t="s">
        <v>8799</v>
      </c>
      <c r="J231" t="s">
        <v>8783</v>
      </c>
      <c r="K231" t="s">
        <v>8784</v>
      </c>
      <c r="L231" t="s">
        <v>8784</v>
      </c>
      <c r="M231" t="s">
        <v>7250</v>
      </c>
      <c r="R231">
        <v>32.85</v>
      </c>
      <c r="S231" t="s">
        <v>8257</v>
      </c>
      <c r="T231">
        <v>32.85</v>
      </c>
      <c r="U231">
        <v>15287.85</v>
      </c>
      <c r="V231">
        <v>680</v>
      </c>
      <c r="W231">
        <v>842.78</v>
      </c>
      <c r="X231">
        <v>680</v>
      </c>
      <c r="Y231">
        <v>56</v>
      </c>
      <c r="Z231" t="s">
        <v>7253</v>
      </c>
      <c r="AA231" t="s">
        <v>8800</v>
      </c>
      <c r="AB231" t="s">
        <v>8801</v>
      </c>
      <c r="AC231" t="s">
        <v>8747</v>
      </c>
      <c r="AE231" t="s">
        <v>6037</v>
      </c>
      <c r="AF231" t="s">
        <v>8802</v>
      </c>
      <c r="AH231" t="s">
        <v>8802</v>
      </c>
      <c r="AI231" t="s">
        <v>8747</v>
      </c>
      <c r="AO231" t="s">
        <v>8803</v>
      </c>
    </row>
    <row r="232" spans="1:41" hidden="1" x14ac:dyDescent="0.35">
      <c r="A232" t="s">
        <v>8804</v>
      </c>
      <c r="B232" t="s">
        <v>7246</v>
      </c>
      <c r="C232" t="s">
        <v>387</v>
      </c>
      <c r="D232" t="s">
        <v>387</v>
      </c>
      <c r="E232" t="s">
        <v>387</v>
      </c>
      <c r="G232" s="13" t="s">
        <v>8805</v>
      </c>
      <c r="H232" t="s">
        <v>8806</v>
      </c>
      <c r="J232" t="s">
        <v>8783</v>
      </c>
      <c r="K232" t="s">
        <v>8784</v>
      </c>
      <c r="L232" t="s">
        <v>8784</v>
      </c>
      <c r="M232" t="s">
        <v>7250</v>
      </c>
      <c r="R232">
        <v>32.85</v>
      </c>
      <c r="S232" t="s">
        <v>8257</v>
      </c>
      <c r="T232">
        <v>32.85</v>
      </c>
      <c r="U232">
        <v>15287.85</v>
      </c>
      <c r="V232">
        <v>1195</v>
      </c>
      <c r="W232">
        <v>1141.56</v>
      </c>
      <c r="X232">
        <v>1195</v>
      </c>
      <c r="Y232">
        <v>56</v>
      </c>
      <c r="Z232" t="s">
        <v>7253</v>
      </c>
      <c r="AB232" t="s">
        <v>8793</v>
      </c>
      <c r="AC232" t="s">
        <v>8747</v>
      </c>
      <c r="AE232" t="s">
        <v>8794</v>
      </c>
      <c r="AF232" t="s">
        <v>8807</v>
      </c>
      <c r="AH232" t="s">
        <v>3415</v>
      </c>
      <c r="AI232" t="s">
        <v>8747</v>
      </c>
      <c r="AO232" t="s">
        <v>8808</v>
      </c>
    </row>
    <row r="233" spans="1:41" hidden="1" x14ac:dyDescent="0.35">
      <c r="A233" t="s">
        <v>8809</v>
      </c>
      <c r="B233" t="s">
        <v>7246</v>
      </c>
      <c r="C233" t="s">
        <v>387</v>
      </c>
      <c r="D233" t="s">
        <v>387</v>
      </c>
      <c r="E233" t="s">
        <v>387</v>
      </c>
      <c r="G233" s="13" t="s">
        <v>8810</v>
      </c>
      <c r="H233" t="s">
        <v>8811</v>
      </c>
      <c r="J233" t="s">
        <v>8783</v>
      </c>
      <c r="K233" t="s">
        <v>8784</v>
      </c>
      <c r="L233" t="s">
        <v>8784</v>
      </c>
      <c r="M233" t="s">
        <v>7250</v>
      </c>
      <c r="R233">
        <v>40.15</v>
      </c>
      <c r="S233" t="s">
        <v>8257</v>
      </c>
      <c r="T233">
        <v>40.15</v>
      </c>
      <c r="U233">
        <v>18685.150000000001</v>
      </c>
      <c r="V233">
        <v>1145</v>
      </c>
      <c r="W233">
        <v>925.64</v>
      </c>
      <c r="X233">
        <v>1145</v>
      </c>
      <c r="AA233" t="s">
        <v>8812</v>
      </c>
      <c r="AB233" t="s">
        <v>8793</v>
      </c>
      <c r="AC233" t="s">
        <v>8747</v>
      </c>
      <c r="AE233" t="s">
        <v>8794</v>
      </c>
      <c r="AF233" t="s">
        <v>8807</v>
      </c>
      <c r="AH233" t="s">
        <v>3415</v>
      </c>
      <c r="AI233" t="s">
        <v>8747</v>
      </c>
      <c r="AO233" t="s">
        <v>8813</v>
      </c>
    </row>
    <row r="234" spans="1:41" hidden="1" x14ac:dyDescent="0.35">
      <c r="A234" t="s">
        <v>8814</v>
      </c>
      <c r="B234" t="s">
        <v>7246</v>
      </c>
      <c r="C234" t="s">
        <v>387</v>
      </c>
      <c r="D234" t="s">
        <v>387</v>
      </c>
      <c r="E234" t="s">
        <v>387</v>
      </c>
      <c r="G234" s="13" t="s">
        <v>8815</v>
      </c>
      <c r="H234" t="s">
        <v>8816</v>
      </c>
      <c r="J234" t="s">
        <v>8783</v>
      </c>
      <c r="K234" t="s">
        <v>8784</v>
      </c>
      <c r="L234" t="s">
        <v>8784</v>
      </c>
      <c r="M234" t="s">
        <v>7250</v>
      </c>
      <c r="N234">
        <v>2018</v>
      </c>
      <c r="R234">
        <v>3884.6</v>
      </c>
      <c r="S234" t="s">
        <v>7251</v>
      </c>
      <c r="T234">
        <v>40.18</v>
      </c>
      <c r="U234">
        <v>18697.88</v>
      </c>
      <c r="V234">
        <v>600</v>
      </c>
      <c r="W234">
        <v>1654.56</v>
      </c>
      <c r="X234">
        <v>600</v>
      </c>
      <c r="Y234">
        <v>56</v>
      </c>
      <c r="Z234" t="s">
        <v>7253</v>
      </c>
      <c r="AA234" t="s">
        <v>8812</v>
      </c>
      <c r="AB234" t="s">
        <v>8793</v>
      </c>
      <c r="AC234" t="s">
        <v>8747</v>
      </c>
      <c r="AE234" t="s">
        <v>8794</v>
      </c>
      <c r="AF234" t="s">
        <v>6085</v>
      </c>
      <c r="AH234" t="s">
        <v>8817</v>
      </c>
      <c r="AI234" t="s">
        <v>8747</v>
      </c>
      <c r="AO234" t="s">
        <v>8818</v>
      </c>
    </row>
    <row r="235" spans="1:41" hidden="1" x14ac:dyDescent="0.35">
      <c r="A235" t="s">
        <v>8819</v>
      </c>
      <c r="B235" t="s">
        <v>7246</v>
      </c>
      <c r="C235" t="s">
        <v>387</v>
      </c>
      <c r="D235" t="s">
        <v>387</v>
      </c>
      <c r="E235" t="s">
        <v>387</v>
      </c>
      <c r="G235" s="13" t="s">
        <v>8820</v>
      </c>
      <c r="H235" t="s">
        <v>8821</v>
      </c>
      <c r="J235" t="s">
        <v>8783</v>
      </c>
      <c r="K235" t="s">
        <v>8784</v>
      </c>
      <c r="L235" t="s">
        <v>8784</v>
      </c>
      <c r="M235" t="s">
        <v>7250</v>
      </c>
      <c r="N235">
        <v>2010</v>
      </c>
      <c r="R235">
        <v>1800</v>
      </c>
      <c r="S235" t="s">
        <v>7251</v>
      </c>
      <c r="T235">
        <v>18.62</v>
      </c>
      <c r="U235">
        <v>8664</v>
      </c>
      <c r="V235">
        <v>907</v>
      </c>
      <c r="W235">
        <v>1788.71</v>
      </c>
      <c r="X235">
        <v>907</v>
      </c>
      <c r="Y235">
        <v>56</v>
      </c>
      <c r="Z235" t="s">
        <v>7253</v>
      </c>
      <c r="AA235" t="s">
        <v>8812</v>
      </c>
      <c r="AB235" t="s">
        <v>8793</v>
      </c>
      <c r="AC235" t="s">
        <v>8747</v>
      </c>
      <c r="AE235" t="s">
        <v>8794</v>
      </c>
      <c r="AF235" t="s">
        <v>8822</v>
      </c>
      <c r="AH235" t="s">
        <v>8823</v>
      </c>
      <c r="AI235" t="s">
        <v>8747</v>
      </c>
      <c r="AO235" t="s">
        <v>8824</v>
      </c>
    </row>
    <row r="236" spans="1:41" hidden="1" x14ac:dyDescent="0.35">
      <c r="A236" t="s">
        <v>8825</v>
      </c>
      <c r="B236" t="s">
        <v>7246</v>
      </c>
      <c r="C236" t="s">
        <v>387</v>
      </c>
      <c r="D236" t="s">
        <v>387</v>
      </c>
      <c r="E236" t="s">
        <v>387</v>
      </c>
      <c r="G236" s="13" t="s">
        <v>8826</v>
      </c>
      <c r="H236" t="s">
        <v>8827</v>
      </c>
      <c r="J236" t="s">
        <v>8783</v>
      </c>
      <c r="K236" t="s">
        <v>8784</v>
      </c>
      <c r="L236" t="s">
        <v>8784</v>
      </c>
      <c r="M236" t="s">
        <v>7250</v>
      </c>
      <c r="N236">
        <v>2016</v>
      </c>
      <c r="R236">
        <v>3884.6</v>
      </c>
      <c r="S236" t="s">
        <v>7251</v>
      </c>
      <c r="T236">
        <v>40.18</v>
      </c>
      <c r="U236">
        <v>18697.88</v>
      </c>
      <c r="V236">
        <v>1000</v>
      </c>
      <c r="W236">
        <v>890.28</v>
      </c>
      <c r="X236">
        <v>1000</v>
      </c>
      <c r="Y236">
        <v>56</v>
      </c>
      <c r="Z236" t="s">
        <v>7253</v>
      </c>
      <c r="AB236" t="s">
        <v>8828</v>
      </c>
      <c r="AC236" t="s">
        <v>8747</v>
      </c>
      <c r="AH236" t="s">
        <v>8829</v>
      </c>
      <c r="AI236" t="s">
        <v>8747</v>
      </c>
      <c r="AO236" t="s">
        <v>8830</v>
      </c>
    </row>
    <row r="237" spans="1:41" hidden="1" x14ac:dyDescent="0.35">
      <c r="A237" t="s">
        <v>8831</v>
      </c>
      <c r="B237" t="s">
        <v>7246</v>
      </c>
      <c r="C237" t="s">
        <v>387</v>
      </c>
      <c r="D237" t="s">
        <v>387</v>
      </c>
      <c r="E237" t="s">
        <v>387</v>
      </c>
      <c r="G237" s="13" t="s">
        <v>8832</v>
      </c>
      <c r="H237" t="s">
        <v>8833</v>
      </c>
      <c r="J237" t="s">
        <v>8834</v>
      </c>
      <c r="K237" t="s">
        <v>8784</v>
      </c>
      <c r="L237" t="s">
        <v>8784</v>
      </c>
      <c r="M237" t="s">
        <v>7415</v>
      </c>
      <c r="N237">
        <v>2022</v>
      </c>
      <c r="R237">
        <v>3884.6</v>
      </c>
      <c r="S237" t="s">
        <v>7251</v>
      </c>
      <c r="T237">
        <v>40.18</v>
      </c>
      <c r="U237">
        <v>18697.88</v>
      </c>
      <c r="V237">
        <v>1900</v>
      </c>
      <c r="W237">
        <v>1565.19</v>
      </c>
      <c r="X237">
        <v>1900</v>
      </c>
      <c r="Y237">
        <v>56</v>
      </c>
      <c r="Z237" t="s">
        <v>7253</v>
      </c>
      <c r="AA237" t="s">
        <v>8812</v>
      </c>
      <c r="AB237" t="s">
        <v>8793</v>
      </c>
      <c r="AC237" t="s">
        <v>8747</v>
      </c>
      <c r="AF237" t="s">
        <v>8795</v>
      </c>
      <c r="AH237" t="s">
        <v>8835</v>
      </c>
      <c r="AI237" t="s">
        <v>8747</v>
      </c>
      <c r="AO237" t="s">
        <v>8836</v>
      </c>
    </row>
    <row r="238" spans="1:41" hidden="1" x14ac:dyDescent="0.35">
      <c r="A238" t="s">
        <v>8837</v>
      </c>
      <c r="B238" t="s">
        <v>7246</v>
      </c>
      <c r="C238" t="s">
        <v>387</v>
      </c>
      <c r="D238" t="s">
        <v>353</v>
      </c>
      <c r="E238" t="s">
        <v>8838</v>
      </c>
      <c r="G238" s="13" t="s">
        <v>8839</v>
      </c>
      <c r="H238" t="s">
        <v>8840</v>
      </c>
      <c r="K238" t="s">
        <v>8841</v>
      </c>
      <c r="L238" t="s">
        <v>8841</v>
      </c>
      <c r="M238" t="s">
        <v>7250</v>
      </c>
      <c r="N238">
        <v>2007</v>
      </c>
      <c r="R238">
        <v>222.5</v>
      </c>
      <c r="S238" t="s">
        <v>7251</v>
      </c>
      <c r="T238">
        <v>2.2999999999999998</v>
      </c>
      <c r="U238">
        <v>1070.97</v>
      </c>
      <c r="V238">
        <v>141</v>
      </c>
      <c r="W238">
        <v>91.79</v>
      </c>
      <c r="X238">
        <v>141</v>
      </c>
      <c r="Y238">
        <v>700</v>
      </c>
      <c r="Z238" t="s">
        <v>8842</v>
      </c>
      <c r="AB238" t="s">
        <v>2374</v>
      </c>
      <c r="AC238" t="s">
        <v>8747</v>
      </c>
      <c r="AF238" t="s">
        <v>8843</v>
      </c>
      <c r="AI238" t="s">
        <v>8844</v>
      </c>
      <c r="AO238" t="s">
        <v>8845</v>
      </c>
    </row>
    <row r="239" spans="1:41" hidden="1" x14ac:dyDescent="0.35">
      <c r="A239" t="s">
        <v>8846</v>
      </c>
      <c r="B239" t="s">
        <v>7246</v>
      </c>
      <c r="C239" t="s">
        <v>387</v>
      </c>
      <c r="D239" t="s">
        <v>439</v>
      </c>
      <c r="E239" t="s">
        <v>8847</v>
      </c>
      <c r="G239" s="13" t="s">
        <v>8848</v>
      </c>
      <c r="H239" t="s">
        <v>8849</v>
      </c>
      <c r="J239" t="s">
        <v>8850</v>
      </c>
      <c r="K239" t="s">
        <v>8851</v>
      </c>
      <c r="L239" t="s">
        <v>8851</v>
      </c>
      <c r="M239" t="s">
        <v>7731</v>
      </c>
      <c r="R239">
        <v>3884.6</v>
      </c>
      <c r="S239" t="s">
        <v>7251</v>
      </c>
      <c r="T239">
        <v>40.18</v>
      </c>
      <c r="U239">
        <v>18697.88</v>
      </c>
      <c r="V239">
        <v>5600</v>
      </c>
      <c r="W239">
        <v>1847.17</v>
      </c>
      <c r="X239">
        <v>5600</v>
      </c>
      <c r="AA239" t="s">
        <v>8812</v>
      </c>
      <c r="AB239" t="s">
        <v>8793</v>
      </c>
      <c r="AC239" t="s">
        <v>8747</v>
      </c>
      <c r="AE239" t="s">
        <v>8794</v>
      </c>
      <c r="AF239" t="s">
        <v>6177</v>
      </c>
      <c r="AI239" t="s">
        <v>8747</v>
      </c>
      <c r="AO239" t="s">
        <v>8852</v>
      </c>
    </row>
    <row r="240" spans="1:41" hidden="1" x14ac:dyDescent="0.35">
      <c r="A240" t="s">
        <v>8853</v>
      </c>
      <c r="B240" t="s">
        <v>7246</v>
      </c>
      <c r="C240" t="s">
        <v>387</v>
      </c>
      <c r="D240" t="s">
        <v>383</v>
      </c>
      <c r="E240" t="s">
        <v>8854</v>
      </c>
      <c r="G240" s="13" t="s">
        <v>8855</v>
      </c>
      <c r="H240" t="s">
        <v>8856</v>
      </c>
      <c r="J240" t="s">
        <v>8857</v>
      </c>
      <c r="K240" t="s">
        <v>8851</v>
      </c>
      <c r="L240" t="s">
        <v>8851</v>
      </c>
      <c r="M240" t="s">
        <v>7269</v>
      </c>
      <c r="R240">
        <v>3884.6</v>
      </c>
      <c r="S240" t="s">
        <v>7251</v>
      </c>
      <c r="T240">
        <v>40.18</v>
      </c>
      <c r="U240">
        <v>18697.88</v>
      </c>
      <c r="V240">
        <v>2700</v>
      </c>
      <c r="W240">
        <v>2975.18</v>
      </c>
      <c r="X240">
        <v>2700</v>
      </c>
      <c r="AA240" t="s">
        <v>8812</v>
      </c>
      <c r="AB240" t="s">
        <v>8793</v>
      </c>
      <c r="AC240" t="s">
        <v>8747</v>
      </c>
      <c r="AE240" t="s">
        <v>8794</v>
      </c>
      <c r="AF240" t="s">
        <v>8858</v>
      </c>
      <c r="AH240" t="s">
        <v>383</v>
      </c>
      <c r="AI240" t="s">
        <v>8859</v>
      </c>
      <c r="AO240" t="s">
        <v>8860</v>
      </c>
    </row>
    <row r="241" spans="1:41" hidden="1" x14ac:dyDescent="0.35">
      <c r="A241" t="s">
        <v>8861</v>
      </c>
      <c r="B241" t="s">
        <v>7246</v>
      </c>
      <c r="C241" t="s">
        <v>387</v>
      </c>
      <c r="D241" t="s">
        <v>5205</v>
      </c>
      <c r="E241" t="s">
        <v>8862</v>
      </c>
      <c r="G241" s="13" t="s">
        <v>8863</v>
      </c>
      <c r="H241" t="s">
        <v>8864</v>
      </c>
      <c r="J241" t="s">
        <v>8865</v>
      </c>
      <c r="K241" t="s">
        <v>8784</v>
      </c>
      <c r="L241" t="s">
        <v>8784</v>
      </c>
      <c r="M241" t="s">
        <v>7415</v>
      </c>
      <c r="N241">
        <v>2024</v>
      </c>
      <c r="R241">
        <v>750</v>
      </c>
      <c r="S241" t="s">
        <v>7251</v>
      </c>
      <c r="T241">
        <v>7.76</v>
      </c>
      <c r="U241">
        <v>3610</v>
      </c>
      <c r="V241">
        <v>2775</v>
      </c>
      <c r="W241">
        <v>1781.41</v>
      </c>
      <c r="X241">
        <v>2775</v>
      </c>
      <c r="AA241" t="s">
        <v>8812</v>
      </c>
      <c r="AB241" t="s">
        <v>8793</v>
      </c>
      <c r="AC241" t="s">
        <v>8747</v>
      </c>
      <c r="AE241" t="s">
        <v>8794</v>
      </c>
      <c r="AF241" t="s">
        <v>8866</v>
      </c>
      <c r="AH241" t="s">
        <v>3542</v>
      </c>
      <c r="AI241" t="s">
        <v>8859</v>
      </c>
      <c r="AO241" t="s">
        <v>8867</v>
      </c>
    </row>
    <row r="242" spans="1:41" hidden="1" x14ac:dyDescent="0.35">
      <c r="A242" t="s">
        <v>8868</v>
      </c>
      <c r="B242" t="s">
        <v>7246</v>
      </c>
      <c r="C242" t="s">
        <v>344</v>
      </c>
      <c r="D242" t="s">
        <v>5861</v>
      </c>
      <c r="E242" t="s">
        <v>8869</v>
      </c>
      <c r="G242" s="13" t="s">
        <v>8870</v>
      </c>
      <c r="H242" t="s">
        <v>8871</v>
      </c>
      <c r="J242" t="s">
        <v>8872</v>
      </c>
      <c r="K242" t="s">
        <v>8873</v>
      </c>
      <c r="L242" t="s">
        <v>8873</v>
      </c>
      <c r="M242" t="s">
        <v>8874</v>
      </c>
      <c r="N242">
        <v>1996</v>
      </c>
      <c r="R242">
        <v>12</v>
      </c>
      <c r="S242" t="s">
        <v>8257</v>
      </c>
      <c r="T242">
        <v>12</v>
      </c>
      <c r="U242">
        <v>5584.6</v>
      </c>
      <c r="V242">
        <v>1350</v>
      </c>
      <c r="W242">
        <v>1193.1500000000001</v>
      </c>
      <c r="X242">
        <v>1350</v>
      </c>
      <c r="AB242" t="s">
        <v>8875</v>
      </c>
      <c r="AC242" t="s">
        <v>8747</v>
      </c>
      <c r="AE242" t="s">
        <v>8876</v>
      </c>
      <c r="AF242" t="s">
        <v>8877</v>
      </c>
      <c r="AH242" t="s">
        <v>8878</v>
      </c>
      <c r="AI242" t="s">
        <v>8777</v>
      </c>
      <c r="AL242" t="s">
        <v>8879</v>
      </c>
      <c r="AO242" t="s">
        <v>8880</v>
      </c>
    </row>
    <row r="243" spans="1:41" hidden="1" x14ac:dyDescent="0.35">
      <c r="A243" t="s">
        <v>8881</v>
      </c>
      <c r="B243" t="s">
        <v>7246</v>
      </c>
      <c r="C243" t="s">
        <v>4077</v>
      </c>
      <c r="D243" t="s">
        <v>431</v>
      </c>
      <c r="E243" t="s">
        <v>8882</v>
      </c>
      <c r="G243" s="13" t="s">
        <v>8883</v>
      </c>
      <c r="H243" t="s">
        <v>8884</v>
      </c>
      <c r="J243" t="s">
        <v>8885</v>
      </c>
      <c r="K243" t="s">
        <v>8886</v>
      </c>
      <c r="L243" t="s">
        <v>8886</v>
      </c>
      <c r="M243" t="s">
        <v>7250</v>
      </c>
      <c r="N243">
        <v>2004</v>
      </c>
      <c r="R243">
        <v>540.29999999999995</v>
      </c>
      <c r="S243" t="s">
        <v>7251</v>
      </c>
      <c r="T243">
        <v>5.59</v>
      </c>
      <c r="U243">
        <v>2600.64</v>
      </c>
      <c r="V243">
        <v>865</v>
      </c>
      <c r="W243">
        <v>839.11</v>
      </c>
      <c r="X243">
        <v>865</v>
      </c>
      <c r="AA243" t="s">
        <v>8887</v>
      </c>
      <c r="AC243" t="s">
        <v>8765</v>
      </c>
      <c r="AI243" t="s">
        <v>8765</v>
      </c>
      <c r="AO243" t="s">
        <v>8888</v>
      </c>
    </row>
    <row r="244" spans="1:41" hidden="1" x14ac:dyDescent="0.35">
      <c r="A244" t="s">
        <v>8889</v>
      </c>
      <c r="B244" t="s">
        <v>7246</v>
      </c>
      <c r="C244" t="s">
        <v>8890</v>
      </c>
      <c r="D244" t="s">
        <v>8890</v>
      </c>
      <c r="E244" t="s">
        <v>8890</v>
      </c>
      <c r="G244" s="13" t="s">
        <v>8891</v>
      </c>
      <c r="H244" t="s">
        <v>8892</v>
      </c>
      <c r="K244" t="s">
        <v>8893</v>
      </c>
      <c r="L244" t="s">
        <v>8893</v>
      </c>
      <c r="M244" t="s">
        <v>7250</v>
      </c>
      <c r="N244">
        <v>2015</v>
      </c>
      <c r="R244">
        <v>8.1</v>
      </c>
      <c r="S244" t="s">
        <v>8257</v>
      </c>
      <c r="T244">
        <v>8.1</v>
      </c>
      <c r="U244">
        <v>3769.61</v>
      </c>
      <c r="V244">
        <v>533</v>
      </c>
      <c r="W244">
        <v>410.64</v>
      </c>
      <c r="X244">
        <v>533</v>
      </c>
      <c r="Y244">
        <v>36</v>
      </c>
      <c r="Z244" t="s">
        <v>7253</v>
      </c>
      <c r="AA244" t="s">
        <v>8894</v>
      </c>
      <c r="AB244" t="s">
        <v>8895</v>
      </c>
      <c r="AC244" t="s">
        <v>8765</v>
      </c>
      <c r="AE244" t="s">
        <v>8896</v>
      </c>
      <c r="AF244" t="s">
        <v>8897</v>
      </c>
      <c r="AI244" t="s">
        <v>8765</v>
      </c>
      <c r="AO244" t="s">
        <v>8898</v>
      </c>
    </row>
    <row r="245" spans="1:41" hidden="1" x14ac:dyDescent="0.35">
      <c r="A245" t="s">
        <v>8899</v>
      </c>
      <c r="B245" t="s">
        <v>7246</v>
      </c>
      <c r="C245" t="s">
        <v>387</v>
      </c>
      <c r="D245" t="s">
        <v>5861</v>
      </c>
      <c r="E245" t="s">
        <v>8900</v>
      </c>
      <c r="G245" s="13" t="s">
        <v>8901</v>
      </c>
      <c r="H245" t="s">
        <v>8902</v>
      </c>
      <c r="J245" t="s">
        <v>8903</v>
      </c>
      <c r="K245" t="s">
        <v>8784</v>
      </c>
      <c r="L245" t="s">
        <v>8784</v>
      </c>
      <c r="M245" t="s">
        <v>7269</v>
      </c>
      <c r="R245">
        <v>40</v>
      </c>
      <c r="S245" t="s">
        <v>8257</v>
      </c>
      <c r="T245">
        <v>40</v>
      </c>
      <c r="U245">
        <v>18615.34</v>
      </c>
      <c r="V245">
        <v>3300</v>
      </c>
      <c r="W245">
        <v>7436.47</v>
      </c>
      <c r="X245">
        <v>3300</v>
      </c>
      <c r="AA245" t="s">
        <v>8812</v>
      </c>
      <c r="AB245" t="s">
        <v>8793</v>
      </c>
      <c r="AC245" t="s">
        <v>8747</v>
      </c>
      <c r="AI245" t="s">
        <v>8777</v>
      </c>
      <c r="AO245" t="s">
        <v>8904</v>
      </c>
    </row>
    <row r="246" spans="1:41" hidden="1" x14ac:dyDescent="0.35">
      <c r="A246" t="s">
        <v>8905</v>
      </c>
      <c r="B246" t="s">
        <v>7246</v>
      </c>
      <c r="C246" t="s">
        <v>420</v>
      </c>
      <c r="D246" t="s">
        <v>5583</v>
      </c>
      <c r="E246" t="s">
        <v>8906</v>
      </c>
      <c r="G246" s="13" t="s">
        <v>8907</v>
      </c>
      <c r="H246" t="s">
        <v>8908</v>
      </c>
      <c r="K246" t="s">
        <v>6543</v>
      </c>
      <c r="L246" t="s">
        <v>6543</v>
      </c>
      <c r="M246" t="s">
        <v>7269</v>
      </c>
      <c r="T246" t="s">
        <v>6546</v>
      </c>
      <c r="U246" t="s">
        <v>6546</v>
      </c>
      <c r="V246" t="s">
        <v>6546</v>
      </c>
      <c r="W246">
        <v>3075.3</v>
      </c>
      <c r="X246">
        <v>3075.3</v>
      </c>
      <c r="AA246" t="s">
        <v>8909</v>
      </c>
      <c r="AC246" t="s">
        <v>8747</v>
      </c>
      <c r="AF246" t="s">
        <v>8910</v>
      </c>
      <c r="AI246" t="s">
        <v>8777</v>
      </c>
      <c r="AO246" t="s">
        <v>8911</v>
      </c>
    </row>
    <row r="247" spans="1:41" hidden="1" x14ac:dyDescent="0.35">
      <c r="A247" t="s">
        <v>8912</v>
      </c>
      <c r="B247" t="s">
        <v>7246</v>
      </c>
      <c r="C247" t="s">
        <v>387</v>
      </c>
      <c r="D247" t="s">
        <v>5925</v>
      </c>
      <c r="E247" t="s">
        <v>8913</v>
      </c>
      <c r="G247" s="13" t="s">
        <v>8914</v>
      </c>
      <c r="H247" t="s">
        <v>8915</v>
      </c>
      <c r="J247" t="s">
        <v>8916</v>
      </c>
      <c r="K247" t="s">
        <v>8917</v>
      </c>
      <c r="L247" t="s">
        <v>8918</v>
      </c>
      <c r="M247" t="s">
        <v>7250</v>
      </c>
      <c r="N247">
        <v>2001</v>
      </c>
      <c r="R247">
        <v>14</v>
      </c>
      <c r="S247" t="s">
        <v>8257</v>
      </c>
      <c r="T247">
        <v>14</v>
      </c>
      <c r="U247">
        <v>6515.37</v>
      </c>
      <c r="V247">
        <v>2577</v>
      </c>
      <c r="W247">
        <v>1318.51</v>
      </c>
      <c r="X247">
        <v>2577</v>
      </c>
      <c r="Y247" t="s">
        <v>8919</v>
      </c>
      <c r="Z247" t="s">
        <v>7253</v>
      </c>
      <c r="AB247" t="s">
        <v>2374</v>
      </c>
      <c r="AC247" t="s">
        <v>8747</v>
      </c>
      <c r="AF247" t="s">
        <v>3755</v>
      </c>
      <c r="AI247" t="s">
        <v>8777</v>
      </c>
      <c r="AO247" t="s">
        <v>8920</v>
      </c>
    </row>
    <row r="248" spans="1:41" hidden="1" x14ac:dyDescent="0.35">
      <c r="A248" t="s">
        <v>8921</v>
      </c>
      <c r="B248" t="s">
        <v>7246</v>
      </c>
      <c r="C248" t="s">
        <v>414</v>
      </c>
      <c r="D248" t="s">
        <v>344</v>
      </c>
      <c r="E248" t="s">
        <v>8922</v>
      </c>
      <c r="G248" s="13" t="s">
        <v>8923</v>
      </c>
      <c r="H248" t="s">
        <v>8924</v>
      </c>
      <c r="J248" t="s">
        <v>8925</v>
      </c>
      <c r="K248" t="s">
        <v>8926</v>
      </c>
      <c r="L248" t="s">
        <v>8926</v>
      </c>
      <c r="M248" t="s">
        <v>7292</v>
      </c>
      <c r="R248">
        <v>30</v>
      </c>
      <c r="S248" t="s">
        <v>8257</v>
      </c>
      <c r="T248">
        <v>30</v>
      </c>
      <c r="U248">
        <v>13961.5</v>
      </c>
      <c r="V248">
        <v>4128</v>
      </c>
      <c r="W248">
        <v>2445.39</v>
      </c>
      <c r="X248">
        <v>4128</v>
      </c>
      <c r="Y248" t="s">
        <v>8927</v>
      </c>
      <c r="Z248" t="s">
        <v>7253</v>
      </c>
      <c r="AA248" s="13" t="s">
        <v>8928</v>
      </c>
      <c r="AB248" t="s">
        <v>3525</v>
      </c>
      <c r="AC248" t="s">
        <v>8765</v>
      </c>
      <c r="AD248" t="s">
        <v>4084</v>
      </c>
      <c r="AF248" t="s">
        <v>8875</v>
      </c>
      <c r="AH248" t="s">
        <v>8876</v>
      </c>
      <c r="AI248" t="s">
        <v>8747</v>
      </c>
      <c r="AL248" t="s">
        <v>8929</v>
      </c>
      <c r="AO248" t="s">
        <v>8930</v>
      </c>
    </row>
    <row r="249" spans="1:41" hidden="1" x14ac:dyDescent="0.35">
      <c r="A249" t="s">
        <v>8931</v>
      </c>
      <c r="B249" t="s">
        <v>7246</v>
      </c>
      <c r="C249" t="s">
        <v>414</v>
      </c>
      <c r="D249" t="s">
        <v>371</v>
      </c>
      <c r="E249" t="s">
        <v>8932</v>
      </c>
      <c r="G249" s="13" t="s">
        <v>8933</v>
      </c>
      <c r="H249" t="s">
        <v>8934</v>
      </c>
      <c r="K249" t="s">
        <v>8935</v>
      </c>
      <c r="L249" t="s">
        <v>8936</v>
      </c>
      <c r="M249" t="s">
        <v>7250</v>
      </c>
      <c r="N249">
        <v>2006</v>
      </c>
      <c r="R249">
        <v>200</v>
      </c>
      <c r="S249" t="s">
        <v>7251</v>
      </c>
      <c r="T249">
        <v>2.0699999999999998</v>
      </c>
      <c r="U249">
        <v>962.67</v>
      </c>
      <c r="V249">
        <v>678</v>
      </c>
      <c r="W249">
        <v>1320.52</v>
      </c>
      <c r="X249">
        <v>678</v>
      </c>
      <c r="AB249" t="s">
        <v>8937</v>
      </c>
      <c r="AC249" t="s">
        <v>8765</v>
      </c>
      <c r="AF249" t="s">
        <v>8938</v>
      </c>
      <c r="AI249" t="s">
        <v>8765</v>
      </c>
      <c r="AO249" t="s">
        <v>8939</v>
      </c>
    </row>
    <row r="250" spans="1:41" hidden="1" x14ac:dyDescent="0.35">
      <c r="A250" t="s">
        <v>8940</v>
      </c>
      <c r="B250" t="s">
        <v>7246</v>
      </c>
      <c r="C250" t="s">
        <v>392</v>
      </c>
      <c r="D250" t="s">
        <v>370</v>
      </c>
      <c r="E250" t="s">
        <v>8941</v>
      </c>
      <c r="G250" s="13" t="s">
        <v>8942</v>
      </c>
      <c r="H250" t="s">
        <v>8943</v>
      </c>
      <c r="K250" t="s">
        <v>8944</v>
      </c>
      <c r="L250" t="s">
        <v>8945</v>
      </c>
      <c r="M250" t="s">
        <v>7250</v>
      </c>
      <c r="N250">
        <v>2008</v>
      </c>
      <c r="O250">
        <v>2020</v>
      </c>
      <c r="Q250">
        <v>2012</v>
      </c>
      <c r="R250">
        <v>7</v>
      </c>
      <c r="S250" t="s">
        <v>8257</v>
      </c>
      <c r="T250">
        <v>7</v>
      </c>
      <c r="U250">
        <v>3257.68</v>
      </c>
      <c r="V250">
        <v>90</v>
      </c>
      <c r="W250">
        <v>96.74</v>
      </c>
      <c r="X250">
        <v>90</v>
      </c>
      <c r="AA250" t="s">
        <v>370</v>
      </c>
      <c r="AB250" t="s">
        <v>3422</v>
      </c>
      <c r="AC250" t="s">
        <v>8747</v>
      </c>
      <c r="AF250" t="s">
        <v>8746</v>
      </c>
      <c r="AH250" t="s">
        <v>8946</v>
      </c>
      <c r="AI250" t="s">
        <v>8747</v>
      </c>
      <c r="AO250" t="s">
        <v>8947</v>
      </c>
    </row>
    <row r="251" spans="1:41" hidden="1" x14ac:dyDescent="0.35">
      <c r="A251" t="s">
        <v>8948</v>
      </c>
      <c r="B251" t="s">
        <v>7246</v>
      </c>
      <c r="C251" t="s">
        <v>414</v>
      </c>
      <c r="D251" t="s">
        <v>5861</v>
      </c>
      <c r="E251" t="s">
        <v>8949</v>
      </c>
      <c r="G251" s="13" t="s">
        <v>8950</v>
      </c>
      <c r="H251" t="s">
        <v>8951</v>
      </c>
      <c r="J251" t="s">
        <v>8952</v>
      </c>
      <c r="K251" t="s">
        <v>8953</v>
      </c>
      <c r="L251" t="s">
        <v>8953</v>
      </c>
      <c r="M251" t="s">
        <v>7292</v>
      </c>
      <c r="N251">
        <v>2046</v>
      </c>
      <c r="R251">
        <v>30</v>
      </c>
      <c r="S251" t="s">
        <v>8257</v>
      </c>
      <c r="T251">
        <v>30</v>
      </c>
      <c r="U251">
        <v>13961.5</v>
      </c>
      <c r="V251">
        <v>5660</v>
      </c>
      <c r="W251">
        <v>6965.1</v>
      </c>
      <c r="X251">
        <v>5660</v>
      </c>
      <c r="AA251" t="s">
        <v>3525</v>
      </c>
      <c r="AB251" t="s">
        <v>8766</v>
      </c>
      <c r="AC251" t="s">
        <v>8765</v>
      </c>
      <c r="AF251" t="s">
        <v>8954</v>
      </c>
      <c r="AI251" t="s">
        <v>8777</v>
      </c>
      <c r="AO251" t="s">
        <v>8955</v>
      </c>
    </row>
    <row r="252" spans="1:41" hidden="1" x14ac:dyDescent="0.35">
      <c r="A252" t="s">
        <v>8956</v>
      </c>
      <c r="B252" t="s">
        <v>7246</v>
      </c>
      <c r="C252" t="s">
        <v>344</v>
      </c>
      <c r="D252" t="s">
        <v>344</v>
      </c>
      <c r="E252" t="s">
        <v>344</v>
      </c>
      <c r="G252" s="13" t="s">
        <v>8957</v>
      </c>
      <c r="H252" t="s">
        <v>8958</v>
      </c>
      <c r="J252" t="s">
        <v>8959</v>
      </c>
      <c r="K252" t="s">
        <v>8960</v>
      </c>
      <c r="L252" t="s">
        <v>8960</v>
      </c>
      <c r="M252" t="s">
        <v>7250</v>
      </c>
      <c r="N252">
        <v>1976</v>
      </c>
      <c r="R252">
        <v>630</v>
      </c>
      <c r="S252" t="s">
        <v>7251</v>
      </c>
      <c r="T252">
        <v>6.52</v>
      </c>
      <c r="U252">
        <v>3032.4</v>
      </c>
      <c r="V252">
        <v>150</v>
      </c>
      <c r="W252">
        <v>141.86000000000001</v>
      </c>
      <c r="X252">
        <v>150</v>
      </c>
      <c r="AB252" t="s">
        <v>8961</v>
      </c>
      <c r="AC252" t="s">
        <v>8747</v>
      </c>
      <c r="AE252" t="s">
        <v>3129</v>
      </c>
      <c r="AF252" t="s">
        <v>3130</v>
      </c>
      <c r="AH252" t="s">
        <v>3129</v>
      </c>
      <c r="AI252" t="s">
        <v>8747</v>
      </c>
      <c r="AO252" t="s">
        <v>8962</v>
      </c>
    </row>
    <row r="253" spans="1:41" hidden="1" x14ac:dyDescent="0.35">
      <c r="A253" t="s">
        <v>8963</v>
      </c>
      <c r="B253" t="s">
        <v>7246</v>
      </c>
      <c r="C253" t="s">
        <v>344</v>
      </c>
      <c r="D253" t="s">
        <v>344</v>
      </c>
      <c r="E253" t="s">
        <v>344</v>
      </c>
      <c r="G253" s="13" t="s">
        <v>8964</v>
      </c>
      <c r="H253" t="s">
        <v>8965</v>
      </c>
      <c r="K253" t="s">
        <v>8960</v>
      </c>
      <c r="L253" t="s">
        <v>8960</v>
      </c>
      <c r="M253" t="s">
        <v>7250</v>
      </c>
      <c r="T253" t="s">
        <v>6546</v>
      </c>
      <c r="U253" t="s">
        <v>6546</v>
      </c>
      <c r="V253">
        <v>795</v>
      </c>
      <c r="W253">
        <v>760.79</v>
      </c>
      <c r="X253">
        <v>795</v>
      </c>
      <c r="AB253" t="s">
        <v>8966</v>
      </c>
      <c r="AC253" t="s">
        <v>8747</v>
      </c>
      <c r="AE253" t="s">
        <v>3129</v>
      </c>
      <c r="AF253" t="s">
        <v>3127</v>
      </c>
      <c r="AH253" t="s">
        <v>3126</v>
      </c>
      <c r="AI253" t="s">
        <v>8747</v>
      </c>
      <c r="AO253" t="s">
        <v>8967</v>
      </c>
    </row>
    <row r="254" spans="1:41" hidden="1" x14ac:dyDescent="0.35">
      <c r="A254" t="s">
        <v>8968</v>
      </c>
      <c r="B254" t="s">
        <v>7246</v>
      </c>
      <c r="C254" t="s">
        <v>344</v>
      </c>
      <c r="D254" t="s">
        <v>344</v>
      </c>
      <c r="E254" t="s">
        <v>344</v>
      </c>
      <c r="G254" s="13" t="s">
        <v>8969</v>
      </c>
      <c r="H254" t="s">
        <v>8970</v>
      </c>
      <c r="I254" t="s">
        <v>8319</v>
      </c>
      <c r="J254" t="s">
        <v>8971</v>
      </c>
      <c r="K254" t="s">
        <v>8960</v>
      </c>
      <c r="L254" t="s">
        <v>8960</v>
      </c>
      <c r="M254" t="s">
        <v>7250</v>
      </c>
      <c r="N254">
        <v>1961</v>
      </c>
      <c r="R254">
        <v>652.33000000000004</v>
      </c>
      <c r="S254" t="s">
        <v>7251</v>
      </c>
      <c r="T254">
        <v>6.75</v>
      </c>
      <c r="U254">
        <v>3139.88</v>
      </c>
      <c r="V254">
        <v>509</v>
      </c>
      <c r="W254">
        <v>529.5</v>
      </c>
      <c r="X254">
        <v>509</v>
      </c>
      <c r="AB254" t="s">
        <v>8875</v>
      </c>
      <c r="AC254" t="s">
        <v>8747</v>
      </c>
      <c r="AE254" t="s">
        <v>8876</v>
      </c>
      <c r="AF254" t="s">
        <v>3127</v>
      </c>
      <c r="AH254" t="s">
        <v>3126</v>
      </c>
      <c r="AI254" t="s">
        <v>8747</v>
      </c>
      <c r="AL254" t="s">
        <v>8972</v>
      </c>
      <c r="AO254" t="s">
        <v>8973</v>
      </c>
    </row>
    <row r="255" spans="1:41" hidden="1" x14ac:dyDescent="0.35">
      <c r="A255" t="s">
        <v>8974</v>
      </c>
      <c r="B255" t="s">
        <v>7246</v>
      </c>
      <c r="C255" t="s">
        <v>344</v>
      </c>
      <c r="D255" t="s">
        <v>344</v>
      </c>
      <c r="E255" t="s">
        <v>344</v>
      </c>
      <c r="G255" s="13" t="s">
        <v>8975</v>
      </c>
      <c r="H255" t="s">
        <v>8976</v>
      </c>
      <c r="J255" t="s">
        <v>8977</v>
      </c>
      <c r="K255" t="s">
        <v>8960</v>
      </c>
      <c r="L255" t="s">
        <v>8960</v>
      </c>
      <c r="M255" t="s">
        <v>7250</v>
      </c>
      <c r="N255">
        <v>1981</v>
      </c>
      <c r="R255">
        <v>11.3</v>
      </c>
      <c r="S255" t="s">
        <v>8257</v>
      </c>
      <c r="T255">
        <v>11.3</v>
      </c>
      <c r="U255">
        <v>5258.83</v>
      </c>
      <c r="V255">
        <v>436</v>
      </c>
      <c r="W255">
        <v>446.3</v>
      </c>
      <c r="X255">
        <v>436</v>
      </c>
      <c r="Y255">
        <v>42</v>
      </c>
      <c r="Z255" t="s">
        <v>7253</v>
      </c>
      <c r="AA255" s="13" t="s">
        <v>8978</v>
      </c>
      <c r="AB255" t="s">
        <v>8875</v>
      </c>
      <c r="AC255" t="s">
        <v>8747</v>
      </c>
      <c r="AE255" t="s">
        <v>8876</v>
      </c>
      <c r="AF255" t="s">
        <v>8979</v>
      </c>
      <c r="AH255" t="s">
        <v>8980</v>
      </c>
      <c r="AI255" t="s">
        <v>8747</v>
      </c>
      <c r="AL255" t="s">
        <v>8981</v>
      </c>
      <c r="AO255" t="s">
        <v>8982</v>
      </c>
    </row>
    <row r="256" spans="1:41" hidden="1" x14ac:dyDescent="0.35">
      <c r="A256" t="s">
        <v>8983</v>
      </c>
      <c r="B256" t="s">
        <v>7246</v>
      </c>
      <c r="C256" t="s">
        <v>344</v>
      </c>
      <c r="D256" t="s">
        <v>344</v>
      </c>
      <c r="E256" t="s">
        <v>344</v>
      </c>
      <c r="G256" s="13" t="s">
        <v>8984</v>
      </c>
      <c r="H256" t="s">
        <v>8985</v>
      </c>
      <c r="J256" t="s">
        <v>8986</v>
      </c>
      <c r="K256" t="s">
        <v>8960</v>
      </c>
      <c r="L256" t="s">
        <v>8960</v>
      </c>
      <c r="M256" t="s">
        <v>7250</v>
      </c>
      <c r="N256">
        <v>1978</v>
      </c>
      <c r="R256">
        <v>20.47</v>
      </c>
      <c r="S256" t="s">
        <v>8257</v>
      </c>
      <c r="T256">
        <v>20.47</v>
      </c>
      <c r="U256">
        <v>9526.4</v>
      </c>
      <c r="V256">
        <v>575</v>
      </c>
      <c r="W256">
        <v>553.48</v>
      </c>
      <c r="X256">
        <v>575</v>
      </c>
      <c r="Y256">
        <v>40</v>
      </c>
      <c r="Z256" t="s">
        <v>7253</v>
      </c>
      <c r="AA256" s="13" t="s">
        <v>8978</v>
      </c>
      <c r="AB256" t="s">
        <v>8875</v>
      </c>
      <c r="AC256" t="s">
        <v>8747</v>
      </c>
      <c r="AE256" t="s">
        <v>8876</v>
      </c>
      <c r="AF256" t="s">
        <v>3132</v>
      </c>
      <c r="AH256" t="s">
        <v>3132</v>
      </c>
      <c r="AI256" t="s">
        <v>8747</v>
      </c>
      <c r="AL256" t="s">
        <v>8987</v>
      </c>
      <c r="AO256" t="s">
        <v>8988</v>
      </c>
    </row>
    <row r="257" spans="1:41" hidden="1" x14ac:dyDescent="0.35">
      <c r="A257" t="s">
        <v>8989</v>
      </c>
      <c r="B257" t="s">
        <v>7246</v>
      </c>
      <c r="C257" t="s">
        <v>344</v>
      </c>
      <c r="D257" t="s">
        <v>344</v>
      </c>
      <c r="E257" t="s">
        <v>344</v>
      </c>
      <c r="G257" s="13" t="s">
        <v>8990</v>
      </c>
      <c r="H257" t="s">
        <v>8991</v>
      </c>
      <c r="J257" t="s">
        <v>8992</v>
      </c>
      <c r="K257" t="s">
        <v>8993</v>
      </c>
      <c r="L257" t="s">
        <v>8993</v>
      </c>
      <c r="M257" t="s">
        <v>7250</v>
      </c>
      <c r="N257">
        <v>2003</v>
      </c>
      <c r="O257">
        <v>2016</v>
      </c>
      <c r="R257">
        <v>9</v>
      </c>
      <c r="S257" t="s">
        <v>8257</v>
      </c>
      <c r="T257">
        <v>9</v>
      </c>
      <c r="U257">
        <v>4188.45</v>
      </c>
      <c r="V257">
        <v>830</v>
      </c>
      <c r="W257">
        <v>636.71</v>
      </c>
      <c r="X257">
        <v>830</v>
      </c>
      <c r="AB257" t="s">
        <v>8994</v>
      </c>
      <c r="AC257" t="s">
        <v>8747</v>
      </c>
      <c r="AE257" t="s">
        <v>8995</v>
      </c>
      <c r="AF257" t="s">
        <v>8966</v>
      </c>
      <c r="AH257" t="s">
        <v>3129</v>
      </c>
      <c r="AI257" t="s">
        <v>8747</v>
      </c>
      <c r="AL257" t="s">
        <v>8996</v>
      </c>
      <c r="AO257" t="s">
        <v>8997</v>
      </c>
    </row>
    <row r="258" spans="1:41" hidden="1" x14ac:dyDescent="0.35">
      <c r="A258" t="s">
        <v>8998</v>
      </c>
      <c r="B258" t="s">
        <v>7246</v>
      </c>
      <c r="C258" t="s">
        <v>344</v>
      </c>
      <c r="D258" t="s">
        <v>344</v>
      </c>
      <c r="E258" t="s">
        <v>344</v>
      </c>
      <c r="G258" s="13" t="s">
        <v>8999</v>
      </c>
      <c r="H258" t="s">
        <v>9000</v>
      </c>
      <c r="J258" t="s">
        <v>9001</v>
      </c>
      <c r="K258" t="s">
        <v>8960</v>
      </c>
      <c r="L258" t="s">
        <v>8960</v>
      </c>
      <c r="M258" t="s">
        <v>7250</v>
      </c>
      <c r="N258">
        <v>2017</v>
      </c>
      <c r="R258">
        <v>12</v>
      </c>
      <c r="S258" t="s">
        <v>8257</v>
      </c>
      <c r="T258">
        <v>12</v>
      </c>
      <c r="U258">
        <v>5584.6</v>
      </c>
      <c r="V258">
        <v>535</v>
      </c>
      <c r="W258">
        <v>537.29</v>
      </c>
      <c r="X258">
        <v>535</v>
      </c>
      <c r="Y258">
        <v>48</v>
      </c>
      <c r="Z258" t="s">
        <v>7253</v>
      </c>
      <c r="AA258" s="13" t="s">
        <v>8978</v>
      </c>
      <c r="AB258" t="s">
        <v>9002</v>
      </c>
      <c r="AC258" t="s">
        <v>8747</v>
      </c>
      <c r="AE258" t="s">
        <v>3129</v>
      </c>
      <c r="AF258" t="s">
        <v>8875</v>
      </c>
      <c r="AH258" t="s">
        <v>8876</v>
      </c>
      <c r="AI258" t="s">
        <v>8747</v>
      </c>
      <c r="AL258" t="s">
        <v>9003</v>
      </c>
      <c r="AO258" t="s">
        <v>9004</v>
      </c>
    </row>
    <row r="259" spans="1:41" hidden="1" x14ac:dyDescent="0.35">
      <c r="A259" t="s">
        <v>9005</v>
      </c>
      <c r="B259" t="s">
        <v>7246</v>
      </c>
      <c r="C259" t="s">
        <v>347</v>
      </c>
      <c r="D259" t="s">
        <v>347</v>
      </c>
      <c r="E259" t="s">
        <v>347</v>
      </c>
      <c r="G259" s="13" t="s">
        <v>9006</v>
      </c>
      <c r="H259" t="s">
        <v>9007</v>
      </c>
      <c r="K259" t="s">
        <v>9008</v>
      </c>
      <c r="L259" t="s">
        <v>9009</v>
      </c>
      <c r="M259" t="s">
        <v>7250</v>
      </c>
      <c r="N259">
        <v>2016</v>
      </c>
      <c r="R259">
        <v>750</v>
      </c>
      <c r="S259" t="s">
        <v>7251</v>
      </c>
      <c r="T259">
        <v>7.76</v>
      </c>
      <c r="U259">
        <v>3610</v>
      </c>
      <c r="V259">
        <v>500</v>
      </c>
      <c r="W259">
        <v>499.79</v>
      </c>
      <c r="X259">
        <v>500</v>
      </c>
      <c r="AB259" t="s">
        <v>9010</v>
      </c>
      <c r="AC259" t="s">
        <v>8765</v>
      </c>
      <c r="AF259" t="s">
        <v>9011</v>
      </c>
      <c r="AG259" t="s">
        <v>9012</v>
      </c>
      <c r="AH259" t="s">
        <v>9013</v>
      </c>
      <c r="AI259" t="s">
        <v>8765</v>
      </c>
      <c r="AO259" t="s">
        <v>9014</v>
      </c>
    </row>
    <row r="260" spans="1:41" hidden="1" x14ac:dyDescent="0.35">
      <c r="A260" t="s">
        <v>9015</v>
      </c>
      <c r="B260" t="s">
        <v>7246</v>
      </c>
      <c r="C260" t="s">
        <v>9016</v>
      </c>
      <c r="D260" t="s">
        <v>9016</v>
      </c>
      <c r="E260" t="s">
        <v>9016</v>
      </c>
      <c r="G260" s="13" t="s">
        <v>9017</v>
      </c>
      <c r="H260" t="s">
        <v>9018</v>
      </c>
      <c r="K260" t="s">
        <v>9019</v>
      </c>
      <c r="L260" t="s">
        <v>9019</v>
      </c>
      <c r="M260" t="s">
        <v>7250</v>
      </c>
      <c r="N260">
        <v>1999</v>
      </c>
      <c r="R260">
        <v>154</v>
      </c>
      <c r="S260" t="s">
        <v>7251</v>
      </c>
      <c r="T260">
        <v>1.59</v>
      </c>
      <c r="U260">
        <v>741.25</v>
      </c>
      <c r="V260">
        <v>80</v>
      </c>
      <c r="W260">
        <v>85.26</v>
      </c>
      <c r="X260">
        <v>80</v>
      </c>
      <c r="AB260" t="s">
        <v>9020</v>
      </c>
      <c r="AC260" t="s">
        <v>8765</v>
      </c>
      <c r="AF260" t="s">
        <v>2607</v>
      </c>
      <c r="AH260" t="s">
        <v>2607</v>
      </c>
      <c r="AI260" t="s">
        <v>8765</v>
      </c>
      <c r="AO260" t="s">
        <v>9021</v>
      </c>
    </row>
    <row r="261" spans="1:41" hidden="1" x14ac:dyDescent="0.35">
      <c r="A261" t="s">
        <v>9022</v>
      </c>
      <c r="B261" t="s">
        <v>7246</v>
      </c>
      <c r="C261" t="s">
        <v>9023</v>
      </c>
      <c r="D261" t="s">
        <v>370</v>
      </c>
      <c r="E261" t="s">
        <v>9024</v>
      </c>
      <c r="G261" s="13" t="s">
        <v>9025</v>
      </c>
      <c r="H261" t="s">
        <v>9026</v>
      </c>
      <c r="K261" t="s">
        <v>9027</v>
      </c>
      <c r="L261" t="s">
        <v>9028</v>
      </c>
      <c r="M261" t="s">
        <v>7292</v>
      </c>
      <c r="N261">
        <v>2024</v>
      </c>
      <c r="R261">
        <v>8</v>
      </c>
      <c r="S261" t="s">
        <v>8257</v>
      </c>
      <c r="T261">
        <v>8</v>
      </c>
      <c r="U261">
        <v>3723.07</v>
      </c>
      <c r="V261" t="s">
        <v>6546</v>
      </c>
      <c r="W261">
        <v>214.58</v>
      </c>
      <c r="X261">
        <v>214.58</v>
      </c>
      <c r="AB261" t="s">
        <v>9029</v>
      </c>
      <c r="AC261" t="s">
        <v>8777</v>
      </c>
      <c r="AF261" t="s">
        <v>9030</v>
      </c>
      <c r="AH261" t="s">
        <v>9031</v>
      </c>
      <c r="AI261" t="s">
        <v>8747</v>
      </c>
      <c r="AJ261" t="s">
        <v>9032</v>
      </c>
      <c r="AO261" t="s">
        <v>9033</v>
      </c>
    </row>
    <row r="262" spans="1:41" hidden="1" x14ac:dyDescent="0.35">
      <c r="A262" t="s">
        <v>9034</v>
      </c>
      <c r="B262" t="s">
        <v>7246</v>
      </c>
      <c r="C262" t="s">
        <v>370</v>
      </c>
      <c r="D262" t="s">
        <v>370</v>
      </c>
      <c r="E262" t="s">
        <v>370</v>
      </c>
      <c r="G262" s="13" t="s">
        <v>9035</v>
      </c>
      <c r="H262" t="s">
        <v>9036</v>
      </c>
      <c r="K262" t="s">
        <v>9037</v>
      </c>
      <c r="L262" t="s">
        <v>9038</v>
      </c>
      <c r="M262" t="s">
        <v>7250</v>
      </c>
      <c r="T262" t="s">
        <v>6546</v>
      </c>
      <c r="U262" t="s">
        <v>6546</v>
      </c>
      <c r="V262">
        <v>315</v>
      </c>
      <c r="W262">
        <v>327.58999999999997</v>
      </c>
      <c r="X262">
        <v>315</v>
      </c>
      <c r="AB262" t="s">
        <v>9039</v>
      </c>
      <c r="AC262" t="s">
        <v>8747</v>
      </c>
      <c r="AE262" t="s">
        <v>9040</v>
      </c>
      <c r="AF262" t="s">
        <v>9041</v>
      </c>
      <c r="AH262" t="s">
        <v>2613</v>
      </c>
      <c r="AI262" t="s">
        <v>8747</v>
      </c>
      <c r="AO262" t="s">
        <v>9042</v>
      </c>
    </row>
    <row r="263" spans="1:41" hidden="1" x14ac:dyDescent="0.35">
      <c r="A263" t="s">
        <v>9043</v>
      </c>
      <c r="B263" t="s">
        <v>7246</v>
      </c>
      <c r="C263" t="s">
        <v>370</v>
      </c>
      <c r="D263" t="s">
        <v>370</v>
      </c>
      <c r="E263" t="s">
        <v>370</v>
      </c>
      <c r="G263" s="13" t="s">
        <v>9044</v>
      </c>
      <c r="H263" t="s">
        <v>9045</v>
      </c>
      <c r="J263" t="s">
        <v>9046</v>
      </c>
      <c r="K263" t="s">
        <v>9047</v>
      </c>
      <c r="L263" t="s">
        <v>9048</v>
      </c>
      <c r="M263" t="s">
        <v>7250</v>
      </c>
      <c r="R263">
        <v>187</v>
      </c>
      <c r="S263" t="s">
        <v>7251</v>
      </c>
      <c r="T263">
        <v>1.93</v>
      </c>
      <c r="U263">
        <v>900.09</v>
      </c>
      <c r="V263">
        <v>212</v>
      </c>
      <c r="W263">
        <v>209.77</v>
      </c>
      <c r="X263">
        <v>212</v>
      </c>
      <c r="Y263">
        <v>18</v>
      </c>
      <c r="Z263" t="s">
        <v>7253</v>
      </c>
      <c r="AB263" t="s">
        <v>9049</v>
      </c>
      <c r="AC263" t="s">
        <v>8747</v>
      </c>
      <c r="AE263" t="s">
        <v>9040</v>
      </c>
      <c r="AF263" t="s">
        <v>9050</v>
      </c>
      <c r="AH263" t="s">
        <v>9040</v>
      </c>
      <c r="AI263" t="s">
        <v>8747</v>
      </c>
      <c r="AO263" t="s">
        <v>9051</v>
      </c>
    </row>
    <row r="264" spans="1:41" hidden="1" x14ac:dyDescent="0.35">
      <c r="A264" t="s">
        <v>9052</v>
      </c>
      <c r="B264" t="s">
        <v>7246</v>
      </c>
      <c r="C264" t="s">
        <v>370</v>
      </c>
      <c r="D264" t="s">
        <v>370</v>
      </c>
      <c r="E264" t="s">
        <v>370</v>
      </c>
      <c r="G264" s="13" t="s">
        <v>9053</v>
      </c>
      <c r="H264" t="s">
        <v>9054</v>
      </c>
      <c r="J264" t="s">
        <v>9055</v>
      </c>
      <c r="K264" t="s">
        <v>9056</v>
      </c>
      <c r="L264" t="s">
        <v>9056</v>
      </c>
      <c r="M264" t="s">
        <v>7250</v>
      </c>
      <c r="N264">
        <v>2009</v>
      </c>
      <c r="R264">
        <v>12</v>
      </c>
      <c r="S264" t="s">
        <v>8257</v>
      </c>
      <c r="T264">
        <v>12</v>
      </c>
      <c r="U264">
        <v>5584.6</v>
      </c>
      <c r="V264">
        <v>930</v>
      </c>
      <c r="W264">
        <v>866.31</v>
      </c>
      <c r="X264">
        <v>930</v>
      </c>
      <c r="Y264" t="s">
        <v>9057</v>
      </c>
      <c r="Z264" t="s">
        <v>7253</v>
      </c>
      <c r="AB264" t="s">
        <v>9058</v>
      </c>
      <c r="AC264" t="s">
        <v>8747</v>
      </c>
      <c r="AE264" t="s">
        <v>9059</v>
      </c>
      <c r="AF264" t="s">
        <v>9060</v>
      </c>
      <c r="AH264" t="s">
        <v>9060</v>
      </c>
      <c r="AI264" t="s">
        <v>8747</v>
      </c>
      <c r="AL264" t="s">
        <v>9061</v>
      </c>
      <c r="AO264" t="s">
        <v>9062</v>
      </c>
    </row>
    <row r="265" spans="1:41" hidden="1" x14ac:dyDescent="0.35">
      <c r="A265" t="s">
        <v>9063</v>
      </c>
      <c r="B265" t="s">
        <v>7246</v>
      </c>
      <c r="C265" t="s">
        <v>392</v>
      </c>
      <c r="D265" t="s">
        <v>9023</v>
      </c>
      <c r="E265" t="s">
        <v>9064</v>
      </c>
      <c r="G265" s="13" t="s">
        <v>9065</v>
      </c>
      <c r="H265" t="s">
        <v>9066</v>
      </c>
      <c r="K265" t="s">
        <v>9067</v>
      </c>
      <c r="L265" t="s">
        <v>9067</v>
      </c>
      <c r="M265" t="s">
        <v>7292</v>
      </c>
      <c r="N265">
        <v>2022</v>
      </c>
      <c r="R265">
        <v>4</v>
      </c>
      <c r="S265" t="s">
        <v>8257</v>
      </c>
      <c r="T265">
        <v>4</v>
      </c>
      <c r="U265">
        <v>1861.53</v>
      </c>
      <c r="V265">
        <v>215</v>
      </c>
      <c r="W265">
        <v>212.84</v>
      </c>
      <c r="X265">
        <v>215</v>
      </c>
      <c r="Y265">
        <v>12</v>
      </c>
      <c r="Z265" t="s">
        <v>7253</v>
      </c>
      <c r="AA265" t="s">
        <v>9068</v>
      </c>
      <c r="AC265" t="s">
        <v>8747</v>
      </c>
      <c r="AF265" t="s">
        <v>9069</v>
      </c>
      <c r="AG265" t="s">
        <v>9070</v>
      </c>
      <c r="AI265" t="s">
        <v>8777</v>
      </c>
      <c r="AJ265" t="s">
        <v>9032</v>
      </c>
      <c r="AO265" t="s">
        <v>9071</v>
      </c>
    </row>
    <row r="266" spans="1:41" hidden="1" x14ac:dyDescent="0.35">
      <c r="A266" t="s">
        <v>9072</v>
      </c>
      <c r="B266" t="s">
        <v>7246</v>
      </c>
      <c r="C266" t="s">
        <v>392</v>
      </c>
      <c r="D266" t="s">
        <v>398</v>
      </c>
      <c r="E266" t="s">
        <v>9073</v>
      </c>
      <c r="G266" s="13" t="s">
        <v>9074</v>
      </c>
      <c r="H266" t="s">
        <v>9075</v>
      </c>
      <c r="K266" t="s">
        <v>9076</v>
      </c>
      <c r="L266" t="s">
        <v>9077</v>
      </c>
      <c r="M266" t="s">
        <v>7250</v>
      </c>
      <c r="N266">
        <v>2020</v>
      </c>
      <c r="T266" t="s">
        <v>6546</v>
      </c>
      <c r="U266" t="s">
        <v>6546</v>
      </c>
      <c r="V266">
        <v>65</v>
      </c>
      <c r="W266">
        <v>220.37</v>
      </c>
      <c r="X266">
        <v>65</v>
      </c>
      <c r="AA266" t="s">
        <v>9078</v>
      </c>
      <c r="AB266" t="s">
        <v>9078</v>
      </c>
      <c r="AC266" t="s">
        <v>8747</v>
      </c>
      <c r="AI266" t="s">
        <v>8747</v>
      </c>
      <c r="AO266" t="s">
        <v>9079</v>
      </c>
    </row>
    <row r="267" spans="1:41" hidden="1" x14ac:dyDescent="0.35">
      <c r="A267" t="s">
        <v>9080</v>
      </c>
      <c r="B267" t="s">
        <v>7246</v>
      </c>
      <c r="C267" t="s">
        <v>390</v>
      </c>
      <c r="D267" t="s">
        <v>400</v>
      </c>
      <c r="E267" t="s">
        <v>9081</v>
      </c>
      <c r="G267" s="13" t="s">
        <v>9082</v>
      </c>
      <c r="H267" t="s">
        <v>9083</v>
      </c>
      <c r="K267" t="s">
        <v>6543</v>
      </c>
      <c r="L267" t="s">
        <v>6543</v>
      </c>
      <c r="M267" t="s">
        <v>7731</v>
      </c>
      <c r="R267">
        <v>2.06</v>
      </c>
      <c r="S267" t="s">
        <v>8257</v>
      </c>
      <c r="T267">
        <v>2.06</v>
      </c>
      <c r="U267">
        <v>958.69</v>
      </c>
      <c r="V267" t="s">
        <v>6546</v>
      </c>
      <c r="W267">
        <v>96.71</v>
      </c>
      <c r="X267">
        <v>96.71</v>
      </c>
      <c r="AB267" t="s">
        <v>9084</v>
      </c>
      <c r="AC267" t="s">
        <v>8747</v>
      </c>
      <c r="AE267" t="s">
        <v>6134</v>
      </c>
      <c r="AI267" t="s">
        <v>8747</v>
      </c>
      <c r="AO267" t="s">
        <v>9085</v>
      </c>
    </row>
    <row r="268" spans="1:41" hidden="1" x14ac:dyDescent="0.35">
      <c r="A268" t="s">
        <v>9086</v>
      </c>
      <c r="B268" t="s">
        <v>7246</v>
      </c>
      <c r="C268" t="s">
        <v>404</v>
      </c>
      <c r="D268" t="s">
        <v>404</v>
      </c>
      <c r="E268" t="s">
        <v>404</v>
      </c>
      <c r="G268" s="13" t="s">
        <v>9087</v>
      </c>
      <c r="H268" t="s">
        <v>9088</v>
      </c>
      <c r="K268" t="s">
        <v>9089</v>
      </c>
      <c r="L268" t="s">
        <v>9089</v>
      </c>
      <c r="M268" t="s">
        <v>7250</v>
      </c>
      <c r="T268" t="s">
        <v>6546</v>
      </c>
      <c r="U268" t="s">
        <v>6546</v>
      </c>
      <c r="V268">
        <v>299</v>
      </c>
      <c r="W268">
        <v>280.07</v>
      </c>
      <c r="X268">
        <v>299</v>
      </c>
      <c r="AB268" t="s">
        <v>9090</v>
      </c>
      <c r="AC268" t="s">
        <v>8747</v>
      </c>
      <c r="AE268" t="s">
        <v>9091</v>
      </c>
      <c r="AF268" t="s">
        <v>9092</v>
      </c>
      <c r="AH268" t="s">
        <v>9091</v>
      </c>
      <c r="AI268" t="s">
        <v>8747</v>
      </c>
      <c r="AO268" t="s">
        <v>9093</v>
      </c>
    </row>
    <row r="269" spans="1:41" hidden="1" x14ac:dyDescent="0.35">
      <c r="A269" t="s">
        <v>9094</v>
      </c>
      <c r="B269" t="s">
        <v>7246</v>
      </c>
      <c r="C269" t="s">
        <v>404</v>
      </c>
      <c r="D269" t="s">
        <v>404</v>
      </c>
      <c r="E269" t="s">
        <v>404</v>
      </c>
      <c r="G269" s="13" t="s">
        <v>9095</v>
      </c>
      <c r="H269" t="s">
        <v>9096</v>
      </c>
      <c r="K269" t="s">
        <v>9089</v>
      </c>
      <c r="L269" t="s">
        <v>9089</v>
      </c>
      <c r="M269" t="s">
        <v>7250</v>
      </c>
      <c r="N269">
        <v>1983</v>
      </c>
      <c r="O269">
        <v>2010</v>
      </c>
      <c r="R269">
        <v>604</v>
      </c>
      <c r="S269" t="s">
        <v>7251</v>
      </c>
      <c r="T269">
        <v>6.25</v>
      </c>
      <c r="U269">
        <v>2907.25</v>
      </c>
      <c r="V269">
        <v>1164</v>
      </c>
      <c r="W269">
        <v>1025.01</v>
      </c>
      <c r="X269">
        <v>1164</v>
      </c>
      <c r="Y269">
        <v>34</v>
      </c>
      <c r="Z269" t="s">
        <v>7253</v>
      </c>
      <c r="AB269" t="s">
        <v>8776</v>
      </c>
      <c r="AC269" t="s">
        <v>8747</v>
      </c>
      <c r="AE269" t="s">
        <v>9097</v>
      </c>
      <c r="AF269" t="s">
        <v>9098</v>
      </c>
      <c r="AH269" t="s">
        <v>9098</v>
      </c>
      <c r="AI269" t="s">
        <v>8747</v>
      </c>
      <c r="AL269" t="s">
        <v>9099</v>
      </c>
      <c r="AO269" t="s">
        <v>9100</v>
      </c>
    </row>
    <row r="270" spans="1:41" hidden="1" x14ac:dyDescent="0.35">
      <c r="A270" t="s">
        <v>9101</v>
      </c>
      <c r="B270" t="s">
        <v>7246</v>
      </c>
      <c r="C270" t="s">
        <v>404</v>
      </c>
      <c r="D270" t="s">
        <v>404</v>
      </c>
      <c r="E270" t="s">
        <v>404</v>
      </c>
      <c r="G270" s="13" t="s">
        <v>9102</v>
      </c>
      <c r="H270" t="s">
        <v>9103</v>
      </c>
      <c r="J270" t="s">
        <v>9104</v>
      </c>
      <c r="K270" t="s">
        <v>9105</v>
      </c>
      <c r="L270" t="s">
        <v>9105</v>
      </c>
      <c r="M270" t="s">
        <v>7250</v>
      </c>
      <c r="N270">
        <v>2004</v>
      </c>
      <c r="R270">
        <v>13</v>
      </c>
      <c r="S270" t="s">
        <v>8257</v>
      </c>
      <c r="T270">
        <v>13</v>
      </c>
      <c r="U270">
        <v>6049.98</v>
      </c>
      <c r="V270">
        <v>527</v>
      </c>
      <c r="W270">
        <v>525.69000000000005</v>
      </c>
      <c r="X270">
        <v>527</v>
      </c>
      <c r="Y270">
        <v>32</v>
      </c>
      <c r="Z270" t="s">
        <v>7253</v>
      </c>
      <c r="AB270" t="s">
        <v>9106</v>
      </c>
      <c r="AC270" t="s">
        <v>8747</v>
      </c>
      <c r="AE270" t="s">
        <v>9107</v>
      </c>
      <c r="AF270" t="s">
        <v>8776</v>
      </c>
      <c r="AH270" t="s">
        <v>9097</v>
      </c>
      <c r="AI270" t="s">
        <v>8747</v>
      </c>
      <c r="AL270" t="s">
        <v>9108</v>
      </c>
      <c r="AO270" t="s">
        <v>9109</v>
      </c>
    </row>
    <row r="271" spans="1:41" hidden="1" x14ac:dyDescent="0.35">
      <c r="A271" t="s">
        <v>9110</v>
      </c>
      <c r="B271" t="s">
        <v>7246</v>
      </c>
      <c r="C271" t="s">
        <v>414</v>
      </c>
      <c r="D271" t="s">
        <v>414</v>
      </c>
      <c r="E271" t="s">
        <v>414</v>
      </c>
      <c r="G271" s="13" t="s">
        <v>9111</v>
      </c>
      <c r="H271" t="s">
        <v>9112</v>
      </c>
      <c r="K271" t="s">
        <v>9113</v>
      </c>
      <c r="L271" t="s">
        <v>9113</v>
      </c>
      <c r="M271" t="s">
        <v>7250</v>
      </c>
      <c r="R271">
        <v>150</v>
      </c>
      <c r="S271" t="s">
        <v>7251</v>
      </c>
      <c r="T271">
        <v>1.55</v>
      </c>
      <c r="U271">
        <v>722</v>
      </c>
      <c r="V271">
        <v>110</v>
      </c>
      <c r="W271">
        <v>108.21</v>
      </c>
      <c r="X271">
        <v>110</v>
      </c>
      <c r="AB271" t="s">
        <v>2659</v>
      </c>
      <c r="AC271" t="s">
        <v>8765</v>
      </c>
      <c r="AE271" t="s">
        <v>3524</v>
      </c>
      <c r="AF271" t="s">
        <v>9114</v>
      </c>
      <c r="AH271" t="s">
        <v>9115</v>
      </c>
      <c r="AI271" t="s">
        <v>8765</v>
      </c>
      <c r="AO271" t="s">
        <v>9116</v>
      </c>
    </row>
    <row r="272" spans="1:41" hidden="1" x14ac:dyDescent="0.35">
      <c r="A272" t="s">
        <v>9117</v>
      </c>
      <c r="B272" t="s">
        <v>7246</v>
      </c>
      <c r="C272" t="s">
        <v>414</v>
      </c>
      <c r="D272" t="s">
        <v>414</v>
      </c>
      <c r="E272" t="s">
        <v>414</v>
      </c>
      <c r="G272" s="13" t="s">
        <v>9118</v>
      </c>
      <c r="H272" t="s">
        <v>9119</v>
      </c>
      <c r="K272" t="s">
        <v>9113</v>
      </c>
      <c r="L272" t="s">
        <v>9113</v>
      </c>
      <c r="M272" t="s">
        <v>7250</v>
      </c>
      <c r="N272">
        <v>2011</v>
      </c>
      <c r="T272" t="s">
        <v>6546</v>
      </c>
      <c r="U272" t="s">
        <v>6546</v>
      </c>
      <c r="V272">
        <v>196</v>
      </c>
      <c r="W272">
        <v>194.81</v>
      </c>
      <c r="X272">
        <v>196</v>
      </c>
      <c r="AA272" t="s">
        <v>9120</v>
      </c>
      <c r="AB272" t="s">
        <v>9121</v>
      </c>
      <c r="AC272" t="s">
        <v>8765</v>
      </c>
      <c r="AE272" t="s">
        <v>9115</v>
      </c>
      <c r="AF272" t="s">
        <v>9122</v>
      </c>
      <c r="AH272" t="s">
        <v>9123</v>
      </c>
      <c r="AI272" t="s">
        <v>8765</v>
      </c>
      <c r="AO272" t="s">
        <v>9124</v>
      </c>
    </row>
    <row r="273" spans="1:41" hidden="1" x14ac:dyDescent="0.35">
      <c r="A273" t="s">
        <v>9125</v>
      </c>
      <c r="B273" t="s">
        <v>7246</v>
      </c>
      <c r="C273" t="s">
        <v>414</v>
      </c>
      <c r="D273" t="s">
        <v>414</v>
      </c>
      <c r="E273" t="s">
        <v>414</v>
      </c>
      <c r="G273" s="13" t="s">
        <v>9126</v>
      </c>
      <c r="H273" t="s">
        <v>9127</v>
      </c>
      <c r="J273" t="s">
        <v>9128</v>
      </c>
      <c r="K273" t="s">
        <v>9113</v>
      </c>
      <c r="L273" t="s">
        <v>9113</v>
      </c>
      <c r="M273" t="s">
        <v>7415</v>
      </c>
      <c r="N273">
        <v>2022</v>
      </c>
      <c r="R273">
        <v>2000</v>
      </c>
      <c r="S273" t="s">
        <v>7251</v>
      </c>
      <c r="T273">
        <v>20.69</v>
      </c>
      <c r="U273">
        <v>9626.67</v>
      </c>
      <c r="V273">
        <v>127</v>
      </c>
      <c r="W273">
        <v>107.09</v>
      </c>
      <c r="X273">
        <v>127</v>
      </c>
      <c r="Y273">
        <v>48</v>
      </c>
      <c r="Z273" t="s">
        <v>7253</v>
      </c>
      <c r="AB273" t="s">
        <v>9129</v>
      </c>
      <c r="AC273" t="s">
        <v>8765</v>
      </c>
      <c r="AE273" t="s">
        <v>3530</v>
      </c>
      <c r="AF273" t="s">
        <v>9114</v>
      </c>
      <c r="AH273" t="s">
        <v>9115</v>
      </c>
      <c r="AI273" t="s">
        <v>8765</v>
      </c>
      <c r="AO273" t="s">
        <v>9130</v>
      </c>
    </row>
    <row r="274" spans="1:41" hidden="1" x14ac:dyDescent="0.35">
      <c r="A274" t="s">
        <v>9131</v>
      </c>
      <c r="B274" t="s">
        <v>7246</v>
      </c>
      <c r="C274" t="s">
        <v>414</v>
      </c>
      <c r="D274" t="s">
        <v>414</v>
      </c>
      <c r="E274" t="s">
        <v>414</v>
      </c>
      <c r="G274" s="13" t="s">
        <v>9132</v>
      </c>
      <c r="H274" t="s">
        <v>9133</v>
      </c>
      <c r="J274" t="s">
        <v>9134</v>
      </c>
      <c r="K274" t="s">
        <v>9113</v>
      </c>
      <c r="L274" t="s">
        <v>9113</v>
      </c>
      <c r="M274" t="s">
        <v>7269</v>
      </c>
      <c r="T274" t="s">
        <v>6546</v>
      </c>
      <c r="U274" t="s">
        <v>6546</v>
      </c>
      <c r="V274" t="s">
        <v>6546</v>
      </c>
      <c r="W274">
        <v>176.96</v>
      </c>
      <c r="X274">
        <v>176.96</v>
      </c>
      <c r="AB274" t="s">
        <v>9135</v>
      </c>
      <c r="AC274" t="s">
        <v>8765</v>
      </c>
      <c r="AE274" t="s">
        <v>9136</v>
      </c>
      <c r="AF274" t="s">
        <v>9129</v>
      </c>
      <c r="AH274" t="s">
        <v>3530</v>
      </c>
      <c r="AI274" t="s">
        <v>8765</v>
      </c>
      <c r="AO274" t="s">
        <v>9137</v>
      </c>
    </row>
    <row r="275" spans="1:41" hidden="1" x14ac:dyDescent="0.35">
      <c r="A275" t="s">
        <v>9138</v>
      </c>
      <c r="B275" t="s">
        <v>7246</v>
      </c>
      <c r="C275" t="s">
        <v>414</v>
      </c>
      <c r="D275" t="s">
        <v>414</v>
      </c>
      <c r="E275" t="s">
        <v>414</v>
      </c>
      <c r="G275" s="13" t="s">
        <v>9139</v>
      </c>
      <c r="H275" t="s">
        <v>9140</v>
      </c>
      <c r="K275" t="s">
        <v>9113</v>
      </c>
      <c r="L275" t="s">
        <v>9113</v>
      </c>
      <c r="M275" t="s">
        <v>7250</v>
      </c>
      <c r="N275">
        <v>2017</v>
      </c>
      <c r="R275">
        <v>120</v>
      </c>
      <c r="S275" t="s">
        <v>7251</v>
      </c>
      <c r="T275">
        <v>1.24</v>
      </c>
      <c r="U275">
        <v>577.6</v>
      </c>
      <c r="V275">
        <v>128</v>
      </c>
      <c r="W275">
        <v>79.38</v>
      </c>
      <c r="X275">
        <v>128</v>
      </c>
      <c r="AB275" t="s">
        <v>9141</v>
      </c>
      <c r="AC275" t="s">
        <v>8765</v>
      </c>
      <c r="AE275" t="s">
        <v>9136</v>
      </c>
      <c r="AF275" t="s">
        <v>9142</v>
      </c>
      <c r="AH275" t="s">
        <v>9143</v>
      </c>
      <c r="AI275" t="s">
        <v>8765</v>
      </c>
      <c r="AO275" t="s">
        <v>9144</v>
      </c>
    </row>
    <row r="276" spans="1:41" hidden="1" x14ac:dyDescent="0.35">
      <c r="A276" t="s">
        <v>9145</v>
      </c>
      <c r="B276" t="s">
        <v>7246</v>
      </c>
      <c r="C276" t="s">
        <v>418</v>
      </c>
      <c r="D276" t="s">
        <v>418</v>
      </c>
      <c r="E276" t="s">
        <v>418</v>
      </c>
      <c r="G276" s="13" t="s">
        <v>9146</v>
      </c>
      <c r="H276" t="s">
        <v>9147</v>
      </c>
      <c r="K276" t="s">
        <v>9148</v>
      </c>
      <c r="L276" t="s">
        <v>9148</v>
      </c>
      <c r="M276" t="s">
        <v>7250</v>
      </c>
      <c r="N276">
        <v>2000</v>
      </c>
      <c r="R276">
        <v>12</v>
      </c>
      <c r="S276" t="s">
        <v>8257</v>
      </c>
      <c r="T276">
        <v>12</v>
      </c>
      <c r="U276">
        <v>5584.6</v>
      </c>
      <c r="V276">
        <v>360</v>
      </c>
      <c r="W276">
        <v>352.01</v>
      </c>
      <c r="X276">
        <v>360</v>
      </c>
      <c r="AB276" t="s">
        <v>9149</v>
      </c>
      <c r="AC276" t="s">
        <v>8747</v>
      </c>
      <c r="AE276" t="s">
        <v>9150</v>
      </c>
      <c r="AF276" t="s">
        <v>6149</v>
      </c>
      <c r="AH276" t="s">
        <v>6150</v>
      </c>
      <c r="AI276" t="s">
        <v>8747</v>
      </c>
      <c r="AO276" t="s">
        <v>9151</v>
      </c>
    </row>
    <row r="277" spans="1:41" hidden="1" x14ac:dyDescent="0.35">
      <c r="A277" t="s">
        <v>9152</v>
      </c>
      <c r="B277" t="s">
        <v>7246</v>
      </c>
      <c r="C277" t="s">
        <v>420</v>
      </c>
      <c r="D277" t="s">
        <v>420</v>
      </c>
      <c r="E277" t="s">
        <v>420</v>
      </c>
      <c r="G277" s="13" t="s">
        <v>9153</v>
      </c>
      <c r="H277" t="s">
        <v>9154</v>
      </c>
      <c r="K277" t="s">
        <v>9155</v>
      </c>
      <c r="L277" t="s">
        <v>9155</v>
      </c>
      <c r="M277" t="s">
        <v>7250</v>
      </c>
      <c r="T277" t="s">
        <v>6546</v>
      </c>
      <c r="U277" t="s">
        <v>6546</v>
      </c>
      <c r="V277">
        <v>37</v>
      </c>
      <c r="W277">
        <v>36.130000000000003</v>
      </c>
      <c r="X277">
        <v>37</v>
      </c>
      <c r="AB277" t="s">
        <v>9156</v>
      </c>
      <c r="AC277" t="s">
        <v>8747</v>
      </c>
      <c r="AF277" t="s">
        <v>9157</v>
      </c>
      <c r="AI277" t="s">
        <v>8747</v>
      </c>
      <c r="AO277" t="s">
        <v>9158</v>
      </c>
    </row>
    <row r="278" spans="1:41" x14ac:dyDescent="0.35">
      <c r="A278" t="s">
        <v>9159</v>
      </c>
      <c r="B278" t="s">
        <v>7246</v>
      </c>
      <c r="C278" t="s">
        <v>24</v>
      </c>
      <c r="D278" t="s">
        <v>24</v>
      </c>
      <c r="E278" t="s">
        <v>24</v>
      </c>
      <c r="F278" t="s">
        <v>354</v>
      </c>
      <c r="G278" s="13" t="s">
        <v>9160</v>
      </c>
      <c r="H278" t="s">
        <v>9161</v>
      </c>
      <c r="I278" t="s">
        <v>9162</v>
      </c>
      <c r="K278" t="s">
        <v>9163</v>
      </c>
      <c r="L278" t="s">
        <v>9163</v>
      </c>
      <c r="M278" t="s">
        <v>7250</v>
      </c>
      <c r="R278">
        <v>8</v>
      </c>
      <c r="S278" t="s">
        <v>9164</v>
      </c>
      <c r="T278">
        <v>0.08</v>
      </c>
      <c r="U278">
        <v>38.08</v>
      </c>
      <c r="V278">
        <v>198</v>
      </c>
      <c r="W278">
        <v>195.98</v>
      </c>
      <c r="X278">
        <v>198</v>
      </c>
      <c r="AC278" t="s">
        <v>9165</v>
      </c>
      <c r="AI278" t="s">
        <v>9165</v>
      </c>
      <c r="AO278" t="s">
        <v>9166</v>
      </c>
    </row>
    <row r="279" spans="1:41" hidden="1" x14ac:dyDescent="0.35">
      <c r="A279" t="s">
        <v>9167</v>
      </c>
      <c r="B279" t="s">
        <v>7246</v>
      </c>
      <c r="C279" t="s">
        <v>420</v>
      </c>
      <c r="D279" t="s">
        <v>420</v>
      </c>
      <c r="E279" t="s">
        <v>420</v>
      </c>
      <c r="G279" s="13" t="s">
        <v>9168</v>
      </c>
      <c r="H279" t="s">
        <v>9169</v>
      </c>
      <c r="K279" t="s">
        <v>9155</v>
      </c>
      <c r="L279" t="s">
        <v>9155</v>
      </c>
      <c r="M279" t="s">
        <v>7250</v>
      </c>
      <c r="T279" t="s">
        <v>6546</v>
      </c>
      <c r="U279" t="s">
        <v>6546</v>
      </c>
      <c r="V279">
        <v>89</v>
      </c>
      <c r="W279">
        <v>87.54</v>
      </c>
      <c r="X279">
        <v>89</v>
      </c>
      <c r="AB279" t="s">
        <v>9157</v>
      </c>
      <c r="AC279" t="s">
        <v>8747</v>
      </c>
      <c r="AF279" t="s">
        <v>9170</v>
      </c>
      <c r="AH279" t="s">
        <v>9171</v>
      </c>
      <c r="AI279" t="s">
        <v>8747</v>
      </c>
      <c r="AO279" t="s">
        <v>9172</v>
      </c>
    </row>
    <row r="280" spans="1:41" hidden="1" x14ac:dyDescent="0.35">
      <c r="A280" t="s">
        <v>9173</v>
      </c>
      <c r="B280" t="s">
        <v>7246</v>
      </c>
      <c r="C280" t="s">
        <v>420</v>
      </c>
      <c r="D280" t="s">
        <v>420</v>
      </c>
      <c r="E280" t="s">
        <v>420</v>
      </c>
      <c r="G280" s="13" t="s">
        <v>9174</v>
      </c>
      <c r="H280" t="s">
        <v>9175</v>
      </c>
      <c r="I280" t="s">
        <v>9176</v>
      </c>
      <c r="K280" t="s">
        <v>6919</v>
      </c>
      <c r="L280" t="s">
        <v>6919</v>
      </c>
      <c r="M280" t="s">
        <v>7250</v>
      </c>
      <c r="N280">
        <v>2010</v>
      </c>
      <c r="R280">
        <v>16.54</v>
      </c>
      <c r="S280" t="s">
        <v>8257</v>
      </c>
      <c r="T280">
        <v>16.54</v>
      </c>
      <c r="U280">
        <v>7696.05</v>
      </c>
      <c r="V280">
        <v>64</v>
      </c>
      <c r="W280">
        <v>65.78</v>
      </c>
      <c r="X280">
        <v>64</v>
      </c>
      <c r="Y280">
        <v>30</v>
      </c>
      <c r="Z280" t="s">
        <v>7253</v>
      </c>
      <c r="AA280" t="s">
        <v>9177</v>
      </c>
      <c r="AB280" t="s">
        <v>9178</v>
      </c>
      <c r="AC280" t="s">
        <v>8747</v>
      </c>
      <c r="AE280" t="s">
        <v>9179</v>
      </c>
      <c r="AF280" t="s">
        <v>8756</v>
      </c>
      <c r="AH280" t="s">
        <v>8757</v>
      </c>
      <c r="AI280" t="s">
        <v>8747</v>
      </c>
      <c r="AL280" t="s">
        <v>9180</v>
      </c>
      <c r="AO280" t="s">
        <v>9181</v>
      </c>
    </row>
    <row r="281" spans="1:41" hidden="1" x14ac:dyDescent="0.35">
      <c r="A281" t="s">
        <v>9182</v>
      </c>
      <c r="B281" t="s">
        <v>7246</v>
      </c>
      <c r="C281" t="s">
        <v>420</v>
      </c>
      <c r="D281" t="s">
        <v>420</v>
      </c>
      <c r="E281" t="s">
        <v>420</v>
      </c>
      <c r="G281" s="13" t="s">
        <v>9183</v>
      </c>
      <c r="H281" t="s">
        <v>9184</v>
      </c>
      <c r="I281" t="s">
        <v>9185</v>
      </c>
      <c r="K281" t="s">
        <v>9155</v>
      </c>
      <c r="L281" t="s">
        <v>9155</v>
      </c>
      <c r="M281" t="s">
        <v>7250</v>
      </c>
      <c r="T281" t="s">
        <v>6546</v>
      </c>
      <c r="U281" t="s">
        <v>6546</v>
      </c>
      <c r="V281">
        <v>77</v>
      </c>
      <c r="W281">
        <v>78.650000000000006</v>
      </c>
      <c r="X281">
        <v>77</v>
      </c>
      <c r="Y281">
        <v>34</v>
      </c>
      <c r="Z281" t="s">
        <v>7253</v>
      </c>
      <c r="AA281" t="s">
        <v>9177</v>
      </c>
      <c r="AB281" t="s">
        <v>9186</v>
      </c>
      <c r="AC281" t="s">
        <v>8747</v>
      </c>
      <c r="AE281" t="s">
        <v>9179</v>
      </c>
      <c r="AF281" t="s">
        <v>8756</v>
      </c>
      <c r="AH281" t="s">
        <v>8757</v>
      </c>
      <c r="AI281" t="s">
        <v>8747</v>
      </c>
      <c r="AO281" t="s">
        <v>9187</v>
      </c>
    </row>
    <row r="282" spans="1:41" hidden="1" x14ac:dyDescent="0.35">
      <c r="A282" t="s">
        <v>9188</v>
      </c>
      <c r="B282" t="s">
        <v>7246</v>
      </c>
      <c r="C282" t="s">
        <v>420</v>
      </c>
      <c r="D282" t="s">
        <v>420</v>
      </c>
      <c r="E282" t="s">
        <v>420</v>
      </c>
      <c r="G282" s="13" t="s">
        <v>9189</v>
      </c>
      <c r="H282" t="s">
        <v>9190</v>
      </c>
      <c r="K282" t="s">
        <v>9155</v>
      </c>
      <c r="L282" t="s">
        <v>9155</v>
      </c>
      <c r="M282" t="s">
        <v>7250</v>
      </c>
      <c r="T282" t="s">
        <v>6546</v>
      </c>
      <c r="U282" t="s">
        <v>6546</v>
      </c>
      <c r="V282">
        <v>46</v>
      </c>
      <c r="W282">
        <v>45.08</v>
      </c>
      <c r="X282">
        <v>46</v>
      </c>
      <c r="AB282" t="s">
        <v>9191</v>
      </c>
      <c r="AC282" t="s">
        <v>8747</v>
      </c>
      <c r="AE282" t="s">
        <v>9192</v>
      </c>
      <c r="AF282" t="s">
        <v>9193</v>
      </c>
      <c r="AH282" t="s">
        <v>9171</v>
      </c>
      <c r="AI282" t="s">
        <v>8747</v>
      </c>
      <c r="AO282" t="s">
        <v>9194</v>
      </c>
    </row>
    <row r="283" spans="1:41" hidden="1" x14ac:dyDescent="0.35">
      <c r="A283" t="s">
        <v>9195</v>
      </c>
      <c r="B283" t="s">
        <v>7246</v>
      </c>
      <c r="C283" t="s">
        <v>420</v>
      </c>
      <c r="D283" t="s">
        <v>420</v>
      </c>
      <c r="E283" t="s">
        <v>420</v>
      </c>
      <c r="G283" s="13" t="s">
        <v>9196</v>
      </c>
      <c r="H283" t="s">
        <v>9197</v>
      </c>
      <c r="K283" t="s">
        <v>9155</v>
      </c>
      <c r="L283" t="s">
        <v>9155</v>
      </c>
      <c r="M283" t="s">
        <v>7250</v>
      </c>
      <c r="T283" t="s">
        <v>6546</v>
      </c>
      <c r="U283" t="s">
        <v>6546</v>
      </c>
      <c r="V283">
        <v>49</v>
      </c>
      <c r="W283">
        <v>46.35</v>
      </c>
      <c r="X283">
        <v>49</v>
      </c>
      <c r="AB283" t="s">
        <v>9191</v>
      </c>
      <c r="AC283" t="s">
        <v>8747</v>
      </c>
      <c r="AE283" t="s">
        <v>9192</v>
      </c>
      <c r="AF283" t="s">
        <v>9198</v>
      </c>
      <c r="AH283" t="s">
        <v>9171</v>
      </c>
      <c r="AI283" t="s">
        <v>8747</v>
      </c>
      <c r="AO283" t="s">
        <v>9199</v>
      </c>
    </row>
    <row r="284" spans="1:41" hidden="1" x14ac:dyDescent="0.35">
      <c r="A284" t="s">
        <v>9200</v>
      </c>
      <c r="B284" t="s">
        <v>7246</v>
      </c>
      <c r="C284" t="s">
        <v>420</v>
      </c>
      <c r="D284" t="s">
        <v>420</v>
      </c>
      <c r="E284" t="s">
        <v>420</v>
      </c>
      <c r="G284" s="13" t="s">
        <v>9201</v>
      </c>
      <c r="H284" t="s">
        <v>9202</v>
      </c>
      <c r="K284" t="s">
        <v>9155</v>
      </c>
      <c r="L284" t="s">
        <v>9155</v>
      </c>
      <c r="M284" t="s">
        <v>7250</v>
      </c>
      <c r="T284" t="s">
        <v>6546</v>
      </c>
      <c r="U284" t="s">
        <v>6546</v>
      </c>
      <c r="V284">
        <v>41</v>
      </c>
      <c r="W284">
        <v>40.840000000000003</v>
      </c>
      <c r="X284">
        <v>41</v>
      </c>
      <c r="AB284" t="s">
        <v>9203</v>
      </c>
      <c r="AC284" t="s">
        <v>8747</v>
      </c>
      <c r="AE284" t="s">
        <v>9192</v>
      </c>
      <c r="AF284" t="s">
        <v>9191</v>
      </c>
      <c r="AH284" t="s">
        <v>9192</v>
      </c>
      <c r="AI284" t="s">
        <v>8747</v>
      </c>
      <c r="AO284" t="s">
        <v>9204</v>
      </c>
    </row>
    <row r="285" spans="1:41" hidden="1" x14ac:dyDescent="0.35">
      <c r="A285" t="s">
        <v>9205</v>
      </c>
      <c r="B285" t="s">
        <v>7246</v>
      </c>
      <c r="C285" t="s">
        <v>420</v>
      </c>
      <c r="D285" t="s">
        <v>420</v>
      </c>
      <c r="E285" t="s">
        <v>420</v>
      </c>
      <c r="G285" s="13" t="s">
        <v>9206</v>
      </c>
      <c r="H285" t="s">
        <v>9207</v>
      </c>
      <c r="K285" t="s">
        <v>9155</v>
      </c>
      <c r="L285" t="s">
        <v>9155</v>
      </c>
      <c r="M285" t="s">
        <v>7250</v>
      </c>
      <c r="T285" t="s">
        <v>6546</v>
      </c>
      <c r="U285" t="s">
        <v>6546</v>
      </c>
      <c r="V285">
        <v>38</v>
      </c>
      <c r="W285">
        <v>38.79</v>
      </c>
      <c r="X285">
        <v>38</v>
      </c>
      <c r="AB285" t="s">
        <v>9193</v>
      </c>
      <c r="AC285" t="s">
        <v>8747</v>
      </c>
      <c r="AE285" t="s">
        <v>9171</v>
      </c>
      <c r="AF285" t="s">
        <v>9208</v>
      </c>
      <c r="AH285" t="s">
        <v>9171</v>
      </c>
      <c r="AI285" t="s">
        <v>8747</v>
      </c>
      <c r="AO285" t="s">
        <v>9209</v>
      </c>
    </row>
    <row r="286" spans="1:41" hidden="1" x14ac:dyDescent="0.35">
      <c r="A286" t="s">
        <v>9210</v>
      </c>
      <c r="B286" t="s">
        <v>7246</v>
      </c>
      <c r="C286" t="s">
        <v>420</v>
      </c>
      <c r="D286" t="s">
        <v>420</v>
      </c>
      <c r="E286" t="s">
        <v>420</v>
      </c>
      <c r="G286" s="13" t="s">
        <v>9211</v>
      </c>
      <c r="H286" t="s">
        <v>9212</v>
      </c>
      <c r="K286" t="s">
        <v>9155</v>
      </c>
      <c r="L286" t="s">
        <v>9155</v>
      </c>
      <c r="M286" t="s">
        <v>7250</v>
      </c>
      <c r="T286" t="s">
        <v>6546</v>
      </c>
      <c r="U286" t="s">
        <v>6546</v>
      </c>
      <c r="V286">
        <v>217.26</v>
      </c>
      <c r="W286">
        <v>127.54</v>
      </c>
      <c r="X286">
        <v>217.26</v>
      </c>
      <c r="Y286">
        <v>20</v>
      </c>
      <c r="Z286" t="s">
        <v>7253</v>
      </c>
      <c r="AB286" t="s">
        <v>8756</v>
      </c>
      <c r="AC286" t="s">
        <v>8747</v>
      </c>
      <c r="AE286" t="s">
        <v>8757</v>
      </c>
      <c r="AF286" t="s">
        <v>9213</v>
      </c>
      <c r="AH286" t="s">
        <v>9171</v>
      </c>
      <c r="AI286" t="s">
        <v>8747</v>
      </c>
      <c r="AL286" t="s">
        <v>9214</v>
      </c>
      <c r="AO286" t="s">
        <v>9215</v>
      </c>
    </row>
    <row r="287" spans="1:41" hidden="1" x14ac:dyDescent="0.35">
      <c r="A287" t="s">
        <v>9216</v>
      </c>
      <c r="B287" t="s">
        <v>7246</v>
      </c>
      <c r="C287" t="s">
        <v>420</v>
      </c>
      <c r="D287" t="s">
        <v>420</v>
      </c>
      <c r="E287" t="s">
        <v>420</v>
      </c>
      <c r="G287" s="13" t="s">
        <v>9217</v>
      </c>
      <c r="H287" t="s">
        <v>9218</v>
      </c>
      <c r="K287" t="s">
        <v>9219</v>
      </c>
      <c r="L287" t="s">
        <v>9155</v>
      </c>
      <c r="M287" t="s">
        <v>7250</v>
      </c>
      <c r="N287">
        <v>1996</v>
      </c>
      <c r="R287">
        <v>1600</v>
      </c>
      <c r="S287" t="s">
        <v>7251</v>
      </c>
      <c r="T287">
        <v>16.55</v>
      </c>
      <c r="U287">
        <v>7701.34</v>
      </c>
      <c r="V287">
        <v>78</v>
      </c>
      <c r="W287">
        <v>83.5</v>
      </c>
      <c r="X287">
        <v>78</v>
      </c>
      <c r="Y287">
        <v>32</v>
      </c>
      <c r="Z287" t="s">
        <v>7253</v>
      </c>
      <c r="AA287" t="s">
        <v>9177</v>
      </c>
      <c r="AB287" t="s">
        <v>9220</v>
      </c>
      <c r="AC287" t="s">
        <v>8747</v>
      </c>
      <c r="AE287" t="s">
        <v>9179</v>
      </c>
      <c r="AF287" t="s">
        <v>8756</v>
      </c>
      <c r="AH287" t="s">
        <v>8757</v>
      </c>
      <c r="AI287" t="s">
        <v>8747</v>
      </c>
      <c r="AL287" t="s">
        <v>9221</v>
      </c>
      <c r="AO287" t="s">
        <v>9222</v>
      </c>
    </row>
    <row r="288" spans="1:41" hidden="1" x14ac:dyDescent="0.35">
      <c r="A288" t="s">
        <v>9223</v>
      </c>
      <c r="B288" t="s">
        <v>7246</v>
      </c>
      <c r="C288" t="s">
        <v>420</v>
      </c>
      <c r="D288" t="s">
        <v>420</v>
      </c>
      <c r="E288" t="s">
        <v>420</v>
      </c>
      <c r="G288" s="13" t="s">
        <v>9224</v>
      </c>
      <c r="H288" t="s">
        <v>9225</v>
      </c>
      <c r="K288" t="s">
        <v>9219</v>
      </c>
      <c r="L288" t="s">
        <v>9155</v>
      </c>
      <c r="M288" t="s">
        <v>7250</v>
      </c>
      <c r="N288">
        <v>2009</v>
      </c>
      <c r="R288">
        <v>2400</v>
      </c>
      <c r="S288" t="s">
        <v>7251</v>
      </c>
      <c r="T288">
        <v>24.82</v>
      </c>
      <c r="U288">
        <v>11552</v>
      </c>
      <c r="V288">
        <v>105</v>
      </c>
      <c r="W288">
        <v>90.57</v>
      </c>
      <c r="X288">
        <v>105</v>
      </c>
      <c r="Y288">
        <v>34</v>
      </c>
      <c r="Z288" t="s">
        <v>7253</v>
      </c>
      <c r="AA288" t="s">
        <v>9177</v>
      </c>
      <c r="AB288" t="s">
        <v>9226</v>
      </c>
      <c r="AC288" t="s">
        <v>8747</v>
      </c>
      <c r="AE288" t="s">
        <v>9179</v>
      </c>
      <c r="AF288" t="s">
        <v>8756</v>
      </c>
      <c r="AH288" t="s">
        <v>8757</v>
      </c>
      <c r="AI288" t="s">
        <v>8747</v>
      </c>
      <c r="AO288" t="s">
        <v>9227</v>
      </c>
    </row>
    <row r="289" spans="1:41" hidden="1" x14ac:dyDescent="0.35">
      <c r="A289" t="s">
        <v>9228</v>
      </c>
      <c r="B289" t="s">
        <v>7246</v>
      </c>
      <c r="C289" t="s">
        <v>420</v>
      </c>
      <c r="D289" t="s">
        <v>420</v>
      </c>
      <c r="E289" t="s">
        <v>420</v>
      </c>
      <c r="G289" s="13" t="s">
        <v>9229</v>
      </c>
      <c r="H289" t="s">
        <v>9230</v>
      </c>
      <c r="K289" t="s">
        <v>9219</v>
      </c>
      <c r="L289" t="s">
        <v>9155</v>
      </c>
      <c r="M289" t="s">
        <v>7250</v>
      </c>
      <c r="N289">
        <v>2009</v>
      </c>
      <c r="R289">
        <v>2400</v>
      </c>
      <c r="S289" t="s">
        <v>7251</v>
      </c>
      <c r="T289">
        <v>24.82</v>
      </c>
      <c r="U289">
        <v>11552</v>
      </c>
      <c r="V289">
        <v>91</v>
      </c>
      <c r="W289">
        <v>82.19</v>
      </c>
      <c r="X289">
        <v>91</v>
      </c>
      <c r="Y289">
        <v>38</v>
      </c>
      <c r="Z289" t="s">
        <v>7253</v>
      </c>
      <c r="AA289" t="s">
        <v>9177</v>
      </c>
      <c r="AB289" t="s">
        <v>9231</v>
      </c>
      <c r="AC289" t="s">
        <v>8747</v>
      </c>
      <c r="AE289" t="s">
        <v>9179</v>
      </c>
      <c r="AF289" t="s">
        <v>8756</v>
      </c>
      <c r="AH289" t="s">
        <v>8757</v>
      </c>
      <c r="AI289" t="s">
        <v>8747</v>
      </c>
      <c r="AO289" t="s">
        <v>9232</v>
      </c>
    </row>
    <row r="290" spans="1:41" hidden="1" x14ac:dyDescent="0.35">
      <c r="A290" t="s">
        <v>9233</v>
      </c>
      <c r="B290" t="s">
        <v>7246</v>
      </c>
      <c r="C290" t="s">
        <v>420</v>
      </c>
      <c r="D290" t="s">
        <v>420</v>
      </c>
      <c r="E290" t="s">
        <v>420</v>
      </c>
      <c r="G290" s="13" t="s">
        <v>9234</v>
      </c>
      <c r="H290" t="s">
        <v>9235</v>
      </c>
      <c r="K290" t="s">
        <v>9219</v>
      </c>
      <c r="L290" t="s">
        <v>9155</v>
      </c>
      <c r="M290" t="s">
        <v>7250</v>
      </c>
      <c r="N290">
        <v>2010</v>
      </c>
      <c r="R290">
        <v>3200</v>
      </c>
      <c r="S290" t="s">
        <v>7251</v>
      </c>
      <c r="T290">
        <v>33.1</v>
      </c>
      <c r="U290">
        <v>15402.67</v>
      </c>
      <c r="V290">
        <v>66</v>
      </c>
      <c r="W290">
        <v>65.02</v>
      </c>
      <c r="X290">
        <v>66</v>
      </c>
      <c r="Y290">
        <v>38</v>
      </c>
      <c r="Z290" t="s">
        <v>7253</v>
      </c>
      <c r="AA290" t="s">
        <v>9177</v>
      </c>
      <c r="AB290" t="s">
        <v>9236</v>
      </c>
      <c r="AC290" t="s">
        <v>8747</v>
      </c>
      <c r="AE290" t="s">
        <v>9179</v>
      </c>
      <c r="AF290" t="s">
        <v>8756</v>
      </c>
      <c r="AH290" t="s">
        <v>8757</v>
      </c>
      <c r="AI290" t="s">
        <v>8747</v>
      </c>
      <c r="AO290" t="s">
        <v>9237</v>
      </c>
    </row>
    <row r="291" spans="1:41" hidden="1" x14ac:dyDescent="0.35">
      <c r="A291" t="s">
        <v>9238</v>
      </c>
      <c r="B291" t="s">
        <v>7246</v>
      </c>
      <c r="C291" t="s">
        <v>420</v>
      </c>
      <c r="D291" t="s">
        <v>420</v>
      </c>
      <c r="E291" t="s">
        <v>420</v>
      </c>
      <c r="G291" s="13" t="s">
        <v>9239</v>
      </c>
      <c r="H291" t="s">
        <v>9240</v>
      </c>
      <c r="K291" t="s">
        <v>9219</v>
      </c>
      <c r="L291" t="s">
        <v>9155</v>
      </c>
      <c r="M291" t="s">
        <v>7250</v>
      </c>
      <c r="N291">
        <v>2011</v>
      </c>
      <c r="R291">
        <v>3200</v>
      </c>
      <c r="S291" t="s">
        <v>7251</v>
      </c>
      <c r="T291">
        <v>33.1</v>
      </c>
      <c r="U291">
        <v>15402.67</v>
      </c>
      <c r="V291">
        <v>62</v>
      </c>
      <c r="W291">
        <v>61.33</v>
      </c>
      <c r="X291">
        <v>62</v>
      </c>
      <c r="Y291">
        <v>38</v>
      </c>
      <c r="Z291" t="s">
        <v>7253</v>
      </c>
      <c r="AA291" t="s">
        <v>9177</v>
      </c>
      <c r="AB291" t="s">
        <v>9241</v>
      </c>
      <c r="AC291" t="s">
        <v>8747</v>
      </c>
      <c r="AE291" t="s">
        <v>9179</v>
      </c>
      <c r="AF291" t="s">
        <v>8756</v>
      </c>
      <c r="AH291" t="s">
        <v>8757</v>
      </c>
      <c r="AI291" t="s">
        <v>8747</v>
      </c>
      <c r="AO291" t="s">
        <v>9242</v>
      </c>
    </row>
    <row r="292" spans="1:41" hidden="1" x14ac:dyDescent="0.35">
      <c r="A292" t="s">
        <v>9243</v>
      </c>
      <c r="B292" t="s">
        <v>7246</v>
      </c>
      <c r="C292" t="s">
        <v>420</v>
      </c>
      <c r="D292" t="s">
        <v>420</v>
      </c>
      <c r="E292" t="s">
        <v>420</v>
      </c>
      <c r="G292" s="13" t="s">
        <v>9244</v>
      </c>
      <c r="H292" t="s">
        <v>9245</v>
      </c>
      <c r="K292" t="s">
        <v>9219</v>
      </c>
      <c r="L292" t="s">
        <v>9155</v>
      </c>
      <c r="M292" t="s">
        <v>7250</v>
      </c>
      <c r="N292">
        <v>1999</v>
      </c>
      <c r="R292">
        <v>1200</v>
      </c>
      <c r="S292" t="s">
        <v>7251</v>
      </c>
      <c r="T292">
        <v>12.41</v>
      </c>
      <c r="U292">
        <v>5776</v>
      </c>
      <c r="V292">
        <v>90</v>
      </c>
      <c r="W292">
        <v>95.42</v>
      </c>
      <c r="X292">
        <v>90</v>
      </c>
      <c r="Y292">
        <v>32</v>
      </c>
      <c r="Z292" t="s">
        <v>7253</v>
      </c>
      <c r="AA292" t="s">
        <v>9177</v>
      </c>
      <c r="AB292" t="s">
        <v>9246</v>
      </c>
      <c r="AC292" t="s">
        <v>8747</v>
      </c>
      <c r="AE292" t="s">
        <v>9179</v>
      </c>
      <c r="AF292" t="s">
        <v>8756</v>
      </c>
      <c r="AH292" t="s">
        <v>8757</v>
      </c>
      <c r="AI292" t="s">
        <v>8747</v>
      </c>
      <c r="AO292" t="s">
        <v>9247</v>
      </c>
    </row>
    <row r="293" spans="1:41" hidden="1" x14ac:dyDescent="0.35">
      <c r="A293" t="s">
        <v>9248</v>
      </c>
      <c r="B293" t="s">
        <v>7246</v>
      </c>
      <c r="C293" t="s">
        <v>420</v>
      </c>
      <c r="D293" t="s">
        <v>420</v>
      </c>
      <c r="E293" t="s">
        <v>420</v>
      </c>
      <c r="G293" s="13" t="s">
        <v>9249</v>
      </c>
      <c r="H293" t="s">
        <v>9250</v>
      </c>
      <c r="K293" t="s">
        <v>9219</v>
      </c>
      <c r="L293" t="s">
        <v>9155</v>
      </c>
      <c r="M293" t="s">
        <v>7250</v>
      </c>
      <c r="T293" t="s">
        <v>6546</v>
      </c>
      <c r="U293" t="s">
        <v>6546</v>
      </c>
      <c r="V293">
        <v>100</v>
      </c>
      <c r="W293">
        <v>100.01</v>
      </c>
      <c r="X293">
        <v>100</v>
      </c>
      <c r="Y293">
        <v>38</v>
      </c>
      <c r="Z293" t="s">
        <v>7253</v>
      </c>
      <c r="AA293" t="s">
        <v>9177</v>
      </c>
      <c r="AB293" t="s">
        <v>9251</v>
      </c>
      <c r="AC293" t="s">
        <v>8747</v>
      </c>
      <c r="AE293" t="s">
        <v>9179</v>
      </c>
      <c r="AF293" t="s">
        <v>8756</v>
      </c>
      <c r="AH293" t="s">
        <v>8757</v>
      </c>
      <c r="AI293" t="s">
        <v>8747</v>
      </c>
      <c r="AO293" t="s">
        <v>9252</v>
      </c>
    </row>
    <row r="294" spans="1:41" hidden="1" x14ac:dyDescent="0.35">
      <c r="A294" t="s">
        <v>9253</v>
      </c>
      <c r="B294" t="s">
        <v>7246</v>
      </c>
      <c r="C294" t="s">
        <v>420</v>
      </c>
      <c r="D294" t="s">
        <v>420</v>
      </c>
      <c r="E294" t="s">
        <v>420</v>
      </c>
      <c r="G294" s="13" t="s">
        <v>9254</v>
      </c>
      <c r="H294" t="s">
        <v>9255</v>
      </c>
      <c r="K294" t="s">
        <v>9219</v>
      </c>
      <c r="L294" t="s">
        <v>9155</v>
      </c>
      <c r="M294" t="s">
        <v>7250</v>
      </c>
      <c r="T294" t="s">
        <v>6546</v>
      </c>
      <c r="U294" t="s">
        <v>6546</v>
      </c>
      <c r="V294">
        <v>95</v>
      </c>
      <c r="W294">
        <v>94.19</v>
      </c>
      <c r="X294">
        <v>95</v>
      </c>
      <c r="Y294">
        <v>38</v>
      </c>
      <c r="Z294" t="s">
        <v>7253</v>
      </c>
      <c r="AA294" t="s">
        <v>9177</v>
      </c>
      <c r="AB294" t="s">
        <v>9256</v>
      </c>
      <c r="AC294" t="s">
        <v>8747</v>
      </c>
      <c r="AE294" t="s">
        <v>9179</v>
      </c>
      <c r="AF294" t="s">
        <v>8756</v>
      </c>
      <c r="AH294" t="s">
        <v>8757</v>
      </c>
      <c r="AI294" t="s">
        <v>8747</v>
      </c>
      <c r="AO294" t="s">
        <v>9257</v>
      </c>
    </row>
    <row r="295" spans="1:41" hidden="1" x14ac:dyDescent="0.35">
      <c r="A295" t="s">
        <v>9258</v>
      </c>
      <c r="B295" t="s">
        <v>7246</v>
      </c>
      <c r="C295" t="s">
        <v>420</v>
      </c>
      <c r="D295" t="s">
        <v>420</v>
      </c>
      <c r="E295" t="s">
        <v>420</v>
      </c>
      <c r="G295" s="13" t="s">
        <v>9259</v>
      </c>
      <c r="H295" t="s">
        <v>9260</v>
      </c>
      <c r="K295" t="s">
        <v>9219</v>
      </c>
      <c r="L295" t="s">
        <v>9155</v>
      </c>
      <c r="M295" t="s">
        <v>7250</v>
      </c>
      <c r="T295" t="s">
        <v>6546</v>
      </c>
      <c r="U295" t="s">
        <v>6546</v>
      </c>
      <c r="V295">
        <v>95</v>
      </c>
      <c r="W295">
        <v>91.6</v>
      </c>
      <c r="X295">
        <v>95</v>
      </c>
      <c r="Y295">
        <v>38</v>
      </c>
      <c r="Z295" t="s">
        <v>7253</v>
      </c>
      <c r="AA295" t="s">
        <v>9177</v>
      </c>
      <c r="AB295" t="s">
        <v>9261</v>
      </c>
      <c r="AC295" t="s">
        <v>8747</v>
      </c>
      <c r="AE295" t="s">
        <v>9179</v>
      </c>
      <c r="AF295" t="s">
        <v>8756</v>
      </c>
      <c r="AH295" t="s">
        <v>8757</v>
      </c>
      <c r="AI295" t="s">
        <v>8747</v>
      </c>
      <c r="AO295" t="s">
        <v>9262</v>
      </c>
    </row>
    <row r="296" spans="1:41" hidden="1" x14ac:dyDescent="0.35">
      <c r="A296" t="s">
        <v>9263</v>
      </c>
      <c r="B296" t="s">
        <v>7246</v>
      </c>
      <c r="C296" t="s">
        <v>420</v>
      </c>
      <c r="D296" t="s">
        <v>420</v>
      </c>
      <c r="E296" t="s">
        <v>420</v>
      </c>
      <c r="G296" s="13" t="s">
        <v>9264</v>
      </c>
      <c r="H296" t="s">
        <v>9265</v>
      </c>
      <c r="K296" t="s">
        <v>9219</v>
      </c>
      <c r="L296" t="s">
        <v>9155</v>
      </c>
      <c r="M296" t="s">
        <v>7250</v>
      </c>
      <c r="T296" t="s">
        <v>6546</v>
      </c>
      <c r="U296" t="s">
        <v>6546</v>
      </c>
      <c r="V296">
        <v>100</v>
      </c>
      <c r="W296">
        <v>97.48</v>
      </c>
      <c r="X296">
        <v>100</v>
      </c>
      <c r="Y296">
        <v>38</v>
      </c>
      <c r="Z296" t="s">
        <v>7253</v>
      </c>
      <c r="AA296" t="s">
        <v>9177</v>
      </c>
      <c r="AB296" t="s">
        <v>9266</v>
      </c>
      <c r="AC296" t="s">
        <v>8747</v>
      </c>
      <c r="AE296" t="s">
        <v>9179</v>
      </c>
      <c r="AF296" t="s">
        <v>8756</v>
      </c>
      <c r="AH296" t="s">
        <v>8757</v>
      </c>
      <c r="AI296" t="s">
        <v>8747</v>
      </c>
      <c r="AO296" t="s">
        <v>9267</v>
      </c>
    </row>
    <row r="297" spans="1:41" hidden="1" x14ac:dyDescent="0.35">
      <c r="A297" t="s">
        <v>9268</v>
      </c>
      <c r="B297" t="s">
        <v>7246</v>
      </c>
      <c r="C297" t="s">
        <v>344</v>
      </c>
      <c r="D297" t="s">
        <v>445</v>
      </c>
      <c r="E297" t="s">
        <v>9269</v>
      </c>
      <c r="G297" s="13" t="s">
        <v>9270</v>
      </c>
      <c r="H297" t="s">
        <v>9271</v>
      </c>
      <c r="K297" t="s">
        <v>9272</v>
      </c>
      <c r="L297" t="s">
        <v>9272</v>
      </c>
      <c r="M297" t="s">
        <v>7250</v>
      </c>
      <c r="N297">
        <v>1972</v>
      </c>
      <c r="R297">
        <v>28.8</v>
      </c>
      <c r="S297" t="s">
        <v>7251</v>
      </c>
      <c r="T297">
        <v>0.3</v>
      </c>
      <c r="U297">
        <v>138.62</v>
      </c>
      <c r="V297">
        <v>294</v>
      </c>
      <c r="W297">
        <v>312.20999999999998</v>
      </c>
      <c r="X297">
        <v>294</v>
      </c>
      <c r="AB297" t="s">
        <v>9273</v>
      </c>
      <c r="AC297" t="s">
        <v>8747</v>
      </c>
      <c r="AE297" t="s">
        <v>3129</v>
      </c>
      <c r="AF297" t="s">
        <v>9274</v>
      </c>
      <c r="AH297" t="s">
        <v>9274</v>
      </c>
      <c r="AI297" t="s">
        <v>8747</v>
      </c>
      <c r="AO297" t="s">
        <v>9275</v>
      </c>
    </row>
    <row r="298" spans="1:41" hidden="1" x14ac:dyDescent="0.35">
      <c r="A298" t="s">
        <v>9276</v>
      </c>
      <c r="B298" t="s">
        <v>7246</v>
      </c>
      <c r="C298" t="s">
        <v>445</v>
      </c>
      <c r="D298" t="s">
        <v>445</v>
      </c>
      <c r="E298" t="s">
        <v>445</v>
      </c>
      <c r="G298" s="13" t="s">
        <v>9277</v>
      </c>
      <c r="H298" t="s">
        <v>9278</v>
      </c>
      <c r="J298" t="s">
        <v>9279</v>
      </c>
      <c r="K298" t="s">
        <v>9280</v>
      </c>
      <c r="L298" t="s">
        <v>9281</v>
      </c>
      <c r="M298" t="s">
        <v>7250</v>
      </c>
      <c r="N298">
        <v>2020</v>
      </c>
      <c r="R298">
        <v>3.65</v>
      </c>
      <c r="S298" t="s">
        <v>8257</v>
      </c>
      <c r="T298">
        <v>3.65</v>
      </c>
      <c r="U298">
        <v>1698.65</v>
      </c>
      <c r="V298">
        <v>370</v>
      </c>
      <c r="W298">
        <v>384.86</v>
      </c>
      <c r="X298">
        <v>370</v>
      </c>
      <c r="AB298" t="s">
        <v>9282</v>
      </c>
      <c r="AC298" t="s">
        <v>8747</v>
      </c>
      <c r="AE298" t="s">
        <v>9283</v>
      </c>
      <c r="AF298" t="s">
        <v>9274</v>
      </c>
      <c r="AH298" t="s">
        <v>9274</v>
      </c>
      <c r="AI298" t="s">
        <v>8747</v>
      </c>
      <c r="AO298" t="s">
        <v>9284</v>
      </c>
    </row>
    <row r="299" spans="1:41" hidden="1" x14ac:dyDescent="0.35">
      <c r="A299" t="s">
        <v>9285</v>
      </c>
      <c r="B299" t="s">
        <v>7246</v>
      </c>
      <c r="C299" t="s">
        <v>447</v>
      </c>
      <c r="D299" t="s">
        <v>447</v>
      </c>
      <c r="E299" t="s">
        <v>447</v>
      </c>
      <c r="G299" s="13" t="s">
        <v>9286</v>
      </c>
      <c r="H299" t="s">
        <v>9287</v>
      </c>
      <c r="K299" t="s">
        <v>9288</v>
      </c>
      <c r="L299" t="s">
        <v>9288</v>
      </c>
      <c r="M299" t="s">
        <v>7250</v>
      </c>
      <c r="T299" t="s">
        <v>6546</v>
      </c>
      <c r="U299" t="s">
        <v>6546</v>
      </c>
      <c r="V299">
        <v>88</v>
      </c>
      <c r="W299">
        <v>85.48</v>
      </c>
      <c r="X299">
        <v>88</v>
      </c>
      <c r="Y299">
        <v>20</v>
      </c>
      <c r="Z299" t="s">
        <v>7253</v>
      </c>
      <c r="AB299" t="s">
        <v>9289</v>
      </c>
      <c r="AC299" t="s">
        <v>8747</v>
      </c>
      <c r="AE299" t="s">
        <v>2580</v>
      </c>
      <c r="AF299" t="s">
        <v>9290</v>
      </c>
      <c r="AH299" t="s">
        <v>2580</v>
      </c>
      <c r="AI299" t="s">
        <v>8747</v>
      </c>
      <c r="AO299" t="s">
        <v>9291</v>
      </c>
    </row>
    <row r="300" spans="1:41" hidden="1" x14ac:dyDescent="0.35">
      <c r="A300" t="s">
        <v>9292</v>
      </c>
      <c r="B300" t="s">
        <v>7246</v>
      </c>
      <c r="C300" t="s">
        <v>447</v>
      </c>
      <c r="D300" t="s">
        <v>447</v>
      </c>
      <c r="E300" t="s">
        <v>447</v>
      </c>
      <c r="G300" s="13" t="s">
        <v>9293</v>
      </c>
      <c r="H300" t="s">
        <v>9294</v>
      </c>
      <c r="K300" t="s">
        <v>9288</v>
      </c>
      <c r="L300" t="s">
        <v>9288</v>
      </c>
      <c r="M300" t="s">
        <v>7250</v>
      </c>
      <c r="T300" t="s">
        <v>6546</v>
      </c>
      <c r="U300" t="s">
        <v>6546</v>
      </c>
      <c r="V300">
        <v>100</v>
      </c>
      <c r="W300">
        <v>99.82</v>
      </c>
      <c r="X300">
        <v>100</v>
      </c>
      <c r="AB300" t="s">
        <v>9290</v>
      </c>
      <c r="AC300" t="s">
        <v>8747</v>
      </c>
      <c r="AE300" t="s">
        <v>2580</v>
      </c>
      <c r="AF300" t="s">
        <v>3783</v>
      </c>
      <c r="AH300" t="s">
        <v>2580</v>
      </c>
      <c r="AI300" t="s">
        <v>8747</v>
      </c>
      <c r="AO300" t="s">
        <v>9295</v>
      </c>
    </row>
    <row r="301" spans="1:41" hidden="1" x14ac:dyDescent="0.35">
      <c r="A301" t="s">
        <v>9296</v>
      </c>
      <c r="B301" t="s">
        <v>7246</v>
      </c>
      <c r="C301" t="s">
        <v>447</v>
      </c>
      <c r="D301" t="s">
        <v>447</v>
      </c>
      <c r="E301" t="s">
        <v>447</v>
      </c>
      <c r="G301" s="13" t="s">
        <v>9297</v>
      </c>
      <c r="H301" t="s">
        <v>9298</v>
      </c>
      <c r="K301" t="s">
        <v>9288</v>
      </c>
      <c r="L301" t="s">
        <v>9288</v>
      </c>
      <c r="M301" t="s">
        <v>7250</v>
      </c>
      <c r="T301" t="s">
        <v>6546</v>
      </c>
      <c r="U301" t="s">
        <v>6546</v>
      </c>
      <c r="V301">
        <v>130</v>
      </c>
      <c r="W301">
        <v>126.15</v>
      </c>
      <c r="X301">
        <v>130</v>
      </c>
      <c r="AB301" t="s">
        <v>9290</v>
      </c>
      <c r="AC301" t="s">
        <v>8747</v>
      </c>
      <c r="AE301" t="s">
        <v>2580</v>
      </c>
      <c r="AF301" t="s">
        <v>9299</v>
      </c>
      <c r="AH301" t="s">
        <v>2580</v>
      </c>
      <c r="AI301" t="s">
        <v>8747</v>
      </c>
      <c r="AO301" t="s">
        <v>9300</v>
      </c>
    </row>
    <row r="302" spans="1:41" hidden="1" x14ac:dyDescent="0.35">
      <c r="A302" t="s">
        <v>9301</v>
      </c>
      <c r="B302" t="s">
        <v>7246</v>
      </c>
      <c r="C302" t="s">
        <v>447</v>
      </c>
      <c r="D302" t="s">
        <v>447</v>
      </c>
      <c r="E302" t="s">
        <v>447</v>
      </c>
      <c r="G302" s="13" t="s">
        <v>9302</v>
      </c>
      <c r="H302" t="s">
        <v>9303</v>
      </c>
      <c r="K302" t="s">
        <v>9288</v>
      </c>
      <c r="L302" t="s">
        <v>9288</v>
      </c>
      <c r="M302" t="s">
        <v>7250</v>
      </c>
      <c r="T302" t="s">
        <v>6546</v>
      </c>
      <c r="U302" t="s">
        <v>6546</v>
      </c>
      <c r="V302">
        <v>45</v>
      </c>
      <c r="W302">
        <v>44.81</v>
      </c>
      <c r="X302">
        <v>45</v>
      </c>
      <c r="AB302" t="s">
        <v>9304</v>
      </c>
      <c r="AC302" t="s">
        <v>8747</v>
      </c>
      <c r="AE302" t="s">
        <v>2580</v>
      </c>
      <c r="AF302" t="s">
        <v>9290</v>
      </c>
      <c r="AH302" t="s">
        <v>2580</v>
      </c>
      <c r="AI302" t="s">
        <v>8747</v>
      </c>
      <c r="AO302" t="s">
        <v>9305</v>
      </c>
    </row>
    <row r="303" spans="1:41" hidden="1" x14ac:dyDescent="0.35">
      <c r="A303" t="s">
        <v>9306</v>
      </c>
      <c r="B303" t="s">
        <v>7246</v>
      </c>
      <c r="C303" t="s">
        <v>447</v>
      </c>
      <c r="D303" t="s">
        <v>447</v>
      </c>
      <c r="E303" t="s">
        <v>447</v>
      </c>
      <c r="G303" s="13" t="s">
        <v>9307</v>
      </c>
      <c r="H303" t="s">
        <v>9308</v>
      </c>
      <c r="K303" t="s">
        <v>9309</v>
      </c>
      <c r="L303" t="s">
        <v>9309</v>
      </c>
      <c r="M303" t="s">
        <v>7250</v>
      </c>
      <c r="N303">
        <v>1986</v>
      </c>
      <c r="T303" t="s">
        <v>6546</v>
      </c>
      <c r="U303" t="s">
        <v>6546</v>
      </c>
      <c r="V303">
        <v>90</v>
      </c>
      <c r="W303">
        <v>92.72</v>
      </c>
      <c r="X303">
        <v>90</v>
      </c>
      <c r="AB303" t="s">
        <v>9310</v>
      </c>
      <c r="AC303" t="s">
        <v>8747</v>
      </c>
      <c r="AF303" t="s">
        <v>9311</v>
      </c>
      <c r="AH303" t="s">
        <v>9312</v>
      </c>
      <c r="AI303" t="s">
        <v>8747</v>
      </c>
      <c r="AO303" t="s">
        <v>9313</v>
      </c>
    </row>
    <row r="304" spans="1:41" hidden="1" x14ac:dyDescent="0.35">
      <c r="A304" t="s">
        <v>9314</v>
      </c>
      <c r="B304" t="s">
        <v>7246</v>
      </c>
      <c r="C304" t="s">
        <v>447</v>
      </c>
      <c r="D304" t="s">
        <v>447</v>
      </c>
      <c r="E304" t="s">
        <v>447</v>
      </c>
      <c r="G304" s="13" t="s">
        <v>9315</v>
      </c>
      <c r="H304" t="s">
        <v>9316</v>
      </c>
      <c r="K304" t="s">
        <v>9317</v>
      </c>
      <c r="L304" t="s">
        <v>9317</v>
      </c>
      <c r="M304" t="s">
        <v>7250</v>
      </c>
      <c r="T304" t="s">
        <v>6546</v>
      </c>
      <c r="U304" t="s">
        <v>6546</v>
      </c>
      <c r="V304">
        <v>75</v>
      </c>
      <c r="W304">
        <v>59.2</v>
      </c>
      <c r="X304">
        <v>75</v>
      </c>
      <c r="AB304" t="s">
        <v>9318</v>
      </c>
      <c r="AC304" t="s">
        <v>8747</v>
      </c>
      <c r="AE304" t="s">
        <v>9312</v>
      </c>
      <c r="AF304" t="s">
        <v>9311</v>
      </c>
      <c r="AH304" t="s">
        <v>9312</v>
      </c>
      <c r="AI304" t="s">
        <v>8747</v>
      </c>
      <c r="AO304" t="s">
        <v>9319</v>
      </c>
    </row>
    <row r="305" spans="1:41" hidden="1" x14ac:dyDescent="0.35">
      <c r="A305" t="s">
        <v>9320</v>
      </c>
      <c r="B305" t="s">
        <v>7246</v>
      </c>
      <c r="C305" t="s">
        <v>447</v>
      </c>
      <c r="D305" t="s">
        <v>447</v>
      </c>
      <c r="E305" t="s">
        <v>447</v>
      </c>
      <c r="G305" s="13" t="s">
        <v>9321</v>
      </c>
      <c r="H305" t="s">
        <v>9322</v>
      </c>
      <c r="K305" t="s">
        <v>9323</v>
      </c>
      <c r="L305" t="s">
        <v>9323</v>
      </c>
      <c r="M305" t="s">
        <v>7250</v>
      </c>
      <c r="N305">
        <v>2008</v>
      </c>
      <c r="R305">
        <v>10.33</v>
      </c>
      <c r="S305" t="s">
        <v>8257</v>
      </c>
      <c r="T305">
        <v>10.33</v>
      </c>
      <c r="U305">
        <v>4807.41</v>
      </c>
      <c r="V305">
        <v>32</v>
      </c>
      <c r="W305">
        <v>20.47</v>
      </c>
      <c r="X305">
        <v>32</v>
      </c>
      <c r="AB305" t="s">
        <v>9324</v>
      </c>
      <c r="AC305" t="s">
        <v>8747</v>
      </c>
      <c r="AE305" t="s">
        <v>3786</v>
      </c>
      <c r="AF305" t="s">
        <v>9325</v>
      </c>
      <c r="AH305" t="s">
        <v>3786</v>
      </c>
      <c r="AI305" t="s">
        <v>8747</v>
      </c>
      <c r="AO305" t="s">
        <v>9326</v>
      </c>
    </row>
    <row r="306" spans="1:41" hidden="1" x14ac:dyDescent="0.35">
      <c r="A306" t="s">
        <v>9327</v>
      </c>
      <c r="B306" t="s">
        <v>7246</v>
      </c>
      <c r="C306" t="s">
        <v>447</v>
      </c>
      <c r="D306" t="s">
        <v>447</v>
      </c>
      <c r="E306" t="s">
        <v>447</v>
      </c>
      <c r="G306" s="13" t="s">
        <v>9328</v>
      </c>
      <c r="H306" t="s">
        <v>9329</v>
      </c>
      <c r="K306" t="s">
        <v>9330</v>
      </c>
      <c r="L306" t="s">
        <v>9330</v>
      </c>
      <c r="M306" t="s">
        <v>7250</v>
      </c>
      <c r="T306" t="s">
        <v>6546</v>
      </c>
      <c r="U306" t="s">
        <v>6546</v>
      </c>
      <c r="V306" t="s">
        <v>6546</v>
      </c>
      <c r="W306">
        <v>73.42</v>
      </c>
      <c r="X306">
        <v>73.42</v>
      </c>
      <c r="AB306" t="s">
        <v>9324</v>
      </c>
      <c r="AC306" t="s">
        <v>8747</v>
      </c>
      <c r="AE306" t="s">
        <v>3786</v>
      </c>
      <c r="AF306" t="s">
        <v>9311</v>
      </c>
      <c r="AH306" t="s">
        <v>9312</v>
      </c>
      <c r="AI306" t="s">
        <v>8747</v>
      </c>
      <c r="AO306" t="s">
        <v>9331</v>
      </c>
    </row>
    <row r="307" spans="1:41" hidden="1" x14ac:dyDescent="0.35">
      <c r="A307" t="s">
        <v>9332</v>
      </c>
      <c r="B307" t="s">
        <v>7246</v>
      </c>
      <c r="C307" t="s">
        <v>447</v>
      </c>
      <c r="D307" t="s">
        <v>447</v>
      </c>
      <c r="E307" t="s">
        <v>447</v>
      </c>
      <c r="G307" s="13" t="s">
        <v>9333</v>
      </c>
      <c r="H307" t="s">
        <v>9334</v>
      </c>
      <c r="K307" t="s">
        <v>9335</v>
      </c>
      <c r="L307" t="s">
        <v>9335</v>
      </c>
      <c r="M307" t="s">
        <v>9336</v>
      </c>
      <c r="T307" t="s">
        <v>6546</v>
      </c>
      <c r="U307" t="s">
        <v>6546</v>
      </c>
      <c r="V307" t="s">
        <v>6546</v>
      </c>
      <c r="W307">
        <v>39.28</v>
      </c>
      <c r="X307">
        <v>39.28</v>
      </c>
      <c r="AB307" t="s">
        <v>9337</v>
      </c>
      <c r="AC307" t="s">
        <v>8747</v>
      </c>
      <c r="AF307" t="s">
        <v>9338</v>
      </c>
      <c r="AH307" t="s">
        <v>9338</v>
      </c>
      <c r="AI307" t="s">
        <v>8747</v>
      </c>
      <c r="AO307" t="s">
        <v>9339</v>
      </c>
    </row>
    <row r="308" spans="1:41" hidden="1" x14ac:dyDescent="0.35">
      <c r="A308" t="s">
        <v>9340</v>
      </c>
      <c r="B308" t="s">
        <v>7246</v>
      </c>
      <c r="C308" t="s">
        <v>447</v>
      </c>
      <c r="D308" t="s">
        <v>447</v>
      </c>
      <c r="E308" t="s">
        <v>447</v>
      </c>
      <c r="G308" s="13" t="s">
        <v>9341</v>
      </c>
      <c r="H308" t="s">
        <v>9342</v>
      </c>
      <c r="K308" t="s">
        <v>9343</v>
      </c>
      <c r="L308" t="s">
        <v>9343</v>
      </c>
      <c r="M308" t="s">
        <v>7250</v>
      </c>
      <c r="T308" t="s">
        <v>6546</v>
      </c>
      <c r="U308" t="s">
        <v>6546</v>
      </c>
      <c r="V308">
        <v>59</v>
      </c>
      <c r="W308">
        <v>58.14</v>
      </c>
      <c r="X308">
        <v>59</v>
      </c>
      <c r="AB308" t="s">
        <v>9344</v>
      </c>
      <c r="AC308" t="s">
        <v>8747</v>
      </c>
      <c r="AF308" t="s">
        <v>9345</v>
      </c>
      <c r="AI308" t="s">
        <v>8747</v>
      </c>
      <c r="AO308" t="s">
        <v>9346</v>
      </c>
    </row>
    <row r="309" spans="1:41" hidden="1" x14ac:dyDescent="0.35">
      <c r="A309" t="s">
        <v>9347</v>
      </c>
      <c r="B309" t="s">
        <v>7246</v>
      </c>
      <c r="C309" t="s">
        <v>5830</v>
      </c>
      <c r="D309" t="s">
        <v>5705</v>
      </c>
      <c r="E309" t="s">
        <v>9348</v>
      </c>
      <c r="G309" s="13" t="s">
        <v>9349</v>
      </c>
      <c r="H309" t="s">
        <v>9350</v>
      </c>
      <c r="K309" t="s">
        <v>9351</v>
      </c>
      <c r="L309" t="s">
        <v>9352</v>
      </c>
      <c r="M309" t="s">
        <v>7250</v>
      </c>
      <c r="N309">
        <v>2010</v>
      </c>
      <c r="R309">
        <v>4.5</v>
      </c>
      <c r="S309" t="s">
        <v>8257</v>
      </c>
      <c r="T309">
        <v>4.5</v>
      </c>
      <c r="U309">
        <v>2094.23</v>
      </c>
      <c r="V309">
        <v>109</v>
      </c>
      <c r="W309">
        <v>97.54</v>
      </c>
      <c r="X309">
        <v>109</v>
      </c>
      <c r="AB309" t="s">
        <v>9353</v>
      </c>
      <c r="AC309" t="s">
        <v>8777</v>
      </c>
      <c r="AF309" t="s">
        <v>9354</v>
      </c>
      <c r="AI309" t="s">
        <v>8777</v>
      </c>
      <c r="AO309" t="s">
        <v>9355</v>
      </c>
    </row>
    <row r="310" spans="1:41" hidden="1" x14ac:dyDescent="0.35">
      <c r="A310" t="s">
        <v>9356</v>
      </c>
      <c r="B310" t="s">
        <v>7246</v>
      </c>
      <c r="C310" t="s">
        <v>5787</v>
      </c>
      <c r="D310" t="s">
        <v>449</v>
      </c>
      <c r="E310" t="s">
        <v>9357</v>
      </c>
      <c r="G310" s="13" t="s">
        <v>9358</v>
      </c>
      <c r="H310" t="s">
        <v>9359</v>
      </c>
      <c r="J310" t="s">
        <v>9360</v>
      </c>
      <c r="K310" t="s">
        <v>9361</v>
      </c>
      <c r="L310" t="s">
        <v>9362</v>
      </c>
      <c r="M310" t="s">
        <v>7250</v>
      </c>
      <c r="N310">
        <v>2006</v>
      </c>
      <c r="R310">
        <v>16</v>
      </c>
      <c r="S310" t="s">
        <v>8257</v>
      </c>
      <c r="T310">
        <v>16</v>
      </c>
      <c r="U310">
        <v>7446.14</v>
      </c>
      <c r="V310">
        <v>231.8</v>
      </c>
      <c r="W310">
        <v>229.35</v>
      </c>
      <c r="X310">
        <v>231.8</v>
      </c>
      <c r="AB310" t="s">
        <v>9363</v>
      </c>
      <c r="AC310" t="s">
        <v>8777</v>
      </c>
      <c r="AE310" t="s">
        <v>5791</v>
      </c>
      <c r="AF310" t="s">
        <v>9364</v>
      </c>
      <c r="AH310" t="s">
        <v>6310</v>
      </c>
      <c r="AI310" t="s">
        <v>8777</v>
      </c>
      <c r="AO310" t="s">
        <v>9365</v>
      </c>
    </row>
    <row r="311" spans="1:41" hidden="1" x14ac:dyDescent="0.35">
      <c r="A311" t="s">
        <v>9366</v>
      </c>
      <c r="B311" t="s">
        <v>7246</v>
      </c>
      <c r="C311" t="s">
        <v>5643</v>
      </c>
      <c r="D311" t="s">
        <v>9367</v>
      </c>
      <c r="E311" t="s">
        <v>9368</v>
      </c>
      <c r="G311" s="13" t="s">
        <v>9369</v>
      </c>
      <c r="H311" t="s">
        <v>9370</v>
      </c>
      <c r="K311" t="s">
        <v>9371</v>
      </c>
      <c r="L311" t="s">
        <v>9371</v>
      </c>
      <c r="M311" t="s">
        <v>7269</v>
      </c>
      <c r="R311">
        <v>3</v>
      </c>
      <c r="S311" t="s">
        <v>8257</v>
      </c>
      <c r="T311">
        <v>3</v>
      </c>
      <c r="U311">
        <v>1396.15</v>
      </c>
      <c r="V311">
        <v>200</v>
      </c>
      <c r="W311">
        <v>178.6</v>
      </c>
      <c r="X311">
        <v>200</v>
      </c>
      <c r="Y311">
        <v>810</v>
      </c>
      <c r="Z311" t="s">
        <v>8842</v>
      </c>
      <c r="AB311" t="s">
        <v>9372</v>
      </c>
      <c r="AC311" t="s">
        <v>8777</v>
      </c>
      <c r="AE311" t="s">
        <v>9373</v>
      </c>
      <c r="AF311" t="s">
        <v>9374</v>
      </c>
      <c r="AH311" t="s">
        <v>9375</v>
      </c>
      <c r="AI311" t="s">
        <v>8777</v>
      </c>
      <c r="AO311" t="s">
        <v>9376</v>
      </c>
    </row>
    <row r="312" spans="1:41" hidden="1" x14ac:dyDescent="0.35">
      <c r="A312" t="s">
        <v>9377</v>
      </c>
      <c r="B312" t="s">
        <v>7246</v>
      </c>
      <c r="C312" t="s">
        <v>416</v>
      </c>
      <c r="D312" t="s">
        <v>5802</v>
      </c>
      <c r="E312" t="s">
        <v>9378</v>
      </c>
      <c r="G312" s="13" t="s">
        <v>9379</v>
      </c>
      <c r="H312" t="s">
        <v>9380</v>
      </c>
      <c r="I312" t="s">
        <v>9381</v>
      </c>
      <c r="J312" t="s">
        <v>9382</v>
      </c>
      <c r="K312" t="s">
        <v>9383</v>
      </c>
      <c r="L312" t="s">
        <v>9383</v>
      </c>
      <c r="M312" t="s">
        <v>7415</v>
      </c>
      <c r="N312">
        <v>2022</v>
      </c>
      <c r="R312">
        <v>10</v>
      </c>
      <c r="S312" t="s">
        <v>8257</v>
      </c>
      <c r="T312">
        <v>10</v>
      </c>
      <c r="U312">
        <v>4653.83</v>
      </c>
      <c r="V312">
        <v>612.5</v>
      </c>
      <c r="W312">
        <v>612.64</v>
      </c>
      <c r="X312">
        <v>612.5</v>
      </c>
      <c r="AA312" t="s">
        <v>9384</v>
      </c>
      <c r="AC312" t="s">
        <v>8777</v>
      </c>
      <c r="AF312" t="s">
        <v>9385</v>
      </c>
      <c r="AI312" t="s">
        <v>8777</v>
      </c>
      <c r="AJ312" t="s">
        <v>6407</v>
      </c>
      <c r="AO312" t="s">
        <v>9386</v>
      </c>
    </row>
    <row r="313" spans="1:41" hidden="1" x14ac:dyDescent="0.35">
      <c r="A313" t="s">
        <v>9387</v>
      </c>
      <c r="B313" t="s">
        <v>7246</v>
      </c>
      <c r="C313" t="s">
        <v>5599</v>
      </c>
      <c r="D313" t="s">
        <v>9388</v>
      </c>
      <c r="E313" t="s">
        <v>9389</v>
      </c>
      <c r="G313" s="13" t="s">
        <v>9390</v>
      </c>
      <c r="H313" t="s">
        <v>9391</v>
      </c>
      <c r="K313" t="s">
        <v>9392</v>
      </c>
      <c r="L313" t="s">
        <v>9392</v>
      </c>
      <c r="M313" t="s">
        <v>7250</v>
      </c>
      <c r="N313">
        <v>2020</v>
      </c>
      <c r="R313">
        <v>2.6</v>
      </c>
      <c r="S313" t="s">
        <v>8257</v>
      </c>
      <c r="T313">
        <v>2.6</v>
      </c>
      <c r="U313">
        <v>1210</v>
      </c>
      <c r="V313">
        <v>155</v>
      </c>
      <c r="W313">
        <v>132.75</v>
      </c>
      <c r="X313">
        <v>155</v>
      </c>
      <c r="AB313" t="s">
        <v>9393</v>
      </c>
      <c r="AC313" t="s">
        <v>8777</v>
      </c>
      <c r="AE313" t="s">
        <v>3295</v>
      </c>
      <c r="AF313" t="s">
        <v>9394</v>
      </c>
      <c r="AH313" t="s">
        <v>9395</v>
      </c>
      <c r="AI313" t="s">
        <v>8777</v>
      </c>
      <c r="AO313" t="s">
        <v>9396</v>
      </c>
    </row>
    <row r="314" spans="1:41" hidden="1" x14ac:dyDescent="0.35">
      <c r="A314" t="s">
        <v>9397</v>
      </c>
      <c r="B314" t="s">
        <v>7246</v>
      </c>
      <c r="C314" t="s">
        <v>449</v>
      </c>
      <c r="D314" t="s">
        <v>449</v>
      </c>
      <c r="E314" t="s">
        <v>449</v>
      </c>
      <c r="G314" s="13" t="s">
        <v>9398</v>
      </c>
      <c r="H314" t="s">
        <v>9399</v>
      </c>
      <c r="J314" t="s">
        <v>9400</v>
      </c>
      <c r="K314" t="s">
        <v>9401</v>
      </c>
      <c r="L314" t="s">
        <v>9402</v>
      </c>
      <c r="M314" t="s">
        <v>7250</v>
      </c>
      <c r="N314">
        <v>1993</v>
      </c>
      <c r="R314">
        <v>1.7</v>
      </c>
      <c r="S314" t="s">
        <v>8257</v>
      </c>
      <c r="T314">
        <v>1.7</v>
      </c>
      <c r="U314">
        <v>791.15</v>
      </c>
      <c r="V314">
        <v>404</v>
      </c>
      <c r="W314">
        <v>404.77</v>
      </c>
      <c r="X314">
        <v>404</v>
      </c>
      <c r="Y314">
        <v>914</v>
      </c>
      <c r="Z314" t="s">
        <v>8842</v>
      </c>
      <c r="AB314" t="s">
        <v>9403</v>
      </c>
      <c r="AC314" t="s">
        <v>8777</v>
      </c>
      <c r="AE314" t="s">
        <v>9404</v>
      </c>
      <c r="AF314" t="s">
        <v>2065</v>
      </c>
      <c r="AH314" t="s">
        <v>9405</v>
      </c>
      <c r="AI314" t="s">
        <v>8777</v>
      </c>
      <c r="AO314" t="s">
        <v>9406</v>
      </c>
    </row>
    <row r="315" spans="1:41" hidden="1" x14ac:dyDescent="0.35">
      <c r="A315" t="s">
        <v>9407</v>
      </c>
      <c r="B315" t="s">
        <v>7246</v>
      </c>
      <c r="C315" t="s">
        <v>9388</v>
      </c>
      <c r="D315" t="s">
        <v>5775</v>
      </c>
      <c r="E315" t="s">
        <v>9408</v>
      </c>
      <c r="G315" s="13" t="s">
        <v>9409</v>
      </c>
      <c r="H315" t="s">
        <v>9410</v>
      </c>
      <c r="J315" t="s">
        <v>9411</v>
      </c>
      <c r="K315" t="s">
        <v>9412</v>
      </c>
      <c r="L315" t="s">
        <v>9413</v>
      </c>
      <c r="M315" t="s">
        <v>7250</v>
      </c>
      <c r="N315">
        <v>1992</v>
      </c>
      <c r="R315">
        <v>2.5</v>
      </c>
      <c r="S315" t="s">
        <v>8257</v>
      </c>
      <c r="T315">
        <v>2.5</v>
      </c>
      <c r="U315">
        <v>1163.46</v>
      </c>
      <c r="V315">
        <v>280.39999999999998</v>
      </c>
      <c r="W315">
        <v>314.35000000000002</v>
      </c>
      <c r="X315">
        <v>280.39999999999998</v>
      </c>
      <c r="AB315" t="s">
        <v>9414</v>
      </c>
      <c r="AC315" t="s">
        <v>8777</v>
      </c>
      <c r="AE315" t="s">
        <v>9415</v>
      </c>
      <c r="AF315" t="s">
        <v>9416</v>
      </c>
      <c r="AI315" t="s">
        <v>8777</v>
      </c>
      <c r="AO315" t="s">
        <v>9417</v>
      </c>
    </row>
    <row r="316" spans="1:41" hidden="1" x14ac:dyDescent="0.35">
      <c r="A316" t="s">
        <v>9418</v>
      </c>
      <c r="B316" t="s">
        <v>7246</v>
      </c>
      <c r="C316" t="s">
        <v>5643</v>
      </c>
      <c r="D316" t="s">
        <v>5643</v>
      </c>
      <c r="E316" t="s">
        <v>5643</v>
      </c>
      <c r="G316" s="13" t="s">
        <v>9419</v>
      </c>
      <c r="H316" t="s">
        <v>9420</v>
      </c>
      <c r="J316" t="s">
        <v>9421</v>
      </c>
      <c r="K316" t="s">
        <v>9422</v>
      </c>
      <c r="L316" t="s">
        <v>9423</v>
      </c>
      <c r="M316" t="s">
        <v>7250</v>
      </c>
      <c r="N316">
        <v>2021</v>
      </c>
      <c r="R316">
        <v>55</v>
      </c>
      <c r="S316" t="s">
        <v>8257</v>
      </c>
      <c r="T316">
        <v>55</v>
      </c>
      <c r="U316">
        <v>25596.09</v>
      </c>
      <c r="V316">
        <v>485</v>
      </c>
      <c r="W316">
        <v>447.1</v>
      </c>
      <c r="X316">
        <v>485</v>
      </c>
      <c r="Y316">
        <v>55</v>
      </c>
      <c r="Z316" t="s">
        <v>7253</v>
      </c>
      <c r="AB316" t="s">
        <v>1795</v>
      </c>
      <c r="AC316" t="s">
        <v>8777</v>
      </c>
      <c r="AD316" t="s">
        <v>9424</v>
      </c>
      <c r="AE316" t="s">
        <v>9373</v>
      </c>
      <c r="AF316" t="s">
        <v>9425</v>
      </c>
      <c r="AG316" t="s">
        <v>9426</v>
      </c>
      <c r="AH316" t="s">
        <v>9427</v>
      </c>
      <c r="AI316" t="s">
        <v>8777</v>
      </c>
      <c r="AO316" t="s">
        <v>9428</v>
      </c>
    </row>
    <row r="317" spans="1:41" hidden="1" x14ac:dyDescent="0.35">
      <c r="A317" t="s">
        <v>9429</v>
      </c>
      <c r="B317" t="s">
        <v>7246</v>
      </c>
      <c r="C317" t="s">
        <v>449</v>
      </c>
      <c r="D317" t="s">
        <v>5643</v>
      </c>
      <c r="E317" t="s">
        <v>9430</v>
      </c>
      <c r="G317" s="13" t="s">
        <v>9431</v>
      </c>
      <c r="H317" t="s">
        <v>9432</v>
      </c>
      <c r="K317" t="s">
        <v>9433</v>
      </c>
      <c r="L317" t="s">
        <v>9434</v>
      </c>
      <c r="M317" t="s">
        <v>7250</v>
      </c>
      <c r="N317">
        <v>1995</v>
      </c>
      <c r="R317">
        <v>13</v>
      </c>
      <c r="S317" t="s">
        <v>8257</v>
      </c>
      <c r="T317">
        <v>13</v>
      </c>
      <c r="U317">
        <v>6049.98</v>
      </c>
      <c r="V317">
        <v>620</v>
      </c>
      <c r="W317">
        <v>622.13</v>
      </c>
      <c r="X317">
        <v>620</v>
      </c>
      <c r="Y317">
        <v>40</v>
      </c>
      <c r="Z317" t="s">
        <v>7253</v>
      </c>
      <c r="AB317" t="s">
        <v>9435</v>
      </c>
      <c r="AC317" t="s">
        <v>8777</v>
      </c>
      <c r="AE317" t="s">
        <v>9436</v>
      </c>
      <c r="AF317" t="s">
        <v>9437</v>
      </c>
      <c r="AH317" t="s">
        <v>3338</v>
      </c>
      <c r="AI317" t="s">
        <v>8777</v>
      </c>
      <c r="AO317" t="s">
        <v>9438</v>
      </c>
    </row>
    <row r="318" spans="1:41" hidden="1" x14ac:dyDescent="0.35">
      <c r="A318" t="s">
        <v>9439</v>
      </c>
      <c r="B318" t="s">
        <v>7246</v>
      </c>
      <c r="C318" t="s">
        <v>416</v>
      </c>
      <c r="D318" t="s">
        <v>5643</v>
      </c>
      <c r="E318" t="s">
        <v>9440</v>
      </c>
      <c r="G318" s="13" t="s">
        <v>9441</v>
      </c>
      <c r="H318" t="s">
        <v>9384</v>
      </c>
      <c r="K318" t="s">
        <v>9433</v>
      </c>
      <c r="L318" t="s">
        <v>9434</v>
      </c>
      <c r="M318" t="s">
        <v>7250</v>
      </c>
      <c r="N318">
        <v>1999</v>
      </c>
      <c r="R318">
        <v>21</v>
      </c>
      <c r="S318" t="s">
        <v>8257</v>
      </c>
      <c r="T318">
        <v>21</v>
      </c>
      <c r="U318">
        <v>9773.0499999999993</v>
      </c>
      <c r="V318">
        <v>658</v>
      </c>
      <c r="W318">
        <v>659.25</v>
      </c>
      <c r="X318">
        <v>658</v>
      </c>
      <c r="Y318">
        <v>42</v>
      </c>
      <c r="Z318" t="s">
        <v>7253</v>
      </c>
      <c r="AB318" t="s">
        <v>9442</v>
      </c>
      <c r="AC318" t="s">
        <v>8777</v>
      </c>
      <c r="AE318" t="s">
        <v>9443</v>
      </c>
      <c r="AF318" t="s">
        <v>9444</v>
      </c>
      <c r="AH318" t="s">
        <v>3338</v>
      </c>
      <c r="AI318" t="s">
        <v>8777</v>
      </c>
      <c r="AO318" t="s">
        <v>9445</v>
      </c>
    </row>
    <row r="319" spans="1:41" hidden="1" x14ac:dyDescent="0.35">
      <c r="A319" t="s">
        <v>9446</v>
      </c>
      <c r="B319" t="s">
        <v>7246</v>
      </c>
      <c r="C319" t="s">
        <v>449</v>
      </c>
      <c r="D319" t="s">
        <v>449</v>
      </c>
      <c r="E319" t="s">
        <v>449</v>
      </c>
      <c r="G319" s="13" t="s">
        <v>9447</v>
      </c>
      <c r="H319" t="s">
        <v>9448</v>
      </c>
      <c r="J319" t="s">
        <v>9449</v>
      </c>
      <c r="K319" t="s">
        <v>9450</v>
      </c>
      <c r="L319" t="s">
        <v>9450</v>
      </c>
      <c r="M319" t="s">
        <v>7250</v>
      </c>
      <c r="N319">
        <v>1982</v>
      </c>
      <c r="R319">
        <v>1165.3800000000001</v>
      </c>
      <c r="S319" t="s">
        <v>7251</v>
      </c>
      <c r="T319">
        <v>12.05</v>
      </c>
      <c r="U319">
        <v>5609.36</v>
      </c>
      <c r="V319">
        <v>448</v>
      </c>
      <c r="W319">
        <v>448.27</v>
      </c>
      <c r="X319">
        <v>448</v>
      </c>
      <c r="Y319">
        <v>36</v>
      </c>
      <c r="Z319" t="s">
        <v>7253</v>
      </c>
      <c r="AA319" t="s">
        <v>9451</v>
      </c>
      <c r="AB319" t="s">
        <v>9451</v>
      </c>
      <c r="AC319" t="s">
        <v>8777</v>
      </c>
      <c r="AE319" t="s">
        <v>9436</v>
      </c>
      <c r="AF319" t="s">
        <v>9452</v>
      </c>
      <c r="AH319" t="s">
        <v>449</v>
      </c>
      <c r="AI319" t="s">
        <v>8777</v>
      </c>
      <c r="AO319" t="s">
        <v>9453</v>
      </c>
    </row>
    <row r="320" spans="1:41" hidden="1" x14ac:dyDescent="0.35">
      <c r="A320" t="s">
        <v>9454</v>
      </c>
      <c r="B320" t="s">
        <v>7246</v>
      </c>
      <c r="C320" t="s">
        <v>416</v>
      </c>
      <c r="D320" t="s">
        <v>5613</v>
      </c>
      <c r="E320" t="s">
        <v>9455</v>
      </c>
      <c r="G320" s="13" t="s">
        <v>9456</v>
      </c>
      <c r="H320" t="s">
        <v>9457</v>
      </c>
      <c r="K320" t="s">
        <v>9458</v>
      </c>
      <c r="L320" t="s">
        <v>9459</v>
      </c>
      <c r="M320" t="s">
        <v>7250</v>
      </c>
      <c r="N320">
        <v>1998</v>
      </c>
      <c r="R320">
        <v>20.100000000000001</v>
      </c>
      <c r="S320" t="s">
        <v>8257</v>
      </c>
      <c r="T320">
        <v>20.100000000000001</v>
      </c>
      <c r="U320">
        <v>9354.2099999999991</v>
      </c>
      <c r="V320">
        <v>840</v>
      </c>
      <c r="W320">
        <v>835.01</v>
      </c>
      <c r="X320">
        <v>840</v>
      </c>
      <c r="Y320">
        <v>42</v>
      </c>
      <c r="Z320" t="s">
        <v>7253</v>
      </c>
      <c r="AB320" t="s">
        <v>9435</v>
      </c>
      <c r="AC320" t="s">
        <v>8777</v>
      </c>
      <c r="AE320" t="s">
        <v>9436</v>
      </c>
      <c r="AF320" t="s">
        <v>9460</v>
      </c>
      <c r="AH320" t="s">
        <v>3313</v>
      </c>
      <c r="AI320" t="s">
        <v>8777</v>
      </c>
      <c r="AO320" t="s">
        <v>9461</v>
      </c>
    </row>
    <row r="321" spans="1:41" hidden="1" x14ac:dyDescent="0.35">
      <c r="A321" t="s">
        <v>9462</v>
      </c>
      <c r="B321" t="s">
        <v>7246</v>
      </c>
      <c r="C321" t="s">
        <v>449</v>
      </c>
      <c r="D321" t="s">
        <v>449</v>
      </c>
      <c r="E321" t="s">
        <v>449</v>
      </c>
      <c r="G321" s="13" t="s">
        <v>9463</v>
      </c>
      <c r="H321" t="s">
        <v>9464</v>
      </c>
      <c r="J321" t="s">
        <v>9465</v>
      </c>
      <c r="K321" t="s">
        <v>9466</v>
      </c>
      <c r="L321" t="s">
        <v>9466</v>
      </c>
      <c r="M321" t="s">
        <v>7250</v>
      </c>
      <c r="N321">
        <v>1977</v>
      </c>
      <c r="R321">
        <v>1271</v>
      </c>
      <c r="S321" t="s">
        <v>7251</v>
      </c>
      <c r="T321">
        <v>13.15</v>
      </c>
      <c r="U321">
        <v>6117.75</v>
      </c>
      <c r="V321">
        <v>362</v>
      </c>
      <c r="W321">
        <v>110.25</v>
      </c>
      <c r="X321">
        <v>362</v>
      </c>
      <c r="Y321">
        <v>9</v>
      </c>
      <c r="Z321" t="s">
        <v>7253</v>
      </c>
      <c r="AB321" t="s">
        <v>9467</v>
      </c>
      <c r="AC321" t="s">
        <v>8777</v>
      </c>
      <c r="AF321" t="s">
        <v>9468</v>
      </c>
      <c r="AI321" t="s">
        <v>8777</v>
      </c>
      <c r="AO321" t="s">
        <v>9469</v>
      </c>
    </row>
    <row r="322" spans="1:41" hidden="1" x14ac:dyDescent="0.35">
      <c r="A322" t="s">
        <v>9470</v>
      </c>
      <c r="B322" t="s">
        <v>7246</v>
      </c>
      <c r="C322" t="s">
        <v>449</v>
      </c>
      <c r="D322" t="s">
        <v>449</v>
      </c>
      <c r="E322" t="s">
        <v>449</v>
      </c>
      <c r="G322" s="13" t="s">
        <v>9471</v>
      </c>
      <c r="H322" t="s">
        <v>9472</v>
      </c>
      <c r="K322" t="s">
        <v>9473</v>
      </c>
      <c r="L322" t="s">
        <v>9474</v>
      </c>
      <c r="M322" t="s">
        <v>7250</v>
      </c>
      <c r="N322">
        <v>1986</v>
      </c>
      <c r="R322">
        <v>4.4000000000000004</v>
      </c>
      <c r="S322" t="s">
        <v>8257</v>
      </c>
      <c r="T322">
        <v>4.4000000000000004</v>
      </c>
      <c r="U322">
        <v>2047.69</v>
      </c>
      <c r="V322">
        <v>289.39999999999998</v>
      </c>
      <c r="W322">
        <v>289.33</v>
      </c>
      <c r="X322">
        <v>289.39999999999998</v>
      </c>
      <c r="Y322">
        <v>20</v>
      </c>
      <c r="Z322" t="s">
        <v>7253</v>
      </c>
      <c r="AA322" t="s">
        <v>9404</v>
      </c>
      <c r="AC322" t="s">
        <v>8777</v>
      </c>
      <c r="AE322" t="s">
        <v>9436</v>
      </c>
      <c r="AF322" t="s">
        <v>9468</v>
      </c>
      <c r="AH322" t="s">
        <v>449</v>
      </c>
      <c r="AI322" t="s">
        <v>8777</v>
      </c>
      <c r="AO322" t="s">
        <v>9475</v>
      </c>
    </row>
    <row r="323" spans="1:41" hidden="1" x14ac:dyDescent="0.35">
      <c r="A323" t="s">
        <v>9476</v>
      </c>
      <c r="B323" t="s">
        <v>7246</v>
      </c>
      <c r="C323" t="s">
        <v>5802</v>
      </c>
      <c r="D323" t="s">
        <v>9477</v>
      </c>
      <c r="E323" t="s">
        <v>9478</v>
      </c>
      <c r="G323" s="13" t="s">
        <v>9479</v>
      </c>
      <c r="H323" t="s">
        <v>9480</v>
      </c>
      <c r="J323" t="s">
        <v>9481</v>
      </c>
      <c r="K323" t="s">
        <v>9482</v>
      </c>
      <c r="L323" t="s">
        <v>9483</v>
      </c>
      <c r="M323" t="s">
        <v>7250</v>
      </c>
      <c r="N323">
        <v>2022</v>
      </c>
      <c r="R323">
        <v>2.4</v>
      </c>
      <c r="S323" t="s">
        <v>8257</v>
      </c>
      <c r="T323">
        <v>2.4</v>
      </c>
      <c r="U323">
        <v>1116.92</v>
      </c>
      <c r="V323">
        <v>508</v>
      </c>
      <c r="W323">
        <v>433.22</v>
      </c>
      <c r="X323">
        <v>508</v>
      </c>
      <c r="Y323">
        <v>28</v>
      </c>
      <c r="Z323" t="s">
        <v>7253</v>
      </c>
      <c r="AB323" t="s">
        <v>9484</v>
      </c>
      <c r="AC323" t="s">
        <v>8777</v>
      </c>
      <c r="AF323" t="s">
        <v>9485</v>
      </c>
      <c r="AH323" t="s">
        <v>9486</v>
      </c>
      <c r="AI323" t="s">
        <v>8777</v>
      </c>
      <c r="AJ323" t="s">
        <v>6407</v>
      </c>
      <c r="AO323" t="s">
        <v>9487</v>
      </c>
    </row>
    <row r="324" spans="1:41" hidden="1" x14ac:dyDescent="0.35">
      <c r="A324" t="s">
        <v>9488</v>
      </c>
      <c r="B324" t="s">
        <v>7246</v>
      </c>
      <c r="C324" t="s">
        <v>5694</v>
      </c>
      <c r="D324" t="s">
        <v>5583</v>
      </c>
      <c r="E324" t="s">
        <v>9489</v>
      </c>
      <c r="G324" s="13" t="s">
        <v>9490</v>
      </c>
      <c r="H324" t="s">
        <v>9491</v>
      </c>
      <c r="J324" t="s">
        <v>9492</v>
      </c>
      <c r="K324" t="s">
        <v>9493</v>
      </c>
      <c r="L324" t="s">
        <v>9494</v>
      </c>
      <c r="M324" t="s">
        <v>7250</v>
      </c>
      <c r="N324">
        <v>2022</v>
      </c>
      <c r="O324">
        <v>2025</v>
      </c>
      <c r="R324">
        <v>3</v>
      </c>
      <c r="S324" t="s">
        <v>8257</v>
      </c>
      <c r="T324">
        <v>3</v>
      </c>
      <c r="U324">
        <v>1396.15</v>
      </c>
      <c r="V324">
        <v>184</v>
      </c>
      <c r="W324">
        <v>157.79</v>
      </c>
      <c r="X324">
        <v>184</v>
      </c>
      <c r="Y324">
        <v>31.5</v>
      </c>
      <c r="Z324" t="s">
        <v>7253</v>
      </c>
      <c r="AB324" t="s">
        <v>9495</v>
      </c>
      <c r="AC324" t="s">
        <v>8777</v>
      </c>
      <c r="AE324" t="s">
        <v>9496</v>
      </c>
      <c r="AF324" t="s">
        <v>9497</v>
      </c>
      <c r="AH324" t="s">
        <v>9497</v>
      </c>
      <c r="AI324" t="s">
        <v>8777</v>
      </c>
      <c r="AJ324" t="s">
        <v>6407</v>
      </c>
      <c r="AO324" t="s">
        <v>9498</v>
      </c>
    </row>
    <row r="325" spans="1:41" hidden="1" x14ac:dyDescent="0.35">
      <c r="A325" t="s">
        <v>9499</v>
      </c>
      <c r="B325" t="s">
        <v>7246</v>
      </c>
      <c r="C325" t="s">
        <v>344</v>
      </c>
      <c r="D325" t="s">
        <v>5714</v>
      </c>
      <c r="E325" t="s">
        <v>9500</v>
      </c>
      <c r="G325" s="13" t="s">
        <v>9501</v>
      </c>
      <c r="H325" t="s">
        <v>9502</v>
      </c>
      <c r="J325" t="s">
        <v>9503</v>
      </c>
      <c r="K325" t="s">
        <v>9504</v>
      </c>
      <c r="L325" t="s">
        <v>9505</v>
      </c>
      <c r="M325" t="s">
        <v>7731</v>
      </c>
      <c r="N325">
        <v>2022</v>
      </c>
      <c r="R325">
        <v>8</v>
      </c>
      <c r="S325" t="s">
        <v>8257</v>
      </c>
      <c r="T325">
        <v>8</v>
      </c>
      <c r="U325">
        <v>3723.07</v>
      </c>
      <c r="V325">
        <v>861</v>
      </c>
      <c r="W325">
        <v>780.93</v>
      </c>
      <c r="X325">
        <v>861</v>
      </c>
      <c r="Y325" t="s">
        <v>9506</v>
      </c>
      <c r="Z325" t="s">
        <v>7253</v>
      </c>
      <c r="AB325" t="s">
        <v>8875</v>
      </c>
      <c r="AC325" t="s">
        <v>8747</v>
      </c>
      <c r="AE325" t="s">
        <v>8876</v>
      </c>
      <c r="AF325" t="s">
        <v>5735</v>
      </c>
      <c r="AH325" t="s">
        <v>9507</v>
      </c>
      <c r="AI325" t="s">
        <v>8777</v>
      </c>
      <c r="AO325" t="s">
        <v>9508</v>
      </c>
    </row>
    <row r="326" spans="1:41" hidden="1" x14ac:dyDescent="0.35">
      <c r="A326" t="s">
        <v>9509</v>
      </c>
      <c r="B326" t="s">
        <v>7246</v>
      </c>
      <c r="C326" t="s">
        <v>5591</v>
      </c>
      <c r="D326" t="s">
        <v>5643</v>
      </c>
      <c r="E326" t="s">
        <v>9510</v>
      </c>
      <c r="G326" s="13" t="s">
        <v>9511</v>
      </c>
      <c r="H326" t="s">
        <v>9512</v>
      </c>
      <c r="K326" t="s">
        <v>9513</v>
      </c>
      <c r="L326" t="s">
        <v>9514</v>
      </c>
      <c r="M326" t="s">
        <v>7250</v>
      </c>
      <c r="N326">
        <v>2013</v>
      </c>
      <c r="R326">
        <v>30</v>
      </c>
      <c r="S326" t="s">
        <v>8257</v>
      </c>
      <c r="T326">
        <v>30</v>
      </c>
      <c r="U326">
        <v>13961.5</v>
      </c>
      <c r="V326">
        <v>166</v>
      </c>
      <c r="W326">
        <v>153.47999999999999</v>
      </c>
      <c r="X326">
        <v>166</v>
      </c>
      <c r="Y326">
        <v>1400</v>
      </c>
      <c r="Z326" t="s">
        <v>8842</v>
      </c>
      <c r="AB326" t="s">
        <v>9515</v>
      </c>
      <c r="AC326" t="s">
        <v>8777</v>
      </c>
      <c r="AE326" t="s">
        <v>9516</v>
      </c>
      <c r="AF326" t="s">
        <v>9517</v>
      </c>
      <c r="AH326" t="s">
        <v>3329</v>
      </c>
      <c r="AI326" t="s">
        <v>8777</v>
      </c>
      <c r="AO326" t="s">
        <v>9518</v>
      </c>
    </row>
    <row r="327" spans="1:41" hidden="1" x14ac:dyDescent="0.35">
      <c r="A327" t="s">
        <v>9519</v>
      </c>
      <c r="B327" t="s">
        <v>7246</v>
      </c>
      <c r="C327" t="s">
        <v>5830</v>
      </c>
      <c r="D327" t="s">
        <v>5583</v>
      </c>
      <c r="E327" t="s">
        <v>9520</v>
      </c>
      <c r="G327" s="13" t="s">
        <v>9521</v>
      </c>
      <c r="H327" t="s">
        <v>9522</v>
      </c>
      <c r="K327" t="s">
        <v>9523</v>
      </c>
      <c r="L327" t="s">
        <v>9524</v>
      </c>
      <c r="M327" t="s">
        <v>7250</v>
      </c>
      <c r="N327">
        <v>2016</v>
      </c>
      <c r="R327">
        <v>1.5</v>
      </c>
      <c r="S327" t="s">
        <v>8257</v>
      </c>
      <c r="T327">
        <v>1.5</v>
      </c>
      <c r="U327">
        <v>698.08</v>
      </c>
      <c r="V327">
        <v>26</v>
      </c>
      <c r="W327">
        <v>7.57</v>
      </c>
      <c r="X327">
        <v>26</v>
      </c>
      <c r="Y327">
        <v>500</v>
      </c>
      <c r="Z327" t="s">
        <v>8842</v>
      </c>
      <c r="AC327" t="s">
        <v>8777</v>
      </c>
      <c r="AD327" t="s">
        <v>9525</v>
      </c>
      <c r="AE327" t="s">
        <v>9526</v>
      </c>
      <c r="AF327" t="s">
        <v>9527</v>
      </c>
      <c r="AH327" t="s">
        <v>9527</v>
      </c>
      <c r="AI327" t="s">
        <v>8777</v>
      </c>
      <c r="AO327" t="s">
        <v>9528</v>
      </c>
    </row>
    <row r="328" spans="1:41" hidden="1" x14ac:dyDescent="0.35">
      <c r="A328" t="s">
        <v>9529</v>
      </c>
      <c r="B328" t="s">
        <v>7246</v>
      </c>
      <c r="C328" t="s">
        <v>416</v>
      </c>
      <c r="D328" t="s">
        <v>416</v>
      </c>
      <c r="E328" t="s">
        <v>416</v>
      </c>
      <c r="G328" s="13" t="s">
        <v>9530</v>
      </c>
      <c r="H328" t="s">
        <v>9531</v>
      </c>
      <c r="K328" t="s">
        <v>9532</v>
      </c>
      <c r="L328" t="s">
        <v>9533</v>
      </c>
      <c r="M328" t="s">
        <v>7250</v>
      </c>
      <c r="N328">
        <v>1996</v>
      </c>
      <c r="R328">
        <v>2.2000000000000002</v>
      </c>
      <c r="S328" t="s">
        <v>8257</v>
      </c>
      <c r="T328">
        <v>2.2000000000000002</v>
      </c>
      <c r="U328">
        <v>1023.84</v>
      </c>
      <c r="V328">
        <v>250</v>
      </c>
      <c r="W328">
        <v>251.17</v>
      </c>
      <c r="X328">
        <v>250</v>
      </c>
      <c r="Y328">
        <v>16</v>
      </c>
      <c r="Z328" t="s">
        <v>7253</v>
      </c>
      <c r="AA328" t="s">
        <v>9534</v>
      </c>
      <c r="AC328" t="s">
        <v>8777</v>
      </c>
      <c r="AE328" t="s">
        <v>9535</v>
      </c>
      <c r="AF328" t="s">
        <v>9536</v>
      </c>
      <c r="AH328" t="s">
        <v>9537</v>
      </c>
      <c r="AI328" t="s">
        <v>8777</v>
      </c>
      <c r="AO328" t="s">
        <v>9538</v>
      </c>
    </row>
    <row r="329" spans="1:41" hidden="1" x14ac:dyDescent="0.35">
      <c r="A329" t="s">
        <v>9539</v>
      </c>
      <c r="B329" t="s">
        <v>7246</v>
      </c>
      <c r="C329" t="s">
        <v>449</v>
      </c>
      <c r="D329" t="s">
        <v>5566</v>
      </c>
      <c r="E329" t="s">
        <v>9540</v>
      </c>
      <c r="G329" s="13" t="s">
        <v>9541</v>
      </c>
      <c r="H329" t="s">
        <v>9542</v>
      </c>
      <c r="J329" t="s">
        <v>9543</v>
      </c>
      <c r="K329" t="s">
        <v>9544</v>
      </c>
      <c r="L329" t="s">
        <v>9545</v>
      </c>
      <c r="M329" t="s">
        <v>7250</v>
      </c>
      <c r="N329">
        <v>1998</v>
      </c>
      <c r="R329">
        <v>25.5</v>
      </c>
      <c r="S329" t="s">
        <v>8257</v>
      </c>
      <c r="T329">
        <v>25.5</v>
      </c>
      <c r="U329">
        <v>11867.28</v>
      </c>
      <c r="V329">
        <v>235</v>
      </c>
      <c r="W329">
        <v>231.79</v>
      </c>
      <c r="X329">
        <v>235</v>
      </c>
      <c r="Y329">
        <v>40</v>
      </c>
      <c r="Z329" t="s">
        <v>7253</v>
      </c>
      <c r="AB329" t="s">
        <v>9364</v>
      </c>
      <c r="AC329" t="s">
        <v>8777</v>
      </c>
      <c r="AE329" t="s">
        <v>9436</v>
      </c>
      <c r="AF329" t="s">
        <v>9546</v>
      </c>
      <c r="AH329" t="s">
        <v>9547</v>
      </c>
      <c r="AI329" t="s">
        <v>8777</v>
      </c>
      <c r="AO329" t="s">
        <v>9548</v>
      </c>
    </row>
    <row r="330" spans="1:41" hidden="1" x14ac:dyDescent="0.35">
      <c r="A330" t="s">
        <v>9549</v>
      </c>
      <c r="B330" t="s">
        <v>7246</v>
      </c>
      <c r="C330" t="s">
        <v>342</v>
      </c>
      <c r="D330" t="s">
        <v>5586</v>
      </c>
      <c r="E330" t="s">
        <v>9550</v>
      </c>
      <c r="G330" s="13" t="s">
        <v>9551</v>
      </c>
      <c r="H330" t="s">
        <v>9552</v>
      </c>
      <c r="J330" t="s">
        <v>9553</v>
      </c>
      <c r="K330" t="s">
        <v>9554</v>
      </c>
      <c r="L330" t="s">
        <v>9554</v>
      </c>
      <c r="M330" t="s">
        <v>7292</v>
      </c>
      <c r="N330">
        <v>2025</v>
      </c>
      <c r="R330">
        <v>5</v>
      </c>
      <c r="S330" t="s">
        <v>8257</v>
      </c>
      <c r="T330">
        <v>5</v>
      </c>
      <c r="U330">
        <v>2326.92</v>
      </c>
      <c r="V330">
        <v>540</v>
      </c>
      <c r="W330">
        <v>499.77</v>
      </c>
      <c r="X330">
        <v>540</v>
      </c>
      <c r="Y330">
        <v>800</v>
      </c>
      <c r="Z330" t="s">
        <v>8842</v>
      </c>
      <c r="AA330" t="s">
        <v>9555</v>
      </c>
      <c r="AB330" t="s">
        <v>9556</v>
      </c>
      <c r="AC330" t="s">
        <v>8777</v>
      </c>
      <c r="AE330" t="s">
        <v>9556</v>
      </c>
      <c r="AF330" t="s">
        <v>9557</v>
      </c>
      <c r="AH330" t="s">
        <v>9558</v>
      </c>
      <c r="AI330" t="s">
        <v>8777</v>
      </c>
      <c r="AJ330" t="s">
        <v>9032</v>
      </c>
      <c r="AL330" t="s">
        <v>9559</v>
      </c>
      <c r="AO330" t="s">
        <v>9560</v>
      </c>
    </row>
    <row r="331" spans="1:41" hidden="1" x14ac:dyDescent="0.35">
      <c r="A331" t="s">
        <v>9561</v>
      </c>
      <c r="B331" t="s">
        <v>7246</v>
      </c>
      <c r="C331" t="s">
        <v>5643</v>
      </c>
      <c r="D331" t="s">
        <v>5643</v>
      </c>
      <c r="E331" t="s">
        <v>5643</v>
      </c>
      <c r="G331" s="13" t="s">
        <v>9562</v>
      </c>
      <c r="H331" t="s">
        <v>9563</v>
      </c>
      <c r="J331" t="s">
        <v>9564</v>
      </c>
      <c r="K331" t="s">
        <v>9565</v>
      </c>
      <c r="L331" t="s">
        <v>9566</v>
      </c>
      <c r="M331" t="s">
        <v>7250</v>
      </c>
      <c r="N331">
        <v>1999</v>
      </c>
      <c r="R331">
        <v>24</v>
      </c>
      <c r="S331" t="s">
        <v>8257</v>
      </c>
      <c r="T331">
        <v>24</v>
      </c>
      <c r="U331">
        <v>11169.2</v>
      </c>
      <c r="V331">
        <v>338</v>
      </c>
      <c r="W331">
        <v>254.34</v>
      </c>
      <c r="X331">
        <v>338</v>
      </c>
      <c r="Y331" t="s">
        <v>9567</v>
      </c>
      <c r="Z331" t="s">
        <v>8842</v>
      </c>
      <c r="AB331" t="s">
        <v>9568</v>
      </c>
      <c r="AC331" t="s">
        <v>8777</v>
      </c>
      <c r="AD331" t="s">
        <v>9569</v>
      </c>
      <c r="AE331" t="s">
        <v>3334</v>
      </c>
      <c r="AF331" t="s">
        <v>9570</v>
      </c>
      <c r="AG331" t="s">
        <v>9571</v>
      </c>
      <c r="AH331" t="s">
        <v>9572</v>
      </c>
      <c r="AI331" t="s">
        <v>8777</v>
      </c>
      <c r="AO331" t="s">
        <v>9573</v>
      </c>
    </row>
    <row r="332" spans="1:41" hidden="1" x14ac:dyDescent="0.35">
      <c r="A332" t="s">
        <v>9574</v>
      </c>
      <c r="B332" t="s">
        <v>7246</v>
      </c>
      <c r="C332" t="s">
        <v>416</v>
      </c>
      <c r="D332" t="s">
        <v>449</v>
      </c>
      <c r="E332" t="s">
        <v>9575</v>
      </c>
      <c r="G332" s="13" t="s">
        <v>9576</v>
      </c>
      <c r="H332" t="s">
        <v>9577</v>
      </c>
      <c r="J332" t="s">
        <v>9578</v>
      </c>
      <c r="K332" t="s">
        <v>9433</v>
      </c>
      <c r="L332" t="s">
        <v>9434</v>
      </c>
      <c r="M332" t="s">
        <v>7250</v>
      </c>
      <c r="N332">
        <v>2006</v>
      </c>
      <c r="R332">
        <v>25.5</v>
      </c>
      <c r="S332" t="s">
        <v>8257</v>
      </c>
      <c r="T332">
        <v>25.5</v>
      </c>
      <c r="U332">
        <v>11867.28</v>
      </c>
      <c r="V332">
        <v>1166</v>
      </c>
      <c r="W332">
        <v>1171.19</v>
      </c>
      <c r="X332">
        <v>1166</v>
      </c>
      <c r="Y332" t="s">
        <v>9579</v>
      </c>
      <c r="Z332" t="s">
        <v>7253</v>
      </c>
      <c r="AA332" t="s">
        <v>9580</v>
      </c>
      <c r="AB332" t="s">
        <v>9581</v>
      </c>
      <c r="AC332" t="s">
        <v>8777</v>
      </c>
      <c r="AE332" t="s">
        <v>9537</v>
      </c>
      <c r="AF332" t="s">
        <v>9582</v>
      </c>
      <c r="AH332" t="s">
        <v>9583</v>
      </c>
      <c r="AI332" t="s">
        <v>8777</v>
      </c>
      <c r="AO332" t="s">
        <v>9584</v>
      </c>
    </row>
    <row r="333" spans="1:41" hidden="1" x14ac:dyDescent="0.35">
      <c r="A333" t="s">
        <v>9585</v>
      </c>
      <c r="B333" t="s">
        <v>7246</v>
      </c>
      <c r="C333" t="s">
        <v>9477</v>
      </c>
      <c r="D333" t="s">
        <v>5775</v>
      </c>
      <c r="E333" t="s">
        <v>9586</v>
      </c>
      <c r="G333" s="13" t="s">
        <v>9587</v>
      </c>
      <c r="H333" t="s">
        <v>9588</v>
      </c>
      <c r="K333" t="s">
        <v>9589</v>
      </c>
      <c r="L333" t="s">
        <v>9590</v>
      </c>
      <c r="M333" t="s">
        <v>7250</v>
      </c>
      <c r="N333">
        <v>1962</v>
      </c>
      <c r="R333">
        <v>2.2999999999999998</v>
      </c>
      <c r="S333" t="s">
        <v>8257</v>
      </c>
      <c r="T333">
        <v>2.2999999999999998</v>
      </c>
      <c r="U333">
        <v>1070.3800000000001</v>
      </c>
      <c r="V333">
        <v>138</v>
      </c>
      <c r="W333">
        <v>88.53</v>
      </c>
      <c r="X333">
        <v>138</v>
      </c>
      <c r="AB333" t="s">
        <v>9591</v>
      </c>
      <c r="AC333" t="s">
        <v>8777</v>
      </c>
      <c r="AE333" t="s">
        <v>9591</v>
      </c>
      <c r="AF333" t="s">
        <v>7152</v>
      </c>
      <c r="AH333" t="s">
        <v>9592</v>
      </c>
      <c r="AI333" t="s">
        <v>8777</v>
      </c>
      <c r="AO333" t="s">
        <v>9593</v>
      </c>
    </row>
    <row r="334" spans="1:41" hidden="1" x14ac:dyDescent="0.35">
      <c r="A334" t="s">
        <v>9594</v>
      </c>
      <c r="B334" t="s">
        <v>7246</v>
      </c>
      <c r="C334" t="s">
        <v>5643</v>
      </c>
      <c r="D334" t="s">
        <v>5643</v>
      </c>
      <c r="E334" t="s">
        <v>5643</v>
      </c>
      <c r="G334" s="13" t="s">
        <v>9595</v>
      </c>
      <c r="H334" t="s">
        <v>9596</v>
      </c>
      <c r="J334" t="s">
        <v>9597</v>
      </c>
      <c r="K334" t="s">
        <v>9598</v>
      </c>
      <c r="L334" t="s">
        <v>9599</v>
      </c>
      <c r="M334" t="s">
        <v>7250</v>
      </c>
      <c r="N334">
        <v>1980</v>
      </c>
      <c r="R334">
        <v>22</v>
      </c>
      <c r="S334" t="s">
        <v>8257</v>
      </c>
      <c r="T334">
        <v>22</v>
      </c>
      <c r="U334">
        <v>10238.44</v>
      </c>
      <c r="V334">
        <v>1115</v>
      </c>
      <c r="W334">
        <v>809.01</v>
      </c>
      <c r="X334">
        <v>1115</v>
      </c>
      <c r="Y334" t="s">
        <v>9600</v>
      </c>
      <c r="Z334" t="s">
        <v>7253</v>
      </c>
      <c r="AB334" t="s">
        <v>9517</v>
      </c>
      <c r="AC334" t="s">
        <v>8777</v>
      </c>
      <c r="AE334" t="s">
        <v>9601</v>
      </c>
      <c r="AF334" t="s">
        <v>9602</v>
      </c>
      <c r="AH334" t="s">
        <v>5680</v>
      </c>
      <c r="AI334" t="s">
        <v>8777</v>
      </c>
      <c r="AO334" t="s">
        <v>9603</v>
      </c>
    </row>
    <row r="335" spans="1:41" hidden="1" x14ac:dyDescent="0.35">
      <c r="A335" t="s">
        <v>9604</v>
      </c>
      <c r="B335" t="s">
        <v>7246</v>
      </c>
      <c r="C335" t="s">
        <v>5643</v>
      </c>
      <c r="D335" t="s">
        <v>5643</v>
      </c>
      <c r="E335" t="s">
        <v>5643</v>
      </c>
      <c r="G335" s="13" t="s">
        <v>9605</v>
      </c>
      <c r="H335" t="s">
        <v>9606</v>
      </c>
      <c r="J335" t="s">
        <v>9607</v>
      </c>
      <c r="K335" t="s">
        <v>9565</v>
      </c>
      <c r="L335" t="s">
        <v>9566</v>
      </c>
      <c r="M335" t="s">
        <v>7250</v>
      </c>
      <c r="N335">
        <v>1993</v>
      </c>
      <c r="R335">
        <v>12.8</v>
      </c>
      <c r="S335" t="s">
        <v>8257</v>
      </c>
      <c r="T335">
        <v>12.8</v>
      </c>
      <c r="U335">
        <v>5956.91</v>
      </c>
      <c r="V335">
        <v>702</v>
      </c>
      <c r="W335">
        <v>525.87</v>
      </c>
      <c r="X335">
        <v>702</v>
      </c>
      <c r="Y335" t="s">
        <v>9608</v>
      </c>
      <c r="Z335" t="s">
        <v>7253</v>
      </c>
      <c r="AB335" t="s">
        <v>9609</v>
      </c>
      <c r="AC335" t="s">
        <v>8777</v>
      </c>
      <c r="AD335" t="s">
        <v>9610</v>
      </c>
      <c r="AE335" t="s">
        <v>9611</v>
      </c>
      <c r="AF335" t="s">
        <v>9612</v>
      </c>
      <c r="AG335" t="s">
        <v>9612</v>
      </c>
      <c r="AH335" t="s">
        <v>9613</v>
      </c>
      <c r="AI335" t="s">
        <v>8777</v>
      </c>
      <c r="AO335" t="s">
        <v>9614</v>
      </c>
    </row>
    <row r="336" spans="1:41" hidden="1" x14ac:dyDescent="0.35">
      <c r="A336" t="s">
        <v>9615</v>
      </c>
      <c r="B336" t="s">
        <v>7246</v>
      </c>
      <c r="C336" t="s">
        <v>5925</v>
      </c>
      <c r="D336" t="s">
        <v>5705</v>
      </c>
      <c r="E336" t="s">
        <v>9616</v>
      </c>
      <c r="G336" s="13" t="s">
        <v>9617</v>
      </c>
      <c r="H336" t="s">
        <v>9618</v>
      </c>
      <c r="J336" t="s">
        <v>9619</v>
      </c>
      <c r="K336" t="s">
        <v>9620</v>
      </c>
      <c r="L336" t="s">
        <v>9621</v>
      </c>
      <c r="M336" t="s">
        <v>7269</v>
      </c>
      <c r="R336">
        <v>31</v>
      </c>
      <c r="S336" t="s">
        <v>8257</v>
      </c>
      <c r="T336">
        <v>31</v>
      </c>
      <c r="U336">
        <v>14426.89</v>
      </c>
      <c r="V336">
        <v>3893</v>
      </c>
      <c r="W336">
        <v>2890.27</v>
      </c>
      <c r="X336">
        <v>3893</v>
      </c>
      <c r="Y336">
        <v>56</v>
      </c>
      <c r="Z336" t="s">
        <v>7253</v>
      </c>
      <c r="AB336" t="s">
        <v>9622</v>
      </c>
      <c r="AC336" t="s">
        <v>8777</v>
      </c>
      <c r="AE336" t="s">
        <v>3755</v>
      </c>
      <c r="AF336" t="s">
        <v>9623</v>
      </c>
      <c r="AH336" t="s">
        <v>3157</v>
      </c>
      <c r="AI336" t="s">
        <v>8777</v>
      </c>
      <c r="AO336" t="s">
        <v>9624</v>
      </c>
    </row>
    <row r="337" spans="1:41" hidden="1" x14ac:dyDescent="0.35">
      <c r="A337" t="s">
        <v>9625</v>
      </c>
      <c r="B337" t="s">
        <v>7246</v>
      </c>
      <c r="C337" t="s">
        <v>5643</v>
      </c>
      <c r="D337" t="s">
        <v>5643</v>
      </c>
      <c r="E337" t="s">
        <v>5643</v>
      </c>
      <c r="G337" s="13" t="s">
        <v>9626</v>
      </c>
      <c r="H337" t="s">
        <v>9627</v>
      </c>
      <c r="J337" t="s">
        <v>9628</v>
      </c>
      <c r="K337" t="s">
        <v>9629</v>
      </c>
      <c r="L337" t="s">
        <v>9566</v>
      </c>
      <c r="M337" t="s">
        <v>7250</v>
      </c>
      <c r="N337">
        <v>2012</v>
      </c>
      <c r="R337">
        <v>20</v>
      </c>
      <c r="S337" t="s">
        <v>8257</v>
      </c>
      <c r="T337">
        <v>20</v>
      </c>
      <c r="U337">
        <v>9307.67</v>
      </c>
      <c r="V337">
        <v>440</v>
      </c>
      <c r="W337">
        <v>414.39</v>
      </c>
      <c r="X337">
        <v>440</v>
      </c>
      <c r="Y337" t="s">
        <v>9630</v>
      </c>
      <c r="Z337" t="s">
        <v>8842</v>
      </c>
      <c r="AB337" t="s">
        <v>1795</v>
      </c>
      <c r="AC337" t="s">
        <v>8777</v>
      </c>
      <c r="AD337" t="s">
        <v>9424</v>
      </c>
      <c r="AE337" t="s">
        <v>9373</v>
      </c>
      <c r="AF337" t="s">
        <v>9631</v>
      </c>
      <c r="AG337" t="s">
        <v>9632</v>
      </c>
      <c r="AH337" t="s">
        <v>9611</v>
      </c>
      <c r="AI337" t="s">
        <v>8777</v>
      </c>
      <c r="AO337" t="s">
        <v>9633</v>
      </c>
    </row>
    <row r="338" spans="1:41" hidden="1" x14ac:dyDescent="0.35">
      <c r="A338" t="s">
        <v>9634</v>
      </c>
      <c r="B338" t="s">
        <v>7246</v>
      </c>
      <c r="C338" t="s">
        <v>5643</v>
      </c>
      <c r="D338" t="s">
        <v>5643</v>
      </c>
      <c r="E338" t="s">
        <v>5643</v>
      </c>
      <c r="G338" s="13" t="s">
        <v>9635</v>
      </c>
      <c r="H338" t="s">
        <v>9636</v>
      </c>
      <c r="J338" t="s">
        <v>9637</v>
      </c>
      <c r="K338" t="s">
        <v>9638</v>
      </c>
      <c r="L338" t="s">
        <v>9639</v>
      </c>
      <c r="M338" t="s">
        <v>7250</v>
      </c>
      <c r="N338">
        <v>1995</v>
      </c>
      <c r="R338">
        <v>21.4</v>
      </c>
      <c r="S338" t="s">
        <v>8257</v>
      </c>
      <c r="T338">
        <v>21.4</v>
      </c>
      <c r="U338">
        <v>9959.2099999999991</v>
      </c>
      <c r="V338">
        <v>408</v>
      </c>
      <c r="W338">
        <v>290.31</v>
      </c>
      <c r="X338">
        <v>408</v>
      </c>
      <c r="Y338">
        <v>47.24</v>
      </c>
      <c r="Z338" t="s">
        <v>7253</v>
      </c>
      <c r="AB338" t="s">
        <v>9444</v>
      </c>
      <c r="AC338" t="s">
        <v>8777</v>
      </c>
      <c r="AD338" t="s">
        <v>9640</v>
      </c>
      <c r="AE338" t="s">
        <v>9611</v>
      </c>
      <c r="AF338" t="s">
        <v>9641</v>
      </c>
      <c r="AG338" t="s">
        <v>9642</v>
      </c>
      <c r="AH338" t="s">
        <v>9643</v>
      </c>
      <c r="AI338" t="s">
        <v>8777</v>
      </c>
      <c r="AO338" t="s">
        <v>9644</v>
      </c>
    </row>
    <row r="339" spans="1:41" hidden="1" x14ac:dyDescent="0.35">
      <c r="A339" t="s">
        <v>9645</v>
      </c>
      <c r="B339" t="s">
        <v>7246</v>
      </c>
      <c r="C339" t="s">
        <v>9367</v>
      </c>
      <c r="D339" t="s">
        <v>5787</v>
      </c>
      <c r="E339" t="s">
        <v>9646</v>
      </c>
      <c r="G339" s="13" t="s">
        <v>9647</v>
      </c>
      <c r="H339" t="s">
        <v>9648</v>
      </c>
      <c r="J339" t="s">
        <v>9649</v>
      </c>
      <c r="K339" t="s">
        <v>9650</v>
      </c>
      <c r="L339" t="s">
        <v>9651</v>
      </c>
      <c r="M339" t="s">
        <v>7250</v>
      </c>
      <c r="N339">
        <v>1975</v>
      </c>
      <c r="R339">
        <v>5.5</v>
      </c>
      <c r="S339" t="s">
        <v>8257</v>
      </c>
      <c r="T339">
        <v>5.5</v>
      </c>
      <c r="U339">
        <v>2559.61</v>
      </c>
      <c r="V339">
        <v>470</v>
      </c>
      <c r="W339">
        <v>529.82000000000005</v>
      </c>
      <c r="X339">
        <v>470</v>
      </c>
      <c r="AB339" t="s">
        <v>9652</v>
      </c>
      <c r="AC339" t="s">
        <v>8777</v>
      </c>
      <c r="AE339" t="s">
        <v>9436</v>
      </c>
      <c r="AF339" t="s">
        <v>9653</v>
      </c>
      <c r="AH339" t="s">
        <v>5791</v>
      </c>
      <c r="AI339" t="s">
        <v>8777</v>
      </c>
      <c r="AO339" t="s">
        <v>9654</v>
      </c>
    </row>
    <row r="340" spans="1:41" hidden="1" x14ac:dyDescent="0.35">
      <c r="A340" t="s">
        <v>9655</v>
      </c>
      <c r="B340" t="s">
        <v>7246</v>
      </c>
      <c r="C340" t="s">
        <v>416</v>
      </c>
      <c r="D340" t="s">
        <v>5643</v>
      </c>
      <c r="E340" t="s">
        <v>9440</v>
      </c>
      <c r="G340" s="13" t="s">
        <v>9656</v>
      </c>
      <c r="H340" t="s">
        <v>9657</v>
      </c>
      <c r="K340" t="s">
        <v>9433</v>
      </c>
      <c r="L340" t="s">
        <v>9434</v>
      </c>
      <c r="M340" t="s">
        <v>7250</v>
      </c>
      <c r="N340">
        <v>1977</v>
      </c>
      <c r="R340">
        <v>16</v>
      </c>
      <c r="S340" t="s">
        <v>8257</v>
      </c>
      <c r="T340">
        <v>16</v>
      </c>
      <c r="U340">
        <v>7446.14</v>
      </c>
      <c r="V340">
        <v>440</v>
      </c>
      <c r="W340">
        <v>452.42</v>
      </c>
      <c r="X340">
        <v>440</v>
      </c>
      <c r="Y340">
        <v>36</v>
      </c>
      <c r="Z340" t="s">
        <v>7253</v>
      </c>
      <c r="AA340" t="s">
        <v>9658</v>
      </c>
      <c r="AB340" t="s">
        <v>9658</v>
      </c>
      <c r="AC340" t="s">
        <v>8777</v>
      </c>
      <c r="AE340" t="s">
        <v>9436</v>
      </c>
      <c r="AF340" t="s">
        <v>2065</v>
      </c>
      <c r="AH340" t="s">
        <v>9405</v>
      </c>
      <c r="AI340" t="s">
        <v>8777</v>
      </c>
      <c r="AO340" t="s">
        <v>9659</v>
      </c>
    </row>
    <row r="341" spans="1:41" hidden="1" x14ac:dyDescent="0.35">
      <c r="A341" t="s">
        <v>9660</v>
      </c>
      <c r="B341" t="s">
        <v>7246</v>
      </c>
      <c r="C341" t="s">
        <v>5643</v>
      </c>
      <c r="D341" t="s">
        <v>5643</v>
      </c>
      <c r="E341" t="s">
        <v>5643</v>
      </c>
      <c r="G341" s="13" t="s">
        <v>9661</v>
      </c>
      <c r="H341" t="s">
        <v>9662</v>
      </c>
      <c r="J341" t="s">
        <v>9663</v>
      </c>
      <c r="K341" t="s">
        <v>9664</v>
      </c>
      <c r="L341" t="s">
        <v>9566</v>
      </c>
      <c r="M341" t="s">
        <v>7250</v>
      </c>
      <c r="N341">
        <v>2011</v>
      </c>
      <c r="R341">
        <v>35</v>
      </c>
      <c r="S341" t="s">
        <v>8257</v>
      </c>
      <c r="T341">
        <v>35</v>
      </c>
      <c r="U341">
        <v>16288.42</v>
      </c>
      <c r="V341">
        <v>470</v>
      </c>
      <c r="W341">
        <v>406.02</v>
      </c>
      <c r="X341">
        <v>470</v>
      </c>
      <c r="Y341">
        <v>1400</v>
      </c>
      <c r="Z341" t="s">
        <v>8842</v>
      </c>
      <c r="AB341" t="s">
        <v>1795</v>
      </c>
      <c r="AC341" t="s">
        <v>8777</v>
      </c>
      <c r="AD341" t="s">
        <v>9424</v>
      </c>
      <c r="AE341" t="s">
        <v>9373</v>
      </c>
      <c r="AF341" t="s">
        <v>9665</v>
      </c>
      <c r="AG341" t="s">
        <v>9426</v>
      </c>
      <c r="AH341" t="s">
        <v>9427</v>
      </c>
      <c r="AI341" t="s">
        <v>8777</v>
      </c>
      <c r="AO341" t="s">
        <v>9666</v>
      </c>
    </row>
    <row r="342" spans="1:41" hidden="1" x14ac:dyDescent="0.35">
      <c r="A342" t="s">
        <v>9667</v>
      </c>
      <c r="B342" t="s">
        <v>7246</v>
      </c>
      <c r="C342" t="s">
        <v>416</v>
      </c>
      <c r="D342" t="s">
        <v>416</v>
      </c>
      <c r="E342" t="s">
        <v>416</v>
      </c>
      <c r="G342" s="13" t="s">
        <v>9668</v>
      </c>
      <c r="H342" t="s">
        <v>9669</v>
      </c>
      <c r="J342" t="s">
        <v>9670</v>
      </c>
      <c r="K342" t="s">
        <v>9671</v>
      </c>
      <c r="L342" t="s">
        <v>9672</v>
      </c>
      <c r="M342" t="s">
        <v>7250</v>
      </c>
      <c r="N342">
        <v>2018</v>
      </c>
      <c r="R342">
        <v>25.6</v>
      </c>
      <c r="S342" t="s">
        <v>8257</v>
      </c>
      <c r="T342">
        <v>25.6</v>
      </c>
      <c r="U342">
        <v>11913.82</v>
      </c>
      <c r="V342">
        <v>481</v>
      </c>
      <c r="W342">
        <v>481</v>
      </c>
      <c r="X342">
        <v>481</v>
      </c>
      <c r="Y342">
        <v>36</v>
      </c>
      <c r="Z342" t="s">
        <v>7253</v>
      </c>
      <c r="AB342" t="s">
        <v>9673</v>
      </c>
      <c r="AC342" t="s">
        <v>8777</v>
      </c>
      <c r="AE342" t="s">
        <v>9535</v>
      </c>
      <c r="AF342" t="s">
        <v>9674</v>
      </c>
      <c r="AH342" t="s">
        <v>9537</v>
      </c>
      <c r="AI342" t="s">
        <v>8777</v>
      </c>
      <c r="AO342" t="s">
        <v>9675</v>
      </c>
    </row>
    <row r="343" spans="1:41" hidden="1" x14ac:dyDescent="0.35">
      <c r="A343" t="s">
        <v>9676</v>
      </c>
      <c r="B343" t="s">
        <v>7246</v>
      </c>
      <c r="C343" t="s">
        <v>5643</v>
      </c>
      <c r="D343" t="s">
        <v>5643</v>
      </c>
      <c r="E343" t="s">
        <v>5643</v>
      </c>
      <c r="G343" s="13" t="s">
        <v>9677</v>
      </c>
      <c r="H343" t="s">
        <v>9678</v>
      </c>
      <c r="J343" t="s">
        <v>9679</v>
      </c>
      <c r="K343" t="s">
        <v>9565</v>
      </c>
      <c r="L343" t="s">
        <v>9566</v>
      </c>
      <c r="M343" t="s">
        <v>7250</v>
      </c>
      <c r="N343">
        <v>1994</v>
      </c>
      <c r="R343">
        <v>4.2</v>
      </c>
      <c r="S343" t="s">
        <v>8257</v>
      </c>
      <c r="T343">
        <v>4.2</v>
      </c>
      <c r="U343">
        <v>1954.61</v>
      </c>
      <c r="V343">
        <v>132</v>
      </c>
      <c r="W343">
        <v>148.37</v>
      </c>
      <c r="X343">
        <v>132</v>
      </c>
      <c r="Y343">
        <v>31</v>
      </c>
      <c r="Z343" t="s">
        <v>7253</v>
      </c>
      <c r="AB343" t="s">
        <v>9631</v>
      </c>
      <c r="AC343" t="s">
        <v>8777</v>
      </c>
      <c r="AD343" t="s">
        <v>9632</v>
      </c>
      <c r="AE343" t="s">
        <v>9611</v>
      </c>
      <c r="AF343" t="s">
        <v>9680</v>
      </c>
      <c r="AG343" t="s">
        <v>9681</v>
      </c>
      <c r="AH343" t="s">
        <v>9611</v>
      </c>
      <c r="AI343" t="s">
        <v>8777</v>
      </c>
      <c r="AO343" t="s">
        <v>9682</v>
      </c>
    </row>
    <row r="344" spans="1:41" hidden="1" x14ac:dyDescent="0.35">
      <c r="A344" t="s">
        <v>9683</v>
      </c>
      <c r="B344" t="s">
        <v>7246</v>
      </c>
      <c r="C344" t="s">
        <v>449</v>
      </c>
      <c r="D344" t="s">
        <v>449</v>
      </c>
      <c r="E344" t="s">
        <v>449</v>
      </c>
      <c r="G344" s="13" t="s">
        <v>9684</v>
      </c>
      <c r="H344" t="s">
        <v>9685</v>
      </c>
      <c r="K344" t="s">
        <v>9686</v>
      </c>
      <c r="L344" t="s">
        <v>9687</v>
      </c>
      <c r="M344" t="s">
        <v>7250</v>
      </c>
      <c r="N344">
        <v>1996</v>
      </c>
      <c r="R344">
        <v>31.5</v>
      </c>
      <c r="S344" t="s">
        <v>8257</v>
      </c>
      <c r="T344">
        <v>31.5</v>
      </c>
      <c r="U344">
        <v>14659.58</v>
      </c>
      <c r="V344">
        <v>135</v>
      </c>
      <c r="W344">
        <v>157.91999999999999</v>
      </c>
      <c r="X344">
        <v>135</v>
      </c>
      <c r="Y344">
        <v>24</v>
      </c>
      <c r="Z344" t="s">
        <v>7253</v>
      </c>
      <c r="AB344" t="s">
        <v>9688</v>
      </c>
      <c r="AC344" t="s">
        <v>8777</v>
      </c>
      <c r="AE344" t="s">
        <v>449</v>
      </c>
      <c r="AF344" t="s">
        <v>9689</v>
      </c>
      <c r="AH344" t="s">
        <v>9690</v>
      </c>
      <c r="AI344" t="s">
        <v>8777</v>
      </c>
      <c r="AO344" t="s">
        <v>9691</v>
      </c>
    </row>
    <row r="345" spans="1:41" hidden="1" x14ac:dyDescent="0.35">
      <c r="A345" t="s">
        <v>9692</v>
      </c>
      <c r="B345" t="s">
        <v>7246</v>
      </c>
      <c r="C345" t="s">
        <v>416</v>
      </c>
      <c r="D345" t="s">
        <v>5902</v>
      </c>
      <c r="E345" t="s">
        <v>9693</v>
      </c>
      <c r="G345" s="13" t="s">
        <v>9694</v>
      </c>
      <c r="H345" t="s">
        <v>9695</v>
      </c>
      <c r="K345" t="s">
        <v>9696</v>
      </c>
      <c r="L345" t="s">
        <v>9697</v>
      </c>
      <c r="M345" t="s">
        <v>7269</v>
      </c>
      <c r="R345">
        <v>7</v>
      </c>
      <c r="S345" t="s">
        <v>8257</v>
      </c>
      <c r="T345">
        <v>7</v>
      </c>
      <c r="U345">
        <v>3257.68</v>
      </c>
      <c r="V345">
        <v>853</v>
      </c>
      <c r="W345">
        <v>736.35</v>
      </c>
      <c r="X345">
        <v>853</v>
      </c>
      <c r="AB345" t="s">
        <v>9442</v>
      </c>
      <c r="AC345" t="s">
        <v>8777</v>
      </c>
      <c r="AE345" t="s">
        <v>9443</v>
      </c>
      <c r="AF345" t="s">
        <v>9698</v>
      </c>
      <c r="AH345" t="s">
        <v>9699</v>
      </c>
      <c r="AI345" t="s">
        <v>8777</v>
      </c>
      <c r="AO345" t="s">
        <v>9700</v>
      </c>
    </row>
    <row r="346" spans="1:41" hidden="1" x14ac:dyDescent="0.35">
      <c r="A346" t="s">
        <v>9701</v>
      </c>
      <c r="B346" t="s">
        <v>7246</v>
      </c>
      <c r="C346" t="s">
        <v>5643</v>
      </c>
      <c r="D346" t="s">
        <v>5643</v>
      </c>
      <c r="E346" t="s">
        <v>5643</v>
      </c>
      <c r="G346" s="13" t="s">
        <v>9702</v>
      </c>
      <c r="H346" t="s">
        <v>9703</v>
      </c>
      <c r="K346" t="s">
        <v>9704</v>
      </c>
      <c r="L346" t="s">
        <v>9705</v>
      </c>
      <c r="M346" t="s">
        <v>7292</v>
      </c>
      <c r="N346">
        <v>2026</v>
      </c>
      <c r="T346" t="s">
        <v>6546</v>
      </c>
      <c r="U346" t="s">
        <v>6546</v>
      </c>
      <c r="V346">
        <v>250</v>
      </c>
      <c r="W346">
        <v>231.14</v>
      </c>
      <c r="X346">
        <v>250</v>
      </c>
      <c r="Y346">
        <v>1200</v>
      </c>
      <c r="Z346" t="s">
        <v>8842</v>
      </c>
      <c r="AB346" t="s">
        <v>9706</v>
      </c>
      <c r="AC346" t="s">
        <v>8777</v>
      </c>
      <c r="AE346" t="s">
        <v>9601</v>
      </c>
      <c r="AF346" t="s">
        <v>9707</v>
      </c>
      <c r="AH346" t="s">
        <v>9708</v>
      </c>
      <c r="AI346" t="s">
        <v>8777</v>
      </c>
      <c r="AO346" t="s">
        <v>9709</v>
      </c>
    </row>
    <row r="347" spans="1:41" hidden="1" x14ac:dyDescent="0.35">
      <c r="A347" t="s">
        <v>9710</v>
      </c>
      <c r="B347" t="s">
        <v>7246</v>
      </c>
      <c r="C347" t="s">
        <v>449</v>
      </c>
      <c r="D347" t="s">
        <v>449</v>
      </c>
      <c r="E347" t="s">
        <v>449</v>
      </c>
      <c r="G347" s="13" t="s">
        <v>9711</v>
      </c>
      <c r="H347" t="s">
        <v>9712</v>
      </c>
      <c r="J347" t="s">
        <v>9713</v>
      </c>
      <c r="K347" t="s">
        <v>9714</v>
      </c>
      <c r="L347" t="s">
        <v>9715</v>
      </c>
      <c r="M347" t="s">
        <v>7250</v>
      </c>
      <c r="N347">
        <v>2007</v>
      </c>
      <c r="R347">
        <v>21.2</v>
      </c>
      <c r="S347" t="s">
        <v>8257</v>
      </c>
      <c r="T347">
        <v>21.2</v>
      </c>
      <c r="U347">
        <v>9866.1299999999992</v>
      </c>
      <c r="V347">
        <v>317</v>
      </c>
      <c r="W347">
        <v>195.4</v>
      </c>
      <c r="X347">
        <v>317</v>
      </c>
      <c r="AB347" t="s">
        <v>3810</v>
      </c>
      <c r="AC347" t="s">
        <v>8777</v>
      </c>
      <c r="AE347" t="s">
        <v>6015</v>
      </c>
      <c r="AF347" t="s">
        <v>9716</v>
      </c>
      <c r="AH347" t="s">
        <v>9717</v>
      </c>
      <c r="AI347" t="s">
        <v>8777</v>
      </c>
      <c r="AO347" t="s">
        <v>9718</v>
      </c>
    </row>
    <row r="348" spans="1:41" hidden="1" x14ac:dyDescent="0.35">
      <c r="A348" t="s">
        <v>9719</v>
      </c>
      <c r="B348" t="s">
        <v>7246</v>
      </c>
      <c r="C348" t="s">
        <v>416</v>
      </c>
      <c r="D348" t="s">
        <v>416</v>
      </c>
      <c r="E348" t="s">
        <v>416</v>
      </c>
      <c r="G348" s="13" t="s">
        <v>9720</v>
      </c>
      <c r="H348" t="s">
        <v>9721</v>
      </c>
      <c r="K348" t="s">
        <v>9722</v>
      </c>
      <c r="L348" t="s">
        <v>9723</v>
      </c>
      <c r="M348" t="s">
        <v>7250</v>
      </c>
      <c r="N348">
        <v>1985</v>
      </c>
      <c r="O348">
        <v>1986</v>
      </c>
      <c r="R348">
        <v>18.899999999999999</v>
      </c>
      <c r="S348" t="s">
        <v>8257</v>
      </c>
      <c r="T348">
        <v>18.899999999999999</v>
      </c>
      <c r="U348">
        <v>8795.75</v>
      </c>
      <c r="V348">
        <v>890</v>
      </c>
      <c r="W348">
        <v>887.7</v>
      </c>
      <c r="X348">
        <v>890</v>
      </c>
      <c r="Y348" t="s">
        <v>9724</v>
      </c>
      <c r="AB348" t="s">
        <v>9725</v>
      </c>
      <c r="AC348" t="s">
        <v>8777</v>
      </c>
      <c r="AE348" t="s">
        <v>9436</v>
      </c>
      <c r="AF348" t="s">
        <v>9658</v>
      </c>
      <c r="AH348" t="s">
        <v>9436</v>
      </c>
      <c r="AI348" t="s">
        <v>8777</v>
      </c>
      <c r="AL348" t="s">
        <v>9726</v>
      </c>
      <c r="AO348" t="s">
        <v>9727</v>
      </c>
    </row>
    <row r="349" spans="1:41" hidden="1" x14ac:dyDescent="0.35">
      <c r="A349" t="s">
        <v>9728</v>
      </c>
      <c r="B349" t="s">
        <v>7246</v>
      </c>
      <c r="C349" t="s">
        <v>5643</v>
      </c>
      <c r="D349" t="s">
        <v>5643</v>
      </c>
      <c r="E349" t="s">
        <v>5643</v>
      </c>
      <c r="G349" s="13" t="s">
        <v>9729</v>
      </c>
      <c r="H349" t="s">
        <v>9730</v>
      </c>
      <c r="J349" t="s">
        <v>9731</v>
      </c>
      <c r="K349" t="s">
        <v>9565</v>
      </c>
      <c r="L349" t="s">
        <v>9566</v>
      </c>
      <c r="M349" t="s">
        <v>7250</v>
      </c>
      <c r="N349">
        <v>1992</v>
      </c>
      <c r="R349">
        <v>8</v>
      </c>
      <c r="S349" t="s">
        <v>8257</v>
      </c>
      <c r="T349">
        <v>8</v>
      </c>
      <c r="U349">
        <v>3723.07</v>
      </c>
      <c r="V349">
        <v>314</v>
      </c>
      <c r="W349">
        <v>275.05</v>
      </c>
      <c r="X349">
        <v>314</v>
      </c>
      <c r="Y349">
        <v>31</v>
      </c>
      <c r="Z349" t="s">
        <v>7253</v>
      </c>
      <c r="AB349" t="s">
        <v>9665</v>
      </c>
      <c r="AC349" t="s">
        <v>8777</v>
      </c>
      <c r="AD349" t="s">
        <v>9426</v>
      </c>
      <c r="AE349" t="s">
        <v>9427</v>
      </c>
      <c r="AF349" t="s">
        <v>9732</v>
      </c>
      <c r="AG349" t="s">
        <v>9733</v>
      </c>
      <c r="AH349" t="s">
        <v>9708</v>
      </c>
      <c r="AI349" t="s">
        <v>8777</v>
      </c>
      <c r="AO349" t="s">
        <v>9734</v>
      </c>
    </row>
    <row r="350" spans="1:41" hidden="1" x14ac:dyDescent="0.35">
      <c r="A350" t="s">
        <v>9735</v>
      </c>
      <c r="B350" t="s">
        <v>7246</v>
      </c>
      <c r="C350" t="s">
        <v>356</v>
      </c>
      <c r="D350" t="s">
        <v>356</v>
      </c>
      <c r="E350" t="s">
        <v>356</v>
      </c>
      <c r="G350" s="13" t="s">
        <v>9736</v>
      </c>
      <c r="H350" t="s">
        <v>9737</v>
      </c>
      <c r="J350" t="s">
        <v>9738</v>
      </c>
      <c r="K350" t="s">
        <v>9739</v>
      </c>
      <c r="L350" t="s">
        <v>9740</v>
      </c>
      <c r="M350" t="s">
        <v>7250</v>
      </c>
      <c r="N350">
        <v>1960</v>
      </c>
      <c r="R350">
        <v>44.3</v>
      </c>
      <c r="S350" t="s">
        <v>8257</v>
      </c>
      <c r="T350">
        <v>44.3</v>
      </c>
      <c r="U350">
        <v>20616.490000000002</v>
      </c>
      <c r="V350">
        <v>383</v>
      </c>
      <c r="W350">
        <v>350.06</v>
      </c>
      <c r="X350">
        <v>383</v>
      </c>
      <c r="Y350" t="s">
        <v>7691</v>
      </c>
      <c r="Z350" t="s">
        <v>7253</v>
      </c>
      <c r="AB350" t="s">
        <v>9623</v>
      </c>
      <c r="AC350" t="s">
        <v>8777</v>
      </c>
      <c r="AE350" t="s">
        <v>3157</v>
      </c>
      <c r="AF350" t="s">
        <v>9741</v>
      </c>
      <c r="AH350" t="s">
        <v>9742</v>
      </c>
      <c r="AI350" t="s">
        <v>8777</v>
      </c>
      <c r="AO350" t="s">
        <v>9743</v>
      </c>
    </row>
    <row r="351" spans="1:41" hidden="1" x14ac:dyDescent="0.35">
      <c r="A351" t="s">
        <v>9744</v>
      </c>
      <c r="B351" t="s">
        <v>7246</v>
      </c>
      <c r="C351" t="s">
        <v>5643</v>
      </c>
      <c r="D351" t="s">
        <v>437</v>
      </c>
      <c r="E351" t="s">
        <v>9745</v>
      </c>
      <c r="G351" s="13" t="s">
        <v>9746</v>
      </c>
      <c r="H351" t="s">
        <v>9747</v>
      </c>
      <c r="J351" t="s">
        <v>9748</v>
      </c>
      <c r="K351" t="s">
        <v>9749</v>
      </c>
      <c r="L351" t="s">
        <v>9750</v>
      </c>
      <c r="M351" t="s">
        <v>7250</v>
      </c>
      <c r="N351">
        <v>1974</v>
      </c>
      <c r="R351">
        <v>15.5</v>
      </c>
      <c r="S351" t="s">
        <v>8257</v>
      </c>
      <c r="T351">
        <v>15.5</v>
      </c>
      <c r="U351">
        <v>7213.44</v>
      </c>
      <c r="V351">
        <v>968</v>
      </c>
      <c r="W351">
        <v>466.24</v>
      </c>
      <c r="X351">
        <v>968</v>
      </c>
      <c r="AB351" t="s">
        <v>9751</v>
      </c>
      <c r="AC351" t="s">
        <v>8777</v>
      </c>
      <c r="AD351" t="s">
        <v>9752</v>
      </c>
      <c r="AE351" t="s">
        <v>9753</v>
      </c>
      <c r="AF351" t="s">
        <v>9754</v>
      </c>
      <c r="AG351" t="s">
        <v>9755</v>
      </c>
      <c r="AH351" t="s">
        <v>9756</v>
      </c>
      <c r="AI351" t="s">
        <v>8777</v>
      </c>
      <c r="AO351" t="s">
        <v>9757</v>
      </c>
    </row>
    <row r="352" spans="1:41" hidden="1" x14ac:dyDescent="0.35">
      <c r="A352" t="s">
        <v>9758</v>
      </c>
      <c r="B352" t="s">
        <v>7246</v>
      </c>
      <c r="C352" t="s">
        <v>5925</v>
      </c>
      <c r="D352" t="s">
        <v>5714</v>
      </c>
      <c r="E352" t="s">
        <v>9759</v>
      </c>
      <c r="G352" s="13" t="s">
        <v>9760</v>
      </c>
      <c r="H352" t="s">
        <v>9761</v>
      </c>
      <c r="K352" t="s">
        <v>9762</v>
      </c>
      <c r="L352" t="s">
        <v>9763</v>
      </c>
      <c r="M352" t="s">
        <v>7250</v>
      </c>
      <c r="N352">
        <v>2020</v>
      </c>
      <c r="R352">
        <v>10</v>
      </c>
      <c r="S352" t="s">
        <v>8257</v>
      </c>
      <c r="T352">
        <v>10</v>
      </c>
      <c r="U352">
        <v>4653.83</v>
      </c>
      <c r="V352">
        <v>878</v>
      </c>
      <c r="W352">
        <v>752.5</v>
      </c>
      <c r="X352">
        <v>878</v>
      </c>
      <c r="Y352" t="s">
        <v>9764</v>
      </c>
      <c r="Z352" t="s">
        <v>7253</v>
      </c>
      <c r="AA352" t="s">
        <v>5445</v>
      </c>
      <c r="AC352" t="s">
        <v>8777</v>
      </c>
      <c r="AF352" t="s">
        <v>9765</v>
      </c>
      <c r="AH352" t="s">
        <v>9766</v>
      </c>
      <c r="AI352" t="s">
        <v>8777</v>
      </c>
      <c r="AO352" t="s">
        <v>9767</v>
      </c>
    </row>
    <row r="353" spans="1:41" hidden="1" x14ac:dyDescent="0.35">
      <c r="A353" t="s">
        <v>9768</v>
      </c>
      <c r="B353" t="s">
        <v>7246</v>
      </c>
      <c r="C353" t="s">
        <v>344</v>
      </c>
      <c r="D353" t="s">
        <v>5714</v>
      </c>
      <c r="E353" t="s">
        <v>9769</v>
      </c>
      <c r="G353" s="13" t="s">
        <v>9770</v>
      </c>
      <c r="H353" t="s">
        <v>9771</v>
      </c>
      <c r="J353" t="s">
        <v>9772</v>
      </c>
      <c r="K353" t="s">
        <v>9773</v>
      </c>
      <c r="L353" t="s">
        <v>9773</v>
      </c>
      <c r="M353" t="s">
        <v>7250</v>
      </c>
      <c r="N353">
        <v>1983</v>
      </c>
      <c r="R353">
        <v>33.5</v>
      </c>
      <c r="S353" t="s">
        <v>8257</v>
      </c>
      <c r="T353">
        <v>33.5</v>
      </c>
      <c r="U353">
        <v>15590.35</v>
      </c>
      <c r="V353">
        <v>2475</v>
      </c>
      <c r="W353">
        <v>2473.6999999999998</v>
      </c>
      <c r="X353">
        <v>2475</v>
      </c>
      <c r="Y353">
        <v>48</v>
      </c>
      <c r="Z353" t="s">
        <v>7253</v>
      </c>
      <c r="AB353" t="s">
        <v>8875</v>
      </c>
      <c r="AC353" t="s">
        <v>8747</v>
      </c>
      <c r="AE353" t="s">
        <v>8876</v>
      </c>
      <c r="AF353" t="s">
        <v>9774</v>
      </c>
      <c r="AH353" t="s">
        <v>9775</v>
      </c>
      <c r="AI353" t="s">
        <v>8777</v>
      </c>
      <c r="AL353" t="s">
        <v>9776</v>
      </c>
      <c r="AO353" t="s">
        <v>9777</v>
      </c>
    </row>
    <row r="354" spans="1:41" hidden="1" x14ac:dyDescent="0.35">
      <c r="A354" t="s">
        <v>9778</v>
      </c>
      <c r="B354" t="s">
        <v>7246</v>
      </c>
      <c r="C354" t="s">
        <v>437</v>
      </c>
      <c r="D354" t="s">
        <v>437</v>
      </c>
      <c r="E354" t="s">
        <v>437</v>
      </c>
      <c r="G354" s="13" t="s">
        <v>9779</v>
      </c>
      <c r="H354" t="s">
        <v>9780</v>
      </c>
      <c r="K354" t="s">
        <v>9781</v>
      </c>
      <c r="L354" t="s">
        <v>9782</v>
      </c>
      <c r="M354" t="s">
        <v>7250</v>
      </c>
      <c r="N354">
        <v>1974</v>
      </c>
      <c r="R354">
        <v>15.7</v>
      </c>
      <c r="S354" t="s">
        <v>8257</v>
      </c>
      <c r="T354">
        <v>15.7</v>
      </c>
      <c r="U354">
        <v>7306.52</v>
      </c>
      <c r="V354">
        <v>293</v>
      </c>
      <c r="W354">
        <v>169.49</v>
      </c>
      <c r="X354">
        <v>293</v>
      </c>
      <c r="AB354" t="s">
        <v>9783</v>
      </c>
      <c r="AC354" t="s">
        <v>8777</v>
      </c>
      <c r="AE354" t="s">
        <v>9756</v>
      </c>
      <c r="AF354" t="s">
        <v>9784</v>
      </c>
      <c r="AH354" t="s">
        <v>9785</v>
      </c>
      <c r="AI354" t="s">
        <v>8777</v>
      </c>
      <c r="AO354" t="s">
        <v>9786</v>
      </c>
    </row>
    <row r="355" spans="1:41" hidden="1" x14ac:dyDescent="0.35">
      <c r="A355" t="s">
        <v>9787</v>
      </c>
      <c r="B355" t="s">
        <v>7246</v>
      </c>
      <c r="C355" t="s">
        <v>9367</v>
      </c>
      <c r="D355" t="s">
        <v>5787</v>
      </c>
      <c r="E355" t="s">
        <v>9646</v>
      </c>
      <c r="G355" s="13" t="s">
        <v>9788</v>
      </c>
      <c r="H355" t="s">
        <v>9789</v>
      </c>
      <c r="K355" t="s">
        <v>9790</v>
      </c>
      <c r="L355" t="s">
        <v>9791</v>
      </c>
      <c r="M355" t="s">
        <v>7250</v>
      </c>
      <c r="N355">
        <v>2004</v>
      </c>
      <c r="R355">
        <v>5.5</v>
      </c>
      <c r="S355" t="s">
        <v>8257</v>
      </c>
      <c r="T355">
        <v>5.5</v>
      </c>
      <c r="U355">
        <v>2559.61</v>
      </c>
      <c r="V355">
        <v>100</v>
      </c>
      <c r="W355">
        <v>89.64</v>
      </c>
      <c r="X355">
        <v>100</v>
      </c>
      <c r="AB355" t="s">
        <v>9792</v>
      </c>
      <c r="AC355" t="s">
        <v>8777</v>
      </c>
      <c r="AE355" t="s">
        <v>9436</v>
      </c>
      <c r="AF355" t="s">
        <v>9793</v>
      </c>
      <c r="AH355" t="s">
        <v>9436</v>
      </c>
      <c r="AI355" t="s">
        <v>8777</v>
      </c>
      <c r="AO355" t="s">
        <v>9794</v>
      </c>
    </row>
    <row r="356" spans="1:41" hidden="1" x14ac:dyDescent="0.35">
      <c r="A356" t="s">
        <v>9795</v>
      </c>
      <c r="B356" t="s">
        <v>7246</v>
      </c>
      <c r="C356" t="s">
        <v>5705</v>
      </c>
      <c r="D356" t="s">
        <v>5586</v>
      </c>
      <c r="E356" t="s">
        <v>9796</v>
      </c>
      <c r="G356" s="13" t="s">
        <v>9797</v>
      </c>
      <c r="H356" t="s">
        <v>9798</v>
      </c>
      <c r="K356" t="s">
        <v>9799</v>
      </c>
      <c r="L356" t="s">
        <v>9800</v>
      </c>
      <c r="M356" t="s">
        <v>7250</v>
      </c>
      <c r="N356">
        <v>2011</v>
      </c>
      <c r="R356">
        <v>7</v>
      </c>
      <c r="S356" t="s">
        <v>8257</v>
      </c>
      <c r="T356">
        <v>7</v>
      </c>
      <c r="U356">
        <v>3257.68</v>
      </c>
      <c r="V356">
        <v>293</v>
      </c>
      <c r="W356">
        <v>298.44</v>
      </c>
      <c r="X356">
        <v>293</v>
      </c>
      <c r="Y356">
        <v>800</v>
      </c>
      <c r="Z356" t="s">
        <v>8842</v>
      </c>
      <c r="AB356" t="s">
        <v>9801</v>
      </c>
      <c r="AC356" t="s">
        <v>8777</v>
      </c>
      <c r="AE356" t="s">
        <v>9802</v>
      </c>
      <c r="AF356" t="s">
        <v>9803</v>
      </c>
      <c r="AH356" t="s">
        <v>9804</v>
      </c>
      <c r="AI356" t="s">
        <v>8777</v>
      </c>
      <c r="AO356" t="s">
        <v>9805</v>
      </c>
    </row>
    <row r="357" spans="1:41" hidden="1" x14ac:dyDescent="0.35">
      <c r="A357" t="s">
        <v>9806</v>
      </c>
      <c r="B357" t="s">
        <v>7246</v>
      </c>
      <c r="C357" t="s">
        <v>416</v>
      </c>
      <c r="D357" t="s">
        <v>449</v>
      </c>
      <c r="E357" t="s">
        <v>9575</v>
      </c>
      <c r="G357" s="13" t="s">
        <v>9807</v>
      </c>
      <c r="H357" t="s">
        <v>9808</v>
      </c>
      <c r="K357" t="s">
        <v>9809</v>
      </c>
      <c r="L357" t="s">
        <v>9810</v>
      </c>
      <c r="M357" t="s">
        <v>7250</v>
      </c>
      <c r="N357">
        <v>1978</v>
      </c>
      <c r="R357">
        <v>11</v>
      </c>
      <c r="S357" t="s">
        <v>8257</v>
      </c>
      <c r="T357">
        <v>11</v>
      </c>
      <c r="U357">
        <v>5119.22</v>
      </c>
      <c r="V357">
        <v>361</v>
      </c>
      <c r="W357">
        <v>361.14</v>
      </c>
      <c r="X357">
        <v>361</v>
      </c>
      <c r="AB357" t="s">
        <v>9811</v>
      </c>
      <c r="AC357" t="s">
        <v>8777</v>
      </c>
      <c r="AE357" t="s">
        <v>9436</v>
      </c>
      <c r="AF357" t="s">
        <v>9812</v>
      </c>
      <c r="AH357" t="s">
        <v>449</v>
      </c>
      <c r="AI357" t="s">
        <v>8777</v>
      </c>
      <c r="AO357" t="s">
        <v>9813</v>
      </c>
    </row>
    <row r="358" spans="1:41" hidden="1" x14ac:dyDescent="0.35">
      <c r="A358" t="s">
        <v>9814</v>
      </c>
      <c r="B358" t="s">
        <v>7246</v>
      </c>
      <c r="C358" t="s">
        <v>5643</v>
      </c>
      <c r="D358" t="s">
        <v>5566</v>
      </c>
      <c r="E358" t="s">
        <v>9815</v>
      </c>
      <c r="G358" s="13" t="s">
        <v>9816</v>
      </c>
      <c r="H358" t="s">
        <v>9817</v>
      </c>
      <c r="J358" t="s">
        <v>9818</v>
      </c>
      <c r="K358" t="s">
        <v>9565</v>
      </c>
      <c r="L358" t="s">
        <v>9566</v>
      </c>
      <c r="M358" t="s">
        <v>7250</v>
      </c>
      <c r="N358">
        <v>1998</v>
      </c>
      <c r="R358">
        <v>10</v>
      </c>
      <c r="S358" t="s">
        <v>8257</v>
      </c>
      <c r="T358">
        <v>10</v>
      </c>
      <c r="U358">
        <v>4653.83</v>
      </c>
      <c r="V358">
        <v>236</v>
      </c>
      <c r="W358">
        <v>247.92</v>
      </c>
      <c r="X358">
        <v>236</v>
      </c>
      <c r="Y358">
        <v>31</v>
      </c>
      <c r="Z358" t="s">
        <v>7253</v>
      </c>
      <c r="AB358" t="s">
        <v>9819</v>
      </c>
      <c r="AC358" t="s">
        <v>8777</v>
      </c>
      <c r="AD358" t="s">
        <v>9820</v>
      </c>
      <c r="AE358" t="s">
        <v>9753</v>
      </c>
      <c r="AF358" t="s">
        <v>9821</v>
      </c>
      <c r="AG358" t="s">
        <v>9822</v>
      </c>
      <c r="AH358" t="s">
        <v>9823</v>
      </c>
      <c r="AI358" t="s">
        <v>8777</v>
      </c>
      <c r="AO358" t="s">
        <v>9824</v>
      </c>
    </row>
    <row r="359" spans="1:41" hidden="1" x14ac:dyDescent="0.35">
      <c r="A359" t="s">
        <v>9825</v>
      </c>
      <c r="B359" t="s">
        <v>7246</v>
      </c>
      <c r="C359" t="s">
        <v>449</v>
      </c>
      <c r="D359" t="s">
        <v>449</v>
      </c>
      <c r="E359" t="s">
        <v>449</v>
      </c>
      <c r="G359" s="13" t="s">
        <v>9826</v>
      </c>
      <c r="H359" t="s">
        <v>9827</v>
      </c>
      <c r="K359" t="s">
        <v>9828</v>
      </c>
      <c r="L359" t="s">
        <v>9828</v>
      </c>
      <c r="M359" t="s">
        <v>7250</v>
      </c>
      <c r="R359">
        <v>1.8</v>
      </c>
      <c r="S359" t="s">
        <v>8257</v>
      </c>
      <c r="T359">
        <v>1.8</v>
      </c>
      <c r="U359">
        <v>837.69</v>
      </c>
      <c r="V359">
        <v>192.7</v>
      </c>
      <c r="W359">
        <v>192.7</v>
      </c>
      <c r="X359">
        <v>192.7</v>
      </c>
      <c r="Y359">
        <v>20</v>
      </c>
      <c r="Z359" t="s">
        <v>7253</v>
      </c>
      <c r="AB359" t="s">
        <v>9829</v>
      </c>
      <c r="AC359" t="s">
        <v>8777</v>
      </c>
      <c r="AE359" t="s">
        <v>9436</v>
      </c>
      <c r="AF359" t="s">
        <v>9830</v>
      </c>
      <c r="AH359" t="s">
        <v>449</v>
      </c>
      <c r="AI359" t="s">
        <v>8777</v>
      </c>
      <c r="AO359" t="s">
        <v>9831</v>
      </c>
    </row>
    <row r="360" spans="1:41" hidden="1" x14ac:dyDescent="0.35">
      <c r="A360" t="s">
        <v>9832</v>
      </c>
      <c r="B360" t="s">
        <v>7246</v>
      </c>
      <c r="C360" t="s">
        <v>683</v>
      </c>
      <c r="D360" t="s">
        <v>5830</v>
      </c>
      <c r="E360" t="s">
        <v>9833</v>
      </c>
      <c r="G360" s="13" t="s">
        <v>9834</v>
      </c>
      <c r="H360" t="s">
        <v>9835</v>
      </c>
      <c r="J360" t="s">
        <v>9836</v>
      </c>
      <c r="K360" t="s">
        <v>9837</v>
      </c>
      <c r="L360" t="s">
        <v>9838</v>
      </c>
      <c r="M360" t="s">
        <v>7292</v>
      </c>
      <c r="N360">
        <v>2023</v>
      </c>
      <c r="O360">
        <v>2024</v>
      </c>
      <c r="R360">
        <v>32</v>
      </c>
      <c r="S360" t="s">
        <v>8257</v>
      </c>
      <c r="T360">
        <v>32</v>
      </c>
      <c r="U360">
        <v>14892.27</v>
      </c>
      <c r="V360">
        <v>1238</v>
      </c>
      <c r="W360">
        <v>1140.32</v>
      </c>
      <c r="X360">
        <v>1238</v>
      </c>
      <c r="AB360" t="s">
        <v>9839</v>
      </c>
      <c r="AC360" t="s">
        <v>8844</v>
      </c>
      <c r="AF360" t="s">
        <v>9840</v>
      </c>
      <c r="AH360" t="s">
        <v>9841</v>
      </c>
      <c r="AI360" t="s">
        <v>8777</v>
      </c>
      <c r="AO360" t="s">
        <v>9842</v>
      </c>
    </row>
    <row r="361" spans="1:41" hidden="1" x14ac:dyDescent="0.35">
      <c r="A361" t="s">
        <v>9843</v>
      </c>
      <c r="B361" t="s">
        <v>7246</v>
      </c>
      <c r="C361" t="s">
        <v>423</v>
      </c>
      <c r="D361" t="s">
        <v>84</v>
      </c>
      <c r="E361" t="s">
        <v>9844</v>
      </c>
      <c r="G361" s="13" t="s">
        <v>9845</v>
      </c>
      <c r="H361" t="s">
        <v>9846</v>
      </c>
      <c r="J361" t="s">
        <v>9847</v>
      </c>
      <c r="K361" t="s">
        <v>9848</v>
      </c>
      <c r="L361" t="s">
        <v>9848</v>
      </c>
      <c r="M361" t="s">
        <v>7292</v>
      </c>
      <c r="N361">
        <v>2030</v>
      </c>
      <c r="R361">
        <v>80</v>
      </c>
      <c r="S361" t="s">
        <v>8257</v>
      </c>
      <c r="T361">
        <v>80</v>
      </c>
      <c r="U361">
        <v>37230.68</v>
      </c>
      <c r="V361">
        <v>2594.2600000000002</v>
      </c>
      <c r="W361">
        <v>4201.16</v>
      </c>
      <c r="X361">
        <v>2594.2600000000002</v>
      </c>
      <c r="Y361">
        <v>1420</v>
      </c>
      <c r="Z361" t="s">
        <v>8842</v>
      </c>
      <c r="AA361" t="s">
        <v>9849</v>
      </c>
      <c r="AB361" t="s">
        <v>9850</v>
      </c>
      <c r="AC361" t="s">
        <v>8844</v>
      </c>
      <c r="AE361" t="s">
        <v>9851</v>
      </c>
      <c r="AH361" t="s">
        <v>3024</v>
      </c>
      <c r="AI361" t="s">
        <v>9852</v>
      </c>
      <c r="AL361" t="s">
        <v>9853</v>
      </c>
      <c r="AO361" t="s">
        <v>9854</v>
      </c>
    </row>
    <row r="362" spans="1:41" hidden="1" x14ac:dyDescent="0.35">
      <c r="A362" t="s">
        <v>9855</v>
      </c>
      <c r="B362" t="s">
        <v>7246</v>
      </c>
      <c r="C362" t="s">
        <v>5445</v>
      </c>
      <c r="D362" t="s">
        <v>683</v>
      </c>
      <c r="E362" t="s">
        <v>9856</v>
      </c>
      <c r="G362" s="13" t="s">
        <v>9857</v>
      </c>
      <c r="H362" t="s">
        <v>9858</v>
      </c>
      <c r="J362" t="s">
        <v>9859</v>
      </c>
      <c r="K362" t="s">
        <v>9860</v>
      </c>
      <c r="L362" t="s">
        <v>9860</v>
      </c>
      <c r="M362" t="s">
        <v>7292</v>
      </c>
      <c r="N362">
        <v>2027</v>
      </c>
      <c r="R362">
        <v>8</v>
      </c>
      <c r="S362" t="s">
        <v>8257</v>
      </c>
      <c r="T362">
        <v>8</v>
      </c>
      <c r="U362">
        <v>3723.07</v>
      </c>
      <c r="V362">
        <v>920</v>
      </c>
      <c r="W362">
        <v>694.12</v>
      </c>
      <c r="X362">
        <v>920</v>
      </c>
      <c r="AB362" t="s">
        <v>9861</v>
      </c>
      <c r="AC362" t="s">
        <v>8844</v>
      </c>
      <c r="AF362" t="s">
        <v>9862</v>
      </c>
      <c r="AI362" t="s">
        <v>8844</v>
      </c>
      <c r="AO362" t="s">
        <v>9863</v>
      </c>
    </row>
    <row r="363" spans="1:41" hidden="1" x14ac:dyDescent="0.35">
      <c r="A363" t="s">
        <v>9864</v>
      </c>
      <c r="B363" t="s">
        <v>7246</v>
      </c>
      <c r="C363" t="s">
        <v>423</v>
      </c>
      <c r="D363" t="s">
        <v>5925</v>
      </c>
      <c r="E363" t="s">
        <v>9865</v>
      </c>
      <c r="G363" s="13" t="s">
        <v>9866</v>
      </c>
      <c r="H363" t="s">
        <v>9867</v>
      </c>
      <c r="K363" t="s">
        <v>9868</v>
      </c>
      <c r="L363" t="s">
        <v>9868</v>
      </c>
      <c r="M363" t="s">
        <v>7250</v>
      </c>
      <c r="N363">
        <v>2003</v>
      </c>
      <c r="R363">
        <v>16</v>
      </c>
      <c r="S363" t="s">
        <v>8257</v>
      </c>
      <c r="T363">
        <v>16</v>
      </c>
      <c r="U363">
        <v>7446.14</v>
      </c>
      <c r="V363">
        <v>1213</v>
      </c>
      <c r="W363">
        <v>1198.54</v>
      </c>
      <c r="X363">
        <v>1213</v>
      </c>
      <c r="Y363" t="s">
        <v>9869</v>
      </c>
      <c r="Z363" t="s">
        <v>8842</v>
      </c>
      <c r="AB363" t="s">
        <v>9870</v>
      </c>
      <c r="AC363" t="s">
        <v>8844</v>
      </c>
      <c r="AF363" t="s">
        <v>3755</v>
      </c>
      <c r="AI363" t="s">
        <v>8777</v>
      </c>
      <c r="AO363" t="s">
        <v>9871</v>
      </c>
    </row>
    <row r="364" spans="1:41" hidden="1" x14ac:dyDescent="0.35">
      <c r="A364" t="s">
        <v>9872</v>
      </c>
      <c r="B364" t="s">
        <v>7246</v>
      </c>
      <c r="C364" t="s">
        <v>423</v>
      </c>
      <c r="D364" t="s">
        <v>423</v>
      </c>
      <c r="E364" t="s">
        <v>423</v>
      </c>
      <c r="G364" s="13" t="s">
        <v>9873</v>
      </c>
      <c r="H364" t="s">
        <v>9874</v>
      </c>
      <c r="I364" t="s">
        <v>9875</v>
      </c>
      <c r="K364" t="s">
        <v>9848</v>
      </c>
      <c r="L364" t="s">
        <v>9848</v>
      </c>
      <c r="M364" t="s">
        <v>7250</v>
      </c>
      <c r="N364">
        <v>2012</v>
      </c>
      <c r="R364">
        <v>57.5</v>
      </c>
      <c r="S364" t="s">
        <v>8257</v>
      </c>
      <c r="T364">
        <v>57.5</v>
      </c>
      <c r="U364">
        <v>26759.55</v>
      </c>
      <c r="V364">
        <v>1200</v>
      </c>
      <c r="W364">
        <v>1054.24</v>
      </c>
      <c r="X364">
        <v>1200</v>
      </c>
      <c r="Y364">
        <v>1420</v>
      </c>
      <c r="Z364" t="s">
        <v>8842</v>
      </c>
      <c r="AA364" t="s">
        <v>9876</v>
      </c>
      <c r="AB364" t="s">
        <v>9877</v>
      </c>
      <c r="AC364" t="s">
        <v>8844</v>
      </c>
      <c r="AE364" t="s">
        <v>9851</v>
      </c>
      <c r="AF364" t="s">
        <v>9878</v>
      </c>
      <c r="AH364" t="s">
        <v>3621</v>
      </c>
      <c r="AI364" t="s">
        <v>8844</v>
      </c>
      <c r="AL364" t="s">
        <v>9879</v>
      </c>
      <c r="AO364" t="s">
        <v>9880</v>
      </c>
    </row>
    <row r="365" spans="1:41" hidden="1" x14ac:dyDescent="0.35">
      <c r="A365" t="s">
        <v>9881</v>
      </c>
      <c r="B365" t="s">
        <v>7246</v>
      </c>
      <c r="C365" t="s">
        <v>423</v>
      </c>
      <c r="D365" t="s">
        <v>423</v>
      </c>
      <c r="E365" t="s">
        <v>423</v>
      </c>
      <c r="G365" s="13" t="s">
        <v>9882</v>
      </c>
      <c r="H365" t="s">
        <v>9874</v>
      </c>
      <c r="I365" t="s">
        <v>9883</v>
      </c>
      <c r="K365" t="s">
        <v>9848</v>
      </c>
      <c r="L365" t="s">
        <v>9848</v>
      </c>
      <c r="M365" t="s">
        <v>7250</v>
      </c>
      <c r="N365">
        <v>2017</v>
      </c>
      <c r="R365">
        <v>57.5</v>
      </c>
      <c r="S365" t="s">
        <v>8257</v>
      </c>
      <c r="T365">
        <v>57.5</v>
      </c>
      <c r="U365">
        <v>26759.55</v>
      </c>
      <c r="V365">
        <v>1200</v>
      </c>
      <c r="W365">
        <v>1054.24</v>
      </c>
      <c r="X365">
        <v>1200</v>
      </c>
      <c r="Y365">
        <v>1420</v>
      </c>
      <c r="Z365" t="s">
        <v>8842</v>
      </c>
      <c r="AA365" t="s">
        <v>9876</v>
      </c>
      <c r="AB365" t="s">
        <v>9877</v>
      </c>
      <c r="AC365" t="s">
        <v>8844</v>
      </c>
      <c r="AE365" t="s">
        <v>9851</v>
      </c>
      <c r="AF365" t="s">
        <v>9878</v>
      </c>
      <c r="AH365" t="s">
        <v>3621</v>
      </c>
      <c r="AI365" t="s">
        <v>8844</v>
      </c>
      <c r="AL365" t="s">
        <v>9884</v>
      </c>
      <c r="AO365" t="s">
        <v>9880</v>
      </c>
    </row>
    <row r="366" spans="1:41" hidden="1" x14ac:dyDescent="0.35">
      <c r="A366" t="s">
        <v>9885</v>
      </c>
      <c r="B366" t="s">
        <v>7246</v>
      </c>
      <c r="C366" t="s">
        <v>5541</v>
      </c>
      <c r="D366" t="s">
        <v>5456</v>
      </c>
      <c r="E366" t="s">
        <v>9886</v>
      </c>
      <c r="G366" s="13" t="s">
        <v>9887</v>
      </c>
      <c r="H366" t="s">
        <v>9888</v>
      </c>
      <c r="K366" t="s">
        <v>9889</v>
      </c>
      <c r="L366" t="s">
        <v>9890</v>
      </c>
      <c r="M366" t="s">
        <v>7250</v>
      </c>
      <c r="N366">
        <v>1971</v>
      </c>
      <c r="R366">
        <v>12</v>
      </c>
      <c r="S366" t="s">
        <v>8257</v>
      </c>
      <c r="T366">
        <v>12</v>
      </c>
      <c r="U366">
        <v>5584.6</v>
      </c>
      <c r="V366">
        <v>1585</v>
      </c>
      <c r="W366">
        <v>1176.96</v>
      </c>
      <c r="X366">
        <v>1585</v>
      </c>
      <c r="Y366" t="s">
        <v>9891</v>
      </c>
      <c r="Z366" t="s">
        <v>8842</v>
      </c>
      <c r="AA366" t="s">
        <v>9892</v>
      </c>
      <c r="AB366" t="s">
        <v>9893</v>
      </c>
      <c r="AC366" t="s">
        <v>8844</v>
      </c>
      <c r="AF366" t="s">
        <v>9894</v>
      </c>
      <c r="AI366" t="s">
        <v>8844</v>
      </c>
      <c r="AL366" t="s">
        <v>9895</v>
      </c>
      <c r="AO366" t="s">
        <v>9896</v>
      </c>
    </row>
    <row r="367" spans="1:41" hidden="1" x14ac:dyDescent="0.35">
      <c r="A367" t="s">
        <v>9897</v>
      </c>
      <c r="B367" t="s">
        <v>7246</v>
      </c>
      <c r="C367" t="s">
        <v>9898</v>
      </c>
      <c r="D367" t="s">
        <v>423</v>
      </c>
      <c r="E367" t="s">
        <v>9899</v>
      </c>
      <c r="G367" s="13" t="s">
        <v>9900</v>
      </c>
      <c r="H367" t="s">
        <v>9901</v>
      </c>
      <c r="K367" t="s">
        <v>9902</v>
      </c>
      <c r="L367" t="s">
        <v>9902</v>
      </c>
      <c r="M367" t="s">
        <v>7269</v>
      </c>
      <c r="R367">
        <v>25</v>
      </c>
      <c r="S367" t="s">
        <v>8257</v>
      </c>
      <c r="T367">
        <v>25</v>
      </c>
      <c r="U367">
        <v>11634.59</v>
      </c>
      <c r="V367" t="s">
        <v>6546</v>
      </c>
      <c r="W367">
        <v>1996.15</v>
      </c>
      <c r="X367">
        <v>1996.15</v>
      </c>
      <c r="AB367" t="s">
        <v>9903</v>
      </c>
      <c r="AC367" t="s">
        <v>8844</v>
      </c>
      <c r="AF367" t="s">
        <v>9904</v>
      </c>
      <c r="AI367" t="s">
        <v>8844</v>
      </c>
      <c r="AO367" t="s">
        <v>9905</v>
      </c>
    </row>
    <row r="368" spans="1:41" hidden="1" x14ac:dyDescent="0.35">
      <c r="A368" t="s">
        <v>9906</v>
      </c>
      <c r="B368" t="s">
        <v>7246</v>
      </c>
      <c r="C368" t="s">
        <v>423</v>
      </c>
      <c r="D368" t="s">
        <v>423</v>
      </c>
      <c r="E368" t="s">
        <v>423</v>
      </c>
      <c r="G368" s="13" t="s">
        <v>9907</v>
      </c>
      <c r="H368" t="s">
        <v>9908</v>
      </c>
      <c r="K368" t="s">
        <v>9848</v>
      </c>
      <c r="L368" t="s">
        <v>9848</v>
      </c>
      <c r="M368" t="s">
        <v>7250</v>
      </c>
      <c r="N368">
        <v>2011</v>
      </c>
      <c r="R368">
        <v>3.8</v>
      </c>
      <c r="S368" t="s">
        <v>8257</v>
      </c>
      <c r="T368">
        <v>3.8</v>
      </c>
      <c r="U368">
        <v>1768.46</v>
      </c>
      <c r="V368">
        <v>171</v>
      </c>
      <c r="W368">
        <v>142.15</v>
      </c>
      <c r="X368">
        <v>171</v>
      </c>
      <c r="Y368">
        <v>530</v>
      </c>
      <c r="Z368" t="s">
        <v>8842</v>
      </c>
      <c r="AB368" t="s">
        <v>9909</v>
      </c>
      <c r="AC368" t="s">
        <v>8844</v>
      </c>
      <c r="AE368" t="s">
        <v>9910</v>
      </c>
      <c r="AF368" t="s">
        <v>9911</v>
      </c>
      <c r="AH368" t="s">
        <v>9910</v>
      </c>
      <c r="AI368" t="s">
        <v>8844</v>
      </c>
      <c r="AO368" t="s">
        <v>9912</v>
      </c>
    </row>
    <row r="369" spans="1:41" hidden="1" x14ac:dyDescent="0.35">
      <c r="A369" t="s">
        <v>9913</v>
      </c>
      <c r="B369" t="s">
        <v>7246</v>
      </c>
      <c r="C369" t="s">
        <v>423</v>
      </c>
      <c r="D369" t="s">
        <v>423</v>
      </c>
      <c r="E369" t="s">
        <v>423</v>
      </c>
      <c r="G369" s="13" t="s">
        <v>9914</v>
      </c>
      <c r="H369" t="s">
        <v>9915</v>
      </c>
      <c r="K369" t="s">
        <v>9848</v>
      </c>
      <c r="L369" t="s">
        <v>9848</v>
      </c>
      <c r="M369" t="s">
        <v>7250</v>
      </c>
      <c r="N369">
        <v>2009</v>
      </c>
      <c r="R369">
        <v>0.25</v>
      </c>
      <c r="S369" t="s">
        <v>8257</v>
      </c>
      <c r="T369">
        <v>0.25</v>
      </c>
      <c r="U369">
        <v>116.35</v>
      </c>
      <c r="V369">
        <v>162.30000000000001</v>
      </c>
      <c r="W369">
        <v>137.09</v>
      </c>
      <c r="X369">
        <v>162.30000000000001</v>
      </c>
      <c r="Y369">
        <v>426</v>
      </c>
      <c r="Z369" t="s">
        <v>8842</v>
      </c>
      <c r="AB369" t="s">
        <v>9916</v>
      </c>
      <c r="AC369" t="s">
        <v>8844</v>
      </c>
      <c r="AE369" t="s">
        <v>9917</v>
      </c>
      <c r="AF369" t="s">
        <v>9918</v>
      </c>
      <c r="AH369" t="s">
        <v>9919</v>
      </c>
      <c r="AI369" t="s">
        <v>8844</v>
      </c>
      <c r="AO369" t="s">
        <v>9920</v>
      </c>
    </row>
    <row r="370" spans="1:41" hidden="1" x14ac:dyDescent="0.35">
      <c r="A370" t="s">
        <v>9921</v>
      </c>
      <c r="B370" t="s">
        <v>7246</v>
      </c>
      <c r="C370" t="s">
        <v>9898</v>
      </c>
      <c r="D370" t="s">
        <v>9898</v>
      </c>
      <c r="E370" t="s">
        <v>9898</v>
      </c>
      <c r="G370" s="13" t="s">
        <v>9922</v>
      </c>
      <c r="H370" t="s">
        <v>9923</v>
      </c>
      <c r="K370" t="s">
        <v>9924</v>
      </c>
      <c r="L370" t="s">
        <v>9924</v>
      </c>
      <c r="M370" t="s">
        <v>7250</v>
      </c>
      <c r="N370">
        <v>2015</v>
      </c>
      <c r="R370">
        <v>30</v>
      </c>
      <c r="S370" t="s">
        <v>8257</v>
      </c>
      <c r="T370">
        <v>30</v>
      </c>
      <c r="U370">
        <v>13961.5</v>
      </c>
      <c r="V370">
        <v>773</v>
      </c>
      <c r="W370">
        <v>766.49</v>
      </c>
      <c r="X370">
        <v>773</v>
      </c>
      <c r="AB370" t="s">
        <v>9925</v>
      </c>
      <c r="AC370" t="s">
        <v>8844</v>
      </c>
      <c r="AE370" t="s">
        <v>9926</v>
      </c>
      <c r="AF370" t="s">
        <v>9927</v>
      </c>
      <c r="AH370" t="s">
        <v>9928</v>
      </c>
      <c r="AI370" t="s">
        <v>8844</v>
      </c>
      <c r="AL370" t="s">
        <v>9929</v>
      </c>
      <c r="AO370" t="s">
        <v>9930</v>
      </c>
    </row>
    <row r="371" spans="1:41" hidden="1" x14ac:dyDescent="0.35">
      <c r="A371" t="s">
        <v>9931</v>
      </c>
      <c r="B371" t="s">
        <v>7246</v>
      </c>
      <c r="C371" t="s">
        <v>423</v>
      </c>
      <c r="D371" t="s">
        <v>423</v>
      </c>
      <c r="E371" t="s">
        <v>423</v>
      </c>
      <c r="G371" s="13" t="s">
        <v>9932</v>
      </c>
      <c r="H371" t="s">
        <v>9933</v>
      </c>
      <c r="K371" t="s">
        <v>9848</v>
      </c>
      <c r="L371" t="s">
        <v>9848</v>
      </c>
      <c r="M371" t="s">
        <v>7250</v>
      </c>
      <c r="N371">
        <v>2011</v>
      </c>
      <c r="R371">
        <v>55</v>
      </c>
      <c r="S371" t="s">
        <v>8257</v>
      </c>
      <c r="T371">
        <v>55</v>
      </c>
      <c r="U371">
        <v>25596.09</v>
      </c>
      <c r="V371">
        <v>917</v>
      </c>
      <c r="W371">
        <v>877.26</v>
      </c>
      <c r="X371">
        <v>917</v>
      </c>
      <c r="Y371">
        <v>1400</v>
      </c>
      <c r="Z371" t="s">
        <v>8842</v>
      </c>
      <c r="AB371" t="s">
        <v>9934</v>
      </c>
      <c r="AC371" t="s">
        <v>8844</v>
      </c>
      <c r="AE371" t="s">
        <v>9935</v>
      </c>
      <c r="AF371" t="s">
        <v>9936</v>
      </c>
      <c r="AH371" t="s">
        <v>3627</v>
      </c>
      <c r="AI371" t="s">
        <v>8844</v>
      </c>
      <c r="AL371" t="s">
        <v>9937</v>
      </c>
      <c r="AO371" t="s">
        <v>9938</v>
      </c>
    </row>
    <row r="372" spans="1:41" hidden="1" x14ac:dyDescent="0.35">
      <c r="A372" t="s">
        <v>9939</v>
      </c>
      <c r="B372" t="s">
        <v>7246</v>
      </c>
      <c r="C372" t="s">
        <v>5925</v>
      </c>
      <c r="D372" t="s">
        <v>5694</v>
      </c>
      <c r="E372" t="s">
        <v>9940</v>
      </c>
      <c r="G372" s="13" t="s">
        <v>9941</v>
      </c>
      <c r="H372" t="s">
        <v>9942</v>
      </c>
      <c r="K372" t="s">
        <v>9943</v>
      </c>
      <c r="L372" t="s">
        <v>9944</v>
      </c>
      <c r="M372" t="s">
        <v>7250</v>
      </c>
      <c r="N372">
        <v>2007</v>
      </c>
      <c r="R372">
        <v>11</v>
      </c>
      <c r="S372" t="s">
        <v>8257</v>
      </c>
      <c r="T372">
        <v>11</v>
      </c>
      <c r="U372">
        <v>5119.22</v>
      </c>
      <c r="V372">
        <v>296</v>
      </c>
      <c r="W372">
        <v>322.3</v>
      </c>
      <c r="X372">
        <v>296</v>
      </c>
      <c r="Y372">
        <v>36</v>
      </c>
      <c r="Z372" t="s">
        <v>7253</v>
      </c>
      <c r="AA372" t="s">
        <v>9945</v>
      </c>
      <c r="AB372" t="s">
        <v>9946</v>
      </c>
      <c r="AC372" t="s">
        <v>8777</v>
      </c>
      <c r="AE372" t="s">
        <v>5930</v>
      </c>
      <c r="AF372" t="s">
        <v>9495</v>
      </c>
      <c r="AH372" t="s">
        <v>9947</v>
      </c>
      <c r="AI372" t="s">
        <v>8777</v>
      </c>
      <c r="AO372" t="s">
        <v>9948</v>
      </c>
    </row>
    <row r="373" spans="1:41" hidden="1" x14ac:dyDescent="0.35">
      <c r="A373" t="s">
        <v>9949</v>
      </c>
      <c r="B373" t="s">
        <v>7246</v>
      </c>
      <c r="C373" t="s">
        <v>5445</v>
      </c>
      <c r="D373" t="s">
        <v>387</v>
      </c>
      <c r="E373" t="s">
        <v>9950</v>
      </c>
      <c r="G373" s="13" t="s">
        <v>9951</v>
      </c>
      <c r="H373" t="s">
        <v>9952</v>
      </c>
      <c r="J373" t="s">
        <v>9953</v>
      </c>
      <c r="K373" t="s">
        <v>9954</v>
      </c>
      <c r="L373" t="s">
        <v>9955</v>
      </c>
      <c r="M373" t="s">
        <v>7250</v>
      </c>
      <c r="N373">
        <v>1970</v>
      </c>
      <c r="R373">
        <v>10</v>
      </c>
      <c r="S373" t="s">
        <v>8257</v>
      </c>
      <c r="T373">
        <v>10</v>
      </c>
      <c r="U373">
        <v>4653.83</v>
      </c>
      <c r="V373">
        <v>1474.5</v>
      </c>
      <c r="W373">
        <v>1217.58</v>
      </c>
      <c r="X373">
        <v>1474.5</v>
      </c>
      <c r="Y373" t="s">
        <v>9956</v>
      </c>
      <c r="Z373" t="s">
        <v>8842</v>
      </c>
      <c r="AB373" t="s">
        <v>9957</v>
      </c>
      <c r="AC373" t="s">
        <v>8844</v>
      </c>
      <c r="AE373" t="s">
        <v>9958</v>
      </c>
      <c r="AF373" t="s">
        <v>2461</v>
      </c>
      <c r="AH373" t="s">
        <v>3413</v>
      </c>
      <c r="AI373" t="s">
        <v>8747</v>
      </c>
      <c r="AL373" t="s">
        <v>9959</v>
      </c>
      <c r="AO373" t="s">
        <v>9960</v>
      </c>
    </row>
    <row r="374" spans="1:41" hidden="1" x14ac:dyDescent="0.35">
      <c r="A374" t="s">
        <v>9961</v>
      </c>
      <c r="B374" t="s">
        <v>7246</v>
      </c>
      <c r="C374" t="s">
        <v>9898</v>
      </c>
      <c r="D374" t="s">
        <v>387</v>
      </c>
      <c r="E374" t="s">
        <v>9962</v>
      </c>
      <c r="G374" s="13" t="s">
        <v>9963</v>
      </c>
      <c r="H374" t="s">
        <v>9964</v>
      </c>
      <c r="J374" t="s">
        <v>9965</v>
      </c>
      <c r="K374" t="s">
        <v>9966</v>
      </c>
      <c r="L374" t="s">
        <v>9966</v>
      </c>
      <c r="M374" t="s">
        <v>7250</v>
      </c>
      <c r="N374">
        <v>1997</v>
      </c>
      <c r="R374">
        <v>8</v>
      </c>
      <c r="S374" t="s">
        <v>8257</v>
      </c>
      <c r="T374">
        <v>8</v>
      </c>
      <c r="U374">
        <v>3723.07</v>
      </c>
      <c r="V374">
        <v>197</v>
      </c>
      <c r="W374">
        <v>142.41</v>
      </c>
      <c r="X374">
        <v>197</v>
      </c>
      <c r="Y374">
        <v>1000</v>
      </c>
      <c r="Z374" t="s">
        <v>8842</v>
      </c>
      <c r="AA374" t="s">
        <v>9967</v>
      </c>
      <c r="AC374" t="s">
        <v>8844</v>
      </c>
      <c r="AF374" t="s">
        <v>9968</v>
      </c>
      <c r="AH374" t="s">
        <v>9969</v>
      </c>
      <c r="AI374" t="s">
        <v>8747</v>
      </c>
      <c r="AL374" t="s">
        <v>9970</v>
      </c>
      <c r="AO374" t="s">
        <v>9971</v>
      </c>
    </row>
    <row r="375" spans="1:41" hidden="1" x14ac:dyDescent="0.35">
      <c r="A375" t="s">
        <v>9972</v>
      </c>
      <c r="B375" t="s">
        <v>7246</v>
      </c>
      <c r="C375" t="s">
        <v>5562</v>
      </c>
      <c r="D375" t="s">
        <v>423</v>
      </c>
      <c r="E375" t="s">
        <v>9973</v>
      </c>
      <c r="G375" s="13" t="s">
        <v>9974</v>
      </c>
      <c r="H375" t="s">
        <v>9975</v>
      </c>
      <c r="K375" t="s">
        <v>9976</v>
      </c>
      <c r="L375" t="s">
        <v>9976</v>
      </c>
      <c r="M375" t="s">
        <v>7250</v>
      </c>
      <c r="N375">
        <v>1985</v>
      </c>
      <c r="R375">
        <v>2.5</v>
      </c>
      <c r="S375" t="s">
        <v>8257</v>
      </c>
      <c r="T375">
        <v>2.5</v>
      </c>
      <c r="U375">
        <v>1163.46</v>
      </c>
      <c r="V375">
        <v>155</v>
      </c>
      <c r="W375">
        <v>513.92999999999995</v>
      </c>
      <c r="X375">
        <v>155</v>
      </c>
      <c r="Y375">
        <v>500</v>
      </c>
      <c r="Z375" t="s">
        <v>8842</v>
      </c>
      <c r="AB375" t="s">
        <v>9977</v>
      </c>
      <c r="AC375" t="s">
        <v>8777</v>
      </c>
      <c r="AH375" t="s">
        <v>9978</v>
      </c>
      <c r="AI375" t="s">
        <v>8844</v>
      </c>
      <c r="AO375" t="s">
        <v>9979</v>
      </c>
    </row>
    <row r="376" spans="1:41" hidden="1" x14ac:dyDescent="0.35">
      <c r="A376" t="s">
        <v>9980</v>
      </c>
      <c r="B376" t="s">
        <v>7246</v>
      </c>
      <c r="C376" t="s">
        <v>5445</v>
      </c>
      <c r="D376" t="s">
        <v>423</v>
      </c>
      <c r="E376" t="s">
        <v>9981</v>
      </c>
      <c r="G376" s="13" t="s">
        <v>9982</v>
      </c>
      <c r="H376" t="s">
        <v>9983</v>
      </c>
      <c r="J376" t="s">
        <v>9984</v>
      </c>
      <c r="K376" t="s">
        <v>9985</v>
      </c>
      <c r="L376" t="s">
        <v>9985</v>
      </c>
      <c r="M376" t="s">
        <v>7250</v>
      </c>
      <c r="N376">
        <v>1982</v>
      </c>
      <c r="R376">
        <v>10</v>
      </c>
      <c r="S376" t="s">
        <v>8257</v>
      </c>
      <c r="T376">
        <v>10</v>
      </c>
      <c r="U376">
        <v>4653.83</v>
      </c>
      <c r="V376">
        <v>680</v>
      </c>
      <c r="W376">
        <v>594.05999999999995</v>
      </c>
      <c r="X376">
        <v>680</v>
      </c>
      <c r="Y376">
        <v>1220</v>
      </c>
      <c r="Z376" t="s">
        <v>8842</v>
      </c>
      <c r="AB376" t="s">
        <v>9986</v>
      </c>
      <c r="AC376" t="s">
        <v>8844</v>
      </c>
      <c r="AF376" t="s">
        <v>9987</v>
      </c>
      <c r="AH376" t="s">
        <v>9988</v>
      </c>
      <c r="AI376" t="s">
        <v>8844</v>
      </c>
      <c r="AO376" t="s">
        <v>9989</v>
      </c>
    </row>
    <row r="377" spans="1:41" hidden="1" x14ac:dyDescent="0.35">
      <c r="A377" t="s">
        <v>9990</v>
      </c>
      <c r="B377" t="s">
        <v>7246</v>
      </c>
      <c r="C377" t="s">
        <v>423</v>
      </c>
      <c r="D377" t="s">
        <v>5643</v>
      </c>
      <c r="E377" t="s">
        <v>9991</v>
      </c>
      <c r="G377" s="13" t="s">
        <v>9992</v>
      </c>
      <c r="H377" t="s">
        <v>9993</v>
      </c>
      <c r="K377" t="s">
        <v>9994</v>
      </c>
      <c r="L377" t="s">
        <v>9848</v>
      </c>
      <c r="M377" t="s">
        <v>7731</v>
      </c>
      <c r="N377">
        <v>2022</v>
      </c>
      <c r="R377">
        <v>55</v>
      </c>
      <c r="S377" t="s">
        <v>8257</v>
      </c>
      <c r="T377">
        <v>55</v>
      </c>
      <c r="U377">
        <v>25596.09</v>
      </c>
      <c r="V377">
        <v>1230</v>
      </c>
      <c r="W377">
        <v>1239.57</v>
      </c>
      <c r="X377">
        <v>1230</v>
      </c>
      <c r="AB377" t="s">
        <v>9995</v>
      </c>
      <c r="AC377" t="s">
        <v>8844</v>
      </c>
      <c r="AE377" t="s">
        <v>9996</v>
      </c>
      <c r="AF377" t="s">
        <v>9997</v>
      </c>
      <c r="AH377" t="s">
        <v>9373</v>
      </c>
      <c r="AI377" t="s">
        <v>8777</v>
      </c>
      <c r="AL377" t="s">
        <v>9998</v>
      </c>
      <c r="AO377" t="s">
        <v>9999</v>
      </c>
    </row>
    <row r="378" spans="1:41" hidden="1" x14ac:dyDescent="0.35">
      <c r="A378" t="s">
        <v>10000</v>
      </c>
      <c r="B378" t="s">
        <v>7246</v>
      </c>
      <c r="C378" t="s">
        <v>423</v>
      </c>
      <c r="D378" t="s">
        <v>5643</v>
      </c>
      <c r="E378" t="s">
        <v>10001</v>
      </c>
      <c r="G378" s="13" t="s">
        <v>10002</v>
      </c>
      <c r="H378" t="s">
        <v>10003</v>
      </c>
      <c r="K378" t="s">
        <v>10004</v>
      </c>
      <c r="L378" t="s">
        <v>10005</v>
      </c>
      <c r="M378" t="s">
        <v>7250</v>
      </c>
      <c r="N378">
        <v>2011</v>
      </c>
      <c r="R378">
        <v>55</v>
      </c>
      <c r="S378" t="s">
        <v>8257</v>
      </c>
      <c r="T378">
        <v>55</v>
      </c>
      <c r="U378">
        <v>25596.09</v>
      </c>
      <c r="V378">
        <v>1222</v>
      </c>
      <c r="W378">
        <v>1207.94</v>
      </c>
      <c r="X378">
        <v>1222</v>
      </c>
      <c r="AB378" t="s">
        <v>9936</v>
      </c>
      <c r="AC378" t="s">
        <v>8844</v>
      </c>
      <c r="AE378" t="s">
        <v>9996</v>
      </c>
      <c r="AF378" t="s">
        <v>9997</v>
      </c>
      <c r="AH378" t="s">
        <v>9373</v>
      </c>
      <c r="AI378" t="s">
        <v>8777</v>
      </c>
      <c r="AL378" t="s">
        <v>10006</v>
      </c>
      <c r="AO378" t="s">
        <v>10007</v>
      </c>
    </row>
    <row r="379" spans="1:41" hidden="1" x14ac:dyDescent="0.35">
      <c r="A379" t="s">
        <v>10008</v>
      </c>
      <c r="B379" t="s">
        <v>7246</v>
      </c>
      <c r="C379" t="s">
        <v>423</v>
      </c>
      <c r="D379" t="s">
        <v>423</v>
      </c>
      <c r="E379" t="s">
        <v>423</v>
      </c>
      <c r="G379" s="13" t="s">
        <v>10009</v>
      </c>
      <c r="H379" t="s">
        <v>10010</v>
      </c>
      <c r="I379" t="s">
        <v>7331</v>
      </c>
      <c r="J379" t="s">
        <v>10011</v>
      </c>
      <c r="K379" t="s">
        <v>9976</v>
      </c>
      <c r="L379" t="s">
        <v>9976</v>
      </c>
      <c r="M379" t="s">
        <v>7250</v>
      </c>
      <c r="N379">
        <v>1970</v>
      </c>
      <c r="R379">
        <v>51</v>
      </c>
      <c r="S379" t="s">
        <v>8257</v>
      </c>
      <c r="T379">
        <v>51</v>
      </c>
      <c r="U379">
        <v>23734.560000000001</v>
      </c>
      <c r="V379">
        <v>1388</v>
      </c>
      <c r="W379">
        <v>1445.38</v>
      </c>
      <c r="X379">
        <v>1388</v>
      </c>
      <c r="Y379" t="s">
        <v>10012</v>
      </c>
      <c r="Z379" t="s">
        <v>8842</v>
      </c>
      <c r="AA379" t="s">
        <v>10013</v>
      </c>
      <c r="AB379" t="s">
        <v>10014</v>
      </c>
      <c r="AC379" t="s">
        <v>8844</v>
      </c>
      <c r="AF379" t="s">
        <v>10015</v>
      </c>
      <c r="AI379" t="s">
        <v>8844</v>
      </c>
      <c r="AL379" t="s">
        <v>10016</v>
      </c>
      <c r="AO379" t="s">
        <v>10017</v>
      </c>
    </row>
    <row r="380" spans="1:41" hidden="1" x14ac:dyDescent="0.35">
      <c r="A380" t="s">
        <v>10018</v>
      </c>
      <c r="B380" t="s">
        <v>7246</v>
      </c>
      <c r="C380" t="s">
        <v>423</v>
      </c>
      <c r="D380" t="s">
        <v>423</v>
      </c>
      <c r="E380" t="s">
        <v>423</v>
      </c>
      <c r="G380" s="13" t="s">
        <v>10019</v>
      </c>
      <c r="H380" t="s">
        <v>10020</v>
      </c>
      <c r="J380" t="s">
        <v>10021</v>
      </c>
      <c r="K380" t="s">
        <v>9848</v>
      </c>
      <c r="L380" t="s">
        <v>9848</v>
      </c>
      <c r="M380" t="s">
        <v>7250</v>
      </c>
      <c r="N380">
        <v>2006</v>
      </c>
      <c r="R380">
        <v>28.5</v>
      </c>
      <c r="S380" t="s">
        <v>8257</v>
      </c>
      <c r="T380">
        <v>28.5</v>
      </c>
      <c r="U380">
        <v>13263.43</v>
      </c>
      <c r="V380">
        <v>2200</v>
      </c>
      <c r="W380">
        <v>2458.27</v>
      </c>
      <c r="X380">
        <v>2200</v>
      </c>
      <c r="Y380">
        <v>1420</v>
      </c>
      <c r="Z380" t="s">
        <v>8842</v>
      </c>
      <c r="AA380" t="s">
        <v>10022</v>
      </c>
      <c r="AB380" t="s">
        <v>10023</v>
      </c>
      <c r="AC380" t="s">
        <v>8844</v>
      </c>
      <c r="AE380" t="s">
        <v>9851</v>
      </c>
      <c r="AF380" t="s">
        <v>10015</v>
      </c>
      <c r="AH380" t="s">
        <v>10024</v>
      </c>
      <c r="AI380" t="s">
        <v>8844</v>
      </c>
      <c r="AL380" t="s">
        <v>10025</v>
      </c>
      <c r="AO380" t="s">
        <v>10026</v>
      </c>
    </row>
    <row r="381" spans="1:41" hidden="1" x14ac:dyDescent="0.35">
      <c r="A381" t="s">
        <v>10027</v>
      </c>
      <c r="B381" t="s">
        <v>7246</v>
      </c>
      <c r="C381" t="s">
        <v>423</v>
      </c>
      <c r="D381" t="s">
        <v>423</v>
      </c>
      <c r="E381" t="s">
        <v>423</v>
      </c>
      <c r="G381" s="13" t="s">
        <v>10028</v>
      </c>
      <c r="H381" t="s">
        <v>10029</v>
      </c>
      <c r="K381" t="s">
        <v>9848</v>
      </c>
      <c r="L381" t="s">
        <v>9848</v>
      </c>
      <c r="M381" t="s">
        <v>7250</v>
      </c>
      <c r="N381">
        <v>2012</v>
      </c>
      <c r="R381">
        <v>22</v>
      </c>
      <c r="S381" t="s">
        <v>8257</v>
      </c>
      <c r="T381">
        <v>22</v>
      </c>
      <c r="U381">
        <v>10238.44</v>
      </c>
      <c r="V381">
        <v>650</v>
      </c>
      <c r="W381">
        <v>626.55999999999995</v>
      </c>
      <c r="X381">
        <v>650</v>
      </c>
      <c r="Y381">
        <v>1420</v>
      </c>
      <c r="Z381" t="s">
        <v>8842</v>
      </c>
      <c r="AB381" t="s">
        <v>10030</v>
      </c>
      <c r="AC381" t="s">
        <v>8844</v>
      </c>
      <c r="AE381" t="s">
        <v>10031</v>
      </c>
      <c r="AF381" t="s">
        <v>9934</v>
      </c>
      <c r="AH381" t="s">
        <v>9935</v>
      </c>
      <c r="AI381" t="s">
        <v>8844</v>
      </c>
      <c r="AL381" t="s">
        <v>10032</v>
      </c>
      <c r="AO381" t="s">
        <v>10033</v>
      </c>
    </row>
    <row r="382" spans="1:41" hidden="1" x14ac:dyDescent="0.35">
      <c r="A382" t="s">
        <v>10034</v>
      </c>
      <c r="B382" t="s">
        <v>7246</v>
      </c>
      <c r="C382" t="s">
        <v>423</v>
      </c>
      <c r="D382" t="s">
        <v>423</v>
      </c>
      <c r="E382" t="s">
        <v>423</v>
      </c>
      <c r="G382" s="13" t="s">
        <v>10035</v>
      </c>
      <c r="H382" t="s">
        <v>10036</v>
      </c>
      <c r="K382" t="s">
        <v>9848</v>
      </c>
      <c r="L382" t="s">
        <v>9848</v>
      </c>
      <c r="M382" t="s">
        <v>7250</v>
      </c>
      <c r="N382">
        <v>2011</v>
      </c>
      <c r="R382">
        <v>30</v>
      </c>
      <c r="S382" t="s">
        <v>8257</v>
      </c>
      <c r="T382">
        <v>30</v>
      </c>
      <c r="U382">
        <v>13961.5</v>
      </c>
      <c r="V382">
        <v>1822</v>
      </c>
      <c r="W382">
        <v>1595.97</v>
      </c>
      <c r="X382">
        <v>1822</v>
      </c>
      <c r="Y382" t="s">
        <v>10037</v>
      </c>
      <c r="Z382" t="s">
        <v>8842</v>
      </c>
      <c r="AA382" t="s">
        <v>10038</v>
      </c>
      <c r="AB382" t="s">
        <v>10038</v>
      </c>
      <c r="AC382" t="s">
        <v>8844</v>
      </c>
      <c r="AE382" t="s">
        <v>10038</v>
      </c>
      <c r="AF382" t="s">
        <v>10039</v>
      </c>
      <c r="AH382" t="s">
        <v>10040</v>
      </c>
      <c r="AI382" t="s">
        <v>8844</v>
      </c>
      <c r="AL382" t="s">
        <v>10041</v>
      </c>
      <c r="AO382" t="s">
        <v>10042</v>
      </c>
    </row>
    <row r="383" spans="1:41" hidden="1" x14ac:dyDescent="0.35">
      <c r="A383" t="s">
        <v>10043</v>
      </c>
      <c r="B383" t="s">
        <v>7246</v>
      </c>
      <c r="C383" t="s">
        <v>5445</v>
      </c>
      <c r="D383" t="s">
        <v>5925</v>
      </c>
      <c r="E383" t="s">
        <v>10044</v>
      </c>
      <c r="G383" s="13" t="s">
        <v>10045</v>
      </c>
      <c r="H383" t="s">
        <v>10046</v>
      </c>
      <c r="J383" t="s">
        <v>10047</v>
      </c>
      <c r="K383" t="s">
        <v>10048</v>
      </c>
      <c r="L383" t="s">
        <v>10049</v>
      </c>
      <c r="M383" t="s">
        <v>7250</v>
      </c>
      <c r="N383">
        <v>2006</v>
      </c>
      <c r="R383">
        <v>24.04</v>
      </c>
      <c r="S383" t="s">
        <v>8257</v>
      </c>
      <c r="T383">
        <v>24.04</v>
      </c>
      <c r="U383">
        <v>11187.82</v>
      </c>
      <c r="V383">
        <v>692</v>
      </c>
      <c r="W383">
        <v>632.04</v>
      </c>
      <c r="X383">
        <v>692</v>
      </c>
      <c r="Y383">
        <v>42</v>
      </c>
      <c r="Z383" t="s">
        <v>7253</v>
      </c>
      <c r="AA383" t="s">
        <v>10050</v>
      </c>
      <c r="AB383" t="s">
        <v>9861</v>
      </c>
      <c r="AC383" t="s">
        <v>8844</v>
      </c>
      <c r="AF383" t="s">
        <v>10051</v>
      </c>
      <c r="AH383" t="s">
        <v>10051</v>
      </c>
      <c r="AI383" t="s">
        <v>8777</v>
      </c>
      <c r="AO383" t="s">
        <v>10052</v>
      </c>
    </row>
    <row r="384" spans="1:41" hidden="1" x14ac:dyDescent="0.35">
      <c r="A384" t="s">
        <v>10053</v>
      </c>
      <c r="B384" t="s">
        <v>7246</v>
      </c>
      <c r="C384" t="s">
        <v>423</v>
      </c>
      <c r="D384" t="s">
        <v>5714</v>
      </c>
      <c r="E384" t="s">
        <v>10054</v>
      </c>
      <c r="G384" s="13" t="s">
        <v>10055</v>
      </c>
      <c r="H384" t="s">
        <v>10056</v>
      </c>
      <c r="K384" t="s">
        <v>10057</v>
      </c>
      <c r="L384" t="s">
        <v>10058</v>
      </c>
      <c r="M384" t="s">
        <v>7269</v>
      </c>
      <c r="R384">
        <v>63</v>
      </c>
      <c r="S384" t="s">
        <v>8257</v>
      </c>
      <c r="T384">
        <v>63</v>
      </c>
      <c r="U384">
        <v>29319.16</v>
      </c>
      <c r="V384">
        <v>2380</v>
      </c>
      <c r="W384">
        <v>3624.17</v>
      </c>
      <c r="X384">
        <v>2380</v>
      </c>
      <c r="AB384" t="s">
        <v>10059</v>
      </c>
      <c r="AC384" t="s">
        <v>8844</v>
      </c>
      <c r="AE384" t="s">
        <v>9910</v>
      </c>
      <c r="AF384" t="s">
        <v>10060</v>
      </c>
      <c r="AH384" t="s">
        <v>10061</v>
      </c>
      <c r="AI384" t="s">
        <v>8777</v>
      </c>
      <c r="AO384" t="s">
        <v>10062</v>
      </c>
    </row>
    <row r="385" spans="1:41" hidden="1" x14ac:dyDescent="0.35">
      <c r="A385" t="s">
        <v>10063</v>
      </c>
      <c r="B385" t="s">
        <v>7246</v>
      </c>
      <c r="C385" t="s">
        <v>423</v>
      </c>
      <c r="D385" t="s">
        <v>5978</v>
      </c>
      <c r="E385" t="s">
        <v>10064</v>
      </c>
      <c r="G385" s="13" t="s">
        <v>10065</v>
      </c>
      <c r="H385" t="s">
        <v>10066</v>
      </c>
      <c r="K385" t="s">
        <v>10067</v>
      </c>
      <c r="L385" t="s">
        <v>10068</v>
      </c>
      <c r="M385" t="s">
        <v>8874</v>
      </c>
      <c r="N385">
        <v>1980</v>
      </c>
      <c r="R385">
        <v>26</v>
      </c>
      <c r="S385" t="s">
        <v>8257</v>
      </c>
      <c r="T385">
        <v>26</v>
      </c>
      <c r="U385">
        <v>12099.97</v>
      </c>
      <c r="V385">
        <v>2750</v>
      </c>
      <c r="W385">
        <v>2423.41</v>
      </c>
      <c r="X385">
        <v>2750</v>
      </c>
      <c r="Y385">
        <v>1420</v>
      </c>
      <c r="Z385" t="s">
        <v>8842</v>
      </c>
      <c r="AA385" t="s">
        <v>10069</v>
      </c>
      <c r="AB385" t="s">
        <v>3642</v>
      </c>
      <c r="AC385" t="s">
        <v>8844</v>
      </c>
      <c r="AF385" t="s">
        <v>10070</v>
      </c>
      <c r="AI385" t="s">
        <v>8777</v>
      </c>
      <c r="AL385" t="s">
        <v>10071</v>
      </c>
      <c r="AO385" t="s">
        <v>10072</v>
      </c>
    </row>
    <row r="386" spans="1:41" hidden="1" x14ac:dyDescent="0.35">
      <c r="A386" t="s">
        <v>10073</v>
      </c>
      <c r="B386" t="s">
        <v>7246</v>
      </c>
      <c r="C386" t="s">
        <v>5925</v>
      </c>
      <c r="D386" t="s">
        <v>356</v>
      </c>
      <c r="E386" t="s">
        <v>10074</v>
      </c>
      <c r="G386" s="13" t="s">
        <v>10075</v>
      </c>
      <c r="H386" t="s">
        <v>10076</v>
      </c>
      <c r="K386" t="s">
        <v>10077</v>
      </c>
      <c r="L386" t="s">
        <v>10078</v>
      </c>
      <c r="M386" t="s">
        <v>7269</v>
      </c>
      <c r="N386">
        <v>2019</v>
      </c>
      <c r="R386">
        <v>27</v>
      </c>
      <c r="S386" t="s">
        <v>8257</v>
      </c>
      <c r="T386">
        <v>27</v>
      </c>
      <c r="U386">
        <v>12565.35</v>
      </c>
      <c r="V386">
        <v>1400</v>
      </c>
      <c r="W386">
        <v>1623.48</v>
      </c>
      <c r="X386">
        <v>1400</v>
      </c>
      <c r="AB386" t="s">
        <v>10079</v>
      </c>
      <c r="AC386" t="s">
        <v>8777</v>
      </c>
      <c r="AE386" t="s">
        <v>10080</v>
      </c>
      <c r="AF386" t="s">
        <v>9623</v>
      </c>
      <c r="AH386" t="s">
        <v>3157</v>
      </c>
      <c r="AI386" t="s">
        <v>8777</v>
      </c>
      <c r="AO386" t="s">
        <v>10081</v>
      </c>
    </row>
    <row r="387" spans="1:41" hidden="1" x14ac:dyDescent="0.35">
      <c r="A387" t="s">
        <v>10082</v>
      </c>
      <c r="B387" t="s">
        <v>7246</v>
      </c>
      <c r="C387" t="s">
        <v>683</v>
      </c>
      <c r="D387" t="s">
        <v>5925</v>
      </c>
      <c r="E387" t="s">
        <v>10083</v>
      </c>
      <c r="G387" s="13" t="s">
        <v>10084</v>
      </c>
      <c r="H387" t="s">
        <v>10085</v>
      </c>
      <c r="J387" t="s">
        <v>10086</v>
      </c>
      <c r="K387" t="s">
        <v>10087</v>
      </c>
      <c r="L387" t="s">
        <v>10087</v>
      </c>
      <c r="M387" t="s">
        <v>7250</v>
      </c>
      <c r="N387">
        <v>2018</v>
      </c>
      <c r="O387">
        <v>2019</v>
      </c>
      <c r="R387">
        <v>16</v>
      </c>
      <c r="S387" t="s">
        <v>8257</v>
      </c>
      <c r="T387">
        <v>16</v>
      </c>
      <c r="U387">
        <v>7446.14</v>
      </c>
      <c r="V387">
        <v>1841</v>
      </c>
      <c r="W387">
        <v>1661.48</v>
      </c>
      <c r="X387">
        <v>1841</v>
      </c>
      <c r="AA387" t="s">
        <v>10088</v>
      </c>
      <c r="AB387" t="s">
        <v>10089</v>
      </c>
      <c r="AC387" t="s">
        <v>8844</v>
      </c>
      <c r="AF387" t="s">
        <v>10090</v>
      </c>
      <c r="AH387" t="s">
        <v>10091</v>
      </c>
      <c r="AI387" t="s">
        <v>8777</v>
      </c>
      <c r="AO387" t="s">
        <v>10092</v>
      </c>
    </row>
    <row r="388" spans="1:41" hidden="1" x14ac:dyDescent="0.35">
      <c r="A388" t="s">
        <v>10093</v>
      </c>
      <c r="B388" t="s">
        <v>7246</v>
      </c>
      <c r="C388" t="s">
        <v>9898</v>
      </c>
      <c r="D388" t="s">
        <v>5445</v>
      </c>
      <c r="E388" t="s">
        <v>10094</v>
      </c>
      <c r="G388" s="13" t="s">
        <v>10095</v>
      </c>
      <c r="H388" t="s">
        <v>10096</v>
      </c>
      <c r="J388" t="s">
        <v>10097</v>
      </c>
      <c r="K388" t="s">
        <v>10098</v>
      </c>
      <c r="L388" t="s">
        <v>10099</v>
      </c>
      <c r="M388" t="s">
        <v>7292</v>
      </c>
      <c r="N388">
        <v>2023</v>
      </c>
      <c r="R388">
        <v>16</v>
      </c>
      <c r="S388" t="s">
        <v>8257</v>
      </c>
      <c r="T388">
        <v>16</v>
      </c>
      <c r="U388">
        <v>7446.14</v>
      </c>
      <c r="V388">
        <v>300</v>
      </c>
      <c r="W388">
        <v>435.98</v>
      </c>
      <c r="X388">
        <v>300</v>
      </c>
      <c r="Y388">
        <v>915</v>
      </c>
      <c r="Z388" t="s">
        <v>8842</v>
      </c>
      <c r="AA388" t="s">
        <v>10100</v>
      </c>
      <c r="AB388" t="s">
        <v>10101</v>
      </c>
      <c r="AC388" t="s">
        <v>8844</v>
      </c>
      <c r="AE388" t="s">
        <v>9928</v>
      </c>
      <c r="AF388" t="s">
        <v>9861</v>
      </c>
      <c r="AI388" t="s">
        <v>8844</v>
      </c>
      <c r="AJ388" t="s">
        <v>9032</v>
      </c>
      <c r="AL388" t="s">
        <v>10102</v>
      </c>
      <c r="AO388" t="s">
        <v>10103</v>
      </c>
    </row>
    <row r="389" spans="1:41" hidden="1" x14ac:dyDescent="0.35">
      <c r="A389" t="s">
        <v>10104</v>
      </c>
      <c r="B389" t="s">
        <v>7246</v>
      </c>
      <c r="C389" t="s">
        <v>423</v>
      </c>
      <c r="D389" t="s">
        <v>5925</v>
      </c>
      <c r="E389" t="s">
        <v>9865</v>
      </c>
      <c r="G389" s="13" t="s">
        <v>10105</v>
      </c>
      <c r="H389" t="s">
        <v>10106</v>
      </c>
      <c r="J389" t="s">
        <v>10107</v>
      </c>
      <c r="K389" t="s">
        <v>9848</v>
      </c>
      <c r="L389" t="s">
        <v>9848</v>
      </c>
      <c r="M389" t="s">
        <v>7250</v>
      </c>
      <c r="N389">
        <v>2020</v>
      </c>
      <c r="R389">
        <v>31.5</v>
      </c>
      <c r="S389" t="s">
        <v>8257</v>
      </c>
      <c r="T389">
        <v>31.5</v>
      </c>
      <c r="U389">
        <v>14659.58</v>
      </c>
      <c r="V389">
        <v>930</v>
      </c>
      <c r="W389">
        <v>1029.5</v>
      </c>
      <c r="X389">
        <v>930</v>
      </c>
      <c r="Y389">
        <v>813</v>
      </c>
      <c r="Z389" t="s">
        <v>8842</v>
      </c>
      <c r="AB389" t="s">
        <v>10059</v>
      </c>
      <c r="AC389" t="s">
        <v>8844</v>
      </c>
      <c r="AE389" t="s">
        <v>9910</v>
      </c>
      <c r="AF389" t="s">
        <v>10079</v>
      </c>
      <c r="AH389" t="s">
        <v>10080</v>
      </c>
      <c r="AI389" t="s">
        <v>8777</v>
      </c>
      <c r="AO389" t="s">
        <v>10108</v>
      </c>
    </row>
    <row r="390" spans="1:41" hidden="1" x14ac:dyDescent="0.35">
      <c r="A390" t="s">
        <v>10109</v>
      </c>
      <c r="B390" t="s">
        <v>7246</v>
      </c>
      <c r="C390" t="s">
        <v>9898</v>
      </c>
      <c r="D390" t="s">
        <v>383</v>
      </c>
      <c r="E390" t="s">
        <v>10110</v>
      </c>
      <c r="G390" s="13" t="s">
        <v>10111</v>
      </c>
      <c r="H390" t="s">
        <v>10112</v>
      </c>
      <c r="J390" t="s">
        <v>10113</v>
      </c>
      <c r="K390" t="s">
        <v>9924</v>
      </c>
      <c r="L390" t="s">
        <v>9924</v>
      </c>
      <c r="M390" t="s">
        <v>7415</v>
      </c>
      <c r="R390">
        <v>33</v>
      </c>
      <c r="S390" t="s">
        <v>8257</v>
      </c>
      <c r="T390">
        <v>33</v>
      </c>
      <c r="U390">
        <v>15357.65</v>
      </c>
      <c r="V390">
        <v>1814</v>
      </c>
      <c r="W390">
        <v>2067.2600000000002</v>
      </c>
      <c r="X390">
        <v>1814</v>
      </c>
      <c r="Y390">
        <v>56</v>
      </c>
      <c r="Z390" t="s">
        <v>7253</v>
      </c>
      <c r="AA390" t="s">
        <v>10114</v>
      </c>
      <c r="AC390" t="s">
        <v>8844</v>
      </c>
      <c r="AE390" t="s">
        <v>10115</v>
      </c>
      <c r="AF390" t="s">
        <v>10116</v>
      </c>
      <c r="AH390" t="s">
        <v>3539</v>
      </c>
      <c r="AI390" t="s">
        <v>8859</v>
      </c>
      <c r="AO390" t="s">
        <v>10117</v>
      </c>
    </row>
    <row r="391" spans="1:41" hidden="1" x14ac:dyDescent="0.35">
      <c r="A391" t="s">
        <v>10118</v>
      </c>
      <c r="B391" t="s">
        <v>7246</v>
      </c>
      <c r="C391" t="s">
        <v>423</v>
      </c>
      <c r="D391" t="s">
        <v>423</v>
      </c>
      <c r="E391" t="s">
        <v>423</v>
      </c>
      <c r="G391" s="13" t="s">
        <v>10119</v>
      </c>
      <c r="H391" t="s">
        <v>10120</v>
      </c>
      <c r="J391" t="s">
        <v>10121</v>
      </c>
      <c r="K391" t="s">
        <v>9848</v>
      </c>
      <c r="L391" t="s">
        <v>9848</v>
      </c>
      <c r="M391" t="s">
        <v>7250</v>
      </c>
      <c r="N391">
        <v>2012</v>
      </c>
      <c r="R391">
        <v>45</v>
      </c>
      <c r="S391" t="s">
        <v>8257</v>
      </c>
      <c r="T391">
        <v>45</v>
      </c>
      <c r="U391">
        <v>20942.25</v>
      </c>
      <c r="V391">
        <v>970</v>
      </c>
      <c r="W391">
        <v>1331.42</v>
      </c>
      <c r="X391">
        <v>970</v>
      </c>
      <c r="Y391">
        <v>1420</v>
      </c>
      <c r="Z391" t="s">
        <v>8842</v>
      </c>
      <c r="AA391" t="s">
        <v>10122</v>
      </c>
      <c r="AB391" t="s">
        <v>9878</v>
      </c>
      <c r="AC391" t="s">
        <v>8844</v>
      </c>
      <c r="AE391" t="s">
        <v>3621</v>
      </c>
      <c r="AF391" t="s">
        <v>10015</v>
      </c>
      <c r="AH391" t="s">
        <v>10123</v>
      </c>
      <c r="AI391" t="s">
        <v>8844</v>
      </c>
      <c r="AL391" t="s">
        <v>10124</v>
      </c>
      <c r="AO391" t="s">
        <v>10125</v>
      </c>
    </row>
    <row r="392" spans="1:41" hidden="1" x14ac:dyDescent="0.35">
      <c r="A392" t="s">
        <v>10126</v>
      </c>
      <c r="B392" t="s">
        <v>7246</v>
      </c>
      <c r="C392" t="s">
        <v>423</v>
      </c>
      <c r="D392" t="s">
        <v>5978</v>
      </c>
      <c r="E392" t="s">
        <v>10127</v>
      </c>
      <c r="G392" s="13" t="s">
        <v>10128</v>
      </c>
      <c r="H392" t="s">
        <v>10129</v>
      </c>
      <c r="J392" t="s">
        <v>10130</v>
      </c>
      <c r="K392" t="s">
        <v>10131</v>
      </c>
      <c r="L392" t="s">
        <v>10132</v>
      </c>
      <c r="M392" t="s">
        <v>7250</v>
      </c>
      <c r="N392">
        <v>1983</v>
      </c>
      <c r="R392">
        <v>32</v>
      </c>
      <c r="S392" t="s">
        <v>8257</v>
      </c>
      <c r="T392">
        <v>32</v>
      </c>
      <c r="U392">
        <v>14892.27</v>
      </c>
      <c r="V392">
        <v>4451</v>
      </c>
      <c r="W392">
        <v>4295.2</v>
      </c>
      <c r="X392">
        <v>4451</v>
      </c>
      <c r="Y392">
        <v>1420</v>
      </c>
      <c r="Z392" t="s">
        <v>8842</v>
      </c>
      <c r="AA392" t="s">
        <v>10023</v>
      </c>
      <c r="AB392" t="s">
        <v>10133</v>
      </c>
      <c r="AC392" t="s">
        <v>8844</v>
      </c>
      <c r="AE392" t="s">
        <v>9851</v>
      </c>
      <c r="AF392" t="s">
        <v>10134</v>
      </c>
      <c r="AH392" t="s">
        <v>10135</v>
      </c>
      <c r="AI392" t="s">
        <v>8777</v>
      </c>
      <c r="AL392" t="s">
        <v>10136</v>
      </c>
      <c r="AO392" t="s">
        <v>10137</v>
      </c>
    </row>
    <row r="393" spans="1:41" hidden="1" x14ac:dyDescent="0.35">
      <c r="A393" t="s">
        <v>10138</v>
      </c>
      <c r="B393" t="s">
        <v>7246</v>
      </c>
      <c r="C393" t="s">
        <v>423</v>
      </c>
      <c r="D393" t="s">
        <v>5802</v>
      </c>
      <c r="E393" t="s">
        <v>10139</v>
      </c>
      <c r="G393" s="13" t="s">
        <v>10140</v>
      </c>
      <c r="H393" t="s">
        <v>10141</v>
      </c>
      <c r="K393" t="s">
        <v>10142</v>
      </c>
      <c r="L393" t="s">
        <v>10143</v>
      </c>
      <c r="M393" t="s">
        <v>7250</v>
      </c>
      <c r="N393">
        <v>2006</v>
      </c>
      <c r="R393">
        <v>33</v>
      </c>
      <c r="S393" t="s">
        <v>8257</v>
      </c>
      <c r="T393">
        <v>33</v>
      </c>
      <c r="U393">
        <v>15357.65</v>
      </c>
      <c r="V393">
        <v>1660</v>
      </c>
      <c r="W393">
        <v>1545.18</v>
      </c>
      <c r="X393">
        <v>1660</v>
      </c>
      <c r="Y393">
        <v>1400</v>
      </c>
      <c r="Z393" t="s">
        <v>8842</v>
      </c>
      <c r="AA393" t="s">
        <v>10144</v>
      </c>
      <c r="AB393" t="s">
        <v>10015</v>
      </c>
      <c r="AC393" t="s">
        <v>8844</v>
      </c>
      <c r="AE393" t="s">
        <v>10123</v>
      </c>
      <c r="AF393" t="s">
        <v>10145</v>
      </c>
      <c r="AI393" t="s">
        <v>8777</v>
      </c>
      <c r="AL393" t="s">
        <v>10146</v>
      </c>
      <c r="AO393" t="s">
        <v>10147</v>
      </c>
    </row>
    <row r="394" spans="1:41" hidden="1" x14ac:dyDescent="0.35">
      <c r="A394" t="s">
        <v>10148</v>
      </c>
      <c r="B394" t="s">
        <v>7246</v>
      </c>
      <c r="C394" t="s">
        <v>5830</v>
      </c>
      <c r="D394" t="s">
        <v>5830</v>
      </c>
      <c r="E394" t="s">
        <v>5830</v>
      </c>
      <c r="G394" s="13" t="s">
        <v>10149</v>
      </c>
      <c r="H394" t="s">
        <v>10150</v>
      </c>
      <c r="K394" t="s">
        <v>10151</v>
      </c>
      <c r="L394" t="s">
        <v>10151</v>
      </c>
      <c r="M394" t="s">
        <v>7250</v>
      </c>
      <c r="N394">
        <v>2004</v>
      </c>
      <c r="R394">
        <v>15.9</v>
      </c>
      <c r="S394" t="s">
        <v>7251</v>
      </c>
      <c r="T394">
        <v>0.16</v>
      </c>
      <c r="U394">
        <v>76.53</v>
      </c>
      <c r="V394" t="s">
        <v>6546</v>
      </c>
      <c r="W394">
        <v>31.45</v>
      </c>
      <c r="X394">
        <v>31.45</v>
      </c>
      <c r="AA394" t="s">
        <v>10152</v>
      </c>
      <c r="AC394" t="s">
        <v>8777</v>
      </c>
      <c r="AD394" t="s">
        <v>10153</v>
      </c>
      <c r="AI394" t="s">
        <v>8777</v>
      </c>
      <c r="AO394" t="s">
        <v>10154</v>
      </c>
    </row>
    <row r="395" spans="1:41" hidden="1" x14ac:dyDescent="0.35">
      <c r="A395" t="s">
        <v>10155</v>
      </c>
      <c r="B395" t="s">
        <v>7246</v>
      </c>
      <c r="C395" t="s">
        <v>423</v>
      </c>
      <c r="D395" t="s">
        <v>5978</v>
      </c>
      <c r="E395" t="s">
        <v>10127</v>
      </c>
      <c r="G395" s="13" t="s">
        <v>10156</v>
      </c>
      <c r="H395" t="s">
        <v>10157</v>
      </c>
      <c r="J395" t="s">
        <v>10158</v>
      </c>
      <c r="K395" t="s">
        <v>10131</v>
      </c>
      <c r="L395" t="s">
        <v>10132</v>
      </c>
      <c r="M395" t="s">
        <v>7250</v>
      </c>
      <c r="N395">
        <v>1988</v>
      </c>
      <c r="R395">
        <v>26</v>
      </c>
      <c r="S395" t="s">
        <v>8257</v>
      </c>
      <c r="T395">
        <v>26</v>
      </c>
      <c r="U395">
        <v>12099.97</v>
      </c>
      <c r="V395">
        <v>4590.7</v>
      </c>
      <c r="W395">
        <v>4468.97</v>
      </c>
      <c r="X395">
        <v>4590.7</v>
      </c>
      <c r="Y395">
        <v>1400</v>
      </c>
      <c r="Z395" t="s">
        <v>8842</v>
      </c>
      <c r="AA395" t="s">
        <v>10159</v>
      </c>
      <c r="AB395" t="s">
        <v>10159</v>
      </c>
      <c r="AC395" t="s">
        <v>8844</v>
      </c>
      <c r="AD395" t="s">
        <v>9851</v>
      </c>
      <c r="AE395" t="s">
        <v>10160</v>
      </c>
      <c r="AF395" t="s">
        <v>10134</v>
      </c>
      <c r="AI395" t="s">
        <v>8777</v>
      </c>
      <c r="AL395" t="s">
        <v>10161</v>
      </c>
      <c r="AO395" t="s">
        <v>10162</v>
      </c>
    </row>
    <row r="396" spans="1:41" hidden="1" x14ac:dyDescent="0.35">
      <c r="A396" t="s">
        <v>10163</v>
      </c>
      <c r="B396" t="s">
        <v>7246</v>
      </c>
      <c r="C396" t="s">
        <v>423</v>
      </c>
      <c r="D396" t="s">
        <v>5978</v>
      </c>
      <c r="E396" t="s">
        <v>10127</v>
      </c>
      <c r="G396" s="13" t="s">
        <v>10164</v>
      </c>
      <c r="H396" t="s">
        <v>10165</v>
      </c>
      <c r="K396" t="s">
        <v>10131</v>
      </c>
      <c r="L396" t="s">
        <v>10132</v>
      </c>
      <c r="M396" t="s">
        <v>8874</v>
      </c>
      <c r="N396">
        <v>1984</v>
      </c>
      <c r="R396">
        <v>15</v>
      </c>
      <c r="S396" t="s">
        <v>8257</v>
      </c>
      <c r="T396">
        <v>15</v>
      </c>
      <c r="U396">
        <v>6980.75</v>
      </c>
      <c r="V396">
        <v>298</v>
      </c>
      <c r="W396">
        <v>429.07</v>
      </c>
      <c r="X396">
        <v>298</v>
      </c>
      <c r="Y396">
        <v>1220</v>
      </c>
      <c r="Z396" t="s">
        <v>8842</v>
      </c>
      <c r="AB396" t="s">
        <v>10166</v>
      </c>
      <c r="AC396" t="s">
        <v>8844</v>
      </c>
      <c r="AE396" t="s">
        <v>10167</v>
      </c>
      <c r="AF396" t="s">
        <v>10168</v>
      </c>
      <c r="AG396" t="s">
        <v>10169</v>
      </c>
      <c r="AH396" t="s">
        <v>10170</v>
      </c>
      <c r="AI396" t="s">
        <v>8777</v>
      </c>
      <c r="AO396" t="s">
        <v>10171</v>
      </c>
    </row>
    <row r="397" spans="1:41" hidden="1" x14ac:dyDescent="0.35">
      <c r="A397" t="s">
        <v>10172</v>
      </c>
      <c r="B397" t="s">
        <v>7246</v>
      </c>
      <c r="C397" t="s">
        <v>423</v>
      </c>
      <c r="D397" t="s">
        <v>5978</v>
      </c>
      <c r="E397" t="s">
        <v>10127</v>
      </c>
      <c r="G397" s="13" t="s">
        <v>10173</v>
      </c>
      <c r="H397" t="s">
        <v>10174</v>
      </c>
      <c r="K397" t="s">
        <v>10131</v>
      </c>
      <c r="L397" t="s">
        <v>10132</v>
      </c>
      <c r="M397" t="s">
        <v>8874</v>
      </c>
      <c r="N397">
        <v>1984</v>
      </c>
      <c r="R397">
        <v>14</v>
      </c>
      <c r="S397" t="s">
        <v>8257</v>
      </c>
      <c r="T397">
        <v>14</v>
      </c>
      <c r="U397">
        <v>6515.37</v>
      </c>
      <c r="V397">
        <v>297</v>
      </c>
      <c r="W397">
        <v>608.54999999999995</v>
      </c>
      <c r="X397">
        <v>297</v>
      </c>
      <c r="Y397">
        <v>1220</v>
      </c>
      <c r="Z397" t="s">
        <v>8842</v>
      </c>
      <c r="AB397" t="s">
        <v>10175</v>
      </c>
      <c r="AC397" t="s">
        <v>8844</v>
      </c>
      <c r="AE397" t="s">
        <v>5494</v>
      </c>
      <c r="AF397" t="s">
        <v>10176</v>
      </c>
      <c r="AI397" t="s">
        <v>8777</v>
      </c>
      <c r="AO397" t="s">
        <v>10177</v>
      </c>
    </row>
    <row r="398" spans="1:41" hidden="1" x14ac:dyDescent="0.35">
      <c r="A398" t="s">
        <v>10178</v>
      </c>
      <c r="B398" t="s">
        <v>7246</v>
      </c>
      <c r="C398" t="s">
        <v>5978</v>
      </c>
      <c r="D398" t="s">
        <v>5978</v>
      </c>
      <c r="E398" t="s">
        <v>5978</v>
      </c>
      <c r="G398" s="13" t="s">
        <v>10179</v>
      </c>
      <c r="H398" t="s">
        <v>10180</v>
      </c>
      <c r="K398" t="s">
        <v>10181</v>
      </c>
      <c r="L398" t="s">
        <v>10182</v>
      </c>
      <c r="M398" t="s">
        <v>7250</v>
      </c>
      <c r="N398">
        <v>1970</v>
      </c>
      <c r="T398" t="s">
        <v>6546</v>
      </c>
      <c r="U398" t="s">
        <v>6546</v>
      </c>
      <c r="V398">
        <v>1112</v>
      </c>
      <c r="W398">
        <v>503.01</v>
      </c>
      <c r="X398">
        <v>1112</v>
      </c>
      <c r="Y398" t="s">
        <v>10012</v>
      </c>
      <c r="Z398" t="s">
        <v>8842</v>
      </c>
      <c r="AB398" t="s">
        <v>10176</v>
      </c>
      <c r="AC398" t="s">
        <v>8777</v>
      </c>
      <c r="AF398" t="s">
        <v>10134</v>
      </c>
      <c r="AI398" t="s">
        <v>8777</v>
      </c>
      <c r="AO398" t="s">
        <v>10183</v>
      </c>
    </row>
    <row r="399" spans="1:41" hidden="1" x14ac:dyDescent="0.35">
      <c r="A399" t="s">
        <v>10184</v>
      </c>
      <c r="B399" t="s">
        <v>7246</v>
      </c>
      <c r="C399" t="s">
        <v>5978</v>
      </c>
      <c r="D399" t="s">
        <v>5978</v>
      </c>
      <c r="E399" t="s">
        <v>5978</v>
      </c>
      <c r="G399" s="13" t="s">
        <v>10185</v>
      </c>
      <c r="H399" t="s">
        <v>10186</v>
      </c>
      <c r="K399" t="s">
        <v>10181</v>
      </c>
      <c r="L399" t="s">
        <v>10182</v>
      </c>
      <c r="M399" t="s">
        <v>7250</v>
      </c>
      <c r="R399">
        <v>8</v>
      </c>
      <c r="S399" t="s">
        <v>8257</v>
      </c>
      <c r="T399">
        <v>8</v>
      </c>
      <c r="U399">
        <v>3723.07</v>
      </c>
      <c r="V399">
        <v>80</v>
      </c>
      <c r="W399">
        <v>464.35</v>
      </c>
      <c r="X399">
        <v>80</v>
      </c>
      <c r="Y399">
        <v>800</v>
      </c>
      <c r="Z399" t="s">
        <v>8842</v>
      </c>
      <c r="AB399" t="s">
        <v>10187</v>
      </c>
      <c r="AC399" t="s">
        <v>8777</v>
      </c>
      <c r="AE399" t="s">
        <v>10188</v>
      </c>
      <c r="AF399" t="s">
        <v>10189</v>
      </c>
      <c r="AI399" t="s">
        <v>8777</v>
      </c>
      <c r="AL399" t="s">
        <v>10190</v>
      </c>
      <c r="AO399" t="s">
        <v>10191</v>
      </c>
    </row>
    <row r="400" spans="1:41" hidden="1" x14ac:dyDescent="0.35">
      <c r="A400" t="s">
        <v>10192</v>
      </c>
      <c r="B400" t="s">
        <v>7246</v>
      </c>
      <c r="C400" t="s">
        <v>423</v>
      </c>
      <c r="D400" t="s">
        <v>5978</v>
      </c>
      <c r="E400" t="s">
        <v>10193</v>
      </c>
      <c r="G400" s="13" t="s">
        <v>10194</v>
      </c>
      <c r="H400" t="s">
        <v>10195</v>
      </c>
      <c r="K400" t="s">
        <v>10131</v>
      </c>
      <c r="L400" t="s">
        <v>10132</v>
      </c>
      <c r="M400" t="s">
        <v>7250</v>
      </c>
      <c r="N400">
        <v>1994</v>
      </c>
      <c r="R400">
        <v>30</v>
      </c>
      <c r="S400" t="s">
        <v>8257</v>
      </c>
      <c r="T400">
        <v>30</v>
      </c>
      <c r="U400">
        <v>13961.5</v>
      </c>
      <c r="V400">
        <v>364</v>
      </c>
      <c r="W400">
        <v>1176.07</v>
      </c>
      <c r="X400">
        <v>364</v>
      </c>
      <c r="Y400">
        <v>1420</v>
      </c>
      <c r="Z400" t="s">
        <v>8842</v>
      </c>
      <c r="AB400" t="s">
        <v>10015</v>
      </c>
      <c r="AC400" t="s">
        <v>8844</v>
      </c>
      <c r="AF400" t="s">
        <v>10196</v>
      </c>
      <c r="AI400" t="s">
        <v>8777</v>
      </c>
      <c r="AL400" t="s">
        <v>10197</v>
      </c>
      <c r="AO400" t="s">
        <v>10198</v>
      </c>
    </row>
    <row r="401" spans="1:41" hidden="1" x14ac:dyDescent="0.35">
      <c r="A401" t="s">
        <v>10199</v>
      </c>
      <c r="B401" t="s">
        <v>7246</v>
      </c>
      <c r="C401" t="s">
        <v>5978</v>
      </c>
      <c r="D401" t="s">
        <v>5978</v>
      </c>
      <c r="E401" t="s">
        <v>5978</v>
      </c>
      <c r="G401" s="13" t="s">
        <v>10200</v>
      </c>
      <c r="H401" t="s">
        <v>10201</v>
      </c>
      <c r="K401" t="s">
        <v>10181</v>
      </c>
      <c r="L401" t="s">
        <v>10182</v>
      </c>
      <c r="M401" t="s">
        <v>7250</v>
      </c>
      <c r="R401">
        <v>13</v>
      </c>
      <c r="S401" t="s">
        <v>8257</v>
      </c>
      <c r="T401">
        <v>13</v>
      </c>
      <c r="U401">
        <v>6049.98</v>
      </c>
      <c r="V401" t="s">
        <v>6546</v>
      </c>
      <c r="W401">
        <v>53.13</v>
      </c>
      <c r="X401">
        <v>53.13</v>
      </c>
      <c r="AB401" t="s">
        <v>10070</v>
      </c>
      <c r="AC401" t="s">
        <v>8777</v>
      </c>
      <c r="AF401" t="s">
        <v>10202</v>
      </c>
      <c r="AI401" t="s">
        <v>8777</v>
      </c>
      <c r="AL401" t="s">
        <v>10203</v>
      </c>
      <c r="AO401" t="s">
        <v>10204</v>
      </c>
    </row>
    <row r="402" spans="1:41" hidden="1" x14ac:dyDescent="0.35">
      <c r="A402" t="s">
        <v>10205</v>
      </c>
      <c r="B402" t="s">
        <v>7246</v>
      </c>
      <c r="C402" t="s">
        <v>423</v>
      </c>
      <c r="D402" t="s">
        <v>5978</v>
      </c>
      <c r="E402" t="s">
        <v>10127</v>
      </c>
      <c r="G402" s="13" t="s">
        <v>10206</v>
      </c>
      <c r="H402" t="s">
        <v>10207</v>
      </c>
      <c r="K402" t="s">
        <v>10131</v>
      </c>
      <c r="L402" t="s">
        <v>10132</v>
      </c>
      <c r="M402" t="s">
        <v>7250</v>
      </c>
      <c r="N402">
        <v>1986</v>
      </c>
      <c r="R402">
        <v>31</v>
      </c>
      <c r="S402" t="s">
        <v>8257</v>
      </c>
      <c r="T402">
        <v>31</v>
      </c>
      <c r="U402">
        <v>14426.89</v>
      </c>
      <c r="V402">
        <v>771</v>
      </c>
      <c r="W402">
        <v>661.29</v>
      </c>
      <c r="X402">
        <v>771</v>
      </c>
      <c r="Y402">
        <v>1420</v>
      </c>
      <c r="Z402" t="s">
        <v>8842</v>
      </c>
      <c r="AB402" t="s">
        <v>10166</v>
      </c>
      <c r="AC402" t="s">
        <v>8844</v>
      </c>
      <c r="AI402" t="s">
        <v>8777</v>
      </c>
      <c r="AO402" t="s">
        <v>10208</v>
      </c>
    </row>
    <row r="403" spans="1:41" hidden="1" x14ac:dyDescent="0.35">
      <c r="A403" t="s">
        <v>10209</v>
      </c>
      <c r="B403" t="s">
        <v>7246</v>
      </c>
      <c r="C403" t="s">
        <v>5978</v>
      </c>
      <c r="D403" t="s">
        <v>5978</v>
      </c>
      <c r="E403" t="s">
        <v>5978</v>
      </c>
      <c r="G403" s="13" t="s">
        <v>10210</v>
      </c>
      <c r="H403" t="s">
        <v>10211</v>
      </c>
      <c r="K403" t="s">
        <v>10181</v>
      </c>
      <c r="L403" t="s">
        <v>10182</v>
      </c>
      <c r="M403" t="s">
        <v>7250</v>
      </c>
      <c r="R403">
        <v>24</v>
      </c>
      <c r="S403" t="s">
        <v>8257</v>
      </c>
      <c r="T403">
        <v>24</v>
      </c>
      <c r="U403">
        <v>11169.2</v>
      </c>
      <c r="V403">
        <v>164</v>
      </c>
      <c r="W403">
        <v>760.39</v>
      </c>
      <c r="X403">
        <v>164</v>
      </c>
      <c r="Y403">
        <v>1200</v>
      </c>
      <c r="Z403" t="s">
        <v>8842</v>
      </c>
      <c r="AB403" t="s">
        <v>10212</v>
      </c>
      <c r="AC403" t="s">
        <v>8777</v>
      </c>
      <c r="AF403" t="s">
        <v>10213</v>
      </c>
      <c r="AI403" t="s">
        <v>8777</v>
      </c>
      <c r="AL403" t="s">
        <v>10214</v>
      </c>
      <c r="AO403" t="s">
        <v>10215</v>
      </c>
    </row>
    <row r="404" spans="1:41" hidden="1" x14ac:dyDescent="0.35">
      <c r="A404" t="s">
        <v>10216</v>
      </c>
      <c r="B404" t="s">
        <v>7246</v>
      </c>
      <c r="C404" t="s">
        <v>5978</v>
      </c>
      <c r="D404" t="s">
        <v>5978</v>
      </c>
      <c r="E404" t="s">
        <v>10217</v>
      </c>
      <c r="G404" s="13" t="s">
        <v>10218</v>
      </c>
      <c r="H404" t="s">
        <v>10219</v>
      </c>
      <c r="K404" t="s">
        <v>10181</v>
      </c>
      <c r="L404" t="s">
        <v>10182</v>
      </c>
      <c r="M404" t="s">
        <v>7250</v>
      </c>
      <c r="N404">
        <v>1968</v>
      </c>
      <c r="R404">
        <v>23.7</v>
      </c>
      <c r="S404" t="s">
        <v>8257</v>
      </c>
      <c r="T404">
        <v>23.7</v>
      </c>
      <c r="U404">
        <v>11029.59</v>
      </c>
      <c r="V404">
        <v>257</v>
      </c>
      <c r="W404">
        <v>289.23</v>
      </c>
      <c r="X404">
        <v>257</v>
      </c>
      <c r="Y404">
        <v>1200</v>
      </c>
      <c r="Z404" t="s">
        <v>8842</v>
      </c>
      <c r="AC404" t="s">
        <v>8777</v>
      </c>
      <c r="AF404" t="s">
        <v>10213</v>
      </c>
      <c r="AI404" t="s">
        <v>8777</v>
      </c>
      <c r="AO404" t="s">
        <v>10220</v>
      </c>
    </row>
    <row r="405" spans="1:41" hidden="1" x14ac:dyDescent="0.35">
      <c r="A405" t="s">
        <v>10221</v>
      </c>
      <c r="B405" t="s">
        <v>7246</v>
      </c>
      <c r="C405" t="s">
        <v>5978</v>
      </c>
      <c r="D405" t="s">
        <v>5978</v>
      </c>
      <c r="E405" t="s">
        <v>10217</v>
      </c>
      <c r="G405" s="13" t="s">
        <v>10222</v>
      </c>
      <c r="H405" t="s">
        <v>10223</v>
      </c>
      <c r="K405" t="s">
        <v>10181</v>
      </c>
      <c r="L405" t="s">
        <v>10182</v>
      </c>
      <c r="M405" t="s">
        <v>7250</v>
      </c>
      <c r="N405">
        <v>1975</v>
      </c>
      <c r="R405">
        <v>7.3</v>
      </c>
      <c r="S405" t="s">
        <v>8257</v>
      </c>
      <c r="T405">
        <v>7.3</v>
      </c>
      <c r="U405">
        <v>3397.3</v>
      </c>
      <c r="V405">
        <v>230</v>
      </c>
      <c r="W405">
        <v>193.38</v>
      </c>
      <c r="X405">
        <v>230</v>
      </c>
      <c r="Y405">
        <v>820</v>
      </c>
      <c r="Z405" t="s">
        <v>8842</v>
      </c>
      <c r="AB405" t="s">
        <v>10224</v>
      </c>
      <c r="AC405" t="s">
        <v>8777</v>
      </c>
      <c r="AF405" t="s">
        <v>10213</v>
      </c>
      <c r="AI405" t="s">
        <v>8777</v>
      </c>
      <c r="AL405" t="s">
        <v>10225</v>
      </c>
      <c r="AO405" t="s">
        <v>10226</v>
      </c>
    </row>
    <row r="406" spans="1:41" hidden="1" x14ac:dyDescent="0.35">
      <c r="A406" t="s">
        <v>10227</v>
      </c>
      <c r="B406" t="s">
        <v>7246</v>
      </c>
      <c r="C406" t="s">
        <v>423</v>
      </c>
      <c r="D406" t="s">
        <v>5978</v>
      </c>
      <c r="E406" t="s">
        <v>10228</v>
      </c>
      <c r="G406" s="13" t="s">
        <v>10229</v>
      </c>
      <c r="H406" t="s">
        <v>10230</v>
      </c>
      <c r="K406" t="s">
        <v>10131</v>
      </c>
      <c r="L406" t="s">
        <v>10132</v>
      </c>
      <c r="M406" t="s">
        <v>8874</v>
      </c>
      <c r="N406">
        <v>1981</v>
      </c>
      <c r="R406">
        <v>22.5</v>
      </c>
      <c r="S406" t="s">
        <v>8257</v>
      </c>
      <c r="T406">
        <v>22.5</v>
      </c>
      <c r="U406">
        <v>10471.129999999999</v>
      </c>
      <c r="V406">
        <v>312</v>
      </c>
      <c r="W406">
        <v>241.13</v>
      </c>
      <c r="X406">
        <v>312</v>
      </c>
      <c r="Y406">
        <v>40</v>
      </c>
      <c r="Z406" t="s">
        <v>7253</v>
      </c>
      <c r="AB406" t="s">
        <v>10231</v>
      </c>
      <c r="AC406" t="s">
        <v>8844</v>
      </c>
      <c r="AE406" t="s">
        <v>10232</v>
      </c>
      <c r="AF406" t="s">
        <v>10212</v>
      </c>
      <c r="AH406" t="s">
        <v>3766</v>
      </c>
      <c r="AI406" t="s">
        <v>8777</v>
      </c>
      <c r="AO406" t="s">
        <v>10233</v>
      </c>
    </row>
    <row r="407" spans="1:41" hidden="1" x14ac:dyDescent="0.35">
      <c r="A407" t="s">
        <v>10234</v>
      </c>
      <c r="B407" t="s">
        <v>7246</v>
      </c>
      <c r="C407" t="s">
        <v>423</v>
      </c>
      <c r="D407" t="s">
        <v>5978</v>
      </c>
      <c r="E407" t="s">
        <v>10228</v>
      </c>
      <c r="G407" s="13" t="s">
        <v>10235</v>
      </c>
      <c r="H407" t="s">
        <v>10236</v>
      </c>
      <c r="K407" t="s">
        <v>10131</v>
      </c>
      <c r="L407" t="s">
        <v>10132</v>
      </c>
      <c r="M407" t="s">
        <v>7250</v>
      </c>
      <c r="N407">
        <v>1982</v>
      </c>
      <c r="R407">
        <v>31</v>
      </c>
      <c r="S407" t="s">
        <v>8257</v>
      </c>
      <c r="T407">
        <v>31</v>
      </c>
      <c r="U407">
        <v>14426.89</v>
      </c>
      <c r="V407">
        <v>3609</v>
      </c>
      <c r="W407">
        <v>3137.2</v>
      </c>
      <c r="X407">
        <v>3609</v>
      </c>
      <c r="Y407">
        <v>1400</v>
      </c>
      <c r="Z407" t="s">
        <v>8842</v>
      </c>
      <c r="AB407" t="s">
        <v>10133</v>
      </c>
      <c r="AC407" t="s">
        <v>8844</v>
      </c>
      <c r="AF407" t="s">
        <v>10237</v>
      </c>
      <c r="AH407" t="s">
        <v>6000</v>
      </c>
      <c r="AI407" t="s">
        <v>8777</v>
      </c>
      <c r="AO407" t="s">
        <v>10238</v>
      </c>
    </row>
    <row r="408" spans="1:41" hidden="1" x14ac:dyDescent="0.35">
      <c r="A408" t="s">
        <v>10239</v>
      </c>
      <c r="B408" t="s">
        <v>7246</v>
      </c>
      <c r="C408" t="s">
        <v>423</v>
      </c>
      <c r="D408" t="s">
        <v>5978</v>
      </c>
      <c r="E408" t="s">
        <v>10228</v>
      </c>
      <c r="G408" s="13" t="s">
        <v>10240</v>
      </c>
      <c r="H408" t="s">
        <v>10241</v>
      </c>
      <c r="K408" t="s">
        <v>10131</v>
      </c>
      <c r="L408" t="s">
        <v>10132</v>
      </c>
      <c r="M408" t="s">
        <v>7250</v>
      </c>
      <c r="N408">
        <v>1980</v>
      </c>
      <c r="R408">
        <v>14</v>
      </c>
      <c r="S408" t="s">
        <v>8257</v>
      </c>
      <c r="T408">
        <v>14</v>
      </c>
      <c r="U408">
        <v>6515.37</v>
      </c>
      <c r="V408">
        <v>609</v>
      </c>
      <c r="W408">
        <v>603.70000000000005</v>
      </c>
      <c r="X408">
        <v>609</v>
      </c>
      <c r="Y408">
        <v>1220</v>
      </c>
      <c r="Z408" t="s">
        <v>8842</v>
      </c>
      <c r="AB408" t="s">
        <v>10242</v>
      </c>
      <c r="AC408" t="s">
        <v>8844</v>
      </c>
      <c r="AE408" t="s">
        <v>3656</v>
      </c>
      <c r="AF408" t="s">
        <v>10237</v>
      </c>
      <c r="AH408" t="s">
        <v>6000</v>
      </c>
      <c r="AI408" t="s">
        <v>8777</v>
      </c>
      <c r="AO408" t="s">
        <v>10243</v>
      </c>
    </row>
    <row r="409" spans="1:41" hidden="1" x14ac:dyDescent="0.35">
      <c r="A409" t="s">
        <v>10244</v>
      </c>
      <c r="B409" t="s">
        <v>7246</v>
      </c>
      <c r="C409" t="s">
        <v>423</v>
      </c>
      <c r="D409" t="s">
        <v>5978</v>
      </c>
      <c r="E409" t="s">
        <v>10245</v>
      </c>
      <c r="G409" s="13" t="s">
        <v>10246</v>
      </c>
      <c r="H409" t="s">
        <v>10247</v>
      </c>
      <c r="K409" t="s">
        <v>10248</v>
      </c>
      <c r="L409" t="s">
        <v>10248</v>
      </c>
      <c r="M409" t="s">
        <v>7250</v>
      </c>
      <c r="N409">
        <v>1978</v>
      </c>
      <c r="R409">
        <v>18</v>
      </c>
      <c r="S409" t="s">
        <v>8257</v>
      </c>
      <c r="T409">
        <v>18</v>
      </c>
      <c r="U409">
        <v>8376.9</v>
      </c>
      <c r="V409">
        <v>1230</v>
      </c>
      <c r="W409">
        <v>923.19</v>
      </c>
      <c r="X409">
        <v>1230</v>
      </c>
      <c r="Y409" t="s">
        <v>10249</v>
      </c>
      <c r="Z409" t="s">
        <v>8842</v>
      </c>
      <c r="AB409" t="s">
        <v>3642</v>
      </c>
      <c r="AC409" t="s">
        <v>8844</v>
      </c>
      <c r="AE409" t="s">
        <v>3642</v>
      </c>
      <c r="AF409" t="s">
        <v>10237</v>
      </c>
      <c r="AH409" t="s">
        <v>6000</v>
      </c>
      <c r="AI409" t="s">
        <v>8777</v>
      </c>
      <c r="AL409" t="s">
        <v>10250</v>
      </c>
      <c r="AO409" t="s">
        <v>10251</v>
      </c>
    </row>
    <row r="410" spans="1:41" hidden="1" x14ac:dyDescent="0.35">
      <c r="A410" t="s">
        <v>10252</v>
      </c>
      <c r="B410" t="s">
        <v>7246</v>
      </c>
      <c r="C410" t="s">
        <v>423</v>
      </c>
      <c r="D410" t="s">
        <v>423</v>
      </c>
      <c r="E410" t="s">
        <v>10228</v>
      </c>
      <c r="G410" s="13" t="s">
        <v>10253</v>
      </c>
      <c r="H410" t="s">
        <v>10254</v>
      </c>
      <c r="K410" t="s">
        <v>9848</v>
      </c>
      <c r="L410" t="s">
        <v>9848</v>
      </c>
      <c r="M410" t="s">
        <v>9336</v>
      </c>
      <c r="Q410">
        <v>2007</v>
      </c>
      <c r="T410" t="s">
        <v>6546</v>
      </c>
      <c r="U410" t="s">
        <v>6546</v>
      </c>
      <c r="V410">
        <v>1262</v>
      </c>
      <c r="W410">
        <v>1110.45</v>
      </c>
      <c r="X410">
        <v>1262</v>
      </c>
      <c r="AB410" t="s">
        <v>10255</v>
      </c>
      <c r="AC410" t="s">
        <v>8844</v>
      </c>
      <c r="AF410" t="s">
        <v>10256</v>
      </c>
      <c r="AI410" t="s">
        <v>8844</v>
      </c>
      <c r="AO410" t="s">
        <v>10257</v>
      </c>
    </row>
    <row r="411" spans="1:41" hidden="1" x14ac:dyDescent="0.35">
      <c r="A411" t="s">
        <v>10258</v>
      </c>
      <c r="B411" t="s">
        <v>7246</v>
      </c>
      <c r="C411" t="s">
        <v>423</v>
      </c>
      <c r="D411" t="s">
        <v>423</v>
      </c>
      <c r="E411" t="s">
        <v>423</v>
      </c>
      <c r="G411" s="13" t="s">
        <v>10259</v>
      </c>
      <c r="H411" t="s">
        <v>10260</v>
      </c>
      <c r="K411" t="s">
        <v>9848</v>
      </c>
      <c r="L411" t="s">
        <v>9848</v>
      </c>
      <c r="M411" t="s">
        <v>7250</v>
      </c>
      <c r="N411">
        <v>2007</v>
      </c>
      <c r="T411" t="s">
        <v>6546</v>
      </c>
      <c r="U411" t="s">
        <v>6546</v>
      </c>
      <c r="V411" t="s">
        <v>6546</v>
      </c>
      <c r="W411">
        <v>923.16</v>
      </c>
      <c r="X411">
        <v>923.16</v>
      </c>
      <c r="AB411" t="s">
        <v>10242</v>
      </c>
      <c r="AC411" t="s">
        <v>8844</v>
      </c>
      <c r="AF411" t="s">
        <v>10261</v>
      </c>
      <c r="AI411" t="s">
        <v>8844</v>
      </c>
      <c r="AO411" t="s">
        <v>10262</v>
      </c>
    </row>
    <row r="412" spans="1:41" hidden="1" x14ac:dyDescent="0.35">
      <c r="A412" t="s">
        <v>10263</v>
      </c>
      <c r="B412" t="s">
        <v>7246</v>
      </c>
      <c r="C412" t="s">
        <v>449</v>
      </c>
      <c r="D412" t="s">
        <v>449</v>
      </c>
      <c r="E412" t="s">
        <v>449</v>
      </c>
      <c r="G412" s="13" t="s">
        <v>10264</v>
      </c>
      <c r="H412" t="s">
        <v>10265</v>
      </c>
      <c r="K412" t="s">
        <v>10266</v>
      </c>
      <c r="L412" t="s">
        <v>10266</v>
      </c>
      <c r="M412" t="s">
        <v>7250</v>
      </c>
      <c r="N412">
        <v>1963</v>
      </c>
      <c r="T412" t="s">
        <v>6546</v>
      </c>
      <c r="U412" t="s">
        <v>6546</v>
      </c>
      <c r="V412">
        <v>7650</v>
      </c>
      <c r="W412">
        <v>7068.21</v>
      </c>
      <c r="X412">
        <v>7650</v>
      </c>
      <c r="AC412" t="s">
        <v>8777</v>
      </c>
      <c r="AI412" t="s">
        <v>8777</v>
      </c>
      <c r="AO412" t="s">
        <v>10267</v>
      </c>
    </row>
    <row r="413" spans="1:41" hidden="1" x14ac:dyDescent="0.35">
      <c r="A413" t="s">
        <v>10268</v>
      </c>
      <c r="B413" t="s">
        <v>7246</v>
      </c>
      <c r="C413" t="s">
        <v>356</v>
      </c>
      <c r="D413" t="s">
        <v>356</v>
      </c>
      <c r="E413" t="s">
        <v>356</v>
      </c>
      <c r="G413" s="13" t="s">
        <v>10269</v>
      </c>
      <c r="H413" t="s">
        <v>10270</v>
      </c>
      <c r="J413" t="s">
        <v>10271</v>
      </c>
      <c r="K413" t="s">
        <v>10272</v>
      </c>
      <c r="L413" t="s">
        <v>10273</v>
      </c>
      <c r="M413" t="s">
        <v>7250</v>
      </c>
      <c r="N413">
        <v>1980</v>
      </c>
      <c r="R413">
        <v>1063.55</v>
      </c>
      <c r="S413" t="s">
        <v>7251</v>
      </c>
      <c r="T413">
        <v>11</v>
      </c>
      <c r="U413">
        <v>5119.22</v>
      </c>
      <c r="V413">
        <v>245.1</v>
      </c>
      <c r="W413">
        <v>236.82</v>
      </c>
      <c r="X413">
        <v>245.1</v>
      </c>
      <c r="Y413" t="s">
        <v>10274</v>
      </c>
      <c r="Z413" t="s">
        <v>8842</v>
      </c>
      <c r="AB413" t="s">
        <v>9623</v>
      </c>
      <c r="AC413" t="s">
        <v>8777</v>
      </c>
      <c r="AD413" t="s">
        <v>10275</v>
      </c>
      <c r="AE413" t="s">
        <v>3157</v>
      </c>
      <c r="AF413" t="s">
        <v>10276</v>
      </c>
      <c r="AG413" t="s">
        <v>10277</v>
      </c>
      <c r="AH413" t="s">
        <v>5556</v>
      </c>
      <c r="AI413" t="s">
        <v>8777</v>
      </c>
      <c r="AO413" t="s">
        <v>10278</v>
      </c>
    </row>
    <row r="414" spans="1:41" hidden="1" x14ac:dyDescent="0.35">
      <c r="A414" t="s">
        <v>10279</v>
      </c>
      <c r="B414" t="s">
        <v>7246</v>
      </c>
      <c r="C414" t="s">
        <v>5851</v>
      </c>
      <c r="D414" t="s">
        <v>5925</v>
      </c>
      <c r="E414" t="s">
        <v>10280</v>
      </c>
      <c r="G414" s="13" t="s">
        <v>10281</v>
      </c>
      <c r="H414" t="s">
        <v>10282</v>
      </c>
      <c r="K414" t="s">
        <v>10283</v>
      </c>
      <c r="L414" t="s">
        <v>10284</v>
      </c>
      <c r="M414" t="s">
        <v>7292</v>
      </c>
      <c r="N414">
        <v>2025</v>
      </c>
      <c r="O414">
        <v>2030</v>
      </c>
      <c r="R414">
        <v>20</v>
      </c>
      <c r="S414" t="s">
        <v>8257</v>
      </c>
      <c r="T414">
        <v>20</v>
      </c>
      <c r="U414">
        <v>9307.67</v>
      </c>
      <c r="V414">
        <v>1208</v>
      </c>
      <c r="W414">
        <v>1152.8900000000001</v>
      </c>
      <c r="X414">
        <v>1208</v>
      </c>
      <c r="Y414">
        <v>1400</v>
      </c>
      <c r="Z414" t="s">
        <v>8842</v>
      </c>
      <c r="AC414" t="s">
        <v>8777</v>
      </c>
      <c r="AI414" t="s">
        <v>8777</v>
      </c>
      <c r="AJ414" t="s">
        <v>9032</v>
      </c>
      <c r="AO414" t="s">
        <v>10285</v>
      </c>
    </row>
    <row r="415" spans="1:41" hidden="1" x14ac:dyDescent="0.35">
      <c r="A415" t="s">
        <v>10286</v>
      </c>
      <c r="B415" t="s">
        <v>7246</v>
      </c>
      <c r="C415" t="s">
        <v>449</v>
      </c>
      <c r="D415" t="s">
        <v>449</v>
      </c>
      <c r="E415" t="s">
        <v>449</v>
      </c>
      <c r="G415" s="13" t="s">
        <v>10287</v>
      </c>
      <c r="H415" t="s">
        <v>10288</v>
      </c>
      <c r="J415" t="s">
        <v>10289</v>
      </c>
      <c r="K415" t="s">
        <v>10290</v>
      </c>
      <c r="L415" t="s">
        <v>10291</v>
      </c>
      <c r="M415" t="s">
        <v>7250</v>
      </c>
      <c r="T415" t="s">
        <v>6546</v>
      </c>
      <c r="U415" t="s">
        <v>6546</v>
      </c>
      <c r="V415">
        <v>323.8</v>
      </c>
      <c r="W415">
        <v>323.64999999999998</v>
      </c>
      <c r="X415">
        <v>323.8</v>
      </c>
      <c r="Y415">
        <v>30</v>
      </c>
      <c r="Z415" t="s">
        <v>7253</v>
      </c>
      <c r="AA415" t="s">
        <v>10292</v>
      </c>
      <c r="AB415" t="s">
        <v>9404</v>
      </c>
      <c r="AC415" t="s">
        <v>8777</v>
      </c>
      <c r="AF415" t="s">
        <v>9436</v>
      </c>
      <c r="AI415" t="s">
        <v>8777</v>
      </c>
      <c r="AO415" t="s">
        <v>10293</v>
      </c>
    </row>
    <row r="416" spans="1:41" hidden="1" x14ac:dyDescent="0.35">
      <c r="A416" t="s">
        <v>10294</v>
      </c>
      <c r="B416" t="s">
        <v>7246</v>
      </c>
      <c r="C416" t="s">
        <v>449</v>
      </c>
      <c r="D416" t="s">
        <v>449</v>
      </c>
      <c r="E416" t="s">
        <v>449</v>
      </c>
      <c r="G416" s="13" t="s">
        <v>10295</v>
      </c>
      <c r="H416" t="s">
        <v>10296</v>
      </c>
      <c r="J416" t="s">
        <v>10297</v>
      </c>
      <c r="K416" t="s">
        <v>6919</v>
      </c>
      <c r="L416" t="s">
        <v>6919</v>
      </c>
      <c r="M416" t="s">
        <v>7250</v>
      </c>
      <c r="N416">
        <v>1999</v>
      </c>
      <c r="T416" t="s">
        <v>6546</v>
      </c>
      <c r="U416" t="s">
        <v>6546</v>
      </c>
      <c r="V416">
        <v>473.9</v>
      </c>
      <c r="W416">
        <v>473.94</v>
      </c>
      <c r="X416">
        <v>473.9</v>
      </c>
      <c r="Y416">
        <v>34</v>
      </c>
      <c r="Z416" t="s">
        <v>7253</v>
      </c>
      <c r="AA416" t="s">
        <v>10298</v>
      </c>
      <c r="AC416" t="s">
        <v>8777</v>
      </c>
      <c r="AI416" t="s">
        <v>8777</v>
      </c>
      <c r="AO416" t="s">
        <v>10299</v>
      </c>
    </row>
    <row r="417" spans="1:41" hidden="1" x14ac:dyDescent="0.35">
      <c r="A417" t="s">
        <v>10300</v>
      </c>
      <c r="B417" t="s">
        <v>7246</v>
      </c>
      <c r="C417" t="s">
        <v>5562</v>
      </c>
      <c r="D417" t="s">
        <v>5851</v>
      </c>
      <c r="E417" t="s">
        <v>10301</v>
      </c>
      <c r="G417" s="13" t="s">
        <v>10302</v>
      </c>
      <c r="H417" t="s">
        <v>10303</v>
      </c>
      <c r="K417" t="s">
        <v>9848</v>
      </c>
      <c r="L417" t="s">
        <v>9848</v>
      </c>
      <c r="M417" t="s">
        <v>7269</v>
      </c>
      <c r="N417">
        <v>2019</v>
      </c>
      <c r="R417">
        <v>15</v>
      </c>
      <c r="S417" t="s">
        <v>8257</v>
      </c>
      <c r="T417">
        <v>15</v>
      </c>
      <c r="U417">
        <v>6980.75</v>
      </c>
      <c r="V417" t="s">
        <v>6546</v>
      </c>
      <c r="W417">
        <v>460.14</v>
      </c>
      <c r="X417">
        <v>460.14</v>
      </c>
      <c r="AC417" t="s">
        <v>8777</v>
      </c>
      <c r="AI417" t="s">
        <v>8777</v>
      </c>
      <c r="AO417" t="s">
        <v>10304</v>
      </c>
    </row>
    <row r="418" spans="1:41" hidden="1" x14ac:dyDescent="0.35">
      <c r="A418" t="s">
        <v>10305</v>
      </c>
      <c r="B418" t="s">
        <v>7246</v>
      </c>
      <c r="C418" t="s">
        <v>5643</v>
      </c>
      <c r="D418" t="s">
        <v>5643</v>
      </c>
      <c r="E418" t="s">
        <v>5643</v>
      </c>
      <c r="G418" s="13" t="s">
        <v>10306</v>
      </c>
      <c r="H418" t="s">
        <v>10307</v>
      </c>
      <c r="J418" t="s">
        <v>10308</v>
      </c>
      <c r="K418" t="s">
        <v>10309</v>
      </c>
      <c r="L418" t="s">
        <v>10310</v>
      </c>
      <c r="M418" t="s">
        <v>7250</v>
      </c>
      <c r="N418">
        <v>1967</v>
      </c>
      <c r="T418" t="s">
        <v>6546</v>
      </c>
      <c r="U418" t="s">
        <v>6546</v>
      </c>
      <c r="V418">
        <v>135</v>
      </c>
      <c r="W418">
        <v>104.49</v>
      </c>
      <c r="X418">
        <v>135</v>
      </c>
      <c r="Y418">
        <v>1000</v>
      </c>
      <c r="Z418" t="s">
        <v>8842</v>
      </c>
      <c r="AB418" t="s">
        <v>10311</v>
      </c>
      <c r="AC418" t="s">
        <v>8777</v>
      </c>
      <c r="AD418" t="s">
        <v>10312</v>
      </c>
      <c r="AE418" t="s">
        <v>9753</v>
      </c>
      <c r="AF418" t="s">
        <v>10313</v>
      </c>
      <c r="AG418" t="s">
        <v>10314</v>
      </c>
      <c r="AH418" t="s">
        <v>9753</v>
      </c>
      <c r="AI418" t="s">
        <v>8777</v>
      </c>
      <c r="AO418" t="s">
        <v>10315</v>
      </c>
    </row>
    <row r="419" spans="1:41" hidden="1" x14ac:dyDescent="0.35">
      <c r="A419" t="s">
        <v>10316</v>
      </c>
      <c r="B419" t="s">
        <v>7246</v>
      </c>
      <c r="C419" t="s">
        <v>5643</v>
      </c>
      <c r="D419" t="s">
        <v>5643</v>
      </c>
      <c r="E419" t="s">
        <v>5643</v>
      </c>
      <c r="G419" s="13" t="s">
        <v>10317</v>
      </c>
      <c r="H419" t="s">
        <v>10318</v>
      </c>
      <c r="J419" t="s">
        <v>10319</v>
      </c>
      <c r="K419" t="s">
        <v>10320</v>
      </c>
      <c r="L419" t="s">
        <v>10321</v>
      </c>
      <c r="M419" t="s">
        <v>7250</v>
      </c>
      <c r="N419">
        <v>1968</v>
      </c>
      <c r="T419" t="s">
        <v>6546</v>
      </c>
      <c r="U419" t="s">
        <v>6546</v>
      </c>
      <c r="V419" t="s">
        <v>6546</v>
      </c>
      <c r="W419">
        <v>171.61</v>
      </c>
      <c r="X419">
        <v>171.61</v>
      </c>
      <c r="AB419" t="s">
        <v>10313</v>
      </c>
      <c r="AC419" t="s">
        <v>8777</v>
      </c>
      <c r="AD419" t="s">
        <v>10314</v>
      </c>
      <c r="AE419" t="s">
        <v>9753</v>
      </c>
      <c r="AF419" t="s">
        <v>10322</v>
      </c>
      <c r="AG419" t="s">
        <v>10323</v>
      </c>
      <c r="AH419" t="s">
        <v>9708</v>
      </c>
      <c r="AI419" t="s">
        <v>8777</v>
      </c>
      <c r="AO419" t="s">
        <v>10324</v>
      </c>
    </row>
    <row r="420" spans="1:41" hidden="1" x14ac:dyDescent="0.35">
      <c r="A420" t="s">
        <v>10325</v>
      </c>
      <c r="B420" t="s">
        <v>7246</v>
      </c>
      <c r="C420" t="s">
        <v>416</v>
      </c>
      <c r="D420" t="s">
        <v>416</v>
      </c>
      <c r="E420" t="s">
        <v>416</v>
      </c>
      <c r="G420" s="13" t="s">
        <v>10326</v>
      </c>
      <c r="H420" t="s">
        <v>10327</v>
      </c>
      <c r="K420" t="s">
        <v>10328</v>
      </c>
      <c r="L420" t="s">
        <v>10329</v>
      </c>
      <c r="M420" t="s">
        <v>7250</v>
      </c>
      <c r="N420">
        <v>2000</v>
      </c>
      <c r="R420">
        <v>1834</v>
      </c>
      <c r="S420" t="s">
        <v>7251</v>
      </c>
      <c r="T420">
        <v>18.97</v>
      </c>
      <c r="U420">
        <v>8827.66</v>
      </c>
      <c r="V420">
        <v>720</v>
      </c>
      <c r="W420">
        <v>692.78</v>
      </c>
      <c r="X420">
        <v>720</v>
      </c>
      <c r="Y420">
        <v>42</v>
      </c>
      <c r="Z420" t="s">
        <v>7253</v>
      </c>
      <c r="AA420" t="s">
        <v>10330</v>
      </c>
      <c r="AB420" t="s">
        <v>9436</v>
      </c>
      <c r="AC420" t="s">
        <v>8777</v>
      </c>
      <c r="AH420" t="s">
        <v>10331</v>
      </c>
      <c r="AI420" t="s">
        <v>8777</v>
      </c>
      <c r="AO420" t="s">
        <v>10332</v>
      </c>
    </row>
    <row r="421" spans="1:41" hidden="1" x14ac:dyDescent="0.35">
      <c r="A421" t="s">
        <v>10333</v>
      </c>
      <c r="B421" t="s">
        <v>7246</v>
      </c>
      <c r="C421" t="s">
        <v>416</v>
      </c>
      <c r="D421" t="s">
        <v>416</v>
      </c>
      <c r="E421" t="s">
        <v>416</v>
      </c>
      <c r="G421" s="13" t="s">
        <v>10334</v>
      </c>
      <c r="H421" t="s">
        <v>10335</v>
      </c>
      <c r="J421" t="s">
        <v>10336</v>
      </c>
      <c r="K421" t="s">
        <v>10337</v>
      </c>
      <c r="L421" t="s">
        <v>10337</v>
      </c>
      <c r="M421" t="s">
        <v>7292</v>
      </c>
      <c r="T421" t="s">
        <v>6546</v>
      </c>
      <c r="U421" t="s">
        <v>6546</v>
      </c>
      <c r="V421">
        <v>195</v>
      </c>
      <c r="W421">
        <v>174.16</v>
      </c>
      <c r="X421">
        <v>195</v>
      </c>
      <c r="AA421" t="s">
        <v>10338</v>
      </c>
      <c r="AB421" t="s">
        <v>10339</v>
      </c>
      <c r="AC421" t="s">
        <v>8777</v>
      </c>
      <c r="AE421" t="s">
        <v>10340</v>
      </c>
      <c r="AF421" t="s">
        <v>1521</v>
      </c>
      <c r="AI421" t="s">
        <v>8777</v>
      </c>
      <c r="AJ421" t="s">
        <v>6407</v>
      </c>
      <c r="AK421">
        <v>2021</v>
      </c>
      <c r="AO421" t="s">
        <v>10341</v>
      </c>
    </row>
    <row r="422" spans="1:41" hidden="1" x14ac:dyDescent="0.35">
      <c r="A422" t="s">
        <v>10342</v>
      </c>
      <c r="B422" t="s">
        <v>7246</v>
      </c>
      <c r="C422" t="s">
        <v>449</v>
      </c>
      <c r="D422" t="s">
        <v>416</v>
      </c>
      <c r="E422" t="s">
        <v>10343</v>
      </c>
      <c r="G422" s="13" t="s">
        <v>10344</v>
      </c>
      <c r="H422" t="s">
        <v>10345</v>
      </c>
      <c r="K422" t="s">
        <v>10346</v>
      </c>
      <c r="L422" t="s">
        <v>10346</v>
      </c>
      <c r="M422" t="s">
        <v>7250</v>
      </c>
      <c r="N422">
        <v>1985</v>
      </c>
      <c r="R422">
        <v>300</v>
      </c>
      <c r="S422" t="s">
        <v>7251</v>
      </c>
      <c r="T422">
        <v>3.1</v>
      </c>
      <c r="U422">
        <v>1444</v>
      </c>
      <c r="V422">
        <v>80</v>
      </c>
      <c r="W422">
        <v>107.2</v>
      </c>
      <c r="X422">
        <v>80</v>
      </c>
      <c r="Y422">
        <v>20</v>
      </c>
      <c r="Z422" t="s">
        <v>7253</v>
      </c>
      <c r="AA422" t="s">
        <v>10347</v>
      </c>
      <c r="AB422" t="s">
        <v>10348</v>
      </c>
      <c r="AC422" t="s">
        <v>8777</v>
      </c>
      <c r="AF422" t="s">
        <v>10348</v>
      </c>
      <c r="AI422" t="s">
        <v>8777</v>
      </c>
      <c r="AO422" t="s">
        <v>10349</v>
      </c>
    </row>
    <row r="423" spans="1:41" hidden="1" x14ac:dyDescent="0.35">
      <c r="A423" t="s">
        <v>10350</v>
      </c>
      <c r="B423" t="s">
        <v>7246</v>
      </c>
      <c r="C423" t="s">
        <v>392</v>
      </c>
      <c r="D423" t="s">
        <v>5694</v>
      </c>
      <c r="E423" t="s">
        <v>10351</v>
      </c>
      <c r="G423" s="13" t="s">
        <v>10352</v>
      </c>
      <c r="H423" t="s">
        <v>10353</v>
      </c>
      <c r="J423" t="s">
        <v>10354</v>
      </c>
      <c r="K423" t="s">
        <v>10355</v>
      </c>
      <c r="L423" t="s">
        <v>10356</v>
      </c>
      <c r="M423" t="s">
        <v>7292</v>
      </c>
      <c r="N423">
        <v>2025</v>
      </c>
      <c r="R423">
        <v>10</v>
      </c>
      <c r="S423" t="s">
        <v>8257</v>
      </c>
      <c r="T423">
        <v>10</v>
      </c>
      <c r="U423">
        <v>4653.83</v>
      </c>
      <c r="V423">
        <v>1870</v>
      </c>
      <c r="W423">
        <v>1737.74</v>
      </c>
      <c r="X423">
        <v>1870</v>
      </c>
      <c r="AA423" t="s">
        <v>10357</v>
      </c>
      <c r="AB423" t="s">
        <v>10358</v>
      </c>
      <c r="AC423" t="s">
        <v>8747</v>
      </c>
      <c r="AI423" t="s">
        <v>8777</v>
      </c>
      <c r="AJ423" t="s">
        <v>9032</v>
      </c>
      <c r="AO423" t="s">
        <v>10359</v>
      </c>
    </row>
    <row r="424" spans="1:41" hidden="1" x14ac:dyDescent="0.35">
      <c r="A424" t="s">
        <v>10360</v>
      </c>
      <c r="B424" t="s">
        <v>7246</v>
      </c>
      <c r="C424" t="s">
        <v>423</v>
      </c>
      <c r="D424" t="s">
        <v>396</v>
      </c>
      <c r="E424" t="s">
        <v>10361</v>
      </c>
      <c r="G424" s="13" t="s">
        <v>10362</v>
      </c>
      <c r="H424" t="s">
        <v>10363</v>
      </c>
      <c r="K424" t="s">
        <v>10364</v>
      </c>
      <c r="L424" t="s">
        <v>10364</v>
      </c>
      <c r="M424" t="s">
        <v>7269</v>
      </c>
      <c r="R424">
        <v>25</v>
      </c>
      <c r="S424" t="s">
        <v>8257</v>
      </c>
      <c r="T424">
        <v>25</v>
      </c>
      <c r="U424">
        <v>11634.59</v>
      </c>
      <c r="V424">
        <v>1500</v>
      </c>
      <c r="W424">
        <v>1396.17</v>
      </c>
      <c r="X424">
        <v>1500</v>
      </c>
      <c r="AB424" t="s">
        <v>10038</v>
      </c>
      <c r="AC424" t="s">
        <v>8844</v>
      </c>
      <c r="AH424" t="s">
        <v>10365</v>
      </c>
      <c r="AI424" t="s">
        <v>9852</v>
      </c>
      <c r="AL424" t="s">
        <v>10366</v>
      </c>
      <c r="AO424" t="s">
        <v>10367</v>
      </c>
    </row>
    <row r="425" spans="1:41" hidden="1" x14ac:dyDescent="0.35">
      <c r="A425" t="s">
        <v>10368</v>
      </c>
      <c r="B425" t="s">
        <v>7246</v>
      </c>
      <c r="C425" t="s">
        <v>4136</v>
      </c>
      <c r="D425" t="s">
        <v>4136</v>
      </c>
      <c r="E425" t="s">
        <v>4136</v>
      </c>
      <c r="G425" s="13" t="s">
        <v>10369</v>
      </c>
      <c r="H425" t="s">
        <v>10370</v>
      </c>
      <c r="J425" t="s">
        <v>10371</v>
      </c>
      <c r="K425" t="s">
        <v>10372</v>
      </c>
      <c r="L425" t="s">
        <v>6511</v>
      </c>
      <c r="M425" t="s">
        <v>7250</v>
      </c>
      <c r="N425">
        <v>2020</v>
      </c>
      <c r="R425">
        <v>1000</v>
      </c>
      <c r="S425" t="s">
        <v>7251</v>
      </c>
      <c r="T425">
        <v>10.34</v>
      </c>
      <c r="U425">
        <v>4813.33</v>
      </c>
      <c r="V425">
        <v>30</v>
      </c>
      <c r="W425">
        <v>22.64</v>
      </c>
      <c r="X425">
        <v>30</v>
      </c>
      <c r="Y425">
        <v>42</v>
      </c>
      <c r="Z425" t="s">
        <v>7253</v>
      </c>
      <c r="AB425" t="s">
        <v>10373</v>
      </c>
      <c r="AC425" t="s">
        <v>8859</v>
      </c>
      <c r="AD425" t="s">
        <v>2678</v>
      </c>
      <c r="AF425" t="s">
        <v>10374</v>
      </c>
      <c r="AG425" t="s">
        <v>2678</v>
      </c>
      <c r="AI425" t="s">
        <v>8859</v>
      </c>
      <c r="AO425" t="s">
        <v>10375</v>
      </c>
    </row>
    <row r="426" spans="1:41" hidden="1" x14ac:dyDescent="0.35">
      <c r="A426" t="s">
        <v>10376</v>
      </c>
      <c r="B426" t="s">
        <v>7246</v>
      </c>
      <c r="C426" t="s">
        <v>4136</v>
      </c>
      <c r="D426" t="s">
        <v>4136</v>
      </c>
      <c r="E426" t="s">
        <v>4136</v>
      </c>
      <c r="G426" s="13" t="s">
        <v>10377</v>
      </c>
      <c r="H426" t="s">
        <v>10378</v>
      </c>
      <c r="J426" t="s">
        <v>10379</v>
      </c>
      <c r="K426" t="s">
        <v>10372</v>
      </c>
      <c r="L426" t="s">
        <v>6511</v>
      </c>
      <c r="M426" t="s">
        <v>7250</v>
      </c>
      <c r="N426">
        <v>1997</v>
      </c>
      <c r="R426">
        <v>425</v>
      </c>
      <c r="S426" t="s">
        <v>7251</v>
      </c>
      <c r="T426">
        <v>4.4000000000000004</v>
      </c>
      <c r="U426">
        <v>2045.67</v>
      </c>
      <c r="V426">
        <v>58.5</v>
      </c>
      <c r="W426">
        <v>45.35</v>
      </c>
      <c r="X426">
        <v>58.5</v>
      </c>
      <c r="Y426">
        <v>30</v>
      </c>
      <c r="Z426" t="s">
        <v>7253</v>
      </c>
      <c r="AB426" t="s">
        <v>10380</v>
      </c>
      <c r="AC426" t="s">
        <v>8859</v>
      </c>
      <c r="AD426" t="s">
        <v>10381</v>
      </c>
      <c r="AF426" t="s">
        <v>10382</v>
      </c>
      <c r="AG426" t="s">
        <v>10383</v>
      </c>
      <c r="AI426" t="s">
        <v>8859</v>
      </c>
      <c r="AO426" t="s">
        <v>10384</v>
      </c>
    </row>
    <row r="427" spans="1:41" hidden="1" x14ac:dyDescent="0.35">
      <c r="A427" t="s">
        <v>10385</v>
      </c>
      <c r="B427" t="s">
        <v>7246</v>
      </c>
      <c r="C427" t="s">
        <v>4136</v>
      </c>
      <c r="D427" t="s">
        <v>4136</v>
      </c>
      <c r="E427" t="s">
        <v>4136</v>
      </c>
      <c r="G427" s="13" t="s">
        <v>10386</v>
      </c>
      <c r="H427" t="s">
        <v>10387</v>
      </c>
      <c r="K427" t="s">
        <v>10372</v>
      </c>
      <c r="L427" t="s">
        <v>6511</v>
      </c>
      <c r="M427" t="s">
        <v>7250</v>
      </c>
      <c r="N427">
        <v>2015</v>
      </c>
      <c r="R427">
        <v>450</v>
      </c>
      <c r="S427" t="s">
        <v>7251</v>
      </c>
      <c r="T427">
        <v>4.6500000000000004</v>
      </c>
      <c r="U427">
        <v>2166</v>
      </c>
      <c r="V427">
        <v>61</v>
      </c>
      <c r="W427">
        <v>45.36</v>
      </c>
      <c r="X427">
        <v>61</v>
      </c>
      <c r="Y427">
        <v>30</v>
      </c>
      <c r="Z427" t="s">
        <v>7253</v>
      </c>
      <c r="AB427" t="s">
        <v>10380</v>
      </c>
      <c r="AC427" t="s">
        <v>8859</v>
      </c>
      <c r="AD427" t="s">
        <v>10381</v>
      </c>
      <c r="AF427" t="s">
        <v>10382</v>
      </c>
      <c r="AG427" t="s">
        <v>10383</v>
      </c>
      <c r="AI427" t="s">
        <v>8859</v>
      </c>
      <c r="AO427" t="s">
        <v>10388</v>
      </c>
    </row>
    <row r="428" spans="1:41" hidden="1" x14ac:dyDescent="0.35">
      <c r="A428" t="s">
        <v>10389</v>
      </c>
      <c r="B428" t="s">
        <v>7246</v>
      </c>
      <c r="C428" t="s">
        <v>4136</v>
      </c>
      <c r="D428" t="s">
        <v>4136</v>
      </c>
      <c r="E428" t="s">
        <v>4136</v>
      </c>
      <c r="G428" s="13" t="s">
        <v>10390</v>
      </c>
      <c r="H428" t="s">
        <v>10391</v>
      </c>
      <c r="J428" t="s">
        <v>10392</v>
      </c>
      <c r="K428" t="s">
        <v>10372</v>
      </c>
      <c r="L428" t="s">
        <v>6511</v>
      </c>
      <c r="M428" t="s">
        <v>7250</v>
      </c>
      <c r="N428">
        <v>1991</v>
      </c>
      <c r="R428">
        <v>330</v>
      </c>
      <c r="S428" t="s">
        <v>7251</v>
      </c>
      <c r="T428">
        <v>3.41</v>
      </c>
      <c r="U428">
        <v>1588.4</v>
      </c>
      <c r="V428">
        <v>124</v>
      </c>
      <c r="W428">
        <v>114.34</v>
      </c>
      <c r="X428">
        <v>124</v>
      </c>
      <c r="Y428">
        <v>24</v>
      </c>
      <c r="Z428" t="s">
        <v>7253</v>
      </c>
      <c r="AB428" t="s">
        <v>10380</v>
      </c>
      <c r="AC428" t="s">
        <v>8859</v>
      </c>
      <c r="AD428" t="s">
        <v>10393</v>
      </c>
      <c r="AF428" t="s">
        <v>10394</v>
      </c>
      <c r="AG428" t="s">
        <v>10395</v>
      </c>
      <c r="AI428" t="s">
        <v>8859</v>
      </c>
      <c r="AO428" t="s">
        <v>10396</v>
      </c>
    </row>
    <row r="429" spans="1:41" hidden="1" x14ac:dyDescent="0.35">
      <c r="A429" t="s">
        <v>10397</v>
      </c>
      <c r="B429" t="s">
        <v>7246</v>
      </c>
      <c r="C429" t="s">
        <v>4136</v>
      </c>
      <c r="D429" t="s">
        <v>4136</v>
      </c>
      <c r="E429" t="s">
        <v>4136</v>
      </c>
      <c r="G429" s="13" t="s">
        <v>10398</v>
      </c>
      <c r="H429" t="s">
        <v>10399</v>
      </c>
      <c r="K429" t="s">
        <v>10372</v>
      </c>
      <c r="L429" t="s">
        <v>6511</v>
      </c>
      <c r="M429" t="s">
        <v>7250</v>
      </c>
      <c r="N429">
        <v>2014</v>
      </c>
      <c r="R429">
        <v>500</v>
      </c>
      <c r="S429" t="s">
        <v>7251</v>
      </c>
      <c r="T429">
        <v>5.17</v>
      </c>
      <c r="U429">
        <v>2406.67</v>
      </c>
      <c r="V429">
        <v>54</v>
      </c>
      <c r="W429">
        <v>66.84</v>
      </c>
      <c r="X429">
        <v>54</v>
      </c>
      <c r="Y429">
        <v>30</v>
      </c>
      <c r="Z429" t="s">
        <v>7253</v>
      </c>
      <c r="AB429" t="s">
        <v>10380</v>
      </c>
      <c r="AC429" t="s">
        <v>8859</v>
      </c>
      <c r="AD429" t="s">
        <v>10393</v>
      </c>
      <c r="AF429" t="s">
        <v>10400</v>
      </c>
      <c r="AG429" t="s">
        <v>10401</v>
      </c>
      <c r="AI429" t="s">
        <v>8859</v>
      </c>
      <c r="AO429" t="s">
        <v>10402</v>
      </c>
    </row>
    <row r="430" spans="1:41" hidden="1" x14ac:dyDescent="0.35">
      <c r="A430" t="s">
        <v>10403</v>
      </c>
      <c r="B430" t="s">
        <v>7246</v>
      </c>
      <c r="C430" t="s">
        <v>4136</v>
      </c>
      <c r="D430" t="s">
        <v>4136</v>
      </c>
      <c r="E430" t="s">
        <v>4136</v>
      </c>
      <c r="G430" s="13" t="s">
        <v>10404</v>
      </c>
      <c r="H430" t="s">
        <v>10405</v>
      </c>
      <c r="K430" t="s">
        <v>10372</v>
      </c>
      <c r="L430" t="s">
        <v>6511</v>
      </c>
      <c r="M430" t="s">
        <v>7250</v>
      </c>
      <c r="N430">
        <v>2007</v>
      </c>
      <c r="R430">
        <v>425</v>
      </c>
      <c r="S430" t="s">
        <v>7251</v>
      </c>
      <c r="T430">
        <v>4.4000000000000004</v>
      </c>
      <c r="U430">
        <v>2045.67</v>
      </c>
      <c r="V430">
        <v>37</v>
      </c>
      <c r="W430">
        <v>31.22</v>
      </c>
      <c r="X430">
        <v>37</v>
      </c>
      <c r="Y430">
        <v>30</v>
      </c>
      <c r="Z430" t="s">
        <v>7253</v>
      </c>
      <c r="AB430" t="s">
        <v>10380</v>
      </c>
      <c r="AC430" t="s">
        <v>8859</v>
      </c>
      <c r="AD430" t="s">
        <v>10381</v>
      </c>
      <c r="AF430" t="s">
        <v>10406</v>
      </c>
      <c r="AG430" t="s">
        <v>10407</v>
      </c>
      <c r="AI430" t="s">
        <v>8859</v>
      </c>
      <c r="AO430" t="s">
        <v>10408</v>
      </c>
    </row>
    <row r="431" spans="1:41" hidden="1" x14ac:dyDescent="0.35">
      <c r="A431" t="s">
        <v>10409</v>
      </c>
      <c r="B431" t="s">
        <v>7246</v>
      </c>
      <c r="C431" t="s">
        <v>4136</v>
      </c>
      <c r="D431" t="s">
        <v>4136</v>
      </c>
      <c r="E431" t="s">
        <v>4136</v>
      </c>
      <c r="G431" s="13" t="s">
        <v>10410</v>
      </c>
      <c r="H431" t="s">
        <v>10411</v>
      </c>
      <c r="J431" t="s">
        <v>10412</v>
      </c>
      <c r="K431" t="s">
        <v>10372</v>
      </c>
      <c r="L431" t="s">
        <v>6511</v>
      </c>
      <c r="M431" t="s">
        <v>7250</v>
      </c>
      <c r="N431">
        <v>1985</v>
      </c>
      <c r="R431">
        <v>300</v>
      </c>
      <c r="S431" t="s">
        <v>7251</v>
      </c>
      <c r="T431">
        <v>3.1</v>
      </c>
      <c r="U431">
        <v>1444</v>
      </c>
      <c r="V431">
        <v>174</v>
      </c>
      <c r="W431">
        <v>169.66</v>
      </c>
      <c r="X431">
        <v>174</v>
      </c>
      <c r="Y431">
        <v>24</v>
      </c>
      <c r="Z431" t="s">
        <v>7253</v>
      </c>
      <c r="AB431" t="s">
        <v>10382</v>
      </c>
      <c r="AC431" t="s">
        <v>8859</v>
      </c>
      <c r="AD431" t="s">
        <v>10383</v>
      </c>
      <c r="AF431" t="s">
        <v>10374</v>
      </c>
      <c r="AG431" t="s">
        <v>2678</v>
      </c>
      <c r="AI431" t="s">
        <v>8859</v>
      </c>
      <c r="AO431" t="s">
        <v>10413</v>
      </c>
    </row>
    <row r="432" spans="1:41" hidden="1" x14ac:dyDescent="0.35">
      <c r="A432" t="s">
        <v>10414</v>
      </c>
      <c r="B432" t="s">
        <v>7246</v>
      </c>
      <c r="C432" t="s">
        <v>4136</v>
      </c>
      <c r="D432" t="s">
        <v>4136</v>
      </c>
      <c r="E432" t="s">
        <v>4136</v>
      </c>
      <c r="G432" s="13" t="s">
        <v>10415</v>
      </c>
      <c r="H432" t="s">
        <v>10416</v>
      </c>
      <c r="K432" t="s">
        <v>10372</v>
      </c>
      <c r="L432" t="s">
        <v>6511</v>
      </c>
      <c r="M432" t="s">
        <v>7250</v>
      </c>
      <c r="N432">
        <v>1985</v>
      </c>
      <c r="R432">
        <v>250</v>
      </c>
      <c r="S432" t="s">
        <v>7251</v>
      </c>
      <c r="T432">
        <v>2.59</v>
      </c>
      <c r="U432">
        <v>1203.33</v>
      </c>
      <c r="V432">
        <v>68.72</v>
      </c>
      <c r="W432">
        <v>40.869999999999997</v>
      </c>
      <c r="X432">
        <v>68.72</v>
      </c>
      <c r="Y432">
        <v>20</v>
      </c>
      <c r="Z432" t="s">
        <v>7253</v>
      </c>
      <c r="AB432" t="s">
        <v>10382</v>
      </c>
      <c r="AC432" t="s">
        <v>8859</v>
      </c>
      <c r="AD432" t="s">
        <v>10383</v>
      </c>
      <c r="AF432" t="s">
        <v>10417</v>
      </c>
      <c r="AG432" t="s">
        <v>10418</v>
      </c>
      <c r="AI432" t="s">
        <v>8859</v>
      </c>
      <c r="AO432" t="s">
        <v>10419</v>
      </c>
    </row>
    <row r="433" spans="1:41" hidden="1" x14ac:dyDescent="0.35">
      <c r="A433" t="s">
        <v>10420</v>
      </c>
      <c r="B433" t="s">
        <v>7246</v>
      </c>
      <c r="C433" t="s">
        <v>4136</v>
      </c>
      <c r="D433" t="s">
        <v>4136</v>
      </c>
      <c r="E433" t="s">
        <v>4136</v>
      </c>
      <c r="G433" s="13" t="s">
        <v>10421</v>
      </c>
      <c r="H433" t="s">
        <v>10422</v>
      </c>
      <c r="K433" t="s">
        <v>10372</v>
      </c>
      <c r="L433" t="s">
        <v>6511</v>
      </c>
      <c r="M433" t="s">
        <v>7250</v>
      </c>
      <c r="N433">
        <v>2014</v>
      </c>
      <c r="R433">
        <v>450</v>
      </c>
      <c r="S433" t="s">
        <v>7251</v>
      </c>
      <c r="T433">
        <v>4.6500000000000004</v>
      </c>
      <c r="U433">
        <v>2166</v>
      </c>
      <c r="V433">
        <v>60</v>
      </c>
      <c r="W433">
        <v>39.92</v>
      </c>
      <c r="X433">
        <v>60</v>
      </c>
      <c r="Y433">
        <v>30</v>
      </c>
      <c r="Z433" t="s">
        <v>7253</v>
      </c>
      <c r="AA433" t="s">
        <v>10423</v>
      </c>
      <c r="AC433" t="s">
        <v>8859</v>
      </c>
      <c r="AD433" t="s">
        <v>10383</v>
      </c>
      <c r="AF433" t="s">
        <v>10424</v>
      </c>
      <c r="AG433" t="s">
        <v>10418</v>
      </c>
      <c r="AI433" t="s">
        <v>8859</v>
      </c>
      <c r="AO433" t="s">
        <v>10425</v>
      </c>
    </row>
    <row r="434" spans="1:41" hidden="1" x14ac:dyDescent="0.35">
      <c r="A434" t="s">
        <v>10426</v>
      </c>
      <c r="B434" t="s">
        <v>7246</v>
      </c>
      <c r="C434" t="s">
        <v>4136</v>
      </c>
      <c r="D434" t="s">
        <v>4136</v>
      </c>
      <c r="E434" t="s">
        <v>4136</v>
      </c>
      <c r="G434" s="13" t="s">
        <v>10427</v>
      </c>
      <c r="H434" t="s">
        <v>10428</v>
      </c>
      <c r="K434" t="s">
        <v>10372</v>
      </c>
      <c r="L434" t="s">
        <v>6511</v>
      </c>
      <c r="M434" t="s">
        <v>7250</v>
      </c>
      <c r="N434">
        <v>2000</v>
      </c>
      <c r="R434">
        <v>300</v>
      </c>
      <c r="S434" t="s">
        <v>7251</v>
      </c>
      <c r="T434">
        <v>3.1</v>
      </c>
      <c r="U434">
        <v>1444</v>
      </c>
      <c r="V434">
        <v>9</v>
      </c>
      <c r="W434">
        <v>18.260000000000002</v>
      </c>
      <c r="X434">
        <v>9</v>
      </c>
      <c r="Y434">
        <v>30</v>
      </c>
      <c r="Z434" t="s">
        <v>7253</v>
      </c>
      <c r="AB434" t="s">
        <v>10429</v>
      </c>
      <c r="AC434" t="s">
        <v>8859</v>
      </c>
      <c r="AD434" t="s">
        <v>10395</v>
      </c>
      <c r="AF434" t="s">
        <v>10430</v>
      </c>
      <c r="AG434" t="s">
        <v>10431</v>
      </c>
      <c r="AI434" t="s">
        <v>8859</v>
      </c>
      <c r="AO434" t="s">
        <v>10432</v>
      </c>
    </row>
    <row r="435" spans="1:41" hidden="1" x14ac:dyDescent="0.35">
      <c r="A435" t="s">
        <v>10433</v>
      </c>
      <c r="B435" t="s">
        <v>7246</v>
      </c>
      <c r="C435" t="s">
        <v>4136</v>
      </c>
      <c r="D435" t="s">
        <v>4136</v>
      </c>
      <c r="E435" t="s">
        <v>4136</v>
      </c>
      <c r="G435" s="13" t="s">
        <v>10434</v>
      </c>
      <c r="H435" t="s">
        <v>10435</v>
      </c>
      <c r="K435" t="s">
        <v>10372</v>
      </c>
      <c r="L435" t="s">
        <v>6511</v>
      </c>
      <c r="M435" t="s">
        <v>7250</v>
      </c>
      <c r="N435">
        <v>2001</v>
      </c>
      <c r="R435">
        <v>200</v>
      </c>
      <c r="S435" t="s">
        <v>7251</v>
      </c>
      <c r="T435">
        <v>2.0699999999999998</v>
      </c>
      <c r="U435">
        <v>962.67</v>
      </c>
      <c r="V435">
        <v>18</v>
      </c>
      <c r="W435">
        <v>14.45</v>
      </c>
      <c r="X435">
        <v>18</v>
      </c>
      <c r="Y435">
        <v>20</v>
      </c>
      <c r="Z435" t="s">
        <v>7253</v>
      </c>
      <c r="AB435" t="s">
        <v>10436</v>
      </c>
      <c r="AC435" t="s">
        <v>8859</v>
      </c>
      <c r="AD435" t="s">
        <v>10437</v>
      </c>
      <c r="AF435" t="s">
        <v>10438</v>
      </c>
      <c r="AG435" t="s">
        <v>10437</v>
      </c>
      <c r="AI435" t="s">
        <v>8859</v>
      </c>
      <c r="AO435" t="s">
        <v>10439</v>
      </c>
    </row>
    <row r="436" spans="1:41" hidden="1" x14ac:dyDescent="0.35">
      <c r="A436" t="s">
        <v>10440</v>
      </c>
      <c r="B436" t="s">
        <v>7246</v>
      </c>
      <c r="C436" t="s">
        <v>4136</v>
      </c>
      <c r="D436" t="s">
        <v>4136</v>
      </c>
      <c r="E436" t="s">
        <v>4136</v>
      </c>
      <c r="G436" s="13" t="s">
        <v>10441</v>
      </c>
      <c r="H436" t="s">
        <v>10442</v>
      </c>
      <c r="J436" t="s">
        <v>10443</v>
      </c>
      <c r="K436" t="s">
        <v>10372</v>
      </c>
      <c r="L436" t="s">
        <v>6511</v>
      </c>
      <c r="M436" t="s">
        <v>7250</v>
      </c>
      <c r="N436">
        <v>2015</v>
      </c>
      <c r="R436">
        <v>250</v>
      </c>
      <c r="S436" t="s">
        <v>7251</v>
      </c>
      <c r="T436">
        <v>2.59</v>
      </c>
      <c r="U436">
        <v>1203.33</v>
      </c>
      <c r="V436">
        <v>163</v>
      </c>
      <c r="W436">
        <v>141.26</v>
      </c>
      <c r="X436">
        <v>163</v>
      </c>
      <c r="Y436">
        <v>20</v>
      </c>
      <c r="Z436" t="s">
        <v>7253</v>
      </c>
      <c r="AB436" t="s">
        <v>10444</v>
      </c>
      <c r="AC436" t="s">
        <v>8859</v>
      </c>
      <c r="AD436" t="s">
        <v>10445</v>
      </c>
      <c r="AF436" t="s">
        <v>10446</v>
      </c>
      <c r="AG436" t="s">
        <v>10446</v>
      </c>
      <c r="AI436" t="s">
        <v>8859</v>
      </c>
      <c r="AO436" t="s">
        <v>10447</v>
      </c>
    </row>
    <row r="437" spans="1:41" hidden="1" x14ac:dyDescent="0.35">
      <c r="A437" t="s">
        <v>10448</v>
      </c>
      <c r="B437" t="s">
        <v>7246</v>
      </c>
      <c r="C437" t="s">
        <v>4136</v>
      </c>
      <c r="D437" t="s">
        <v>4136</v>
      </c>
      <c r="E437" t="s">
        <v>4136</v>
      </c>
      <c r="G437" s="13" t="s">
        <v>10449</v>
      </c>
      <c r="H437" t="s">
        <v>10450</v>
      </c>
      <c r="J437" t="s">
        <v>10451</v>
      </c>
      <c r="K437" t="s">
        <v>10372</v>
      </c>
      <c r="L437" t="s">
        <v>6511</v>
      </c>
      <c r="M437" t="s">
        <v>7292</v>
      </c>
      <c r="N437">
        <v>2024</v>
      </c>
      <c r="T437" t="s">
        <v>6546</v>
      </c>
      <c r="U437" t="s">
        <v>6546</v>
      </c>
      <c r="V437">
        <v>65</v>
      </c>
      <c r="W437">
        <v>62.87</v>
      </c>
      <c r="X437">
        <v>65</v>
      </c>
      <c r="Y437">
        <v>30</v>
      </c>
      <c r="Z437" t="s">
        <v>7253</v>
      </c>
      <c r="AB437" t="s">
        <v>10452</v>
      </c>
      <c r="AC437" t="s">
        <v>8859</v>
      </c>
      <c r="AD437" t="s">
        <v>10453</v>
      </c>
      <c r="AF437" t="s">
        <v>10446</v>
      </c>
      <c r="AG437" t="s">
        <v>10446</v>
      </c>
      <c r="AI437" t="s">
        <v>8859</v>
      </c>
      <c r="AO437" t="s">
        <v>10454</v>
      </c>
    </row>
    <row r="438" spans="1:41" hidden="1" x14ac:dyDescent="0.35">
      <c r="A438" t="s">
        <v>10455</v>
      </c>
      <c r="B438" t="s">
        <v>7246</v>
      </c>
      <c r="C438" t="s">
        <v>4136</v>
      </c>
      <c r="D438" t="s">
        <v>4136</v>
      </c>
      <c r="E438" t="s">
        <v>4136</v>
      </c>
      <c r="G438" s="13" t="s">
        <v>10456</v>
      </c>
      <c r="H438" t="s">
        <v>10457</v>
      </c>
      <c r="K438" t="s">
        <v>10372</v>
      </c>
      <c r="L438" t="s">
        <v>6511</v>
      </c>
      <c r="M438" t="s">
        <v>7250</v>
      </c>
      <c r="N438">
        <v>2015</v>
      </c>
      <c r="R438">
        <v>600</v>
      </c>
      <c r="S438" t="s">
        <v>7251</v>
      </c>
      <c r="T438">
        <v>6.21</v>
      </c>
      <c r="U438">
        <v>2888</v>
      </c>
      <c r="V438">
        <v>137</v>
      </c>
      <c r="W438">
        <v>129.21</v>
      </c>
      <c r="X438">
        <v>137</v>
      </c>
      <c r="Y438">
        <v>36</v>
      </c>
      <c r="Z438" t="s">
        <v>7253</v>
      </c>
      <c r="AA438" t="s">
        <v>10458</v>
      </c>
      <c r="AC438" t="s">
        <v>8859</v>
      </c>
      <c r="AD438" t="s">
        <v>10401</v>
      </c>
      <c r="AF438" t="s">
        <v>10459</v>
      </c>
      <c r="AG438" t="s">
        <v>10418</v>
      </c>
      <c r="AI438" t="s">
        <v>8859</v>
      </c>
      <c r="AO438" t="s">
        <v>10460</v>
      </c>
    </row>
    <row r="439" spans="1:41" hidden="1" x14ac:dyDescent="0.35">
      <c r="A439" t="s">
        <v>10461</v>
      </c>
      <c r="B439" t="s">
        <v>7246</v>
      </c>
      <c r="C439" t="s">
        <v>4136</v>
      </c>
      <c r="D439" t="s">
        <v>4136</v>
      </c>
      <c r="E439" t="s">
        <v>4136</v>
      </c>
      <c r="G439" s="13" t="s">
        <v>10462</v>
      </c>
      <c r="H439" t="s">
        <v>10463</v>
      </c>
      <c r="J439" t="s">
        <v>10464</v>
      </c>
      <c r="K439" t="s">
        <v>10372</v>
      </c>
      <c r="L439" t="s">
        <v>6511</v>
      </c>
      <c r="M439" t="s">
        <v>7415</v>
      </c>
      <c r="N439">
        <v>2023</v>
      </c>
      <c r="R439">
        <v>375</v>
      </c>
      <c r="S439" t="s">
        <v>7251</v>
      </c>
      <c r="T439">
        <v>3.88</v>
      </c>
      <c r="U439">
        <v>1805</v>
      </c>
      <c r="V439">
        <v>150</v>
      </c>
      <c r="W439">
        <v>143.04</v>
      </c>
      <c r="X439">
        <v>150</v>
      </c>
      <c r="Y439">
        <v>30</v>
      </c>
      <c r="Z439" t="s">
        <v>7253</v>
      </c>
      <c r="AB439" t="s">
        <v>10465</v>
      </c>
      <c r="AC439" t="s">
        <v>8859</v>
      </c>
      <c r="AD439" t="s">
        <v>10465</v>
      </c>
      <c r="AG439" t="s">
        <v>10466</v>
      </c>
      <c r="AI439" t="s">
        <v>8859</v>
      </c>
      <c r="AO439" t="s">
        <v>10467</v>
      </c>
    </row>
    <row r="440" spans="1:41" hidden="1" x14ac:dyDescent="0.35">
      <c r="A440" t="s">
        <v>10468</v>
      </c>
      <c r="B440" t="s">
        <v>7246</v>
      </c>
      <c r="C440" t="s">
        <v>4136</v>
      </c>
      <c r="D440" t="s">
        <v>4136</v>
      </c>
      <c r="E440" t="s">
        <v>4136</v>
      </c>
      <c r="G440" s="13" t="s">
        <v>10469</v>
      </c>
      <c r="H440" t="s">
        <v>10470</v>
      </c>
      <c r="J440" t="s">
        <v>10471</v>
      </c>
      <c r="K440" t="s">
        <v>10372</v>
      </c>
      <c r="L440" t="s">
        <v>6511</v>
      </c>
      <c r="M440" t="s">
        <v>7250</v>
      </c>
      <c r="N440">
        <v>2014</v>
      </c>
      <c r="R440">
        <v>150</v>
      </c>
      <c r="S440" t="s">
        <v>7251</v>
      </c>
      <c r="T440">
        <v>1.55</v>
      </c>
      <c r="U440">
        <v>722</v>
      </c>
      <c r="V440">
        <v>53</v>
      </c>
      <c r="W440">
        <v>47.08</v>
      </c>
      <c r="X440">
        <v>53</v>
      </c>
      <c r="Y440">
        <v>12</v>
      </c>
      <c r="Z440" t="s">
        <v>7253</v>
      </c>
      <c r="AB440" t="s">
        <v>10472</v>
      </c>
      <c r="AC440" t="s">
        <v>8859</v>
      </c>
      <c r="AD440" t="s">
        <v>10473</v>
      </c>
      <c r="AF440" t="s">
        <v>10431</v>
      </c>
      <c r="AG440" t="s">
        <v>10431</v>
      </c>
      <c r="AI440" t="s">
        <v>8859</v>
      </c>
      <c r="AO440" t="s">
        <v>10474</v>
      </c>
    </row>
    <row r="441" spans="1:41" hidden="1" x14ac:dyDescent="0.35">
      <c r="A441" t="s">
        <v>10475</v>
      </c>
      <c r="B441" t="s">
        <v>7246</v>
      </c>
      <c r="C441" t="s">
        <v>4136</v>
      </c>
      <c r="D441" t="s">
        <v>4136</v>
      </c>
      <c r="E441" t="s">
        <v>4136</v>
      </c>
      <c r="G441" s="13" t="s">
        <v>10476</v>
      </c>
      <c r="H441" t="s">
        <v>10477</v>
      </c>
      <c r="J441" t="s">
        <v>10478</v>
      </c>
      <c r="K441" t="s">
        <v>10479</v>
      </c>
      <c r="L441" t="s">
        <v>6511</v>
      </c>
      <c r="M441" t="s">
        <v>7250</v>
      </c>
      <c r="N441">
        <v>1986</v>
      </c>
      <c r="R441">
        <v>330</v>
      </c>
      <c r="S441" t="s">
        <v>7251</v>
      </c>
      <c r="T441">
        <v>3.41</v>
      </c>
      <c r="U441">
        <v>1588.4</v>
      </c>
      <c r="V441">
        <v>57</v>
      </c>
      <c r="W441">
        <v>16.32</v>
      </c>
      <c r="X441">
        <v>57</v>
      </c>
      <c r="Y441" t="s">
        <v>10480</v>
      </c>
      <c r="Z441" t="s">
        <v>7253</v>
      </c>
      <c r="AB441" t="s">
        <v>10374</v>
      </c>
      <c r="AC441" t="s">
        <v>8859</v>
      </c>
      <c r="AD441" t="s">
        <v>2678</v>
      </c>
      <c r="AF441" t="s">
        <v>10374</v>
      </c>
      <c r="AG441" t="s">
        <v>2678</v>
      </c>
      <c r="AI441" t="s">
        <v>8859</v>
      </c>
      <c r="AO441" t="s">
        <v>10481</v>
      </c>
    </row>
    <row r="442" spans="1:41" hidden="1" x14ac:dyDescent="0.35">
      <c r="A442" t="s">
        <v>10482</v>
      </c>
      <c r="B442" t="s">
        <v>7246</v>
      </c>
      <c r="C442" t="s">
        <v>4136</v>
      </c>
      <c r="D442" t="s">
        <v>4136</v>
      </c>
      <c r="E442" t="s">
        <v>4136</v>
      </c>
      <c r="G442" s="13" t="s">
        <v>10483</v>
      </c>
      <c r="H442" t="s">
        <v>10484</v>
      </c>
      <c r="K442" t="s">
        <v>10372</v>
      </c>
      <c r="L442" t="s">
        <v>6511</v>
      </c>
      <c r="M442" t="s">
        <v>7250</v>
      </c>
      <c r="N442">
        <v>2020</v>
      </c>
      <c r="R442">
        <v>800</v>
      </c>
      <c r="S442" t="s">
        <v>7251</v>
      </c>
      <c r="T442">
        <v>8.27</v>
      </c>
      <c r="U442">
        <v>3850.67</v>
      </c>
      <c r="V442">
        <v>181</v>
      </c>
      <c r="W442">
        <v>163.81</v>
      </c>
      <c r="X442">
        <v>181</v>
      </c>
      <c r="Y442">
        <v>36</v>
      </c>
      <c r="Z442" t="s">
        <v>7253</v>
      </c>
      <c r="AB442" t="s">
        <v>10374</v>
      </c>
      <c r="AC442" t="s">
        <v>8859</v>
      </c>
      <c r="AD442" t="s">
        <v>2678</v>
      </c>
      <c r="AF442" t="s">
        <v>10382</v>
      </c>
      <c r="AG442" t="s">
        <v>10383</v>
      </c>
      <c r="AI442" t="s">
        <v>8859</v>
      </c>
      <c r="AO442" t="s">
        <v>10485</v>
      </c>
    </row>
    <row r="443" spans="1:41" hidden="1" x14ac:dyDescent="0.35">
      <c r="A443" t="s">
        <v>10486</v>
      </c>
      <c r="B443" t="s">
        <v>7246</v>
      </c>
      <c r="C443" t="s">
        <v>4136</v>
      </c>
      <c r="D443" t="s">
        <v>4136</v>
      </c>
      <c r="E443" t="s">
        <v>4136</v>
      </c>
      <c r="G443" s="13" t="s">
        <v>10487</v>
      </c>
      <c r="H443" t="s">
        <v>10488</v>
      </c>
      <c r="J443" t="s">
        <v>10489</v>
      </c>
      <c r="K443" t="s">
        <v>10479</v>
      </c>
      <c r="L443" t="s">
        <v>6511</v>
      </c>
      <c r="M443" t="s">
        <v>7250</v>
      </c>
      <c r="N443">
        <v>1980</v>
      </c>
      <c r="R443">
        <v>150</v>
      </c>
      <c r="S443" t="s">
        <v>7251</v>
      </c>
      <c r="T443">
        <v>1.55</v>
      </c>
      <c r="U443">
        <v>722</v>
      </c>
      <c r="V443">
        <v>18</v>
      </c>
      <c r="W443">
        <v>21.92</v>
      </c>
      <c r="X443">
        <v>18</v>
      </c>
      <c r="Y443">
        <v>20</v>
      </c>
      <c r="Z443" t="s">
        <v>7253</v>
      </c>
      <c r="AB443" t="s">
        <v>10374</v>
      </c>
      <c r="AC443" t="s">
        <v>8859</v>
      </c>
      <c r="AD443" t="s">
        <v>2678</v>
      </c>
      <c r="AF443" t="s">
        <v>10490</v>
      </c>
      <c r="AG443" t="s">
        <v>2678</v>
      </c>
      <c r="AI443" t="s">
        <v>8859</v>
      </c>
      <c r="AO443" t="s">
        <v>10491</v>
      </c>
    </row>
    <row r="444" spans="1:41" hidden="1" x14ac:dyDescent="0.35">
      <c r="A444" t="s">
        <v>10492</v>
      </c>
      <c r="B444" t="s">
        <v>7246</v>
      </c>
      <c r="C444" t="s">
        <v>4136</v>
      </c>
      <c r="D444" t="s">
        <v>4136</v>
      </c>
      <c r="E444" t="s">
        <v>4136</v>
      </c>
      <c r="G444" s="13" t="s">
        <v>10493</v>
      </c>
      <c r="H444" t="s">
        <v>10494</v>
      </c>
      <c r="K444" t="s">
        <v>10495</v>
      </c>
      <c r="L444" t="s">
        <v>6511</v>
      </c>
      <c r="M444" t="s">
        <v>7250</v>
      </c>
      <c r="R444">
        <v>36</v>
      </c>
      <c r="S444" t="s">
        <v>7251</v>
      </c>
      <c r="T444">
        <v>0.37</v>
      </c>
      <c r="U444">
        <v>173.28</v>
      </c>
      <c r="V444">
        <v>11</v>
      </c>
      <c r="W444">
        <v>4.4800000000000004</v>
      </c>
      <c r="X444">
        <v>11</v>
      </c>
      <c r="Y444">
        <v>6</v>
      </c>
      <c r="Z444" t="s">
        <v>7253</v>
      </c>
      <c r="AB444" t="s">
        <v>10496</v>
      </c>
      <c r="AC444" t="s">
        <v>8859</v>
      </c>
      <c r="AD444" t="s">
        <v>10437</v>
      </c>
      <c r="AF444" t="s">
        <v>10497</v>
      </c>
      <c r="AG444" t="s">
        <v>10437</v>
      </c>
      <c r="AI444" t="s">
        <v>8859</v>
      </c>
      <c r="AO444" t="s">
        <v>10498</v>
      </c>
    </row>
    <row r="445" spans="1:41" hidden="1" x14ac:dyDescent="0.35">
      <c r="A445" t="s">
        <v>10499</v>
      </c>
      <c r="B445" t="s">
        <v>7246</v>
      </c>
      <c r="C445" t="s">
        <v>4136</v>
      </c>
      <c r="D445" t="s">
        <v>4136</v>
      </c>
      <c r="E445" t="s">
        <v>4136</v>
      </c>
      <c r="G445" s="13" t="s">
        <v>10500</v>
      </c>
      <c r="H445" t="s">
        <v>10501</v>
      </c>
      <c r="K445" t="s">
        <v>10372</v>
      </c>
      <c r="L445" t="s">
        <v>6511</v>
      </c>
      <c r="M445" t="s">
        <v>7250</v>
      </c>
      <c r="N445">
        <v>2008</v>
      </c>
      <c r="R445">
        <v>280</v>
      </c>
      <c r="S445" t="s">
        <v>7251</v>
      </c>
      <c r="T445">
        <v>2.9</v>
      </c>
      <c r="U445">
        <v>1347.73</v>
      </c>
      <c r="V445">
        <v>60</v>
      </c>
      <c r="W445">
        <v>12.65</v>
      </c>
      <c r="X445">
        <v>60</v>
      </c>
      <c r="Y445">
        <v>20</v>
      </c>
      <c r="Z445" t="s">
        <v>7253</v>
      </c>
      <c r="AB445" t="s">
        <v>10502</v>
      </c>
      <c r="AC445" t="s">
        <v>8859</v>
      </c>
      <c r="AD445" t="s">
        <v>10418</v>
      </c>
      <c r="AF445" t="s">
        <v>10503</v>
      </c>
      <c r="AG445" t="s">
        <v>10418</v>
      </c>
      <c r="AI445" t="s">
        <v>8859</v>
      </c>
      <c r="AO445" t="s">
        <v>10504</v>
      </c>
    </row>
    <row r="446" spans="1:41" hidden="1" x14ac:dyDescent="0.35">
      <c r="A446" t="s">
        <v>10505</v>
      </c>
      <c r="B446" t="s">
        <v>7246</v>
      </c>
      <c r="C446" t="s">
        <v>4136</v>
      </c>
      <c r="D446" t="s">
        <v>4136</v>
      </c>
      <c r="E446" t="s">
        <v>4136</v>
      </c>
      <c r="G446" s="13" t="s">
        <v>10506</v>
      </c>
      <c r="H446" t="s">
        <v>10507</v>
      </c>
      <c r="K446" t="s">
        <v>10508</v>
      </c>
      <c r="L446" t="s">
        <v>6511</v>
      </c>
      <c r="M446" t="s">
        <v>7250</v>
      </c>
      <c r="N446">
        <v>1991</v>
      </c>
      <c r="R446">
        <v>55</v>
      </c>
      <c r="S446" t="s">
        <v>7251</v>
      </c>
      <c r="T446">
        <v>0.56999999999999995</v>
      </c>
      <c r="U446">
        <v>264.73</v>
      </c>
      <c r="V446">
        <v>56</v>
      </c>
      <c r="W446">
        <v>81.37</v>
      </c>
      <c r="X446">
        <v>56</v>
      </c>
      <c r="Y446">
        <v>12</v>
      </c>
      <c r="Z446" t="s">
        <v>7253</v>
      </c>
      <c r="AB446" t="s">
        <v>10459</v>
      </c>
      <c r="AC446" t="s">
        <v>8859</v>
      </c>
      <c r="AD446" t="s">
        <v>10509</v>
      </c>
      <c r="AF446" t="s">
        <v>10510</v>
      </c>
      <c r="AG446" t="s">
        <v>10510</v>
      </c>
      <c r="AI446" t="s">
        <v>8859</v>
      </c>
      <c r="AO446" t="s">
        <v>10511</v>
      </c>
    </row>
    <row r="447" spans="1:41" hidden="1" x14ac:dyDescent="0.35">
      <c r="A447" t="s">
        <v>10512</v>
      </c>
      <c r="B447" t="s">
        <v>7246</v>
      </c>
      <c r="C447" t="s">
        <v>4136</v>
      </c>
      <c r="D447" t="s">
        <v>4136</v>
      </c>
      <c r="E447" t="s">
        <v>4136</v>
      </c>
      <c r="G447" s="13" t="s">
        <v>10513</v>
      </c>
      <c r="H447" t="s">
        <v>10514</v>
      </c>
      <c r="J447" t="s">
        <v>10515</v>
      </c>
      <c r="K447" t="s">
        <v>10372</v>
      </c>
      <c r="L447" t="s">
        <v>6511</v>
      </c>
      <c r="M447" t="s">
        <v>7250</v>
      </c>
      <c r="N447">
        <v>2000</v>
      </c>
      <c r="R447">
        <v>250</v>
      </c>
      <c r="S447" t="s">
        <v>7251</v>
      </c>
      <c r="T447">
        <v>2.59</v>
      </c>
      <c r="U447">
        <v>1203.33</v>
      </c>
      <c r="V447">
        <v>29</v>
      </c>
      <c r="W447">
        <v>35.340000000000003</v>
      </c>
      <c r="X447">
        <v>29</v>
      </c>
      <c r="Y447">
        <v>24</v>
      </c>
      <c r="Z447" t="s">
        <v>7253</v>
      </c>
      <c r="AB447" t="s">
        <v>10394</v>
      </c>
      <c r="AC447" t="s">
        <v>8859</v>
      </c>
      <c r="AD447" t="s">
        <v>10395</v>
      </c>
      <c r="AF447" t="s">
        <v>10516</v>
      </c>
      <c r="AG447" t="s">
        <v>10517</v>
      </c>
      <c r="AI447" t="s">
        <v>8859</v>
      </c>
      <c r="AO447" t="s">
        <v>10518</v>
      </c>
    </row>
    <row r="448" spans="1:41" hidden="1" x14ac:dyDescent="0.35">
      <c r="A448" t="s">
        <v>10519</v>
      </c>
      <c r="B448" t="s">
        <v>7246</v>
      </c>
      <c r="C448" t="s">
        <v>4136</v>
      </c>
      <c r="D448" t="s">
        <v>4136</v>
      </c>
      <c r="E448" t="s">
        <v>4136</v>
      </c>
      <c r="G448" s="13" t="s">
        <v>10520</v>
      </c>
      <c r="H448" t="s">
        <v>10521</v>
      </c>
      <c r="K448" t="s">
        <v>10508</v>
      </c>
      <c r="L448" t="s">
        <v>6511</v>
      </c>
      <c r="M448" t="s">
        <v>7250</v>
      </c>
      <c r="N448">
        <v>1991</v>
      </c>
      <c r="R448">
        <v>80</v>
      </c>
      <c r="S448" t="s">
        <v>7251</v>
      </c>
      <c r="T448">
        <v>0.83</v>
      </c>
      <c r="U448">
        <v>385.07</v>
      </c>
      <c r="V448">
        <v>42</v>
      </c>
      <c r="W448">
        <v>39.799999999999997</v>
      </c>
      <c r="X448">
        <v>42</v>
      </c>
      <c r="Y448">
        <v>12</v>
      </c>
      <c r="Z448" t="s">
        <v>7253</v>
      </c>
      <c r="AB448" t="s">
        <v>10394</v>
      </c>
      <c r="AC448" t="s">
        <v>8859</v>
      </c>
      <c r="AD448" t="s">
        <v>10395</v>
      </c>
      <c r="AF448" t="s">
        <v>10522</v>
      </c>
      <c r="AG448" t="s">
        <v>10418</v>
      </c>
      <c r="AI448" t="s">
        <v>8859</v>
      </c>
      <c r="AO448" t="s">
        <v>10523</v>
      </c>
    </row>
    <row r="449" spans="1:41" hidden="1" x14ac:dyDescent="0.35">
      <c r="A449" t="s">
        <v>10524</v>
      </c>
      <c r="B449" t="s">
        <v>7246</v>
      </c>
      <c r="C449" t="s">
        <v>4136</v>
      </c>
      <c r="D449" t="s">
        <v>4136</v>
      </c>
      <c r="E449" t="s">
        <v>4136</v>
      </c>
      <c r="G449" s="13" t="s">
        <v>10525</v>
      </c>
      <c r="H449" t="s">
        <v>10526</v>
      </c>
      <c r="J449" t="s">
        <v>10527</v>
      </c>
      <c r="K449" t="s">
        <v>10508</v>
      </c>
      <c r="L449" t="s">
        <v>6511</v>
      </c>
      <c r="M449" t="s">
        <v>7250</v>
      </c>
      <c r="N449">
        <v>2005</v>
      </c>
      <c r="R449">
        <v>85</v>
      </c>
      <c r="S449" t="s">
        <v>7251</v>
      </c>
      <c r="T449">
        <v>0.88</v>
      </c>
      <c r="U449">
        <v>409.13</v>
      </c>
      <c r="V449">
        <v>57.75</v>
      </c>
      <c r="W449">
        <v>57.93</v>
      </c>
      <c r="X449">
        <v>57.75</v>
      </c>
      <c r="Y449">
        <v>12</v>
      </c>
      <c r="Z449" t="s">
        <v>7253</v>
      </c>
      <c r="AB449" t="s">
        <v>10401</v>
      </c>
      <c r="AC449" t="s">
        <v>8859</v>
      </c>
      <c r="AD449" t="s">
        <v>10437</v>
      </c>
      <c r="AF449" t="s">
        <v>10380</v>
      </c>
      <c r="AG449" t="s">
        <v>10381</v>
      </c>
      <c r="AI449" t="s">
        <v>8859</v>
      </c>
      <c r="AO449" t="s">
        <v>10528</v>
      </c>
    </row>
    <row r="450" spans="1:41" hidden="1" x14ac:dyDescent="0.35">
      <c r="A450" t="s">
        <v>10529</v>
      </c>
      <c r="B450" t="s">
        <v>7246</v>
      </c>
      <c r="C450" t="s">
        <v>4136</v>
      </c>
      <c r="D450" t="s">
        <v>4136</v>
      </c>
      <c r="E450" t="s">
        <v>4136</v>
      </c>
      <c r="G450" s="13" t="s">
        <v>10530</v>
      </c>
      <c r="H450" t="s">
        <v>10531</v>
      </c>
      <c r="J450" t="s">
        <v>10532</v>
      </c>
      <c r="K450" t="s">
        <v>10495</v>
      </c>
      <c r="L450" t="s">
        <v>6511</v>
      </c>
      <c r="M450" t="s">
        <v>7250</v>
      </c>
      <c r="N450">
        <v>1961</v>
      </c>
      <c r="R450">
        <v>62</v>
      </c>
      <c r="S450" t="s">
        <v>7251</v>
      </c>
      <c r="T450">
        <v>0.64</v>
      </c>
      <c r="U450">
        <v>298.43</v>
      </c>
      <c r="V450">
        <v>43</v>
      </c>
      <c r="W450">
        <v>32.840000000000003</v>
      </c>
      <c r="X450">
        <v>43</v>
      </c>
      <c r="AA450" t="s">
        <v>10533</v>
      </c>
      <c r="AC450" t="s">
        <v>8859</v>
      </c>
      <c r="AD450" t="s">
        <v>10437</v>
      </c>
      <c r="AF450" t="s">
        <v>10534</v>
      </c>
      <c r="AG450" t="s">
        <v>10437</v>
      </c>
      <c r="AI450" t="s">
        <v>8859</v>
      </c>
      <c r="AO450" t="s">
        <v>10535</v>
      </c>
    </row>
    <row r="451" spans="1:41" hidden="1" x14ac:dyDescent="0.35">
      <c r="A451" t="s">
        <v>10536</v>
      </c>
      <c r="B451" t="s">
        <v>7246</v>
      </c>
      <c r="C451" t="s">
        <v>4136</v>
      </c>
      <c r="D451" t="s">
        <v>4136</v>
      </c>
      <c r="E451" t="s">
        <v>4136</v>
      </c>
      <c r="G451" s="13" t="s">
        <v>10537</v>
      </c>
      <c r="H451" t="s">
        <v>10538</v>
      </c>
      <c r="J451" t="s">
        <v>10539</v>
      </c>
      <c r="K451" t="s">
        <v>10372</v>
      </c>
      <c r="L451" t="s">
        <v>6511</v>
      </c>
      <c r="M451" t="s">
        <v>7250</v>
      </c>
      <c r="N451">
        <v>2016</v>
      </c>
      <c r="R451">
        <v>400</v>
      </c>
      <c r="S451" t="s">
        <v>7251</v>
      </c>
      <c r="T451">
        <v>4.1399999999999997</v>
      </c>
      <c r="U451">
        <v>1925.33</v>
      </c>
      <c r="V451">
        <v>84</v>
      </c>
      <c r="W451">
        <v>71.91</v>
      </c>
      <c r="X451">
        <v>84</v>
      </c>
      <c r="Y451">
        <v>30</v>
      </c>
      <c r="Z451" t="s">
        <v>7253</v>
      </c>
      <c r="AB451" t="s">
        <v>10540</v>
      </c>
      <c r="AC451" t="s">
        <v>8859</v>
      </c>
      <c r="AD451" t="s">
        <v>10418</v>
      </c>
      <c r="AF451" t="s">
        <v>10444</v>
      </c>
      <c r="AG451" t="s">
        <v>10445</v>
      </c>
      <c r="AI451" t="s">
        <v>8859</v>
      </c>
      <c r="AO451" t="s">
        <v>10541</v>
      </c>
    </row>
    <row r="452" spans="1:41" hidden="1" x14ac:dyDescent="0.35">
      <c r="A452" t="s">
        <v>10542</v>
      </c>
      <c r="B452" t="s">
        <v>7246</v>
      </c>
      <c r="C452" t="s">
        <v>4136</v>
      </c>
      <c r="D452" t="s">
        <v>4136</v>
      </c>
      <c r="E452" t="s">
        <v>4136</v>
      </c>
      <c r="G452" s="13" t="s">
        <v>10543</v>
      </c>
      <c r="H452" t="s">
        <v>10544</v>
      </c>
      <c r="J452" t="s">
        <v>10545</v>
      </c>
      <c r="K452" t="s">
        <v>10372</v>
      </c>
      <c r="L452" t="s">
        <v>6511</v>
      </c>
      <c r="M452" t="s">
        <v>7250</v>
      </c>
      <c r="N452">
        <v>2006</v>
      </c>
      <c r="R452">
        <v>250</v>
      </c>
      <c r="S452" t="s">
        <v>7251</v>
      </c>
      <c r="T452">
        <v>2.59</v>
      </c>
      <c r="U452">
        <v>1203.33</v>
      </c>
      <c r="V452">
        <v>54</v>
      </c>
      <c r="W452">
        <v>49.71</v>
      </c>
      <c r="X452">
        <v>54</v>
      </c>
      <c r="Y452">
        <v>20</v>
      </c>
      <c r="Z452" t="s">
        <v>7253</v>
      </c>
      <c r="AB452" t="s">
        <v>10540</v>
      </c>
      <c r="AC452" t="s">
        <v>8859</v>
      </c>
      <c r="AD452" t="s">
        <v>10418</v>
      </c>
      <c r="AF452" t="s">
        <v>10465</v>
      </c>
      <c r="AG452" t="s">
        <v>10465</v>
      </c>
      <c r="AI452" t="s">
        <v>8859</v>
      </c>
      <c r="AO452" t="s">
        <v>10546</v>
      </c>
    </row>
    <row r="453" spans="1:41" hidden="1" x14ac:dyDescent="0.35">
      <c r="A453" t="s">
        <v>10547</v>
      </c>
      <c r="B453" t="s">
        <v>7246</v>
      </c>
      <c r="C453" t="s">
        <v>4136</v>
      </c>
      <c r="D453" t="s">
        <v>4136</v>
      </c>
      <c r="E453" t="s">
        <v>4136</v>
      </c>
      <c r="G453" s="13" t="s">
        <v>10548</v>
      </c>
      <c r="H453" t="s">
        <v>10549</v>
      </c>
      <c r="K453" t="s">
        <v>10495</v>
      </c>
      <c r="L453" t="s">
        <v>6511</v>
      </c>
      <c r="M453" t="s">
        <v>7250</v>
      </c>
      <c r="N453">
        <v>1998</v>
      </c>
      <c r="R453">
        <v>44</v>
      </c>
      <c r="S453" t="s">
        <v>7251</v>
      </c>
      <c r="T453">
        <v>0.46</v>
      </c>
      <c r="U453">
        <v>211.79</v>
      </c>
      <c r="V453">
        <v>15</v>
      </c>
      <c r="W453">
        <v>40.520000000000003</v>
      </c>
      <c r="X453">
        <v>15</v>
      </c>
      <c r="AA453" t="s">
        <v>10438</v>
      </c>
      <c r="AC453" t="s">
        <v>8859</v>
      </c>
      <c r="AD453" t="s">
        <v>10437</v>
      </c>
      <c r="AF453" t="s">
        <v>10550</v>
      </c>
      <c r="AG453" t="s">
        <v>10551</v>
      </c>
      <c r="AI453" t="s">
        <v>8859</v>
      </c>
      <c r="AO453" t="s">
        <v>10552</v>
      </c>
    </row>
    <row r="454" spans="1:41" hidden="1" x14ac:dyDescent="0.35">
      <c r="A454" t="s">
        <v>10553</v>
      </c>
      <c r="B454" t="s">
        <v>7246</v>
      </c>
      <c r="C454" t="s">
        <v>4136</v>
      </c>
      <c r="D454" t="s">
        <v>4136</v>
      </c>
      <c r="E454" t="s">
        <v>4136</v>
      </c>
      <c r="G454" s="13" t="s">
        <v>10554</v>
      </c>
      <c r="H454" t="s">
        <v>10555</v>
      </c>
      <c r="K454" t="s">
        <v>10495</v>
      </c>
      <c r="L454" t="s">
        <v>6511</v>
      </c>
      <c r="M454" t="s">
        <v>7250</v>
      </c>
      <c r="N454">
        <v>1998</v>
      </c>
      <c r="R454">
        <v>36</v>
      </c>
      <c r="S454" t="s">
        <v>7251</v>
      </c>
      <c r="T454">
        <v>0.37</v>
      </c>
      <c r="U454">
        <v>173.28</v>
      </c>
      <c r="V454">
        <v>39</v>
      </c>
      <c r="W454">
        <v>30.52</v>
      </c>
      <c r="X454">
        <v>39</v>
      </c>
      <c r="Y454">
        <v>6</v>
      </c>
      <c r="Z454" t="s">
        <v>7253</v>
      </c>
      <c r="AB454" t="s">
        <v>10556</v>
      </c>
      <c r="AC454" t="s">
        <v>8859</v>
      </c>
      <c r="AD454" t="s">
        <v>10437</v>
      </c>
      <c r="AF454" t="s">
        <v>10550</v>
      </c>
      <c r="AG454" t="s">
        <v>10551</v>
      </c>
      <c r="AI454" t="s">
        <v>8859</v>
      </c>
      <c r="AO454" t="s">
        <v>10557</v>
      </c>
    </row>
    <row r="455" spans="1:41" hidden="1" x14ac:dyDescent="0.35">
      <c r="A455" t="s">
        <v>10558</v>
      </c>
      <c r="B455" t="s">
        <v>7246</v>
      </c>
      <c r="C455" t="s">
        <v>4136</v>
      </c>
      <c r="D455" t="s">
        <v>4136</v>
      </c>
      <c r="E455" t="s">
        <v>4136</v>
      </c>
      <c r="G455" s="13" t="s">
        <v>10559</v>
      </c>
      <c r="H455" t="s">
        <v>10560</v>
      </c>
      <c r="K455" t="s">
        <v>10372</v>
      </c>
      <c r="L455" t="s">
        <v>6511</v>
      </c>
      <c r="M455" t="s">
        <v>7731</v>
      </c>
      <c r="N455">
        <v>2021</v>
      </c>
      <c r="R455">
        <v>250</v>
      </c>
      <c r="S455" t="s">
        <v>7251</v>
      </c>
      <c r="T455">
        <v>2.59</v>
      </c>
      <c r="U455">
        <v>1203.33</v>
      </c>
      <c r="V455">
        <v>67</v>
      </c>
      <c r="W455">
        <v>43.72</v>
      </c>
      <c r="X455">
        <v>67</v>
      </c>
      <c r="AB455" t="s">
        <v>10561</v>
      </c>
      <c r="AC455" t="s">
        <v>8859</v>
      </c>
      <c r="AD455" t="s">
        <v>10383</v>
      </c>
      <c r="AF455" t="s">
        <v>10562</v>
      </c>
      <c r="AG455" t="s">
        <v>10563</v>
      </c>
      <c r="AI455" t="s">
        <v>8859</v>
      </c>
      <c r="AO455" t="s">
        <v>10564</v>
      </c>
    </row>
    <row r="456" spans="1:41" hidden="1" x14ac:dyDescent="0.35">
      <c r="A456" t="s">
        <v>10565</v>
      </c>
      <c r="B456" t="s">
        <v>7246</v>
      </c>
      <c r="C456" t="s">
        <v>4136</v>
      </c>
      <c r="D456" t="s">
        <v>4136</v>
      </c>
      <c r="E456" t="s">
        <v>4136</v>
      </c>
      <c r="G456" s="13" t="s">
        <v>10566</v>
      </c>
      <c r="H456" t="s">
        <v>10567</v>
      </c>
      <c r="J456" t="s">
        <v>10568</v>
      </c>
      <c r="K456" t="s">
        <v>10372</v>
      </c>
      <c r="L456" t="s">
        <v>6511</v>
      </c>
      <c r="M456" t="s">
        <v>7292</v>
      </c>
      <c r="N456">
        <v>2025</v>
      </c>
      <c r="R456">
        <v>116</v>
      </c>
      <c r="S456" t="s">
        <v>7251</v>
      </c>
      <c r="T456">
        <v>1.2</v>
      </c>
      <c r="U456">
        <v>558.35</v>
      </c>
      <c r="V456">
        <v>170</v>
      </c>
      <c r="W456">
        <v>137.88</v>
      </c>
      <c r="X456">
        <v>170</v>
      </c>
      <c r="Y456">
        <v>30</v>
      </c>
      <c r="Z456" t="s">
        <v>7253</v>
      </c>
      <c r="AB456" t="s">
        <v>10569</v>
      </c>
      <c r="AC456" t="s">
        <v>8859</v>
      </c>
      <c r="AD456" t="s">
        <v>10570</v>
      </c>
      <c r="AF456" t="s">
        <v>10446</v>
      </c>
      <c r="AG456" t="s">
        <v>10446</v>
      </c>
      <c r="AI456" t="s">
        <v>8859</v>
      </c>
      <c r="AO456" t="s">
        <v>10571</v>
      </c>
    </row>
    <row r="457" spans="1:41" hidden="1" x14ac:dyDescent="0.35">
      <c r="A457" t="s">
        <v>10572</v>
      </c>
      <c r="B457" t="s">
        <v>7246</v>
      </c>
      <c r="C457" t="s">
        <v>4136</v>
      </c>
      <c r="D457" t="s">
        <v>4136</v>
      </c>
      <c r="E457" t="s">
        <v>4136</v>
      </c>
      <c r="G457" s="13" t="s">
        <v>10573</v>
      </c>
      <c r="H457" t="s">
        <v>10574</v>
      </c>
      <c r="K457" t="s">
        <v>10372</v>
      </c>
      <c r="L457" t="s">
        <v>6511</v>
      </c>
      <c r="M457" t="s">
        <v>7250</v>
      </c>
      <c r="N457">
        <v>2017</v>
      </c>
      <c r="R457">
        <v>500</v>
      </c>
      <c r="S457" t="s">
        <v>7251</v>
      </c>
      <c r="T457">
        <v>5.17</v>
      </c>
      <c r="U457">
        <v>2406.67</v>
      </c>
      <c r="V457">
        <v>91</v>
      </c>
      <c r="W457">
        <v>112.7</v>
      </c>
      <c r="X457">
        <v>91</v>
      </c>
      <c r="Y457">
        <v>30</v>
      </c>
      <c r="Z457" t="s">
        <v>7253</v>
      </c>
      <c r="AB457" t="s">
        <v>10575</v>
      </c>
      <c r="AC457" t="s">
        <v>8859</v>
      </c>
      <c r="AD457" t="s">
        <v>2678</v>
      </c>
      <c r="AF457" t="s">
        <v>10373</v>
      </c>
      <c r="AG457" t="s">
        <v>2678</v>
      </c>
      <c r="AI457" t="s">
        <v>8859</v>
      </c>
      <c r="AO457" t="s">
        <v>10576</v>
      </c>
    </row>
    <row r="458" spans="1:41" hidden="1" x14ac:dyDescent="0.35">
      <c r="A458" t="s">
        <v>10577</v>
      </c>
      <c r="B458" t="s">
        <v>7246</v>
      </c>
      <c r="C458" t="s">
        <v>4136</v>
      </c>
      <c r="D458" t="s">
        <v>4136</v>
      </c>
      <c r="E458" t="s">
        <v>4136</v>
      </c>
      <c r="G458" s="13" t="s">
        <v>10578</v>
      </c>
      <c r="H458" t="s">
        <v>10579</v>
      </c>
      <c r="J458" t="s">
        <v>10580</v>
      </c>
      <c r="K458" t="s">
        <v>10372</v>
      </c>
      <c r="L458" t="s">
        <v>6511</v>
      </c>
      <c r="M458" t="s">
        <v>7250</v>
      </c>
      <c r="N458">
        <v>2014</v>
      </c>
      <c r="R458">
        <v>400</v>
      </c>
      <c r="S458" t="s">
        <v>7251</v>
      </c>
      <c r="T458">
        <v>4.1399999999999997</v>
      </c>
      <c r="U458">
        <v>1925.33</v>
      </c>
      <c r="V458">
        <v>51</v>
      </c>
      <c r="W458">
        <v>34.71</v>
      </c>
      <c r="X458">
        <v>51</v>
      </c>
      <c r="Y458">
        <v>30</v>
      </c>
      <c r="Z458" t="s">
        <v>7253</v>
      </c>
      <c r="AB458" t="s">
        <v>10406</v>
      </c>
      <c r="AC458" t="s">
        <v>8859</v>
      </c>
      <c r="AD458" t="s">
        <v>10437</v>
      </c>
      <c r="AF458" t="s">
        <v>10459</v>
      </c>
      <c r="AG458" t="s">
        <v>10418</v>
      </c>
      <c r="AI458" t="s">
        <v>8859</v>
      </c>
      <c r="AO458" t="s">
        <v>10581</v>
      </c>
    </row>
    <row r="459" spans="1:41" hidden="1" x14ac:dyDescent="0.35">
      <c r="A459" t="s">
        <v>10582</v>
      </c>
      <c r="B459" t="s">
        <v>7246</v>
      </c>
      <c r="C459" t="s">
        <v>4136</v>
      </c>
      <c r="D459" t="s">
        <v>4136</v>
      </c>
      <c r="E459" t="s">
        <v>4136</v>
      </c>
      <c r="G459" s="13" t="s">
        <v>10583</v>
      </c>
      <c r="H459" t="s">
        <v>10584</v>
      </c>
      <c r="K459" t="s">
        <v>10508</v>
      </c>
      <c r="L459" t="s">
        <v>6511</v>
      </c>
      <c r="M459" t="s">
        <v>7250</v>
      </c>
      <c r="N459">
        <v>2009</v>
      </c>
      <c r="R459">
        <v>300</v>
      </c>
      <c r="S459" t="s">
        <v>7251</v>
      </c>
      <c r="T459">
        <v>3.1</v>
      </c>
      <c r="U459">
        <v>1444</v>
      </c>
      <c r="V459">
        <v>24.5</v>
      </c>
      <c r="W459">
        <v>25.36</v>
      </c>
      <c r="X459">
        <v>24.5</v>
      </c>
      <c r="Y459">
        <v>20</v>
      </c>
      <c r="Z459" t="s">
        <v>7253</v>
      </c>
      <c r="AB459" t="s">
        <v>10406</v>
      </c>
      <c r="AC459" t="s">
        <v>8859</v>
      </c>
      <c r="AD459" t="s">
        <v>10418</v>
      </c>
      <c r="AG459" t="s">
        <v>10407</v>
      </c>
      <c r="AI459" t="s">
        <v>8859</v>
      </c>
      <c r="AO459" t="s">
        <v>10585</v>
      </c>
    </row>
    <row r="460" spans="1:41" x14ac:dyDescent="0.35">
      <c r="A460" t="s">
        <v>10586</v>
      </c>
      <c r="B460" t="s">
        <v>7246</v>
      </c>
      <c r="C460" t="s">
        <v>24</v>
      </c>
      <c r="D460" t="s">
        <v>24</v>
      </c>
      <c r="E460" t="s">
        <v>24</v>
      </c>
      <c r="F460" t="s">
        <v>354</v>
      </c>
      <c r="G460" s="13" t="s">
        <v>10587</v>
      </c>
      <c r="H460" t="s">
        <v>10588</v>
      </c>
      <c r="K460" t="s">
        <v>10589</v>
      </c>
      <c r="L460" t="s">
        <v>10589</v>
      </c>
      <c r="M460" t="s">
        <v>7292</v>
      </c>
      <c r="R460">
        <v>200</v>
      </c>
      <c r="S460" t="s">
        <v>9164</v>
      </c>
      <c r="T460">
        <v>2.0499999999999998</v>
      </c>
      <c r="U460">
        <v>951.9</v>
      </c>
      <c r="V460">
        <v>240</v>
      </c>
      <c r="W460">
        <v>238.64</v>
      </c>
      <c r="X460">
        <v>240</v>
      </c>
      <c r="AA460" t="s">
        <v>10590</v>
      </c>
      <c r="AC460" t="s">
        <v>9165</v>
      </c>
      <c r="AE460" t="s">
        <v>2973</v>
      </c>
      <c r="AF460" t="s">
        <v>10591</v>
      </c>
      <c r="AH460" t="s">
        <v>2973</v>
      </c>
      <c r="AI460" t="s">
        <v>9165</v>
      </c>
      <c r="AO460" t="s">
        <v>10592</v>
      </c>
    </row>
    <row r="461" spans="1:41" x14ac:dyDescent="0.35">
      <c r="A461" t="s">
        <v>10593</v>
      </c>
      <c r="B461" t="s">
        <v>7246</v>
      </c>
      <c r="C461" t="s">
        <v>24</v>
      </c>
      <c r="D461" t="s">
        <v>24</v>
      </c>
      <c r="E461" t="s">
        <v>24</v>
      </c>
      <c r="F461" t="s">
        <v>354</v>
      </c>
      <c r="G461" s="13" t="s">
        <v>10594</v>
      </c>
      <c r="H461" t="s">
        <v>10595</v>
      </c>
      <c r="K461" t="s">
        <v>10596</v>
      </c>
      <c r="L461" t="s">
        <v>10596</v>
      </c>
      <c r="M461" t="s">
        <v>7292</v>
      </c>
      <c r="N461">
        <v>2023</v>
      </c>
      <c r="T461" t="s">
        <v>6546</v>
      </c>
      <c r="U461" t="s">
        <v>6546</v>
      </c>
      <c r="V461">
        <v>430</v>
      </c>
      <c r="W461">
        <v>316.72000000000003</v>
      </c>
      <c r="X461">
        <v>430</v>
      </c>
      <c r="AA461" t="s">
        <v>10597</v>
      </c>
      <c r="AB461" t="s">
        <v>10598</v>
      </c>
      <c r="AC461" t="s">
        <v>9165</v>
      </c>
      <c r="AE461" t="s">
        <v>6388</v>
      </c>
      <c r="AF461" t="s">
        <v>6467</v>
      </c>
      <c r="AH461" t="s">
        <v>6388</v>
      </c>
      <c r="AI461" t="s">
        <v>9165</v>
      </c>
      <c r="AO461" t="s">
        <v>10599</v>
      </c>
    </row>
    <row r="462" spans="1:41" x14ac:dyDescent="0.35">
      <c r="A462" t="s">
        <v>10600</v>
      </c>
      <c r="B462" t="s">
        <v>7246</v>
      </c>
      <c r="C462" t="s">
        <v>24</v>
      </c>
      <c r="D462" t="s">
        <v>24</v>
      </c>
      <c r="E462" t="s">
        <v>24</v>
      </c>
      <c r="F462" t="s">
        <v>354</v>
      </c>
      <c r="G462" s="13" t="s">
        <v>10601</v>
      </c>
      <c r="H462" t="s">
        <v>10602</v>
      </c>
      <c r="K462" t="s">
        <v>10603</v>
      </c>
      <c r="L462" t="s">
        <v>10603</v>
      </c>
      <c r="M462" t="s">
        <v>7250</v>
      </c>
      <c r="N462">
        <v>2007</v>
      </c>
      <c r="R462">
        <v>107.78</v>
      </c>
      <c r="S462" t="s">
        <v>7251</v>
      </c>
      <c r="T462">
        <v>1.1100000000000001</v>
      </c>
      <c r="U462">
        <v>518.78</v>
      </c>
      <c r="V462">
        <v>70</v>
      </c>
      <c r="W462">
        <v>52.7</v>
      </c>
      <c r="X462">
        <v>70</v>
      </c>
      <c r="AA462" t="s">
        <v>10604</v>
      </c>
      <c r="AB462" t="s">
        <v>10605</v>
      </c>
      <c r="AC462" t="s">
        <v>9165</v>
      </c>
      <c r="AE462" t="s">
        <v>2969</v>
      </c>
      <c r="AF462" t="s">
        <v>10606</v>
      </c>
      <c r="AH462" t="s">
        <v>2969</v>
      </c>
      <c r="AI462" t="s">
        <v>9165</v>
      </c>
      <c r="AO462" t="s">
        <v>10607</v>
      </c>
    </row>
    <row r="463" spans="1:41" hidden="1" x14ac:dyDescent="0.35">
      <c r="A463" t="s">
        <v>10608</v>
      </c>
      <c r="B463" t="s">
        <v>7246</v>
      </c>
      <c r="C463" t="s">
        <v>383</v>
      </c>
      <c r="D463" t="s">
        <v>383</v>
      </c>
      <c r="E463" t="s">
        <v>383</v>
      </c>
      <c r="G463" s="13" t="s">
        <v>10609</v>
      </c>
      <c r="H463" t="s">
        <v>10610</v>
      </c>
      <c r="I463" t="s">
        <v>7331</v>
      </c>
      <c r="J463" t="s">
        <v>10611</v>
      </c>
      <c r="K463" t="s">
        <v>10612</v>
      </c>
      <c r="L463" t="s">
        <v>10612</v>
      </c>
      <c r="M463" t="s">
        <v>7250</v>
      </c>
      <c r="N463">
        <v>2021</v>
      </c>
      <c r="R463">
        <v>78.25</v>
      </c>
      <c r="S463" t="s">
        <v>8792</v>
      </c>
      <c r="T463">
        <v>28.58</v>
      </c>
      <c r="U463">
        <v>13301.04</v>
      </c>
      <c r="V463">
        <v>365</v>
      </c>
      <c r="W463">
        <v>337.4</v>
      </c>
      <c r="X463">
        <v>365</v>
      </c>
      <c r="AB463" t="s">
        <v>10613</v>
      </c>
      <c r="AC463" t="s">
        <v>8859</v>
      </c>
      <c r="AE463" t="s">
        <v>3075</v>
      </c>
      <c r="AF463" t="s">
        <v>10614</v>
      </c>
      <c r="AH463" t="s">
        <v>10615</v>
      </c>
      <c r="AI463" t="s">
        <v>8859</v>
      </c>
      <c r="AO463" t="s">
        <v>10616</v>
      </c>
    </row>
    <row r="464" spans="1:41" hidden="1" x14ac:dyDescent="0.35">
      <c r="A464" t="s">
        <v>10617</v>
      </c>
      <c r="B464" t="s">
        <v>7246</v>
      </c>
      <c r="C464" t="s">
        <v>383</v>
      </c>
      <c r="D464" t="s">
        <v>383</v>
      </c>
      <c r="E464" t="s">
        <v>383</v>
      </c>
      <c r="G464" s="13" t="s">
        <v>10618</v>
      </c>
      <c r="H464" t="s">
        <v>10619</v>
      </c>
      <c r="K464" t="s">
        <v>10620</v>
      </c>
      <c r="L464" t="s">
        <v>10620</v>
      </c>
      <c r="M464" t="s">
        <v>7250</v>
      </c>
      <c r="N464">
        <v>2022</v>
      </c>
      <c r="R464">
        <v>80.11</v>
      </c>
      <c r="S464" t="s">
        <v>8792</v>
      </c>
      <c r="T464">
        <v>29.26</v>
      </c>
      <c r="U464">
        <v>13617.2</v>
      </c>
      <c r="V464">
        <v>1850</v>
      </c>
      <c r="W464">
        <v>2317</v>
      </c>
      <c r="X464">
        <v>1850</v>
      </c>
      <c r="AB464" t="s">
        <v>10621</v>
      </c>
      <c r="AC464" t="s">
        <v>8859</v>
      </c>
      <c r="AE464" t="s">
        <v>3089</v>
      </c>
      <c r="AF464" t="s">
        <v>2700</v>
      </c>
      <c r="AH464" t="s">
        <v>3539</v>
      </c>
      <c r="AI464" t="s">
        <v>8859</v>
      </c>
      <c r="AO464" t="s">
        <v>10622</v>
      </c>
    </row>
    <row r="465" spans="1:41" hidden="1" x14ac:dyDescent="0.35">
      <c r="A465" t="s">
        <v>10623</v>
      </c>
      <c r="B465" t="s">
        <v>7246</v>
      </c>
      <c r="C465" t="s">
        <v>423</v>
      </c>
      <c r="D465" t="s">
        <v>5705</v>
      </c>
      <c r="E465" t="s">
        <v>10624</v>
      </c>
      <c r="G465" s="13" t="s">
        <v>10625</v>
      </c>
      <c r="H465" t="s">
        <v>10626</v>
      </c>
      <c r="K465" t="s">
        <v>9976</v>
      </c>
      <c r="L465" t="s">
        <v>9976</v>
      </c>
      <c r="M465" t="s">
        <v>7250</v>
      </c>
      <c r="N465">
        <v>2020</v>
      </c>
      <c r="R465">
        <v>15.75</v>
      </c>
      <c r="S465" t="s">
        <v>8257</v>
      </c>
      <c r="T465">
        <v>15.75</v>
      </c>
      <c r="U465">
        <v>7329.79</v>
      </c>
      <c r="V465">
        <v>1646</v>
      </c>
      <c r="W465">
        <v>1813.89</v>
      </c>
      <c r="X465">
        <v>1646</v>
      </c>
      <c r="Y465">
        <v>810</v>
      </c>
      <c r="Z465" t="s">
        <v>8842</v>
      </c>
      <c r="AC465" t="s">
        <v>8844</v>
      </c>
      <c r="AI465" t="s">
        <v>8777</v>
      </c>
      <c r="AO465" t="s">
        <v>10627</v>
      </c>
    </row>
    <row r="466" spans="1:41" hidden="1" x14ac:dyDescent="0.35">
      <c r="A466" t="s">
        <v>10628</v>
      </c>
      <c r="B466" t="s">
        <v>7246</v>
      </c>
      <c r="C466" t="s">
        <v>351</v>
      </c>
      <c r="D466" t="s">
        <v>351</v>
      </c>
      <c r="E466" t="s">
        <v>351</v>
      </c>
      <c r="G466" s="13" t="s">
        <v>10629</v>
      </c>
      <c r="H466" t="s">
        <v>10630</v>
      </c>
      <c r="K466" t="s">
        <v>10631</v>
      </c>
      <c r="L466" t="s">
        <v>10631</v>
      </c>
      <c r="M466" t="s">
        <v>7250</v>
      </c>
      <c r="N466">
        <v>2007</v>
      </c>
      <c r="R466">
        <v>9.9</v>
      </c>
      <c r="S466" t="s">
        <v>7251</v>
      </c>
      <c r="T466">
        <v>0.1</v>
      </c>
      <c r="U466">
        <v>47.65</v>
      </c>
      <c r="V466">
        <v>186</v>
      </c>
      <c r="W466">
        <v>164.93</v>
      </c>
      <c r="X466">
        <v>186</v>
      </c>
      <c r="Y466">
        <v>6</v>
      </c>
      <c r="Z466" t="s">
        <v>7253</v>
      </c>
      <c r="AB466" t="s">
        <v>10632</v>
      </c>
      <c r="AC466" t="s">
        <v>8523</v>
      </c>
      <c r="AE466" t="s">
        <v>10633</v>
      </c>
      <c r="AF466" t="s">
        <v>10634</v>
      </c>
      <c r="AH466" t="s">
        <v>3148</v>
      </c>
      <c r="AI466" t="s">
        <v>8523</v>
      </c>
      <c r="AL466" t="s">
        <v>10635</v>
      </c>
      <c r="AN466" s="13" t="s">
        <v>10636</v>
      </c>
      <c r="AO466" t="s">
        <v>10637</v>
      </c>
    </row>
    <row r="467" spans="1:41" hidden="1" x14ac:dyDescent="0.35">
      <c r="A467" t="s">
        <v>10638</v>
      </c>
      <c r="B467" t="s">
        <v>7246</v>
      </c>
      <c r="C467" t="s">
        <v>351</v>
      </c>
      <c r="D467" t="s">
        <v>351</v>
      </c>
      <c r="E467" t="s">
        <v>351</v>
      </c>
      <c r="G467" s="13" t="s">
        <v>10639</v>
      </c>
      <c r="H467" t="s">
        <v>10640</v>
      </c>
      <c r="K467" t="s">
        <v>10641</v>
      </c>
      <c r="L467" t="s">
        <v>10642</v>
      </c>
      <c r="M467" t="s">
        <v>7250</v>
      </c>
      <c r="N467">
        <v>2010</v>
      </c>
      <c r="R467">
        <v>247.2</v>
      </c>
      <c r="S467" t="s">
        <v>7251</v>
      </c>
      <c r="T467">
        <v>2.56</v>
      </c>
      <c r="U467">
        <v>1189.8599999999999</v>
      </c>
      <c r="V467">
        <v>37</v>
      </c>
      <c r="W467">
        <v>47.27</v>
      </c>
      <c r="X467">
        <v>37</v>
      </c>
      <c r="Y467">
        <v>24</v>
      </c>
      <c r="Z467" t="s">
        <v>7253</v>
      </c>
      <c r="AB467" t="s">
        <v>10643</v>
      </c>
      <c r="AC467" t="s">
        <v>8523</v>
      </c>
      <c r="AE467" t="s">
        <v>10644</v>
      </c>
      <c r="AF467" t="s">
        <v>10645</v>
      </c>
      <c r="AH467" t="s">
        <v>3179</v>
      </c>
      <c r="AI467" t="s">
        <v>8523</v>
      </c>
      <c r="AL467" t="s">
        <v>10646</v>
      </c>
      <c r="AN467" s="13" t="s">
        <v>10647</v>
      </c>
      <c r="AO467" t="s">
        <v>10648</v>
      </c>
    </row>
    <row r="468" spans="1:41" hidden="1" x14ac:dyDescent="0.35">
      <c r="A468" t="s">
        <v>10649</v>
      </c>
      <c r="B468" t="s">
        <v>7246</v>
      </c>
      <c r="C468" t="s">
        <v>364</v>
      </c>
      <c r="D468" t="s">
        <v>364</v>
      </c>
      <c r="E468" t="s">
        <v>364</v>
      </c>
      <c r="G468" s="13" t="s">
        <v>10650</v>
      </c>
      <c r="H468" t="s">
        <v>10651</v>
      </c>
      <c r="K468" t="s">
        <v>10652</v>
      </c>
      <c r="L468" t="s">
        <v>10652</v>
      </c>
      <c r="M468" t="s">
        <v>7415</v>
      </c>
      <c r="N468">
        <v>2023</v>
      </c>
      <c r="R468">
        <v>635.66</v>
      </c>
      <c r="S468" t="s">
        <v>7251</v>
      </c>
      <c r="T468">
        <v>6.57</v>
      </c>
      <c r="U468">
        <v>3059.64</v>
      </c>
      <c r="V468">
        <v>355</v>
      </c>
      <c r="W468">
        <v>321.58</v>
      </c>
      <c r="X468">
        <v>355</v>
      </c>
      <c r="AA468" t="s">
        <v>10653</v>
      </c>
      <c r="AB468" t="s">
        <v>10654</v>
      </c>
      <c r="AC468" t="s">
        <v>8523</v>
      </c>
      <c r="AE468" t="s">
        <v>3197</v>
      </c>
      <c r="AF468" t="s">
        <v>10655</v>
      </c>
      <c r="AH468" t="s">
        <v>3197</v>
      </c>
      <c r="AI468" t="s">
        <v>8523</v>
      </c>
      <c r="AL468" t="s">
        <v>10656</v>
      </c>
      <c r="AN468" s="13" t="s">
        <v>10657</v>
      </c>
      <c r="AO468" t="s">
        <v>10658</v>
      </c>
    </row>
    <row r="469" spans="1:41" hidden="1" x14ac:dyDescent="0.35">
      <c r="A469" t="s">
        <v>10659</v>
      </c>
      <c r="B469" t="s">
        <v>7246</v>
      </c>
      <c r="C469" t="s">
        <v>364</v>
      </c>
      <c r="D469" t="s">
        <v>364</v>
      </c>
      <c r="E469" t="s">
        <v>364</v>
      </c>
      <c r="G469" s="13" t="s">
        <v>10660</v>
      </c>
      <c r="H469" t="s">
        <v>10661</v>
      </c>
      <c r="K469" t="s">
        <v>10652</v>
      </c>
      <c r="L469" t="s">
        <v>10652</v>
      </c>
      <c r="M469" t="s">
        <v>7292</v>
      </c>
      <c r="N469">
        <v>2025</v>
      </c>
      <c r="R469">
        <v>7.3</v>
      </c>
      <c r="S469" t="s">
        <v>8257</v>
      </c>
      <c r="T469">
        <v>7.3</v>
      </c>
      <c r="U469">
        <v>3397.3</v>
      </c>
      <c r="V469">
        <v>291</v>
      </c>
      <c r="W469">
        <v>298.36</v>
      </c>
      <c r="X469">
        <v>291</v>
      </c>
      <c r="Y469">
        <v>24</v>
      </c>
      <c r="Z469" t="s">
        <v>7253</v>
      </c>
      <c r="AA469" t="s">
        <v>10662</v>
      </c>
      <c r="AB469" t="s">
        <v>10662</v>
      </c>
      <c r="AC469" t="s">
        <v>8523</v>
      </c>
      <c r="AE469" t="s">
        <v>5400</v>
      </c>
      <c r="AF469" t="s">
        <v>5402</v>
      </c>
      <c r="AH469" t="s">
        <v>5400</v>
      </c>
      <c r="AI469" t="s">
        <v>8523</v>
      </c>
      <c r="AL469" t="s">
        <v>10663</v>
      </c>
      <c r="AN469" s="13" t="s">
        <v>10664</v>
      </c>
      <c r="AO469" t="s">
        <v>10665</v>
      </c>
    </row>
    <row r="470" spans="1:41" hidden="1" x14ac:dyDescent="0.35">
      <c r="A470" t="s">
        <v>10666</v>
      </c>
      <c r="B470" t="s">
        <v>7246</v>
      </c>
      <c r="C470" t="s">
        <v>364</v>
      </c>
      <c r="D470" t="s">
        <v>364</v>
      </c>
      <c r="E470" t="s">
        <v>364</v>
      </c>
      <c r="G470" s="13" t="s">
        <v>10667</v>
      </c>
      <c r="H470" t="s">
        <v>10668</v>
      </c>
      <c r="K470" t="s">
        <v>10652</v>
      </c>
      <c r="L470" t="s">
        <v>10652</v>
      </c>
      <c r="M470" t="s">
        <v>7731</v>
      </c>
      <c r="R470">
        <v>4.38</v>
      </c>
      <c r="S470" t="s">
        <v>8257</v>
      </c>
      <c r="T470">
        <v>4.38</v>
      </c>
      <c r="U470">
        <v>2038.38</v>
      </c>
      <c r="V470">
        <v>199</v>
      </c>
      <c r="W470">
        <v>162.99</v>
      </c>
      <c r="X470">
        <v>199</v>
      </c>
      <c r="Y470">
        <v>16</v>
      </c>
      <c r="Z470" t="s">
        <v>7253</v>
      </c>
      <c r="AA470" t="s">
        <v>10669</v>
      </c>
      <c r="AB470" t="s">
        <v>10669</v>
      </c>
      <c r="AC470" t="s">
        <v>8523</v>
      </c>
      <c r="AE470" t="s">
        <v>3197</v>
      </c>
      <c r="AF470" t="s">
        <v>10670</v>
      </c>
      <c r="AH470" t="s">
        <v>3197</v>
      </c>
      <c r="AI470" t="s">
        <v>8523</v>
      </c>
      <c r="AL470" t="s">
        <v>10671</v>
      </c>
      <c r="AN470" s="13" t="s">
        <v>10672</v>
      </c>
      <c r="AO470" t="s">
        <v>10673</v>
      </c>
    </row>
    <row r="471" spans="1:41" hidden="1" x14ac:dyDescent="0.35">
      <c r="A471" t="s">
        <v>10674</v>
      </c>
      <c r="B471" t="s">
        <v>7246</v>
      </c>
      <c r="C471" t="s">
        <v>364</v>
      </c>
      <c r="D471" t="s">
        <v>364</v>
      </c>
      <c r="E471" t="s">
        <v>364</v>
      </c>
      <c r="G471" s="13" t="s">
        <v>10675</v>
      </c>
      <c r="H471" t="s">
        <v>10676</v>
      </c>
      <c r="K471" t="s">
        <v>10652</v>
      </c>
      <c r="L471" t="s">
        <v>10652</v>
      </c>
      <c r="M471" t="s">
        <v>7292</v>
      </c>
      <c r="R471">
        <v>4.38</v>
      </c>
      <c r="S471" t="s">
        <v>8257</v>
      </c>
      <c r="T471">
        <v>4.38</v>
      </c>
      <c r="U471">
        <v>2038.38</v>
      </c>
      <c r="V471">
        <v>119</v>
      </c>
      <c r="W471">
        <v>108.76</v>
      </c>
      <c r="X471">
        <v>119</v>
      </c>
      <c r="Y471">
        <v>14</v>
      </c>
      <c r="Z471" t="s">
        <v>7253</v>
      </c>
      <c r="AA471" t="s">
        <v>10669</v>
      </c>
      <c r="AB471" t="s">
        <v>10669</v>
      </c>
      <c r="AC471" t="s">
        <v>8523</v>
      </c>
      <c r="AE471" t="s">
        <v>3197</v>
      </c>
      <c r="AF471" t="s">
        <v>10677</v>
      </c>
      <c r="AH471" t="s">
        <v>10678</v>
      </c>
      <c r="AI471" t="s">
        <v>8523</v>
      </c>
      <c r="AL471" t="s">
        <v>10679</v>
      </c>
      <c r="AN471" s="13" t="s">
        <v>10680</v>
      </c>
      <c r="AO471" t="s">
        <v>10681</v>
      </c>
    </row>
    <row r="472" spans="1:41" hidden="1" x14ac:dyDescent="0.35">
      <c r="A472" t="s">
        <v>10682</v>
      </c>
      <c r="B472" t="s">
        <v>7246</v>
      </c>
      <c r="C472" t="s">
        <v>5411</v>
      </c>
      <c r="D472" t="s">
        <v>5411</v>
      </c>
      <c r="E472" t="s">
        <v>5411</v>
      </c>
      <c r="G472" s="13" t="s">
        <v>10683</v>
      </c>
      <c r="H472" t="s">
        <v>10684</v>
      </c>
      <c r="K472" t="s">
        <v>10685</v>
      </c>
      <c r="L472" t="s">
        <v>10685</v>
      </c>
      <c r="M472" t="s">
        <v>7731</v>
      </c>
      <c r="R472">
        <v>353.15</v>
      </c>
      <c r="S472" t="s">
        <v>7251</v>
      </c>
      <c r="T472">
        <v>3.65</v>
      </c>
      <c r="U472">
        <v>1699.83</v>
      </c>
      <c r="V472">
        <v>92</v>
      </c>
      <c r="W472">
        <v>106.78</v>
      </c>
      <c r="X472">
        <v>92</v>
      </c>
      <c r="AB472" t="s">
        <v>10686</v>
      </c>
      <c r="AC472" t="s">
        <v>8523</v>
      </c>
      <c r="AE472" t="s">
        <v>10687</v>
      </c>
      <c r="AF472" t="s">
        <v>10688</v>
      </c>
      <c r="AH472" t="s">
        <v>10687</v>
      </c>
      <c r="AI472" t="s">
        <v>8523</v>
      </c>
      <c r="AL472" t="s">
        <v>10689</v>
      </c>
      <c r="AN472" s="13" t="s">
        <v>10690</v>
      </c>
      <c r="AO472" t="s">
        <v>10691</v>
      </c>
    </row>
    <row r="473" spans="1:41" hidden="1" x14ac:dyDescent="0.35">
      <c r="A473" t="s">
        <v>10692</v>
      </c>
      <c r="B473" t="s">
        <v>7246</v>
      </c>
      <c r="C473" t="s">
        <v>10693</v>
      </c>
      <c r="D473" t="s">
        <v>10693</v>
      </c>
      <c r="E473" t="s">
        <v>10693</v>
      </c>
      <c r="G473" s="13" t="s">
        <v>10694</v>
      </c>
      <c r="H473" t="s">
        <v>10695</v>
      </c>
      <c r="I473" t="s">
        <v>10696</v>
      </c>
      <c r="J473" t="s">
        <v>10697</v>
      </c>
      <c r="K473" t="s">
        <v>10698</v>
      </c>
      <c r="L473" t="s">
        <v>10698</v>
      </c>
      <c r="M473" t="s">
        <v>7250</v>
      </c>
      <c r="N473">
        <v>2019</v>
      </c>
      <c r="R473">
        <v>100</v>
      </c>
      <c r="S473" t="s">
        <v>7251</v>
      </c>
      <c r="T473">
        <v>1.03</v>
      </c>
      <c r="U473">
        <v>481.33</v>
      </c>
      <c r="V473">
        <v>85</v>
      </c>
      <c r="W473" t="s">
        <v>6546</v>
      </c>
      <c r="X473">
        <v>85</v>
      </c>
      <c r="Y473" t="s">
        <v>10699</v>
      </c>
      <c r="Z473" t="s">
        <v>7253</v>
      </c>
      <c r="AA473" t="s">
        <v>10700</v>
      </c>
      <c r="AB473" t="s">
        <v>10701</v>
      </c>
      <c r="AC473" t="s">
        <v>8523</v>
      </c>
      <c r="AE473" t="s">
        <v>10702</v>
      </c>
      <c r="AF473" t="s">
        <v>10703</v>
      </c>
      <c r="AH473" t="s">
        <v>10704</v>
      </c>
      <c r="AI473" t="s">
        <v>8523</v>
      </c>
      <c r="AL473" t="s">
        <v>10705</v>
      </c>
      <c r="AN473" s="13" t="s">
        <v>10706</v>
      </c>
      <c r="AO473" t="s">
        <v>6546</v>
      </c>
    </row>
    <row r="474" spans="1:41" hidden="1" x14ac:dyDescent="0.35">
      <c r="A474" t="s">
        <v>10707</v>
      </c>
      <c r="B474" t="s">
        <v>7246</v>
      </c>
      <c r="C474" t="s">
        <v>5430</v>
      </c>
      <c r="D474" t="s">
        <v>5430</v>
      </c>
      <c r="E474" t="s">
        <v>5430</v>
      </c>
      <c r="G474" s="13" t="s">
        <v>10708</v>
      </c>
      <c r="H474" t="s">
        <v>10709</v>
      </c>
      <c r="K474" t="s">
        <v>10710</v>
      </c>
      <c r="L474" t="s">
        <v>10710</v>
      </c>
      <c r="M474" t="s">
        <v>7250</v>
      </c>
      <c r="N474">
        <v>2011</v>
      </c>
      <c r="R474">
        <v>119</v>
      </c>
      <c r="S474" t="s">
        <v>7251</v>
      </c>
      <c r="T474">
        <v>1.23</v>
      </c>
      <c r="U474">
        <v>572.79</v>
      </c>
      <c r="V474">
        <v>55</v>
      </c>
      <c r="W474">
        <v>35.229999999999997</v>
      </c>
      <c r="X474">
        <v>55</v>
      </c>
      <c r="Y474">
        <v>12</v>
      </c>
      <c r="Z474" t="s">
        <v>7253</v>
      </c>
      <c r="AA474" t="s">
        <v>10711</v>
      </c>
      <c r="AB474" t="s">
        <v>10711</v>
      </c>
      <c r="AC474" t="s">
        <v>8523</v>
      </c>
      <c r="AF474" t="s">
        <v>10712</v>
      </c>
      <c r="AI474" t="s">
        <v>8523</v>
      </c>
      <c r="AL474" t="s">
        <v>10713</v>
      </c>
      <c r="AN474" s="13" t="s">
        <v>10714</v>
      </c>
      <c r="AO474" t="s">
        <v>10715</v>
      </c>
    </row>
    <row r="475" spans="1:41" hidden="1" x14ac:dyDescent="0.35">
      <c r="A475" t="s">
        <v>10716</v>
      </c>
      <c r="B475" t="s">
        <v>7246</v>
      </c>
      <c r="C475" t="s">
        <v>5430</v>
      </c>
      <c r="D475" t="s">
        <v>5435</v>
      </c>
      <c r="E475" t="s">
        <v>10717</v>
      </c>
      <c r="G475" s="13" t="s">
        <v>10718</v>
      </c>
      <c r="H475" t="s">
        <v>10719</v>
      </c>
      <c r="K475" t="s">
        <v>10720</v>
      </c>
      <c r="L475" t="s">
        <v>10720</v>
      </c>
      <c r="M475" t="s">
        <v>7731</v>
      </c>
      <c r="R475">
        <v>300</v>
      </c>
      <c r="S475" t="s">
        <v>7251</v>
      </c>
      <c r="T475">
        <v>3.1</v>
      </c>
      <c r="U475">
        <v>1444</v>
      </c>
      <c r="V475">
        <v>17</v>
      </c>
      <c r="W475">
        <v>26.34</v>
      </c>
      <c r="X475">
        <v>17</v>
      </c>
      <c r="AA475" t="s">
        <v>10721</v>
      </c>
      <c r="AC475" t="s">
        <v>8523</v>
      </c>
      <c r="AF475" t="s">
        <v>10722</v>
      </c>
      <c r="AI475" t="s">
        <v>8523</v>
      </c>
      <c r="AL475" t="s">
        <v>10723</v>
      </c>
      <c r="AN475" s="13" t="s">
        <v>10724</v>
      </c>
      <c r="AO475" t="s">
        <v>10725</v>
      </c>
    </row>
    <row r="476" spans="1:41" hidden="1" x14ac:dyDescent="0.35">
      <c r="A476" t="s">
        <v>10726</v>
      </c>
      <c r="B476" t="s">
        <v>7246</v>
      </c>
      <c r="C476" t="s">
        <v>10727</v>
      </c>
      <c r="D476" t="s">
        <v>5430</v>
      </c>
      <c r="E476" t="s">
        <v>10728</v>
      </c>
      <c r="G476" s="13" t="s">
        <v>10729</v>
      </c>
      <c r="H476" t="s">
        <v>10730</v>
      </c>
      <c r="K476" t="s">
        <v>10731</v>
      </c>
      <c r="L476" t="s">
        <v>10732</v>
      </c>
      <c r="M476" t="s">
        <v>7731</v>
      </c>
      <c r="T476" t="s">
        <v>6546</v>
      </c>
      <c r="U476" t="s">
        <v>6546</v>
      </c>
      <c r="V476" t="s">
        <v>6546</v>
      </c>
      <c r="W476">
        <v>165.28</v>
      </c>
      <c r="X476">
        <v>165.28</v>
      </c>
      <c r="AC476" t="s">
        <v>8523</v>
      </c>
      <c r="AI476" t="s">
        <v>8523</v>
      </c>
      <c r="AL476" t="s">
        <v>10733</v>
      </c>
      <c r="AN476" s="13" t="s">
        <v>10734</v>
      </c>
      <c r="AO476" t="s">
        <v>10735</v>
      </c>
    </row>
    <row r="477" spans="1:41" x14ac:dyDescent="0.35">
      <c r="A477" t="s">
        <v>10736</v>
      </c>
      <c r="B477" t="s">
        <v>7246</v>
      </c>
      <c r="C477" t="s">
        <v>24</v>
      </c>
      <c r="D477" t="s">
        <v>24</v>
      </c>
      <c r="E477" t="s">
        <v>24</v>
      </c>
      <c r="F477" t="s">
        <v>354</v>
      </c>
      <c r="G477" s="13" t="s">
        <v>10737</v>
      </c>
      <c r="H477" t="s">
        <v>10738</v>
      </c>
      <c r="J477" t="s">
        <v>10739</v>
      </c>
      <c r="K477" t="s">
        <v>10740</v>
      </c>
      <c r="L477" t="s">
        <v>10740</v>
      </c>
      <c r="M477" t="s">
        <v>7250</v>
      </c>
      <c r="N477">
        <v>2004</v>
      </c>
      <c r="R477">
        <v>108</v>
      </c>
      <c r="S477" t="s">
        <v>9164</v>
      </c>
      <c r="T477">
        <v>1.1000000000000001</v>
      </c>
      <c r="U477">
        <v>514.02</v>
      </c>
      <c r="V477">
        <v>391</v>
      </c>
      <c r="W477">
        <v>392.32</v>
      </c>
      <c r="X477">
        <v>391</v>
      </c>
      <c r="AA477" t="s">
        <v>10741</v>
      </c>
      <c r="AB477" t="s">
        <v>10591</v>
      </c>
      <c r="AC477" t="s">
        <v>9165</v>
      </c>
      <c r="AE477" t="s">
        <v>2973</v>
      </c>
      <c r="AF477" t="s">
        <v>10742</v>
      </c>
      <c r="AH477" t="s">
        <v>2973</v>
      </c>
      <c r="AI477" t="s">
        <v>9165</v>
      </c>
      <c r="AO477" t="s">
        <v>10743</v>
      </c>
    </row>
    <row r="478" spans="1:41" x14ac:dyDescent="0.35">
      <c r="A478" t="s">
        <v>10744</v>
      </c>
      <c r="B478" t="s">
        <v>7246</v>
      </c>
      <c r="C478" t="s">
        <v>24</v>
      </c>
      <c r="D478" t="s">
        <v>24</v>
      </c>
      <c r="E478" t="s">
        <v>24</v>
      </c>
      <c r="F478" t="s">
        <v>354</v>
      </c>
      <c r="G478" s="13" t="s">
        <v>10745</v>
      </c>
      <c r="H478" t="s">
        <v>10746</v>
      </c>
      <c r="I478" t="s">
        <v>8319</v>
      </c>
      <c r="J478" t="s">
        <v>10747</v>
      </c>
      <c r="K478" t="s">
        <v>10748</v>
      </c>
      <c r="L478" t="s">
        <v>10749</v>
      </c>
      <c r="M478" t="s">
        <v>7250</v>
      </c>
      <c r="N478">
        <v>2019</v>
      </c>
      <c r="R478">
        <v>871.99</v>
      </c>
      <c r="S478" t="s">
        <v>7251</v>
      </c>
      <c r="T478">
        <v>9.02</v>
      </c>
      <c r="U478">
        <v>4197.18</v>
      </c>
      <c r="V478">
        <v>622</v>
      </c>
      <c r="W478">
        <v>613.72</v>
      </c>
      <c r="X478">
        <v>622</v>
      </c>
      <c r="AB478" t="s">
        <v>10750</v>
      </c>
      <c r="AC478" t="s">
        <v>9165</v>
      </c>
      <c r="AE478" t="s">
        <v>10751</v>
      </c>
      <c r="AF478" t="s">
        <v>10752</v>
      </c>
      <c r="AH478" t="s">
        <v>2973</v>
      </c>
      <c r="AI478" t="s">
        <v>9165</v>
      </c>
      <c r="AO478" t="s">
        <v>10753</v>
      </c>
    </row>
    <row r="479" spans="1:41" hidden="1" x14ac:dyDescent="0.35">
      <c r="A479" t="s">
        <v>10754</v>
      </c>
      <c r="B479" t="s">
        <v>7246</v>
      </c>
      <c r="C479" t="s">
        <v>4136</v>
      </c>
      <c r="D479" t="s">
        <v>4136</v>
      </c>
      <c r="E479" t="s">
        <v>4136</v>
      </c>
      <c r="G479" s="13" t="s">
        <v>10755</v>
      </c>
      <c r="H479" t="s">
        <v>10756</v>
      </c>
      <c r="K479" t="s">
        <v>10508</v>
      </c>
      <c r="L479" t="s">
        <v>6511</v>
      </c>
      <c r="M479" t="s">
        <v>7250</v>
      </c>
      <c r="N479">
        <v>1993</v>
      </c>
      <c r="R479">
        <v>60</v>
      </c>
      <c r="S479" t="s">
        <v>7251</v>
      </c>
      <c r="T479">
        <v>0.62</v>
      </c>
      <c r="U479">
        <v>288.8</v>
      </c>
      <c r="V479">
        <v>40</v>
      </c>
      <c r="W479">
        <v>35.08</v>
      </c>
      <c r="X479">
        <v>40</v>
      </c>
      <c r="Y479" t="s">
        <v>10757</v>
      </c>
      <c r="Z479" t="s">
        <v>7253</v>
      </c>
      <c r="AB479" t="s">
        <v>10510</v>
      </c>
      <c r="AC479" t="s">
        <v>8859</v>
      </c>
      <c r="AD479" t="s">
        <v>10510</v>
      </c>
      <c r="AG479" t="s">
        <v>10758</v>
      </c>
      <c r="AI479" t="s">
        <v>8859</v>
      </c>
      <c r="AO479" t="s">
        <v>10759</v>
      </c>
    </row>
    <row r="480" spans="1:41" hidden="1" x14ac:dyDescent="0.35">
      <c r="A480" t="s">
        <v>10760</v>
      </c>
      <c r="B480" t="s">
        <v>7246</v>
      </c>
      <c r="C480" t="s">
        <v>383</v>
      </c>
      <c r="D480" t="s">
        <v>383</v>
      </c>
      <c r="E480" t="s">
        <v>383</v>
      </c>
      <c r="G480" s="13" t="s">
        <v>10761</v>
      </c>
      <c r="H480" t="s">
        <v>10762</v>
      </c>
      <c r="K480" t="s">
        <v>10763</v>
      </c>
      <c r="L480" t="s">
        <v>10763</v>
      </c>
      <c r="M480" t="s">
        <v>7250</v>
      </c>
      <c r="N480">
        <v>1992</v>
      </c>
      <c r="R480">
        <v>2.56</v>
      </c>
      <c r="S480" t="s">
        <v>8257</v>
      </c>
      <c r="T480">
        <v>2.56</v>
      </c>
      <c r="U480">
        <v>1191.3800000000001</v>
      </c>
      <c r="V480">
        <v>129</v>
      </c>
      <c r="W480">
        <v>49.89</v>
      </c>
      <c r="X480">
        <v>129</v>
      </c>
      <c r="AB480" t="s">
        <v>3110</v>
      </c>
      <c r="AC480" t="s">
        <v>8859</v>
      </c>
      <c r="AE480" t="s">
        <v>3106</v>
      </c>
      <c r="AF480" t="s">
        <v>10764</v>
      </c>
      <c r="AH480" t="s">
        <v>3106</v>
      </c>
      <c r="AI480" t="s">
        <v>8859</v>
      </c>
      <c r="AO480" t="s">
        <v>10765</v>
      </c>
    </row>
    <row r="481" spans="1:41" hidden="1" x14ac:dyDescent="0.35">
      <c r="A481" t="s">
        <v>10766</v>
      </c>
      <c r="B481" t="s">
        <v>7246</v>
      </c>
      <c r="C481" t="s">
        <v>84</v>
      </c>
      <c r="D481" t="s">
        <v>84</v>
      </c>
      <c r="E481" t="s">
        <v>10767</v>
      </c>
      <c r="G481" s="13" t="s">
        <v>10768</v>
      </c>
      <c r="H481" t="s">
        <v>10769</v>
      </c>
      <c r="J481" t="s">
        <v>10770</v>
      </c>
      <c r="K481" t="s">
        <v>10771</v>
      </c>
      <c r="L481" t="s">
        <v>10771</v>
      </c>
      <c r="M481" t="s">
        <v>7250</v>
      </c>
      <c r="N481">
        <v>1996</v>
      </c>
      <c r="O481">
        <v>2012</v>
      </c>
      <c r="R481">
        <v>3.4</v>
      </c>
      <c r="S481" t="s">
        <v>8257</v>
      </c>
      <c r="T481">
        <v>3.4</v>
      </c>
      <c r="U481">
        <v>1582.3</v>
      </c>
      <c r="V481">
        <v>778</v>
      </c>
      <c r="W481">
        <v>777.71</v>
      </c>
      <c r="X481">
        <v>778</v>
      </c>
      <c r="AA481" t="s">
        <v>10772</v>
      </c>
      <c r="AB481" t="s">
        <v>10773</v>
      </c>
      <c r="AC481" t="s">
        <v>9852</v>
      </c>
      <c r="AD481" t="s">
        <v>10774</v>
      </c>
      <c r="AE481" t="s">
        <v>10775</v>
      </c>
      <c r="AH481" t="s">
        <v>4878</v>
      </c>
      <c r="AI481" t="s">
        <v>9852</v>
      </c>
      <c r="AO481" t="s">
        <v>10776</v>
      </c>
    </row>
    <row r="482" spans="1:41" hidden="1" x14ac:dyDescent="0.35">
      <c r="A482" t="s">
        <v>10777</v>
      </c>
      <c r="B482" t="s">
        <v>7246</v>
      </c>
      <c r="C482" t="s">
        <v>4136</v>
      </c>
      <c r="D482" t="s">
        <v>4136</v>
      </c>
      <c r="E482" t="s">
        <v>4136</v>
      </c>
      <c r="G482" s="13" t="s">
        <v>10778</v>
      </c>
      <c r="H482" t="s">
        <v>10779</v>
      </c>
      <c r="K482" t="s">
        <v>10372</v>
      </c>
      <c r="L482" t="s">
        <v>6511</v>
      </c>
      <c r="M482" t="s">
        <v>7250</v>
      </c>
      <c r="N482">
        <v>2000</v>
      </c>
      <c r="R482">
        <v>250</v>
      </c>
      <c r="S482" t="s">
        <v>7251</v>
      </c>
      <c r="T482">
        <v>2.59</v>
      </c>
      <c r="U482">
        <v>1203.33</v>
      </c>
      <c r="V482">
        <v>38.5</v>
      </c>
      <c r="W482">
        <v>119.28</v>
      </c>
      <c r="X482">
        <v>38.5</v>
      </c>
      <c r="Y482">
        <v>20</v>
      </c>
      <c r="Z482" t="s">
        <v>7253</v>
      </c>
      <c r="AB482" t="s">
        <v>10516</v>
      </c>
      <c r="AC482" t="s">
        <v>8859</v>
      </c>
      <c r="AD482" t="s">
        <v>10517</v>
      </c>
      <c r="AF482" t="s">
        <v>10780</v>
      </c>
      <c r="AI482" t="s">
        <v>8859</v>
      </c>
      <c r="AO482" t="s">
        <v>10781</v>
      </c>
    </row>
    <row r="483" spans="1:41" hidden="1" x14ac:dyDescent="0.35">
      <c r="A483" t="s">
        <v>10782</v>
      </c>
      <c r="B483" t="s">
        <v>7246</v>
      </c>
      <c r="C483" t="s">
        <v>383</v>
      </c>
      <c r="D483" t="s">
        <v>383</v>
      </c>
      <c r="E483" t="s">
        <v>383</v>
      </c>
      <c r="G483" s="13" t="s">
        <v>10783</v>
      </c>
      <c r="H483" t="s">
        <v>10784</v>
      </c>
      <c r="K483" t="s">
        <v>10785</v>
      </c>
      <c r="L483" t="s">
        <v>10785</v>
      </c>
      <c r="M483" t="s">
        <v>7250</v>
      </c>
      <c r="N483">
        <v>2005</v>
      </c>
      <c r="R483">
        <v>4.47</v>
      </c>
      <c r="S483" t="s">
        <v>8257</v>
      </c>
      <c r="T483">
        <v>4.47</v>
      </c>
      <c r="U483">
        <v>2080.2600000000002</v>
      </c>
      <c r="V483">
        <v>204</v>
      </c>
      <c r="W483">
        <v>145.72</v>
      </c>
      <c r="X483">
        <v>204</v>
      </c>
      <c r="Y483">
        <v>28</v>
      </c>
      <c r="Z483" t="s">
        <v>7253</v>
      </c>
      <c r="AA483" t="s">
        <v>10786</v>
      </c>
      <c r="AC483" t="s">
        <v>8859</v>
      </c>
      <c r="AE483" t="s">
        <v>10787</v>
      </c>
      <c r="AF483" t="s">
        <v>3110</v>
      </c>
      <c r="AH483" t="s">
        <v>3106</v>
      </c>
      <c r="AI483" t="s">
        <v>8859</v>
      </c>
      <c r="AO483" t="s">
        <v>10788</v>
      </c>
    </row>
    <row r="484" spans="1:41" hidden="1" x14ac:dyDescent="0.35">
      <c r="A484" t="s">
        <v>10789</v>
      </c>
      <c r="B484" t="s">
        <v>7246</v>
      </c>
      <c r="C484" t="s">
        <v>383</v>
      </c>
      <c r="D484" t="s">
        <v>383</v>
      </c>
      <c r="E484" t="s">
        <v>383</v>
      </c>
      <c r="G484" s="13" t="s">
        <v>10790</v>
      </c>
      <c r="H484" t="s">
        <v>10791</v>
      </c>
      <c r="K484" t="s">
        <v>10792</v>
      </c>
      <c r="L484" t="s">
        <v>10792</v>
      </c>
      <c r="M484" t="s">
        <v>7250</v>
      </c>
      <c r="N484">
        <v>2017</v>
      </c>
      <c r="R484">
        <v>1.57</v>
      </c>
      <c r="S484" t="s">
        <v>8257</v>
      </c>
      <c r="T484">
        <v>1.57</v>
      </c>
      <c r="U484">
        <v>730.65</v>
      </c>
      <c r="V484">
        <v>302</v>
      </c>
      <c r="W484">
        <v>506.22</v>
      </c>
      <c r="X484">
        <v>302</v>
      </c>
      <c r="AA484" t="s">
        <v>10793</v>
      </c>
      <c r="AB484" t="s">
        <v>10794</v>
      </c>
      <c r="AC484" t="s">
        <v>8859</v>
      </c>
      <c r="AE484" t="s">
        <v>10795</v>
      </c>
      <c r="AF484" t="s">
        <v>10796</v>
      </c>
      <c r="AH484" t="s">
        <v>3117</v>
      </c>
      <c r="AI484" t="s">
        <v>8859</v>
      </c>
      <c r="AO484" t="s">
        <v>10797</v>
      </c>
    </row>
    <row r="485" spans="1:41" hidden="1" x14ac:dyDescent="0.35">
      <c r="A485" t="s">
        <v>10798</v>
      </c>
      <c r="B485" t="s">
        <v>7246</v>
      </c>
      <c r="C485" t="s">
        <v>383</v>
      </c>
      <c r="D485" t="s">
        <v>383</v>
      </c>
      <c r="E485" t="s">
        <v>383</v>
      </c>
      <c r="G485" s="13" t="s">
        <v>10799</v>
      </c>
      <c r="H485" t="s">
        <v>10800</v>
      </c>
      <c r="J485" t="s">
        <v>10801</v>
      </c>
      <c r="K485" t="s">
        <v>10763</v>
      </c>
      <c r="L485" t="s">
        <v>10763</v>
      </c>
      <c r="M485" t="s">
        <v>7415</v>
      </c>
      <c r="R485">
        <v>6.65</v>
      </c>
      <c r="S485" t="s">
        <v>8792</v>
      </c>
      <c r="T485">
        <v>2.4300000000000002</v>
      </c>
      <c r="U485">
        <v>1130.3800000000001</v>
      </c>
      <c r="V485">
        <v>690</v>
      </c>
      <c r="W485">
        <v>679.25</v>
      </c>
      <c r="X485">
        <v>690</v>
      </c>
      <c r="AB485" t="s">
        <v>10802</v>
      </c>
      <c r="AC485" t="s">
        <v>8859</v>
      </c>
      <c r="AE485" t="s">
        <v>3075</v>
      </c>
      <c r="AF485" t="s">
        <v>4970</v>
      </c>
      <c r="AH485" t="s">
        <v>4971</v>
      </c>
      <c r="AI485" t="s">
        <v>8859</v>
      </c>
      <c r="AO485" t="s">
        <v>10803</v>
      </c>
    </row>
    <row r="486" spans="1:41" hidden="1" x14ac:dyDescent="0.35">
      <c r="A486" t="s">
        <v>10804</v>
      </c>
      <c r="B486" t="s">
        <v>7246</v>
      </c>
      <c r="C486" t="s">
        <v>383</v>
      </c>
      <c r="D486" t="s">
        <v>383</v>
      </c>
      <c r="E486" t="s">
        <v>383</v>
      </c>
      <c r="G486" s="13" t="s">
        <v>10805</v>
      </c>
      <c r="H486" t="s">
        <v>10806</v>
      </c>
      <c r="K486" t="s">
        <v>10763</v>
      </c>
      <c r="L486" t="s">
        <v>10763</v>
      </c>
      <c r="M486" t="s">
        <v>7269</v>
      </c>
      <c r="R486">
        <v>27.3</v>
      </c>
      <c r="S486" t="s">
        <v>8257</v>
      </c>
      <c r="T486">
        <v>27.3</v>
      </c>
      <c r="U486">
        <v>12704.97</v>
      </c>
      <c r="V486">
        <v>2112</v>
      </c>
      <c r="W486">
        <v>1461.48</v>
      </c>
      <c r="X486">
        <v>2112</v>
      </c>
      <c r="AB486" t="s">
        <v>2748</v>
      </c>
      <c r="AC486" t="s">
        <v>8859</v>
      </c>
      <c r="AE486" t="s">
        <v>3089</v>
      </c>
      <c r="AF486" t="s">
        <v>2719</v>
      </c>
      <c r="AH486" t="s">
        <v>4971</v>
      </c>
      <c r="AI486" t="s">
        <v>8859</v>
      </c>
      <c r="AO486" t="s">
        <v>10807</v>
      </c>
    </row>
    <row r="487" spans="1:41" hidden="1" x14ac:dyDescent="0.35">
      <c r="A487" t="s">
        <v>10808</v>
      </c>
      <c r="B487" t="s">
        <v>7246</v>
      </c>
      <c r="C487" t="s">
        <v>383</v>
      </c>
      <c r="D487" t="s">
        <v>383</v>
      </c>
      <c r="E487" t="s">
        <v>383</v>
      </c>
      <c r="G487" s="13" t="s">
        <v>10809</v>
      </c>
      <c r="H487" t="s">
        <v>10810</v>
      </c>
      <c r="K487" t="s">
        <v>10763</v>
      </c>
      <c r="L487" t="s">
        <v>10763</v>
      </c>
      <c r="M487" t="s">
        <v>7250</v>
      </c>
      <c r="N487">
        <v>2022</v>
      </c>
      <c r="R487">
        <v>3.2</v>
      </c>
      <c r="S487" t="s">
        <v>8257</v>
      </c>
      <c r="T487">
        <v>3.2</v>
      </c>
      <c r="U487">
        <v>1489.23</v>
      </c>
      <c r="V487">
        <v>667</v>
      </c>
      <c r="W487">
        <v>599.13</v>
      </c>
      <c r="X487">
        <v>667</v>
      </c>
      <c r="AB487" t="s">
        <v>2728</v>
      </c>
      <c r="AC487" t="s">
        <v>8859</v>
      </c>
      <c r="AE487" t="s">
        <v>3089</v>
      </c>
      <c r="AF487" t="s">
        <v>10796</v>
      </c>
      <c r="AH487" t="s">
        <v>3117</v>
      </c>
      <c r="AI487" t="s">
        <v>8859</v>
      </c>
      <c r="AO487" t="s">
        <v>10811</v>
      </c>
    </row>
    <row r="488" spans="1:41" hidden="1" x14ac:dyDescent="0.35">
      <c r="A488" t="s">
        <v>10812</v>
      </c>
      <c r="B488" t="s">
        <v>7246</v>
      </c>
      <c r="C488" t="s">
        <v>385</v>
      </c>
      <c r="D488" t="s">
        <v>385</v>
      </c>
      <c r="E488" t="s">
        <v>385</v>
      </c>
      <c r="G488" s="13" t="s">
        <v>10813</v>
      </c>
      <c r="H488" t="s">
        <v>10814</v>
      </c>
      <c r="K488" t="s">
        <v>6992</v>
      </c>
      <c r="L488" t="s">
        <v>6992</v>
      </c>
      <c r="M488" t="s">
        <v>7250</v>
      </c>
      <c r="N488">
        <v>2015</v>
      </c>
      <c r="R488">
        <v>300</v>
      </c>
      <c r="S488" t="s">
        <v>7251</v>
      </c>
      <c r="T488">
        <v>3.1</v>
      </c>
      <c r="U488">
        <v>1444</v>
      </c>
      <c r="V488">
        <v>350</v>
      </c>
      <c r="W488">
        <v>231.33</v>
      </c>
      <c r="X488">
        <v>350</v>
      </c>
      <c r="AA488" t="s">
        <v>10815</v>
      </c>
      <c r="AC488" t="s">
        <v>10816</v>
      </c>
      <c r="AE488" t="s">
        <v>10817</v>
      </c>
      <c r="AF488" t="s">
        <v>5065</v>
      </c>
      <c r="AH488" t="s">
        <v>10817</v>
      </c>
      <c r="AI488" t="s">
        <v>10816</v>
      </c>
      <c r="AO488" t="s">
        <v>10818</v>
      </c>
    </row>
    <row r="489" spans="1:41" hidden="1" x14ac:dyDescent="0.35">
      <c r="A489" t="s">
        <v>10819</v>
      </c>
      <c r="B489" t="s">
        <v>7246</v>
      </c>
      <c r="C489" t="s">
        <v>385</v>
      </c>
      <c r="D489" t="s">
        <v>385</v>
      </c>
      <c r="E489" t="s">
        <v>385</v>
      </c>
      <c r="G489" s="13" t="s">
        <v>10820</v>
      </c>
      <c r="H489" t="s">
        <v>10821</v>
      </c>
      <c r="K489" t="s">
        <v>10822</v>
      </c>
      <c r="L489" t="s">
        <v>10822</v>
      </c>
      <c r="M489" t="s">
        <v>7250</v>
      </c>
      <c r="N489">
        <v>1983</v>
      </c>
      <c r="R489">
        <v>1237</v>
      </c>
      <c r="S489" t="s">
        <v>7251</v>
      </c>
      <c r="T489">
        <v>12.79</v>
      </c>
      <c r="U489">
        <v>5954.09</v>
      </c>
      <c r="V489">
        <v>57</v>
      </c>
      <c r="W489">
        <v>54.86</v>
      </c>
      <c r="X489">
        <v>57</v>
      </c>
      <c r="AC489" t="s">
        <v>10816</v>
      </c>
      <c r="AI489" t="s">
        <v>10816</v>
      </c>
      <c r="AO489" t="s">
        <v>10823</v>
      </c>
    </row>
    <row r="490" spans="1:41" hidden="1" x14ac:dyDescent="0.35">
      <c r="A490" t="s">
        <v>10824</v>
      </c>
      <c r="B490" t="s">
        <v>7246</v>
      </c>
      <c r="C490" t="s">
        <v>385</v>
      </c>
      <c r="D490" t="s">
        <v>385</v>
      </c>
      <c r="E490" t="s">
        <v>385</v>
      </c>
      <c r="G490" s="13" t="s">
        <v>10825</v>
      </c>
      <c r="H490" t="s">
        <v>10826</v>
      </c>
      <c r="K490" t="s">
        <v>10822</v>
      </c>
      <c r="L490" t="s">
        <v>10822</v>
      </c>
      <c r="M490" t="s">
        <v>7250</v>
      </c>
      <c r="N490">
        <v>1976</v>
      </c>
      <c r="R490">
        <v>1513</v>
      </c>
      <c r="S490" t="s">
        <v>7251</v>
      </c>
      <c r="T490">
        <v>15.65</v>
      </c>
      <c r="U490">
        <v>7282.58</v>
      </c>
      <c r="V490">
        <v>57</v>
      </c>
      <c r="W490">
        <v>54.86</v>
      </c>
      <c r="X490">
        <v>57</v>
      </c>
      <c r="AC490" t="s">
        <v>10816</v>
      </c>
      <c r="AI490" t="s">
        <v>10816</v>
      </c>
      <c r="AO490" t="s">
        <v>10823</v>
      </c>
    </row>
    <row r="491" spans="1:41" hidden="1" x14ac:dyDescent="0.35">
      <c r="A491" t="s">
        <v>10827</v>
      </c>
      <c r="B491" t="s">
        <v>7246</v>
      </c>
      <c r="C491" t="s">
        <v>385</v>
      </c>
      <c r="D491" t="s">
        <v>385</v>
      </c>
      <c r="E491" t="s">
        <v>385</v>
      </c>
      <c r="G491" s="13" t="s">
        <v>10828</v>
      </c>
      <c r="H491" t="s">
        <v>10829</v>
      </c>
      <c r="J491" t="s">
        <v>10830</v>
      </c>
      <c r="K491" t="s">
        <v>10831</v>
      </c>
      <c r="L491" t="s">
        <v>10831</v>
      </c>
      <c r="M491" t="s">
        <v>7250</v>
      </c>
      <c r="N491">
        <v>2016</v>
      </c>
      <c r="R491">
        <v>2648.6</v>
      </c>
      <c r="S491" t="s">
        <v>7251</v>
      </c>
      <c r="T491">
        <v>27.39</v>
      </c>
      <c r="U491">
        <v>12748.6</v>
      </c>
      <c r="V491">
        <v>139</v>
      </c>
      <c r="W491">
        <v>100.29</v>
      </c>
      <c r="X491">
        <v>139</v>
      </c>
      <c r="AB491" t="s">
        <v>5065</v>
      </c>
      <c r="AC491" t="s">
        <v>10816</v>
      </c>
      <c r="AE491" t="s">
        <v>5066</v>
      </c>
      <c r="AF491" t="s">
        <v>10832</v>
      </c>
      <c r="AH491" t="s">
        <v>5066</v>
      </c>
      <c r="AI491" t="s">
        <v>10816</v>
      </c>
      <c r="AO491" t="s">
        <v>10833</v>
      </c>
    </row>
    <row r="492" spans="1:41" hidden="1" x14ac:dyDescent="0.35">
      <c r="A492" t="s">
        <v>10834</v>
      </c>
      <c r="B492" t="s">
        <v>7246</v>
      </c>
      <c r="C492" t="s">
        <v>385</v>
      </c>
      <c r="D492" t="s">
        <v>385</v>
      </c>
      <c r="E492" t="s">
        <v>385</v>
      </c>
      <c r="G492" s="13" t="s">
        <v>10835</v>
      </c>
      <c r="H492" t="s">
        <v>10836</v>
      </c>
      <c r="K492" t="s">
        <v>6543</v>
      </c>
      <c r="L492" t="s">
        <v>6543</v>
      </c>
      <c r="M492" t="s">
        <v>7292</v>
      </c>
      <c r="T492" t="s">
        <v>6546</v>
      </c>
      <c r="U492" t="s">
        <v>6546</v>
      </c>
      <c r="V492">
        <v>162</v>
      </c>
      <c r="W492">
        <v>163.32</v>
      </c>
      <c r="X492">
        <v>162</v>
      </c>
      <c r="AB492" t="s">
        <v>10837</v>
      </c>
      <c r="AC492" t="s">
        <v>10816</v>
      </c>
      <c r="AE492" t="s">
        <v>10838</v>
      </c>
      <c r="AF492" t="s">
        <v>10839</v>
      </c>
      <c r="AH492" t="s">
        <v>5069</v>
      </c>
      <c r="AI492" t="s">
        <v>10816</v>
      </c>
      <c r="AO492" t="s">
        <v>10840</v>
      </c>
    </row>
    <row r="493" spans="1:41" hidden="1" x14ac:dyDescent="0.35">
      <c r="A493" t="s">
        <v>10841</v>
      </c>
      <c r="B493" t="s">
        <v>7246</v>
      </c>
      <c r="C493" t="s">
        <v>4136</v>
      </c>
      <c r="D493" t="s">
        <v>4136</v>
      </c>
      <c r="E493" t="s">
        <v>4136</v>
      </c>
      <c r="G493" s="13" t="s">
        <v>10842</v>
      </c>
      <c r="H493" t="s">
        <v>10843</v>
      </c>
      <c r="J493" t="s">
        <v>10545</v>
      </c>
      <c r="K493" t="s">
        <v>10372</v>
      </c>
      <c r="L493" t="s">
        <v>6511</v>
      </c>
      <c r="M493" t="s">
        <v>7250</v>
      </c>
      <c r="N493">
        <v>2006</v>
      </c>
      <c r="R493">
        <v>400</v>
      </c>
      <c r="S493" t="s">
        <v>7251</v>
      </c>
      <c r="T493">
        <v>4.1399999999999997</v>
      </c>
      <c r="U493">
        <v>1925.33</v>
      </c>
      <c r="V493">
        <v>6</v>
      </c>
      <c r="W493">
        <v>4.01</v>
      </c>
      <c r="X493">
        <v>6</v>
      </c>
      <c r="Y493">
        <v>30</v>
      </c>
      <c r="Z493" t="s">
        <v>7253</v>
      </c>
      <c r="AB493" t="s">
        <v>10516</v>
      </c>
      <c r="AC493" t="s">
        <v>8859</v>
      </c>
      <c r="AD493" t="s">
        <v>10517</v>
      </c>
      <c r="AF493" t="s">
        <v>10540</v>
      </c>
      <c r="AG493" t="s">
        <v>10418</v>
      </c>
      <c r="AI493" t="s">
        <v>8859</v>
      </c>
      <c r="AO493" t="s">
        <v>10844</v>
      </c>
    </row>
    <row r="494" spans="1:41" hidden="1" x14ac:dyDescent="0.35">
      <c r="A494" t="s">
        <v>10845</v>
      </c>
      <c r="B494" t="s">
        <v>7246</v>
      </c>
      <c r="C494" t="s">
        <v>385</v>
      </c>
      <c r="D494" t="s">
        <v>385</v>
      </c>
      <c r="E494" t="s">
        <v>385</v>
      </c>
      <c r="G494" s="13" t="s">
        <v>10846</v>
      </c>
      <c r="H494" t="s">
        <v>10847</v>
      </c>
      <c r="J494" t="s">
        <v>10848</v>
      </c>
      <c r="K494" t="s">
        <v>10849</v>
      </c>
      <c r="L494" t="s">
        <v>10849</v>
      </c>
      <c r="M494" t="s">
        <v>7731</v>
      </c>
      <c r="N494">
        <v>2021</v>
      </c>
      <c r="T494" t="s">
        <v>6546</v>
      </c>
      <c r="U494" t="s">
        <v>6546</v>
      </c>
      <c r="V494">
        <v>84</v>
      </c>
      <c r="W494">
        <v>64.78</v>
      </c>
      <c r="X494">
        <v>84</v>
      </c>
      <c r="AB494" t="s">
        <v>10850</v>
      </c>
      <c r="AC494" t="s">
        <v>10816</v>
      </c>
      <c r="AE494" t="s">
        <v>5074</v>
      </c>
      <c r="AF494" t="s">
        <v>10851</v>
      </c>
      <c r="AH494" t="s">
        <v>5074</v>
      </c>
      <c r="AI494" t="s">
        <v>10816</v>
      </c>
      <c r="AO494" t="s">
        <v>10852</v>
      </c>
    </row>
    <row r="495" spans="1:41" hidden="1" x14ac:dyDescent="0.35">
      <c r="A495" t="s">
        <v>10853</v>
      </c>
      <c r="B495" t="s">
        <v>7246</v>
      </c>
      <c r="C495" t="s">
        <v>385</v>
      </c>
      <c r="D495" t="s">
        <v>385</v>
      </c>
      <c r="E495" t="s">
        <v>385</v>
      </c>
      <c r="G495" s="13" t="s">
        <v>10854</v>
      </c>
      <c r="H495" t="s">
        <v>10855</v>
      </c>
      <c r="K495" t="s">
        <v>6543</v>
      </c>
      <c r="L495" t="s">
        <v>6543</v>
      </c>
      <c r="M495" t="s">
        <v>7415</v>
      </c>
      <c r="N495">
        <v>2023</v>
      </c>
      <c r="R495">
        <v>500</v>
      </c>
      <c r="S495" t="s">
        <v>7251</v>
      </c>
      <c r="T495">
        <v>5.17</v>
      </c>
      <c r="U495">
        <v>2406.67</v>
      </c>
      <c r="V495">
        <v>235</v>
      </c>
      <c r="W495">
        <v>209.55</v>
      </c>
      <c r="X495">
        <v>235</v>
      </c>
      <c r="AB495" t="s">
        <v>10850</v>
      </c>
      <c r="AC495" t="s">
        <v>10816</v>
      </c>
      <c r="AE495" t="s">
        <v>5074</v>
      </c>
      <c r="AF495" t="s">
        <v>10856</v>
      </c>
      <c r="AH495" t="s">
        <v>5054</v>
      </c>
      <c r="AI495" t="s">
        <v>10816</v>
      </c>
      <c r="AO495" t="s">
        <v>10857</v>
      </c>
    </row>
    <row r="496" spans="1:41" hidden="1" x14ac:dyDescent="0.35">
      <c r="A496" t="s">
        <v>10858</v>
      </c>
      <c r="B496" t="s">
        <v>7246</v>
      </c>
      <c r="C496" t="s">
        <v>385</v>
      </c>
      <c r="D496" t="s">
        <v>385</v>
      </c>
      <c r="E496" t="s">
        <v>385</v>
      </c>
      <c r="G496" s="13" t="s">
        <v>10859</v>
      </c>
      <c r="H496" t="s">
        <v>10860</v>
      </c>
      <c r="K496" t="s">
        <v>6992</v>
      </c>
      <c r="L496" t="s">
        <v>6992</v>
      </c>
      <c r="M496" t="s">
        <v>7250</v>
      </c>
      <c r="N496">
        <v>2018</v>
      </c>
      <c r="O496">
        <v>2019</v>
      </c>
      <c r="R496">
        <v>268</v>
      </c>
      <c r="S496" t="s">
        <v>7251</v>
      </c>
      <c r="T496">
        <v>2.77</v>
      </c>
      <c r="U496">
        <v>1289.97</v>
      </c>
      <c r="V496">
        <v>64</v>
      </c>
      <c r="W496">
        <v>54.16</v>
      </c>
      <c r="X496">
        <v>64</v>
      </c>
      <c r="AB496" t="s">
        <v>10861</v>
      </c>
      <c r="AC496" t="s">
        <v>10816</v>
      </c>
      <c r="AE496" t="s">
        <v>3378</v>
      </c>
      <c r="AF496" t="s">
        <v>3379</v>
      </c>
      <c r="AH496" t="s">
        <v>3378</v>
      </c>
      <c r="AI496" t="s">
        <v>10816</v>
      </c>
      <c r="AO496" t="s">
        <v>10862</v>
      </c>
    </row>
    <row r="497" spans="1:41" hidden="1" x14ac:dyDescent="0.35">
      <c r="A497" t="s">
        <v>10863</v>
      </c>
      <c r="B497" t="s">
        <v>7246</v>
      </c>
      <c r="C497" t="s">
        <v>385</v>
      </c>
      <c r="D497" t="s">
        <v>385</v>
      </c>
      <c r="E497" t="s">
        <v>385</v>
      </c>
      <c r="G497" s="13" t="s">
        <v>10864</v>
      </c>
      <c r="H497" t="s">
        <v>10865</v>
      </c>
      <c r="J497" t="s">
        <v>10866</v>
      </c>
      <c r="K497" t="s">
        <v>6992</v>
      </c>
      <c r="L497" t="s">
        <v>6992</v>
      </c>
      <c r="M497" t="s">
        <v>7250</v>
      </c>
      <c r="N497">
        <v>1993</v>
      </c>
      <c r="R497">
        <v>600</v>
      </c>
      <c r="S497" t="s">
        <v>7251</v>
      </c>
      <c r="T497">
        <v>6.21</v>
      </c>
      <c r="U497">
        <v>2888</v>
      </c>
      <c r="V497">
        <v>368</v>
      </c>
      <c r="W497">
        <v>471.03</v>
      </c>
      <c r="X497">
        <v>368</v>
      </c>
      <c r="AB497" t="s">
        <v>10867</v>
      </c>
      <c r="AC497" t="s">
        <v>10816</v>
      </c>
      <c r="AF497" t="s">
        <v>10868</v>
      </c>
      <c r="AI497" t="s">
        <v>10816</v>
      </c>
      <c r="AO497" t="s">
        <v>10869</v>
      </c>
    </row>
    <row r="498" spans="1:41" hidden="1" x14ac:dyDescent="0.35">
      <c r="A498" t="s">
        <v>10870</v>
      </c>
      <c r="B498" t="s">
        <v>7246</v>
      </c>
      <c r="C498" t="s">
        <v>4136</v>
      </c>
      <c r="D498" t="s">
        <v>4136</v>
      </c>
      <c r="E498" t="s">
        <v>4136</v>
      </c>
      <c r="G498" s="13" t="s">
        <v>10871</v>
      </c>
      <c r="H498" t="s">
        <v>10872</v>
      </c>
      <c r="K498" t="s">
        <v>10508</v>
      </c>
      <c r="L498" t="s">
        <v>6511</v>
      </c>
      <c r="M498" t="s">
        <v>7250</v>
      </c>
      <c r="N498">
        <v>1999</v>
      </c>
      <c r="R498">
        <v>220</v>
      </c>
      <c r="S498" t="s">
        <v>7251</v>
      </c>
      <c r="T498">
        <v>2.2799999999999998</v>
      </c>
      <c r="U498">
        <v>1058.93</v>
      </c>
      <c r="V498">
        <v>10.3</v>
      </c>
      <c r="W498">
        <v>8.94</v>
      </c>
      <c r="X498">
        <v>10.3</v>
      </c>
      <c r="Y498">
        <v>14</v>
      </c>
      <c r="Z498" t="s">
        <v>7253</v>
      </c>
      <c r="AC498" t="s">
        <v>8859</v>
      </c>
      <c r="AD498" t="s">
        <v>10407</v>
      </c>
      <c r="AF498" t="s">
        <v>10873</v>
      </c>
      <c r="AG498" t="s">
        <v>10407</v>
      </c>
      <c r="AI498" t="s">
        <v>8859</v>
      </c>
      <c r="AO498" t="s">
        <v>10874</v>
      </c>
    </row>
    <row r="499" spans="1:41" hidden="1" x14ac:dyDescent="0.35">
      <c r="A499" t="s">
        <v>10875</v>
      </c>
      <c r="B499" t="s">
        <v>7246</v>
      </c>
      <c r="C499" t="s">
        <v>385</v>
      </c>
      <c r="D499" t="s">
        <v>385</v>
      </c>
      <c r="E499" t="s">
        <v>385</v>
      </c>
      <c r="G499" s="13" t="s">
        <v>10876</v>
      </c>
      <c r="H499" t="s">
        <v>10877</v>
      </c>
      <c r="K499" t="s">
        <v>10831</v>
      </c>
      <c r="L499" t="s">
        <v>10831</v>
      </c>
      <c r="M499" t="s">
        <v>7250</v>
      </c>
      <c r="N499">
        <v>2017</v>
      </c>
      <c r="R499">
        <v>85</v>
      </c>
      <c r="S499" t="s">
        <v>7251</v>
      </c>
      <c r="T499">
        <v>0.88</v>
      </c>
      <c r="U499">
        <v>409.13</v>
      </c>
      <c r="V499">
        <v>70</v>
      </c>
      <c r="W499">
        <v>50.17</v>
      </c>
      <c r="X499">
        <v>70</v>
      </c>
      <c r="AB499" t="s">
        <v>6991</v>
      </c>
      <c r="AC499" t="s">
        <v>10816</v>
      </c>
      <c r="AE499" t="s">
        <v>10878</v>
      </c>
      <c r="AF499" t="s">
        <v>6991</v>
      </c>
      <c r="AH499" t="s">
        <v>10878</v>
      </c>
      <c r="AI499" t="s">
        <v>10816</v>
      </c>
      <c r="AO499" t="s">
        <v>10879</v>
      </c>
    </row>
    <row r="500" spans="1:41" hidden="1" x14ac:dyDescent="0.35">
      <c r="A500" t="s">
        <v>10880</v>
      </c>
      <c r="B500" t="s">
        <v>7246</v>
      </c>
      <c r="C500" t="s">
        <v>385</v>
      </c>
      <c r="D500" t="s">
        <v>385</v>
      </c>
      <c r="E500" t="s">
        <v>385</v>
      </c>
      <c r="G500" s="13" t="s">
        <v>10881</v>
      </c>
      <c r="H500" t="s">
        <v>10882</v>
      </c>
      <c r="K500" t="s">
        <v>6992</v>
      </c>
      <c r="L500" t="s">
        <v>6992</v>
      </c>
      <c r="M500" t="s">
        <v>7415</v>
      </c>
      <c r="N500">
        <v>2022</v>
      </c>
      <c r="R500">
        <v>330</v>
      </c>
      <c r="S500" t="s">
        <v>7251</v>
      </c>
      <c r="T500">
        <v>3.41</v>
      </c>
      <c r="U500">
        <v>1588.4</v>
      </c>
      <c r="V500">
        <v>275</v>
      </c>
      <c r="W500">
        <v>259.69</v>
      </c>
      <c r="X500">
        <v>275</v>
      </c>
      <c r="AA500" t="s">
        <v>10883</v>
      </c>
      <c r="AB500" t="s">
        <v>6991</v>
      </c>
      <c r="AC500" t="s">
        <v>10816</v>
      </c>
      <c r="AF500" t="s">
        <v>10884</v>
      </c>
      <c r="AI500" t="s">
        <v>10816</v>
      </c>
      <c r="AO500" t="s">
        <v>10885</v>
      </c>
    </row>
    <row r="501" spans="1:41" hidden="1" x14ac:dyDescent="0.35">
      <c r="A501" t="s">
        <v>10886</v>
      </c>
      <c r="B501" t="s">
        <v>7246</v>
      </c>
      <c r="C501" t="s">
        <v>385</v>
      </c>
      <c r="D501" t="s">
        <v>429</v>
      </c>
      <c r="E501" t="s">
        <v>10887</v>
      </c>
      <c r="G501" s="13" t="s">
        <v>10888</v>
      </c>
      <c r="H501" t="s">
        <v>10889</v>
      </c>
      <c r="K501" t="s">
        <v>10890</v>
      </c>
      <c r="L501" t="s">
        <v>10890</v>
      </c>
      <c r="M501" t="s">
        <v>7250</v>
      </c>
      <c r="N501">
        <v>2003</v>
      </c>
      <c r="Q501">
        <v>2023</v>
      </c>
      <c r="R501">
        <v>650</v>
      </c>
      <c r="S501" t="s">
        <v>7251</v>
      </c>
      <c r="T501">
        <v>6.72</v>
      </c>
      <c r="U501">
        <v>3128.67</v>
      </c>
      <c r="V501">
        <v>470</v>
      </c>
      <c r="W501">
        <v>437.23</v>
      </c>
      <c r="X501">
        <v>470</v>
      </c>
      <c r="AA501" t="s">
        <v>10891</v>
      </c>
      <c r="AC501" t="s">
        <v>10816</v>
      </c>
      <c r="AI501" t="s">
        <v>10816</v>
      </c>
      <c r="AO501" t="s">
        <v>10892</v>
      </c>
    </row>
    <row r="502" spans="1:41" hidden="1" x14ac:dyDescent="0.35">
      <c r="A502" t="s">
        <v>10893</v>
      </c>
      <c r="B502" t="s">
        <v>7246</v>
      </c>
      <c r="C502" t="s">
        <v>4136</v>
      </c>
      <c r="D502" t="s">
        <v>4136</v>
      </c>
      <c r="E502" t="s">
        <v>4136</v>
      </c>
      <c r="G502" s="13" t="s">
        <v>10894</v>
      </c>
      <c r="H502" t="s">
        <v>10895</v>
      </c>
      <c r="J502" t="s">
        <v>10896</v>
      </c>
      <c r="K502" t="s">
        <v>10508</v>
      </c>
      <c r="L502" t="s">
        <v>6511</v>
      </c>
      <c r="M502" t="s">
        <v>7250</v>
      </c>
      <c r="N502">
        <v>1985</v>
      </c>
      <c r="R502">
        <v>220</v>
      </c>
      <c r="S502" t="s">
        <v>7251</v>
      </c>
      <c r="T502">
        <v>2.2799999999999998</v>
      </c>
      <c r="U502">
        <v>1058.93</v>
      </c>
      <c r="V502">
        <v>37</v>
      </c>
      <c r="W502">
        <v>30.35</v>
      </c>
      <c r="X502">
        <v>37</v>
      </c>
      <c r="Y502">
        <v>14</v>
      </c>
      <c r="Z502" t="s">
        <v>7253</v>
      </c>
      <c r="AC502" t="s">
        <v>8859</v>
      </c>
      <c r="AD502" t="s">
        <v>10407</v>
      </c>
      <c r="AF502" t="s">
        <v>10897</v>
      </c>
      <c r="AG502" t="s">
        <v>10407</v>
      </c>
      <c r="AI502" t="s">
        <v>8859</v>
      </c>
      <c r="AO502" t="s">
        <v>10898</v>
      </c>
    </row>
    <row r="503" spans="1:41" hidden="1" x14ac:dyDescent="0.35">
      <c r="A503" t="s">
        <v>10899</v>
      </c>
      <c r="B503" t="s">
        <v>7246</v>
      </c>
      <c r="C503" t="s">
        <v>385</v>
      </c>
      <c r="D503" t="s">
        <v>385</v>
      </c>
      <c r="E503" t="s">
        <v>385</v>
      </c>
      <c r="G503" s="13" t="s">
        <v>10900</v>
      </c>
      <c r="H503" t="s">
        <v>10901</v>
      </c>
      <c r="K503" t="s">
        <v>6992</v>
      </c>
      <c r="L503" t="s">
        <v>6992</v>
      </c>
      <c r="M503" t="s">
        <v>7250</v>
      </c>
      <c r="N503">
        <v>2019</v>
      </c>
      <c r="R503">
        <v>160</v>
      </c>
      <c r="S503" t="s">
        <v>7251</v>
      </c>
      <c r="T503">
        <v>1.65</v>
      </c>
      <c r="U503">
        <v>770.13</v>
      </c>
      <c r="V503">
        <v>176</v>
      </c>
      <c r="W503">
        <v>119.76</v>
      </c>
      <c r="X503">
        <v>176</v>
      </c>
      <c r="AB503" t="s">
        <v>6991</v>
      </c>
      <c r="AC503" t="s">
        <v>10816</v>
      </c>
      <c r="AE503" t="s">
        <v>10902</v>
      </c>
      <c r="AF503" t="s">
        <v>3382</v>
      </c>
      <c r="AH503" t="s">
        <v>10902</v>
      </c>
      <c r="AI503" t="s">
        <v>10816</v>
      </c>
      <c r="AO503" t="s">
        <v>10903</v>
      </c>
    </row>
    <row r="504" spans="1:41" hidden="1" x14ac:dyDescent="0.35">
      <c r="A504" t="s">
        <v>10904</v>
      </c>
      <c r="B504" t="s">
        <v>7246</v>
      </c>
      <c r="C504" t="s">
        <v>385</v>
      </c>
      <c r="D504" t="s">
        <v>385</v>
      </c>
      <c r="E504" t="s">
        <v>385</v>
      </c>
      <c r="G504" s="13" t="s">
        <v>10905</v>
      </c>
      <c r="H504" t="s">
        <v>10906</v>
      </c>
      <c r="K504" t="s">
        <v>10831</v>
      </c>
      <c r="L504" t="s">
        <v>10831</v>
      </c>
      <c r="M504" t="s">
        <v>7250</v>
      </c>
      <c r="N504">
        <v>2015</v>
      </c>
      <c r="R504">
        <v>150</v>
      </c>
      <c r="S504" t="s">
        <v>7251</v>
      </c>
      <c r="T504">
        <v>1.55</v>
      </c>
      <c r="U504">
        <v>722</v>
      </c>
      <c r="V504">
        <v>207</v>
      </c>
      <c r="W504">
        <v>92.32</v>
      </c>
      <c r="X504">
        <v>207</v>
      </c>
      <c r="AA504" t="s">
        <v>10907</v>
      </c>
      <c r="AC504" t="s">
        <v>10816</v>
      </c>
      <c r="AF504" t="s">
        <v>10856</v>
      </c>
      <c r="AH504" t="s">
        <v>5054</v>
      </c>
      <c r="AI504" t="s">
        <v>10816</v>
      </c>
      <c r="AO504" t="s">
        <v>10908</v>
      </c>
    </row>
    <row r="505" spans="1:41" hidden="1" x14ac:dyDescent="0.35">
      <c r="A505" t="s">
        <v>10909</v>
      </c>
      <c r="B505" t="s">
        <v>7246</v>
      </c>
      <c r="C505" t="s">
        <v>385</v>
      </c>
      <c r="D505" t="s">
        <v>385</v>
      </c>
      <c r="E505" t="s">
        <v>385</v>
      </c>
      <c r="G505" s="13" t="s">
        <v>10910</v>
      </c>
      <c r="H505" t="s">
        <v>10911</v>
      </c>
      <c r="K505" t="s">
        <v>10831</v>
      </c>
      <c r="L505" t="s">
        <v>10831</v>
      </c>
      <c r="M505" t="s">
        <v>7292</v>
      </c>
      <c r="T505" t="s">
        <v>6546</v>
      </c>
      <c r="U505" t="s">
        <v>6546</v>
      </c>
      <c r="V505">
        <v>1200</v>
      </c>
      <c r="W505">
        <v>1024.19</v>
      </c>
      <c r="X505">
        <v>1200</v>
      </c>
      <c r="AC505" t="s">
        <v>10816</v>
      </c>
      <c r="AE505" t="s">
        <v>10912</v>
      </c>
      <c r="AH505" t="s">
        <v>5054</v>
      </c>
      <c r="AI505" t="s">
        <v>10816</v>
      </c>
      <c r="AO505" t="s">
        <v>10913</v>
      </c>
    </row>
    <row r="506" spans="1:41" hidden="1" x14ac:dyDescent="0.35">
      <c r="A506" t="s">
        <v>10914</v>
      </c>
      <c r="B506" t="s">
        <v>7246</v>
      </c>
      <c r="C506" t="s">
        <v>385</v>
      </c>
      <c r="D506" t="s">
        <v>385</v>
      </c>
      <c r="E506" t="s">
        <v>385</v>
      </c>
      <c r="G506" s="13" t="s">
        <v>10915</v>
      </c>
      <c r="H506" t="s">
        <v>10916</v>
      </c>
      <c r="J506" t="s">
        <v>10917</v>
      </c>
      <c r="K506" t="s">
        <v>10831</v>
      </c>
      <c r="L506" t="s">
        <v>10831</v>
      </c>
      <c r="M506" t="s">
        <v>7250</v>
      </c>
      <c r="N506">
        <v>2016</v>
      </c>
      <c r="R506">
        <v>270</v>
      </c>
      <c r="S506" t="s">
        <v>7251</v>
      </c>
      <c r="T506">
        <v>2.79</v>
      </c>
      <c r="U506">
        <v>1299.5999999999999</v>
      </c>
      <c r="V506">
        <v>31</v>
      </c>
      <c r="W506">
        <v>59.55</v>
      </c>
      <c r="X506">
        <v>31</v>
      </c>
      <c r="AB506" t="s">
        <v>2893</v>
      </c>
      <c r="AC506" t="s">
        <v>10816</v>
      </c>
      <c r="AE506" t="s">
        <v>5074</v>
      </c>
      <c r="AG506" t="s">
        <v>10918</v>
      </c>
      <c r="AH506" t="s">
        <v>5074</v>
      </c>
      <c r="AI506" t="s">
        <v>10816</v>
      </c>
      <c r="AO506" t="s">
        <v>10919</v>
      </c>
    </row>
    <row r="507" spans="1:41" hidden="1" x14ac:dyDescent="0.35">
      <c r="A507" t="s">
        <v>10920</v>
      </c>
      <c r="B507" t="s">
        <v>7246</v>
      </c>
      <c r="C507" t="s">
        <v>385</v>
      </c>
      <c r="D507" t="s">
        <v>385</v>
      </c>
      <c r="E507" t="s">
        <v>385</v>
      </c>
      <c r="G507" s="13" t="s">
        <v>10921</v>
      </c>
      <c r="H507" t="s">
        <v>10922</v>
      </c>
      <c r="K507" t="s">
        <v>10923</v>
      </c>
      <c r="L507" t="s">
        <v>10923</v>
      </c>
      <c r="M507" t="s">
        <v>7269</v>
      </c>
      <c r="R507">
        <v>1000</v>
      </c>
      <c r="S507" t="s">
        <v>7251</v>
      </c>
      <c r="T507">
        <v>10.34</v>
      </c>
      <c r="U507">
        <v>4813.33</v>
      </c>
      <c r="V507">
        <v>740</v>
      </c>
      <c r="W507">
        <v>538.87</v>
      </c>
      <c r="X507">
        <v>740</v>
      </c>
      <c r="AA507" t="s">
        <v>10924</v>
      </c>
      <c r="AB507" t="s">
        <v>10925</v>
      </c>
      <c r="AC507" t="s">
        <v>10816</v>
      </c>
      <c r="AF507" t="s">
        <v>10861</v>
      </c>
      <c r="AH507" t="s">
        <v>3378</v>
      </c>
      <c r="AI507" t="s">
        <v>10816</v>
      </c>
      <c r="AO507" t="s">
        <v>10926</v>
      </c>
    </row>
    <row r="508" spans="1:41" hidden="1" x14ac:dyDescent="0.35">
      <c r="A508" t="s">
        <v>10927</v>
      </c>
      <c r="B508" t="s">
        <v>7246</v>
      </c>
      <c r="C508" t="s">
        <v>385</v>
      </c>
      <c r="D508" t="s">
        <v>385</v>
      </c>
      <c r="E508" t="s">
        <v>385</v>
      </c>
      <c r="G508" s="13" t="s">
        <v>10928</v>
      </c>
      <c r="H508" t="s">
        <v>10929</v>
      </c>
      <c r="K508" t="s">
        <v>6543</v>
      </c>
      <c r="L508" t="s">
        <v>6543</v>
      </c>
      <c r="M508" t="s">
        <v>7292</v>
      </c>
      <c r="T508" t="s">
        <v>6546</v>
      </c>
      <c r="U508" t="s">
        <v>6546</v>
      </c>
      <c r="V508">
        <v>687</v>
      </c>
      <c r="W508">
        <v>375.35</v>
      </c>
      <c r="X508">
        <v>687</v>
      </c>
      <c r="AC508" t="s">
        <v>10816</v>
      </c>
      <c r="AD508" t="s">
        <v>10930</v>
      </c>
      <c r="AH508" t="s">
        <v>10931</v>
      </c>
      <c r="AI508" t="s">
        <v>10816</v>
      </c>
      <c r="AO508" t="s">
        <v>10932</v>
      </c>
    </row>
    <row r="509" spans="1:41" hidden="1" x14ac:dyDescent="0.35">
      <c r="A509" t="s">
        <v>10933</v>
      </c>
      <c r="B509" t="s">
        <v>7246</v>
      </c>
      <c r="C509" t="s">
        <v>385</v>
      </c>
      <c r="D509" t="s">
        <v>385</v>
      </c>
      <c r="E509" t="s">
        <v>385</v>
      </c>
      <c r="G509" s="13" t="s">
        <v>10934</v>
      </c>
      <c r="H509" t="s">
        <v>10935</v>
      </c>
      <c r="K509" t="s">
        <v>6992</v>
      </c>
      <c r="L509" t="s">
        <v>6992</v>
      </c>
      <c r="M509" t="s">
        <v>7250</v>
      </c>
      <c r="N509">
        <v>2009</v>
      </c>
      <c r="R509">
        <v>25</v>
      </c>
      <c r="S509" t="s">
        <v>7251</v>
      </c>
      <c r="T509">
        <v>0.26</v>
      </c>
      <c r="U509">
        <v>120.33</v>
      </c>
      <c r="V509">
        <v>52</v>
      </c>
      <c r="W509">
        <v>36.6</v>
      </c>
      <c r="X509">
        <v>52</v>
      </c>
      <c r="AA509" t="s">
        <v>10936</v>
      </c>
      <c r="AB509" t="s">
        <v>10937</v>
      </c>
      <c r="AC509" t="s">
        <v>10816</v>
      </c>
      <c r="AE509" t="s">
        <v>5066</v>
      </c>
      <c r="AF509" t="s">
        <v>10938</v>
      </c>
      <c r="AH509" t="s">
        <v>5066</v>
      </c>
      <c r="AI509" t="s">
        <v>10816</v>
      </c>
      <c r="AO509" t="s">
        <v>10939</v>
      </c>
    </row>
    <row r="510" spans="1:41" hidden="1" x14ac:dyDescent="0.35">
      <c r="A510" t="s">
        <v>10940</v>
      </c>
      <c r="B510" t="s">
        <v>7246</v>
      </c>
      <c r="C510" t="s">
        <v>385</v>
      </c>
      <c r="D510" t="s">
        <v>385</v>
      </c>
      <c r="E510" t="s">
        <v>385</v>
      </c>
      <c r="G510" s="13" t="s">
        <v>10941</v>
      </c>
      <c r="H510" t="s">
        <v>10942</v>
      </c>
      <c r="J510" t="s">
        <v>10943</v>
      </c>
      <c r="K510" t="s">
        <v>6992</v>
      </c>
      <c r="L510" t="s">
        <v>6992</v>
      </c>
      <c r="M510" t="s">
        <v>7250</v>
      </c>
      <c r="N510">
        <v>1998</v>
      </c>
      <c r="R510">
        <v>150</v>
      </c>
      <c r="S510" t="s">
        <v>7251</v>
      </c>
      <c r="T510">
        <v>1.55</v>
      </c>
      <c r="U510">
        <v>722</v>
      </c>
      <c r="V510">
        <v>8</v>
      </c>
      <c r="W510">
        <v>54.16</v>
      </c>
      <c r="X510">
        <v>8</v>
      </c>
      <c r="AC510" t="s">
        <v>10816</v>
      </c>
      <c r="AE510" t="s">
        <v>3366</v>
      </c>
      <c r="AH510" t="s">
        <v>3366</v>
      </c>
      <c r="AI510" t="s">
        <v>10816</v>
      </c>
      <c r="AO510" t="s">
        <v>10944</v>
      </c>
    </row>
    <row r="511" spans="1:41" hidden="1" x14ac:dyDescent="0.35">
      <c r="A511" t="s">
        <v>10945</v>
      </c>
      <c r="B511" t="s">
        <v>7246</v>
      </c>
      <c r="C511" t="s">
        <v>385</v>
      </c>
      <c r="D511" t="s">
        <v>385</v>
      </c>
      <c r="E511" t="s">
        <v>385</v>
      </c>
      <c r="G511" s="13" t="s">
        <v>10946</v>
      </c>
      <c r="H511" t="s">
        <v>10947</v>
      </c>
      <c r="K511" t="s">
        <v>10831</v>
      </c>
      <c r="L511" t="s">
        <v>10831</v>
      </c>
      <c r="M511" t="s">
        <v>7250</v>
      </c>
      <c r="N511">
        <v>2017</v>
      </c>
      <c r="R511">
        <v>100</v>
      </c>
      <c r="S511" t="s">
        <v>7251</v>
      </c>
      <c r="T511">
        <v>1.03</v>
      </c>
      <c r="U511">
        <v>481.33</v>
      </c>
      <c r="V511">
        <v>57</v>
      </c>
      <c r="W511">
        <v>42.12</v>
      </c>
      <c r="X511">
        <v>57</v>
      </c>
      <c r="AB511" t="s">
        <v>10868</v>
      </c>
      <c r="AC511" t="s">
        <v>10816</v>
      </c>
      <c r="AE511" t="s">
        <v>10878</v>
      </c>
      <c r="AF511" t="s">
        <v>10948</v>
      </c>
      <c r="AH511" t="s">
        <v>10878</v>
      </c>
      <c r="AI511" t="s">
        <v>10816</v>
      </c>
      <c r="AO511" t="s">
        <v>10949</v>
      </c>
    </row>
    <row r="512" spans="1:41" hidden="1" x14ac:dyDescent="0.35">
      <c r="A512" t="s">
        <v>10950</v>
      </c>
      <c r="B512" t="s">
        <v>7246</v>
      </c>
      <c r="C512" t="s">
        <v>385</v>
      </c>
      <c r="D512" t="s">
        <v>385</v>
      </c>
      <c r="E512" t="s">
        <v>385</v>
      </c>
      <c r="G512" s="13" t="s">
        <v>10951</v>
      </c>
      <c r="H512" t="s">
        <v>10952</v>
      </c>
      <c r="J512" t="s">
        <v>10848</v>
      </c>
      <c r="K512" t="s">
        <v>6992</v>
      </c>
      <c r="L512" t="s">
        <v>6992</v>
      </c>
      <c r="M512" t="s">
        <v>7731</v>
      </c>
      <c r="N512">
        <v>2020</v>
      </c>
      <c r="R512">
        <v>160</v>
      </c>
      <c r="S512" t="s">
        <v>7251</v>
      </c>
      <c r="T512">
        <v>1.65</v>
      </c>
      <c r="U512">
        <v>770.13</v>
      </c>
      <c r="V512">
        <v>176</v>
      </c>
      <c r="W512">
        <v>108.32</v>
      </c>
      <c r="X512">
        <v>176</v>
      </c>
      <c r="AB512" t="s">
        <v>10953</v>
      </c>
      <c r="AC512" t="s">
        <v>10816</v>
      </c>
      <c r="AE512" t="s">
        <v>10902</v>
      </c>
      <c r="AF512" t="s">
        <v>10954</v>
      </c>
      <c r="AH512" t="s">
        <v>10955</v>
      </c>
      <c r="AI512" t="s">
        <v>10816</v>
      </c>
      <c r="AO512" t="s">
        <v>10956</v>
      </c>
    </row>
    <row r="513" spans="1:41" hidden="1" x14ac:dyDescent="0.35">
      <c r="A513" t="s">
        <v>10957</v>
      </c>
      <c r="B513" t="s">
        <v>7246</v>
      </c>
      <c r="C513" t="s">
        <v>385</v>
      </c>
      <c r="D513" t="s">
        <v>385</v>
      </c>
      <c r="E513" t="s">
        <v>385</v>
      </c>
      <c r="G513" s="13" t="s">
        <v>10958</v>
      </c>
      <c r="H513" t="s">
        <v>10959</v>
      </c>
      <c r="K513" t="s">
        <v>10960</v>
      </c>
      <c r="L513" t="s">
        <v>10960</v>
      </c>
      <c r="M513" t="s">
        <v>7250</v>
      </c>
      <c r="N513">
        <v>2013</v>
      </c>
      <c r="R513">
        <v>100</v>
      </c>
      <c r="S513" t="s">
        <v>7251</v>
      </c>
      <c r="T513">
        <v>1.03</v>
      </c>
      <c r="U513">
        <v>481.33</v>
      </c>
      <c r="V513">
        <v>312</v>
      </c>
      <c r="W513">
        <v>164.68</v>
      </c>
      <c r="X513">
        <v>312</v>
      </c>
      <c r="AA513" t="s">
        <v>10961</v>
      </c>
      <c r="AB513" t="s">
        <v>10962</v>
      </c>
      <c r="AC513" t="s">
        <v>10816</v>
      </c>
      <c r="AF513" t="s">
        <v>10963</v>
      </c>
      <c r="AH513" t="s">
        <v>10912</v>
      </c>
      <c r="AI513" t="s">
        <v>10816</v>
      </c>
      <c r="AO513" t="s">
        <v>10964</v>
      </c>
    </row>
    <row r="514" spans="1:41" hidden="1" x14ac:dyDescent="0.35">
      <c r="A514" t="s">
        <v>10965</v>
      </c>
      <c r="B514" t="s">
        <v>7246</v>
      </c>
      <c r="C514" t="s">
        <v>385</v>
      </c>
      <c r="D514" t="s">
        <v>385</v>
      </c>
      <c r="E514" t="s">
        <v>385</v>
      </c>
      <c r="G514" s="13" t="s">
        <v>10966</v>
      </c>
      <c r="H514" t="s">
        <v>10967</v>
      </c>
      <c r="J514" t="s">
        <v>10968</v>
      </c>
      <c r="K514" t="s">
        <v>10831</v>
      </c>
      <c r="L514" t="s">
        <v>10831</v>
      </c>
      <c r="M514" t="s">
        <v>7250</v>
      </c>
      <c r="N514">
        <v>2008</v>
      </c>
      <c r="R514">
        <v>440</v>
      </c>
      <c r="S514" t="s">
        <v>7251</v>
      </c>
      <c r="T514">
        <v>4.55</v>
      </c>
      <c r="U514">
        <v>2117.87</v>
      </c>
      <c r="V514">
        <v>450</v>
      </c>
      <c r="W514">
        <v>198.54</v>
      </c>
      <c r="X514">
        <v>450</v>
      </c>
      <c r="AB514" t="s">
        <v>10969</v>
      </c>
      <c r="AC514" t="s">
        <v>10816</v>
      </c>
      <c r="AE514" t="s">
        <v>10902</v>
      </c>
      <c r="AF514" t="s">
        <v>5047</v>
      </c>
      <c r="AH514" t="s">
        <v>5074</v>
      </c>
      <c r="AI514" t="s">
        <v>10816</v>
      </c>
      <c r="AO514" t="s">
        <v>10970</v>
      </c>
    </row>
    <row r="515" spans="1:41" hidden="1" x14ac:dyDescent="0.35">
      <c r="A515" t="s">
        <v>10971</v>
      </c>
      <c r="B515" t="s">
        <v>7246</v>
      </c>
      <c r="C515" t="s">
        <v>383</v>
      </c>
      <c r="D515" t="s">
        <v>383</v>
      </c>
      <c r="E515" t="s">
        <v>383</v>
      </c>
      <c r="G515" s="13" t="s">
        <v>10972</v>
      </c>
      <c r="H515" t="s">
        <v>10973</v>
      </c>
      <c r="K515" t="s">
        <v>10612</v>
      </c>
      <c r="L515" t="s">
        <v>10612</v>
      </c>
      <c r="M515" t="s">
        <v>7250</v>
      </c>
      <c r="N515">
        <v>2004</v>
      </c>
      <c r="R515">
        <v>1.06</v>
      </c>
      <c r="S515" t="s">
        <v>8257</v>
      </c>
      <c r="T515">
        <v>1.06</v>
      </c>
      <c r="U515">
        <v>493.31</v>
      </c>
      <c r="V515">
        <v>133</v>
      </c>
      <c r="W515">
        <v>106.47</v>
      </c>
      <c r="X515">
        <v>133</v>
      </c>
      <c r="AB515" t="s">
        <v>10974</v>
      </c>
      <c r="AC515" t="s">
        <v>8859</v>
      </c>
      <c r="AE515" t="s">
        <v>3089</v>
      </c>
      <c r="AF515" t="s">
        <v>10975</v>
      </c>
      <c r="AH515" t="s">
        <v>3089</v>
      </c>
      <c r="AI515" t="s">
        <v>8859</v>
      </c>
      <c r="AO515" t="s">
        <v>10976</v>
      </c>
    </row>
    <row r="516" spans="1:41" hidden="1" x14ac:dyDescent="0.35">
      <c r="A516" t="s">
        <v>10977</v>
      </c>
      <c r="B516" t="s">
        <v>7246</v>
      </c>
      <c r="C516" t="s">
        <v>383</v>
      </c>
      <c r="D516" t="s">
        <v>383</v>
      </c>
      <c r="E516" t="s">
        <v>383</v>
      </c>
      <c r="G516" s="13" t="s">
        <v>10978</v>
      </c>
      <c r="H516" t="s">
        <v>10979</v>
      </c>
      <c r="J516" t="s">
        <v>10980</v>
      </c>
      <c r="K516" t="s">
        <v>10981</v>
      </c>
      <c r="L516" t="s">
        <v>10981</v>
      </c>
      <c r="M516" t="s">
        <v>7415</v>
      </c>
      <c r="N516">
        <v>2022</v>
      </c>
      <c r="R516">
        <v>18</v>
      </c>
      <c r="S516" t="s">
        <v>8792</v>
      </c>
      <c r="T516">
        <v>6.57</v>
      </c>
      <c r="U516">
        <v>3059.66</v>
      </c>
      <c r="V516">
        <v>667</v>
      </c>
      <c r="W516">
        <v>456.93</v>
      </c>
      <c r="X516">
        <v>667</v>
      </c>
      <c r="AB516" t="s">
        <v>10982</v>
      </c>
      <c r="AC516" t="s">
        <v>8859</v>
      </c>
      <c r="AD516" t="s">
        <v>10983</v>
      </c>
      <c r="AE516" t="s">
        <v>10984</v>
      </c>
      <c r="AF516" t="s">
        <v>10985</v>
      </c>
      <c r="AH516" t="s">
        <v>3112</v>
      </c>
      <c r="AI516" t="s">
        <v>8859</v>
      </c>
      <c r="AO516" t="s">
        <v>10986</v>
      </c>
    </row>
    <row r="517" spans="1:41" hidden="1" x14ac:dyDescent="0.35">
      <c r="A517" t="s">
        <v>10987</v>
      </c>
      <c r="B517" t="s">
        <v>7246</v>
      </c>
      <c r="C517" t="s">
        <v>383</v>
      </c>
      <c r="D517" t="s">
        <v>383</v>
      </c>
      <c r="E517" t="s">
        <v>383</v>
      </c>
      <c r="G517" s="13" t="s">
        <v>10988</v>
      </c>
      <c r="H517" t="s">
        <v>10989</v>
      </c>
      <c r="K517" t="s">
        <v>10990</v>
      </c>
      <c r="L517" t="s">
        <v>10990</v>
      </c>
      <c r="M517" t="s">
        <v>7415</v>
      </c>
      <c r="N517">
        <v>2022</v>
      </c>
      <c r="R517">
        <v>6.5</v>
      </c>
      <c r="S517" t="s">
        <v>8792</v>
      </c>
      <c r="T517">
        <v>2.37</v>
      </c>
      <c r="U517">
        <v>1104.8800000000001</v>
      </c>
      <c r="V517">
        <v>90</v>
      </c>
      <c r="W517">
        <v>59.82</v>
      </c>
      <c r="X517">
        <v>90</v>
      </c>
      <c r="AA517" t="s">
        <v>10991</v>
      </c>
      <c r="AB517" t="s">
        <v>10992</v>
      </c>
      <c r="AC517" t="s">
        <v>8859</v>
      </c>
      <c r="AE517" t="s">
        <v>3089</v>
      </c>
      <c r="AF517" t="s">
        <v>2748</v>
      </c>
      <c r="AH517" t="s">
        <v>3089</v>
      </c>
      <c r="AI517" t="s">
        <v>8859</v>
      </c>
      <c r="AO517" t="s">
        <v>10993</v>
      </c>
    </row>
    <row r="518" spans="1:41" hidden="1" x14ac:dyDescent="0.35">
      <c r="A518" t="s">
        <v>10994</v>
      </c>
      <c r="B518" t="s">
        <v>7246</v>
      </c>
      <c r="C518" t="s">
        <v>383</v>
      </c>
      <c r="D518" t="s">
        <v>383</v>
      </c>
      <c r="E518" t="s">
        <v>383</v>
      </c>
      <c r="G518" s="13" t="s">
        <v>10995</v>
      </c>
      <c r="H518" t="s">
        <v>10996</v>
      </c>
      <c r="K518" t="s">
        <v>10763</v>
      </c>
      <c r="L518" t="s">
        <v>10763</v>
      </c>
      <c r="M518" t="s">
        <v>7250</v>
      </c>
      <c r="N518">
        <v>2010</v>
      </c>
      <c r="R518">
        <v>0.37</v>
      </c>
      <c r="S518" t="s">
        <v>8257</v>
      </c>
      <c r="T518">
        <v>0.37</v>
      </c>
      <c r="U518">
        <v>172.19</v>
      </c>
      <c r="V518">
        <v>90</v>
      </c>
      <c r="W518">
        <v>93.06</v>
      </c>
      <c r="X518">
        <v>90</v>
      </c>
      <c r="AB518" t="s">
        <v>10997</v>
      </c>
      <c r="AC518" t="s">
        <v>8859</v>
      </c>
      <c r="AE518" t="s">
        <v>10998</v>
      </c>
      <c r="AF518" t="s">
        <v>10999</v>
      </c>
      <c r="AH518" t="s">
        <v>10998</v>
      </c>
      <c r="AI518" t="s">
        <v>8859</v>
      </c>
      <c r="AO518" t="s">
        <v>11000</v>
      </c>
    </row>
    <row r="519" spans="1:41" hidden="1" x14ac:dyDescent="0.35">
      <c r="A519" t="s">
        <v>11001</v>
      </c>
      <c r="B519" t="s">
        <v>7246</v>
      </c>
      <c r="C519" t="s">
        <v>385</v>
      </c>
      <c r="D519" t="s">
        <v>385</v>
      </c>
      <c r="E519" t="s">
        <v>385</v>
      </c>
      <c r="G519" s="13" t="s">
        <v>11002</v>
      </c>
      <c r="H519" t="s">
        <v>11003</v>
      </c>
      <c r="K519" t="s">
        <v>11004</v>
      </c>
      <c r="L519" t="s">
        <v>11004</v>
      </c>
      <c r="M519" t="s">
        <v>7250</v>
      </c>
      <c r="R519">
        <v>30</v>
      </c>
      <c r="S519" t="s">
        <v>7251</v>
      </c>
      <c r="T519">
        <v>0.31</v>
      </c>
      <c r="U519">
        <v>144.4</v>
      </c>
      <c r="V519">
        <v>6.5</v>
      </c>
      <c r="W519">
        <v>4.93</v>
      </c>
      <c r="X519">
        <v>6.5</v>
      </c>
      <c r="AB519" t="s">
        <v>11005</v>
      </c>
      <c r="AC519" t="s">
        <v>10816</v>
      </c>
      <c r="AD519" t="s">
        <v>11006</v>
      </c>
      <c r="AE519" t="s">
        <v>5066</v>
      </c>
      <c r="AF519" t="s">
        <v>11007</v>
      </c>
      <c r="AG519" t="s">
        <v>11006</v>
      </c>
      <c r="AH519" t="s">
        <v>5066</v>
      </c>
      <c r="AI519" t="s">
        <v>10816</v>
      </c>
      <c r="AO519" t="s">
        <v>11008</v>
      </c>
    </row>
    <row r="520" spans="1:41" hidden="1" x14ac:dyDescent="0.35">
      <c r="A520" t="s">
        <v>11009</v>
      </c>
      <c r="B520" t="s">
        <v>7246</v>
      </c>
      <c r="C520" t="s">
        <v>423</v>
      </c>
      <c r="D520" t="s">
        <v>423</v>
      </c>
      <c r="E520" t="s">
        <v>423</v>
      </c>
      <c r="G520" s="13" t="s">
        <v>11010</v>
      </c>
      <c r="H520" t="s">
        <v>11011</v>
      </c>
      <c r="J520" t="s">
        <v>10121</v>
      </c>
      <c r="K520" t="s">
        <v>9976</v>
      </c>
      <c r="L520" t="s">
        <v>9976</v>
      </c>
      <c r="M520" t="s">
        <v>7250</v>
      </c>
      <c r="N520">
        <v>2018</v>
      </c>
      <c r="R520">
        <v>45</v>
      </c>
      <c r="S520" t="s">
        <v>8257</v>
      </c>
      <c r="T520">
        <v>45</v>
      </c>
      <c r="U520">
        <v>20942.25</v>
      </c>
      <c r="V520">
        <v>970</v>
      </c>
      <c r="W520">
        <v>1331.42</v>
      </c>
      <c r="X520">
        <v>970</v>
      </c>
      <c r="Y520">
        <v>55.91</v>
      </c>
      <c r="Z520" t="s">
        <v>7253</v>
      </c>
      <c r="AA520" t="s">
        <v>10122</v>
      </c>
      <c r="AB520" t="s">
        <v>9878</v>
      </c>
      <c r="AC520" t="s">
        <v>8844</v>
      </c>
      <c r="AE520" t="s">
        <v>3621</v>
      </c>
      <c r="AF520" t="s">
        <v>10015</v>
      </c>
      <c r="AH520" t="s">
        <v>10123</v>
      </c>
      <c r="AI520" t="s">
        <v>8844</v>
      </c>
      <c r="AL520" t="s">
        <v>11012</v>
      </c>
      <c r="AO520" t="s">
        <v>10125</v>
      </c>
    </row>
    <row r="521" spans="1:41" hidden="1" x14ac:dyDescent="0.35">
      <c r="A521" t="s">
        <v>11013</v>
      </c>
      <c r="B521" t="s">
        <v>7246</v>
      </c>
      <c r="C521" t="s">
        <v>423</v>
      </c>
      <c r="D521" t="s">
        <v>433</v>
      </c>
      <c r="E521" t="s">
        <v>11014</v>
      </c>
      <c r="G521" s="13" t="s">
        <v>11015</v>
      </c>
      <c r="H521" t="s">
        <v>11016</v>
      </c>
      <c r="K521" t="s">
        <v>11017</v>
      </c>
      <c r="L521" t="s">
        <v>11017</v>
      </c>
      <c r="M521" t="s">
        <v>7731</v>
      </c>
      <c r="R521">
        <v>1071</v>
      </c>
      <c r="S521" t="s">
        <v>7251</v>
      </c>
      <c r="T521">
        <v>11.08</v>
      </c>
      <c r="U521">
        <v>5155.08</v>
      </c>
      <c r="V521">
        <v>1202</v>
      </c>
      <c r="W521">
        <v>1056.8599999999999</v>
      </c>
      <c r="X521">
        <v>1202</v>
      </c>
      <c r="AB521" t="s">
        <v>10039</v>
      </c>
      <c r="AC521" t="s">
        <v>8844</v>
      </c>
      <c r="AI521" t="s">
        <v>9852</v>
      </c>
      <c r="AL521" t="s">
        <v>11018</v>
      </c>
      <c r="AO521" t="s">
        <v>11019</v>
      </c>
    </row>
    <row r="522" spans="1:41" hidden="1" x14ac:dyDescent="0.35">
      <c r="A522" t="s">
        <v>11020</v>
      </c>
      <c r="B522" t="s">
        <v>7246</v>
      </c>
      <c r="C522" t="s">
        <v>5295</v>
      </c>
      <c r="D522" t="s">
        <v>5295</v>
      </c>
      <c r="E522" t="s">
        <v>5295</v>
      </c>
      <c r="G522" s="13" t="s">
        <v>11021</v>
      </c>
      <c r="H522" t="s">
        <v>11022</v>
      </c>
      <c r="I522" t="s">
        <v>11023</v>
      </c>
      <c r="K522" t="s">
        <v>11024</v>
      </c>
      <c r="L522" t="s">
        <v>11024</v>
      </c>
      <c r="M522" t="s">
        <v>7415</v>
      </c>
      <c r="N522">
        <v>2022</v>
      </c>
      <c r="T522" t="s">
        <v>6546</v>
      </c>
      <c r="U522" t="s">
        <v>6546</v>
      </c>
      <c r="V522">
        <v>200</v>
      </c>
      <c r="W522">
        <v>394.26</v>
      </c>
      <c r="X522">
        <v>200</v>
      </c>
      <c r="AB522" t="s">
        <v>11025</v>
      </c>
      <c r="AC522" t="s">
        <v>10816</v>
      </c>
      <c r="AE522" t="s">
        <v>11025</v>
      </c>
      <c r="AF522" t="s">
        <v>11026</v>
      </c>
      <c r="AH522" t="s">
        <v>11027</v>
      </c>
      <c r="AI522" t="s">
        <v>10816</v>
      </c>
      <c r="AO522" t="s">
        <v>11028</v>
      </c>
    </row>
    <row r="523" spans="1:41" hidden="1" x14ac:dyDescent="0.35">
      <c r="A523" t="s">
        <v>11029</v>
      </c>
      <c r="B523" t="s">
        <v>7246</v>
      </c>
      <c r="C523" t="s">
        <v>5978</v>
      </c>
      <c r="D523" t="s">
        <v>5978</v>
      </c>
      <c r="E523" t="s">
        <v>423</v>
      </c>
      <c r="G523" s="13" t="s">
        <v>11030</v>
      </c>
      <c r="H523" t="s">
        <v>11031</v>
      </c>
      <c r="K523" t="s">
        <v>9976</v>
      </c>
      <c r="L523" t="s">
        <v>9976</v>
      </c>
      <c r="M523" t="s">
        <v>7250</v>
      </c>
      <c r="N523">
        <v>1980</v>
      </c>
      <c r="R523">
        <v>37.119999999999997</v>
      </c>
      <c r="S523" t="s">
        <v>8257</v>
      </c>
      <c r="T523">
        <v>37.119999999999997</v>
      </c>
      <c r="U523">
        <v>17275.03</v>
      </c>
      <c r="V523">
        <v>1285</v>
      </c>
      <c r="W523">
        <v>1100.8900000000001</v>
      </c>
      <c r="X523">
        <v>1285</v>
      </c>
      <c r="Y523">
        <v>1420</v>
      </c>
      <c r="Z523" t="s">
        <v>8842</v>
      </c>
      <c r="AB523" t="s">
        <v>5472</v>
      </c>
      <c r="AC523" t="s">
        <v>8777</v>
      </c>
      <c r="AF523" t="s">
        <v>10242</v>
      </c>
      <c r="AI523" t="s">
        <v>8777</v>
      </c>
      <c r="AO523" t="s">
        <v>11032</v>
      </c>
    </row>
    <row r="524" spans="1:41" hidden="1" x14ac:dyDescent="0.35">
      <c r="A524" t="s">
        <v>11033</v>
      </c>
      <c r="B524" t="s">
        <v>7246</v>
      </c>
      <c r="C524" t="s">
        <v>5978</v>
      </c>
      <c r="D524" t="s">
        <v>5830</v>
      </c>
      <c r="E524" t="s">
        <v>11034</v>
      </c>
      <c r="G524" s="13" t="s">
        <v>11035</v>
      </c>
      <c r="H524" t="s">
        <v>11036</v>
      </c>
      <c r="K524" t="s">
        <v>10181</v>
      </c>
      <c r="L524" t="s">
        <v>10182</v>
      </c>
      <c r="M524" t="s">
        <v>7250</v>
      </c>
      <c r="N524">
        <v>1999</v>
      </c>
      <c r="R524">
        <v>2</v>
      </c>
      <c r="S524" t="s">
        <v>8257</v>
      </c>
      <c r="T524">
        <v>2</v>
      </c>
      <c r="U524">
        <v>930.77</v>
      </c>
      <c r="V524">
        <v>20.6</v>
      </c>
      <c r="W524">
        <v>52.89</v>
      </c>
      <c r="X524">
        <v>20.6</v>
      </c>
      <c r="Y524">
        <v>720</v>
      </c>
      <c r="Z524" t="s">
        <v>8842</v>
      </c>
      <c r="AB524" t="s">
        <v>11037</v>
      </c>
      <c r="AC524" t="s">
        <v>8777</v>
      </c>
      <c r="AF524" t="s">
        <v>11038</v>
      </c>
      <c r="AI524" t="s">
        <v>8777</v>
      </c>
      <c r="AO524" t="s">
        <v>11039</v>
      </c>
    </row>
    <row r="525" spans="1:41" hidden="1" x14ac:dyDescent="0.35">
      <c r="A525" t="s">
        <v>11040</v>
      </c>
      <c r="B525" t="s">
        <v>7246</v>
      </c>
      <c r="C525" t="s">
        <v>5978</v>
      </c>
      <c r="D525" t="s">
        <v>5978</v>
      </c>
      <c r="E525" t="s">
        <v>5978</v>
      </c>
      <c r="G525" s="13" t="s">
        <v>11041</v>
      </c>
      <c r="H525" t="s">
        <v>11042</v>
      </c>
      <c r="K525" t="s">
        <v>10181</v>
      </c>
      <c r="L525" t="s">
        <v>10182</v>
      </c>
      <c r="M525" t="s">
        <v>7250</v>
      </c>
      <c r="N525">
        <v>1960</v>
      </c>
      <c r="T525" t="s">
        <v>6546</v>
      </c>
      <c r="U525" t="s">
        <v>6546</v>
      </c>
      <c r="V525">
        <v>454.7</v>
      </c>
      <c r="W525">
        <v>446.27</v>
      </c>
      <c r="X525">
        <v>454.7</v>
      </c>
      <c r="Y525">
        <v>720</v>
      </c>
      <c r="Z525" t="s">
        <v>8842</v>
      </c>
      <c r="AB525" t="s">
        <v>10212</v>
      </c>
      <c r="AC525" t="s">
        <v>8777</v>
      </c>
      <c r="AF525" t="s">
        <v>11043</v>
      </c>
      <c r="AI525" t="s">
        <v>8777</v>
      </c>
      <c r="AO525" t="s">
        <v>11044</v>
      </c>
    </row>
    <row r="526" spans="1:41" hidden="1" x14ac:dyDescent="0.35">
      <c r="A526" t="s">
        <v>11045</v>
      </c>
      <c r="B526" t="s">
        <v>7246</v>
      </c>
      <c r="C526" t="s">
        <v>5978</v>
      </c>
      <c r="D526" t="s">
        <v>5978</v>
      </c>
      <c r="E526" t="s">
        <v>5978</v>
      </c>
      <c r="G526" s="13" t="s">
        <v>11046</v>
      </c>
      <c r="H526" t="s">
        <v>11047</v>
      </c>
      <c r="K526" t="s">
        <v>10181</v>
      </c>
      <c r="L526" t="s">
        <v>10182</v>
      </c>
      <c r="M526" t="s">
        <v>7250</v>
      </c>
      <c r="T526" t="s">
        <v>6546</v>
      </c>
      <c r="U526" t="s">
        <v>6546</v>
      </c>
      <c r="V526">
        <v>477</v>
      </c>
      <c r="W526">
        <v>453.17</v>
      </c>
      <c r="X526">
        <v>477</v>
      </c>
      <c r="Y526">
        <v>1000</v>
      </c>
      <c r="Z526" t="s">
        <v>8842</v>
      </c>
      <c r="AB526" t="s">
        <v>11048</v>
      </c>
      <c r="AC526" t="s">
        <v>8777</v>
      </c>
      <c r="AF526" t="s">
        <v>11043</v>
      </c>
      <c r="AI526" t="s">
        <v>8777</v>
      </c>
      <c r="AO526" t="s">
        <v>11049</v>
      </c>
    </row>
    <row r="527" spans="1:41" hidden="1" x14ac:dyDescent="0.35">
      <c r="A527" t="s">
        <v>11050</v>
      </c>
      <c r="B527" t="s">
        <v>7246</v>
      </c>
      <c r="C527" t="s">
        <v>5978</v>
      </c>
      <c r="D527" t="s">
        <v>5978</v>
      </c>
      <c r="E527" t="s">
        <v>5978</v>
      </c>
      <c r="G527" s="13" t="s">
        <v>11051</v>
      </c>
      <c r="H527" t="s">
        <v>11052</v>
      </c>
      <c r="K527" t="s">
        <v>10181</v>
      </c>
      <c r="L527" t="s">
        <v>10182</v>
      </c>
      <c r="M527" t="s">
        <v>7250</v>
      </c>
      <c r="T527" t="s">
        <v>6546</v>
      </c>
      <c r="U527" t="s">
        <v>6546</v>
      </c>
      <c r="V527">
        <v>522</v>
      </c>
      <c r="W527">
        <v>444.2</v>
      </c>
      <c r="X527">
        <v>522</v>
      </c>
      <c r="Y527" t="s">
        <v>11053</v>
      </c>
      <c r="Z527" t="s">
        <v>8842</v>
      </c>
      <c r="AB527" t="s">
        <v>10212</v>
      </c>
      <c r="AC527" t="s">
        <v>8777</v>
      </c>
      <c r="AF527" t="s">
        <v>11043</v>
      </c>
      <c r="AI527" t="s">
        <v>8777</v>
      </c>
      <c r="AO527" t="s">
        <v>11054</v>
      </c>
    </row>
    <row r="528" spans="1:41" hidden="1" x14ac:dyDescent="0.35">
      <c r="A528" t="s">
        <v>11055</v>
      </c>
      <c r="B528" t="s">
        <v>7246</v>
      </c>
      <c r="C528" t="s">
        <v>423</v>
      </c>
      <c r="D528" t="s">
        <v>5978</v>
      </c>
      <c r="E528" t="s">
        <v>10127</v>
      </c>
      <c r="G528" s="13" t="s">
        <v>11056</v>
      </c>
      <c r="H528" t="s">
        <v>11057</v>
      </c>
      <c r="K528" t="s">
        <v>10131</v>
      </c>
      <c r="L528" t="s">
        <v>10132</v>
      </c>
      <c r="M528" t="s">
        <v>8874</v>
      </c>
      <c r="N528">
        <v>1989</v>
      </c>
      <c r="T528" t="s">
        <v>6546</v>
      </c>
      <c r="U528" t="s">
        <v>6546</v>
      </c>
      <c r="V528">
        <v>490</v>
      </c>
      <c r="W528">
        <v>684.95</v>
      </c>
      <c r="X528">
        <v>490</v>
      </c>
      <c r="Y528">
        <v>1220</v>
      </c>
      <c r="Z528" t="s">
        <v>8842</v>
      </c>
      <c r="AB528" t="s">
        <v>5529</v>
      </c>
      <c r="AC528" t="s">
        <v>8844</v>
      </c>
      <c r="AF528" t="s">
        <v>11043</v>
      </c>
      <c r="AI528" t="s">
        <v>8777</v>
      </c>
      <c r="AO528" t="s">
        <v>11058</v>
      </c>
    </row>
    <row r="529" spans="1:41" hidden="1" x14ac:dyDescent="0.35">
      <c r="A529" t="s">
        <v>11059</v>
      </c>
      <c r="B529" t="s">
        <v>7246</v>
      </c>
      <c r="C529" t="s">
        <v>423</v>
      </c>
      <c r="D529" t="s">
        <v>423</v>
      </c>
      <c r="E529" t="s">
        <v>423</v>
      </c>
      <c r="G529" s="13" t="s">
        <v>11060</v>
      </c>
      <c r="H529" t="s">
        <v>11061</v>
      </c>
      <c r="K529" t="s">
        <v>9976</v>
      </c>
      <c r="L529" t="s">
        <v>9976</v>
      </c>
      <c r="M529" t="s">
        <v>7250</v>
      </c>
      <c r="N529">
        <v>1959</v>
      </c>
      <c r="R529">
        <v>3.7</v>
      </c>
      <c r="S529" t="s">
        <v>8257</v>
      </c>
      <c r="T529">
        <v>3.7</v>
      </c>
      <c r="U529">
        <v>1721.92</v>
      </c>
      <c r="V529">
        <v>803</v>
      </c>
      <c r="W529">
        <v>784.39</v>
      </c>
      <c r="X529">
        <v>803</v>
      </c>
      <c r="Y529">
        <v>720</v>
      </c>
      <c r="Z529" t="s">
        <v>8842</v>
      </c>
      <c r="AB529" t="s">
        <v>11062</v>
      </c>
      <c r="AC529" t="s">
        <v>8844</v>
      </c>
      <c r="AF529" t="s">
        <v>11063</v>
      </c>
      <c r="AI529" t="s">
        <v>8844</v>
      </c>
      <c r="AO529" t="s">
        <v>11064</v>
      </c>
    </row>
    <row r="530" spans="1:41" hidden="1" x14ac:dyDescent="0.35">
      <c r="A530" t="s">
        <v>11065</v>
      </c>
      <c r="B530" t="s">
        <v>7246</v>
      </c>
      <c r="C530" t="s">
        <v>423</v>
      </c>
      <c r="D530" t="s">
        <v>5978</v>
      </c>
      <c r="E530" t="s">
        <v>10127</v>
      </c>
      <c r="G530" s="13" t="s">
        <v>11066</v>
      </c>
      <c r="H530" t="s">
        <v>11067</v>
      </c>
      <c r="K530" t="s">
        <v>10131</v>
      </c>
      <c r="L530" t="s">
        <v>10132</v>
      </c>
      <c r="M530" t="s">
        <v>8874</v>
      </c>
      <c r="T530" t="s">
        <v>6546</v>
      </c>
      <c r="U530" t="s">
        <v>6546</v>
      </c>
      <c r="V530">
        <v>516</v>
      </c>
      <c r="W530">
        <v>1444.92</v>
      </c>
      <c r="X530">
        <v>516</v>
      </c>
      <c r="AB530" t="s">
        <v>3648</v>
      </c>
      <c r="AC530" t="s">
        <v>8844</v>
      </c>
      <c r="AF530" t="s">
        <v>11068</v>
      </c>
      <c r="AI530" t="s">
        <v>8777</v>
      </c>
      <c r="AO530" t="s">
        <v>11069</v>
      </c>
    </row>
    <row r="531" spans="1:41" hidden="1" x14ac:dyDescent="0.35">
      <c r="A531" t="s">
        <v>11070</v>
      </c>
      <c r="B531" t="s">
        <v>7246</v>
      </c>
      <c r="C531" t="s">
        <v>5978</v>
      </c>
      <c r="D531" t="s">
        <v>5978</v>
      </c>
      <c r="E531" t="s">
        <v>5978</v>
      </c>
      <c r="G531" s="13" t="s">
        <v>11071</v>
      </c>
      <c r="H531" t="s">
        <v>11072</v>
      </c>
      <c r="K531" t="s">
        <v>10181</v>
      </c>
      <c r="L531" t="s">
        <v>10182</v>
      </c>
      <c r="M531" t="s">
        <v>7250</v>
      </c>
      <c r="R531">
        <v>3.2</v>
      </c>
      <c r="S531" t="s">
        <v>8257</v>
      </c>
      <c r="T531">
        <v>3.2</v>
      </c>
      <c r="U531">
        <v>1489.23</v>
      </c>
      <c r="V531">
        <v>272.2</v>
      </c>
      <c r="W531">
        <v>245.24</v>
      </c>
      <c r="X531">
        <v>272.2</v>
      </c>
      <c r="Y531">
        <v>700</v>
      </c>
      <c r="Z531" t="s">
        <v>8842</v>
      </c>
      <c r="AB531" t="s">
        <v>11073</v>
      </c>
      <c r="AC531" t="s">
        <v>8777</v>
      </c>
      <c r="AF531" t="s">
        <v>5983</v>
      </c>
      <c r="AI531" t="s">
        <v>8777</v>
      </c>
      <c r="AO531" t="s">
        <v>11074</v>
      </c>
    </row>
    <row r="532" spans="1:41" hidden="1" x14ac:dyDescent="0.35">
      <c r="A532" t="s">
        <v>11075</v>
      </c>
      <c r="B532" t="s">
        <v>7246</v>
      </c>
      <c r="C532" t="s">
        <v>5978</v>
      </c>
      <c r="D532" t="s">
        <v>5978</v>
      </c>
      <c r="E532" t="s">
        <v>5978</v>
      </c>
      <c r="G532" s="13" t="s">
        <v>11076</v>
      </c>
      <c r="H532" t="s">
        <v>11077</v>
      </c>
      <c r="K532" t="s">
        <v>10181</v>
      </c>
      <c r="L532" t="s">
        <v>10182</v>
      </c>
      <c r="M532" t="s">
        <v>7250</v>
      </c>
      <c r="T532" t="s">
        <v>6546</v>
      </c>
      <c r="U532" t="s">
        <v>6546</v>
      </c>
      <c r="V532">
        <v>68</v>
      </c>
      <c r="W532">
        <v>42.04</v>
      </c>
      <c r="X532">
        <v>68</v>
      </c>
      <c r="Y532">
        <v>1400</v>
      </c>
      <c r="Z532" t="s">
        <v>8842</v>
      </c>
      <c r="AB532" t="s">
        <v>11078</v>
      </c>
      <c r="AC532" t="s">
        <v>8777</v>
      </c>
      <c r="AF532" t="s">
        <v>10196</v>
      </c>
      <c r="AI532" t="s">
        <v>8777</v>
      </c>
      <c r="AO532" t="s">
        <v>11079</v>
      </c>
    </row>
    <row r="533" spans="1:41" hidden="1" x14ac:dyDescent="0.35">
      <c r="A533" t="s">
        <v>11080</v>
      </c>
      <c r="B533" t="s">
        <v>7246</v>
      </c>
      <c r="C533" t="s">
        <v>5978</v>
      </c>
      <c r="D533" t="s">
        <v>5978</v>
      </c>
      <c r="E533" t="s">
        <v>5978</v>
      </c>
      <c r="G533" s="13" t="s">
        <v>11081</v>
      </c>
      <c r="H533" t="s">
        <v>11082</v>
      </c>
      <c r="K533" t="s">
        <v>10181</v>
      </c>
      <c r="L533" t="s">
        <v>10182</v>
      </c>
      <c r="M533" t="s">
        <v>7250</v>
      </c>
      <c r="T533" t="s">
        <v>6546</v>
      </c>
      <c r="U533" t="s">
        <v>6546</v>
      </c>
      <c r="V533">
        <v>42</v>
      </c>
      <c r="W533">
        <v>44.33</v>
      </c>
      <c r="X533">
        <v>42</v>
      </c>
      <c r="Y533">
        <v>1400</v>
      </c>
      <c r="Z533" t="s">
        <v>8842</v>
      </c>
      <c r="AB533" t="s">
        <v>11083</v>
      </c>
      <c r="AC533" t="s">
        <v>8777</v>
      </c>
      <c r="AF533" t="s">
        <v>10196</v>
      </c>
      <c r="AI533" t="s">
        <v>8777</v>
      </c>
      <c r="AO533" t="s">
        <v>11084</v>
      </c>
    </row>
    <row r="534" spans="1:41" hidden="1" x14ac:dyDescent="0.35">
      <c r="A534" t="s">
        <v>11085</v>
      </c>
      <c r="B534" t="s">
        <v>7246</v>
      </c>
      <c r="C534" t="s">
        <v>5978</v>
      </c>
      <c r="D534" t="s">
        <v>423</v>
      </c>
      <c r="E534" t="s">
        <v>10127</v>
      </c>
      <c r="G534" s="13" t="s">
        <v>11086</v>
      </c>
      <c r="H534" t="s">
        <v>11087</v>
      </c>
      <c r="K534" t="s">
        <v>10131</v>
      </c>
      <c r="L534" t="s">
        <v>10132</v>
      </c>
      <c r="M534" t="s">
        <v>8874</v>
      </c>
      <c r="N534">
        <v>1952</v>
      </c>
      <c r="R534">
        <v>1.8</v>
      </c>
      <c r="S534" t="s">
        <v>8257</v>
      </c>
      <c r="T534">
        <v>1.8</v>
      </c>
      <c r="U534">
        <v>837.69</v>
      </c>
      <c r="V534">
        <v>1301</v>
      </c>
      <c r="W534">
        <v>1322.41</v>
      </c>
      <c r="X534">
        <v>1301</v>
      </c>
      <c r="Y534">
        <v>20.87</v>
      </c>
      <c r="Z534" t="s">
        <v>7253</v>
      </c>
      <c r="AB534" t="s">
        <v>11088</v>
      </c>
      <c r="AC534" t="s">
        <v>8777</v>
      </c>
      <c r="AF534" t="s">
        <v>10256</v>
      </c>
      <c r="AI534" t="s">
        <v>8844</v>
      </c>
      <c r="AL534" t="s">
        <v>11089</v>
      </c>
      <c r="AO534" t="s">
        <v>11090</v>
      </c>
    </row>
    <row r="535" spans="1:41" hidden="1" x14ac:dyDescent="0.35">
      <c r="A535" t="s">
        <v>11091</v>
      </c>
      <c r="B535" t="s">
        <v>7246</v>
      </c>
      <c r="C535" t="s">
        <v>423</v>
      </c>
      <c r="D535" t="s">
        <v>423</v>
      </c>
      <c r="E535" t="s">
        <v>423</v>
      </c>
      <c r="G535" s="13" t="s">
        <v>11092</v>
      </c>
      <c r="H535" t="s">
        <v>11093</v>
      </c>
      <c r="K535" t="s">
        <v>9976</v>
      </c>
      <c r="L535" t="s">
        <v>9976</v>
      </c>
      <c r="M535" t="s">
        <v>7250</v>
      </c>
      <c r="N535">
        <v>1981</v>
      </c>
      <c r="T535" t="s">
        <v>6546</v>
      </c>
      <c r="U535" t="s">
        <v>6546</v>
      </c>
      <c r="V535">
        <v>600</v>
      </c>
      <c r="W535">
        <v>534.54</v>
      </c>
      <c r="X535">
        <v>600</v>
      </c>
      <c r="Y535">
        <v>1220</v>
      </c>
      <c r="Z535" t="s">
        <v>8842</v>
      </c>
      <c r="AB535" t="s">
        <v>10242</v>
      </c>
      <c r="AC535" t="s">
        <v>8844</v>
      </c>
      <c r="AF535" t="s">
        <v>11094</v>
      </c>
      <c r="AI535" t="s">
        <v>8844</v>
      </c>
      <c r="AO535" t="s">
        <v>11095</v>
      </c>
    </row>
    <row r="536" spans="1:41" hidden="1" x14ac:dyDescent="0.35">
      <c r="A536" t="s">
        <v>11096</v>
      </c>
      <c r="B536" t="s">
        <v>7246</v>
      </c>
      <c r="C536" t="s">
        <v>423</v>
      </c>
      <c r="D536" t="s">
        <v>423</v>
      </c>
      <c r="E536" t="s">
        <v>423</v>
      </c>
      <c r="G536" s="13" t="s">
        <v>11097</v>
      </c>
      <c r="H536" t="s">
        <v>11098</v>
      </c>
      <c r="K536" t="s">
        <v>9976</v>
      </c>
      <c r="L536" t="s">
        <v>9976</v>
      </c>
      <c r="M536" t="s">
        <v>7250</v>
      </c>
      <c r="T536" t="s">
        <v>6546</v>
      </c>
      <c r="U536" t="s">
        <v>6546</v>
      </c>
      <c r="V536">
        <v>470</v>
      </c>
      <c r="W536">
        <v>762.13</v>
      </c>
      <c r="X536">
        <v>470</v>
      </c>
      <c r="Y536">
        <v>1200</v>
      </c>
      <c r="Z536" t="s">
        <v>8842</v>
      </c>
      <c r="AB536" t="s">
        <v>11099</v>
      </c>
      <c r="AC536" t="s">
        <v>8844</v>
      </c>
      <c r="AF536" t="s">
        <v>3642</v>
      </c>
      <c r="AI536" t="s">
        <v>8844</v>
      </c>
      <c r="AO536" t="s">
        <v>11100</v>
      </c>
    </row>
    <row r="537" spans="1:41" hidden="1" x14ac:dyDescent="0.35">
      <c r="A537" t="s">
        <v>11101</v>
      </c>
      <c r="B537" t="s">
        <v>7246</v>
      </c>
      <c r="C537" t="s">
        <v>423</v>
      </c>
      <c r="D537" t="s">
        <v>423</v>
      </c>
      <c r="E537" t="s">
        <v>423</v>
      </c>
      <c r="G537" s="13" t="s">
        <v>11102</v>
      </c>
      <c r="H537" t="s">
        <v>11103</v>
      </c>
      <c r="K537" t="s">
        <v>9976</v>
      </c>
      <c r="L537" t="s">
        <v>9976</v>
      </c>
      <c r="M537" t="s">
        <v>7250</v>
      </c>
      <c r="N537">
        <v>1961</v>
      </c>
      <c r="T537" t="s">
        <v>6546</v>
      </c>
      <c r="U537" t="s">
        <v>6546</v>
      </c>
      <c r="V537">
        <v>1177</v>
      </c>
      <c r="W537">
        <v>1106.29</v>
      </c>
      <c r="X537">
        <v>1177</v>
      </c>
      <c r="Y537" t="s">
        <v>11104</v>
      </c>
      <c r="Z537" t="s">
        <v>8842</v>
      </c>
      <c r="AB537" t="s">
        <v>5491</v>
      </c>
      <c r="AC537" t="s">
        <v>8844</v>
      </c>
      <c r="AF537" t="s">
        <v>11062</v>
      </c>
      <c r="AI537" t="s">
        <v>8844</v>
      </c>
      <c r="AO537" t="s">
        <v>11105</v>
      </c>
    </row>
    <row r="538" spans="1:41" hidden="1" x14ac:dyDescent="0.35">
      <c r="A538" t="s">
        <v>11106</v>
      </c>
      <c r="B538" t="s">
        <v>7246</v>
      </c>
      <c r="C538" t="s">
        <v>423</v>
      </c>
      <c r="D538" t="s">
        <v>423</v>
      </c>
      <c r="E538" t="s">
        <v>10127</v>
      </c>
      <c r="G538" s="13" t="s">
        <v>11107</v>
      </c>
      <c r="H538" t="s">
        <v>11108</v>
      </c>
      <c r="K538" t="s">
        <v>9976</v>
      </c>
      <c r="L538" t="s">
        <v>9976</v>
      </c>
      <c r="M538" t="s">
        <v>7250</v>
      </c>
      <c r="N538">
        <v>1984</v>
      </c>
      <c r="T538" t="s">
        <v>6546</v>
      </c>
      <c r="U538" t="s">
        <v>6546</v>
      </c>
      <c r="V538">
        <v>878</v>
      </c>
      <c r="W538">
        <v>856.89</v>
      </c>
      <c r="X538">
        <v>878</v>
      </c>
      <c r="Y538" t="s">
        <v>11109</v>
      </c>
      <c r="Z538" t="s">
        <v>8842</v>
      </c>
      <c r="AB538" t="s">
        <v>10237</v>
      </c>
      <c r="AC538" t="s">
        <v>8844</v>
      </c>
      <c r="AF538" t="s">
        <v>9987</v>
      </c>
      <c r="AI538" t="s">
        <v>8844</v>
      </c>
      <c r="AO538" t="s">
        <v>11110</v>
      </c>
    </row>
    <row r="539" spans="1:41" hidden="1" x14ac:dyDescent="0.35">
      <c r="A539" t="s">
        <v>11111</v>
      </c>
      <c r="B539" t="s">
        <v>7246</v>
      </c>
      <c r="C539" t="s">
        <v>423</v>
      </c>
      <c r="D539" t="s">
        <v>353</v>
      </c>
      <c r="E539" t="s">
        <v>11112</v>
      </c>
      <c r="G539" s="13" t="s">
        <v>11113</v>
      </c>
      <c r="H539" t="s">
        <v>11114</v>
      </c>
      <c r="J539" t="s">
        <v>11115</v>
      </c>
      <c r="K539" t="s">
        <v>11116</v>
      </c>
      <c r="L539" t="s">
        <v>11116</v>
      </c>
      <c r="M539" t="s">
        <v>7250</v>
      </c>
      <c r="N539">
        <v>1970</v>
      </c>
      <c r="R539">
        <v>12</v>
      </c>
      <c r="S539" t="s">
        <v>8257</v>
      </c>
      <c r="T539">
        <v>12</v>
      </c>
      <c r="U539">
        <v>5584.6</v>
      </c>
      <c r="V539">
        <v>271</v>
      </c>
      <c r="W539">
        <v>407.29</v>
      </c>
      <c r="X539">
        <v>271</v>
      </c>
      <c r="Y539" t="s">
        <v>11117</v>
      </c>
      <c r="Z539" t="s">
        <v>8842</v>
      </c>
      <c r="AB539" t="s">
        <v>9987</v>
      </c>
      <c r="AC539" t="s">
        <v>8844</v>
      </c>
      <c r="AE539" t="s">
        <v>9988</v>
      </c>
      <c r="AF539" t="s">
        <v>11118</v>
      </c>
      <c r="AI539" t="s">
        <v>8844</v>
      </c>
      <c r="AL539" t="s">
        <v>11119</v>
      </c>
      <c r="AO539" t="s">
        <v>11120</v>
      </c>
    </row>
    <row r="540" spans="1:41" hidden="1" x14ac:dyDescent="0.35">
      <c r="A540" t="s">
        <v>11121</v>
      </c>
      <c r="B540" t="s">
        <v>7246</v>
      </c>
      <c r="C540" t="s">
        <v>423</v>
      </c>
      <c r="D540" t="s">
        <v>423</v>
      </c>
      <c r="E540" t="s">
        <v>423</v>
      </c>
      <c r="G540" s="13" t="s">
        <v>11122</v>
      </c>
      <c r="H540" t="s">
        <v>11123</v>
      </c>
      <c r="K540" t="s">
        <v>9976</v>
      </c>
      <c r="L540" t="s">
        <v>9976</v>
      </c>
      <c r="M540" t="s">
        <v>7250</v>
      </c>
      <c r="N540">
        <v>1975</v>
      </c>
      <c r="T540" t="s">
        <v>6546</v>
      </c>
      <c r="U540" t="s">
        <v>6546</v>
      </c>
      <c r="V540">
        <v>186</v>
      </c>
      <c r="W540">
        <v>114.45</v>
      </c>
      <c r="X540">
        <v>186</v>
      </c>
      <c r="Y540">
        <v>700</v>
      </c>
      <c r="Z540" t="s">
        <v>8842</v>
      </c>
      <c r="AB540" t="s">
        <v>11124</v>
      </c>
      <c r="AC540" t="s">
        <v>8844</v>
      </c>
      <c r="AF540" t="s">
        <v>9911</v>
      </c>
      <c r="AI540" t="s">
        <v>8844</v>
      </c>
      <c r="AO540" t="s">
        <v>11125</v>
      </c>
    </row>
    <row r="541" spans="1:41" hidden="1" x14ac:dyDescent="0.35">
      <c r="A541" t="s">
        <v>11126</v>
      </c>
      <c r="B541" t="s">
        <v>7246</v>
      </c>
      <c r="C541" t="s">
        <v>5456</v>
      </c>
      <c r="D541" t="s">
        <v>423</v>
      </c>
      <c r="E541" t="s">
        <v>11127</v>
      </c>
      <c r="G541" s="13" t="s">
        <v>11128</v>
      </c>
      <c r="H541" t="s">
        <v>11129</v>
      </c>
      <c r="K541" t="s">
        <v>9976</v>
      </c>
      <c r="L541" t="s">
        <v>9976</v>
      </c>
      <c r="M541" t="s">
        <v>7250</v>
      </c>
      <c r="N541">
        <v>1988</v>
      </c>
      <c r="R541">
        <v>42</v>
      </c>
      <c r="S541" t="s">
        <v>8257</v>
      </c>
      <c r="T541">
        <v>42</v>
      </c>
      <c r="U541">
        <v>19546.099999999999</v>
      </c>
      <c r="V541">
        <v>944</v>
      </c>
      <c r="W541">
        <v>824.94</v>
      </c>
      <c r="X541">
        <v>944</v>
      </c>
      <c r="Y541" t="s">
        <v>11130</v>
      </c>
      <c r="Z541" t="s">
        <v>8842</v>
      </c>
      <c r="AA541" t="s">
        <v>11131</v>
      </c>
      <c r="AB541" t="s">
        <v>11131</v>
      </c>
      <c r="AC541" t="s">
        <v>8844</v>
      </c>
      <c r="AH541" t="s">
        <v>11132</v>
      </c>
      <c r="AI541" t="s">
        <v>8844</v>
      </c>
      <c r="AL541" t="s">
        <v>11133</v>
      </c>
      <c r="AO541" t="s">
        <v>11134</v>
      </c>
    </row>
    <row r="542" spans="1:41" hidden="1" x14ac:dyDescent="0.35">
      <c r="A542" t="s">
        <v>11135</v>
      </c>
      <c r="B542" t="s">
        <v>7246</v>
      </c>
      <c r="C542" t="s">
        <v>423</v>
      </c>
      <c r="D542" t="s">
        <v>423</v>
      </c>
      <c r="E542" t="s">
        <v>423</v>
      </c>
      <c r="G542" s="13" t="s">
        <v>11136</v>
      </c>
      <c r="H542" t="s">
        <v>11137</v>
      </c>
      <c r="K542" t="s">
        <v>9976</v>
      </c>
      <c r="L542" t="s">
        <v>9976</v>
      </c>
      <c r="M542" t="s">
        <v>7250</v>
      </c>
      <c r="N542">
        <v>2005</v>
      </c>
      <c r="R542">
        <v>8.5</v>
      </c>
      <c r="S542" t="s">
        <v>8257</v>
      </c>
      <c r="T542">
        <v>8.5</v>
      </c>
      <c r="U542">
        <v>3955.76</v>
      </c>
      <c r="V542">
        <v>115</v>
      </c>
      <c r="W542">
        <v>758.67</v>
      </c>
      <c r="X542">
        <v>115</v>
      </c>
      <c r="Y542">
        <v>1020</v>
      </c>
      <c r="Z542" t="s">
        <v>8842</v>
      </c>
      <c r="AB542" t="s">
        <v>11138</v>
      </c>
      <c r="AC542" t="s">
        <v>8844</v>
      </c>
      <c r="AF542" t="s">
        <v>11139</v>
      </c>
      <c r="AI542" t="s">
        <v>8844</v>
      </c>
      <c r="AO542" t="s">
        <v>11140</v>
      </c>
    </row>
    <row r="543" spans="1:41" hidden="1" x14ac:dyDescent="0.35">
      <c r="A543" t="s">
        <v>11141</v>
      </c>
      <c r="B543" t="s">
        <v>7246</v>
      </c>
      <c r="C543" t="s">
        <v>5978</v>
      </c>
      <c r="D543" t="s">
        <v>5978</v>
      </c>
      <c r="E543" t="s">
        <v>5978</v>
      </c>
      <c r="G543" s="13" t="s">
        <v>11142</v>
      </c>
      <c r="H543" t="s">
        <v>11143</v>
      </c>
      <c r="K543" t="s">
        <v>10181</v>
      </c>
      <c r="L543" t="s">
        <v>10182</v>
      </c>
      <c r="M543" t="s">
        <v>7250</v>
      </c>
      <c r="N543">
        <v>1970</v>
      </c>
      <c r="O543">
        <v>1972</v>
      </c>
      <c r="T543" t="s">
        <v>6546</v>
      </c>
      <c r="U543" t="s">
        <v>6546</v>
      </c>
      <c r="V543">
        <v>399.9</v>
      </c>
      <c r="W543">
        <v>561.19000000000005</v>
      </c>
      <c r="X543">
        <v>399.9</v>
      </c>
      <c r="Y543" t="s">
        <v>10012</v>
      </c>
      <c r="Z543" t="s">
        <v>8842</v>
      </c>
      <c r="AB543" t="s">
        <v>10176</v>
      </c>
      <c r="AC543" t="s">
        <v>8777</v>
      </c>
      <c r="AI543" t="s">
        <v>8777</v>
      </c>
      <c r="AO543" t="s">
        <v>11144</v>
      </c>
    </row>
    <row r="544" spans="1:41" hidden="1" x14ac:dyDescent="0.35">
      <c r="A544" t="s">
        <v>11145</v>
      </c>
      <c r="B544" t="s">
        <v>7246</v>
      </c>
      <c r="C544" t="s">
        <v>5978</v>
      </c>
      <c r="D544" t="s">
        <v>5978</v>
      </c>
      <c r="E544" t="s">
        <v>10217</v>
      </c>
      <c r="G544" s="13" t="s">
        <v>11146</v>
      </c>
      <c r="H544" t="s">
        <v>11147</v>
      </c>
      <c r="K544" t="s">
        <v>11148</v>
      </c>
      <c r="L544" t="s">
        <v>11149</v>
      </c>
      <c r="M544" t="s">
        <v>7250</v>
      </c>
      <c r="N544">
        <v>1987</v>
      </c>
      <c r="R544">
        <v>9.1</v>
      </c>
      <c r="S544" t="s">
        <v>8257</v>
      </c>
      <c r="T544">
        <v>9.1</v>
      </c>
      <c r="U544">
        <v>4234.99</v>
      </c>
      <c r="V544">
        <v>333</v>
      </c>
      <c r="W544">
        <v>431.78</v>
      </c>
      <c r="X544">
        <v>333</v>
      </c>
      <c r="Y544">
        <v>1020</v>
      </c>
      <c r="Z544" t="s">
        <v>8842</v>
      </c>
      <c r="AB544" t="s">
        <v>11150</v>
      </c>
      <c r="AC544" t="s">
        <v>8777</v>
      </c>
      <c r="AF544" t="s">
        <v>11151</v>
      </c>
      <c r="AI544" t="s">
        <v>8777</v>
      </c>
      <c r="AO544" t="s">
        <v>11152</v>
      </c>
    </row>
    <row r="545" spans="1:41" hidden="1" x14ac:dyDescent="0.35">
      <c r="A545" t="s">
        <v>11153</v>
      </c>
      <c r="B545" t="s">
        <v>7246</v>
      </c>
      <c r="C545" t="s">
        <v>5978</v>
      </c>
      <c r="D545" t="s">
        <v>5978</v>
      </c>
      <c r="E545" t="s">
        <v>5978</v>
      </c>
      <c r="G545" s="13" t="s">
        <v>11154</v>
      </c>
      <c r="H545" t="s">
        <v>11155</v>
      </c>
      <c r="K545" t="s">
        <v>10181</v>
      </c>
      <c r="L545" t="s">
        <v>10182</v>
      </c>
      <c r="M545" t="s">
        <v>7250</v>
      </c>
      <c r="N545">
        <v>1981</v>
      </c>
      <c r="R545">
        <v>14.5</v>
      </c>
      <c r="S545" t="s">
        <v>8257</v>
      </c>
      <c r="T545">
        <v>14.5</v>
      </c>
      <c r="U545">
        <v>6748.06</v>
      </c>
      <c r="V545">
        <v>212</v>
      </c>
      <c r="W545">
        <v>188.59</v>
      </c>
      <c r="X545">
        <v>212</v>
      </c>
      <c r="Y545">
        <v>1200</v>
      </c>
      <c r="Z545" t="s">
        <v>8842</v>
      </c>
      <c r="AB545" t="s">
        <v>10237</v>
      </c>
      <c r="AC545" t="s">
        <v>8777</v>
      </c>
      <c r="AF545" t="s">
        <v>10212</v>
      </c>
      <c r="AI545" t="s">
        <v>8777</v>
      </c>
      <c r="AO545" t="s">
        <v>11156</v>
      </c>
    </row>
    <row r="546" spans="1:41" hidden="1" x14ac:dyDescent="0.35">
      <c r="A546" t="s">
        <v>11157</v>
      </c>
      <c r="B546" t="s">
        <v>7246</v>
      </c>
      <c r="C546" t="s">
        <v>423</v>
      </c>
      <c r="D546" t="s">
        <v>5978</v>
      </c>
      <c r="E546" t="s">
        <v>5978</v>
      </c>
      <c r="G546" s="13" t="s">
        <v>11158</v>
      </c>
      <c r="H546" t="s">
        <v>11159</v>
      </c>
      <c r="K546" t="s">
        <v>9976</v>
      </c>
      <c r="L546" t="s">
        <v>9976</v>
      </c>
      <c r="M546" t="s">
        <v>7250</v>
      </c>
      <c r="N546">
        <v>1985</v>
      </c>
      <c r="R546">
        <v>8.6999999999999993</v>
      </c>
      <c r="S546" t="s">
        <v>8257</v>
      </c>
      <c r="T546">
        <v>8.6999999999999993</v>
      </c>
      <c r="U546">
        <v>4048.84</v>
      </c>
      <c r="V546">
        <v>532</v>
      </c>
      <c r="W546">
        <v>295.76</v>
      </c>
      <c r="X546">
        <v>532</v>
      </c>
      <c r="Y546">
        <v>1020</v>
      </c>
      <c r="Z546" t="s">
        <v>8842</v>
      </c>
      <c r="AB546" t="s">
        <v>11160</v>
      </c>
      <c r="AC546" t="s">
        <v>8844</v>
      </c>
      <c r="AF546" t="s">
        <v>11161</v>
      </c>
      <c r="AI546" t="s">
        <v>8777</v>
      </c>
      <c r="AO546" t="s">
        <v>11162</v>
      </c>
    </row>
    <row r="547" spans="1:41" hidden="1" x14ac:dyDescent="0.35">
      <c r="A547" t="s">
        <v>11163</v>
      </c>
      <c r="B547" t="s">
        <v>7246</v>
      </c>
      <c r="C547" t="s">
        <v>5802</v>
      </c>
      <c r="D547" t="s">
        <v>5978</v>
      </c>
      <c r="E547" t="s">
        <v>11164</v>
      </c>
      <c r="G547" s="13" t="s">
        <v>11165</v>
      </c>
      <c r="H547" t="s">
        <v>11166</v>
      </c>
      <c r="K547" t="s">
        <v>11167</v>
      </c>
      <c r="L547" t="s">
        <v>11168</v>
      </c>
      <c r="M547" t="s">
        <v>7292</v>
      </c>
      <c r="N547">
        <v>2022</v>
      </c>
      <c r="R547">
        <v>8</v>
      </c>
      <c r="S547" t="s">
        <v>8257</v>
      </c>
      <c r="T547">
        <v>8</v>
      </c>
      <c r="U547">
        <v>3723.07</v>
      </c>
      <c r="V547">
        <v>110</v>
      </c>
      <c r="W547">
        <v>92.89</v>
      </c>
      <c r="X547">
        <v>110</v>
      </c>
      <c r="AB547" t="s">
        <v>11169</v>
      </c>
      <c r="AC547" t="s">
        <v>8777</v>
      </c>
      <c r="AF547" t="s">
        <v>11170</v>
      </c>
      <c r="AI547" t="s">
        <v>8777</v>
      </c>
      <c r="AJ547" t="s">
        <v>9032</v>
      </c>
      <c r="AO547" t="s">
        <v>11171</v>
      </c>
    </row>
    <row r="548" spans="1:41" hidden="1" x14ac:dyDescent="0.35">
      <c r="A548" t="s">
        <v>11172</v>
      </c>
      <c r="B548" t="s">
        <v>7246</v>
      </c>
      <c r="C548" t="s">
        <v>5978</v>
      </c>
      <c r="D548" t="s">
        <v>5978</v>
      </c>
      <c r="E548" t="s">
        <v>5978</v>
      </c>
      <c r="G548" s="13" t="s">
        <v>11173</v>
      </c>
      <c r="H548" t="s">
        <v>11174</v>
      </c>
      <c r="K548" t="s">
        <v>10181</v>
      </c>
      <c r="L548" t="s">
        <v>10182</v>
      </c>
      <c r="M548" t="s">
        <v>8874</v>
      </c>
      <c r="N548">
        <v>1999</v>
      </c>
      <c r="T548" t="s">
        <v>6546</v>
      </c>
      <c r="U548" t="s">
        <v>6546</v>
      </c>
      <c r="V548" t="s">
        <v>6546</v>
      </c>
      <c r="W548">
        <v>185.73</v>
      </c>
      <c r="X548">
        <v>185.73</v>
      </c>
      <c r="Y548">
        <v>1000</v>
      </c>
      <c r="Z548" t="s">
        <v>8842</v>
      </c>
      <c r="AB548" t="s">
        <v>11175</v>
      </c>
      <c r="AC548" t="s">
        <v>8777</v>
      </c>
      <c r="AF548" t="s">
        <v>5993</v>
      </c>
      <c r="AI548" t="s">
        <v>8777</v>
      </c>
      <c r="AO548" t="s">
        <v>11176</v>
      </c>
    </row>
    <row r="549" spans="1:41" hidden="1" x14ac:dyDescent="0.35">
      <c r="A549" t="s">
        <v>11177</v>
      </c>
      <c r="B549" t="s">
        <v>7246</v>
      </c>
      <c r="C549" t="s">
        <v>5851</v>
      </c>
      <c r="D549" t="s">
        <v>5978</v>
      </c>
      <c r="E549" t="s">
        <v>11178</v>
      </c>
      <c r="G549" s="13" t="s">
        <v>11179</v>
      </c>
      <c r="H549" t="s">
        <v>11180</v>
      </c>
      <c r="J549" t="s">
        <v>11181</v>
      </c>
      <c r="K549" t="s">
        <v>11182</v>
      </c>
      <c r="L549" t="s">
        <v>11183</v>
      </c>
      <c r="M549" t="s">
        <v>7250</v>
      </c>
      <c r="N549">
        <v>2014</v>
      </c>
      <c r="R549">
        <v>10</v>
      </c>
      <c r="S549" t="s">
        <v>8257</v>
      </c>
      <c r="T549">
        <v>10</v>
      </c>
      <c r="U549">
        <v>4653.83</v>
      </c>
      <c r="V549" t="s">
        <v>6546</v>
      </c>
      <c r="W549">
        <v>22.88</v>
      </c>
      <c r="X549">
        <v>22.88</v>
      </c>
      <c r="Y549">
        <v>700</v>
      </c>
      <c r="Z549" t="s">
        <v>8842</v>
      </c>
      <c r="AB549" t="s">
        <v>11184</v>
      </c>
      <c r="AC549" t="s">
        <v>8777</v>
      </c>
      <c r="AF549" t="s">
        <v>10134</v>
      </c>
      <c r="AI549" t="s">
        <v>8777</v>
      </c>
      <c r="AL549" t="s">
        <v>11185</v>
      </c>
      <c r="AO549" t="s">
        <v>11186</v>
      </c>
    </row>
    <row r="550" spans="1:41" hidden="1" x14ac:dyDescent="0.35">
      <c r="A550" t="s">
        <v>11187</v>
      </c>
      <c r="B550" t="s">
        <v>7246</v>
      </c>
      <c r="C550" t="s">
        <v>5312</v>
      </c>
      <c r="D550" t="s">
        <v>5312</v>
      </c>
      <c r="E550" t="s">
        <v>5312</v>
      </c>
      <c r="G550" s="13" t="s">
        <v>11188</v>
      </c>
      <c r="H550" t="s">
        <v>11189</v>
      </c>
      <c r="I550" t="s">
        <v>11023</v>
      </c>
      <c r="K550" t="s">
        <v>11190</v>
      </c>
      <c r="L550" t="s">
        <v>11190</v>
      </c>
      <c r="M550" t="s">
        <v>7415</v>
      </c>
      <c r="N550">
        <v>2022</v>
      </c>
      <c r="T550" t="s">
        <v>6546</v>
      </c>
      <c r="U550" t="s">
        <v>6546</v>
      </c>
      <c r="V550">
        <v>142</v>
      </c>
      <c r="W550">
        <v>233.46</v>
      </c>
      <c r="X550">
        <v>142</v>
      </c>
      <c r="AC550" t="s">
        <v>10816</v>
      </c>
      <c r="AI550" t="s">
        <v>10816</v>
      </c>
      <c r="AO550" t="s">
        <v>11191</v>
      </c>
    </row>
    <row r="551" spans="1:41" hidden="1" x14ac:dyDescent="0.35">
      <c r="A551" t="s">
        <v>11192</v>
      </c>
      <c r="B551" t="s">
        <v>7246</v>
      </c>
      <c r="C551" t="s">
        <v>5802</v>
      </c>
      <c r="D551" t="s">
        <v>5802</v>
      </c>
      <c r="E551" t="s">
        <v>5802</v>
      </c>
      <c r="G551" s="13" t="s">
        <v>11193</v>
      </c>
      <c r="H551" t="s">
        <v>11194</v>
      </c>
      <c r="K551" t="s">
        <v>11195</v>
      </c>
      <c r="L551" t="s">
        <v>11195</v>
      </c>
      <c r="M551" t="s">
        <v>7250</v>
      </c>
      <c r="N551">
        <v>2021</v>
      </c>
      <c r="O551">
        <v>2022</v>
      </c>
      <c r="T551" t="s">
        <v>6546</v>
      </c>
      <c r="U551" t="s">
        <v>6546</v>
      </c>
      <c r="V551">
        <v>97</v>
      </c>
      <c r="W551">
        <v>90.27</v>
      </c>
      <c r="X551">
        <v>97</v>
      </c>
      <c r="Y551">
        <v>39</v>
      </c>
      <c r="Z551" t="s">
        <v>7253</v>
      </c>
      <c r="AB551" t="s">
        <v>11196</v>
      </c>
      <c r="AC551" t="s">
        <v>8777</v>
      </c>
      <c r="AF551" t="s">
        <v>11197</v>
      </c>
      <c r="AI551" t="s">
        <v>8777</v>
      </c>
      <c r="AJ551" t="s">
        <v>6407</v>
      </c>
      <c r="AO551" t="s">
        <v>11198</v>
      </c>
    </row>
    <row r="552" spans="1:41" hidden="1" x14ac:dyDescent="0.35">
      <c r="A552" t="s">
        <v>11199</v>
      </c>
      <c r="B552" t="s">
        <v>7246</v>
      </c>
      <c r="C552" t="s">
        <v>385</v>
      </c>
      <c r="D552" t="s">
        <v>385</v>
      </c>
      <c r="E552" t="s">
        <v>385</v>
      </c>
      <c r="G552" s="13" t="s">
        <v>11200</v>
      </c>
      <c r="H552" t="s">
        <v>11201</v>
      </c>
      <c r="J552" t="s">
        <v>11202</v>
      </c>
      <c r="K552" t="s">
        <v>10831</v>
      </c>
      <c r="L552" t="s">
        <v>10831</v>
      </c>
      <c r="M552" t="s">
        <v>7250</v>
      </c>
      <c r="N552">
        <v>2008</v>
      </c>
      <c r="R552">
        <v>530</v>
      </c>
      <c r="S552" t="s">
        <v>7251</v>
      </c>
      <c r="T552">
        <v>5.48</v>
      </c>
      <c r="U552">
        <v>2551.0700000000002</v>
      </c>
      <c r="V552">
        <v>661</v>
      </c>
      <c r="W552">
        <v>581.13</v>
      </c>
      <c r="X552">
        <v>661</v>
      </c>
      <c r="AB552" t="s">
        <v>11203</v>
      </c>
      <c r="AC552" t="s">
        <v>10816</v>
      </c>
      <c r="AE552" t="s">
        <v>10902</v>
      </c>
      <c r="AF552" t="s">
        <v>11204</v>
      </c>
      <c r="AH552" t="s">
        <v>5074</v>
      </c>
      <c r="AI552" t="s">
        <v>10816</v>
      </c>
      <c r="AO552" t="s">
        <v>11205</v>
      </c>
    </row>
    <row r="553" spans="1:41" hidden="1" x14ac:dyDescent="0.35">
      <c r="A553" t="s">
        <v>11206</v>
      </c>
      <c r="B553" t="s">
        <v>7246</v>
      </c>
      <c r="C553" t="s">
        <v>385</v>
      </c>
      <c r="D553" t="s">
        <v>385</v>
      </c>
      <c r="E553" t="s">
        <v>385</v>
      </c>
      <c r="G553" s="13" t="s">
        <v>11207</v>
      </c>
      <c r="H553" t="s">
        <v>11208</v>
      </c>
      <c r="J553" t="s">
        <v>11209</v>
      </c>
      <c r="K553" t="s">
        <v>11210</v>
      </c>
      <c r="L553" t="s">
        <v>11210</v>
      </c>
      <c r="M553" t="s">
        <v>7250</v>
      </c>
      <c r="N553">
        <v>2021</v>
      </c>
      <c r="R553">
        <v>80</v>
      </c>
      <c r="S553" t="s">
        <v>7251</v>
      </c>
      <c r="T553">
        <v>0.83</v>
      </c>
      <c r="U553">
        <v>385.07</v>
      </c>
      <c r="V553">
        <v>48.3</v>
      </c>
      <c r="W553">
        <v>41.52</v>
      </c>
      <c r="X553">
        <v>48.3</v>
      </c>
      <c r="AB553" t="s">
        <v>11211</v>
      </c>
      <c r="AC553" t="s">
        <v>10816</v>
      </c>
      <c r="AE553" t="s">
        <v>10912</v>
      </c>
      <c r="AF553" t="s">
        <v>11212</v>
      </c>
      <c r="AH553" t="s">
        <v>10912</v>
      </c>
      <c r="AI553" t="s">
        <v>10816</v>
      </c>
      <c r="AO553" t="s">
        <v>11213</v>
      </c>
    </row>
    <row r="554" spans="1:41" hidden="1" x14ac:dyDescent="0.35">
      <c r="A554" t="s">
        <v>11214</v>
      </c>
      <c r="B554" t="s">
        <v>7246</v>
      </c>
      <c r="C554" t="s">
        <v>385</v>
      </c>
      <c r="D554" t="s">
        <v>385</v>
      </c>
      <c r="E554" t="s">
        <v>385</v>
      </c>
      <c r="G554" s="13" t="s">
        <v>11215</v>
      </c>
      <c r="H554" t="s">
        <v>11216</v>
      </c>
      <c r="J554" t="s">
        <v>10848</v>
      </c>
      <c r="K554" t="s">
        <v>10849</v>
      </c>
      <c r="L554" t="s">
        <v>10849</v>
      </c>
      <c r="M554" t="s">
        <v>7731</v>
      </c>
      <c r="N554">
        <v>2021</v>
      </c>
      <c r="T554" t="s">
        <v>6546</v>
      </c>
      <c r="U554" t="s">
        <v>6546</v>
      </c>
      <c r="V554">
        <v>50</v>
      </c>
      <c r="W554">
        <v>34.93</v>
      </c>
      <c r="X554">
        <v>50</v>
      </c>
      <c r="AB554" t="s">
        <v>11217</v>
      </c>
      <c r="AC554" t="s">
        <v>10816</v>
      </c>
      <c r="AD554" t="s">
        <v>11218</v>
      </c>
      <c r="AE554" t="s">
        <v>5054</v>
      </c>
      <c r="AF554" t="s">
        <v>11219</v>
      </c>
      <c r="AH554" t="s">
        <v>5074</v>
      </c>
      <c r="AI554" t="s">
        <v>10816</v>
      </c>
      <c r="AO554" t="s">
        <v>11220</v>
      </c>
    </row>
    <row r="555" spans="1:41" hidden="1" x14ac:dyDescent="0.35">
      <c r="A555" t="s">
        <v>11221</v>
      </c>
      <c r="B555" t="s">
        <v>7246</v>
      </c>
      <c r="C555" t="s">
        <v>385</v>
      </c>
      <c r="D555" t="s">
        <v>385</v>
      </c>
      <c r="E555" t="s">
        <v>385</v>
      </c>
      <c r="G555" s="13" t="s">
        <v>11222</v>
      </c>
      <c r="H555" t="s">
        <v>11223</v>
      </c>
      <c r="J555" t="s">
        <v>11224</v>
      </c>
      <c r="K555" t="s">
        <v>10890</v>
      </c>
      <c r="L555" t="s">
        <v>10890</v>
      </c>
      <c r="M555" t="s">
        <v>7250</v>
      </c>
      <c r="N555">
        <v>1998</v>
      </c>
      <c r="R555">
        <v>425</v>
      </c>
      <c r="S555" t="s">
        <v>7251</v>
      </c>
      <c r="T555">
        <v>4.4000000000000004</v>
      </c>
      <c r="U555">
        <v>2045.67</v>
      </c>
      <c r="V555">
        <v>540</v>
      </c>
      <c r="W555">
        <v>497.03</v>
      </c>
      <c r="X555">
        <v>540</v>
      </c>
      <c r="AB555" t="s">
        <v>6991</v>
      </c>
      <c r="AC555" t="s">
        <v>10816</v>
      </c>
      <c r="AE555" t="s">
        <v>10902</v>
      </c>
      <c r="AF555" t="s">
        <v>10861</v>
      </c>
      <c r="AH555" t="s">
        <v>10902</v>
      </c>
      <c r="AI555" t="s">
        <v>10816</v>
      </c>
      <c r="AO555" t="s">
        <v>11225</v>
      </c>
    </row>
    <row r="556" spans="1:41" hidden="1" x14ac:dyDescent="0.35">
      <c r="A556" t="s">
        <v>11226</v>
      </c>
      <c r="B556" t="s">
        <v>7246</v>
      </c>
      <c r="C556" t="s">
        <v>385</v>
      </c>
      <c r="D556" t="s">
        <v>385</v>
      </c>
      <c r="E556" t="s">
        <v>385</v>
      </c>
      <c r="G556" s="13" t="s">
        <v>11227</v>
      </c>
      <c r="H556" t="s">
        <v>11228</v>
      </c>
      <c r="K556" t="s">
        <v>10831</v>
      </c>
      <c r="L556" t="s">
        <v>10831</v>
      </c>
      <c r="M556" t="s">
        <v>7250</v>
      </c>
      <c r="N556">
        <v>2012</v>
      </c>
      <c r="R556">
        <v>72</v>
      </c>
      <c r="S556" t="s">
        <v>7251</v>
      </c>
      <c r="T556">
        <v>0.74</v>
      </c>
      <c r="U556">
        <v>346.56</v>
      </c>
      <c r="V556">
        <v>68</v>
      </c>
      <c r="W556">
        <v>42.37</v>
      </c>
      <c r="X556">
        <v>68</v>
      </c>
      <c r="AB556" t="s">
        <v>11229</v>
      </c>
      <c r="AC556" t="s">
        <v>10816</v>
      </c>
      <c r="AE556" t="s">
        <v>5066</v>
      </c>
      <c r="AF556" t="s">
        <v>11230</v>
      </c>
      <c r="AG556" t="s">
        <v>5066</v>
      </c>
      <c r="AI556" t="s">
        <v>10816</v>
      </c>
      <c r="AO556" t="s">
        <v>11231</v>
      </c>
    </row>
    <row r="557" spans="1:41" hidden="1" x14ac:dyDescent="0.35">
      <c r="A557" t="s">
        <v>11232</v>
      </c>
      <c r="B557" t="s">
        <v>7246</v>
      </c>
      <c r="C557" t="s">
        <v>385</v>
      </c>
      <c r="D557" t="s">
        <v>385</v>
      </c>
      <c r="E557" t="s">
        <v>385</v>
      </c>
      <c r="G557" s="13" t="s">
        <v>11233</v>
      </c>
      <c r="H557" t="s">
        <v>11234</v>
      </c>
      <c r="K557" t="s">
        <v>6543</v>
      </c>
      <c r="L557" t="s">
        <v>6543</v>
      </c>
      <c r="M557" t="s">
        <v>7292</v>
      </c>
      <c r="T557" t="s">
        <v>6546</v>
      </c>
      <c r="U557" t="s">
        <v>6546</v>
      </c>
      <c r="V557">
        <v>1018</v>
      </c>
      <c r="W557">
        <v>637.79</v>
      </c>
      <c r="X557">
        <v>1018</v>
      </c>
      <c r="AB557" t="s">
        <v>11235</v>
      </c>
      <c r="AC557" t="s">
        <v>10816</v>
      </c>
      <c r="AE557" t="s">
        <v>10931</v>
      </c>
      <c r="AF557" t="s">
        <v>10837</v>
      </c>
      <c r="AH557" t="s">
        <v>10838</v>
      </c>
      <c r="AI557" t="s">
        <v>10816</v>
      </c>
      <c r="AO557" t="s">
        <v>11236</v>
      </c>
    </row>
    <row r="558" spans="1:41" x14ac:dyDescent="0.35">
      <c r="A558" t="s">
        <v>11237</v>
      </c>
      <c r="B558" t="s">
        <v>7246</v>
      </c>
      <c r="C558" t="s">
        <v>24</v>
      </c>
      <c r="D558" t="s">
        <v>24</v>
      </c>
      <c r="E558" t="s">
        <v>24</v>
      </c>
      <c r="F558" t="s">
        <v>354</v>
      </c>
      <c r="G558" s="13" t="s">
        <v>11238</v>
      </c>
      <c r="H558" t="s">
        <v>11239</v>
      </c>
      <c r="J558" t="s">
        <v>11240</v>
      </c>
      <c r="K558" t="s">
        <v>11241</v>
      </c>
      <c r="L558" t="s">
        <v>11241</v>
      </c>
      <c r="M558" t="s">
        <v>7250</v>
      </c>
      <c r="N558">
        <v>1983</v>
      </c>
      <c r="R558">
        <v>30</v>
      </c>
      <c r="S558" t="s">
        <v>9164</v>
      </c>
      <c r="T558">
        <v>0.31</v>
      </c>
      <c r="U558">
        <v>142.78</v>
      </c>
      <c r="V558">
        <v>140</v>
      </c>
      <c r="W558">
        <v>197.01</v>
      </c>
      <c r="X558">
        <v>140</v>
      </c>
      <c r="AA558" t="s">
        <v>11242</v>
      </c>
      <c r="AB558" t="s">
        <v>11243</v>
      </c>
      <c r="AC558" t="s">
        <v>9165</v>
      </c>
      <c r="AE558" t="s">
        <v>10751</v>
      </c>
      <c r="AF558" t="s">
        <v>11244</v>
      </c>
      <c r="AH558" t="s">
        <v>11245</v>
      </c>
      <c r="AI558" t="s">
        <v>9165</v>
      </c>
      <c r="AO558" t="s">
        <v>11246</v>
      </c>
    </row>
    <row r="559" spans="1:41" hidden="1" x14ac:dyDescent="0.35">
      <c r="A559" t="s">
        <v>11247</v>
      </c>
      <c r="B559" t="s">
        <v>7246</v>
      </c>
      <c r="C559" t="s">
        <v>385</v>
      </c>
      <c r="D559" t="s">
        <v>429</v>
      </c>
      <c r="E559" t="s">
        <v>10887</v>
      </c>
      <c r="G559" s="13" t="s">
        <v>11248</v>
      </c>
      <c r="H559" t="s">
        <v>11249</v>
      </c>
      <c r="J559" t="s">
        <v>11250</v>
      </c>
      <c r="K559" t="s">
        <v>11251</v>
      </c>
      <c r="L559" t="s">
        <v>11251</v>
      </c>
      <c r="M559" t="s">
        <v>7250</v>
      </c>
      <c r="N559">
        <v>2001</v>
      </c>
      <c r="R559">
        <v>3.4</v>
      </c>
      <c r="S559" t="s">
        <v>8257</v>
      </c>
      <c r="T559">
        <v>3.4</v>
      </c>
      <c r="U559">
        <v>1582.3</v>
      </c>
      <c r="V559">
        <v>640</v>
      </c>
      <c r="W559">
        <v>479.63</v>
      </c>
      <c r="X559">
        <v>640</v>
      </c>
      <c r="AA559" t="s">
        <v>11252</v>
      </c>
      <c r="AC559" t="s">
        <v>10816</v>
      </c>
      <c r="AI559" t="s">
        <v>10816</v>
      </c>
      <c r="AO559" t="s">
        <v>11253</v>
      </c>
    </row>
    <row r="560" spans="1:41" hidden="1" x14ac:dyDescent="0.35">
      <c r="A560" t="s">
        <v>11254</v>
      </c>
      <c r="B560" t="s">
        <v>7246</v>
      </c>
      <c r="C560" t="s">
        <v>396</v>
      </c>
      <c r="D560" t="s">
        <v>396</v>
      </c>
      <c r="E560" t="s">
        <v>396</v>
      </c>
      <c r="G560" s="13" t="s">
        <v>11255</v>
      </c>
      <c r="H560" t="s">
        <v>11256</v>
      </c>
      <c r="K560" t="s">
        <v>7113</v>
      </c>
      <c r="L560" t="s">
        <v>7113</v>
      </c>
      <c r="M560" t="s">
        <v>7292</v>
      </c>
      <c r="N560">
        <v>2028</v>
      </c>
      <c r="T560" t="s">
        <v>6546</v>
      </c>
      <c r="U560" t="s">
        <v>6546</v>
      </c>
      <c r="V560">
        <v>47.4</v>
      </c>
      <c r="W560">
        <v>29.81</v>
      </c>
      <c r="X560">
        <v>47.4</v>
      </c>
      <c r="Y560">
        <v>600</v>
      </c>
      <c r="Z560" t="s">
        <v>8842</v>
      </c>
      <c r="AB560" t="s">
        <v>11257</v>
      </c>
      <c r="AC560" t="s">
        <v>9852</v>
      </c>
      <c r="AD560" t="s">
        <v>11258</v>
      </c>
      <c r="AF560" t="s">
        <v>5112</v>
      </c>
      <c r="AG560" t="s">
        <v>11258</v>
      </c>
      <c r="AI560" t="s">
        <v>9852</v>
      </c>
      <c r="AL560" t="s">
        <v>11259</v>
      </c>
      <c r="AO560" t="s">
        <v>11260</v>
      </c>
    </row>
    <row r="561" spans="1:41" hidden="1" x14ac:dyDescent="0.35">
      <c r="A561" t="s">
        <v>11261</v>
      </c>
      <c r="B561" t="s">
        <v>7246</v>
      </c>
      <c r="C561" t="s">
        <v>4136</v>
      </c>
      <c r="D561" t="s">
        <v>4136</v>
      </c>
      <c r="E561" t="s">
        <v>4136</v>
      </c>
      <c r="G561" s="13" t="s">
        <v>11262</v>
      </c>
      <c r="H561" t="s">
        <v>11263</v>
      </c>
      <c r="J561" t="s">
        <v>11264</v>
      </c>
      <c r="K561" t="s">
        <v>10372</v>
      </c>
      <c r="L561" t="s">
        <v>6511</v>
      </c>
      <c r="M561" t="s">
        <v>7250</v>
      </c>
      <c r="N561">
        <v>2005</v>
      </c>
      <c r="R561">
        <v>500</v>
      </c>
      <c r="S561" t="s">
        <v>7251</v>
      </c>
      <c r="T561">
        <v>5.17</v>
      </c>
      <c r="U561">
        <v>2406.67</v>
      </c>
      <c r="V561">
        <v>28</v>
      </c>
      <c r="W561">
        <v>45.8</v>
      </c>
      <c r="X561">
        <v>28</v>
      </c>
      <c r="Y561">
        <v>30</v>
      </c>
      <c r="Z561" t="s">
        <v>7253</v>
      </c>
      <c r="AB561" t="s">
        <v>11265</v>
      </c>
      <c r="AC561" t="s">
        <v>8859</v>
      </c>
      <c r="AD561" t="s">
        <v>10437</v>
      </c>
      <c r="AF561" t="s">
        <v>10401</v>
      </c>
      <c r="AG561" t="s">
        <v>10437</v>
      </c>
      <c r="AI561" t="s">
        <v>8859</v>
      </c>
      <c r="AO561" t="s">
        <v>11266</v>
      </c>
    </row>
    <row r="562" spans="1:41" hidden="1" x14ac:dyDescent="0.35">
      <c r="A562" t="s">
        <v>11267</v>
      </c>
      <c r="B562" t="s">
        <v>7246</v>
      </c>
      <c r="C562" t="s">
        <v>396</v>
      </c>
      <c r="D562" t="s">
        <v>396</v>
      </c>
      <c r="E562" t="s">
        <v>396</v>
      </c>
      <c r="G562" s="13" t="s">
        <v>11268</v>
      </c>
      <c r="H562" t="s">
        <v>11269</v>
      </c>
      <c r="K562" t="s">
        <v>11270</v>
      </c>
      <c r="L562" t="s">
        <v>11270</v>
      </c>
      <c r="M562" t="s">
        <v>7250</v>
      </c>
      <c r="N562">
        <v>1973</v>
      </c>
      <c r="T562" t="s">
        <v>6546</v>
      </c>
      <c r="U562" t="s">
        <v>6546</v>
      </c>
      <c r="V562">
        <v>91.4</v>
      </c>
      <c r="W562">
        <v>48.99</v>
      </c>
      <c r="X562">
        <v>91.4</v>
      </c>
      <c r="AB562" t="s">
        <v>11271</v>
      </c>
      <c r="AC562" t="s">
        <v>9852</v>
      </c>
      <c r="AF562" t="s">
        <v>11272</v>
      </c>
      <c r="AI562" t="s">
        <v>9852</v>
      </c>
      <c r="AO562" t="s">
        <v>11273</v>
      </c>
    </row>
    <row r="563" spans="1:41" hidden="1" x14ac:dyDescent="0.35">
      <c r="A563" t="s">
        <v>11274</v>
      </c>
      <c r="B563" t="s">
        <v>7246</v>
      </c>
      <c r="C563" t="s">
        <v>4136</v>
      </c>
      <c r="D563" t="s">
        <v>4136</v>
      </c>
      <c r="E563" t="s">
        <v>4136</v>
      </c>
      <c r="G563" s="13" t="s">
        <v>11275</v>
      </c>
      <c r="H563" t="s">
        <v>11276</v>
      </c>
      <c r="K563" t="s">
        <v>11277</v>
      </c>
      <c r="L563" t="s">
        <v>11277</v>
      </c>
      <c r="M563" t="s">
        <v>9336</v>
      </c>
      <c r="N563">
        <v>1996</v>
      </c>
      <c r="Q563">
        <v>2013</v>
      </c>
      <c r="R563">
        <v>180</v>
      </c>
      <c r="S563" t="s">
        <v>7251</v>
      </c>
      <c r="T563">
        <v>1.86</v>
      </c>
      <c r="U563">
        <v>866.4</v>
      </c>
      <c r="V563">
        <v>35</v>
      </c>
      <c r="W563">
        <v>43.48</v>
      </c>
      <c r="X563">
        <v>35</v>
      </c>
      <c r="AA563" t="s">
        <v>11278</v>
      </c>
      <c r="AB563" t="s">
        <v>10358</v>
      </c>
      <c r="AC563" t="s">
        <v>8859</v>
      </c>
      <c r="AF563" t="s">
        <v>10374</v>
      </c>
      <c r="AG563" t="s">
        <v>2678</v>
      </c>
      <c r="AI563" t="s">
        <v>8859</v>
      </c>
      <c r="AO563" t="s">
        <v>11279</v>
      </c>
    </row>
    <row r="564" spans="1:41" hidden="1" x14ac:dyDescent="0.35">
      <c r="A564" t="s">
        <v>11280</v>
      </c>
      <c r="B564" t="s">
        <v>7246</v>
      </c>
      <c r="C564" t="s">
        <v>396</v>
      </c>
      <c r="D564" t="s">
        <v>396</v>
      </c>
      <c r="E564" t="s">
        <v>396</v>
      </c>
      <c r="G564" s="13" t="s">
        <v>11281</v>
      </c>
      <c r="H564" t="s">
        <v>11282</v>
      </c>
      <c r="K564" t="s">
        <v>7077</v>
      </c>
      <c r="L564" t="s">
        <v>7077</v>
      </c>
      <c r="M564" t="s">
        <v>7250</v>
      </c>
      <c r="N564">
        <v>2012</v>
      </c>
      <c r="T564" t="s">
        <v>6546</v>
      </c>
      <c r="U564" t="s">
        <v>6546</v>
      </c>
      <c r="V564">
        <v>79.3</v>
      </c>
      <c r="W564">
        <v>59.35</v>
      </c>
      <c r="X564">
        <v>79.3</v>
      </c>
      <c r="AB564" t="s">
        <v>5121</v>
      </c>
      <c r="AC564" t="s">
        <v>9852</v>
      </c>
      <c r="AD564" t="s">
        <v>5121</v>
      </c>
      <c r="AF564" t="s">
        <v>5126</v>
      </c>
      <c r="AG564" t="s">
        <v>11283</v>
      </c>
      <c r="AI564" t="s">
        <v>9852</v>
      </c>
      <c r="AO564" t="s">
        <v>11284</v>
      </c>
    </row>
    <row r="565" spans="1:41" hidden="1" x14ac:dyDescent="0.35">
      <c r="A565" t="s">
        <v>11285</v>
      </c>
      <c r="B565" t="s">
        <v>7246</v>
      </c>
      <c r="C565" t="s">
        <v>396</v>
      </c>
      <c r="D565" t="s">
        <v>396</v>
      </c>
      <c r="E565" t="s">
        <v>396</v>
      </c>
      <c r="G565" s="13" t="s">
        <v>11286</v>
      </c>
      <c r="H565" t="s">
        <v>11287</v>
      </c>
      <c r="K565" t="s">
        <v>11288</v>
      </c>
      <c r="L565" t="s">
        <v>11288</v>
      </c>
      <c r="M565" t="s">
        <v>7250</v>
      </c>
      <c r="N565">
        <v>2005</v>
      </c>
      <c r="T565" t="s">
        <v>6546</v>
      </c>
      <c r="U565" t="s">
        <v>6546</v>
      </c>
      <c r="V565">
        <v>4.3</v>
      </c>
      <c r="W565">
        <v>10.07</v>
      </c>
      <c r="X565">
        <v>4.3</v>
      </c>
      <c r="AB565" t="s">
        <v>11289</v>
      </c>
      <c r="AC565" t="s">
        <v>9852</v>
      </c>
      <c r="AD565" t="s">
        <v>10365</v>
      </c>
      <c r="AF565" t="s">
        <v>11290</v>
      </c>
      <c r="AG565" t="s">
        <v>10365</v>
      </c>
      <c r="AI565" t="s">
        <v>9852</v>
      </c>
      <c r="AO565" t="s">
        <v>11291</v>
      </c>
    </row>
    <row r="566" spans="1:41" hidden="1" x14ac:dyDescent="0.35">
      <c r="A566" t="s">
        <v>11292</v>
      </c>
      <c r="B566" t="s">
        <v>7246</v>
      </c>
      <c r="C566" t="s">
        <v>396</v>
      </c>
      <c r="D566" t="s">
        <v>396</v>
      </c>
      <c r="E566" t="s">
        <v>396</v>
      </c>
      <c r="G566" s="13" t="s">
        <v>11293</v>
      </c>
      <c r="H566" t="s">
        <v>11294</v>
      </c>
      <c r="K566" t="s">
        <v>11288</v>
      </c>
      <c r="L566" t="s">
        <v>11288</v>
      </c>
      <c r="M566" t="s">
        <v>7250</v>
      </c>
      <c r="N566">
        <v>2011</v>
      </c>
      <c r="T566" t="s">
        <v>6546</v>
      </c>
      <c r="U566" t="s">
        <v>6546</v>
      </c>
      <c r="V566">
        <v>19.100000000000001</v>
      </c>
      <c r="W566">
        <v>16.8</v>
      </c>
      <c r="X566">
        <v>19.100000000000001</v>
      </c>
      <c r="AB566" t="s">
        <v>7079</v>
      </c>
      <c r="AC566" t="s">
        <v>9852</v>
      </c>
      <c r="AD566" t="s">
        <v>10365</v>
      </c>
      <c r="AE566" t="s">
        <v>11295</v>
      </c>
      <c r="AF566" t="s">
        <v>11296</v>
      </c>
      <c r="AG566" t="s">
        <v>11297</v>
      </c>
      <c r="AH566" t="s">
        <v>10365</v>
      </c>
      <c r="AI566" t="s">
        <v>9852</v>
      </c>
      <c r="AO566" t="s">
        <v>11298</v>
      </c>
    </row>
    <row r="567" spans="1:41" hidden="1" x14ac:dyDescent="0.35">
      <c r="A567" t="s">
        <v>11299</v>
      </c>
      <c r="B567" t="s">
        <v>7246</v>
      </c>
      <c r="C567" t="s">
        <v>396</v>
      </c>
      <c r="D567" t="s">
        <v>396</v>
      </c>
      <c r="E567" t="s">
        <v>396</v>
      </c>
      <c r="G567" s="13" t="s">
        <v>11300</v>
      </c>
      <c r="H567" t="s">
        <v>11301</v>
      </c>
      <c r="K567" t="s">
        <v>11288</v>
      </c>
      <c r="L567" t="s">
        <v>11288</v>
      </c>
      <c r="M567" t="s">
        <v>7250</v>
      </c>
      <c r="N567">
        <v>2007</v>
      </c>
      <c r="T567" t="s">
        <v>6546</v>
      </c>
      <c r="U567" t="s">
        <v>6546</v>
      </c>
      <c r="V567">
        <v>8.8000000000000007</v>
      </c>
      <c r="W567">
        <v>6.75</v>
      </c>
      <c r="X567">
        <v>8.8000000000000007</v>
      </c>
      <c r="AB567" t="s">
        <v>11302</v>
      </c>
      <c r="AC567" t="s">
        <v>9852</v>
      </c>
      <c r="AD567" t="s">
        <v>10365</v>
      </c>
      <c r="AE567" t="s">
        <v>10365</v>
      </c>
      <c r="AF567" t="s">
        <v>11303</v>
      </c>
      <c r="AH567" t="s">
        <v>10365</v>
      </c>
      <c r="AI567" t="s">
        <v>9852</v>
      </c>
      <c r="AO567" t="s">
        <v>11304</v>
      </c>
    </row>
    <row r="568" spans="1:41" hidden="1" x14ac:dyDescent="0.35">
      <c r="A568" t="s">
        <v>11305</v>
      </c>
      <c r="B568" t="s">
        <v>7246</v>
      </c>
      <c r="C568" t="s">
        <v>396</v>
      </c>
      <c r="D568" t="s">
        <v>396</v>
      </c>
      <c r="E568" t="s">
        <v>396</v>
      </c>
      <c r="G568" s="13" t="s">
        <v>11306</v>
      </c>
      <c r="H568" t="s">
        <v>11307</v>
      </c>
      <c r="K568" t="s">
        <v>11288</v>
      </c>
      <c r="L568" t="s">
        <v>11288</v>
      </c>
      <c r="M568" t="s">
        <v>7250</v>
      </c>
      <c r="N568">
        <v>1999</v>
      </c>
      <c r="T568" t="s">
        <v>6546</v>
      </c>
      <c r="U568" t="s">
        <v>6546</v>
      </c>
      <c r="V568">
        <v>7.5</v>
      </c>
      <c r="W568">
        <v>9.6</v>
      </c>
      <c r="X568">
        <v>7.5</v>
      </c>
      <c r="AB568" t="s">
        <v>11308</v>
      </c>
      <c r="AC568" t="s">
        <v>9852</v>
      </c>
      <c r="AE568" t="s">
        <v>10365</v>
      </c>
      <c r="AF568" t="s">
        <v>11309</v>
      </c>
      <c r="AH568" t="s">
        <v>10365</v>
      </c>
      <c r="AI568" t="s">
        <v>9852</v>
      </c>
      <c r="AO568" t="s">
        <v>11310</v>
      </c>
    </row>
    <row r="569" spans="1:41" hidden="1" x14ac:dyDescent="0.35">
      <c r="A569" t="s">
        <v>11311</v>
      </c>
      <c r="B569" t="s">
        <v>7246</v>
      </c>
      <c r="C569" t="s">
        <v>396</v>
      </c>
      <c r="D569" t="s">
        <v>396</v>
      </c>
      <c r="E569" t="s">
        <v>396</v>
      </c>
      <c r="G569" s="13" t="s">
        <v>11312</v>
      </c>
      <c r="H569" t="s">
        <v>11313</v>
      </c>
      <c r="K569" t="s">
        <v>11288</v>
      </c>
      <c r="L569" t="s">
        <v>11288</v>
      </c>
      <c r="M569" t="s">
        <v>7250</v>
      </c>
      <c r="N569">
        <v>2008</v>
      </c>
      <c r="T569" t="s">
        <v>6546</v>
      </c>
      <c r="U569" t="s">
        <v>6546</v>
      </c>
      <c r="V569">
        <v>2.7</v>
      </c>
      <c r="W569">
        <v>4.72</v>
      </c>
      <c r="X569">
        <v>2.7</v>
      </c>
      <c r="AB569" t="s">
        <v>11314</v>
      </c>
      <c r="AC569" t="s">
        <v>9852</v>
      </c>
      <c r="AE569" t="s">
        <v>10365</v>
      </c>
      <c r="AF569" t="s">
        <v>11315</v>
      </c>
      <c r="AH569" t="s">
        <v>10365</v>
      </c>
      <c r="AI569" t="s">
        <v>9852</v>
      </c>
      <c r="AO569" t="s">
        <v>11316</v>
      </c>
    </row>
    <row r="570" spans="1:41" hidden="1" x14ac:dyDescent="0.35">
      <c r="A570" t="s">
        <v>11317</v>
      </c>
      <c r="B570" t="s">
        <v>7246</v>
      </c>
      <c r="C570" t="s">
        <v>396</v>
      </c>
      <c r="D570" t="s">
        <v>396</v>
      </c>
      <c r="E570" t="s">
        <v>396</v>
      </c>
      <c r="G570" s="13" t="s">
        <v>11318</v>
      </c>
      <c r="H570" t="s">
        <v>11319</v>
      </c>
      <c r="K570" t="s">
        <v>11288</v>
      </c>
      <c r="L570" t="s">
        <v>11288</v>
      </c>
      <c r="M570" t="s">
        <v>7250</v>
      </c>
      <c r="N570">
        <v>2008</v>
      </c>
      <c r="T570" t="s">
        <v>6546</v>
      </c>
      <c r="U570" t="s">
        <v>6546</v>
      </c>
      <c r="V570">
        <v>2</v>
      </c>
      <c r="W570">
        <v>3.3</v>
      </c>
      <c r="X570">
        <v>2</v>
      </c>
      <c r="AB570" t="s">
        <v>11320</v>
      </c>
      <c r="AC570" t="s">
        <v>9852</v>
      </c>
      <c r="AE570" t="s">
        <v>11321</v>
      </c>
      <c r="AF570" t="s">
        <v>11322</v>
      </c>
      <c r="AG570" t="s">
        <v>11323</v>
      </c>
      <c r="AH570" t="s">
        <v>11321</v>
      </c>
      <c r="AI570" t="s">
        <v>9852</v>
      </c>
      <c r="AO570" t="s">
        <v>11324</v>
      </c>
    </row>
    <row r="571" spans="1:41" hidden="1" x14ac:dyDescent="0.35">
      <c r="A571" t="s">
        <v>11325</v>
      </c>
      <c r="B571" t="s">
        <v>7246</v>
      </c>
      <c r="C571" t="s">
        <v>396</v>
      </c>
      <c r="D571" t="s">
        <v>396</v>
      </c>
      <c r="E571" t="s">
        <v>396</v>
      </c>
      <c r="G571" s="13" t="s">
        <v>11326</v>
      </c>
      <c r="H571" t="s">
        <v>11327</v>
      </c>
      <c r="K571" t="s">
        <v>11288</v>
      </c>
      <c r="L571" t="s">
        <v>11288</v>
      </c>
      <c r="M571" t="s">
        <v>7250</v>
      </c>
      <c r="N571">
        <v>2008</v>
      </c>
      <c r="T571" t="s">
        <v>6546</v>
      </c>
      <c r="U571" t="s">
        <v>6546</v>
      </c>
      <c r="V571">
        <v>0.4</v>
      </c>
      <c r="W571">
        <v>0.77</v>
      </c>
      <c r="X571">
        <v>0.4</v>
      </c>
      <c r="AB571" t="s">
        <v>11328</v>
      </c>
      <c r="AC571" t="s">
        <v>9852</v>
      </c>
      <c r="AD571" t="s">
        <v>11329</v>
      </c>
      <c r="AE571" t="s">
        <v>10365</v>
      </c>
      <c r="AG571" t="s">
        <v>11330</v>
      </c>
      <c r="AH571" t="s">
        <v>11331</v>
      </c>
      <c r="AI571" t="s">
        <v>9852</v>
      </c>
      <c r="AO571" t="s">
        <v>11332</v>
      </c>
    </row>
    <row r="572" spans="1:41" hidden="1" x14ac:dyDescent="0.35">
      <c r="A572" t="s">
        <v>11333</v>
      </c>
      <c r="B572" t="s">
        <v>7246</v>
      </c>
      <c r="C572" t="s">
        <v>396</v>
      </c>
      <c r="D572" t="s">
        <v>396</v>
      </c>
      <c r="E572" t="s">
        <v>396</v>
      </c>
      <c r="G572" s="13" t="s">
        <v>11334</v>
      </c>
      <c r="H572" t="s">
        <v>11335</v>
      </c>
      <c r="K572" t="s">
        <v>11336</v>
      </c>
      <c r="L572" t="s">
        <v>11336</v>
      </c>
      <c r="M572" t="s">
        <v>7250</v>
      </c>
      <c r="N572">
        <v>1978</v>
      </c>
      <c r="T572" t="s">
        <v>6546</v>
      </c>
      <c r="U572" t="s">
        <v>6546</v>
      </c>
      <c r="V572" t="s">
        <v>6546</v>
      </c>
      <c r="W572" t="s">
        <v>6546</v>
      </c>
      <c r="X572" t="s">
        <v>6546</v>
      </c>
      <c r="AB572" t="s">
        <v>11337</v>
      </c>
      <c r="AC572" t="s">
        <v>9852</v>
      </c>
      <c r="AF572" t="s">
        <v>11338</v>
      </c>
      <c r="AI572" t="s">
        <v>9852</v>
      </c>
      <c r="AO572" t="s">
        <v>6546</v>
      </c>
    </row>
    <row r="573" spans="1:41" hidden="1" x14ac:dyDescent="0.35">
      <c r="A573" t="s">
        <v>11339</v>
      </c>
      <c r="B573" t="s">
        <v>7246</v>
      </c>
      <c r="C573" t="s">
        <v>396</v>
      </c>
      <c r="D573" t="s">
        <v>396</v>
      </c>
      <c r="E573" t="s">
        <v>396</v>
      </c>
      <c r="G573" s="13" t="s">
        <v>11340</v>
      </c>
      <c r="H573" t="s">
        <v>11341</v>
      </c>
      <c r="K573" t="s">
        <v>11342</v>
      </c>
      <c r="L573" t="s">
        <v>11342</v>
      </c>
      <c r="M573" t="s">
        <v>7250</v>
      </c>
      <c r="N573">
        <v>1987</v>
      </c>
      <c r="T573" t="s">
        <v>6546</v>
      </c>
      <c r="U573" t="s">
        <v>6546</v>
      </c>
      <c r="V573">
        <v>6.16</v>
      </c>
      <c r="W573">
        <v>3.55</v>
      </c>
      <c r="X573">
        <v>6.16</v>
      </c>
      <c r="AB573" t="s">
        <v>11343</v>
      </c>
      <c r="AC573" t="s">
        <v>9852</v>
      </c>
      <c r="AD573" t="s">
        <v>11344</v>
      </c>
      <c r="AE573" t="s">
        <v>11345</v>
      </c>
      <c r="AF573" t="s">
        <v>11346</v>
      </c>
      <c r="AG573" t="s">
        <v>11344</v>
      </c>
      <c r="AH573" t="s">
        <v>11345</v>
      </c>
      <c r="AI573" t="s">
        <v>9852</v>
      </c>
      <c r="AO573" t="s">
        <v>11347</v>
      </c>
    </row>
    <row r="574" spans="1:41" hidden="1" x14ac:dyDescent="0.35">
      <c r="A574" t="s">
        <v>11348</v>
      </c>
      <c r="B574" t="s">
        <v>7246</v>
      </c>
      <c r="C574" t="s">
        <v>396</v>
      </c>
      <c r="D574" t="s">
        <v>396</v>
      </c>
      <c r="E574" t="s">
        <v>396</v>
      </c>
      <c r="G574" s="13" t="s">
        <v>11349</v>
      </c>
      <c r="H574" t="s">
        <v>11350</v>
      </c>
      <c r="K574" t="s">
        <v>11342</v>
      </c>
      <c r="L574" t="s">
        <v>11342</v>
      </c>
      <c r="M574" t="s">
        <v>7250</v>
      </c>
      <c r="N574">
        <v>2004</v>
      </c>
      <c r="T574" t="s">
        <v>6546</v>
      </c>
      <c r="U574" t="s">
        <v>6546</v>
      </c>
      <c r="V574">
        <v>6.67</v>
      </c>
      <c r="W574">
        <v>3.98</v>
      </c>
      <c r="X574">
        <v>6.67</v>
      </c>
      <c r="AB574" t="s">
        <v>11343</v>
      </c>
      <c r="AC574" t="s">
        <v>9852</v>
      </c>
      <c r="AF574" t="s">
        <v>11346</v>
      </c>
      <c r="AG574" t="s">
        <v>11344</v>
      </c>
      <c r="AH574" t="s">
        <v>11351</v>
      </c>
      <c r="AI574" t="s">
        <v>9852</v>
      </c>
      <c r="AO574" t="s">
        <v>11352</v>
      </c>
    </row>
    <row r="575" spans="1:41" hidden="1" x14ac:dyDescent="0.35">
      <c r="A575" t="s">
        <v>11353</v>
      </c>
      <c r="B575" t="s">
        <v>7246</v>
      </c>
      <c r="C575" t="s">
        <v>396</v>
      </c>
      <c r="D575" t="s">
        <v>396</v>
      </c>
      <c r="E575" t="s">
        <v>396</v>
      </c>
      <c r="G575" s="13" t="s">
        <v>11354</v>
      </c>
      <c r="H575" t="s">
        <v>11355</v>
      </c>
      <c r="K575" t="s">
        <v>11342</v>
      </c>
      <c r="L575" t="s">
        <v>11342</v>
      </c>
      <c r="M575" t="s">
        <v>7250</v>
      </c>
      <c r="N575">
        <v>2000</v>
      </c>
      <c r="T575" t="s">
        <v>6546</v>
      </c>
      <c r="U575" t="s">
        <v>6546</v>
      </c>
      <c r="V575">
        <v>1.67</v>
      </c>
      <c r="W575">
        <v>0.89</v>
      </c>
      <c r="X575">
        <v>1.67</v>
      </c>
      <c r="AB575" t="s">
        <v>11356</v>
      </c>
      <c r="AC575" t="s">
        <v>9852</v>
      </c>
      <c r="AD575" t="s">
        <v>11357</v>
      </c>
      <c r="AE575" t="s">
        <v>11358</v>
      </c>
      <c r="AF575" t="s">
        <v>11359</v>
      </c>
      <c r="AG575" t="s">
        <v>11357</v>
      </c>
      <c r="AH575" t="s">
        <v>11358</v>
      </c>
      <c r="AI575" t="s">
        <v>9852</v>
      </c>
      <c r="AO575" t="s">
        <v>11360</v>
      </c>
    </row>
    <row r="576" spans="1:41" hidden="1" x14ac:dyDescent="0.35">
      <c r="A576" t="s">
        <v>11361</v>
      </c>
      <c r="B576" t="s">
        <v>7246</v>
      </c>
      <c r="C576" t="s">
        <v>396</v>
      </c>
      <c r="D576" t="s">
        <v>396</v>
      </c>
      <c r="E576" t="s">
        <v>396</v>
      </c>
      <c r="G576" s="13" t="s">
        <v>11362</v>
      </c>
      <c r="H576" t="s">
        <v>11363</v>
      </c>
      <c r="K576" t="s">
        <v>11342</v>
      </c>
      <c r="L576" t="s">
        <v>11342</v>
      </c>
      <c r="M576" t="s">
        <v>7250</v>
      </c>
      <c r="N576">
        <v>2011</v>
      </c>
      <c r="T576" t="s">
        <v>6546</v>
      </c>
      <c r="U576" t="s">
        <v>6546</v>
      </c>
      <c r="V576">
        <v>2.5499999999999998</v>
      </c>
      <c r="W576">
        <v>1.97</v>
      </c>
      <c r="X576">
        <v>2.5499999999999998</v>
      </c>
      <c r="AB576" t="s">
        <v>11364</v>
      </c>
      <c r="AC576" t="s">
        <v>9852</v>
      </c>
      <c r="AD576" t="s">
        <v>11357</v>
      </c>
      <c r="AE576" t="s">
        <v>11357</v>
      </c>
      <c r="AF576" t="s">
        <v>11365</v>
      </c>
      <c r="AG576" t="s">
        <v>11357</v>
      </c>
      <c r="AH576" t="s">
        <v>11357</v>
      </c>
      <c r="AI576" t="s">
        <v>9852</v>
      </c>
      <c r="AO576" t="s">
        <v>11366</v>
      </c>
    </row>
    <row r="577" spans="1:41" hidden="1" x14ac:dyDescent="0.35">
      <c r="A577" t="s">
        <v>11367</v>
      </c>
      <c r="B577" t="s">
        <v>7246</v>
      </c>
      <c r="C577" t="s">
        <v>396</v>
      </c>
      <c r="D577" t="s">
        <v>396</v>
      </c>
      <c r="E577" t="s">
        <v>396</v>
      </c>
      <c r="G577" s="13" t="s">
        <v>11368</v>
      </c>
      <c r="H577" t="s">
        <v>11369</v>
      </c>
      <c r="K577" t="s">
        <v>11342</v>
      </c>
      <c r="L577" t="s">
        <v>11342</v>
      </c>
      <c r="M577" t="s">
        <v>7250</v>
      </c>
      <c r="N577">
        <v>1976</v>
      </c>
      <c r="T577" t="s">
        <v>6546</v>
      </c>
      <c r="U577" t="s">
        <v>6546</v>
      </c>
      <c r="V577">
        <v>2</v>
      </c>
      <c r="W577" t="s">
        <v>6546</v>
      </c>
      <c r="X577">
        <v>2</v>
      </c>
      <c r="AB577" t="s">
        <v>11370</v>
      </c>
      <c r="AC577" t="s">
        <v>9852</v>
      </c>
      <c r="AF577" t="s">
        <v>11371</v>
      </c>
      <c r="AI577" t="s">
        <v>9852</v>
      </c>
      <c r="AO577" t="s">
        <v>6546</v>
      </c>
    </row>
    <row r="578" spans="1:41" hidden="1" x14ac:dyDescent="0.35">
      <c r="A578" t="s">
        <v>11372</v>
      </c>
      <c r="B578" t="s">
        <v>7246</v>
      </c>
      <c r="C578" t="s">
        <v>396</v>
      </c>
      <c r="D578" t="s">
        <v>396</v>
      </c>
      <c r="E578" t="s">
        <v>396</v>
      </c>
      <c r="G578" s="13" t="s">
        <v>11373</v>
      </c>
      <c r="H578" t="s">
        <v>11374</v>
      </c>
      <c r="K578" t="s">
        <v>11342</v>
      </c>
      <c r="L578" t="s">
        <v>11342</v>
      </c>
      <c r="M578" t="s">
        <v>7250</v>
      </c>
      <c r="N578">
        <v>1987</v>
      </c>
      <c r="T578" t="s">
        <v>6546</v>
      </c>
      <c r="U578" t="s">
        <v>6546</v>
      </c>
      <c r="V578">
        <v>3.77</v>
      </c>
      <c r="W578">
        <v>2.59</v>
      </c>
      <c r="X578">
        <v>3.77</v>
      </c>
      <c r="AB578" t="s">
        <v>11375</v>
      </c>
      <c r="AC578" t="s">
        <v>9852</v>
      </c>
      <c r="AD578" t="s">
        <v>11376</v>
      </c>
      <c r="AE578" t="s">
        <v>7051</v>
      </c>
      <c r="AF578" t="s">
        <v>11377</v>
      </c>
      <c r="AG578" t="s">
        <v>11376</v>
      </c>
      <c r="AH578" t="s">
        <v>7051</v>
      </c>
      <c r="AI578" t="s">
        <v>9852</v>
      </c>
      <c r="AO578" t="s">
        <v>11378</v>
      </c>
    </row>
    <row r="579" spans="1:41" hidden="1" x14ac:dyDescent="0.35">
      <c r="A579" t="s">
        <v>11379</v>
      </c>
      <c r="B579" t="s">
        <v>7246</v>
      </c>
      <c r="C579" t="s">
        <v>396</v>
      </c>
      <c r="D579" t="s">
        <v>396</v>
      </c>
      <c r="E579" t="s">
        <v>396</v>
      </c>
      <c r="G579" s="13" t="s">
        <v>11380</v>
      </c>
      <c r="H579" t="s">
        <v>11381</v>
      </c>
      <c r="K579" t="s">
        <v>11342</v>
      </c>
      <c r="L579" t="s">
        <v>11342</v>
      </c>
      <c r="M579" t="s">
        <v>7250</v>
      </c>
      <c r="N579">
        <v>1990</v>
      </c>
      <c r="T579" t="s">
        <v>6546</v>
      </c>
      <c r="U579" t="s">
        <v>6546</v>
      </c>
      <c r="V579">
        <v>2.78</v>
      </c>
      <c r="W579">
        <v>2.0099999999999998</v>
      </c>
      <c r="X579">
        <v>2.78</v>
      </c>
      <c r="AB579" t="s">
        <v>11375</v>
      </c>
      <c r="AC579" t="s">
        <v>9852</v>
      </c>
      <c r="AD579" t="s">
        <v>11382</v>
      </c>
      <c r="AE579" t="s">
        <v>7051</v>
      </c>
      <c r="AF579" t="s">
        <v>11383</v>
      </c>
      <c r="AG579" t="s">
        <v>11382</v>
      </c>
      <c r="AH579" t="s">
        <v>7051</v>
      </c>
      <c r="AI579" t="s">
        <v>9852</v>
      </c>
      <c r="AO579" t="s">
        <v>11384</v>
      </c>
    </row>
    <row r="580" spans="1:41" hidden="1" x14ac:dyDescent="0.35">
      <c r="A580" t="s">
        <v>11385</v>
      </c>
      <c r="B580" t="s">
        <v>7246</v>
      </c>
      <c r="C580" t="s">
        <v>396</v>
      </c>
      <c r="D580" t="s">
        <v>396</v>
      </c>
      <c r="E580" t="s">
        <v>396</v>
      </c>
      <c r="G580" s="13" t="s">
        <v>11386</v>
      </c>
      <c r="H580" t="s">
        <v>11387</v>
      </c>
      <c r="K580" t="s">
        <v>11388</v>
      </c>
      <c r="L580" t="s">
        <v>11388</v>
      </c>
      <c r="M580" t="s">
        <v>7250</v>
      </c>
      <c r="N580">
        <v>1994</v>
      </c>
      <c r="T580" t="s">
        <v>6546</v>
      </c>
      <c r="U580" t="s">
        <v>6546</v>
      </c>
      <c r="V580">
        <v>2.2000000000000002</v>
      </c>
      <c r="W580">
        <v>1.59</v>
      </c>
      <c r="X580">
        <v>2.2000000000000002</v>
      </c>
      <c r="AB580" t="s">
        <v>11389</v>
      </c>
      <c r="AC580" t="s">
        <v>9852</v>
      </c>
      <c r="AD580" t="s">
        <v>11390</v>
      </c>
      <c r="AE580" t="s">
        <v>11391</v>
      </c>
      <c r="AF580" t="s">
        <v>11392</v>
      </c>
      <c r="AG580" t="s">
        <v>11390</v>
      </c>
      <c r="AH580" t="s">
        <v>11391</v>
      </c>
      <c r="AI580" t="s">
        <v>9852</v>
      </c>
      <c r="AO580" t="s">
        <v>11393</v>
      </c>
    </row>
    <row r="581" spans="1:41" hidden="1" x14ac:dyDescent="0.35">
      <c r="A581" t="s">
        <v>11394</v>
      </c>
      <c r="B581" t="s">
        <v>7246</v>
      </c>
      <c r="C581" t="s">
        <v>396</v>
      </c>
      <c r="D581" t="s">
        <v>396</v>
      </c>
      <c r="E581" t="s">
        <v>396</v>
      </c>
      <c r="G581" s="13" t="s">
        <v>11395</v>
      </c>
      <c r="H581" t="s">
        <v>11396</v>
      </c>
      <c r="K581" t="s">
        <v>11388</v>
      </c>
      <c r="L581" t="s">
        <v>11388</v>
      </c>
      <c r="M581" t="s">
        <v>7250</v>
      </c>
      <c r="N581">
        <v>2006</v>
      </c>
      <c r="T581" t="s">
        <v>6546</v>
      </c>
      <c r="U581" t="s">
        <v>6546</v>
      </c>
      <c r="V581">
        <v>5.0999999999999996</v>
      </c>
      <c r="W581" t="s">
        <v>6546</v>
      </c>
      <c r="X581">
        <v>5.0999999999999996</v>
      </c>
      <c r="AB581" t="s">
        <v>11397</v>
      </c>
      <c r="AC581" t="s">
        <v>9852</v>
      </c>
      <c r="AF581" t="s">
        <v>11398</v>
      </c>
      <c r="AG581" t="s">
        <v>11399</v>
      </c>
      <c r="AI581" t="s">
        <v>9852</v>
      </c>
      <c r="AO581" t="s">
        <v>6546</v>
      </c>
    </row>
    <row r="582" spans="1:41" hidden="1" x14ac:dyDescent="0.35">
      <c r="A582" t="s">
        <v>11400</v>
      </c>
      <c r="B582" t="s">
        <v>7246</v>
      </c>
      <c r="C582" t="s">
        <v>396</v>
      </c>
      <c r="D582" t="s">
        <v>396</v>
      </c>
      <c r="E582" t="s">
        <v>396</v>
      </c>
      <c r="G582" s="13" t="s">
        <v>11401</v>
      </c>
      <c r="H582" t="s">
        <v>11402</v>
      </c>
      <c r="I582" t="s">
        <v>11403</v>
      </c>
      <c r="K582" t="s">
        <v>11404</v>
      </c>
      <c r="L582" t="s">
        <v>11404</v>
      </c>
      <c r="M582" t="s">
        <v>7250</v>
      </c>
      <c r="N582">
        <v>1966</v>
      </c>
      <c r="T582" t="s">
        <v>6546</v>
      </c>
      <c r="U582" t="s">
        <v>6546</v>
      </c>
      <c r="V582">
        <v>55.8</v>
      </c>
      <c r="W582" t="s">
        <v>6546</v>
      </c>
      <c r="X582">
        <v>55.8</v>
      </c>
      <c r="AB582" t="s">
        <v>11405</v>
      </c>
      <c r="AC582" t="s">
        <v>9852</v>
      </c>
      <c r="AD582" t="s">
        <v>11406</v>
      </c>
      <c r="AE582" t="s">
        <v>11407</v>
      </c>
      <c r="AF582" t="s">
        <v>11408</v>
      </c>
      <c r="AG582" t="s">
        <v>5122</v>
      </c>
      <c r="AI582" t="s">
        <v>9852</v>
      </c>
      <c r="AO582" t="s">
        <v>6546</v>
      </c>
    </row>
    <row r="583" spans="1:41" hidden="1" x14ac:dyDescent="0.35">
      <c r="A583" t="s">
        <v>11409</v>
      </c>
      <c r="B583" t="s">
        <v>7246</v>
      </c>
      <c r="C583" t="s">
        <v>396</v>
      </c>
      <c r="D583" t="s">
        <v>396</v>
      </c>
      <c r="E583" t="s">
        <v>396</v>
      </c>
      <c r="G583" s="13" t="s">
        <v>11401</v>
      </c>
      <c r="H583" t="s">
        <v>11402</v>
      </c>
      <c r="I583" t="s">
        <v>11410</v>
      </c>
      <c r="K583" t="s">
        <v>11404</v>
      </c>
      <c r="L583" t="s">
        <v>11404</v>
      </c>
      <c r="M583" t="s">
        <v>7250</v>
      </c>
      <c r="N583">
        <v>1970</v>
      </c>
      <c r="T583" t="s">
        <v>6546</v>
      </c>
      <c r="U583" t="s">
        <v>6546</v>
      </c>
      <c r="V583">
        <v>39.799999999999997</v>
      </c>
      <c r="W583" t="s">
        <v>6546</v>
      </c>
      <c r="X583">
        <v>39.799999999999997</v>
      </c>
      <c r="AC583" t="s">
        <v>9852</v>
      </c>
      <c r="AD583" t="s">
        <v>11406</v>
      </c>
      <c r="AE583" t="s">
        <v>11407</v>
      </c>
      <c r="AF583" t="s">
        <v>11411</v>
      </c>
      <c r="AG583" t="s">
        <v>2980</v>
      </c>
      <c r="AI583" t="s">
        <v>9852</v>
      </c>
      <c r="AO583" t="s">
        <v>6546</v>
      </c>
    </row>
    <row r="584" spans="1:41" hidden="1" x14ac:dyDescent="0.35">
      <c r="A584" t="s">
        <v>11412</v>
      </c>
      <c r="B584" t="s">
        <v>7246</v>
      </c>
      <c r="C584" t="s">
        <v>396</v>
      </c>
      <c r="D584" t="s">
        <v>396</v>
      </c>
      <c r="E584" t="s">
        <v>396</v>
      </c>
      <c r="G584" s="13" t="s">
        <v>11413</v>
      </c>
      <c r="H584" t="s">
        <v>11414</v>
      </c>
      <c r="K584" t="s">
        <v>11415</v>
      </c>
      <c r="L584" t="s">
        <v>11415</v>
      </c>
      <c r="M584" t="s">
        <v>7250</v>
      </c>
      <c r="N584">
        <v>1976</v>
      </c>
      <c r="T584" t="s">
        <v>6546</v>
      </c>
      <c r="U584" t="s">
        <v>6546</v>
      </c>
      <c r="V584">
        <v>45.8</v>
      </c>
      <c r="W584" t="s">
        <v>6546</v>
      </c>
      <c r="X584">
        <v>45.8</v>
      </c>
      <c r="AB584" t="s">
        <v>11416</v>
      </c>
      <c r="AC584" t="s">
        <v>9852</v>
      </c>
      <c r="AF584" t="s">
        <v>11417</v>
      </c>
      <c r="AI584" t="s">
        <v>9852</v>
      </c>
      <c r="AO584" t="s">
        <v>6546</v>
      </c>
    </row>
    <row r="585" spans="1:41" hidden="1" x14ac:dyDescent="0.35">
      <c r="A585" t="s">
        <v>11418</v>
      </c>
      <c r="B585" t="s">
        <v>7246</v>
      </c>
      <c r="C585" t="s">
        <v>396</v>
      </c>
      <c r="D585" t="s">
        <v>396</v>
      </c>
      <c r="E585" t="s">
        <v>396</v>
      </c>
      <c r="G585" s="13" t="s">
        <v>11419</v>
      </c>
      <c r="H585" t="s">
        <v>11420</v>
      </c>
      <c r="K585" t="s">
        <v>11288</v>
      </c>
      <c r="L585" t="s">
        <v>11288</v>
      </c>
      <c r="M585" t="s">
        <v>7250</v>
      </c>
      <c r="N585">
        <v>2011</v>
      </c>
      <c r="T585" t="s">
        <v>6546</v>
      </c>
      <c r="U585" t="s">
        <v>6546</v>
      </c>
      <c r="V585">
        <v>1.5</v>
      </c>
      <c r="W585" t="s">
        <v>6546</v>
      </c>
      <c r="X585">
        <v>1.5</v>
      </c>
      <c r="AB585" t="s">
        <v>11421</v>
      </c>
      <c r="AC585" t="s">
        <v>9852</v>
      </c>
      <c r="AF585" t="s">
        <v>11422</v>
      </c>
      <c r="AI585" t="s">
        <v>9852</v>
      </c>
      <c r="AO585" t="s">
        <v>6546</v>
      </c>
    </row>
    <row r="586" spans="1:41" hidden="1" x14ac:dyDescent="0.35">
      <c r="A586" t="s">
        <v>11423</v>
      </c>
      <c r="B586" t="s">
        <v>7246</v>
      </c>
      <c r="C586" t="s">
        <v>396</v>
      </c>
      <c r="D586" t="s">
        <v>396</v>
      </c>
      <c r="E586" t="s">
        <v>396</v>
      </c>
      <c r="G586" s="13" t="s">
        <v>11424</v>
      </c>
      <c r="H586" t="s">
        <v>11425</v>
      </c>
      <c r="K586" t="s">
        <v>11426</v>
      </c>
      <c r="L586" t="s">
        <v>11426</v>
      </c>
      <c r="M586" t="s">
        <v>7250</v>
      </c>
      <c r="N586">
        <v>1959</v>
      </c>
      <c r="T586" t="s">
        <v>6546</v>
      </c>
      <c r="U586" t="s">
        <v>6546</v>
      </c>
      <c r="V586">
        <v>38</v>
      </c>
      <c r="W586">
        <v>23.2</v>
      </c>
      <c r="X586">
        <v>38</v>
      </c>
      <c r="AB586" t="s">
        <v>11427</v>
      </c>
      <c r="AC586" t="s">
        <v>9852</v>
      </c>
      <c r="AD586" t="s">
        <v>11428</v>
      </c>
      <c r="AF586" t="s">
        <v>11429</v>
      </c>
      <c r="AG586" t="s">
        <v>11428</v>
      </c>
      <c r="AI586" t="s">
        <v>9852</v>
      </c>
      <c r="AO586" t="s">
        <v>11430</v>
      </c>
    </row>
    <row r="587" spans="1:41" hidden="1" x14ac:dyDescent="0.35">
      <c r="A587" t="s">
        <v>11431</v>
      </c>
      <c r="B587" t="s">
        <v>7246</v>
      </c>
      <c r="C587" t="s">
        <v>396</v>
      </c>
      <c r="D587" t="s">
        <v>396</v>
      </c>
      <c r="E587" t="s">
        <v>396</v>
      </c>
      <c r="G587" s="13" t="s">
        <v>11432</v>
      </c>
      <c r="H587" t="s">
        <v>11433</v>
      </c>
      <c r="K587" t="s">
        <v>11426</v>
      </c>
      <c r="L587" t="s">
        <v>11426</v>
      </c>
      <c r="M587" t="s">
        <v>7250</v>
      </c>
      <c r="N587">
        <v>1961</v>
      </c>
      <c r="T587" t="s">
        <v>6546</v>
      </c>
      <c r="U587" t="s">
        <v>6546</v>
      </c>
      <c r="V587">
        <v>150</v>
      </c>
      <c r="W587">
        <v>54.62</v>
      </c>
      <c r="X587">
        <v>150</v>
      </c>
      <c r="AB587" t="s">
        <v>11434</v>
      </c>
      <c r="AC587" t="s">
        <v>9852</v>
      </c>
      <c r="AD587" t="s">
        <v>11435</v>
      </c>
      <c r="AF587" t="s">
        <v>11436</v>
      </c>
      <c r="AG587" t="s">
        <v>11435</v>
      </c>
      <c r="AI587" t="s">
        <v>9852</v>
      </c>
      <c r="AO587" t="s">
        <v>11437</v>
      </c>
    </row>
    <row r="588" spans="1:41" hidden="1" x14ac:dyDescent="0.35">
      <c r="A588" t="s">
        <v>11438</v>
      </c>
      <c r="B588" t="s">
        <v>7246</v>
      </c>
      <c r="C588" t="s">
        <v>396</v>
      </c>
      <c r="D588" t="s">
        <v>396</v>
      </c>
      <c r="E588" t="s">
        <v>396</v>
      </c>
      <c r="G588" s="13" t="s">
        <v>11439</v>
      </c>
      <c r="H588" t="s">
        <v>11440</v>
      </c>
      <c r="K588" t="s">
        <v>11426</v>
      </c>
      <c r="L588" t="s">
        <v>11426</v>
      </c>
      <c r="M588" t="s">
        <v>7250</v>
      </c>
      <c r="N588">
        <v>1965</v>
      </c>
      <c r="T588" t="s">
        <v>6546</v>
      </c>
      <c r="U588" t="s">
        <v>6546</v>
      </c>
      <c r="V588">
        <v>26</v>
      </c>
      <c r="W588">
        <v>27.88</v>
      </c>
      <c r="X588">
        <v>26</v>
      </c>
      <c r="AB588" t="s">
        <v>11441</v>
      </c>
      <c r="AC588" t="s">
        <v>9852</v>
      </c>
      <c r="AD588" t="s">
        <v>5121</v>
      </c>
      <c r="AF588" t="s">
        <v>11442</v>
      </c>
      <c r="AG588" t="s">
        <v>5121</v>
      </c>
      <c r="AI588" t="s">
        <v>9852</v>
      </c>
      <c r="AO588" t="s">
        <v>11443</v>
      </c>
    </row>
    <row r="589" spans="1:41" hidden="1" x14ac:dyDescent="0.35">
      <c r="A589" t="s">
        <v>11444</v>
      </c>
      <c r="B589" t="s">
        <v>7246</v>
      </c>
      <c r="C589" t="s">
        <v>396</v>
      </c>
      <c r="D589" t="s">
        <v>396</v>
      </c>
      <c r="E589" t="s">
        <v>396</v>
      </c>
      <c r="G589" s="13" t="s">
        <v>11445</v>
      </c>
      <c r="H589" t="s">
        <v>11446</v>
      </c>
      <c r="K589" t="s">
        <v>11426</v>
      </c>
      <c r="L589" t="s">
        <v>11426</v>
      </c>
      <c r="M589" t="s">
        <v>9336</v>
      </c>
      <c r="N589">
        <v>1983</v>
      </c>
      <c r="T589" t="s">
        <v>6546</v>
      </c>
      <c r="U589" t="s">
        <v>6546</v>
      </c>
      <c r="V589">
        <v>41</v>
      </c>
      <c r="W589">
        <v>40.06</v>
      </c>
      <c r="X589">
        <v>41</v>
      </c>
      <c r="AB589" t="s">
        <v>11447</v>
      </c>
      <c r="AC589" t="s">
        <v>9852</v>
      </c>
      <c r="AD589" t="s">
        <v>11448</v>
      </c>
      <c r="AF589" t="s">
        <v>11447</v>
      </c>
      <c r="AG589" t="s">
        <v>11448</v>
      </c>
      <c r="AI589" t="s">
        <v>9852</v>
      </c>
      <c r="AO589" t="s">
        <v>11449</v>
      </c>
    </row>
    <row r="590" spans="1:41" hidden="1" x14ac:dyDescent="0.35">
      <c r="A590" t="s">
        <v>11450</v>
      </c>
      <c r="B590" t="s">
        <v>7246</v>
      </c>
      <c r="C590" t="s">
        <v>396</v>
      </c>
      <c r="D590" t="s">
        <v>396</v>
      </c>
      <c r="E590" t="s">
        <v>396</v>
      </c>
      <c r="G590" s="13" t="s">
        <v>11451</v>
      </c>
      <c r="H590" t="s">
        <v>11452</v>
      </c>
      <c r="K590" t="s">
        <v>11426</v>
      </c>
      <c r="L590" t="s">
        <v>11426</v>
      </c>
      <c r="M590" t="s">
        <v>7250</v>
      </c>
      <c r="N590">
        <v>1961</v>
      </c>
      <c r="T590" t="s">
        <v>6546</v>
      </c>
      <c r="U590" t="s">
        <v>6546</v>
      </c>
      <c r="V590">
        <v>17</v>
      </c>
      <c r="W590">
        <v>8.1199999999999992</v>
      </c>
      <c r="X590">
        <v>17</v>
      </c>
      <c r="AB590" t="s">
        <v>11453</v>
      </c>
      <c r="AC590" t="s">
        <v>9852</v>
      </c>
      <c r="AD590" t="s">
        <v>11435</v>
      </c>
      <c r="AF590" t="s">
        <v>11454</v>
      </c>
      <c r="AG590" t="s">
        <v>11435</v>
      </c>
      <c r="AI590" t="s">
        <v>9852</v>
      </c>
      <c r="AO590" t="s">
        <v>11455</v>
      </c>
    </row>
    <row r="591" spans="1:41" hidden="1" x14ac:dyDescent="0.35">
      <c r="A591" t="s">
        <v>11456</v>
      </c>
      <c r="B591" t="s">
        <v>7246</v>
      </c>
      <c r="C591" t="s">
        <v>396</v>
      </c>
      <c r="D591" t="s">
        <v>396</v>
      </c>
      <c r="E591" t="s">
        <v>396</v>
      </c>
      <c r="G591" s="13" t="s">
        <v>11457</v>
      </c>
      <c r="H591" t="s">
        <v>11458</v>
      </c>
      <c r="K591" t="s">
        <v>11426</v>
      </c>
      <c r="L591" t="s">
        <v>11426</v>
      </c>
      <c r="M591" t="s">
        <v>7250</v>
      </c>
      <c r="N591">
        <v>1962</v>
      </c>
      <c r="T591" t="s">
        <v>6546</v>
      </c>
      <c r="U591" t="s">
        <v>6546</v>
      </c>
      <c r="V591">
        <v>17</v>
      </c>
      <c r="W591">
        <v>12.4</v>
      </c>
      <c r="X591">
        <v>17</v>
      </c>
      <c r="AB591" t="s">
        <v>11459</v>
      </c>
      <c r="AC591" t="s">
        <v>9852</v>
      </c>
      <c r="AD591" t="s">
        <v>5121</v>
      </c>
      <c r="AF591" t="s">
        <v>11460</v>
      </c>
      <c r="AG591" t="s">
        <v>11461</v>
      </c>
      <c r="AI591" t="s">
        <v>9852</v>
      </c>
      <c r="AO591" t="s">
        <v>11462</v>
      </c>
    </row>
    <row r="592" spans="1:41" hidden="1" x14ac:dyDescent="0.35">
      <c r="A592" t="s">
        <v>11463</v>
      </c>
      <c r="B592" t="s">
        <v>7246</v>
      </c>
      <c r="C592" t="s">
        <v>396</v>
      </c>
      <c r="D592" t="s">
        <v>396</v>
      </c>
      <c r="E592" t="s">
        <v>396</v>
      </c>
      <c r="G592" s="13" t="s">
        <v>11464</v>
      </c>
      <c r="H592" t="s">
        <v>11465</v>
      </c>
      <c r="K592" t="s">
        <v>11466</v>
      </c>
      <c r="L592" t="s">
        <v>11466</v>
      </c>
      <c r="M592" t="s">
        <v>7250</v>
      </c>
      <c r="N592">
        <v>1991</v>
      </c>
      <c r="T592" t="s">
        <v>6546</v>
      </c>
      <c r="U592" t="s">
        <v>6546</v>
      </c>
      <c r="V592">
        <v>5.8</v>
      </c>
      <c r="W592" t="s">
        <v>6546</v>
      </c>
      <c r="X592">
        <v>5.8</v>
      </c>
      <c r="AB592" t="s">
        <v>11467</v>
      </c>
      <c r="AC592" t="s">
        <v>9852</v>
      </c>
      <c r="AF592" t="s">
        <v>11468</v>
      </c>
      <c r="AI592" t="s">
        <v>9852</v>
      </c>
      <c r="AO592" t="s">
        <v>6546</v>
      </c>
    </row>
    <row r="593" spans="1:41" hidden="1" x14ac:dyDescent="0.35">
      <c r="A593" t="s">
        <v>11469</v>
      </c>
      <c r="B593" t="s">
        <v>7246</v>
      </c>
      <c r="C593" t="s">
        <v>396</v>
      </c>
      <c r="D593" t="s">
        <v>396</v>
      </c>
      <c r="E593" t="s">
        <v>396</v>
      </c>
      <c r="G593" s="13" t="s">
        <v>11464</v>
      </c>
      <c r="H593" t="s">
        <v>11465</v>
      </c>
      <c r="K593" t="s">
        <v>11466</v>
      </c>
      <c r="L593" t="s">
        <v>11466</v>
      </c>
      <c r="M593" t="s">
        <v>7250</v>
      </c>
      <c r="N593">
        <v>1978</v>
      </c>
      <c r="T593" t="s">
        <v>6546</v>
      </c>
      <c r="U593" t="s">
        <v>6546</v>
      </c>
      <c r="V593">
        <v>10.19</v>
      </c>
      <c r="W593" t="s">
        <v>6546</v>
      </c>
      <c r="X593">
        <v>10.19</v>
      </c>
      <c r="AB593" t="s">
        <v>11468</v>
      </c>
      <c r="AC593" t="s">
        <v>9852</v>
      </c>
      <c r="AF593" t="s">
        <v>11470</v>
      </c>
      <c r="AI593" t="s">
        <v>9852</v>
      </c>
      <c r="AO593" t="s">
        <v>6546</v>
      </c>
    </row>
    <row r="594" spans="1:41" hidden="1" x14ac:dyDescent="0.35">
      <c r="A594" t="s">
        <v>11471</v>
      </c>
      <c r="B594" t="s">
        <v>7246</v>
      </c>
      <c r="C594" t="s">
        <v>396</v>
      </c>
      <c r="D594" t="s">
        <v>396</v>
      </c>
      <c r="E594" t="s">
        <v>396</v>
      </c>
      <c r="G594" s="13" t="s">
        <v>11472</v>
      </c>
      <c r="H594" t="s">
        <v>11473</v>
      </c>
      <c r="K594" t="s">
        <v>11342</v>
      </c>
      <c r="L594" t="s">
        <v>11342</v>
      </c>
      <c r="M594" t="s">
        <v>7250</v>
      </c>
      <c r="N594">
        <v>1981</v>
      </c>
      <c r="T594" t="s">
        <v>6546</v>
      </c>
      <c r="U594" t="s">
        <v>6546</v>
      </c>
      <c r="V594">
        <v>4.1399999999999997</v>
      </c>
      <c r="W594">
        <v>4.1399999999999997</v>
      </c>
      <c r="X594">
        <v>4.1399999999999997</v>
      </c>
      <c r="AB594" t="s">
        <v>11474</v>
      </c>
      <c r="AC594" t="s">
        <v>9852</v>
      </c>
      <c r="AD594" t="s">
        <v>7051</v>
      </c>
      <c r="AF594" t="s">
        <v>11475</v>
      </c>
      <c r="AG594" t="s">
        <v>7051</v>
      </c>
      <c r="AI594" t="s">
        <v>9852</v>
      </c>
      <c r="AO594" t="s">
        <v>11476</v>
      </c>
    </row>
    <row r="595" spans="1:41" hidden="1" x14ac:dyDescent="0.35">
      <c r="A595" t="s">
        <v>11477</v>
      </c>
      <c r="B595" t="s">
        <v>7246</v>
      </c>
      <c r="C595" t="s">
        <v>396</v>
      </c>
      <c r="D595" t="s">
        <v>396</v>
      </c>
      <c r="E595" t="s">
        <v>396</v>
      </c>
      <c r="G595" s="13" t="s">
        <v>11478</v>
      </c>
      <c r="H595" t="s">
        <v>11479</v>
      </c>
      <c r="K595" t="s">
        <v>11342</v>
      </c>
      <c r="L595" t="s">
        <v>11342</v>
      </c>
      <c r="M595" t="s">
        <v>7250</v>
      </c>
      <c r="N595">
        <v>1967</v>
      </c>
      <c r="T595" t="s">
        <v>6546</v>
      </c>
      <c r="U595" t="s">
        <v>6546</v>
      </c>
      <c r="V595">
        <v>8.73</v>
      </c>
      <c r="W595">
        <v>6.57</v>
      </c>
      <c r="X595">
        <v>8.73</v>
      </c>
      <c r="AB595" t="s">
        <v>11480</v>
      </c>
      <c r="AC595" t="s">
        <v>9852</v>
      </c>
      <c r="AD595" t="s">
        <v>7051</v>
      </c>
      <c r="AF595" t="s">
        <v>11481</v>
      </c>
      <c r="AG595" t="s">
        <v>7051</v>
      </c>
      <c r="AI595" t="s">
        <v>9852</v>
      </c>
      <c r="AO595" t="s">
        <v>11482</v>
      </c>
    </row>
    <row r="596" spans="1:41" hidden="1" x14ac:dyDescent="0.35">
      <c r="A596" t="s">
        <v>11483</v>
      </c>
      <c r="B596" t="s">
        <v>7246</v>
      </c>
      <c r="C596" t="s">
        <v>396</v>
      </c>
      <c r="D596" t="s">
        <v>396</v>
      </c>
      <c r="E596" t="s">
        <v>396</v>
      </c>
      <c r="G596" s="13" t="s">
        <v>11484</v>
      </c>
      <c r="H596" t="s">
        <v>11485</v>
      </c>
      <c r="K596" t="s">
        <v>11342</v>
      </c>
      <c r="L596" t="s">
        <v>11342</v>
      </c>
      <c r="M596" t="s">
        <v>7250</v>
      </c>
      <c r="N596">
        <v>2011</v>
      </c>
      <c r="T596" t="s">
        <v>6546</v>
      </c>
      <c r="U596" t="s">
        <v>6546</v>
      </c>
      <c r="V596">
        <v>5.3</v>
      </c>
      <c r="W596">
        <v>2.37</v>
      </c>
      <c r="X596">
        <v>5.3</v>
      </c>
      <c r="AB596" t="s">
        <v>11486</v>
      </c>
      <c r="AC596" t="s">
        <v>9852</v>
      </c>
      <c r="AD596" t="s">
        <v>11487</v>
      </c>
      <c r="AE596" t="s">
        <v>7091</v>
      </c>
      <c r="AF596" t="s">
        <v>11488</v>
      </c>
      <c r="AG596" t="s">
        <v>11487</v>
      </c>
      <c r="AH596" t="s">
        <v>7091</v>
      </c>
      <c r="AI596" t="s">
        <v>9852</v>
      </c>
      <c r="AO596" t="s">
        <v>11489</v>
      </c>
    </row>
    <row r="597" spans="1:41" hidden="1" x14ac:dyDescent="0.35">
      <c r="A597" t="s">
        <v>11490</v>
      </c>
      <c r="B597" t="s">
        <v>7246</v>
      </c>
      <c r="C597" t="s">
        <v>396</v>
      </c>
      <c r="D597" t="s">
        <v>396</v>
      </c>
      <c r="E597" t="s">
        <v>396</v>
      </c>
      <c r="G597" s="13" t="s">
        <v>11491</v>
      </c>
      <c r="H597" t="s">
        <v>11492</v>
      </c>
      <c r="K597" t="s">
        <v>7077</v>
      </c>
      <c r="L597" t="s">
        <v>7077</v>
      </c>
      <c r="M597" t="s">
        <v>7250</v>
      </c>
      <c r="N597">
        <v>2012</v>
      </c>
      <c r="T597" t="s">
        <v>6546</v>
      </c>
      <c r="U597" t="s">
        <v>6546</v>
      </c>
      <c r="V597">
        <v>0.9</v>
      </c>
      <c r="W597" t="s">
        <v>6546</v>
      </c>
      <c r="X597">
        <v>0.9</v>
      </c>
      <c r="AB597" t="s">
        <v>11493</v>
      </c>
      <c r="AC597" t="s">
        <v>9852</v>
      </c>
      <c r="AD597" t="s">
        <v>11494</v>
      </c>
      <c r="AE597" t="s">
        <v>5122</v>
      </c>
      <c r="AF597" t="s">
        <v>5126</v>
      </c>
      <c r="AG597" t="s">
        <v>11283</v>
      </c>
      <c r="AH597" t="s">
        <v>5122</v>
      </c>
      <c r="AI597" t="s">
        <v>9852</v>
      </c>
      <c r="AO597" t="s">
        <v>6546</v>
      </c>
    </row>
    <row r="598" spans="1:41" hidden="1" x14ac:dyDescent="0.35">
      <c r="A598" t="s">
        <v>11495</v>
      </c>
      <c r="B598" t="s">
        <v>7246</v>
      </c>
      <c r="C598" t="s">
        <v>396</v>
      </c>
      <c r="D598" t="s">
        <v>396</v>
      </c>
      <c r="E598" t="s">
        <v>396</v>
      </c>
      <c r="G598" s="13" t="s">
        <v>11401</v>
      </c>
      <c r="H598" t="s">
        <v>11402</v>
      </c>
      <c r="K598" t="s">
        <v>7077</v>
      </c>
      <c r="L598" t="s">
        <v>7077</v>
      </c>
      <c r="M598" t="s">
        <v>7250</v>
      </c>
      <c r="N598">
        <v>2013</v>
      </c>
      <c r="T598" t="s">
        <v>6546</v>
      </c>
      <c r="U598" t="s">
        <v>6546</v>
      </c>
      <c r="V598">
        <v>14</v>
      </c>
      <c r="W598" t="s">
        <v>6546</v>
      </c>
      <c r="X598">
        <v>14</v>
      </c>
      <c r="AB598" t="s">
        <v>11496</v>
      </c>
      <c r="AC598" t="s">
        <v>9852</v>
      </c>
      <c r="AD598" t="s">
        <v>11407</v>
      </c>
      <c r="AE598" t="s">
        <v>11497</v>
      </c>
      <c r="AF598" t="s">
        <v>11498</v>
      </c>
      <c r="AG598" t="s">
        <v>11407</v>
      </c>
      <c r="AH598" t="s">
        <v>11497</v>
      </c>
      <c r="AI598" t="s">
        <v>9852</v>
      </c>
      <c r="AO598" t="s">
        <v>6546</v>
      </c>
    </row>
    <row r="599" spans="1:41" hidden="1" x14ac:dyDescent="0.35">
      <c r="A599" t="s">
        <v>11499</v>
      </c>
      <c r="B599" t="s">
        <v>7246</v>
      </c>
      <c r="C599" t="s">
        <v>396</v>
      </c>
      <c r="D599" t="s">
        <v>396</v>
      </c>
      <c r="E599" t="s">
        <v>396</v>
      </c>
      <c r="G599" s="13" t="s">
        <v>11500</v>
      </c>
      <c r="H599" t="s">
        <v>11501</v>
      </c>
      <c r="K599" t="s">
        <v>7113</v>
      </c>
      <c r="L599" t="s">
        <v>7113</v>
      </c>
      <c r="M599" t="s">
        <v>7250</v>
      </c>
      <c r="N599">
        <v>1953</v>
      </c>
      <c r="T599" t="s">
        <v>6546</v>
      </c>
      <c r="U599" t="s">
        <v>6546</v>
      </c>
      <c r="V599">
        <v>11</v>
      </c>
      <c r="W599" t="s">
        <v>6546</v>
      </c>
      <c r="X599">
        <v>11</v>
      </c>
      <c r="AB599" t="s">
        <v>11502</v>
      </c>
      <c r="AC599" t="s">
        <v>9852</v>
      </c>
      <c r="AF599" t="s">
        <v>11503</v>
      </c>
      <c r="AI599" t="s">
        <v>9852</v>
      </c>
      <c r="AO599" t="s">
        <v>6546</v>
      </c>
    </row>
    <row r="600" spans="1:41" hidden="1" x14ac:dyDescent="0.35">
      <c r="A600" t="s">
        <v>11504</v>
      </c>
      <c r="B600" t="s">
        <v>7246</v>
      </c>
      <c r="C600" t="s">
        <v>396</v>
      </c>
      <c r="D600" t="s">
        <v>396</v>
      </c>
      <c r="E600" t="s">
        <v>396</v>
      </c>
      <c r="G600" s="13" t="s">
        <v>11505</v>
      </c>
      <c r="H600" t="s">
        <v>11506</v>
      </c>
      <c r="K600" t="s">
        <v>7113</v>
      </c>
      <c r="L600" t="s">
        <v>7113</v>
      </c>
      <c r="M600" t="s">
        <v>7250</v>
      </c>
      <c r="N600">
        <v>1975</v>
      </c>
      <c r="T600" t="s">
        <v>6546</v>
      </c>
      <c r="U600" t="s">
        <v>6546</v>
      </c>
      <c r="V600">
        <v>5</v>
      </c>
      <c r="W600" t="s">
        <v>6546</v>
      </c>
      <c r="X600">
        <v>5</v>
      </c>
      <c r="AB600" t="s">
        <v>11507</v>
      </c>
      <c r="AC600" t="s">
        <v>9852</v>
      </c>
      <c r="AF600" t="s">
        <v>11508</v>
      </c>
      <c r="AI600" t="s">
        <v>9852</v>
      </c>
      <c r="AO600" t="s">
        <v>6546</v>
      </c>
    </row>
    <row r="601" spans="1:41" hidden="1" x14ac:dyDescent="0.35">
      <c r="A601" t="s">
        <v>11509</v>
      </c>
      <c r="B601" t="s">
        <v>7246</v>
      </c>
      <c r="C601" t="s">
        <v>396</v>
      </c>
      <c r="D601" t="s">
        <v>396</v>
      </c>
      <c r="E601" t="s">
        <v>396</v>
      </c>
      <c r="G601" s="13" t="s">
        <v>11510</v>
      </c>
      <c r="H601" t="s">
        <v>11511</v>
      </c>
      <c r="J601" t="s">
        <v>11512</v>
      </c>
      <c r="K601" t="s">
        <v>7113</v>
      </c>
      <c r="L601" t="s">
        <v>7113</v>
      </c>
      <c r="M601" t="s">
        <v>7250</v>
      </c>
      <c r="N601">
        <v>1980</v>
      </c>
      <c r="T601" t="s">
        <v>6546</v>
      </c>
      <c r="U601" t="s">
        <v>6546</v>
      </c>
      <c r="V601">
        <v>12</v>
      </c>
      <c r="W601" t="s">
        <v>6546</v>
      </c>
      <c r="X601">
        <v>12</v>
      </c>
      <c r="AB601" t="s">
        <v>11503</v>
      </c>
      <c r="AC601" t="s">
        <v>9852</v>
      </c>
      <c r="AF601" t="s">
        <v>11513</v>
      </c>
      <c r="AI601" t="s">
        <v>9852</v>
      </c>
      <c r="AO601" t="s">
        <v>6546</v>
      </c>
    </row>
    <row r="602" spans="1:41" hidden="1" x14ac:dyDescent="0.35">
      <c r="A602" t="s">
        <v>11514</v>
      </c>
      <c r="B602" t="s">
        <v>7246</v>
      </c>
      <c r="C602" t="s">
        <v>396</v>
      </c>
      <c r="D602" t="s">
        <v>396</v>
      </c>
      <c r="E602" t="s">
        <v>396</v>
      </c>
      <c r="G602" s="13" t="s">
        <v>11515</v>
      </c>
      <c r="H602" t="s">
        <v>11516</v>
      </c>
      <c r="K602" t="s">
        <v>11336</v>
      </c>
      <c r="L602" t="s">
        <v>11336</v>
      </c>
      <c r="M602" t="s">
        <v>7250</v>
      </c>
      <c r="N602">
        <v>2000</v>
      </c>
      <c r="T602" t="s">
        <v>6546</v>
      </c>
      <c r="U602" t="s">
        <v>6546</v>
      </c>
      <c r="V602">
        <v>1</v>
      </c>
      <c r="W602" t="s">
        <v>6546</v>
      </c>
      <c r="X602">
        <v>1</v>
      </c>
      <c r="AC602" t="s">
        <v>9852</v>
      </c>
      <c r="AD602" t="s">
        <v>11517</v>
      </c>
      <c r="AG602" t="s">
        <v>11518</v>
      </c>
      <c r="AI602" t="s">
        <v>9852</v>
      </c>
      <c r="AO602" t="s">
        <v>6546</v>
      </c>
    </row>
    <row r="603" spans="1:41" hidden="1" x14ac:dyDescent="0.35">
      <c r="A603" t="s">
        <v>11519</v>
      </c>
      <c r="B603" t="s">
        <v>7246</v>
      </c>
      <c r="C603" t="s">
        <v>396</v>
      </c>
      <c r="D603" t="s">
        <v>396</v>
      </c>
      <c r="E603" t="s">
        <v>396</v>
      </c>
      <c r="G603" s="13" t="s">
        <v>11520</v>
      </c>
      <c r="H603" t="s">
        <v>11521</v>
      </c>
      <c r="K603" t="s">
        <v>11336</v>
      </c>
      <c r="L603" t="s">
        <v>11336</v>
      </c>
      <c r="M603" t="s">
        <v>7250</v>
      </c>
      <c r="N603">
        <v>1986</v>
      </c>
      <c r="T603" t="s">
        <v>6546</v>
      </c>
      <c r="U603" t="s">
        <v>6546</v>
      </c>
      <c r="V603">
        <v>7</v>
      </c>
      <c r="W603" t="s">
        <v>6546</v>
      </c>
      <c r="X603">
        <v>7</v>
      </c>
      <c r="AB603" t="s">
        <v>11522</v>
      </c>
      <c r="AC603" t="s">
        <v>9852</v>
      </c>
      <c r="AF603" t="s">
        <v>11523</v>
      </c>
      <c r="AI603" t="s">
        <v>9852</v>
      </c>
      <c r="AO603" t="s">
        <v>6546</v>
      </c>
    </row>
    <row r="604" spans="1:41" hidden="1" x14ac:dyDescent="0.35">
      <c r="A604" t="s">
        <v>11524</v>
      </c>
      <c r="B604" t="s">
        <v>7246</v>
      </c>
      <c r="C604" t="s">
        <v>396</v>
      </c>
      <c r="D604" t="s">
        <v>396</v>
      </c>
      <c r="E604" t="s">
        <v>396</v>
      </c>
      <c r="G604" s="13" t="s">
        <v>11525</v>
      </c>
      <c r="H604" t="s">
        <v>11526</v>
      </c>
      <c r="K604" t="s">
        <v>11336</v>
      </c>
      <c r="L604" t="s">
        <v>11336</v>
      </c>
      <c r="M604" t="s">
        <v>7250</v>
      </c>
      <c r="N604">
        <v>2010</v>
      </c>
      <c r="T604" t="s">
        <v>6546</v>
      </c>
      <c r="U604" t="s">
        <v>6546</v>
      </c>
      <c r="V604">
        <v>7</v>
      </c>
      <c r="W604" t="s">
        <v>6546</v>
      </c>
      <c r="X604">
        <v>7</v>
      </c>
      <c r="AB604" t="s">
        <v>11527</v>
      </c>
      <c r="AC604" t="s">
        <v>9852</v>
      </c>
      <c r="AD604" t="s">
        <v>11528</v>
      </c>
      <c r="AE604" t="s">
        <v>11529</v>
      </c>
      <c r="AF604" t="s">
        <v>11530</v>
      </c>
      <c r="AI604" t="s">
        <v>9852</v>
      </c>
      <c r="AO604" t="s">
        <v>6546</v>
      </c>
    </row>
    <row r="605" spans="1:41" hidden="1" x14ac:dyDescent="0.35">
      <c r="A605" t="s">
        <v>11531</v>
      </c>
      <c r="B605" t="s">
        <v>7246</v>
      </c>
      <c r="C605" t="s">
        <v>396</v>
      </c>
      <c r="D605" t="s">
        <v>396</v>
      </c>
      <c r="E605" t="s">
        <v>396</v>
      </c>
      <c r="G605" s="13" t="s">
        <v>11532</v>
      </c>
      <c r="H605" t="s">
        <v>11533</v>
      </c>
      <c r="K605" t="s">
        <v>11388</v>
      </c>
      <c r="L605" t="s">
        <v>11388</v>
      </c>
      <c r="M605" t="s">
        <v>7250</v>
      </c>
      <c r="N605">
        <v>2000</v>
      </c>
      <c r="T605" t="s">
        <v>6546</v>
      </c>
      <c r="U605" t="s">
        <v>6546</v>
      </c>
      <c r="V605">
        <v>10.9</v>
      </c>
      <c r="W605" t="s">
        <v>6546</v>
      </c>
      <c r="X605">
        <v>10.9</v>
      </c>
      <c r="AB605" t="s">
        <v>11534</v>
      </c>
      <c r="AC605" t="s">
        <v>9852</v>
      </c>
      <c r="AD605" t="s">
        <v>11390</v>
      </c>
      <c r="AE605" t="s">
        <v>5078</v>
      </c>
      <c r="AF605" t="s">
        <v>11535</v>
      </c>
      <c r="AG605" t="s">
        <v>11390</v>
      </c>
      <c r="AH605" t="s">
        <v>5078</v>
      </c>
      <c r="AI605" t="s">
        <v>9852</v>
      </c>
      <c r="AO605" t="s">
        <v>6546</v>
      </c>
    </row>
    <row r="606" spans="1:41" hidden="1" x14ac:dyDescent="0.35">
      <c r="A606" t="s">
        <v>11536</v>
      </c>
      <c r="B606" t="s">
        <v>7246</v>
      </c>
      <c r="C606" t="s">
        <v>396</v>
      </c>
      <c r="D606" t="s">
        <v>396</v>
      </c>
      <c r="E606" t="s">
        <v>396</v>
      </c>
      <c r="G606" s="13" t="s">
        <v>11537</v>
      </c>
      <c r="H606" t="s">
        <v>11538</v>
      </c>
      <c r="K606" t="s">
        <v>11288</v>
      </c>
      <c r="L606" t="s">
        <v>11288</v>
      </c>
      <c r="M606" t="s">
        <v>7250</v>
      </c>
      <c r="N606">
        <v>2008</v>
      </c>
      <c r="T606" t="s">
        <v>6546</v>
      </c>
      <c r="U606" t="s">
        <v>6546</v>
      </c>
      <c r="V606">
        <v>5.8</v>
      </c>
      <c r="W606" t="s">
        <v>6546</v>
      </c>
      <c r="X606">
        <v>5.8</v>
      </c>
      <c r="AB606" t="s">
        <v>11539</v>
      </c>
      <c r="AC606" t="s">
        <v>9852</v>
      </c>
      <c r="AD606" t="s">
        <v>10365</v>
      </c>
      <c r="AE606" t="s">
        <v>10365</v>
      </c>
      <c r="AF606" t="s">
        <v>11540</v>
      </c>
      <c r="AG606" t="s">
        <v>10365</v>
      </c>
      <c r="AH606" t="s">
        <v>10365</v>
      </c>
      <c r="AI606" t="s">
        <v>9852</v>
      </c>
      <c r="AO606" t="s">
        <v>6546</v>
      </c>
    </row>
    <row r="607" spans="1:41" hidden="1" x14ac:dyDescent="0.35">
      <c r="A607" t="s">
        <v>11541</v>
      </c>
      <c r="B607" t="s">
        <v>7246</v>
      </c>
      <c r="C607" t="s">
        <v>396</v>
      </c>
      <c r="D607" t="s">
        <v>396</v>
      </c>
      <c r="E607" t="s">
        <v>396</v>
      </c>
      <c r="G607" s="13" t="s">
        <v>11542</v>
      </c>
      <c r="H607" t="s">
        <v>11543</v>
      </c>
      <c r="K607" t="s">
        <v>11288</v>
      </c>
      <c r="L607" t="s">
        <v>11288</v>
      </c>
      <c r="M607" t="s">
        <v>7250</v>
      </c>
      <c r="N607">
        <v>2014</v>
      </c>
      <c r="T607" t="s">
        <v>6546</v>
      </c>
      <c r="U607" t="s">
        <v>6546</v>
      </c>
      <c r="V607">
        <v>15.8</v>
      </c>
      <c r="W607">
        <v>21.13</v>
      </c>
      <c r="X607">
        <v>15.8</v>
      </c>
      <c r="AB607" t="s">
        <v>11544</v>
      </c>
      <c r="AC607" t="s">
        <v>9852</v>
      </c>
      <c r="AD607" t="s">
        <v>11390</v>
      </c>
      <c r="AE607" t="s">
        <v>5078</v>
      </c>
      <c r="AF607" t="s">
        <v>11545</v>
      </c>
      <c r="AG607" t="s">
        <v>11390</v>
      </c>
      <c r="AH607" t="s">
        <v>5078</v>
      </c>
      <c r="AI607" t="s">
        <v>9852</v>
      </c>
      <c r="AO607" t="s">
        <v>11546</v>
      </c>
    </row>
    <row r="608" spans="1:41" hidden="1" x14ac:dyDescent="0.35">
      <c r="A608" t="s">
        <v>11547</v>
      </c>
      <c r="B608" t="s">
        <v>7246</v>
      </c>
      <c r="C608" t="s">
        <v>342</v>
      </c>
      <c r="D608" t="s">
        <v>5714</v>
      </c>
      <c r="E608" t="s">
        <v>11548</v>
      </c>
      <c r="G608" s="13" t="s">
        <v>11549</v>
      </c>
      <c r="H608" t="s">
        <v>11550</v>
      </c>
      <c r="K608" t="s">
        <v>11551</v>
      </c>
      <c r="L608" t="s">
        <v>11551</v>
      </c>
      <c r="M608" t="s">
        <v>7269</v>
      </c>
      <c r="N608">
        <v>2017</v>
      </c>
      <c r="R608">
        <v>10</v>
      </c>
      <c r="S608" t="s">
        <v>8257</v>
      </c>
      <c r="T608">
        <v>10</v>
      </c>
      <c r="U608">
        <v>4653.83</v>
      </c>
      <c r="V608">
        <v>128</v>
      </c>
      <c r="W608">
        <v>158.53</v>
      </c>
      <c r="X608">
        <v>128</v>
      </c>
      <c r="Y608" t="s">
        <v>11552</v>
      </c>
      <c r="Z608" t="s">
        <v>7253</v>
      </c>
      <c r="AC608" t="s">
        <v>8777</v>
      </c>
      <c r="AD608" t="s">
        <v>11553</v>
      </c>
      <c r="AH608" t="s">
        <v>9766</v>
      </c>
      <c r="AI608" t="s">
        <v>8777</v>
      </c>
      <c r="AJ608" t="s">
        <v>9032</v>
      </c>
      <c r="AO608" t="s">
        <v>11554</v>
      </c>
    </row>
    <row r="609" spans="1:41" hidden="1" x14ac:dyDescent="0.35">
      <c r="A609" t="s">
        <v>11555</v>
      </c>
      <c r="B609" t="s">
        <v>7246</v>
      </c>
      <c r="C609" t="s">
        <v>5613</v>
      </c>
      <c r="D609" t="s">
        <v>5566</v>
      </c>
      <c r="E609" t="s">
        <v>11556</v>
      </c>
      <c r="G609" s="13" t="s">
        <v>11557</v>
      </c>
      <c r="H609" t="s">
        <v>11558</v>
      </c>
      <c r="K609" t="s">
        <v>11559</v>
      </c>
      <c r="L609" t="s">
        <v>11560</v>
      </c>
      <c r="M609" t="s">
        <v>7250</v>
      </c>
      <c r="N609">
        <v>2016</v>
      </c>
      <c r="R609">
        <v>8</v>
      </c>
      <c r="S609" t="s">
        <v>8257</v>
      </c>
      <c r="T609">
        <v>8</v>
      </c>
      <c r="U609">
        <v>3723.07</v>
      </c>
      <c r="V609">
        <v>74</v>
      </c>
      <c r="W609">
        <v>120.94</v>
      </c>
      <c r="X609">
        <v>74</v>
      </c>
      <c r="Y609">
        <v>900</v>
      </c>
      <c r="Z609" t="s">
        <v>8842</v>
      </c>
      <c r="AB609" t="s">
        <v>11561</v>
      </c>
      <c r="AC609" t="s">
        <v>8777</v>
      </c>
      <c r="AF609" t="s">
        <v>1703</v>
      </c>
      <c r="AI609" t="s">
        <v>8777</v>
      </c>
      <c r="AO609" t="s">
        <v>11562</v>
      </c>
    </row>
    <row r="610" spans="1:41" hidden="1" x14ac:dyDescent="0.35">
      <c r="A610" t="s">
        <v>11563</v>
      </c>
      <c r="B610" t="s">
        <v>7246</v>
      </c>
      <c r="C610" t="s">
        <v>4136</v>
      </c>
      <c r="D610" t="s">
        <v>4136</v>
      </c>
      <c r="E610" t="s">
        <v>4136</v>
      </c>
      <c r="G610" s="13" t="s">
        <v>11564</v>
      </c>
      <c r="H610" t="s">
        <v>11565</v>
      </c>
      <c r="K610" t="s">
        <v>11566</v>
      </c>
      <c r="L610" t="s">
        <v>11567</v>
      </c>
      <c r="M610" t="s">
        <v>7292</v>
      </c>
      <c r="N610">
        <v>2025</v>
      </c>
      <c r="T610" t="s">
        <v>6546</v>
      </c>
      <c r="U610" t="s">
        <v>6546</v>
      </c>
      <c r="V610">
        <v>10</v>
      </c>
      <c r="W610">
        <v>6.11</v>
      </c>
      <c r="X610">
        <v>10</v>
      </c>
      <c r="Y610">
        <v>36</v>
      </c>
      <c r="Z610" t="s">
        <v>7253</v>
      </c>
      <c r="AB610" t="s">
        <v>11568</v>
      </c>
      <c r="AC610" t="s">
        <v>8859</v>
      </c>
      <c r="AF610" t="s">
        <v>11568</v>
      </c>
      <c r="AI610" t="s">
        <v>8859</v>
      </c>
      <c r="AO610" t="s">
        <v>11569</v>
      </c>
    </row>
    <row r="611" spans="1:41" hidden="1" x14ac:dyDescent="0.35">
      <c r="A611" t="s">
        <v>11570</v>
      </c>
      <c r="B611" t="s">
        <v>7246</v>
      </c>
      <c r="C611" t="s">
        <v>5861</v>
      </c>
      <c r="D611" t="s">
        <v>5861</v>
      </c>
      <c r="E611" t="s">
        <v>5861</v>
      </c>
      <c r="G611" s="13" t="s">
        <v>11571</v>
      </c>
      <c r="H611" t="s">
        <v>11572</v>
      </c>
      <c r="K611" t="s">
        <v>8694</v>
      </c>
      <c r="L611" t="s">
        <v>8694</v>
      </c>
      <c r="M611" t="s">
        <v>7250</v>
      </c>
      <c r="N611">
        <v>1996</v>
      </c>
      <c r="R611">
        <v>12</v>
      </c>
      <c r="S611" t="s">
        <v>8257</v>
      </c>
      <c r="T611">
        <v>12</v>
      </c>
      <c r="U611">
        <v>5584.6</v>
      </c>
      <c r="V611">
        <v>884</v>
      </c>
      <c r="W611">
        <v>694.64</v>
      </c>
      <c r="X611">
        <v>884</v>
      </c>
      <c r="Y611" t="s">
        <v>11573</v>
      </c>
      <c r="Z611" t="s">
        <v>7253</v>
      </c>
      <c r="AB611" t="s">
        <v>11574</v>
      </c>
      <c r="AC611" t="s">
        <v>8777</v>
      </c>
      <c r="AD611" t="s">
        <v>3698</v>
      </c>
      <c r="AH611" t="s">
        <v>5861</v>
      </c>
      <c r="AI611" t="s">
        <v>8777</v>
      </c>
      <c r="AO611" t="s">
        <v>11575</v>
      </c>
    </row>
    <row r="612" spans="1:41" hidden="1" x14ac:dyDescent="0.35">
      <c r="A612" t="s">
        <v>11576</v>
      </c>
      <c r="B612" t="s">
        <v>7246</v>
      </c>
      <c r="C612" t="s">
        <v>5861</v>
      </c>
      <c r="D612" t="s">
        <v>5861</v>
      </c>
      <c r="E612" t="s">
        <v>5861</v>
      </c>
      <c r="G612" s="13" t="s">
        <v>11577</v>
      </c>
      <c r="H612" t="s">
        <v>11578</v>
      </c>
      <c r="J612" t="s">
        <v>11579</v>
      </c>
      <c r="K612" t="s">
        <v>8694</v>
      </c>
      <c r="L612" t="s">
        <v>8694</v>
      </c>
      <c r="M612" t="s">
        <v>7250</v>
      </c>
      <c r="N612">
        <v>1986</v>
      </c>
      <c r="T612" t="s">
        <v>6546</v>
      </c>
      <c r="U612" t="s">
        <v>6546</v>
      </c>
      <c r="V612">
        <v>892</v>
      </c>
      <c r="W612">
        <v>275.17</v>
      </c>
      <c r="X612">
        <v>892</v>
      </c>
      <c r="Y612" t="s">
        <v>11580</v>
      </c>
      <c r="Z612" t="s">
        <v>7253</v>
      </c>
      <c r="AC612" t="s">
        <v>8777</v>
      </c>
      <c r="AH612" t="s">
        <v>5861</v>
      </c>
      <c r="AI612" t="s">
        <v>8777</v>
      </c>
      <c r="AO612" t="s">
        <v>11581</v>
      </c>
    </row>
    <row r="613" spans="1:41" hidden="1" x14ac:dyDescent="0.35">
      <c r="A613" t="s">
        <v>11582</v>
      </c>
      <c r="B613" t="s">
        <v>7246</v>
      </c>
      <c r="C613" t="s">
        <v>5861</v>
      </c>
      <c r="D613" t="s">
        <v>5861</v>
      </c>
      <c r="E613" t="s">
        <v>5861</v>
      </c>
      <c r="G613" s="13" t="s">
        <v>11583</v>
      </c>
      <c r="H613" t="s">
        <v>11584</v>
      </c>
      <c r="K613" t="s">
        <v>8694</v>
      </c>
      <c r="L613" t="s">
        <v>8694</v>
      </c>
      <c r="M613" t="s">
        <v>7250</v>
      </c>
      <c r="N613">
        <v>2011</v>
      </c>
      <c r="T613" t="s">
        <v>6546</v>
      </c>
      <c r="U613" t="s">
        <v>6546</v>
      </c>
      <c r="V613">
        <v>88.69</v>
      </c>
      <c r="W613">
        <v>66.19</v>
      </c>
      <c r="X613">
        <v>88.69</v>
      </c>
      <c r="Y613">
        <v>26</v>
      </c>
      <c r="Z613" t="s">
        <v>7253</v>
      </c>
      <c r="AB613" t="s">
        <v>11585</v>
      </c>
      <c r="AC613" t="s">
        <v>8777</v>
      </c>
      <c r="AD613" t="s">
        <v>5890</v>
      </c>
      <c r="AF613" t="s">
        <v>11586</v>
      </c>
      <c r="AG613" t="s">
        <v>11587</v>
      </c>
      <c r="AH613" t="s">
        <v>5861</v>
      </c>
      <c r="AI613" t="s">
        <v>8777</v>
      </c>
      <c r="AO613" t="s">
        <v>11588</v>
      </c>
    </row>
    <row r="614" spans="1:41" hidden="1" x14ac:dyDescent="0.35">
      <c r="A614" t="s">
        <v>11589</v>
      </c>
      <c r="B614" t="s">
        <v>7246</v>
      </c>
      <c r="C614" t="s">
        <v>5861</v>
      </c>
      <c r="D614" t="s">
        <v>5861</v>
      </c>
      <c r="E614" t="s">
        <v>5861</v>
      </c>
      <c r="G614" s="13" t="s">
        <v>11590</v>
      </c>
      <c r="H614" t="s">
        <v>11591</v>
      </c>
      <c r="J614" t="s">
        <v>11592</v>
      </c>
      <c r="K614" t="s">
        <v>8694</v>
      </c>
      <c r="L614" t="s">
        <v>8694</v>
      </c>
      <c r="M614" t="s">
        <v>7250</v>
      </c>
      <c r="N614">
        <v>2009</v>
      </c>
      <c r="T614" t="s">
        <v>6546</v>
      </c>
      <c r="U614" t="s">
        <v>6546</v>
      </c>
      <c r="V614">
        <v>336</v>
      </c>
      <c r="W614">
        <v>275.60000000000002</v>
      </c>
      <c r="X614">
        <v>336</v>
      </c>
      <c r="Y614" t="s">
        <v>11593</v>
      </c>
      <c r="Z614" t="s">
        <v>7253</v>
      </c>
      <c r="AB614" t="s">
        <v>11594</v>
      </c>
      <c r="AC614" t="s">
        <v>8777</v>
      </c>
      <c r="AF614" t="s">
        <v>11595</v>
      </c>
      <c r="AG614" t="s">
        <v>11596</v>
      </c>
      <c r="AH614" t="s">
        <v>5861</v>
      </c>
      <c r="AI614" t="s">
        <v>8777</v>
      </c>
      <c r="AO614" t="s">
        <v>11597</v>
      </c>
    </row>
    <row r="615" spans="1:41" hidden="1" x14ac:dyDescent="0.35">
      <c r="A615" t="s">
        <v>11598</v>
      </c>
      <c r="B615" t="s">
        <v>7246</v>
      </c>
      <c r="C615" t="s">
        <v>5861</v>
      </c>
      <c r="D615" t="s">
        <v>5861</v>
      </c>
      <c r="E615" t="s">
        <v>5861</v>
      </c>
      <c r="G615" s="13" t="s">
        <v>11599</v>
      </c>
      <c r="H615" t="s">
        <v>11600</v>
      </c>
      <c r="K615" t="s">
        <v>8694</v>
      </c>
      <c r="L615" t="s">
        <v>8694</v>
      </c>
      <c r="M615" t="s">
        <v>7250</v>
      </c>
      <c r="N615">
        <v>2008</v>
      </c>
      <c r="T615" t="s">
        <v>6546</v>
      </c>
      <c r="U615" t="s">
        <v>6546</v>
      </c>
      <c r="V615">
        <v>335</v>
      </c>
      <c r="W615">
        <v>314.06</v>
      </c>
      <c r="X615">
        <v>335</v>
      </c>
      <c r="Y615" t="s">
        <v>10699</v>
      </c>
      <c r="Z615" t="s">
        <v>7253</v>
      </c>
      <c r="AB615" t="s">
        <v>11601</v>
      </c>
      <c r="AC615" t="s">
        <v>8777</v>
      </c>
      <c r="AD615" t="s">
        <v>11602</v>
      </c>
      <c r="AF615" t="s">
        <v>11603</v>
      </c>
      <c r="AG615" t="s">
        <v>11604</v>
      </c>
      <c r="AH615" t="s">
        <v>5861</v>
      </c>
      <c r="AI615" t="s">
        <v>8777</v>
      </c>
      <c r="AO615" t="s">
        <v>11605</v>
      </c>
    </row>
    <row r="616" spans="1:41" hidden="1" x14ac:dyDescent="0.35">
      <c r="A616" t="s">
        <v>11606</v>
      </c>
      <c r="B616" t="s">
        <v>7246</v>
      </c>
      <c r="C616" t="s">
        <v>5861</v>
      </c>
      <c r="D616" t="s">
        <v>5861</v>
      </c>
      <c r="E616" t="s">
        <v>5861</v>
      </c>
      <c r="G616" s="13" t="s">
        <v>11607</v>
      </c>
      <c r="H616" t="s">
        <v>11608</v>
      </c>
      <c r="J616" t="s">
        <v>11609</v>
      </c>
      <c r="K616" t="s">
        <v>8694</v>
      </c>
      <c r="L616" t="s">
        <v>8694</v>
      </c>
      <c r="M616" t="s">
        <v>7250</v>
      </c>
      <c r="N616">
        <v>2000</v>
      </c>
      <c r="T616" t="s">
        <v>6546</v>
      </c>
      <c r="U616" t="s">
        <v>6546</v>
      </c>
      <c r="V616" t="s">
        <v>6546</v>
      </c>
      <c r="W616">
        <v>173.83</v>
      </c>
      <c r="X616">
        <v>173.83</v>
      </c>
      <c r="Y616" t="s">
        <v>11610</v>
      </c>
      <c r="Z616" t="s">
        <v>7253</v>
      </c>
      <c r="AB616" t="s">
        <v>11611</v>
      </c>
      <c r="AC616" t="s">
        <v>8777</v>
      </c>
      <c r="AF616" t="s">
        <v>11586</v>
      </c>
      <c r="AH616" t="s">
        <v>5861</v>
      </c>
      <c r="AI616" t="s">
        <v>8777</v>
      </c>
      <c r="AO616" t="s">
        <v>11612</v>
      </c>
    </row>
    <row r="617" spans="1:41" hidden="1" x14ac:dyDescent="0.35">
      <c r="A617" t="s">
        <v>11613</v>
      </c>
      <c r="B617" t="s">
        <v>7246</v>
      </c>
      <c r="C617" t="s">
        <v>5861</v>
      </c>
      <c r="D617" t="s">
        <v>5861</v>
      </c>
      <c r="E617" t="s">
        <v>5861</v>
      </c>
      <c r="G617" s="13" t="s">
        <v>11614</v>
      </c>
      <c r="H617" t="s">
        <v>11615</v>
      </c>
      <c r="I617" t="s">
        <v>11616</v>
      </c>
      <c r="K617" t="s">
        <v>8694</v>
      </c>
      <c r="L617" t="s">
        <v>8694</v>
      </c>
      <c r="M617" t="s">
        <v>7250</v>
      </c>
      <c r="N617">
        <v>1996</v>
      </c>
      <c r="T617" t="s">
        <v>6546</v>
      </c>
      <c r="U617" t="s">
        <v>6546</v>
      </c>
      <c r="V617">
        <v>368</v>
      </c>
      <c r="W617">
        <v>311.07</v>
      </c>
      <c r="X617">
        <v>368</v>
      </c>
      <c r="Y617" t="s">
        <v>11617</v>
      </c>
      <c r="Z617" t="s">
        <v>7253</v>
      </c>
      <c r="AC617" t="s">
        <v>8777</v>
      </c>
      <c r="AH617" t="s">
        <v>5861</v>
      </c>
      <c r="AI617" t="s">
        <v>8777</v>
      </c>
      <c r="AO617" t="s">
        <v>11618</v>
      </c>
    </row>
    <row r="618" spans="1:41" hidden="1" x14ac:dyDescent="0.35">
      <c r="A618" t="s">
        <v>11619</v>
      </c>
      <c r="B618" t="s">
        <v>7246</v>
      </c>
      <c r="C618" t="s">
        <v>5861</v>
      </c>
      <c r="D618" t="s">
        <v>5861</v>
      </c>
      <c r="E618" t="s">
        <v>5861</v>
      </c>
      <c r="G618" s="13" t="s">
        <v>11620</v>
      </c>
      <c r="H618" t="s">
        <v>11621</v>
      </c>
      <c r="K618" t="s">
        <v>8694</v>
      </c>
      <c r="L618" t="s">
        <v>8694</v>
      </c>
      <c r="M618" t="s">
        <v>7250</v>
      </c>
      <c r="N618">
        <v>1988</v>
      </c>
      <c r="O618">
        <v>2005</v>
      </c>
      <c r="T618" t="s">
        <v>6546</v>
      </c>
      <c r="U618" t="s">
        <v>6546</v>
      </c>
      <c r="V618">
        <v>494</v>
      </c>
      <c r="W618">
        <v>206.11</v>
      </c>
      <c r="X618">
        <v>494</v>
      </c>
      <c r="Y618" t="s">
        <v>11622</v>
      </c>
      <c r="Z618" t="s">
        <v>7253</v>
      </c>
      <c r="AB618" t="s">
        <v>3700</v>
      </c>
      <c r="AC618" t="s">
        <v>8777</v>
      </c>
      <c r="AF618" t="s">
        <v>8877</v>
      </c>
      <c r="AH618" t="s">
        <v>5861</v>
      </c>
      <c r="AI618" t="s">
        <v>8777</v>
      </c>
      <c r="AO618" t="s">
        <v>11623</v>
      </c>
    </row>
    <row r="619" spans="1:41" hidden="1" x14ac:dyDescent="0.35">
      <c r="A619" t="s">
        <v>11624</v>
      </c>
      <c r="B619" t="s">
        <v>7246</v>
      </c>
      <c r="C619" t="s">
        <v>5861</v>
      </c>
      <c r="D619" t="s">
        <v>5861</v>
      </c>
      <c r="E619" t="s">
        <v>5861</v>
      </c>
      <c r="G619" s="13" t="s">
        <v>11625</v>
      </c>
      <c r="H619" t="s">
        <v>11626</v>
      </c>
      <c r="K619" t="s">
        <v>8694</v>
      </c>
      <c r="L619" t="s">
        <v>8694</v>
      </c>
      <c r="M619" t="s">
        <v>7250</v>
      </c>
      <c r="N619">
        <v>1980</v>
      </c>
      <c r="O619">
        <v>2009</v>
      </c>
      <c r="T619" t="s">
        <v>6546</v>
      </c>
      <c r="U619" t="s">
        <v>6546</v>
      </c>
      <c r="V619">
        <v>267</v>
      </c>
      <c r="W619">
        <v>182.81</v>
      </c>
      <c r="X619">
        <v>267</v>
      </c>
      <c r="Y619" t="s">
        <v>11627</v>
      </c>
      <c r="Z619" t="s">
        <v>7253</v>
      </c>
      <c r="AB619" t="s">
        <v>11628</v>
      </c>
      <c r="AC619" t="s">
        <v>8777</v>
      </c>
      <c r="AD619" t="s">
        <v>11629</v>
      </c>
      <c r="AF619" t="s">
        <v>11630</v>
      </c>
      <c r="AG619" t="s">
        <v>5873</v>
      </c>
      <c r="AH619" t="s">
        <v>5861</v>
      </c>
      <c r="AI619" t="s">
        <v>8777</v>
      </c>
      <c r="AO619" t="s">
        <v>11631</v>
      </c>
    </row>
    <row r="620" spans="1:41" hidden="1" x14ac:dyDescent="0.35">
      <c r="A620" t="s">
        <v>11632</v>
      </c>
      <c r="B620" t="s">
        <v>7246</v>
      </c>
      <c r="C620" t="s">
        <v>5861</v>
      </c>
      <c r="D620" t="s">
        <v>5861</v>
      </c>
      <c r="E620" t="s">
        <v>5861</v>
      </c>
      <c r="G620" s="13" t="s">
        <v>11633</v>
      </c>
      <c r="H620" t="s">
        <v>11634</v>
      </c>
      <c r="I620" t="s">
        <v>9381</v>
      </c>
      <c r="K620" t="s">
        <v>8694</v>
      </c>
      <c r="L620" t="s">
        <v>8694</v>
      </c>
      <c r="M620" t="s">
        <v>7250</v>
      </c>
      <c r="N620">
        <v>1998</v>
      </c>
      <c r="T620" t="s">
        <v>6546</v>
      </c>
      <c r="U620" t="s">
        <v>6546</v>
      </c>
      <c r="V620">
        <v>597</v>
      </c>
      <c r="W620">
        <v>557.13</v>
      </c>
      <c r="X620">
        <v>597</v>
      </c>
      <c r="Y620" t="s">
        <v>11635</v>
      </c>
      <c r="Z620" t="s">
        <v>7253</v>
      </c>
      <c r="AB620" t="s">
        <v>11636</v>
      </c>
      <c r="AC620" t="s">
        <v>8777</v>
      </c>
      <c r="AD620" t="s">
        <v>5867</v>
      </c>
      <c r="AF620" t="s">
        <v>11637</v>
      </c>
      <c r="AH620" t="s">
        <v>5861</v>
      </c>
      <c r="AI620" t="s">
        <v>8777</v>
      </c>
      <c r="AO620" t="s">
        <v>11638</v>
      </c>
    </row>
    <row r="621" spans="1:41" hidden="1" x14ac:dyDescent="0.35">
      <c r="A621" t="s">
        <v>11639</v>
      </c>
      <c r="B621" t="s">
        <v>7246</v>
      </c>
      <c r="C621" t="s">
        <v>5861</v>
      </c>
      <c r="D621" t="s">
        <v>5861</v>
      </c>
      <c r="E621" t="s">
        <v>5861</v>
      </c>
      <c r="G621" s="13" t="s">
        <v>11640</v>
      </c>
      <c r="H621" t="s">
        <v>11641</v>
      </c>
      <c r="K621" t="s">
        <v>8694</v>
      </c>
      <c r="L621" t="s">
        <v>8694</v>
      </c>
      <c r="M621" t="s">
        <v>7250</v>
      </c>
      <c r="N621">
        <v>1979</v>
      </c>
      <c r="O621">
        <v>2005</v>
      </c>
      <c r="T621" t="s">
        <v>6546</v>
      </c>
      <c r="U621" t="s">
        <v>6546</v>
      </c>
      <c r="V621">
        <v>427</v>
      </c>
      <c r="W621">
        <v>133.51</v>
      </c>
      <c r="X621">
        <v>427</v>
      </c>
      <c r="Y621">
        <v>24</v>
      </c>
      <c r="Z621" t="s">
        <v>7253</v>
      </c>
      <c r="AB621" t="s">
        <v>5870</v>
      </c>
      <c r="AC621" t="s">
        <v>8777</v>
      </c>
      <c r="AF621" t="s">
        <v>11642</v>
      </c>
      <c r="AH621" t="s">
        <v>5861</v>
      </c>
      <c r="AI621" t="s">
        <v>8777</v>
      </c>
      <c r="AO621" t="s">
        <v>11643</v>
      </c>
    </row>
    <row r="622" spans="1:41" hidden="1" x14ac:dyDescent="0.35">
      <c r="A622" t="s">
        <v>11644</v>
      </c>
      <c r="B622" t="s">
        <v>7246</v>
      </c>
      <c r="C622" t="s">
        <v>5861</v>
      </c>
      <c r="D622" t="s">
        <v>5861</v>
      </c>
      <c r="E622" t="s">
        <v>5861</v>
      </c>
      <c r="G622" s="13" t="s">
        <v>11645</v>
      </c>
      <c r="H622" t="s">
        <v>11646</v>
      </c>
      <c r="K622" t="s">
        <v>8694</v>
      </c>
      <c r="L622" t="s">
        <v>8694</v>
      </c>
      <c r="M622" t="s">
        <v>7250</v>
      </c>
      <c r="N622">
        <v>2012</v>
      </c>
      <c r="T622" t="s">
        <v>6546</v>
      </c>
      <c r="U622" t="s">
        <v>6546</v>
      </c>
      <c r="V622">
        <v>251</v>
      </c>
      <c r="W622">
        <v>224.86</v>
      </c>
      <c r="X622">
        <v>251</v>
      </c>
      <c r="Y622">
        <v>30</v>
      </c>
      <c r="Z622" t="s">
        <v>7253</v>
      </c>
      <c r="AB622" t="s">
        <v>11586</v>
      </c>
      <c r="AC622" t="s">
        <v>8777</v>
      </c>
      <c r="AD622" t="s">
        <v>11587</v>
      </c>
      <c r="AF622" t="s">
        <v>11647</v>
      </c>
      <c r="AG622" t="s">
        <v>11629</v>
      </c>
      <c r="AH622" t="s">
        <v>5861</v>
      </c>
      <c r="AI622" t="s">
        <v>8777</v>
      </c>
      <c r="AO622" t="s">
        <v>11648</v>
      </c>
    </row>
    <row r="623" spans="1:41" hidden="1" x14ac:dyDescent="0.35">
      <c r="A623" t="s">
        <v>11649</v>
      </c>
      <c r="B623" t="s">
        <v>7246</v>
      </c>
      <c r="C623" t="s">
        <v>5613</v>
      </c>
      <c r="D623" t="s">
        <v>5861</v>
      </c>
      <c r="E623" t="s">
        <v>11650</v>
      </c>
      <c r="G623" s="13" t="s">
        <v>11651</v>
      </c>
      <c r="H623" t="s">
        <v>11652</v>
      </c>
      <c r="K623" t="s">
        <v>11653</v>
      </c>
      <c r="L623" t="s">
        <v>11654</v>
      </c>
      <c r="M623" t="s">
        <v>7250</v>
      </c>
      <c r="N623">
        <v>2007</v>
      </c>
      <c r="T623" t="s">
        <v>6546</v>
      </c>
      <c r="U623" t="s">
        <v>6546</v>
      </c>
      <c r="V623">
        <v>145</v>
      </c>
      <c r="W623">
        <v>209.21</v>
      </c>
      <c r="X623">
        <v>145</v>
      </c>
      <c r="Y623" t="s">
        <v>11655</v>
      </c>
      <c r="Z623" t="s">
        <v>7253</v>
      </c>
      <c r="AB623" t="s">
        <v>11656</v>
      </c>
      <c r="AC623" t="s">
        <v>8777</v>
      </c>
      <c r="AF623" t="s">
        <v>11647</v>
      </c>
      <c r="AG623" t="s">
        <v>11629</v>
      </c>
      <c r="AH623" t="s">
        <v>5861</v>
      </c>
      <c r="AI623" t="s">
        <v>8777</v>
      </c>
      <c r="AO623" t="s">
        <v>11657</v>
      </c>
    </row>
    <row r="624" spans="1:41" hidden="1" x14ac:dyDescent="0.35">
      <c r="A624" t="s">
        <v>11658</v>
      </c>
      <c r="B624" t="s">
        <v>7246</v>
      </c>
      <c r="C624" t="s">
        <v>5861</v>
      </c>
      <c r="D624" t="s">
        <v>5861</v>
      </c>
      <c r="E624" t="s">
        <v>5861</v>
      </c>
      <c r="G624" s="13" t="s">
        <v>11659</v>
      </c>
      <c r="H624" t="s">
        <v>11608</v>
      </c>
      <c r="I624" t="s">
        <v>11660</v>
      </c>
      <c r="K624" t="s">
        <v>8694</v>
      </c>
      <c r="L624" t="s">
        <v>8694</v>
      </c>
      <c r="M624" t="s">
        <v>7250</v>
      </c>
      <c r="N624">
        <v>2013</v>
      </c>
      <c r="T624" t="s">
        <v>6546</v>
      </c>
      <c r="U624" t="s">
        <v>6546</v>
      </c>
      <c r="V624">
        <v>0</v>
      </c>
      <c r="W624" t="s">
        <v>6546</v>
      </c>
      <c r="X624">
        <v>0</v>
      </c>
      <c r="Y624">
        <v>30</v>
      </c>
      <c r="Z624" t="s">
        <v>7253</v>
      </c>
      <c r="AB624" t="s">
        <v>11661</v>
      </c>
      <c r="AC624" t="s">
        <v>8777</v>
      </c>
      <c r="AF624" t="s">
        <v>11586</v>
      </c>
      <c r="AH624" t="s">
        <v>5861</v>
      </c>
      <c r="AI624" t="s">
        <v>8777</v>
      </c>
      <c r="AO624" t="s">
        <v>6546</v>
      </c>
    </row>
    <row r="625" spans="1:41" hidden="1" x14ac:dyDescent="0.35">
      <c r="A625" t="s">
        <v>11662</v>
      </c>
      <c r="B625" t="s">
        <v>7246</v>
      </c>
      <c r="C625" t="s">
        <v>5861</v>
      </c>
      <c r="D625" t="s">
        <v>5861</v>
      </c>
      <c r="E625" t="s">
        <v>5861</v>
      </c>
      <c r="G625" s="13" t="s">
        <v>11663</v>
      </c>
      <c r="H625" t="s">
        <v>11664</v>
      </c>
      <c r="K625" t="s">
        <v>8694</v>
      </c>
      <c r="L625" t="s">
        <v>8694</v>
      </c>
      <c r="M625" t="s">
        <v>7250</v>
      </c>
      <c r="N625">
        <v>2012</v>
      </c>
      <c r="T625" t="s">
        <v>6546</v>
      </c>
      <c r="U625" t="s">
        <v>6546</v>
      </c>
      <c r="V625">
        <v>28</v>
      </c>
      <c r="W625">
        <v>37.89</v>
      </c>
      <c r="X625">
        <v>28</v>
      </c>
      <c r="AB625" t="s">
        <v>11665</v>
      </c>
      <c r="AC625" t="s">
        <v>8777</v>
      </c>
      <c r="AD625" t="s">
        <v>11666</v>
      </c>
      <c r="AF625" t="s">
        <v>11667</v>
      </c>
      <c r="AG625" t="s">
        <v>11666</v>
      </c>
      <c r="AH625" t="s">
        <v>5861</v>
      </c>
      <c r="AI625" t="s">
        <v>8777</v>
      </c>
      <c r="AO625" t="s">
        <v>11668</v>
      </c>
    </row>
    <row r="626" spans="1:41" hidden="1" x14ac:dyDescent="0.35">
      <c r="A626" t="s">
        <v>11669</v>
      </c>
      <c r="B626" t="s">
        <v>7246</v>
      </c>
      <c r="C626" t="s">
        <v>5861</v>
      </c>
      <c r="D626" t="s">
        <v>5861</v>
      </c>
      <c r="E626" t="s">
        <v>5861</v>
      </c>
      <c r="G626" s="13" t="s">
        <v>11670</v>
      </c>
      <c r="H626" t="s">
        <v>11671</v>
      </c>
      <c r="K626" t="s">
        <v>11672</v>
      </c>
      <c r="L626" t="s">
        <v>11672</v>
      </c>
      <c r="M626" t="s">
        <v>7250</v>
      </c>
      <c r="N626">
        <v>2011</v>
      </c>
      <c r="T626" t="s">
        <v>6546</v>
      </c>
      <c r="U626" t="s">
        <v>6546</v>
      </c>
      <c r="V626">
        <v>79</v>
      </c>
      <c r="W626">
        <v>105.19</v>
      </c>
      <c r="X626">
        <v>79</v>
      </c>
      <c r="AB626" t="s">
        <v>11673</v>
      </c>
      <c r="AC626" t="s">
        <v>8777</v>
      </c>
      <c r="AD626" t="s">
        <v>11674</v>
      </c>
      <c r="AF626" t="s">
        <v>11675</v>
      </c>
      <c r="AG626" t="s">
        <v>11676</v>
      </c>
      <c r="AH626" t="s">
        <v>5861</v>
      </c>
      <c r="AI626" t="s">
        <v>8777</v>
      </c>
      <c r="AO626" t="s">
        <v>11677</v>
      </c>
    </row>
    <row r="627" spans="1:41" hidden="1" x14ac:dyDescent="0.35">
      <c r="A627" t="s">
        <v>11678</v>
      </c>
      <c r="B627" t="s">
        <v>7246</v>
      </c>
      <c r="C627" t="s">
        <v>5861</v>
      </c>
      <c r="D627" t="s">
        <v>5861</v>
      </c>
      <c r="E627" t="s">
        <v>5861</v>
      </c>
      <c r="G627" s="13" t="s">
        <v>11679</v>
      </c>
      <c r="H627" t="s">
        <v>11680</v>
      </c>
      <c r="K627" t="s">
        <v>8694</v>
      </c>
      <c r="L627" t="s">
        <v>8694</v>
      </c>
      <c r="M627" t="s">
        <v>7250</v>
      </c>
      <c r="N627">
        <v>2002</v>
      </c>
      <c r="O627">
        <v>2004</v>
      </c>
      <c r="T627" t="s">
        <v>6546</v>
      </c>
      <c r="U627" t="s">
        <v>6546</v>
      </c>
      <c r="V627">
        <v>171.6</v>
      </c>
      <c r="W627">
        <v>164.49</v>
      </c>
      <c r="X627">
        <v>171.6</v>
      </c>
      <c r="Y627" t="s">
        <v>11681</v>
      </c>
      <c r="Z627" t="s">
        <v>7253</v>
      </c>
      <c r="AB627" t="s">
        <v>5889</v>
      </c>
      <c r="AC627" t="s">
        <v>8777</v>
      </c>
      <c r="AE627" t="s">
        <v>5890</v>
      </c>
      <c r="AF627" t="s">
        <v>11682</v>
      </c>
      <c r="AH627" t="s">
        <v>11683</v>
      </c>
      <c r="AI627" t="s">
        <v>8777</v>
      </c>
      <c r="AO627" t="s">
        <v>11684</v>
      </c>
    </row>
    <row r="628" spans="1:41" hidden="1" x14ac:dyDescent="0.35">
      <c r="A628" t="s">
        <v>11685</v>
      </c>
      <c r="B628" t="s">
        <v>7246</v>
      </c>
      <c r="C628" t="s">
        <v>449</v>
      </c>
      <c r="D628" t="s">
        <v>449</v>
      </c>
      <c r="E628" t="s">
        <v>449</v>
      </c>
      <c r="G628" s="13" t="s">
        <v>11686</v>
      </c>
      <c r="H628" t="s">
        <v>11687</v>
      </c>
      <c r="K628" t="s">
        <v>11688</v>
      </c>
      <c r="L628" t="s">
        <v>11688</v>
      </c>
      <c r="M628" t="s">
        <v>7250</v>
      </c>
      <c r="N628">
        <v>2009</v>
      </c>
      <c r="O628">
        <v>2010</v>
      </c>
      <c r="R628">
        <v>900</v>
      </c>
      <c r="S628" t="s">
        <v>7251</v>
      </c>
      <c r="T628">
        <v>9.31</v>
      </c>
      <c r="U628">
        <v>4332</v>
      </c>
      <c r="V628">
        <v>185</v>
      </c>
      <c r="W628">
        <v>151.18</v>
      </c>
      <c r="X628">
        <v>185</v>
      </c>
      <c r="Y628" t="s">
        <v>11689</v>
      </c>
      <c r="Z628" t="s">
        <v>8842</v>
      </c>
      <c r="AB628" t="s">
        <v>11690</v>
      </c>
      <c r="AC628" t="s">
        <v>8777</v>
      </c>
      <c r="AF628" t="s">
        <v>11691</v>
      </c>
      <c r="AI628" t="s">
        <v>8777</v>
      </c>
      <c r="AO628" t="s">
        <v>11692</v>
      </c>
    </row>
    <row r="629" spans="1:41" hidden="1" x14ac:dyDescent="0.35">
      <c r="A629" t="s">
        <v>11693</v>
      </c>
      <c r="B629" t="s">
        <v>7246</v>
      </c>
      <c r="C629" t="s">
        <v>449</v>
      </c>
      <c r="D629" t="s">
        <v>449</v>
      </c>
      <c r="E629" t="s">
        <v>449</v>
      </c>
      <c r="G629" s="13" t="s">
        <v>11694</v>
      </c>
      <c r="H629" t="s">
        <v>11695</v>
      </c>
      <c r="K629" t="s">
        <v>11696</v>
      </c>
      <c r="L629" t="s">
        <v>11696</v>
      </c>
      <c r="M629" t="s">
        <v>9336</v>
      </c>
      <c r="T629" t="s">
        <v>6546</v>
      </c>
      <c r="U629" t="s">
        <v>6546</v>
      </c>
      <c r="V629">
        <v>462.37</v>
      </c>
      <c r="W629">
        <v>402.69</v>
      </c>
      <c r="X629">
        <v>462.37</v>
      </c>
      <c r="AB629" t="s">
        <v>11697</v>
      </c>
      <c r="AC629" t="s">
        <v>8777</v>
      </c>
      <c r="AF629" t="s">
        <v>11691</v>
      </c>
      <c r="AI629" t="s">
        <v>8777</v>
      </c>
      <c r="AO629" t="s">
        <v>11698</v>
      </c>
    </row>
    <row r="630" spans="1:41" hidden="1" x14ac:dyDescent="0.35">
      <c r="A630" t="s">
        <v>11699</v>
      </c>
      <c r="B630" t="s">
        <v>7246</v>
      </c>
      <c r="C630" t="s">
        <v>449</v>
      </c>
      <c r="D630" t="s">
        <v>449</v>
      </c>
      <c r="E630" t="s">
        <v>449</v>
      </c>
      <c r="G630" s="13" t="s">
        <v>11700</v>
      </c>
      <c r="H630" t="s">
        <v>11701</v>
      </c>
      <c r="K630" t="s">
        <v>11702</v>
      </c>
      <c r="L630" t="s">
        <v>11702</v>
      </c>
      <c r="M630" t="s">
        <v>7250</v>
      </c>
      <c r="N630">
        <v>1986</v>
      </c>
      <c r="T630" t="s">
        <v>6546</v>
      </c>
      <c r="U630" t="s">
        <v>6546</v>
      </c>
      <c r="V630">
        <v>106.3</v>
      </c>
      <c r="W630">
        <v>106.36</v>
      </c>
      <c r="X630">
        <v>106.3</v>
      </c>
      <c r="Y630">
        <v>762</v>
      </c>
      <c r="Z630" t="s">
        <v>8842</v>
      </c>
      <c r="AB630" t="s">
        <v>11703</v>
      </c>
      <c r="AC630" t="s">
        <v>8777</v>
      </c>
      <c r="AF630" t="s">
        <v>11691</v>
      </c>
      <c r="AI630" t="s">
        <v>8777</v>
      </c>
      <c r="AO630" t="s">
        <v>11704</v>
      </c>
    </row>
    <row r="631" spans="1:41" hidden="1" x14ac:dyDescent="0.35">
      <c r="A631" t="s">
        <v>11705</v>
      </c>
      <c r="B631" t="s">
        <v>7246</v>
      </c>
      <c r="C631" t="s">
        <v>416</v>
      </c>
      <c r="D631" t="s">
        <v>416</v>
      </c>
      <c r="E631" t="s">
        <v>416</v>
      </c>
      <c r="G631" s="13" t="s">
        <v>11706</v>
      </c>
      <c r="H631" t="s">
        <v>11707</v>
      </c>
      <c r="J631" t="s">
        <v>11708</v>
      </c>
      <c r="K631" t="s">
        <v>11709</v>
      </c>
      <c r="L631" t="s">
        <v>11709</v>
      </c>
      <c r="M631" t="s">
        <v>7250</v>
      </c>
      <c r="N631">
        <v>2007</v>
      </c>
      <c r="T631" t="s">
        <v>6546</v>
      </c>
      <c r="U631" t="s">
        <v>6546</v>
      </c>
      <c r="V631">
        <v>143</v>
      </c>
      <c r="W631">
        <v>143.25</v>
      </c>
      <c r="X631">
        <v>143</v>
      </c>
      <c r="Y631">
        <v>28</v>
      </c>
      <c r="Z631" t="s">
        <v>7253</v>
      </c>
      <c r="AA631" t="s">
        <v>11710</v>
      </c>
      <c r="AB631" t="s">
        <v>11710</v>
      </c>
      <c r="AC631" t="s">
        <v>8777</v>
      </c>
      <c r="AF631" t="s">
        <v>11711</v>
      </c>
      <c r="AI631" t="s">
        <v>8777</v>
      </c>
      <c r="AO631" t="s">
        <v>11712</v>
      </c>
    </row>
    <row r="632" spans="1:41" hidden="1" x14ac:dyDescent="0.35">
      <c r="A632" t="s">
        <v>11713</v>
      </c>
      <c r="B632" t="s">
        <v>7246</v>
      </c>
      <c r="C632" t="s">
        <v>5787</v>
      </c>
      <c r="D632" t="s">
        <v>5787</v>
      </c>
      <c r="E632" t="s">
        <v>5787</v>
      </c>
      <c r="G632" s="13" t="s">
        <v>11714</v>
      </c>
      <c r="H632" t="s">
        <v>11715</v>
      </c>
      <c r="K632" t="s">
        <v>11716</v>
      </c>
      <c r="L632" t="s">
        <v>11717</v>
      </c>
      <c r="M632" t="s">
        <v>7250</v>
      </c>
      <c r="T632" t="s">
        <v>6546</v>
      </c>
      <c r="U632" t="s">
        <v>6546</v>
      </c>
      <c r="V632">
        <v>245.18</v>
      </c>
      <c r="W632">
        <v>253.44</v>
      </c>
      <c r="X632">
        <v>245.18</v>
      </c>
      <c r="Y632" t="s">
        <v>7691</v>
      </c>
      <c r="Z632" t="s">
        <v>7253</v>
      </c>
      <c r="AB632" t="s">
        <v>5786</v>
      </c>
      <c r="AC632" t="s">
        <v>8777</v>
      </c>
      <c r="AF632" t="s">
        <v>3513</v>
      </c>
      <c r="AI632" t="s">
        <v>8777</v>
      </c>
      <c r="AO632" t="s">
        <v>11718</v>
      </c>
    </row>
    <row r="633" spans="1:41" hidden="1" x14ac:dyDescent="0.35">
      <c r="A633" t="s">
        <v>11719</v>
      </c>
      <c r="B633" t="s">
        <v>7246</v>
      </c>
      <c r="C633" t="s">
        <v>5787</v>
      </c>
      <c r="D633" t="s">
        <v>5787</v>
      </c>
      <c r="E633" t="s">
        <v>5787</v>
      </c>
      <c r="G633" s="13" t="s">
        <v>11720</v>
      </c>
      <c r="H633" t="s">
        <v>11721</v>
      </c>
      <c r="K633" t="s">
        <v>11722</v>
      </c>
      <c r="L633" t="s">
        <v>11722</v>
      </c>
      <c r="M633" t="s">
        <v>7250</v>
      </c>
      <c r="N633">
        <v>1992</v>
      </c>
      <c r="T633" t="s">
        <v>6546</v>
      </c>
      <c r="U633" t="s">
        <v>6546</v>
      </c>
      <c r="V633">
        <v>57</v>
      </c>
      <c r="W633">
        <v>74.94</v>
      </c>
      <c r="X633">
        <v>57</v>
      </c>
      <c r="Y633" t="s">
        <v>7471</v>
      </c>
      <c r="Z633" t="s">
        <v>7253</v>
      </c>
      <c r="AB633" t="s">
        <v>11723</v>
      </c>
      <c r="AC633" t="s">
        <v>8777</v>
      </c>
      <c r="AF633" t="s">
        <v>11724</v>
      </c>
      <c r="AI633" t="s">
        <v>8777</v>
      </c>
      <c r="AO633" t="s">
        <v>11725</v>
      </c>
    </row>
    <row r="634" spans="1:41" hidden="1" x14ac:dyDescent="0.35">
      <c r="A634" t="s">
        <v>11726</v>
      </c>
      <c r="B634" t="s">
        <v>7246</v>
      </c>
      <c r="C634" t="s">
        <v>5613</v>
      </c>
      <c r="D634" t="s">
        <v>5613</v>
      </c>
      <c r="E634" t="s">
        <v>5613</v>
      </c>
      <c r="G634" s="13" t="s">
        <v>11727</v>
      </c>
      <c r="H634" t="s">
        <v>11728</v>
      </c>
      <c r="K634" t="s">
        <v>11729</v>
      </c>
      <c r="L634" t="s">
        <v>11729</v>
      </c>
      <c r="M634" t="s">
        <v>7250</v>
      </c>
      <c r="T634" t="s">
        <v>6546</v>
      </c>
      <c r="U634" t="s">
        <v>6546</v>
      </c>
      <c r="V634" t="s">
        <v>6546</v>
      </c>
      <c r="W634">
        <v>184.09</v>
      </c>
      <c r="X634">
        <v>184.09</v>
      </c>
      <c r="AB634" t="s">
        <v>11730</v>
      </c>
      <c r="AC634" t="s">
        <v>8777</v>
      </c>
      <c r="AF634" t="s">
        <v>11731</v>
      </c>
      <c r="AI634" t="s">
        <v>8777</v>
      </c>
      <c r="AO634" t="s">
        <v>11732</v>
      </c>
    </row>
    <row r="635" spans="1:41" hidden="1" x14ac:dyDescent="0.35">
      <c r="A635" t="s">
        <v>11733</v>
      </c>
      <c r="B635" t="s">
        <v>7246</v>
      </c>
      <c r="C635" t="s">
        <v>5925</v>
      </c>
      <c r="D635" t="s">
        <v>5694</v>
      </c>
      <c r="E635" t="s">
        <v>9940</v>
      </c>
      <c r="G635" s="13" t="s">
        <v>11734</v>
      </c>
      <c r="H635" t="s">
        <v>11735</v>
      </c>
      <c r="K635" t="s">
        <v>11736</v>
      </c>
      <c r="L635" t="s">
        <v>11737</v>
      </c>
      <c r="M635" t="s">
        <v>7250</v>
      </c>
      <c r="T635" t="s">
        <v>6546</v>
      </c>
      <c r="U635" t="s">
        <v>6546</v>
      </c>
      <c r="V635">
        <v>87</v>
      </c>
      <c r="W635">
        <v>95.73</v>
      </c>
      <c r="X635">
        <v>87</v>
      </c>
      <c r="Y635">
        <v>36</v>
      </c>
      <c r="Z635" t="s">
        <v>7253</v>
      </c>
      <c r="AB635" t="s">
        <v>11738</v>
      </c>
      <c r="AC635" t="s">
        <v>8777</v>
      </c>
      <c r="AF635" t="s">
        <v>9495</v>
      </c>
      <c r="AI635" t="s">
        <v>8777</v>
      </c>
      <c r="AO635" t="s">
        <v>11739</v>
      </c>
    </row>
    <row r="636" spans="1:41" hidden="1" x14ac:dyDescent="0.35">
      <c r="A636" t="s">
        <v>11740</v>
      </c>
      <c r="B636" t="s">
        <v>7246</v>
      </c>
      <c r="C636" t="s">
        <v>5925</v>
      </c>
      <c r="D636" t="s">
        <v>5925</v>
      </c>
      <c r="E636" t="s">
        <v>5925</v>
      </c>
      <c r="G636" s="13" t="s">
        <v>11741</v>
      </c>
      <c r="H636" t="s">
        <v>11742</v>
      </c>
      <c r="J636" t="s">
        <v>11743</v>
      </c>
      <c r="K636" t="s">
        <v>11744</v>
      </c>
      <c r="L636" t="s">
        <v>11744</v>
      </c>
      <c r="M636" t="s">
        <v>7250</v>
      </c>
      <c r="T636" t="s">
        <v>6546</v>
      </c>
      <c r="U636" t="s">
        <v>6546</v>
      </c>
      <c r="V636" t="s">
        <v>6546</v>
      </c>
      <c r="W636">
        <v>368.95</v>
      </c>
      <c r="X636">
        <v>368.95</v>
      </c>
      <c r="Y636">
        <v>48</v>
      </c>
      <c r="Z636" t="s">
        <v>7253</v>
      </c>
      <c r="AB636" t="s">
        <v>10051</v>
      </c>
      <c r="AC636" t="s">
        <v>8777</v>
      </c>
      <c r="AF636" t="s">
        <v>11745</v>
      </c>
      <c r="AI636" t="s">
        <v>8777</v>
      </c>
      <c r="AO636" t="s">
        <v>11746</v>
      </c>
    </row>
    <row r="637" spans="1:41" hidden="1" x14ac:dyDescent="0.35">
      <c r="A637" t="s">
        <v>11747</v>
      </c>
      <c r="B637" t="s">
        <v>7246</v>
      </c>
      <c r="C637" t="s">
        <v>5925</v>
      </c>
      <c r="D637" t="s">
        <v>5925</v>
      </c>
      <c r="E637" t="s">
        <v>5925</v>
      </c>
      <c r="G637" s="13" t="s">
        <v>11748</v>
      </c>
      <c r="H637" t="s">
        <v>11749</v>
      </c>
      <c r="J637" t="s">
        <v>11750</v>
      </c>
      <c r="K637" t="s">
        <v>11744</v>
      </c>
      <c r="L637" t="s">
        <v>11744</v>
      </c>
      <c r="M637" t="s">
        <v>7250</v>
      </c>
      <c r="N637">
        <v>1996</v>
      </c>
      <c r="T637" t="s">
        <v>6546</v>
      </c>
      <c r="U637" t="s">
        <v>6546</v>
      </c>
      <c r="V637">
        <v>210</v>
      </c>
      <c r="W637">
        <v>118.65</v>
      </c>
      <c r="X637">
        <v>210</v>
      </c>
      <c r="Y637" t="s">
        <v>11751</v>
      </c>
      <c r="Z637" t="s">
        <v>7253</v>
      </c>
      <c r="AB637" t="s">
        <v>11752</v>
      </c>
      <c r="AC637" t="s">
        <v>8777</v>
      </c>
      <c r="AF637" t="s">
        <v>11753</v>
      </c>
      <c r="AI637" t="s">
        <v>8777</v>
      </c>
      <c r="AO637" t="s">
        <v>11754</v>
      </c>
    </row>
    <row r="638" spans="1:41" hidden="1" x14ac:dyDescent="0.35">
      <c r="A638" t="s">
        <v>11755</v>
      </c>
      <c r="B638" t="s">
        <v>7246</v>
      </c>
      <c r="C638" t="s">
        <v>9388</v>
      </c>
      <c r="D638" t="s">
        <v>5925</v>
      </c>
      <c r="E638" t="s">
        <v>11756</v>
      </c>
      <c r="G638" s="13" t="s">
        <v>11757</v>
      </c>
      <c r="H638" t="s">
        <v>11758</v>
      </c>
      <c r="K638" t="s">
        <v>11744</v>
      </c>
      <c r="L638" t="s">
        <v>11744</v>
      </c>
      <c r="M638" t="s">
        <v>7250</v>
      </c>
      <c r="T638" t="s">
        <v>6546</v>
      </c>
      <c r="U638" t="s">
        <v>6546</v>
      </c>
      <c r="V638" t="s">
        <v>6546</v>
      </c>
      <c r="W638">
        <v>181.9</v>
      </c>
      <c r="X638">
        <v>181.9</v>
      </c>
      <c r="Y638" t="s">
        <v>11759</v>
      </c>
      <c r="Z638" t="s">
        <v>7253</v>
      </c>
      <c r="AB638" t="s">
        <v>11760</v>
      </c>
      <c r="AC638" t="s">
        <v>8777</v>
      </c>
      <c r="AF638" t="s">
        <v>11761</v>
      </c>
      <c r="AI638" t="s">
        <v>8777</v>
      </c>
      <c r="AO638" t="s">
        <v>11762</v>
      </c>
    </row>
    <row r="639" spans="1:41" hidden="1" x14ac:dyDescent="0.35">
      <c r="A639" t="s">
        <v>11763</v>
      </c>
      <c r="B639" t="s">
        <v>7246</v>
      </c>
      <c r="C639" t="s">
        <v>5925</v>
      </c>
      <c r="D639" t="s">
        <v>5925</v>
      </c>
      <c r="E639" t="s">
        <v>5925</v>
      </c>
      <c r="G639" s="13" t="s">
        <v>11764</v>
      </c>
      <c r="H639" t="s">
        <v>11765</v>
      </c>
      <c r="J639" t="s">
        <v>11743</v>
      </c>
      <c r="K639" t="s">
        <v>11744</v>
      </c>
      <c r="L639" t="s">
        <v>11744</v>
      </c>
      <c r="M639" t="s">
        <v>7250</v>
      </c>
      <c r="T639" t="s">
        <v>6546</v>
      </c>
      <c r="U639" t="s">
        <v>6546</v>
      </c>
      <c r="V639" t="s">
        <v>6546</v>
      </c>
      <c r="W639">
        <v>453.24</v>
      </c>
      <c r="X639">
        <v>453.24</v>
      </c>
      <c r="Y639" t="s">
        <v>11766</v>
      </c>
      <c r="Z639" t="s">
        <v>7253</v>
      </c>
      <c r="AB639" t="s">
        <v>11745</v>
      </c>
      <c r="AC639" t="s">
        <v>8777</v>
      </c>
      <c r="AF639" t="s">
        <v>3755</v>
      </c>
      <c r="AI639" t="s">
        <v>8777</v>
      </c>
      <c r="AO639" t="s">
        <v>11767</v>
      </c>
    </row>
    <row r="640" spans="1:41" hidden="1" x14ac:dyDescent="0.35">
      <c r="A640" t="s">
        <v>11768</v>
      </c>
      <c r="B640" t="s">
        <v>7246</v>
      </c>
      <c r="C640" t="s">
        <v>5925</v>
      </c>
      <c r="D640" t="s">
        <v>5925</v>
      </c>
      <c r="E640" t="s">
        <v>5925</v>
      </c>
      <c r="G640" s="13" t="s">
        <v>11769</v>
      </c>
      <c r="H640" t="s">
        <v>11770</v>
      </c>
      <c r="J640" t="s">
        <v>11771</v>
      </c>
      <c r="K640" t="s">
        <v>11744</v>
      </c>
      <c r="L640" t="s">
        <v>11744</v>
      </c>
      <c r="M640" t="s">
        <v>7250</v>
      </c>
      <c r="T640" t="s">
        <v>6546</v>
      </c>
      <c r="U640" t="s">
        <v>6546</v>
      </c>
      <c r="V640">
        <v>41</v>
      </c>
      <c r="W640">
        <v>67.599999999999994</v>
      </c>
      <c r="X640">
        <v>41</v>
      </c>
      <c r="Y640">
        <v>6</v>
      </c>
      <c r="Z640" t="s">
        <v>7253</v>
      </c>
      <c r="AB640" t="s">
        <v>11772</v>
      </c>
      <c r="AC640" t="s">
        <v>8777</v>
      </c>
      <c r="AF640" t="s">
        <v>11773</v>
      </c>
      <c r="AI640" t="s">
        <v>8777</v>
      </c>
      <c r="AO640" t="s">
        <v>11774</v>
      </c>
    </row>
    <row r="641" spans="1:41" hidden="1" x14ac:dyDescent="0.35">
      <c r="A641" t="s">
        <v>11775</v>
      </c>
      <c r="B641" t="s">
        <v>7246</v>
      </c>
      <c r="C641" t="s">
        <v>387</v>
      </c>
      <c r="D641" t="s">
        <v>387</v>
      </c>
      <c r="E641" t="s">
        <v>387</v>
      </c>
      <c r="G641" s="13" t="s">
        <v>11776</v>
      </c>
      <c r="H641" t="s">
        <v>11777</v>
      </c>
      <c r="K641" t="s">
        <v>6543</v>
      </c>
      <c r="L641" t="s">
        <v>6543</v>
      </c>
      <c r="M641" t="s">
        <v>7250</v>
      </c>
      <c r="R641">
        <v>12</v>
      </c>
      <c r="S641" t="s">
        <v>8257</v>
      </c>
      <c r="T641">
        <v>12</v>
      </c>
      <c r="U641">
        <v>5584.6</v>
      </c>
      <c r="V641">
        <v>795</v>
      </c>
      <c r="W641">
        <v>825.53</v>
      </c>
      <c r="X641">
        <v>795</v>
      </c>
      <c r="Y641" t="s">
        <v>11778</v>
      </c>
      <c r="Z641" t="s">
        <v>7253</v>
      </c>
      <c r="AB641" t="s">
        <v>11779</v>
      </c>
      <c r="AC641" t="s">
        <v>8747</v>
      </c>
      <c r="AF641" t="s">
        <v>6096</v>
      </c>
      <c r="AI641" t="s">
        <v>8747</v>
      </c>
      <c r="AO641" t="s">
        <v>11780</v>
      </c>
    </row>
    <row r="642" spans="1:41" hidden="1" x14ac:dyDescent="0.35">
      <c r="A642" t="s">
        <v>11781</v>
      </c>
      <c r="B642" t="s">
        <v>7246</v>
      </c>
      <c r="C642" t="s">
        <v>423</v>
      </c>
      <c r="D642" t="s">
        <v>423</v>
      </c>
      <c r="E642" t="s">
        <v>423</v>
      </c>
      <c r="G642" s="13" t="s">
        <v>11782</v>
      </c>
      <c r="H642" t="s">
        <v>11783</v>
      </c>
      <c r="K642" t="s">
        <v>11784</v>
      </c>
      <c r="L642" t="s">
        <v>11785</v>
      </c>
      <c r="M642" t="s">
        <v>7250</v>
      </c>
      <c r="N642">
        <v>1970</v>
      </c>
      <c r="R642">
        <v>10</v>
      </c>
      <c r="S642" t="s">
        <v>8257</v>
      </c>
      <c r="T642">
        <v>9.9</v>
      </c>
      <c r="U642">
        <v>4607.3</v>
      </c>
      <c r="V642">
        <v>263</v>
      </c>
      <c r="W642">
        <v>392.11</v>
      </c>
      <c r="X642">
        <v>263</v>
      </c>
      <c r="Y642">
        <v>720</v>
      </c>
      <c r="Z642" t="s">
        <v>8842</v>
      </c>
      <c r="AA642" t="s">
        <v>11786</v>
      </c>
      <c r="AC642" t="s">
        <v>8844</v>
      </c>
      <c r="AF642" t="s">
        <v>11787</v>
      </c>
      <c r="AI642" t="s">
        <v>8844</v>
      </c>
      <c r="AL642" t="s">
        <v>11788</v>
      </c>
      <c r="AO642" t="s">
        <v>11789</v>
      </c>
    </row>
    <row r="643" spans="1:41" hidden="1" x14ac:dyDescent="0.35">
      <c r="A643" t="s">
        <v>11790</v>
      </c>
      <c r="B643" t="s">
        <v>7246</v>
      </c>
      <c r="C643" t="s">
        <v>5861</v>
      </c>
      <c r="D643" t="s">
        <v>5861</v>
      </c>
      <c r="E643" t="s">
        <v>5861</v>
      </c>
      <c r="G643" s="13" t="s">
        <v>11791</v>
      </c>
      <c r="H643" t="s">
        <v>11792</v>
      </c>
      <c r="J643" t="s">
        <v>11793</v>
      </c>
      <c r="K643" t="s">
        <v>6543</v>
      </c>
      <c r="L643" t="s">
        <v>6543</v>
      </c>
      <c r="M643" t="s">
        <v>7250</v>
      </c>
      <c r="N643">
        <v>1980</v>
      </c>
      <c r="O643">
        <v>2003</v>
      </c>
      <c r="T643" t="s">
        <v>6546</v>
      </c>
      <c r="U643" t="s">
        <v>6546</v>
      </c>
      <c r="V643">
        <v>225.85</v>
      </c>
      <c r="W643">
        <v>202.96</v>
      </c>
      <c r="X643">
        <v>225.85</v>
      </c>
      <c r="Y643">
        <v>26</v>
      </c>
      <c r="Z643" t="s">
        <v>7253</v>
      </c>
      <c r="AB643" t="s">
        <v>11794</v>
      </c>
      <c r="AC643" t="s">
        <v>8777</v>
      </c>
      <c r="AF643" t="s">
        <v>11642</v>
      </c>
      <c r="AI643" t="s">
        <v>8777</v>
      </c>
      <c r="AO643" t="s">
        <v>11795</v>
      </c>
    </row>
    <row r="644" spans="1:41" hidden="1" x14ac:dyDescent="0.35">
      <c r="A644" t="s">
        <v>11796</v>
      </c>
      <c r="B644" t="s">
        <v>7246</v>
      </c>
      <c r="C644" t="s">
        <v>5861</v>
      </c>
      <c r="D644" t="s">
        <v>5823</v>
      </c>
      <c r="E644" t="s">
        <v>5861</v>
      </c>
      <c r="G644" s="13" t="s">
        <v>11797</v>
      </c>
      <c r="H644" t="s">
        <v>11798</v>
      </c>
      <c r="K644" t="s">
        <v>6543</v>
      </c>
      <c r="L644" t="s">
        <v>6543</v>
      </c>
      <c r="M644" t="s">
        <v>7250</v>
      </c>
      <c r="N644">
        <v>1996</v>
      </c>
      <c r="O644">
        <v>2002</v>
      </c>
      <c r="T644" t="s">
        <v>6546</v>
      </c>
      <c r="U644" t="s">
        <v>6546</v>
      </c>
      <c r="V644">
        <v>251</v>
      </c>
      <c r="W644">
        <v>242.59</v>
      </c>
      <c r="X644">
        <v>251</v>
      </c>
      <c r="Y644" t="s">
        <v>11799</v>
      </c>
      <c r="Z644" t="s">
        <v>7253</v>
      </c>
      <c r="AB644" t="s">
        <v>8877</v>
      </c>
      <c r="AC644" t="s">
        <v>8777</v>
      </c>
      <c r="AF644" t="s">
        <v>11800</v>
      </c>
      <c r="AI644" t="s">
        <v>8777</v>
      </c>
      <c r="AO644" t="s">
        <v>11801</v>
      </c>
    </row>
    <row r="645" spans="1:41" hidden="1" x14ac:dyDescent="0.35">
      <c r="A645" t="s">
        <v>11802</v>
      </c>
      <c r="B645" t="s">
        <v>7246</v>
      </c>
      <c r="C645" t="s">
        <v>5823</v>
      </c>
      <c r="D645" t="s">
        <v>5823</v>
      </c>
      <c r="E645" t="s">
        <v>5823</v>
      </c>
      <c r="G645" s="13" t="s">
        <v>11803</v>
      </c>
      <c r="H645" t="s">
        <v>11804</v>
      </c>
      <c r="K645" t="s">
        <v>11805</v>
      </c>
      <c r="L645" t="s">
        <v>11806</v>
      </c>
      <c r="M645" t="s">
        <v>7250</v>
      </c>
      <c r="T645" t="s">
        <v>6546</v>
      </c>
      <c r="U645" t="s">
        <v>6546</v>
      </c>
      <c r="V645">
        <v>219</v>
      </c>
      <c r="W645">
        <v>213.57</v>
      </c>
      <c r="X645">
        <v>219</v>
      </c>
      <c r="Y645">
        <v>28</v>
      </c>
      <c r="Z645" t="s">
        <v>7253</v>
      </c>
      <c r="AB645" t="s">
        <v>11807</v>
      </c>
      <c r="AC645" t="s">
        <v>8777</v>
      </c>
      <c r="AF645" t="s">
        <v>11808</v>
      </c>
      <c r="AI645" t="s">
        <v>8777</v>
      </c>
      <c r="AO645" t="s">
        <v>11809</v>
      </c>
    </row>
    <row r="646" spans="1:41" hidden="1" x14ac:dyDescent="0.35">
      <c r="A646" t="s">
        <v>11810</v>
      </c>
      <c r="B646" t="s">
        <v>7246</v>
      </c>
      <c r="C646" t="s">
        <v>5823</v>
      </c>
      <c r="D646" t="s">
        <v>5823</v>
      </c>
      <c r="E646" t="s">
        <v>5823</v>
      </c>
      <c r="G646" s="13" t="s">
        <v>11811</v>
      </c>
      <c r="H646" t="s">
        <v>11812</v>
      </c>
      <c r="J646" t="s">
        <v>11813</v>
      </c>
      <c r="K646" t="s">
        <v>11805</v>
      </c>
      <c r="L646" t="s">
        <v>11806</v>
      </c>
      <c r="M646" t="s">
        <v>7250</v>
      </c>
      <c r="T646" t="s">
        <v>6546</v>
      </c>
      <c r="U646" t="s">
        <v>6546</v>
      </c>
      <c r="V646">
        <v>75</v>
      </c>
      <c r="W646">
        <v>55.07</v>
      </c>
      <c r="X646">
        <v>75</v>
      </c>
      <c r="Y646">
        <v>20</v>
      </c>
      <c r="Z646" t="s">
        <v>7253</v>
      </c>
      <c r="AB646" t="s">
        <v>11814</v>
      </c>
      <c r="AC646" t="s">
        <v>8777</v>
      </c>
      <c r="AF646" t="s">
        <v>11815</v>
      </c>
      <c r="AI646" t="s">
        <v>8777</v>
      </c>
      <c r="AO646" t="s">
        <v>11816</v>
      </c>
    </row>
    <row r="647" spans="1:41" hidden="1" x14ac:dyDescent="0.35">
      <c r="A647" t="s">
        <v>11817</v>
      </c>
      <c r="B647" t="s">
        <v>7246</v>
      </c>
      <c r="C647" t="s">
        <v>5823</v>
      </c>
      <c r="D647" t="s">
        <v>5823</v>
      </c>
      <c r="E647" t="s">
        <v>5823</v>
      </c>
      <c r="G647" s="13" t="s">
        <v>11818</v>
      </c>
      <c r="H647" t="s">
        <v>11819</v>
      </c>
      <c r="K647" t="s">
        <v>11805</v>
      </c>
      <c r="L647" t="s">
        <v>11806</v>
      </c>
      <c r="M647" t="s">
        <v>7250</v>
      </c>
      <c r="T647" t="s">
        <v>6546</v>
      </c>
      <c r="U647" t="s">
        <v>6546</v>
      </c>
      <c r="V647">
        <v>209</v>
      </c>
      <c r="W647">
        <v>217.83</v>
      </c>
      <c r="X647">
        <v>209</v>
      </c>
      <c r="Y647">
        <v>28</v>
      </c>
      <c r="Z647" t="s">
        <v>7253</v>
      </c>
      <c r="AB647" t="s">
        <v>11808</v>
      </c>
      <c r="AC647" t="s">
        <v>8777</v>
      </c>
      <c r="AF647" t="s">
        <v>11815</v>
      </c>
      <c r="AI647" t="s">
        <v>8777</v>
      </c>
      <c r="AO647" t="s">
        <v>11820</v>
      </c>
    </row>
    <row r="648" spans="1:41" hidden="1" x14ac:dyDescent="0.35">
      <c r="A648" t="s">
        <v>11821</v>
      </c>
      <c r="B648" t="s">
        <v>7246</v>
      </c>
      <c r="C648" t="s">
        <v>5823</v>
      </c>
      <c r="D648" t="s">
        <v>5823</v>
      </c>
      <c r="E648" t="s">
        <v>5823</v>
      </c>
      <c r="G648" s="13" t="s">
        <v>11822</v>
      </c>
      <c r="H648" t="s">
        <v>11823</v>
      </c>
      <c r="K648" t="s">
        <v>11805</v>
      </c>
      <c r="L648" t="s">
        <v>11806</v>
      </c>
      <c r="M648" t="s">
        <v>7250</v>
      </c>
      <c r="T648" t="s">
        <v>6546</v>
      </c>
      <c r="U648" t="s">
        <v>6546</v>
      </c>
      <c r="V648">
        <v>179</v>
      </c>
      <c r="W648">
        <v>244.68</v>
      </c>
      <c r="X648">
        <v>179</v>
      </c>
      <c r="Y648">
        <v>28</v>
      </c>
      <c r="Z648" t="s">
        <v>7253</v>
      </c>
      <c r="AB648" t="s">
        <v>1561</v>
      </c>
      <c r="AC648" t="s">
        <v>8777</v>
      </c>
      <c r="AF648" t="s">
        <v>11808</v>
      </c>
      <c r="AI648" t="s">
        <v>8777</v>
      </c>
      <c r="AO648" t="s">
        <v>11824</v>
      </c>
    </row>
    <row r="649" spans="1:41" hidden="1" x14ac:dyDescent="0.35">
      <c r="A649" t="s">
        <v>11825</v>
      </c>
      <c r="B649" t="s">
        <v>7246</v>
      </c>
      <c r="C649" t="s">
        <v>449</v>
      </c>
      <c r="D649" t="s">
        <v>449</v>
      </c>
      <c r="E649" t="s">
        <v>449</v>
      </c>
      <c r="G649" s="13" t="s">
        <v>11826</v>
      </c>
      <c r="H649" t="s">
        <v>11827</v>
      </c>
      <c r="K649" t="s">
        <v>11702</v>
      </c>
      <c r="L649" t="s">
        <v>11702</v>
      </c>
      <c r="M649" t="s">
        <v>9336</v>
      </c>
      <c r="Q649">
        <v>2019</v>
      </c>
      <c r="T649" t="s">
        <v>6546</v>
      </c>
      <c r="U649" t="s">
        <v>6546</v>
      </c>
      <c r="V649">
        <v>101.9</v>
      </c>
      <c r="W649">
        <v>101.91</v>
      </c>
      <c r="X649">
        <v>101.9</v>
      </c>
      <c r="Y649">
        <v>20</v>
      </c>
      <c r="Z649" t="s">
        <v>7253</v>
      </c>
      <c r="AA649" t="s">
        <v>11828</v>
      </c>
      <c r="AB649" t="s">
        <v>11828</v>
      </c>
      <c r="AC649" t="s">
        <v>8777</v>
      </c>
      <c r="AF649" t="s">
        <v>9468</v>
      </c>
      <c r="AI649" t="s">
        <v>8777</v>
      </c>
      <c r="AO649" t="s">
        <v>11829</v>
      </c>
    </row>
    <row r="650" spans="1:41" hidden="1" x14ac:dyDescent="0.35">
      <c r="A650" t="s">
        <v>11830</v>
      </c>
      <c r="B650" t="s">
        <v>7246</v>
      </c>
      <c r="C650" t="s">
        <v>5643</v>
      </c>
      <c r="D650" t="s">
        <v>5643</v>
      </c>
      <c r="E650" t="s">
        <v>5643</v>
      </c>
      <c r="G650" s="13" t="s">
        <v>11831</v>
      </c>
      <c r="H650" t="s">
        <v>11832</v>
      </c>
      <c r="J650" t="s">
        <v>11833</v>
      </c>
      <c r="K650" t="s">
        <v>11834</v>
      </c>
      <c r="L650" t="s">
        <v>11835</v>
      </c>
      <c r="M650" t="s">
        <v>7250</v>
      </c>
      <c r="N650">
        <v>1982</v>
      </c>
      <c r="O650">
        <v>1996</v>
      </c>
      <c r="T650" t="s">
        <v>6546</v>
      </c>
      <c r="U650" t="s">
        <v>6546</v>
      </c>
      <c r="V650">
        <v>110</v>
      </c>
      <c r="W650">
        <v>109.15</v>
      </c>
      <c r="X650">
        <v>110</v>
      </c>
      <c r="Y650">
        <v>24</v>
      </c>
      <c r="Z650" t="s">
        <v>7253</v>
      </c>
      <c r="AB650" t="s">
        <v>11836</v>
      </c>
      <c r="AC650" t="s">
        <v>8777</v>
      </c>
      <c r="AD650" t="s">
        <v>11837</v>
      </c>
      <c r="AE650" t="s">
        <v>3353</v>
      </c>
      <c r="AF650" t="s">
        <v>11838</v>
      </c>
      <c r="AG650" t="s">
        <v>11839</v>
      </c>
      <c r="AH650" t="s">
        <v>3353</v>
      </c>
      <c r="AI650" t="s">
        <v>8777</v>
      </c>
      <c r="AO650" t="s">
        <v>11840</v>
      </c>
    </row>
    <row r="651" spans="1:41" hidden="1" x14ac:dyDescent="0.35">
      <c r="A651" t="s">
        <v>11841</v>
      </c>
      <c r="B651" t="s">
        <v>7246</v>
      </c>
      <c r="C651" t="s">
        <v>5643</v>
      </c>
      <c r="D651" t="s">
        <v>5643</v>
      </c>
      <c r="E651" t="s">
        <v>5643</v>
      </c>
      <c r="G651" s="13" t="s">
        <v>11842</v>
      </c>
      <c r="H651" t="s">
        <v>11843</v>
      </c>
      <c r="K651" t="s">
        <v>9565</v>
      </c>
      <c r="L651" t="s">
        <v>9566</v>
      </c>
      <c r="M651" t="s">
        <v>7250</v>
      </c>
      <c r="N651">
        <v>2020</v>
      </c>
      <c r="T651" t="s">
        <v>6546</v>
      </c>
      <c r="U651" t="s">
        <v>6546</v>
      </c>
      <c r="V651">
        <v>26</v>
      </c>
      <c r="W651">
        <v>129.16999999999999</v>
      </c>
      <c r="X651">
        <v>26</v>
      </c>
      <c r="Y651">
        <v>1000</v>
      </c>
      <c r="Z651" t="s">
        <v>8842</v>
      </c>
      <c r="AB651" t="s">
        <v>9631</v>
      </c>
      <c r="AC651" t="s">
        <v>8777</v>
      </c>
      <c r="AF651" t="s">
        <v>11844</v>
      </c>
      <c r="AI651" t="s">
        <v>8777</v>
      </c>
      <c r="AJ651" t="s">
        <v>6407</v>
      </c>
      <c r="AO651" t="s">
        <v>11845</v>
      </c>
    </row>
    <row r="652" spans="1:41" hidden="1" x14ac:dyDescent="0.35">
      <c r="A652" t="s">
        <v>11846</v>
      </c>
      <c r="B652" t="s">
        <v>7246</v>
      </c>
      <c r="C652" t="s">
        <v>5643</v>
      </c>
      <c r="D652" t="s">
        <v>5643</v>
      </c>
      <c r="E652" t="s">
        <v>5643</v>
      </c>
      <c r="G652" s="13" t="s">
        <v>11847</v>
      </c>
      <c r="H652" t="s">
        <v>11848</v>
      </c>
      <c r="K652" t="s">
        <v>11849</v>
      </c>
      <c r="L652" t="s">
        <v>11850</v>
      </c>
      <c r="M652" t="s">
        <v>7250</v>
      </c>
      <c r="N652">
        <v>2021</v>
      </c>
      <c r="R652">
        <v>9.64</v>
      </c>
      <c r="S652" t="s">
        <v>8257</v>
      </c>
      <c r="T652">
        <v>9.64</v>
      </c>
      <c r="U652">
        <v>4484.43</v>
      </c>
      <c r="V652">
        <v>227</v>
      </c>
      <c r="W652">
        <v>212.25</v>
      </c>
      <c r="X652">
        <v>227</v>
      </c>
      <c r="Y652">
        <v>39</v>
      </c>
      <c r="Z652" t="s">
        <v>7253</v>
      </c>
      <c r="AB652" t="s">
        <v>11851</v>
      </c>
      <c r="AC652" t="s">
        <v>8777</v>
      </c>
      <c r="AF652" t="s">
        <v>11852</v>
      </c>
      <c r="AI652" t="s">
        <v>8777</v>
      </c>
      <c r="AO652" t="s">
        <v>11853</v>
      </c>
    </row>
    <row r="653" spans="1:41" hidden="1" x14ac:dyDescent="0.35">
      <c r="A653" t="s">
        <v>11854</v>
      </c>
      <c r="B653" t="s">
        <v>7246</v>
      </c>
      <c r="C653" t="s">
        <v>5714</v>
      </c>
      <c r="D653" t="s">
        <v>5714</v>
      </c>
      <c r="E653" t="s">
        <v>5714</v>
      </c>
      <c r="G653" s="13" t="s">
        <v>11855</v>
      </c>
      <c r="H653" t="s">
        <v>11856</v>
      </c>
      <c r="K653" t="s">
        <v>11857</v>
      </c>
      <c r="L653" t="s">
        <v>11858</v>
      </c>
      <c r="M653" t="s">
        <v>7415</v>
      </c>
      <c r="N653">
        <v>2022</v>
      </c>
      <c r="R653">
        <v>247.2</v>
      </c>
      <c r="S653" t="s">
        <v>7251</v>
      </c>
      <c r="T653">
        <v>2.56</v>
      </c>
      <c r="U653">
        <v>1189.8599999999999</v>
      </c>
      <c r="V653">
        <v>113</v>
      </c>
      <c r="W653">
        <v>96.99</v>
      </c>
      <c r="X653">
        <v>113</v>
      </c>
      <c r="Y653">
        <v>24</v>
      </c>
      <c r="Z653" t="s">
        <v>7253</v>
      </c>
      <c r="AB653" t="s">
        <v>11859</v>
      </c>
      <c r="AC653" t="s">
        <v>8777</v>
      </c>
      <c r="AE653" t="s">
        <v>11860</v>
      </c>
      <c r="AF653" t="s">
        <v>11861</v>
      </c>
      <c r="AH653" t="s">
        <v>11862</v>
      </c>
      <c r="AI653" t="s">
        <v>8777</v>
      </c>
      <c r="AJ653" t="s">
        <v>6407</v>
      </c>
      <c r="AO653" t="s">
        <v>11863</v>
      </c>
    </row>
    <row r="654" spans="1:41" hidden="1" x14ac:dyDescent="0.35">
      <c r="A654" t="s">
        <v>11864</v>
      </c>
      <c r="B654" t="s">
        <v>7246</v>
      </c>
      <c r="C654" t="s">
        <v>5714</v>
      </c>
      <c r="D654" t="s">
        <v>5714</v>
      </c>
      <c r="E654" t="s">
        <v>5714</v>
      </c>
      <c r="G654" s="13" t="s">
        <v>11865</v>
      </c>
      <c r="H654" t="s">
        <v>11866</v>
      </c>
      <c r="K654" t="s">
        <v>11857</v>
      </c>
      <c r="L654" t="s">
        <v>11858</v>
      </c>
      <c r="M654" t="s">
        <v>7415</v>
      </c>
      <c r="N654">
        <v>2022</v>
      </c>
      <c r="R654">
        <v>247.2</v>
      </c>
      <c r="S654" t="s">
        <v>7251</v>
      </c>
      <c r="T654">
        <v>2.56</v>
      </c>
      <c r="U654">
        <v>1189.8599999999999</v>
      </c>
      <c r="V654">
        <v>34.5</v>
      </c>
      <c r="W654">
        <v>24.43</v>
      </c>
      <c r="X654">
        <v>34.5</v>
      </c>
      <c r="Y654">
        <v>24</v>
      </c>
      <c r="Z654" t="s">
        <v>7253</v>
      </c>
      <c r="AB654" t="s">
        <v>11867</v>
      </c>
      <c r="AC654" t="s">
        <v>8777</v>
      </c>
      <c r="AE654" t="s">
        <v>11868</v>
      </c>
      <c r="AF654" t="s">
        <v>11869</v>
      </c>
      <c r="AH654" t="s">
        <v>11870</v>
      </c>
      <c r="AI654" t="s">
        <v>8777</v>
      </c>
      <c r="AJ654" t="s">
        <v>6407</v>
      </c>
      <c r="AO654" t="s">
        <v>11871</v>
      </c>
    </row>
    <row r="655" spans="1:41" hidden="1" x14ac:dyDescent="0.35">
      <c r="A655" t="s">
        <v>11872</v>
      </c>
      <c r="B655" t="s">
        <v>7246</v>
      </c>
      <c r="C655" t="s">
        <v>5714</v>
      </c>
      <c r="D655" t="s">
        <v>5714</v>
      </c>
      <c r="E655" t="s">
        <v>5714</v>
      </c>
      <c r="G655" s="13" t="s">
        <v>11873</v>
      </c>
      <c r="H655" t="s">
        <v>11874</v>
      </c>
      <c r="J655" t="s">
        <v>11875</v>
      </c>
      <c r="K655" t="s">
        <v>11876</v>
      </c>
      <c r="L655" t="s">
        <v>7025</v>
      </c>
      <c r="M655" t="s">
        <v>7292</v>
      </c>
      <c r="N655">
        <v>2028</v>
      </c>
      <c r="R655">
        <v>55</v>
      </c>
      <c r="S655" t="s">
        <v>8792</v>
      </c>
      <c r="T655">
        <v>20.09</v>
      </c>
      <c r="U655">
        <v>9348.9699999999993</v>
      </c>
      <c r="V655">
        <v>80</v>
      </c>
      <c r="W655">
        <v>67.709999999999994</v>
      </c>
      <c r="X655">
        <v>80</v>
      </c>
      <c r="Y655">
        <v>55</v>
      </c>
      <c r="Z655" t="s">
        <v>7253</v>
      </c>
      <c r="AB655" t="s">
        <v>11877</v>
      </c>
      <c r="AC655" t="s">
        <v>8777</v>
      </c>
      <c r="AE655" t="s">
        <v>1442</v>
      </c>
      <c r="AF655" t="s">
        <v>1865</v>
      </c>
      <c r="AI655" t="s">
        <v>8777</v>
      </c>
      <c r="AJ655" t="s">
        <v>9032</v>
      </c>
      <c r="AO655" t="s">
        <v>11878</v>
      </c>
    </row>
    <row r="656" spans="1:41" hidden="1" x14ac:dyDescent="0.35">
      <c r="A656" t="s">
        <v>11879</v>
      </c>
      <c r="B656" t="s">
        <v>7246</v>
      </c>
      <c r="C656" t="s">
        <v>5694</v>
      </c>
      <c r="D656" t="s">
        <v>5714</v>
      </c>
      <c r="E656" t="s">
        <v>11880</v>
      </c>
      <c r="G656" s="13" t="s">
        <v>11881</v>
      </c>
      <c r="H656" t="s">
        <v>11882</v>
      </c>
      <c r="J656" t="s">
        <v>11883</v>
      </c>
      <c r="K656" t="s">
        <v>9943</v>
      </c>
      <c r="L656" t="s">
        <v>9944</v>
      </c>
      <c r="M656" t="s">
        <v>7250</v>
      </c>
      <c r="N656">
        <v>2010</v>
      </c>
      <c r="T656" t="s">
        <v>6546</v>
      </c>
      <c r="U656" t="s">
        <v>6546</v>
      </c>
      <c r="V656">
        <v>800</v>
      </c>
      <c r="W656">
        <v>656.19</v>
      </c>
      <c r="X656">
        <v>800</v>
      </c>
      <c r="AC656" t="s">
        <v>8777</v>
      </c>
      <c r="AG656" t="s">
        <v>9766</v>
      </c>
      <c r="AI656" t="s">
        <v>8777</v>
      </c>
      <c r="AO656" t="s">
        <v>11884</v>
      </c>
    </row>
    <row r="657" spans="1:41" hidden="1" x14ac:dyDescent="0.35">
      <c r="A657" t="s">
        <v>11885</v>
      </c>
      <c r="B657" t="s">
        <v>7246</v>
      </c>
      <c r="C657" t="s">
        <v>356</v>
      </c>
      <c r="D657" t="s">
        <v>5591</v>
      </c>
      <c r="E657" t="s">
        <v>11886</v>
      </c>
      <c r="G657" s="13" t="s">
        <v>11887</v>
      </c>
      <c r="H657" t="s">
        <v>11888</v>
      </c>
      <c r="J657" t="s">
        <v>11889</v>
      </c>
      <c r="K657" t="s">
        <v>11890</v>
      </c>
      <c r="L657" t="s">
        <v>11891</v>
      </c>
      <c r="M657" t="s">
        <v>7292</v>
      </c>
      <c r="N657">
        <v>2026</v>
      </c>
      <c r="R657">
        <v>635.66</v>
      </c>
      <c r="S657" t="s">
        <v>7251</v>
      </c>
      <c r="T657">
        <v>6.57</v>
      </c>
      <c r="U657">
        <v>3059.64</v>
      </c>
      <c r="V657">
        <v>62</v>
      </c>
      <c r="W657">
        <v>116.39</v>
      </c>
      <c r="X657">
        <v>62</v>
      </c>
      <c r="Y657">
        <v>31.5</v>
      </c>
      <c r="Z657" t="s">
        <v>7253</v>
      </c>
      <c r="AB657" t="s">
        <v>11892</v>
      </c>
      <c r="AC657" t="s">
        <v>8777</v>
      </c>
      <c r="AF657" t="s">
        <v>11893</v>
      </c>
      <c r="AI657" t="s">
        <v>8777</v>
      </c>
      <c r="AO657" t="s">
        <v>11894</v>
      </c>
    </row>
    <row r="658" spans="1:41" hidden="1" x14ac:dyDescent="0.35">
      <c r="A658" t="s">
        <v>11895</v>
      </c>
      <c r="B658" t="s">
        <v>7246</v>
      </c>
      <c r="C658" t="s">
        <v>5583</v>
      </c>
      <c r="D658" t="s">
        <v>5583</v>
      </c>
      <c r="E658" t="s">
        <v>5583</v>
      </c>
      <c r="G658" s="13" t="s">
        <v>11896</v>
      </c>
      <c r="H658" t="s">
        <v>11897</v>
      </c>
      <c r="K658" t="s">
        <v>11898</v>
      </c>
      <c r="L658" t="s">
        <v>11899</v>
      </c>
      <c r="M658" t="s">
        <v>7250</v>
      </c>
      <c r="N658">
        <v>1975</v>
      </c>
      <c r="T658" t="s">
        <v>6546</v>
      </c>
      <c r="U658" t="s">
        <v>6546</v>
      </c>
      <c r="V658">
        <v>58</v>
      </c>
      <c r="W658">
        <v>56.79</v>
      </c>
      <c r="X658">
        <v>58</v>
      </c>
      <c r="Y658">
        <v>27.5</v>
      </c>
      <c r="Z658" t="s">
        <v>7253</v>
      </c>
      <c r="AB658" t="s">
        <v>11900</v>
      </c>
      <c r="AC658" t="s">
        <v>8777</v>
      </c>
      <c r="AF658" t="s">
        <v>11901</v>
      </c>
      <c r="AI658" t="s">
        <v>8777</v>
      </c>
      <c r="AO658" t="s">
        <v>11902</v>
      </c>
    </row>
    <row r="659" spans="1:41" hidden="1" x14ac:dyDescent="0.35">
      <c r="A659" t="s">
        <v>11903</v>
      </c>
      <c r="B659" t="s">
        <v>7246</v>
      </c>
      <c r="C659" t="s">
        <v>5583</v>
      </c>
      <c r="D659" t="s">
        <v>5583</v>
      </c>
      <c r="E659" t="s">
        <v>5583</v>
      </c>
      <c r="G659" s="13" t="s">
        <v>11904</v>
      </c>
      <c r="H659" t="s">
        <v>11905</v>
      </c>
      <c r="K659" t="s">
        <v>11898</v>
      </c>
      <c r="L659" t="s">
        <v>11899</v>
      </c>
      <c r="M659" t="s">
        <v>7250</v>
      </c>
      <c r="N659">
        <v>1975</v>
      </c>
      <c r="T659" t="s">
        <v>6546</v>
      </c>
      <c r="U659" t="s">
        <v>6546</v>
      </c>
      <c r="V659">
        <v>23</v>
      </c>
      <c r="W659">
        <v>21.24</v>
      </c>
      <c r="X659">
        <v>23</v>
      </c>
      <c r="Y659">
        <v>27.5</v>
      </c>
      <c r="Z659" t="s">
        <v>7253</v>
      </c>
      <c r="AB659" t="s">
        <v>11906</v>
      </c>
      <c r="AC659" t="s">
        <v>8777</v>
      </c>
      <c r="AF659" t="s">
        <v>11907</v>
      </c>
      <c r="AI659" t="s">
        <v>8777</v>
      </c>
      <c r="AO659" t="s">
        <v>11908</v>
      </c>
    </row>
    <row r="660" spans="1:41" hidden="1" x14ac:dyDescent="0.35">
      <c r="A660" t="s">
        <v>11909</v>
      </c>
      <c r="B660" t="s">
        <v>7246</v>
      </c>
      <c r="C660" t="s">
        <v>5583</v>
      </c>
      <c r="D660" t="s">
        <v>5583</v>
      </c>
      <c r="E660" t="s">
        <v>5583</v>
      </c>
      <c r="G660" s="13" t="s">
        <v>11910</v>
      </c>
      <c r="H660" t="s">
        <v>11911</v>
      </c>
      <c r="K660" t="s">
        <v>11898</v>
      </c>
      <c r="L660" t="s">
        <v>11899</v>
      </c>
      <c r="M660" t="s">
        <v>7250</v>
      </c>
      <c r="N660">
        <v>2018</v>
      </c>
      <c r="R660">
        <v>1.7</v>
      </c>
      <c r="S660" t="s">
        <v>8257</v>
      </c>
      <c r="T660">
        <v>1.7</v>
      </c>
      <c r="U660">
        <v>791.15</v>
      </c>
      <c r="V660">
        <v>20</v>
      </c>
      <c r="W660">
        <v>85.89</v>
      </c>
      <c r="X660">
        <v>20</v>
      </c>
      <c r="Y660">
        <v>39</v>
      </c>
      <c r="Z660" t="s">
        <v>7253</v>
      </c>
      <c r="AB660" t="s">
        <v>11912</v>
      </c>
      <c r="AC660" t="s">
        <v>8777</v>
      </c>
      <c r="AF660" t="s">
        <v>11913</v>
      </c>
      <c r="AI660" t="s">
        <v>8777</v>
      </c>
      <c r="AO660" t="s">
        <v>11914</v>
      </c>
    </row>
    <row r="661" spans="1:41" hidden="1" x14ac:dyDescent="0.35">
      <c r="A661" t="s">
        <v>11915</v>
      </c>
      <c r="B661" t="s">
        <v>7246</v>
      </c>
      <c r="C661" t="s">
        <v>5583</v>
      </c>
      <c r="D661" t="s">
        <v>5583</v>
      </c>
      <c r="E661" t="s">
        <v>5583</v>
      </c>
      <c r="G661" s="13" t="s">
        <v>11916</v>
      </c>
      <c r="H661" t="s">
        <v>11917</v>
      </c>
      <c r="I661" t="s">
        <v>8683</v>
      </c>
      <c r="K661" t="s">
        <v>11898</v>
      </c>
      <c r="L661" t="s">
        <v>11899</v>
      </c>
      <c r="M661" t="s">
        <v>7415</v>
      </c>
      <c r="N661">
        <v>2022</v>
      </c>
      <c r="R661">
        <v>1.4</v>
      </c>
      <c r="S661" t="s">
        <v>8257</v>
      </c>
      <c r="T661">
        <v>1.4</v>
      </c>
      <c r="U661">
        <v>651.54</v>
      </c>
      <c r="V661">
        <v>0</v>
      </c>
      <c r="W661" t="s">
        <v>6546</v>
      </c>
      <c r="X661">
        <v>0</v>
      </c>
      <c r="Y661">
        <v>27.5</v>
      </c>
      <c r="Z661" t="s">
        <v>7253</v>
      </c>
      <c r="AB661" t="s">
        <v>11918</v>
      </c>
      <c r="AC661" t="s">
        <v>8777</v>
      </c>
      <c r="AF661" t="s">
        <v>11919</v>
      </c>
      <c r="AI661" t="s">
        <v>8777</v>
      </c>
      <c r="AJ661" t="s">
        <v>6407</v>
      </c>
      <c r="AO661" t="s">
        <v>6546</v>
      </c>
    </row>
    <row r="662" spans="1:41" hidden="1" x14ac:dyDescent="0.35">
      <c r="A662" t="s">
        <v>11920</v>
      </c>
      <c r="B662" t="s">
        <v>7246</v>
      </c>
      <c r="C662" t="s">
        <v>5591</v>
      </c>
      <c r="D662" t="s">
        <v>5643</v>
      </c>
      <c r="E662" t="s">
        <v>9510</v>
      </c>
      <c r="G662" s="13" t="s">
        <v>11921</v>
      </c>
      <c r="H662" t="s">
        <v>11922</v>
      </c>
      <c r="J662" t="s">
        <v>11923</v>
      </c>
      <c r="K662" t="s">
        <v>11924</v>
      </c>
      <c r="L662" t="s">
        <v>11925</v>
      </c>
      <c r="M662" t="s">
        <v>7250</v>
      </c>
      <c r="N662">
        <v>2021</v>
      </c>
      <c r="R662">
        <v>27.5</v>
      </c>
      <c r="S662" t="s">
        <v>8257</v>
      </c>
      <c r="T662">
        <v>27.5</v>
      </c>
      <c r="U662">
        <v>12798.04</v>
      </c>
      <c r="V662">
        <v>150</v>
      </c>
      <c r="W662">
        <v>141.63</v>
      </c>
      <c r="X662">
        <v>150</v>
      </c>
      <c r="Y662">
        <v>55</v>
      </c>
      <c r="Z662" t="s">
        <v>7253</v>
      </c>
      <c r="AB662" t="s">
        <v>11926</v>
      </c>
      <c r="AC662" t="s">
        <v>8777</v>
      </c>
      <c r="AF662" t="s">
        <v>11927</v>
      </c>
      <c r="AI662" t="s">
        <v>8777</v>
      </c>
      <c r="AJ662" t="s">
        <v>6407</v>
      </c>
      <c r="AO662" t="s">
        <v>11928</v>
      </c>
    </row>
    <row r="663" spans="1:41" hidden="1" x14ac:dyDescent="0.35">
      <c r="A663" t="s">
        <v>11929</v>
      </c>
      <c r="B663" t="s">
        <v>7246</v>
      </c>
      <c r="C663" t="s">
        <v>5591</v>
      </c>
      <c r="D663" t="s">
        <v>5802</v>
      </c>
      <c r="E663" t="s">
        <v>11930</v>
      </c>
      <c r="G663" s="13" t="s">
        <v>11931</v>
      </c>
      <c r="H663" t="s">
        <v>11932</v>
      </c>
      <c r="J663" t="s">
        <v>11933</v>
      </c>
      <c r="K663" t="s">
        <v>11934</v>
      </c>
      <c r="L663" t="s">
        <v>11935</v>
      </c>
      <c r="M663" t="s">
        <v>7292</v>
      </c>
      <c r="N663">
        <v>2022</v>
      </c>
      <c r="T663" t="s">
        <v>6546</v>
      </c>
      <c r="U663" t="s">
        <v>6546</v>
      </c>
      <c r="V663">
        <v>207</v>
      </c>
      <c r="W663">
        <v>233.09</v>
      </c>
      <c r="X663">
        <v>207</v>
      </c>
      <c r="Y663">
        <v>39</v>
      </c>
      <c r="Z663" t="s">
        <v>7253</v>
      </c>
      <c r="AB663" t="s">
        <v>11936</v>
      </c>
      <c r="AC663" t="s">
        <v>8777</v>
      </c>
      <c r="AF663" t="s">
        <v>11937</v>
      </c>
      <c r="AI663" t="s">
        <v>8777</v>
      </c>
      <c r="AO663" t="s">
        <v>11938</v>
      </c>
    </row>
    <row r="664" spans="1:41" hidden="1" x14ac:dyDescent="0.35">
      <c r="A664" t="s">
        <v>11939</v>
      </c>
      <c r="B664" t="s">
        <v>7246</v>
      </c>
      <c r="C664" t="s">
        <v>5823</v>
      </c>
      <c r="D664" t="s">
        <v>5823</v>
      </c>
      <c r="E664" t="s">
        <v>5823</v>
      </c>
      <c r="G664" s="13" t="s">
        <v>11940</v>
      </c>
      <c r="H664" t="s">
        <v>11941</v>
      </c>
      <c r="J664" t="s">
        <v>11942</v>
      </c>
      <c r="K664" t="s">
        <v>11943</v>
      </c>
      <c r="L664" t="s">
        <v>11944</v>
      </c>
      <c r="M664" t="s">
        <v>7292</v>
      </c>
      <c r="N664">
        <v>2025</v>
      </c>
      <c r="T664" t="s">
        <v>6546</v>
      </c>
      <c r="U664" t="s">
        <v>6546</v>
      </c>
      <c r="V664">
        <v>162</v>
      </c>
      <c r="W664">
        <v>151.54</v>
      </c>
      <c r="X664">
        <v>162</v>
      </c>
      <c r="Y664">
        <v>28</v>
      </c>
      <c r="Z664" t="s">
        <v>7253</v>
      </c>
      <c r="AB664" t="s">
        <v>11945</v>
      </c>
      <c r="AC664" t="s">
        <v>8777</v>
      </c>
      <c r="AF664" t="s">
        <v>11946</v>
      </c>
      <c r="AI664" t="s">
        <v>8777</v>
      </c>
      <c r="AJ664" t="s">
        <v>9032</v>
      </c>
      <c r="AO664" t="s">
        <v>11947</v>
      </c>
    </row>
    <row r="665" spans="1:41" hidden="1" x14ac:dyDescent="0.35">
      <c r="A665" t="s">
        <v>11948</v>
      </c>
      <c r="B665" t="s">
        <v>7246</v>
      </c>
      <c r="C665" t="s">
        <v>5830</v>
      </c>
      <c r="D665" t="s">
        <v>5830</v>
      </c>
      <c r="E665" t="s">
        <v>5830</v>
      </c>
      <c r="G665" s="13" t="s">
        <v>11949</v>
      </c>
      <c r="H665" t="s">
        <v>11950</v>
      </c>
      <c r="J665" t="s">
        <v>11951</v>
      </c>
      <c r="K665" t="s">
        <v>11952</v>
      </c>
      <c r="L665" t="s">
        <v>11953</v>
      </c>
      <c r="M665" t="s">
        <v>7292</v>
      </c>
      <c r="N665">
        <v>2022</v>
      </c>
      <c r="T665" t="s">
        <v>6546</v>
      </c>
      <c r="U665" t="s">
        <v>6546</v>
      </c>
      <c r="V665">
        <v>308</v>
      </c>
      <c r="W665">
        <v>307.95</v>
      </c>
      <c r="X665">
        <v>308</v>
      </c>
      <c r="Y665" t="s">
        <v>11954</v>
      </c>
      <c r="Z665" t="s">
        <v>7253</v>
      </c>
      <c r="AB665" t="s">
        <v>11955</v>
      </c>
      <c r="AC665" t="s">
        <v>8777</v>
      </c>
      <c r="AF665" t="s">
        <v>11956</v>
      </c>
      <c r="AI665" t="s">
        <v>8777</v>
      </c>
      <c r="AJ665" t="s">
        <v>6407</v>
      </c>
      <c r="AO665" t="s">
        <v>11957</v>
      </c>
    </row>
    <row r="666" spans="1:41" hidden="1" x14ac:dyDescent="0.35">
      <c r="A666" t="s">
        <v>11958</v>
      </c>
      <c r="B666" t="s">
        <v>7246</v>
      </c>
      <c r="C666" t="s">
        <v>5694</v>
      </c>
      <c r="D666" t="s">
        <v>5694</v>
      </c>
      <c r="E666" t="s">
        <v>5694</v>
      </c>
      <c r="G666" s="13" t="s">
        <v>11959</v>
      </c>
      <c r="H666" t="s">
        <v>11960</v>
      </c>
      <c r="I666" t="s">
        <v>11961</v>
      </c>
      <c r="J666" t="s">
        <v>11962</v>
      </c>
      <c r="K666" t="s">
        <v>11963</v>
      </c>
      <c r="L666" t="s">
        <v>11964</v>
      </c>
      <c r="M666" t="s">
        <v>7292</v>
      </c>
      <c r="N666">
        <v>2023</v>
      </c>
      <c r="O666">
        <v>2024</v>
      </c>
      <c r="T666" t="s">
        <v>6546</v>
      </c>
      <c r="U666" t="s">
        <v>6546</v>
      </c>
      <c r="V666">
        <v>54</v>
      </c>
      <c r="W666">
        <v>43.07</v>
      </c>
      <c r="X666">
        <v>54</v>
      </c>
      <c r="Y666">
        <v>29.5</v>
      </c>
      <c r="Z666" t="s">
        <v>7253</v>
      </c>
      <c r="AB666" t="s">
        <v>11965</v>
      </c>
      <c r="AC666" t="s">
        <v>8777</v>
      </c>
      <c r="AF666" t="s">
        <v>11966</v>
      </c>
      <c r="AI666" t="s">
        <v>8777</v>
      </c>
      <c r="AJ666" t="s">
        <v>9032</v>
      </c>
      <c r="AO666" t="s">
        <v>11967</v>
      </c>
    </row>
    <row r="667" spans="1:41" hidden="1" x14ac:dyDescent="0.35">
      <c r="A667" t="s">
        <v>11968</v>
      </c>
      <c r="B667" t="s">
        <v>7246</v>
      </c>
      <c r="C667" t="s">
        <v>5830</v>
      </c>
      <c r="D667" t="s">
        <v>5844</v>
      </c>
      <c r="E667" t="s">
        <v>11969</v>
      </c>
      <c r="G667" s="13" t="s">
        <v>11970</v>
      </c>
      <c r="H667" t="s">
        <v>11971</v>
      </c>
      <c r="K667" t="s">
        <v>11972</v>
      </c>
      <c r="L667" t="s">
        <v>11973</v>
      </c>
      <c r="M667" t="s">
        <v>7292</v>
      </c>
      <c r="N667">
        <v>2023</v>
      </c>
      <c r="T667" t="s">
        <v>6546</v>
      </c>
      <c r="U667" t="s">
        <v>6546</v>
      </c>
      <c r="V667">
        <v>97</v>
      </c>
      <c r="W667">
        <v>93.35</v>
      </c>
      <c r="X667">
        <v>97</v>
      </c>
      <c r="Y667">
        <v>23.6</v>
      </c>
      <c r="Z667" t="s">
        <v>7253</v>
      </c>
      <c r="AB667" t="s">
        <v>11974</v>
      </c>
      <c r="AC667" t="s">
        <v>8777</v>
      </c>
      <c r="AF667" t="s">
        <v>11975</v>
      </c>
      <c r="AI667" t="s">
        <v>8777</v>
      </c>
      <c r="AJ667" t="s">
        <v>9032</v>
      </c>
      <c r="AO667" t="s">
        <v>11976</v>
      </c>
    </row>
    <row r="668" spans="1:41" hidden="1" x14ac:dyDescent="0.35">
      <c r="A668" t="s">
        <v>11977</v>
      </c>
      <c r="B668" t="s">
        <v>7246</v>
      </c>
      <c r="C668" t="s">
        <v>5694</v>
      </c>
      <c r="D668" t="s">
        <v>5694</v>
      </c>
      <c r="E668" t="s">
        <v>5694</v>
      </c>
      <c r="G668" s="13" t="s">
        <v>11978</v>
      </c>
      <c r="H668" t="s">
        <v>11979</v>
      </c>
      <c r="K668" t="s">
        <v>11736</v>
      </c>
      <c r="L668" t="s">
        <v>11737</v>
      </c>
      <c r="M668" t="s">
        <v>7269</v>
      </c>
      <c r="N668">
        <v>2025</v>
      </c>
      <c r="T668" t="s">
        <v>6546</v>
      </c>
      <c r="U668" t="s">
        <v>6546</v>
      </c>
      <c r="V668">
        <v>620</v>
      </c>
      <c r="W668">
        <v>473.43</v>
      </c>
      <c r="X668">
        <v>620</v>
      </c>
      <c r="Y668">
        <v>42</v>
      </c>
      <c r="Z668" t="s">
        <v>7253</v>
      </c>
      <c r="AB668" t="s">
        <v>9495</v>
      </c>
      <c r="AC668" t="s">
        <v>8777</v>
      </c>
      <c r="AF668" t="s">
        <v>11980</v>
      </c>
      <c r="AI668" t="s">
        <v>8777</v>
      </c>
      <c r="AO668" t="s">
        <v>11981</v>
      </c>
    </row>
    <row r="669" spans="1:41" hidden="1" x14ac:dyDescent="0.35">
      <c r="A669" t="s">
        <v>11982</v>
      </c>
      <c r="B669" t="s">
        <v>7246</v>
      </c>
      <c r="C669" t="s">
        <v>5858</v>
      </c>
      <c r="D669" t="s">
        <v>5858</v>
      </c>
      <c r="E669" t="s">
        <v>5858</v>
      </c>
      <c r="G669" s="13" t="s">
        <v>11983</v>
      </c>
      <c r="H669" t="s">
        <v>11984</v>
      </c>
      <c r="I669" t="s">
        <v>11985</v>
      </c>
      <c r="K669" t="s">
        <v>11986</v>
      </c>
      <c r="L669" t="s">
        <v>11987</v>
      </c>
      <c r="M669" t="s">
        <v>7292</v>
      </c>
      <c r="N669">
        <v>2023</v>
      </c>
      <c r="O669">
        <v>2023</v>
      </c>
      <c r="P669">
        <v>2025</v>
      </c>
      <c r="T669" t="s">
        <v>6546</v>
      </c>
      <c r="U669" t="s">
        <v>6546</v>
      </c>
      <c r="V669">
        <v>74.5</v>
      </c>
      <c r="W669">
        <v>62.66</v>
      </c>
      <c r="X669">
        <v>74.5</v>
      </c>
      <c r="Y669">
        <v>19.7</v>
      </c>
      <c r="Z669" t="s">
        <v>7253</v>
      </c>
      <c r="AB669" t="s">
        <v>11988</v>
      </c>
      <c r="AC669" t="s">
        <v>8777</v>
      </c>
      <c r="AF669" t="s">
        <v>11989</v>
      </c>
      <c r="AI669" t="s">
        <v>8777</v>
      </c>
      <c r="AJ669" t="s">
        <v>9032</v>
      </c>
      <c r="AO669" t="s">
        <v>11990</v>
      </c>
    </row>
    <row r="670" spans="1:41" hidden="1" x14ac:dyDescent="0.35">
      <c r="A670" t="s">
        <v>11991</v>
      </c>
      <c r="B670" t="s">
        <v>7246</v>
      </c>
      <c r="C670" t="s">
        <v>5861</v>
      </c>
      <c r="D670" t="s">
        <v>5861</v>
      </c>
      <c r="E670" t="s">
        <v>5861</v>
      </c>
      <c r="G670" s="13" t="s">
        <v>11992</v>
      </c>
      <c r="H670" t="s">
        <v>11993</v>
      </c>
      <c r="K670" t="s">
        <v>8694</v>
      </c>
      <c r="L670" t="s">
        <v>8694</v>
      </c>
      <c r="M670" t="s">
        <v>7269</v>
      </c>
      <c r="T670" t="s">
        <v>6546</v>
      </c>
      <c r="U670" t="s">
        <v>6546</v>
      </c>
      <c r="V670">
        <v>86</v>
      </c>
      <c r="W670">
        <v>72.75</v>
      </c>
      <c r="X670">
        <v>86</v>
      </c>
      <c r="Y670">
        <v>27.6</v>
      </c>
      <c r="Z670" t="s">
        <v>7253</v>
      </c>
      <c r="AB670" t="s">
        <v>11994</v>
      </c>
      <c r="AC670" t="s">
        <v>8777</v>
      </c>
      <c r="AF670" t="s">
        <v>11995</v>
      </c>
      <c r="AI670" t="s">
        <v>8777</v>
      </c>
      <c r="AO670" t="s">
        <v>11996</v>
      </c>
    </row>
    <row r="671" spans="1:41" hidden="1" x14ac:dyDescent="0.35">
      <c r="A671" t="s">
        <v>11997</v>
      </c>
      <c r="B671" t="s">
        <v>7246</v>
      </c>
      <c r="C671" t="s">
        <v>5580</v>
      </c>
      <c r="D671" t="s">
        <v>5580</v>
      </c>
      <c r="E671" t="s">
        <v>11998</v>
      </c>
      <c r="G671" s="13" t="s">
        <v>11999</v>
      </c>
      <c r="H671" t="s">
        <v>12000</v>
      </c>
      <c r="J671" t="s">
        <v>12001</v>
      </c>
      <c r="K671" t="s">
        <v>12002</v>
      </c>
      <c r="L671" t="s">
        <v>12002</v>
      </c>
      <c r="M671" t="s">
        <v>7292</v>
      </c>
      <c r="N671">
        <v>2026</v>
      </c>
      <c r="R671">
        <v>162</v>
      </c>
      <c r="S671" t="s">
        <v>12003</v>
      </c>
      <c r="T671">
        <v>5.96</v>
      </c>
      <c r="U671">
        <v>2775.73</v>
      </c>
      <c r="V671">
        <v>145.1</v>
      </c>
      <c r="W671">
        <v>114.79</v>
      </c>
      <c r="X671">
        <v>145.1</v>
      </c>
      <c r="Y671">
        <v>19.7</v>
      </c>
      <c r="Z671" t="s">
        <v>7253</v>
      </c>
      <c r="AB671" t="s">
        <v>12004</v>
      </c>
      <c r="AC671" t="s">
        <v>8777</v>
      </c>
      <c r="AF671" t="s">
        <v>5578</v>
      </c>
      <c r="AI671" t="s">
        <v>8777</v>
      </c>
      <c r="AJ671" t="s">
        <v>9032</v>
      </c>
      <c r="AO671" t="s">
        <v>12005</v>
      </c>
    </row>
    <row r="672" spans="1:41" hidden="1" x14ac:dyDescent="0.35">
      <c r="A672" t="s">
        <v>12006</v>
      </c>
      <c r="B672" t="s">
        <v>7246</v>
      </c>
      <c r="C672" t="s">
        <v>5858</v>
      </c>
      <c r="D672" t="s">
        <v>5858</v>
      </c>
      <c r="E672" t="s">
        <v>5858</v>
      </c>
      <c r="G672" s="13" t="s">
        <v>11983</v>
      </c>
      <c r="H672" t="s">
        <v>11984</v>
      </c>
      <c r="I672" t="s">
        <v>12007</v>
      </c>
      <c r="K672" t="s">
        <v>11986</v>
      </c>
      <c r="L672" t="s">
        <v>11987</v>
      </c>
      <c r="M672" t="s">
        <v>7292</v>
      </c>
      <c r="N672">
        <v>2026</v>
      </c>
      <c r="T672" t="s">
        <v>6546</v>
      </c>
      <c r="U672" t="s">
        <v>6546</v>
      </c>
      <c r="V672">
        <v>101</v>
      </c>
      <c r="W672">
        <v>84.02</v>
      </c>
      <c r="X672">
        <v>101</v>
      </c>
      <c r="Y672">
        <v>43</v>
      </c>
      <c r="Z672" t="s">
        <v>7253</v>
      </c>
      <c r="AB672" t="s">
        <v>12008</v>
      </c>
      <c r="AC672" t="s">
        <v>8777</v>
      </c>
      <c r="AF672" t="s">
        <v>12009</v>
      </c>
      <c r="AI672" t="s">
        <v>8777</v>
      </c>
      <c r="AJ672" t="s">
        <v>9032</v>
      </c>
      <c r="AO672" t="s">
        <v>12010</v>
      </c>
    </row>
    <row r="673" spans="1:41" hidden="1" x14ac:dyDescent="0.35">
      <c r="A673" t="s">
        <v>12011</v>
      </c>
      <c r="B673" t="s">
        <v>7246</v>
      </c>
      <c r="C673" t="s">
        <v>5586</v>
      </c>
      <c r="D673" t="s">
        <v>5858</v>
      </c>
      <c r="E673" t="s">
        <v>12012</v>
      </c>
      <c r="G673" s="13" t="s">
        <v>12013</v>
      </c>
      <c r="H673" t="s">
        <v>12014</v>
      </c>
      <c r="J673" t="s">
        <v>12015</v>
      </c>
      <c r="K673" t="s">
        <v>12016</v>
      </c>
      <c r="L673" t="s">
        <v>12016</v>
      </c>
      <c r="M673" t="s">
        <v>7292</v>
      </c>
      <c r="N673">
        <v>2029</v>
      </c>
      <c r="O673">
        <v>2030</v>
      </c>
      <c r="R673">
        <v>16</v>
      </c>
      <c r="S673" t="s">
        <v>12003</v>
      </c>
      <c r="T673">
        <v>0.59</v>
      </c>
      <c r="U673">
        <v>274.14999999999998</v>
      </c>
      <c r="V673">
        <v>8</v>
      </c>
      <c r="W673">
        <v>22.02</v>
      </c>
      <c r="X673">
        <v>8</v>
      </c>
      <c r="Y673">
        <v>11.8</v>
      </c>
      <c r="Z673" t="s">
        <v>7253</v>
      </c>
      <c r="AB673" t="s">
        <v>12017</v>
      </c>
      <c r="AC673" t="s">
        <v>8777</v>
      </c>
      <c r="AF673" t="s">
        <v>12018</v>
      </c>
      <c r="AI673" t="s">
        <v>8777</v>
      </c>
      <c r="AJ673" t="s">
        <v>9032</v>
      </c>
      <c r="AO673" t="s">
        <v>12019</v>
      </c>
    </row>
    <row r="674" spans="1:41" hidden="1" x14ac:dyDescent="0.35">
      <c r="A674" t="s">
        <v>12020</v>
      </c>
      <c r="B674" t="s">
        <v>7246</v>
      </c>
      <c r="C674" t="s">
        <v>5830</v>
      </c>
      <c r="D674" t="s">
        <v>5830</v>
      </c>
      <c r="E674" t="s">
        <v>5830</v>
      </c>
      <c r="G674" s="13" t="s">
        <v>12021</v>
      </c>
      <c r="H674" t="s">
        <v>12022</v>
      </c>
      <c r="K674" t="s">
        <v>11952</v>
      </c>
      <c r="L674" t="s">
        <v>11953</v>
      </c>
      <c r="M674" t="s">
        <v>7292</v>
      </c>
      <c r="N674">
        <v>2023</v>
      </c>
      <c r="O674">
        <v>2025</v>
      </c>
      <c r="P674">
        <v>2026</v>
      </c>
      <c r="T674" t="s">
        <v>6546</v>
      </c>
      <c r="U674" t="s">
        <v>6546</v>
      </c>
      <c r="V674">
        <v>518</v>
      </c>
      <c r="W674">
        <v>391.55</v>
      </c>
      <c r="X674">
        <v>518</v>
      </c>
      <c r="Y674" t="s">
        <v>12023</v>
      </c>
      <c r="Z674" t="s">
        <v>7253</v>
      </c>
      <c r="AB674" t="s">
        <v>12024</v>
      </c>
      <c r="AC674" t="s">
        <v>8777</v>
      </c>
      <c r="AF674" t="s">
        <v>12025</v>
      </c>
      <c r="AI674" t="s">
        <v>8777</v>
      </c>
      <c r="AJ674" t="s">
        <v>9032</v>
      </c>
      <c r="AO674" t="s">
        <v>12026</v>
      </c>
    </row>
    <row r="675" spans="1:41" hidden="1" x14ac:dyDescent="0.35">
      <c r="A675" t="s">
        <v>12027</v>
      </c>
      <c r="B675" t="s">
        <v>7246</v>
      </c>
      <c r="C675" t="s">
        <v>404</v>
      </c>
      <c r="D675" t="s">
        <v>445</v>
      </c>
      <c r="E675" t="s">
        <v>12028</v>
      </c>
      <c r="G675" s="13" t="s">
        <v>12029</v>
      </c>
      <c r="H675" t="s">
        <v>12030</v>
      </c>
      <c r="K675" t="s">
        <v>6543</v>
      </c>
      <c r="L675" t="s">
        <v>6543</v>
      </c>
      <c r="M675" t="s">
        <v>7269</v>
      </c>
      <c r="R675">
        <v>193.5</v>
      </c>
      <c r="S675" t="s">
        <v>7251</v>
      </c>
      <c r="T675">
        <v>2</v>
      </c>
      <c r="U675">
        <v>931.38</v>
      </c>
      <c r="V675">
        <v>275</v>
      </c>
      <c r="W675">
        <v>248.18</v>
      </c>
      <c r="X675">
        <v>275</v>
      </c>
      <c r="Y675">
        <v>24</v>
      </c>
      <c r="Z675" t="s">
        <v>7253</v>
      </c>
      <c r="AA675" s="13" t="s">
        <v>12031</v>
      </c>
      <c r="AB675" t="s">
        <v>12032</v>
      </c>
      <c r="AC675" t="s">
        <v>8747</v>
      </c>
      <c r="AE675" t="s">
        <v>12033</v>
      </c>
      <c r="AF675" t="s">
        <v>12034</v>
      </c>
      <c r="AI675" t="s">
        <v>8747</v>
      </c>
      <c r="AL675" t="s">
        <v>12035</v>
      </c>
      <c r="AO675" t="s">
        <v>12036</v>
      </c>
    </row>
    <row r="676" spans="1:41" hidden="1" x14ac:dyDescent="0.35">
      <c r="A676" t="s">
        <v>12037</v>
      </c>
      <c r="B676" t="s">
        <v>7246</v>
      </c>
      <c r="C676" t="s">
        <v>449</v>
      </c>
      <c r="D676" t="s">
        <v>449</v>
      </c>
      <c r="E676" t="s">
        <v>449</v>
      </c>
      <c r="G676" s="13" t="s">
        <v>12038</v>
      </c>
      <c r="H676" t="s">
        <v>12039</v>
      </c>
      <c r="K676" t="s">
        <v>12040</v>
      </c>
      <c r="L676" t="s">
        <v>12040</v>
      </c>
      <c r="M676" t="s">
        <v>7250</v>
      </c>
      <c r="N676">
        <v>1990</v>
      </c>
      <c r="T676" t="s">
        <v>6546</v>
      </c>
      <c r="U676" t="s">
        <v>6546</v>
      </c>
      <c r="V676">
        <v>52</v>
      </c>
      <c r="W676">
        <v>46.67</v>
      </c>
      <c r="X676">
        <v>52</v>
      </c>
      <c r="Y676" t="s">
        <v>12041</v>
      </c>
      <c r="Z676" t="s">
        <v>7253</v>
      </c>
      <c r="AB676" t="s">
        <v>9582</v>
      </c>
      <c r="AC676" t="s">
        <v>8777</v>
      </c>
      <c r="AF676" t="s">
        <v>12042</v>
      </c>
      <c r="AI676" t="s">
        <v>8777</v>
      </c>
      <c r="AO676" t="s">
        <v>12043</v>
      </c>
    </row>
    <row r="677" spans="1:41" hidden="1" x14ac:dyDescent="0.35">
      <c r="A677" t="s">
        <v>12044</v>
      </c>
      <c r="B677" t="s">
        <v>7246</v>
      </c>
      <c r="C677" t="s">
        <v>449</v>
      </c>
      <c r="D677" t="s">
        <v>449</v>
      </c>
      <c r="E677" t="s">
        <v>449</v>
      </c>
      <c r="G677" s="13" t="s">
        <v>12045</v>
      </c>
      <c r="H677" t="s">
        <v>12046</v>
      </c>
      <c r="K677" t="s">
        <v>12047</v>
      </c>
      <c r="L677" t="s">
        <v>12047</v>
      </c>
      <c r="M677" t="s">
        <v>7250</v>
      </c>
      <c r="T677" t="s">
        <v>6546</v>
      </c>
      <c r="U677" t="s">
        <v>6546</v>
      </c>
      <c r="V677">
        <v>180</v>
      </c>
      <c r="W677">
        <v>172.86</v>
      </c>
      <c r="X677">
        <v>180</v>
      </c>
      <c r="Y677">
        <v>26</v>
      </c>
      <c r="Z677" t="s">
        <v>7253</v>
      </c>
      <c r="AB677" t="s">
        <v>9436</v>
      </c>
      <c r="AC677" t="s">
        <v>8777</v>
      </c>
      <c r="AF677" t="s">
        <v>12048</v>
      </c>
      <c r="AI677" t="s">
        <v>8777</v>
      </c>
      <c r="AO677" t="s">
        <v>12049</v>
      </c>
    </row>
    <row r="678" spans="1:41" hidden="1" x14ac:dyDescent="0.35">
      <c r="A678" t="s">
        <v>12050</v>
      </c>
      <c r="B678" t="s">
        <v>7246</v>
      </c>
      <c r="C678" t="s">
        <v>449</v>
      </c>
      <c r="D678" t="s">
        <v>12051</v>
      </c>
      <c r="E678" t="s">
        <v>12052</v>
      </c>
      <c r="G678" s="13" t="s">
        <v>12053</v>
      </c>
      <c r="H678" t="s">
        <v>12054</v>
      </c>
      <c r="J678" t="s">
        <v>12055</v>
      </c>
      <c r="K678" t="s">
        <v>12056</v>
      </c>
      <c r="L678" t="s">
        <v>12057</v>
      </c>
      <c r="M678" t="s">
        <v>7250</v>
      </c>
      <c r="T678" t="s">
        <v>6546</v>
      </c>
      <c r="U678" t="s">
        <v>6546</v>
      </c>
      <c r="V678">
        <v>204</v>
      </c>
      <c r="W678">
        <v>203.83</v>
      </c>
      <c r="X678">
        <v>204</v>
      </c>
      <c r="Y678" t="s">
        <v>8456</v>
      </c>
      <c r="Z678" t="s">
        <v>7253</v>
      </c>
      <c r="AB678" t="s">
        <v>12058</v>
      </c>
      <c r="AC678" t="s">
        <v>8777</v>
      </c>
      <c r="AF678" t="s">
        <v>1842</v>
      </c>
      <c r="AI678" t="s">
        <v>8777</v>
      </c>
      <c r="AO678" t="s">
        <v>12059</v>
      </c>
    </row>
    <row r="679" spans="1:41" hidden="1" x14ac:dyDescent="0.35">
      <c r="A679" t="s">
        <v>12060</v>
      </c>
      <c r="B679" t="s">
        <v>7246</v>
      </c>
      <c r="C679" t="s">
        <v>5643</v>
      </c>
      <c r="D679" t="s">
        <v>5643</v>
      </c>
      <c r="E679" t="s">
        <v>5643</v>
      </c>
      <c r="G679" s="13" t="s">
        <v>12061</v>
      </c>
      <c r="H679" t="s">
        <v>12062</v>
      </c>
      <c r="J679" t="s">
        <v>12063</v>
      </c>
      <c r="K679" t="s">
        <v>12064</v>
      </c>
      <c r="L679" t="s">
        <v>12064</v>
      </c>
      <c r="M679" t="s">
        <v>7250</v>
      </c>
      <c r="T679" t="s">
        <v>6546</v>
      </c>
      <c r="U679" t="s">
        <v>6546</v>
      </c>
      <c r="V679" t="s">
        <v>6546</v>
      </c>
      <c r="W679">
        <v>164.15</v>
      </c>
      <c r="X679">
        <v>164.15</v>
      </c>
      <c r="AB679" t="s">
        <v>9641</v>
      </c>
      <c r="AC679" t="s">
        <v>8777</v>
      </c>
      <c r="AD679" t="s">
        <v>9642</v>
      </c>
      <c r="AE679" t="s">
        <v>9643</v>
      </c>
      <c r="AF679" t="s">
        <v>12065</v>
      </c>
      <c r="AG679" t="s">
        <v>12066</v>
      </c>
      <c r="AH679" t="s">
        <v>3334</v>
      </c>
      <c r="AI679" t="s">
        <v>8777</v>
      </c>
      <c r="AO679" t="s">
        <v>12067</v>
      </c>
    </row>
    <row r="680" spans="1:41" hidden="1" x14ac:dyDescent="0.35">
      <c r="A680" t="s">
        <v>12068</v>
      </c>
      <c r="B680" t="s">
        <v>7246</v>
      </c>
      <c r="C680" t="s">
        <v>449</v>
      </c>
      <c r="D680" t="s">
        <v>449</v>
      </c>
      <c r="E680" t="s">
        <v>449</v>
      </c>
      <c r="G680" s="13" t="s">
        <v>12069</v>
      </c>
      <c r="H680" t="s">
        <v>12070</v>
      </c>
      <c r="K680" t="s">
        <v>6543</v>
      </c>
      <c r="L680" t="s">
        <v>6543</v>
      </c>
      <c r="M680" t="s">
        <v>7250</v>
      </c>
      <c r="T680" t="s">
        <v>6546</v>
      </c>
      <c r="U680" t="s">
        <v>6546</v>
      </c>
      <c r="V680">
        <v>185.3</v>
      </c>
      <c r="W680">
        <v>185.24</v>
      </c>
      <c r="X680">
        <v>185.3</v>
      </c>
      <c r="Y680">
        <v>28</v>
      </c>
      <c r="Z680" t="s">
        <v>7253</v>
      </c>
      <c r="AB680" t="s">
        <v>12071</v>
      </c>
      <c r="AC680" t="s">
        <v>8777</v>
      </c>
      <c r="AF680" t="s">
        <v>9468</v>
      </c>
      <c r="AI680" t="s">
        <v>8777</v>
      </c>
      <c r="AO680" t="s">
        <v>12072</v>
      </c>
    </row>
    <row r="681" spans="1:41" hidden="1" x14ac:dyDescent="0.35">
      <c r="A681" t="s">
        <v>12073</v>
      </c>
      <c r="B681" t="s">
        <v>7246</v>
      </c>
      <c r="C681" t="s">
        <v>416</v>
      </c>
      <c r="D681" t="s">
        <v>5566</v>
      </c>
      <c r="E681" t="s">
        <v>416</v>
      </c>
      <c r="G681" s="13" t="s">
        <v>12074</v>
      </c>
      <c r="H681" t="s">
        <v>12075</v>
      </c>
      <c r="K681" t="s">
        <v>12076</v>
      </c>
      <c r="L681" t="s">
        <v>12077</v>
      </c>
      <c r="M681" t="s">
        <v>7250</v>
      </c>
      <c r="N681">
        <v>1993</v>
      </c>
      <c r="R681">
        <v>42</v>
      </c>
      <c r="S681" t="s">
        <v>8792</v>
      </c>
      <c r="T681">
        <v>15.34</v>
      </c>
      <c r="U681">
        <v>7139.21</v>
      </c>
      <c r="V681">
        <v>1445</v>
      </c>
      <c r="W681">
        <v>1442.98</v>
      </c>
      <c r="X681">
        <v>1445</v>
      </c>
      <c r="Y681" t="s">
        <v>12078</v>
      </c>
      <c r="Z681" t="s">
        <v>7253</v>
      </c>
      <c r="AB681" t="s">
        <v>12079</v>
      </c>
      <c r="AC681" t="s">
        <v>8777</v>
      </c>
      <c r="AF681" t="s">
        <v>1703</v>
      </c>
      <c r="AI681" t="s">
        <v>8777</v>
      </c>
      <c r="AO681" t="s">
        <v>12080</v>
      </c>
    </row>
    <row r="682" spans="1:41" hidden="1" x14ac:dyDescent="0.35">
      <c r="A682" t="s">
        <v>12081</v>
      </c>
      <c r="B682" t="s">
        <v>7246</v>
      </c>
      <c r="C682" t="s">
        <v>5978</v>
      </c>
      <c r="D682" t="s">
        <v>5830</v>
      </c>
      <c r="E682" t="s">
        <v>12082</v>
      </c>
      <c r="G682" s="13" t="s">
        <v>12083</v>
      </c>
      <c r="H682" t="s">
        <v>12084</v>
      </c>
      <c r="I682" t="s">
        <v>12085</v>
      </c>
      <c r="K682" t="s">
        <v>10181</v>
      </c>
      <c r="L682" t="s">
        <v>10182</v>
      </c>
      <c r="M682" t="s">
        <v>7292</v>
      </c>
      <c r="N682">
        <v>2025</v>
      </c>
      <c r="R682">
        <v>7.7</v>
      </c>
      <c r="S682" t="s">
        <v>8792</v>
      </c>
      <c r="T682">
        <v>2.81</v>
      </c>
      <c r="U682">
        <v>1308.8599999999999</v>
      </c>
      <c r="V682">
        <v>30</v>
      </c>
      <c r="W682">
        <v>67.989999999999995</v>
      </c>
      <c r="X682">
        <v>30</v>
      </c>
      <c r="Y682">
        <v>27.6</v>
      </c>
      <c r="Z682" t="s">
        <v>7253</v>
      </c>
      <c r="AB682" t="s">
        <v>12086</v>
      </c>
      <c r="AC682" t="s">
        <v>8777</v>
      </c>
      <c r="AF682" t="s">
        <v>12087</v>
      </c>
      <c r="AI682" t="s">
        <v>8777</v>
      </c>
      <c r="AJ682" t="s">
        <v>9032</v>
      </c>
      <c r="AO682" t="s">
        <v>12088</v>
      </c>
    </row>
    <row r="683" spans="1:41" hidden="1" x14ac:dyDescent="0.35">
      <c r="A683" t="s">
        <v>12089</v>
      </c>
      <c r="B683" t="s">
        <v>7246</v>
      </c>
      <c r="C683" t="s">
        <v>423</v>
      </c>
      <c r="D683" t="s">
        <v>423</v>
      </c>
      <c r="E683" t="s">
        <v>423</v>
      </c>
      <c r="G683" s="13" t="s">
        <v>12090</v>
      </c>
      <c r="H683" t="s">
        <v>12091</v>
      </c>
      <c r="J683" t="s">
        <v>12092</v>
      </c>
      <c r="K683" t="s">
        <v>12093</v>
      </c>
      <c r="L683" t="s">
        <v>12094</v>
      </c>
      <c r="M683" t="s">
        <v>7250</v>
      </c>
      <c r="N683">
        <v>2008</v>
      </c>
      <c r="R683">
        <v>9.6</v>
      </c>
      <c r="S683" t="s">
        <v>12095</v>
      </c>
      <c r="T683">
        <v>13.06</v>
      </c>
      <c r="U683">
        <v>6076.05</v>
      </c>
      <c r="V683">
        <v>856</v>
      </c>
      <c r="W683">
        <v>699.92</v>
      </c>
      <c r="X683">
        <v>856</v>
      </c>
      <c r="Y683" t="s">
        <v>12096</v>
      </c>
      <c r="Z683" t="s">
        <v>7253</v>
      </c>
      <c r="AA683" t="s">
        <v>12097</v>
      </c>
      <c r="AB683" t="s">
        <v>12098</v>
      </c>
      <c r="AC683" t="s">
        <v>8844</v>
      </c>
      <c r="AD683" t="s">
        <v>12099</v>
      </c>
      <c r="AE683" t="s">
        <v>12100</v>
      </c>
      <c r="AF683" t="s">
        <v>12101</v>
      </c>
      <c r="AH683" t="s">
        <v>12100</v>
      </c>
      <c r="AI683" t="s">
        <v>8844</v>
      </c>
      <c r="AL683" t="s">
        <v>12102</v>
      </c>
      <c r="AO683" t="s">
        <v>12103</v>
      </c>
    </row>
    <row r="684" spans="1:41" hidden="1" x14ac:dyDescent="0.35">
      <c r="A684" t="s">
        <v>12104</v>
      </c>
      <c r="B684" t="s">
        <v>7246</v>
      </c>
      <c r="C684" t="s">
        <v>404</v>
      </c>
      <c r="D684" t="s">
        <v>404</v>
      </c>
      <c r="E684" t="s">
        <v>404</v>
      </c>
      <c r="G684" s="13" t="s">
        <v>12105</v>
      </c>
      <c r="H684" t="s">
        <v>12106</v>
      </c>
      <c r="K684" t="s">
        <v>9089</v>
      </c>
      <c r="L684" t="s">
        <v>9089</v>
      </c>
      <c r="M684" t="s">
        <v>7250</v>
      </c>
      <c r="R684">
        <v>2</v>
      </c>
      <c r="S684" t="s">
        <v>8257</v>
      </c>
      <c r="T684">
        <v>2</v>
      </c>
      <c r="U684">
        <v>930.77</v>
      </c>
      <c r="V684">
        <v>25</v>
      </c>
      <c r="W684">
        <v>249.58</v>
      </c>
      <c r="X684">
        <v>25</v>
      </c>
      <c r="Y684">
        <v>34</v>
      </c>
      <c r="Z684" t="s">
        <v>7253</v>
      </c>
      <c r="AB684" t="s">
        <v>12107</v>
      </c>
      <c r="AC684" t="s">
        <v>8747</v>
      </c>
      <c r="AE684" t="s">
        <v>12108</v>
      </c>
      <c r="AF684" t="s">
        <v>12109</v>
      </c>
      <c r="AH684" t="s">
        <v>12033</v>
      </c>
      <c r="AI684" t="s">
        <v>8747</v>
      </c>
      <c r="AL684" t="s">
        <v>12110</v>
      </c>
      <c r="AO684" t="s">
        <v>12111</v>
      </c>
    </row>
    <row r="685" spans="1:41" hidden="1" x14ac:dyDescent="0.35">
      <c r="A685" t="s">
        <v>12112</v>
      </c>
      <c r="B685" t="s">
        <v>7246</v>
      </c>
      <c r="C685" t="s">
        <v>9477</v>
      </c>
      <c r="D685" t="s">
        <v>9477</v>
      </c>
      <c r="E685" t="s">
        <v>9477</v>
      </c>
      <c r="G685" s="13" t="s">
        <v>12113</v>
      </c>
      <c r="H685" t="s">
        <v>12114</v>
      </c>
      <c r="K685" t="s">
        <v>9976</v>
      </c>
      <c r="L685" t="s">
        <v>9976</v>
      </c>
      <c r="M685" t="s">
        <v>7250</v>
      </c>
      <c r="T685" t="s">
        <v>6546</v>
      </c>
      <c r="U685" t="s">
        <v>6546</v>
      </c>
      <c r="V685">
        <v>2113</v>
      </c>
      <c r="W685">
        <v>1114.6500000000001</v>
      </c>
      <c r="X685">
        <v>2113</v>
      </c>
      <c r="Y685">
        <v>48</v>
      </c>
      <c r="Z685" t="s">
        <v>7253</v>
      </c>
      <c r="AC685" t="s">
        <v>8777</v>
      </c>
      <c r="AI685" t="s">
        <v>8777</v>
      </c>
      <c r="AO685" t="s">
        <v>12115</v>
      </c>
    </row>
    <row r="686" spans="1:41" hidden="1" x14ac:dyDescent="0.35">
      <c r="A686" t="s">
        <v>12116</v>
      </c>
      <c r="B686" t="s">
        <v>7246</v>
      </c>
      <c r="C686" t="s">
        <v>449</v>
      </c>
      <c r="D686" t="s">
        <v>449</v>
      </c>
      <c r="E686" t="s">
        <v>449</v>
      </c>
      <c r="G686" s="13" t="s">
        <v>12117</v>
      </c>
      <c r="H686" t="s">
        <v>12118</v>
      </c>
      <c r="K686" t="s">
        <v>6543</v>
      </c>
      <c r="L686" t="s">
        <v>6543</v>
      </c>
      <c r="M686" t="s">
        <v>7250</v>
      </c>
      <c r="N686">
        <v>1991</v>
      </c>
      <c r="T686" t="s">
        <v>6546</v>
      </c>
      <c r="U686" t="s">
        <v>6546</v>
      </c>
      <c r="V686">
        <v>110.2</v>
      </c>
      <c r="W686">
        <v>115.27</v>
      </c>
      <c r="X686">
        <v>110.2</v>
      </c>
      <c r="Y686">
        <v>24</v>
      </c>
      <c r="Z686" t="s">
        <v>7253</v>
      </c>
      <c r="AB686" t="s">
        <v>12119</v>
      </c>
      <c r="AC686" t="s">
        <v>8777</v>
      </c>
      <c r="AF686" t="s">
        <v>9811</v>
      </c>
      <c r="AI686" t="s">
        <v>8777</v>
      </c>
      <c r="AO686" t="s">
        <v>12120</v>
      </c>
    </row>
    <row r="687" spans="1:41" hidden="1" x14ac:dyDescent="0.35">
      <c r="A687" t="s">
        <v>12121</v>
      </c>
      <c r="B687" t="s">
        <v>7246</v>
      </c>
      <c r="C687" t="s">
        <v>423</v>
      </c>
      <c r="D687" t="s">
        <v>423</v>
      </c>
      <c r="E687" t="s">
        <v>423</v>
      </c>
      <c r="G687" s="13" t="s">
        <v>12122</v>
      </c>
      <c r="H687" t="s">
        <v>12123</v>
      </c>
      <c r="K687" t="s">
        <v>12124</v>
      </c>
      <c r="L687" t="s">
        <v>12124</v>
      </c>
      <c r="M687" t="s">
        <v>7250</v>
      </c>
      <c r="N687">
        <v>1987</v>
      </c>
      <c r="T687" t="s">
        <v>6546</v>
      </c>
      <c r="U687" t="s">
        <v>6546</v>
      </c>
      <c r="V687" t="s">
        <v>6546</v>
      </c>
      <c r="W687">
        <v>658.57</v>
      </c>
      <c r="X687">
        <v>658.57</v>
      </c>
      <c r="AB687" t="s">
        <v>12125</v>
      </c>
      <c r="AC687" t="s">
        <v>8844</v>
      </c>
      <c r="AF687" t="s">
        <v>12126</v>
      </c>
      <c r="AI687" t="s">
        <v>8844</v>
      </c>
      <c r="AL687" t="s">
        <v>12127</v>
      </c>
      <c r="AO687" t="s">
        <v>12128</v>
      </c>
    </row>
    <row r="688" spans="1:41" hidden="1" x14ac:dyDescent="0.35">
      <c r="A688" t="s">
        <v>12129</v>
      </c>
      <c r="B688" t="s">
        <v>7246</v>
      </c>
      <c r="C688" t="s">
        <v>344</v>
      </c>
      <c r="D688" t="s">
        <v>344</v>
      </c>
      <c r="E688" t="s">
        <v>344</v>
      </c>
      <c r="G688" s="13" t="s">
        <v>12130</v>
      </c>
      <c r="H688" t="s">
        <v>12131</v>
      </c>
      <c r="J688" t="s">
        <v>12132</v>
      </c>
      <c r="K688" t="s">
        <v>12133</v>
      </c>
      <c r="L688" t="s">
        <v>12133</v>
      </c>
      <c r="M688" t="s">
        <v>7250</v>
      </c>
      <c r="N688">
        <v>2021</v>
      </c>
      <c r="R688">
        <v>4.5</v>
      </c>
      <c r="S688" t="s">
        <v>8257</v>
      </c>
      <c r="T688">
        <v>4.5</v>
      </c>
      <c r="U688">
        <v>2094.23</v>
      </c>
      <c r="V688">
        <v>197</v>
      </c>
      <c r="W688">
        <v>124.14</v>
      </c>
      <c r="X688">
        <v>197</v>
      </c>
      <c r="Y688">
        <v>24</v>
      </c>
      <c r="Z688" t="s">
        <v>7253</v>
      </c>
      <c r="AB688" t="s">
        <v>12134</v>
      </c>
      <c r="AC688" t="s">
        <v>8747</v>
      </c>
      <c r="AE688" t="s">
        <v>12135</v>
      </c>
      <c r="AF688" t="s">
        <v>12136</v>
      </c>
      <c r="AI688" t="s">
        <v>8747</v>
      </c>
      <c r="AL688" t="s">
        <v>12137</v>
      </c>
      <c r="AO688" t="s">
        <v>12138</v>
      </c>
    </row>
    <row r="689" spans="1:41" hidden="1" x14ac:dyDescent="0.35">
      <c r="A689" t="s">
        <v>12139</v>
      </c>
      <c r="B689" t="s">
        <v>7246</v>
      </c>
      <c r="C689" t="s">
        <v>344</v>
      </c>
      <c r="D689" t="s">
        <v>344</v>
      </c>
      <c r="E689" t="s">
        <v>344</v>
      </c>
      <c r="G689" s="13" t="s">
        <v>12140</v>
      </c>
      <c r="H689" t="s">
        <v>12141</v>
      </c>
      <c r="K689" t="s">
        <v>12133</v>
      </c>
      <c r="L689" t="s">
        <v>12133</v>
      </c>
      <c r="M689" t="s">
        <v>7250</v>
      </c>
      <c r="T689" t="s">
        <v>6546</v>
      </c>
      <c r="U689" t="s">
        <v>6546</v>
      </c>
      <c r="V689">
        <v>273</v>
      </c>
      <c r="W689">
        <v>274.99</v>
      </c>
      <c r="X689">
        <v>273</v>
      </c>
      <c r="Y689">
        <v>42</v>
      </c>
      <c r="Z689" t="s">
        <v>7253</v>
      </c>
      <c r="AB689" t="s">
        <v>12142</v>
      </c>
      <c r="AC689" t="s">
        <v>8747</v>
      </c>
      <c r="AE689" t="s">
        <v>12143</v>
      </c>
      <c r="AF689" t="s">
        <v>12144</v>
      </c>
      <c r="AH689" t="s">
        <v>12145</v>
      </c>
      <c r="AI689" t="s">
        <v>8747</v>
      </c>
      <c r="AL689" t="s">
        <v>12146</v>
      </c>
      <c r="AO689" t="s">
        <v>12147</v>
      </c>
    </row>
    <row r="690" spans="1:41" hidden="1" x14ac:dyDescent="0.35">
      <c r="A690" t="s">
        <v>12148</v>
      </c>
      <c r="B690" t="s">
        <v>7246</v>
      </c>
      <c r="C690" t="s">
        <v>344</v>
      </c>
      <c r="D690" t="s">
        <v>344</v>
      </c>
      <c r="E690" t="s">
        <v>344</v>
      </c>
      <c r="G690" s="13" t="s">
        <v>12149</v>
      </c>
      <c r="H690" t="s">
        <v>12150</v>
      </c>
      <c r="J690" t="s">
        <v>12151</v>
      </c>
      <c r="K690" t="s">
        <v>12133</v>
      </c>
      <c r="L690" t="s">
        <v>12133</v>
      </c>
      <c r="M690" t="s">
        <v>7250</v>
      </c>
      <c r="N690">
        <v>2013</v>
      </c>
      <c r="R690">
        <v>9</v>
      </c>
      <c r="S690" t="s">
        <v>8257</v>
      </c>
      <c r="T690">
        <v>9</v>
      </c>
      <c r="U690">
        <v>4188.45</v>
      </c>
      <c r="V690">
        <v>784</v>
      </c>
      <c r="W690">
        <v>685.27</v>
      </c>
      <c r="X690">
        <v>784</v>
      </c>
      <c r="Y690">
        <v>48</v>
      </c>
      <c r="Z690" t="s">
        <v>7253</v>
      </c>
      <c r="AA690" s="13" t="s">
        <v>8978</v>
      </c>
      <c r="AB690" t="s">
        <v>8875</v>
      </c>
      <c r="AC690" t="s">
        <v>8747</v>
      </c>
      <c r="AE690" t="s">
        <v>8876</v>
      </c>
      <c r="AF690" t="s">
        <v>12152</v>
      </c>
      <c r="AH690" t="s">
        <v>12153</v>
      </c>
      <c r="AI690" t="s">
        <v>8747</v>
      </c>
      <c r="AO690" t="s">
        <v>12154</v>
      </c>
    </row>
    <row r="691" spans="1:41" hidden="1" x14ac:dyDescent="0.35">
      <c r="A691" t="s">
        <v>12155</v>
      </c>
      <c r="B691" t="s">
        <v>7246</v>
      </c>
      <c r="C691" t="s">
        <v>344</v>
      </c>
      <c r="D691" t="s">
        <v>344</v>
      </c>
      <c r="E691" t="s">
        <v>344</v>
      </c>
      <c r="G691" s="13" t="s">
        <v>12156</v>
      </c>
      <c r="H691" t="s">
        <v>12157</v>
      </c>
      <c r="J691" t="s">
        <v>12158</v>
      </c>
      <c r="K691" t="s">
        <v>12133</v>
      </c>
      <c r="L691" t="s">
        <v>12133</v>
      </c>
      <c r="M691" t="s">
        <v>7250</v>
      </c>
      <c r="T691" t="s">
        <v>6546</v>
      </c>
      <c r="U691" t="s">
        <v>6546</v>
      </c>
      <c r="V691">
        <v>122</v>
      </c>
      <c r="W691">
        <v>127.26</v>
      </c>
      <c r="X691">
        <v>122</v>
      </c>
      <c r="Y691">
        <v>48</v>
      </c>
      <c r="Z691" t="s">
        <v>7253</v>
      </c>
      <c r="AB691" t="s">
        <v>12159</v>
      </c>
      <c r="AC691" t="s">
        <v>8747</v>
      </c>
      <c r="AE691" t="s">
        <v>12160</v>
      </c>
      <c r="AF691" t="s">
        <v>12136</v>
      </c>
      <c r="AH691" t="s">
        <v>3126</v>
      </c>
      <c r="AI691" t="s">
        <v>8747</v>
      </c>
      <c r="AO691" t="s">
        <v>12161</v>
      </c>
    </row>
    <row r="692" spans="1:41" hidden="1" x14ac:dyDescent="0.35">
      <c r="A692" t="s">
        <v>12162</v>
      </c>
      <c r="B692" t="s">
        <v>7246</v>
      </c>
      <c r="C692" t="s">
        <v>344</v>
      </c>
      <c r="D692" t="s">
        <v>344</v>
      </c>
      <c r="E692" t="s">
        <v>344</v>
      </c>
      <c r="G692" s="13" t="s">
        <v>12163</v>
      </c>
      <c r="H692" t="s">
        <v>12164</v>
      </c>
      <c r="K692" t="s">
        <v>12133</v>
      </c>
      <c r="L692" t="s">
        <v>12133</v>
      </c>
      <c r="M692" t="s">
        <v>7250</v>
      </c>
      <c r="T692" t="s">
        <v>6546</v>
      </c>
      <c r="U692" t="s">
        <v>6546</v>
      </c>
      <c r="V692">
        <v>217</v>
      </c>
      <c r="W692">
        <v>192.26</v>
      </c>
      <c r="X692">
        <v>217</v>
      </c>
      <c r="Y692">
        <v>48</v>
      </c>
      <c r="Z692" t="s">
        <v>7253</v>
      </c>
      <c r="AA692" s="13" t="s">
        <v>12165</v>
      </c>
      <c r="AB692" t="s">
        <v>12142</v>
      </c>
      <c r="AC692" t="s">
        <v>8747</v>
      </c>
      <c r="AE692" t="s">
        <v>12143</v>
      </c>
      <c r="AF692" t="s">
        <v>3127</v>
      </c>
      <c r="AH692" t="s">
        <v>3126</v>
      </c>
      <c r="AI692" t="s">
        <v>8747</v>
      </c>
      <c r="AL692" t="s">
        <v>12166</v>
      </c>
      <c r="AO692" t="s">
        <v>12167</v>
      </c>
    </row>
    <row r="693" spans="1:41" hidden="1" x14ac:dyDescent="0.35">
      <c r="A693" t="s">
        <v>12168</v>
      </c>
      <c r="B693" t="s">
        <v>7246</v>
      </c>
      <c r="C693" t="s">
        <v>12169</v>
      </c>
      <c r="D693" t="s">
        <v>12169</v>
      </c>
      <c r="E693" t="s">
        <v>12169</v>
      </c>
      <c r="G693" s="13" t="s">
        <v>12170</v>
      </c>
      <c r="H693" t="s">
        <v>12171</v>
      </c>
      <c r="J693" t="s">
        <v>12172</v>
      </c>
      <c r="K693" t="s">
        <v>12173</v>
      </c>
      <c r="L693" t="s">
        <v>12173</v>
      </c>
      <c r="M693" t="s">
        <v>7250</v>
      </c>
      <c r="R693">
        <v>1.19</v>
      </c>
      <c r="S693" t="s">
        <v>8257</v>
      </c>
      <c r="T693">
        <v>1.19</v>
      </c>
      <c r="U693">
        <v>553.80999999999995</v>
      </c>
      <c r="V693">
        <v>71</v>
      </c>
      <c r="W693">
        <v>87.03</v>
      </c>
      <c r="X693">
        <v>71</v>
      </c>
      <c r="Y693">
        <v>13</v>
      </c>
      <c r="Z693" t="s">
        <v>7253</v>
      </c>
      <c r="AC693" t="s">
        <v>8523</v>
      </c>
      <c r="AI693" t="s">
        <v>8523</v>
      </c>
      <c r="AL693" t="s">
        <v>12174</v>
      </c>
      <c r="AN693" s="13" t="s">
        <v>12175</v>
      </c>
      <c r="AO693" t="s">
        <v>12176</v>
      </c>
    </row>
    <row r="694" spans="1:41" hidden="1" x14ac:dyDescent="0.35">
      <c r="A694" t="s">
        <v>12177</v>
      </c>
      <c r="B694" t="s">
        <v>7246</v>
      </c>
      <c r="C694" t="s">
        <v>390</v>
      </c>
      <c r="D694" t="s">
        <v>390</v>
      </c>
      <c r="E694" t="s">
        <v>390</v>
      </c>
      <c r="G694" s="13" t="s">
        <v>12178</v>
      </c>
      <c r="H694" t="s">
        <v>12179</v>
      </c>
      <c r="K694" t="s">
        <v>12180</v>
      </c>
      <c r="L694" t="s">
        <v>12180</v>
      </c>
      <c r="M694" t="s">
        <v>7250</v>
      </c>
      <c r="R694">
        <v>2.41</v>
      </c>
      <c r="S694" t="s">
        <v>8257</v>
      </c>
      <c r="T694">
        <v>2.41</v>
      </c>
      <c r="U694">
        <v>1121.57</v>
      </c>
      <c r="V694">
        <v>431</v>
      </c>
      <c r="W694">
        <v>225.29</v>
      </c>
      <c r="X694">
        <v>431</v>
      </c>
      <c r="Y694">
        <v>16</v>
      </c>
      <c r="Z694" t="s">
        <v>7253</v>
      </c>
      <c r="AA694" t="s">
        <v>12181</v>
      </c>
      <c r="AC694" t="s">
        <v>8747</v>
      </c>
      <c r="AE694" t="s">
        <v>12182</v>
      </c>
      <c r="AF694" t="s">
        <v>12183</v>
      </c>
      <c r="AH694" t="s">
        <v>12184</v>
      </c>
      <c r="AI694" t="s">
        <v>8747</v>
      </c>
      <c r="AL694" t="s">
        <v>12185</v>
      </c>
      <c r="AO694" t="s">
        <v>12186</v>
      </c>
    </row>
    <row r="695" spans="1:41" hidden="1" x14ac:dyDescent="0.35">
      <c r="A695" t="s">
        <v>12187</v>
      </c>
      <c r="B695" t="s">
        <v>7246</v>
      </c>
      <c r="C695" t="s">
        <v>390</v>
      </c>
      <c r="D695" t="s">
        <v>390</v>
      </c>
      <c r="E695" t="s">
        <v>390</v>
      </c>
      <c r="G695" s="13" t="s">
        <v>12188</v>
      </c>
      <c r="H695" t="s">
        <v>12189</v>
      </c>
      <c r="K695" t="s">
        <v>12180</v>
      </c>
      <c r="L695" t="s">
        <v>12180</v>
      </c>
      <c r="M695" t="s">
        <v>7250</v>
      </c>
      <c r="R695">
        <v>7.4</v>
      </c>
      <c r="S695" t="s">
        <v>8257</v>
      </c>
      <c r="T695">
        <v>7.4</v>
      </c>
      <c r="U695">
        <v>3443.84</v>
      </c>
      <c r="V695">
        <v>211</v>
      </c>
      <c r="W695">
        <v>107.89</v>
      </c>
      <c r="X695">
        <v>211</v>
      </c>
      <c r="Y695">
        <v>18</v>
      </c>
      <c r="Z695" t="s">
        <v>7253</v>
      </c>
      <c r="AA695" t="s">
        <v>12181</v>
      </c>
      <c r="AC695" t="s">
        <v>8747</v>
      </c>
      <c r="AE695" t="s">
        <v>12182</v>
      </c>
      <c r="AF695" t="s">
        <v>12190</v>
      </c>
      <c r="AH695" t="s">
        <v>12191</v>
      </c>
      <c r="AI695" t="s">
        <v>8747</v>
      </c>
      <c r="AL695" t="s">
        <v>12192</v>
      </c>
      <c r="AO695" t="s">
        <v>12193</v>
      </c>
    </row>
    <row r="696" spans="1:41" hidden="1" x14ac:dyDescent="0.35">
      <c r="A696" t="s">
        <v>12194</v>
      </c>
      <c r="B696" t="s">
        <v>7246</v>
      </c>
      <c r="C696" t="s">
        <v>390</v>
      </c>
      <c r="D696" t="s">
        <v>390</v>
      </c>
      <c r="E696" t="s">
        <v>390</v>
      </c>
      <c r="G696" s="13" t="s">
        <v>12195</v>
      </c>
      <c r="H696" t="s">
        <v>12196</v>
      </c>
      <c r="K696" t="s">
        <v>12180</v>
      </c>
      <c r="L696" t="s">
        <v>12180</v>
      </c>
      <c r="M696" t="s">
        <v>7250</v>
      </c>
      <c r="R696">
        <v>2</v>
      </c>
      <c r="S696" t="s">
        <v>8257</v>
      </c>
      <c r="T696">
        <v>2</v>
      </c>
      <c r="U696">
        <v>930.77</v>
      </c>
      <c r="V696">
        <v>56</v>
      </c>
      <c r="W696">
        <v>33.67</v>
      </c>
      <c r="X696">
        <v>56</v>
      </c>
      <c r="Y696">
        <v>18</v>
      </c>
      <c r="Z696" t="s">
        <v>7253</v>
      </c>
      <c r="AA696" t="s">
        <v>12197</v>
      </c>
      <c r="AC696" t="s">
        <v>8747</v>
      </c>
      <c r="AD696" t="s">
        <v>12197</v>
      </c>
      <c r="AE696" t="s">
        <v>12198</v>
      </c>
      <c r="AF696" t="s">
        <v>3396</v>
      </c>
      <c r="AH696" t="s">
        <v>3396</v>
      </c>
      <c r="AI696" t="s">
        <v>8747</v>
      </c>
      <c r="AL696" t="s">
        <v>12199</v>
      </c>
      <c r="AO696" t="s">
        <v>12200</v>
      </c>
    </row>
    <row r="697" spans="1:41" hidden="1" x14ac:dyDescent="0.35">
      <c r="A697" t="s">
        <v>12201</v>
      </c>
      <c r="B697" t="s">
        <v>7246</v>
      </c>
      <c r="C697" t="s">
        <v>390</v>
      </c>
      <c r="D697" t="s">
        <v>390</v>
      </c>
      <c r="E697" t="s">
        <v>390</v>
      </c>
      <c r="G697" s="13" t="s">
        <v>12202</v>
      </c>
      <c r="H697" t="s">
        <v>12203</v>
      </c>
      <c r="K697" t="s">
        <v>12180</v>
      </c>
      <c r="L697" t="s">
        <v>12180</v>
      </c>
      <c r="M697" t="s">
        <v>7250</v>
      </c>
      <c r="R697">
        <v>0.67</v>
      </c>
      <c r="S697" t="s">
        <v>8257</v>
      </c>
      <c r="T697">
        <v>0.67</v>
      </c>
      <c r="U697">
        <v>311.81</v>
      </c>
      <c r="V697">
        <v>39</v>
      </c>
      <c r="W697" t="s">
        <v>6546</v>
      </c>
      <c r="X697">
        <v>39</v>
      </c>
      <c r="Y697">
        <v>10</v>
      </c>
      <c r="Z697" t="s">
        <v>7253</v>
      </c>
      <c r="AC697" t="s">
        <v>8747</v>
      </c>
      <c r="AI697" t="s">
        <v>8747</v>
      </c>
      <c r="AO697" t="s">
        <v>6546</v>
      </c>
    </row>
    <row r="698" spans="1:41" hidden="1" x14ac:dyDescent="0.35">
      <c r="A698" t="s">
        <v>12204</v>
      </c>
      <c r="B698" t="s">
        <v>7246</v>
      </c>
      <c r="C698" t="s">
        <v>390</v>
      </c>
      <c r="D698" t="s">
        <v>390</v>
      </c>
      <c r="E698" t="s">
        <v>390</v>
      </c>
      <c r="G698" s="13" t="s">
        <v>12205</v>
      </c>
      <c r="H698" t="s">
        <v>12206</v>
      </c>
      <c r="K698" t="s">
        <v>12180</v>
      </c>
      <c r="L698" t="s">
        <v>12180</v>
      </c>
      <c r="M698" t="s">
        <v>7250</v>
      </c>
      <c r="R698">
        <v>0.7</v>
      </c>
      <c r="S698" t="s">
        <v>8257</v>
      </c>
      <c r="T698">
        <v>0.7</v>
      </c>
      <c r="U698">
        <v>325.77</v>
      </c>
      <c r="V698">
        <v>72</v>
      </c>
      <c r="W698" t="s">
        <v>6546</v>
      </c>
      <c r="X698">
        <v>72</v>
      </c>
      <c r="Y698">
        <v>16</v>
      </c>
      <c r="Z698" t="s">
        <v>7253</v>
      </c>
      <c r="AC698" t="s">
        <v>8747</v>
      </c>
      <c r="AI698" t="s">
        <v>8747</v>
      </c>
      <c r="AO698" t="s">
        <v>6546</v>
      </c>
    </row>
    <row r="699" spans="1:41" hidden="1" x14ac:dyDescent="0.35">
      <c r="A699" t="s">
        <v>12207</v>
      </c>
      <c r="B699" t="s">
        <v>7246</v>
      </c>
      <c r="C699" t="s">
        <v>390</v>
      </c>
      <c r="D699" t="s">
        <v>390</v>
      </c>
      <c r="E699" t="s">
        <v>390</v>
      </c>
      <c r="G699" s="13" t="s">
        <v>12208</v>
      </c>
      <c r="H699" t="s">
        <v>12209</v>
      </c>
      <c r="K699" t="s">
        <v>12180</v>
      </c>
      <c r="L699" t="s">
        <v>12180</v>
      </c>
      <c r="M699" t="s">
        <v>7250</v>
      </c>
      <c r="R699">
        <v>2.1</v>
      </c>
      <c r="S699" t="s">
        <v>8257</v>
      </c>
      <c r="T699">
        <v>2.1</v>
      </c>
      <c r="U699">
        <v>977.31</v>
      </c>
      <c r="V699">
        <v>37</v>
      </c>
      <c r="W699" t="s">
        <v>6546</v>
      </c>
      <c r="X699">
        <v>37</v>
      </c>
      <c r="Y699">
        <v>16</v>
      </c>
      <c r="Z699" t="s">
        <v>7253</v>
      </c>
      <c r="AC699" t="s">
        <v>8747</v>
      </c>
      <c r="AI699" t="s">
        <v>8747</v>
      </c>
      <c r="AO699" t="s">
        <v>6546</v>
      </c>
    </row>
    <row r="700" spans="1:41" hidden="1" x14ac:dyDescent="0.35">
      <c r="A700" t="s">
        <v>12210</v>
      </c>
      <c r="B700" t="s">
        <v>7246</v>
      </c>
      <c r="C700" t="s">
        <v>390</v>
      </c>
      <c r="D700" t="s">
        <v>390</v>
      </c>
      <c r="E700" t="s">
        <v>390</v>
      </c>
      <c r="G700" s="13" t="s">
        <v>12211</v>
      </c>
      <c r="H700" t="s">
        <v>12212</v>
      </c>
      <c r="K700" t="s">
        <v>12180</v>
      </c>
      <c r="L700" t="s">
        <v>12180</v>
      </c>
      <c r="M700" t="s">
        <v>7250</v>
      </c>
      <c r="R700">
        <v>4.8</v>
      </c>
      <c r="S700" t="s">
        <v>8257</v>
      </c>
      <c r="T700">
        <v>4.8</v>
      </c>
      <c r="U700">
        <v>2233.84</v>
      </c>
      <c r="V700">
        <v>77</v>
      </c>
      <c r="W700">
        <v>51.01</v>
      </c>
      <c r="X700">
        <v>77</v>
      </c>
      <c r="Y700">
        <v>24</v>
      </c>
      <c r="Z700" t="s">
        <v>7253</v>
      </c>
      <c r="AA700" t="s">
        <v>2501</v>
      </c>
      <c r="AC700" t="s">
        <v>8747</v>
      </c>
      <c r="AE700" t="s">
        <v>3388</v>
      </c>
      <c r="AF700" t="s">
        <v>12213</v>
      </c>
      <c r="AH700" t="s">
        <v>6134</v>
      </c>
      <c r="AI700" t="s">
        <v>8747</v>
      </c>
      <c r="AL700" t="s">
        <v>12214</v>
      </c>
      <c r="AO700" t="s">
        <v>12215</v>
      </c>
    </row>
    <row r="701" spans="1:41" hidden="1" x14ac:dyDescent="0.35">
      <c r="A701" t="s">
        <v>12216</v>
      </c>
      <c r="B701" t="s">
        <v>7246</v>
      </c>
      <c r="C701" t="s">
        <v>390</v>
      </c>
      <c r="D701" t="s">
        <v>390</v>
      </c>
      <c r="E701" t="s">
        <v>390</v>
      </c>
      <c r="G701" s="13" t="s">
        <v>12217</v>
      </c>
      <c r="H701" t="s">
        <v>12218</v>
      </c>
      <c r="K701" t="s">
        <v>12180</v>
      </c>
      <c r="L701" t="s">
        <v>12180</v>
      </c>
      <c r="M701" t="s">
        <v>7250</v>
      </c>
      <c r="R701">
        <v>10.42</v>
      </c>
      <c r="S701" t="s">
        <v>8257</v>
      </c>
      <c r="T701">
        <v>10.42</v>
      </c>
      <c r="U701">
        <v>4849.3</v>
      </c>
      <c r="V701">
        <v>216</v>
      </c>
      <c r="W701">
        <v>141.94</v>
      </c>
      <c r="X701">
        <v>216</v>
      </c>
      <c r="Y701">
        <v>24</v>
      </c>
      <c r="Z701" t="s">
        <v>7253</v>
      </c>
      <c r="AA701" t="s">
        <v>12219</v>
      </c>
      <c r="AC701" t="s">
        <v>8747</v>
      </c>
      <c r="AE701" t="s">
        <v>3388</v>
      </c>
      <c r="AF701" t="s">
        <v>12220</v>
      </c>
      <c r="AH701" t="s">
        <v>12221</v>
      </c>
      <c r="AI701" t="s">
        <v>8747</v>
      </c>
      <c r="AL701" t="s">
        <v>12222</v>
      </c>
      <c r="AO701" t="s">
        <v>12223</v>
      </c>
    </row>
    <row r="702" spans="1:41" hidden="1" x14ac:dyDescent="0.35">
      <c r="A702" t="s">
        <v>12224</v>
      </c>
      <c r="B702" t="s">
        <v>7246</v>
      </c>
      <c r="C702" t="s">
        <v>390</v>
      </c>
      <c r="D702" t="s">
        <v>390</v>
      </c>
      <c r="E702" t="s">
        <v>390</v>
      </c>
      <c r="G702" s="13" t="s">
        <v>12225</v>
      </c>
      <c r="H702" t="s">
        <v>12226</v>
      </c>
      <c r="K702" t="s">
        <v>12180</v>
      </c>
      <c r="L702" t="s">
        <v>12180</v>
      </c>
      <c r="M702" t="s">
        <v>7250</v>
      </c>
      <c r="R702">
        <v>11.03</v>
      </c>
      <c r="S702" t="s">
        <v>8257</v>
      </c>
      <c r="T702">
        <v>11.03</v>
      </c>
      <c r="U702">
        <v>5133.18</v>
      </c>
      <c r="V702">
        <v>470</v>
      </c>
      <c r="W702" t="s">
        <v>6546</v>
      </c>
      <c r="X702">
        <v>470</v>
      </c>
      <c r="Y702">
        <v>42</v>
      </c>
      <c r="Z702" t="s">
        <v>7253</v>
      </c>
      <c r="AC702" t="s">
        <v>8747</v>
      </c>
      <c r="AI702" t="s">
        <v>8747</v>
      </c>
      <c r="AO702" t="s">
        <v>6546</v>
      </c>
    </row>
    <row r="703" spans="1:41" hidden="1" x14ac:dyDescent="0.35">
      <c r="A703" t="s">
        <v>12227</v>
      </c>
      <c r="B703" t="s">
        <v>7246</v>
      </c>
      <c r="C703" t="s">
        <v>390</v>
      </c>
      <c r="D703" t="s">
        <v>390</v>
      </c>
      <c r="E703" t="s">
        <v>390</v>
      </c>
      <c r="G703" s="13" t="s">
        <v>12228</v>
      </c>
      <c r="H703" t="s">
        <v>12229</v>
      </c>
      <c r="K703" t="s">
        <v>12230</v>
      </c>
      <c r="L703" t="s">
        <v>12230</v>
      </c>
      <c r="M703" t="s">
        <v>7250</v>
      </c>
      <c r="N703">
        <v>1988</v>
      </c>
      <c r="R703">
        <v>240</v>
      </c>
      <c r="S703" t="s">
        <v>7251</v>
      </c>
      <c r="T703">
        <v>2.48</v>
      </c>
      <c r="U703">
        <v>1155.2</v>
      </c>
      <c r="V703" t="s">
        <v>6546</v>
      </c>
      <c r="W703">
        <v>405.51</v>
      </c>
      <c r="X703">
        <v>405.51</v>
      </c>
      <c r="AA703" t="s">
        <v>12231</v>
      </c>
      <c r="AB703" t="s">
        <v>12232</v>
      </c>
      <c r="AC703" t="s">
        <v>8747</v>
      </c>
      <c r="AE703" t="s">
        <v>3388</v>
      </c>
      <c r="AF703" t="s">
        <v>3396</v>
      </c>
      <c r="AH703" t="s">
        <v>3396</v>
      </c>
      <c r="AI703" t="s">
        <v>8747</v>
      </c>
      <c r="AL703" t="s">
        <v>12233</v>
      </c>
      <c r="AO703" t="s">
        <v>12234</v>
      </c>
    </row>
    <row r="704" spans="1:41" hidden="1" x14ac:dyDescent="0.35">
      <c r="A704" t="s">
        <v>12235</v>
      </c>
      <c r="B704" t="s">
        <v>7246</v>
      </c>
      <c r="C704" t="s">
        <v>404</v>
      </c>
      <c r="D704" t="s">
        <v>404</v>
      </c>
      <c r="E704" t="s">
        <v>404</v>
      </c>
      <c r="G704" s="13" t="s">
        <v>12236</v>
      </c>
      <c r="H704" t="s">
        <v>12237</v>
      </c>
      <c r="K704" t="s">
        <v>9105</v>
      </c>
      <c r="L704" t="s">
        <v>9105</v>
      </c>
      <c r="M704" t="s">
        <v>7250</v>
      </c>
      <c r="N704">
        <v>2005</v>
      </c>
      <c r="O704">
        <v>2018</v>
      </c>
      <c r="R704">
        <v>28</v>
      </c>
      <c r="S704" t="s">
        <v>8257</v>
      </c>
      <c r="T704">
        <v>28</v>
      </c>
      <c r="U704">
        <v>13030.74</v>
      </c>
      <c r="V704">
        <v>177</v>
      </c>
      <c r="W704" t="s">
        <v>6546</v>
      </c>
      <c r="X704">
        <v>177</v>
      </c>
      <c r="Y704">
        <v>36</v>
      </c>
      <c r="Z704" t="s">
        <v>7253</v>
      </c>
      <c r="AC704" t="s">
        <v>8747</v>
      </c>
      <c r="AI704" t="s">
        <v>8747</v>
      </c>
      <c r="AL704" t="s">
        <v>12238</v>
      </c>
      <c r="AO704" t="s">
        <v>6546</v>
      </c>
    </row>
    <row r="705" spans="1:41" hidden="1" x14ac:dyDescent="0.35">
      <c r="A705" t="s">
        <v>12239</v>
      </c>
      <c r="B705" t="s">
        <v>7246</v>
      </c>
      <c r="C705" t="s">
        <v>404</v>
      </c>
      <c r="D705" t="s">
        <v>404</v>
      </c>
      <c r="E705" t="s">
        <v>404</v>
      </c>
      <c r="G705" s="13" t="s">
        <v>12240</v>
      </c>
      <c r="H705" t="s">
        <v>12241</v>
      </c>
      <c r="K705" t="s">
        <v>12242</v>
      </c>
      <c r="L705" t="s">
        <v>12243</v>
      </c>
      <c r="M705" t="s">
        <v>7250</v>
      </c>
      <c r="R705">
        <v>42.48</v>
      </c>
      <c r="S705" t="s">
        <v>8257</v>
      </c>
      <c r="T705">
        <v>42.48</v>
      </c>
      <c r="U705">
        <v>19769.490000000002</v>
      </c>
      <c r="V705">
        <v>333</v>
      </c>
      <c r="W705">
        <v>222.78</v>
      </c>
      <c r="X705">
        <v>333</v>
      </c>
      <c r="Y705">
        <v>42</v>
      </c>
      <c r="Z705" t="s">
        <v>7253</v>
      </c>
      <c r="AB705" t="s">
        <v>12244</v>
      </c>
      <c r="AC705" t="s">
        <v>8747</v>
      </c>
      <c r="AE705" t="s">
        <v>12245</v>
      </c>
      <c r="AF705" t="s">
        <v>12246</v>
      </c>
      <c r="AH705" t="s">
        <v>9091</v>
      </c>
      <c r="AI705" t="s">
        <v>8747</v>
      </c>
      <c r="AL705" t="s">
        <v>12247</v>
      </c>
      <c r="AO705" t="s">
        <v>12248</v>
      </c>
    </row>
    <row r="706" spans="1:41" hidden="1" x14ac:dyDescent="0.35">
      <c r="A706" t="s">
        <v>12249</v>
      </c>
      <c r="B706" t="s">
        <v>7246</v>
      </c>
      <c r="C706" t="s">
        <v>404</v>
      </c>
      <c r="D706" t="s">
        <v>404</v>
      </c>
      <c r="E706" t="s">
        <v>404</v>
      </c>
      <c r="G706" s="13" t="s">
        <v>12250</v>
      </c>
      <c r="H706" t="s">
        <v>12251</v>
      </c>
      <c r="K706" t="s">
        <v>12242</v>
      </c>
      <c r="L706" t="s">
        <v>12243</v>
      </c>
      <c r="M706" t="s">
        <v>7250</v>
      </c>
      <c r="R706">
        <v>17.84</v>
      </c>
      <c r="S706" t="s">
        <v>8257</v>
      </c>
      <c r="T706">
        <v>17.84</v>
      </c>
      <c r="U706">
        <v>8302.44</v>
      </c>
      <c r="V706">
        <v>41</v>
      </c>
      <c r="W706" t="s">
        <v>6546</v>
      </c>
      <c r="X706">
        <v>41</v>
      </c>
      <c r="Y706">
        <v>40</v>
      </c>
      <c r="Z706" t="s">
        <v>7253</v>
      </c>
      <c r="AC706" t="s">
        <v>8747</v>
      </c>
      <c r="AI706" t="s">
        <v>8747</v>
      </c>
      <c r="AO706" t="s">
        <v>6546</v>
      </c>
    </row>
    <row r="707" spans="1:41" hidden="1" x14ac:dyDescent="0.35">
      <c r="A707" t="s">
        <v>12252</v>
      </c>
      <c r="B707" t="s">
        <v>7246</v>
      </c>
      <c r="C707" t="s">
        <v>404</v>
      </c>
      <c r="D707" t="s">
        <v>404</v>
      </c>
      <c r="E707" t="s">
        <v>404</v>
      </c>
      <c r="G707" s="13" t="s">
        <v>12253</v>
      </c>
      <c r="H707" t="s">
        <v>12254</v>
      </c>
      <c r="K707" t="s">
        <v>9105</v>
      </c>
      <c r="L707" t="s">
        <v>9105</v>
      </c>
      <c r="M707" t="s">
        <v>7250</v>
      </c>
      <c r="R707">
        <v>11.32</v>
      </c>
      <c r="S707" t="s">
        <v>8257</v>
      </c>
      <c r="T707">
        <v>11.32</v>
      </c>
      <c r="U707">
        <v>5268.14</v>
      </c>
      <c r="V707">
        <v>214</v>
      </c>
      <c r="W707">
        <v>91.6</v>
      </c>
      <c r="X707">
        <v>214</v>
      </c>
      <c r="Y707">
        <v>34</v>
      </c>
      <c r="Z707" t="s">
        <v>7253</v>
      </c>
      <c r="AB707" t="s">
        <v>12255</v>
      </c>
      <c r="AC707" t="s">
        <v>8747</v>
      </c>
      <c r="AE707" t="s">
        <v>12245</v>
      </c>
      <c r="AF707" t="s">
        <v>12244</v>
      </c>
      <c r="AH707" t="s">
        <v>12245</v>
      </c>
      <c r="AI707" t="s">
        <v>8747</v>
      </c>
      <c r="AO707" t="s">
        <v>12256</v>
      </c>
    </row>
    <row r="708" spans="1:41" hidden="1" x14ac:dyDescent="0.35">
      <c r="A708" t="s">
        <v>12257</v>
      </c>
      <c r="B708" t="s">
        <v>7246</v>
      </c>
      <c r="C708" t="s">
        <v>404</v>
      </c>
      <c r="D708" t="s">
        <v>404</v>
      </c>
      <c r="E708" t="s">
        <v>404</v>
      </c>
      <c r="G708" s="13" t="s">
        <v>12258</v>
      </c>
      <c r="H708" t="s">
        <v>12259</v>
      </c>
      <c r="K708" t="s">
        <v>9105</v>
      </c>
      <c r="L708" t="s">
        <v>9105</v>
      </c>
      <c r="M708" t="s">
        <v>7250</v>
      </c>
      <c r="R708">
        <v>3.88</v>
      </c>
      <c r="S708" t="s">
        <v>8257</v>
      </c>
      <c r="T708">
        <v>3.88</v>
      </c>
      <c r="U708">
        <v>1805.69</v>
      </c>
      <c r="V708">
        <v>32</v>
      </c>
      <c r="W708" t="s">
        <v>6546</v>
      </c>
      <c r="X708">
        <v>32</v>
      </c>
      <c r="Y708">
        <v>10</v>
      </c>
      <c r="Z708" t="s">
        <v>7253</v>
      </c>
      <c r="AC708" t="s">
        <v>8747</v>
      </c>
      <c r="AI708" t="s">
        <v>8747</v>
      </c>
      <c r="AO708" t="s">
        <v>6546</v>
      </c>
    </row>
    <row r="709" spans="1:41" hidden="1" x14ac:dyDescent="0.35">
      <c r="A709" t="s">
        <v>12260</v>
      </c>
      <c r="B709" t="s">
        <v>7246</v>
      </c>
      <c r="C709" t="s">
        <v>404</v>
      </c>
      <c r="D709" t="s">
        <v>404</v>
      </c>
      <c r="E709" t="s">
        <v>404</v>
      </c>
      <c r="G709" s="13" t="s">
        <v>12261</v>
      </c>
      <c r="H709" t="s">
        <v>12262</v>
      </c>
      <c r="K709" t="s">
        <v>12263</v>
      </c>
      <c r="L709" t="s">
        <v>12264</v>
      </c>
      <c r="M709" t="s">
        <v>7250</v>
      </c>
      <c r="R709">
        <v>5.66</v>
      </c>
      <c r="S709" t="s">
        <v>8257</v>
      </c>
      <c r="T709">
        <v>5.66</v>
      </c>
      <c r="U709">
        <v>2634.07</v>
      </c>
      <c r="V709">
        <v>177</v>
      </c>
      <c r="W709">
        <v>69.73</v>
      </c>
      <c r="X709">
        <v>177</v>
      </c>
      <c r="Y709">
        <v>24</v>
      </c>
      <c r="Z709" t="s">
        <v>7253</v>
      </c>
      <c r="AC709" t="s">
        <v>8747</v>
      </c>
      <c r="AI709" t="s">
        <v>8747</v>
      </c>
      <c r="AO709" t="s">
        <v>12265</v>
      </c>
    </row>
    <row r="710" spans="1:41" hidden="1" x14ac:dyDescent="0.35">
      <c r="A710" t="s">
        <v>12266</v>
      </c>
      <c r="B710" t="s">
        <v>7246</v>
      </c>
      <c r="C710" t="s">
        <v>404</v>
      </c>
      <c r="D710" t="s">
        <v>404</v>
      </c>
      <c r="E710" t="s">
        <v>404</v>
      </c>
      <c r="G710" s="13" t="s">
        <v>12267</v>
      </c>
      <c r="H710" t="s">
        <v>12268</v>
      </c>
      <c r="K710" t="s">
        <v>12263</v>
      </c>
      <c r="L710" t="s">
        <v>12264</v>
      </c>
      <c r="M710" t="s">
        <v>7250</v>
      </c>
      <c r="R710">
        <v>7.08</v>
      </c>
      <c r="S710" t="s">
        <v>8257</v>
      </c>
      <c r="T710">
        <v>7.08</v>
      </c>
      <c r="U710">
        <v>3294.91</v>
      </c>
      <c r="V710">
        <v>177</v>
      </c>
      <c r="W710">
        <v>13.3</v>
      </c>
      <c r="X710">
        <v>177</v>
      </c>
      <c r="Y710">
        <v>24</v>
      </c>
      <c r="Z710" t="s">
        <v>7253</v>
      </c>
      <c r="AC710" t="s">
        <v>8747</v>
      </c>
      <c r="AI710" t="s">
        <v>8747</v>
      </c>
      <c r="AO710" t="s">
        <v>12269</v>
      </c>
    </row>
    <row r="711" spans="1:41" hidden="1" x14ac:dyDescent="0.35">
      <c r="A711" t="s">
        <v>12270</v>
      </c>
      <c r="B711" t="s">
        <v>7246</v>
      </c>
      <c r="C711" t="s">
        <v>404</v>
      </c>
      <c r="D711" t="s">
        <v>404</v>
      </c>
      <c r="E711" t="s">
        <v>404</v>
      </c>
      <c r="G711" s="13" t="s">
        <v>12271</v>
      </c>
      <c r="H711" t="s">
        <v>12272</v>
      </c>
      <c r="K711" t="s">
        <v>12273</v>
      </c>
      <c r="L711" t="s">
        <v>12273</v>
      </c>
      <c r="M711" t="s">
        <v>7250</v>
      </c>
      <c r="R711">
        <v>10.76</v>
      </c>
      <c r="S711" t="s">
        <v>8257</v>
      </c>
      <c r="T711">
        <v>10.76</v>
      </c>
      <c r="U711">
        <v>5007.53</v>
      </c>
      <c r="V711">
        <v>396</v>
      </c>
      <c r="W711">
        <v>225.52</v>
      </c>
      <c r="X711">
        <v>396</v>
      </c>
      <c r="Y711">
        <v>34</v>
      </c>
      <c r="Z711" t="s">
        <v>7253</v>
      </c>
      <c r="AB711" t="s">
        <v>12274</v>
      </c>
      <c r="AC711" t="s">
        <v>8747</v>
      </c>
      <c r="AE711" t="s">
        <v>9091</v>
      </c>
      <c r="AF711" t="s">
        <v>9098</v>
      </c>
      <c r="AH711" t="s">
        <v>9098</v>
      </c>
      <c r="AI711" t="s">
        <v>8747</v>
      </c>
      <c r="AL711" t="s">
        <v>12275</v>
      </c>
      <c r="AO711" t="s">
        <v>12276</v>
      </c>
    </row>
    <row r="712" spans="1:41" hidden="1" x14ac:dyDescent="0.35">
      <c r="A712" t="s">
        <v>12277</v>
      </c>
      <c r="B712" t="s">
        <v>7246</v>
      </c>
      <c r="C712" t="s">
        <v>404</v>
      </c>
      <c r="D712" t="s">
        <v>404</v>
      </c>
      <c r="E712" t="s">
        <v>404</v>
      </c>
      <c r="G712" s="13" t="s">
        <v>12278</v>
      </c>
      <c r="H712" t="s">
        <v>12279</v>
      </c>
      <c r="K712" t="s">
        <v>12273</v>
      </c>
      <c r="L712" t="s">
        <v>12273</v>
      </c>
      <c r="M712" t="s">
        <v>7250</v>
      </c>
      <c r="R712">
        <v>11.61</v>
      </c>
      <c r="S712" t="s">
        <v>8257</v>
      </c>
      <c r="T712">
        <v>11.61</v>
      </c>
      <c r="U712">
        <v>5403.1</v>
      </c>
      <c r="V712">
        <v>645</v>
      </c>
      <c r="W712">
        <v>641.27</v>
      </c>
      <c r="X712">
        <v>645</v>
      </c>
      <c r="Y712">
        <v>34</v>
      </c>
      <c r="Z712" t="s">
        <v>7253</v>
      </c>
      <c r="AB712" t="s">
        <v>12274</v>
      </c>
      <c r="AC712" t="s">
        <v>8747</v>
      </c>
      <c r="AE712" t="s">
        <v>9091</v>
      </c>
      <c r="AF712" t="s">
        <v>12107</v>
      </c>
      <c r="AI712" t="s">
        <v>8747</v>
      </c>
      <c r="AL712" t="s">
        <v>12280</v>
      </c>
      <c r="AO712" t="s">
        <v>12281</v>
      </c>
    </row>
    <row r="713" spans="1:41" hidden="1" x14ac:dyDescent="0.35">
      <c r="A713" t="s">
        <v>12282</v>
      </c>
      <c r="B713" t="s">
        <v>7246</v>
      </c>
      <c r="C713" t="s">
        <v>404</v>
      </c>
      <c r="D713" t="s">
        <v>404</v>
      </c>
      <c r="E713" t="s">
        <v>404</v>
      </c>
      <c r="G713" s="13" t="s">
        <v>12283</v>
      </c>
      <c r="H713" t="s">
        <v>12284</v>
      </c>
      <c r="K713" t="s">
        <v>12273</v>
      </c>
      <c r="L713" t="s">
        <v>12273</v>
      </c>
      <c r="M713" t="s">
        <v>7250</v>
      </c>
      <c r="R713">
        <v>17.05</v>
      </c>
      <c r="S713" t="s">
        <v>8257</v>
      </c>
      <c r="T713">
        <v>17.05</v>
      </c>
      <c r="U713">
        <v>7934.79</v>
      </c>
      <c r="V713">
        <v>201</v>
      </c>
      <c r="W713">
        <v>105.39</v>
      </c>
      <c r="X713">
        <v>201</v>
      </c>
      <c r="Y713">
        <v>34</v>
      </c>
      <c r="Z713" t="s">
        <v>7253</v>
      </c>
      <c r="AA713" s="13" t="s">
        <v>12285</v>
      </c>
      <c r="AB713" t="s">
        <v>12107</v>
      </c>
      <c r="AC713" t="s">
        <v>8747</v>
      </c>
      <c r="AD713" t="s">
        <v>12108</v>
      </c>
      <c r="AF713" t="s">
        <v>12286</v>
      </c>
      <c r="AH713" t="s">
        <v>12286</v>
      </c>
      <c r="AI713" t="s">
        <v>8747</v>
      </c>
      <c r="AL713" t="s">
        <v>12287</v>
      </c>
      <c r="AO713" t="s">
        <v>12288</v>
      </c>
    </row>
    <row r="714" spans="1:41" hidden="1" x14ac:dyDescent="0.35">
      <c r="A714" t="s">
        <v>12289</v>
      </c>
      <c r="B714" t="s">
        <v>7246</v>
      </c>
      <c r="C714" t="s">
        <v>404</v>
      </c>
      <c r="D714" t="s">
        <v>404</v>
      </c>
      <c r="E714" t="s">
        <v>404</v>
      </c>
      <c r="G714" s="13" t="s">
        <v>12290</v>
      </c>
      <c r="H714" t="s">
        <v>12291</v>
      </c>
      <c r="K714" t="s">
        <v>12273</v>
      </c>
      <c r="L714" t="s">
        <v>12273</v>
      </c>
      <c r="M714" t="s">
        <v>7250</v>
      </c>
      <c r="R714">
        <v>16.989999999999998</v>
      </c>
      <c r="S714" t="s">
        <v>8257</v>
      </c>
      <c r="T714">
        <v>16.989999999999998</v>
      </c>
      <c r="U714">
        <v>7906.86</v>
      </c>
      <c r="V714">
        <v>158</v>
      </c>
      <c r="W714">
        <v>116.86</v>
      </c>
      <c r="X714">
        <v>158</v>
      </c>
      <c r="Y714">
        <v>34</v>
      </c>
      <c r="Z714" t="s">
        <v>7253</v>
      </c>
      <c r="AB714" t="s">
        <v>12286</v>
      </c>
      <c r="AC714" t="s">
        <v>8747</v>
      </c>
      <c r="AE714" t="s">
        <v>12286</v>
      </c>
      <c r="AF714" t="s">
        <v>12032</v>
      </c>
      <c r="AH714" t="s">
        <v>12032</v>
      </c>
      <c r="AI714" t="s">
        <v>8747</v>
      </c>
      <c r="AL714" t="s">
        <v>12292</v>
      </c>
      <c r="AO714" t="s">
        <v>12293</v>
      </c>
    </row>
    <row r="715" spans="1:41" hidden="1" x14ac:dyDescent="0.35">
      <c r="A715" t="s">
        <v>12294</v>
      </c>
      <c r="B715" t="s">
        <v>7246</v>
      </c>
      <c r="C715" t="s">
        <v>404</v>
      </c>
      <c r="D715" t="s">
        <v>404</v>
      </c>
      <c r="E715" t="s">
        <v>404</v>
      </c>
      <c r="G715" s="13" t="s">
        <v>12295</v>
      </c>
      <c r="H715" t="s">
        <v>12296</v>
      </c>
      <c r="K715" t="s">
        <v>12273</v>
      </c>
      <c r="L715" t="s">
        <v>12273</v>
      </c>
      <c r="M715" t="s">
        <v>7250</v>
      </c>
      <c r="R715">
        <v>14.87</v>
      </c>
      <c r="S715" t="s">
        <v>8257</v>
      </c>
      <c r="T715">
        <v>14.87</v>
      </c>
      <c r="U715">
        <v>6920.25</v>
      </c>
      <c r="V715">
        <v>277</v>
      </c>
      <c r="W715">
        <v>173.54</v>
      </c>
      <c r="X715">
        <v>277</v>
      </c>
      <c r="Y715">
        <v>36</v>
      </c>
      <c r="Z715" t="s">
        <v>7253</v>
      </c>
      <c r="AC715" t="s">
        <v>8747</v>
      </c>
      <c r="AF715" t="s">
        <v>12246</v>
      </c>
      <c r="AH715" t="s">
        <v>9091</v>
      </c>
      <c r="AI715" t="s">
        <v>8747</v>
      </c>
      <c r="AO715" t="s">
        <v>12297</v>
      </c>
    </row>
    <row r="716" spans="1:41" hidden="1" x14ac:dyDescent="0.35">
      <c r="A716" t="s">
        <v>12298</v>
      </c>
      <c r="B716" t="s">
        <v>7246</v>
      </c>
      <c r="C716" t="s">
        <v>404</v>
      </c>
      <c r="D716" t="s">
        <v>404</v>
      </c>
      <c r="E716" t="s">
        <v>404</v>
      </c>
      <c r="G716" s="13" t="s">
        <v>12299</v>
      </c>
      <c r="H716" t="s">
        <v>12300</v>
      </c>
      <c r="K716" t="s">
        <v>12273</v>
      </c>
      <c r="L716" t="s">
        <v>12273</v>
      </c>
      <c r="M716" t="s">
        <v>7250</v>
      </c>
      <c r="R716">
        <v>28.32</v>
      </c>
      <c r="S716" t="s">
        <v>8257</v>
      </c>
      <c r="T716">
        <v>28.32</v>
      </c>
      <c r="U716">
        <v>13179.66</v>
      </c>
      <c r="V716">
        <v>40</v>
      </c>
      <c r="W716" t="s">
        <v>6546</v>
      </c>
      <c r="X716">
        <v>40</v>
      </c>
      <c r="Y716" t="s">
        <v>12301</v>
      </c>
      <c r="Z716" t="s">
        <v>7253</v>
      </c>
      <c r="AC716" t="s">
        <v>8747</v>
      </c>
      <c r="AI716" t="s">
        <v>8747</v>
      </c>
      <c r="AO716" t="s">
        <v>6546</v>
      </c>
    </row>
    <row r="717" spans="1:41" hidden="1" x14ac:dyDescent="0.35">
      <c r="A717" t="s">
        <v>12302</v>
      </c>
      <c r="B717" t="s">
        <v>7246</v>
      </c>
      <c r="C717" t="s">
        <v>404</v>
      </c>
      <c r="D717" t="s">
        <v>404</v>
      </c>
      <c r="E717" t="s">
        <v>404</v>
      </c>
      <c r="G717" s="13" t="s">
        <v>12303</v>
      </c>
      <c r="H717" t="s">
        <v>12304</v>
      </c>
      <c r="K717" t="s">
        <v>12273</v>
      </c>
      <c r="L717" t="s">
        <v>12273</v>
      </c>
      <c r="M717" t="s">
        <v>7250</v>
      </c>
      <c r="R717">
        <v>8.5</v>
      </c>
      <c r="S717" t="s">
        <v>8257</v>
      </c>
      <c r="T717">
        <v>8.5</v>
      </c>
      <c r="U717">
        <v>3955.76</v>
      </c>
      <c r="V717">
        <v>132</v>
      </c>
      <c r="W717" t="s">
        <v>6546</v>
      </c>
      <c r="X717">
        <v>132</v>
      </c>
      <c r="Y717">
        <v>30</v>
      </c>
      <c r="Z717" t="s">
        <v>7253</v>
      </c>
      <c r="AC717" t="s">
        <v>8747</v>
      </c>
      <c r="AI717" t="s">
        <v>8747</v>
      </c>
      <c r="AO717" t="s">
        <v>6546</v>
      </c>
    </row>
    <row r="718" spans="1:41" hidden="1" x14ac:dyDescent="0.35">
      <c r="A718" t="s">
        <v>12305</v>
      </c>
      <c r="B718" t="s">
        <v>7246</v>
      </c>
      <c r="C718" t="s">
        <v>404</v>
      </c>
      <c r="D718" t="s">
        <v>404</v>
      </c>
      <c r="E718" t="s">
        <v>404</v>
      </c>
      <c r="G718" s="13" t="s">
        <v>12306</v>
      </c>
      <c r="H718" t="s">
        <v>12307</v>
      </c>
      <c r="K718" t="s">
        <v>12273</v>
      </c>
      <c r="L718" t="s">
        <v>12273</v>
      </c>
      <c r="M718" t="s">
        <v>7250</v>
      </c>
      <c r="R718">
        <v>3.96</v>
      </c>
      <c r="S718" t="s">
        <v>8257</v>
      </c>
      <c r="T718">
        <v>3.96</v>
      </c>
      <c r="U718">
        <v>1842.92</v>
      </c>
      <c r="V718">
        <v>142</v>
      </c>
      <c r="W718" t="s">
        <v>6546</v>
      </c>
      <c r="X718">
        <v>142</v>
      </c>
      <c r="Y718">
        <v>20</v>
      </c>
      <c r="Z718" t="s">
        <v>7253</v>
      </c>
      <c r="AC718" t="s">
        <v>8747</v>
      </c>
      <c r="AI718" t="s">
        <v>8747</v>
      </c>
      <c r="AO718" t="s">
        <v>6546</v>
      </c>
    </row>
    <row r="719" spans="1:41" hidden="1" x14ac:dyDescent="0.35">
      <c r="A719" t="s">
        <v>12308</v>
      </c>
      <c r="B719" t="s">
        <v>7246</v>
      </c>
      <c r="C719" t="s">
        <v>404</v>
      </c>
      <c r="D719" t="s">
        <v>404</v>
      </c>
      <c r="E719" t="s">
        <v>404</v>
      </c>
      <c r="G719" s="13" t="s">
        <v>12309</v>
      </c>
      <c r="H719" t="s">
        <v>12310</v>
      </c>
      <c r="K719" t="s">
        <v>12273</v>
      </c>
      <c r="L719" t="s">
        <v>12273</v>
      </c>
      <c r="M719" t="s">
        <v>7250</v>
      </c>
      <c r="R719">
        <v>19.82</v>
      </c>
      <c r="S719" t="s">
        <v>8257</v>
      </c>
      <c r="T719">
        <v>19.82</v>
      </c>
      <c r="U719">
        <v>9223.9</v>
      </c>
      <c r="V719">
        <v>129</v>
      </c>
      <c r="W719" t="s">
        <v>6546</v>
      </c>
      <c r="X719">
        <v>129</v>
      </c>
      <c r="Y719">
        <v>30</v>
      </c>
      <c r="Z719" t="s">
        <v>7253</v>
      </c>
      <c r="AC719" t="s">
        <v>8747</v>
      </c>
      <c r="AI719" t="s">
        <v>8747</v>
      </c>
      <c r="AO719" t="s">
        <v>6546</v>
      </c>
    </row>
    <row r="720" spans="1:41" hidden="1" x14ac:dyDescent="0.35">
      <c r="A720" t="s">
        <v>12311</v>
      </c>
      <c r="B720" t="s">
        <v>7246</v>
      </c>
      <c r="C720" t="s">
        <v>404</v>
      </c>
      <c r="D720" t="s">
        <v>404</v>
      </c>
      <c r="E720" t="s">
        <v>404</v>
      </c>
      <c r="G720" s="13" t="s">
        <v>12312</v>
      </c>
      <c r="H720" t="s">
        <v>12313</v>
      </c>
      <c r="K720" t="s">
        <v>12273</v>
      </c>
      <c r="L720" t="s">
        <v>12273</v>
      </c>
      <c r="M720" t="s">
        <v>7250</v>
      </c>
      <c r="R720">
        <v>19.54</v>
      </c>
      <c r="S720" t="s">
        <v>8257</v>
      </c>
      <c r="T720">
        <v>19.54</v>
      </c>
      <c r="U720">
        <v>9093.59</v>
      </c>
      <c r="V720">
        <v>79</v>
      </c>
      <c r="W720" t="s">
        <v>6546</v>
      </c>
      <c r="X720">
        <v>79</v>
      </c>
      <c r="Y720">
        <v>30</v>
      </c>
      <c r="Z720" t="s">
        <v>7253</v>
      </c>
      <c r="AC720" t="s">
        <v>8747</v>
      </c>
      <c r="AI720" t="s">
        <v>8747</v>
      </c>
      <c r="AO720" t="s">
        <v>6546</v>
      </c>
    </row>
    <row r="721" spans="1:41" hidden="1" x14ac:dyDescent="0.35">
      <c r="A721" t="s">
        <v>12314</v>
      </c>
      <c r="B721" t="s">
        <v>7246</v>
      </c>
      <c r="C721" t="s">
        <v>404</v>
      </c>
      <c r="D721" t="s">
        <v>404</v>
      </c>
      <c r="E721" t="s">
        <v>404</v>
      </c>
      <c r="G721" s="13" t="s">
        <v>12315</v>
      </c>
      <c r="H721" t="s">
        <v>12316</v>
      </c>
      <c r="K721" t="s">
        <v>12273</v>
      </c>
      <c r="L721" t="s">
        <v>12273</v>
      </c>
      <c r="M721" t="s">
        <v>7250</v>
      </c>
      <c r="R721">
        <v>21.24</v>
      </c>
      <c r="S721" t="s">
        <v>8257</v>
      </c>
      <c r="T721">
        <v>21.24</v>
      </c>
      <c r="U721">
        <v>9884.74</v>
      </c>
      <c r="V721">
        <v>184</v>
      </c>
      <c r="W721" t="s">
        <v>6546</v>
      </c>
      <c r="X721">
        <v>184</v>
      </c>
      <c r="Y721" t="s">
        <v>12317</v>
      </c>
      <c r="Z721" t="s">
        <v>7253</v>
      </c>
      <c r="AC721" t="s">
        <v>8747</v>
      </c>
      <c r="AI721" t="s">
        <v>8747</v>
      </c>
      <c r="AO721" t="s">
        <v>6546</v>
      </c>
    </row>
    <row r="722" spans="1:41" hidden="1" x14ac:dyDescent="0.35">
      <c r="A722" t="s">
        <v>12318</v>
      </c>
      <c r="B722" t="s">
        <v>7246</v>
      </c>
      <c r="C722" t="s">
        <v>404</v>
      </c>
      <c r="D722" t="s">
        <v>404</v>
      </c>
      <c r="E722" t="s">
        <v>404</v>
      </c>
      <c r="G722" s="13" t="s">
        <v>12319</v>
      </c>
      <c r="H722" t="s">
        <v>12320</v>
      </c>
      <c r="K722" t="s">
        <v>12321</v>
      </c>
      <c r="L722" t="s">
        <v>12321</v>
      </c>
      <c r="M722" t="s">
        <v>7250</v>
      </c>
      <c r="R722">
        <v>2.4</v>
      </c>
      <c r="S722" t="s">
        <v>8257</v>
      </c>
      <c r="T722">
        <v>2.4</v>
      </c>
      <c r="U722">
        <v>1116.92</v>
      </c>
      <c r="V722">
        <v>129</v>
      </c>
      <c r="W722" t="s">
        <v>6546</v>
      </c>
      <c r="X722">
        <v>129</v>
      </c>
      <c r="Y722" t="s">
        <v>12322</v>
      </c>
      <c r="Z722" t="s">
        <v>7253</v>
      </c>
      <c r="AA722" t="s">
        <v>3981</v>
      </c>
      <c r="AB722" t="s">
        <v>12323</v>
      </c>
      <c r="AC722" t="s">
        <v>8747</v>
      </c>
      <c r="AE722" t="s">
        <v>12245</v>
      </c>
      <c r="AF722" t="s">
        <v>12324</v>
      </c>
      <c r="AH722" t="s">
        <v>12245</v>
      </c>
      <c r="AI722" t="s">
        <v>8747</v>
      </c>
      <c r="AO722" t="s">
        <v>6546</v>
      </c>
    </row>
    <row r="723" spans="1:41" hidden="1" x14ac:dyDescent="0.35">
      <c r="A723" t="s">
        <v>12325</v>
      </c>
      <c r="B723" t="s">
        <v>7246</v>
      </c>
      <c r="C723" t="s">
        <v>414</v>
      </c>
      <c r="D723" t="s">
        <v>414</v>
      </c>
      <c r="E723" t="s">
        <v>414</v>
      </c>
      <c r="G723" s="13" t="s">
        <v>12326</v>
      </c>
      <c r="H723" t="s">
        <v>12327</v>
      </c>
      <c r="K723" t="s">
        <v>12328</v>
      </c>
      <c r="L723" t="s">
        <v>12329</v>
      </c>
      <c r="M723" t="s">
        <v>7250</v>
      </c>
      <c r="R723">
        <v>1.1200000000000001</v>
      </c>
      <c r="S723" t="s">
        <v>8257</v>
      </c>
      <c r="T723">
        <v>1.1200000000000001</v>
      </c>
      <c r="U723">
        <v>521.23</v>
      </c>
      <c r="V723">
        <v>45</v>
      </c>
      <c r="W723" t="s">
        <v>6546</v>
      </c>
      <c r="X723">
        <v>45</v>
      </c>
      <c r="Y723" t="s">
        <v>12330</v>
      </c>
      <c r="Z723" t="s">
        <v>7253</v>
      </c>
      <c r="AC723" t="s">
        <v>8765</v>
      </c>
      <c r="AI723" t="s">
        <v>8765</v>
      </c>
      <c r="AO723" t="s">
        <v>6546</v>
      </c>
    </row>
    <row r="724" spans="1:41" hidden="1" x14ac:dyDescent="0.35">
      <c r="A724" t="s">
        <v>12331</v>
      </c>
      <c r="B724" t="s">
        <v>7246</v>
      </c>
      <c r="C724" t="s">
        <v>414</v>
      </c>
      <c r="D724" t="s">
        <v>414</v>
      </c>
      <c r="E724" t="s">
        <v>414</v>
      </c>
      <c r="G724" s="13" t="s">
        <v>12332</v>
      </c>
      <c r="H724" t="s">
        <v>12333</v>
      </c>
      <c r="K724" t="s">
        <v>12328</v>
      </c>
      <c r="L724" t="s">
        <v>12329</v>
      </c>
      <c r="M724" t="s">
        <v>7250</v>
      </c>
      <c r="R724">
        <v>0.65</v>
      </c>
      <c r="S724" t="s">
        <v>8257</v>
      </c>
      <c r="T724">
        <v>0.65</v>
      </c>
      <c r="U724">
        <v>302.5</v>
      </c>
      <c r="V724">
        <v>50</v>
      </c>
      <c r="W724" t="s">
        <v>6546</v>
      </c>
      <c r="X724">
        <v>50</v>
      </c>
      <c r="Y724" t="s">
        <v>12334</v>
      </c>
      <c r="Z724" t="s">
        <v>7253</v>
      </c>
      <c r="AC724" t="s">
        <v>8765</v>
      </c>
      <c r="AI724" t="s">
        <v>8765</v>
      </c>
      <c r="AO724" t="s">
        <v>6546</v>
      </c>
    </row>
    <row r="725" spans="1:41" hidden="1" x14ac:dyDescent="0.35">
      <c r="A725" t="s">
        <v>12335</v>
      </c>
      <c r="B725" t="s">
        <v>7246</v>
      </c>
      <c r="C725" t="s">
        <v>414</v>
      </c>
      <c r="D725" t="s">
        <v>414</v>
      </c>
      <c r="E725" t="s">
        <v>414</v>
      </c>
      <c r="G725" s="13" t="s">
        <v>12336</v>
      </c>
      <c r="H725" t="s">
        <v>12337</v>
      </c>
      <c r="K725" t="s">
        <v>12328</v>
      </c>
      <c r="L725" t="s">
        <v>12329</v>
      </c>
      <c r="M725" t="s">
        <v>7250</v>
      </c>
      <c r="R725">
        <v>1.87</v>
      </c>
      <c r="S725" t="s">
        <v>8257</v>
      </c>
      <c r="T725">
        <v>1.87</v>
      </c>
      <c r="U725">
        <v>870.27</v>
      </c>
      <c r="V725">
        <v>16</v>
      </c>
      <c r="W725">
        <v>245.65</v>
      </c>
      <c r="X725">
        <v>16</v>
      </c>
      <c r="Y725">
        <v>24</v>
      </c>
      <c r="Z725" t="s">
        <v>7253</v>
      </c>
      <c r="AC725" t="s">
        <v>8765</v>
      </c>
      <c r="AI725" t="s">
        <v>8765</v>
      </c>
      <c r="AO725" t="s">
        <v>12338</v>
      </c>
    </row>
    <row r="726" spans="1:41" hidden="1" x14ac:dyDescent="0.35">
      <c r="A726" t="s">
        <v>12339</v>
      </c>
      <c r="B726" t="s">
        <v>7246</v>
      </c>
      <c r="C726" t="s">
        <v>414</v>
      </c>
      <c r="D726" t="s">
        <v>414</v>
      </c>
      <c r="E726" t="s">
        <v>414</v>
      </c>
      <c r="G726" s="13" t="s">
        <v>12340</v>
      </c>
      <c r="H726" t="s">
        <v>12341</v>
      </c>
      <c r="K726" t="s">
        <v>12328</v>
      </c>
      <c r="L726" t="s">
        <v>12329</v>
      </c>
      <c r="M726" t="s">
        <v>7250</v>
      </c>
      <c r="R726">
        <v>10.28</v>
      </c>
      <c r="S726" t="s">
        <v>8257</v>
      </c>
      <c r="T726">
        <v>10.28</v>
      </c>
      <c r="U726">
        <v>4784.1400000000003</v>
      </c>
      <c r="V726">
        <v>196</v>
      </c>
      <c r="W726">
        <v>216.47</v>
      </c>
      <c r="X726">
        <v>196</v>
      </c>
      <c r="Y726" t="s">
        <v>12342</v>
      </c>
      <c r="Z726" t="s">
        <v>7253</v>
      </c>
      <c r="AC726" t="s">
        <v>8765</v>
      </c>
      <c r="AI726" t="s">
        <v>8765</v>
      </c>
      <c r="AO726" t="s">
        <v>12343</v>
      </c>
    </row>
    <row r="727" spans="1:41" hidden="1" x14ac:dyDescent="0.35">
      <c r="A727" t="s">
        <v>12344</v>
      </c>
      <c r="B727" t="s">
        <v>7246</v>
      </c>
      <c r="C727" t="s">
        <v>414</v>
      </c>
      <c r="D727" t="s">
        <v>414</v>
      </c>
      <c r="E727" t="s">
        <v>414</v>
      </c>
      <c r="G727" s="13" t="s">
        <v>12345</v>
      </c>
      <c r="H727" t="s">
        <v>12346</v>
      </c>
      <c r="K727" t="s">
        <v>12328</v>
      </c>
      <c r="L727" t="s">
        <v>12329</v>
      </c>
      <c r="M727" t="s">
        <v>7250</v>
      </c>
      <c r="R727">
        <v>1.6</v>
      </c>
      <c r="S727" t="s">
        <v>8257</v>
      </c>
      <c r="T727">
        <v>1.6</v>
      </c>
      <c r="U727">
        <v>744.61</v>
      </c>
      <c r="V727">
        <v>447</v>
      </c>
      <c r="W727">
        <v>54.27</v>
      </c>
      <c r="X727">
        <v>447</v>
      </c>
      <c r="Y727">
        <v>24</v>
      </c>
      <c r="Z727" t="s">
        <v>7253</v>
      </c>
      <c r="AC727" t="s">
        <v>8765</v>
      </c>
      <c r="AI727" t="s">
        <v>8765</v>
      </c>
      <c r="AO727" t="s">
        <v>12347</v>
      </c>
    </row>
    <row r="728" spans="1:41" hidden="1" x14ac:dyDescent="0.35">
      <c r="A728" t="s">
        <v>12348</v>
      </c>
      <c r="B728" t="s">
        <v>7246</v>
      </c>
      <c r="C728" t="s">
        <v>414</v>
      </c>
      <c r="D728" t="s">
        <v>414</v>
      </c>
      <c r="E728" t="s">
        <v>414</v>
      </c>
      <c r="G728" s="13" t="s">
        <v>12349</v>
      </c>
      <c r="H728" t="s">
        <v>12350</v>
      </c>
      <c r="K728" t="s">
        <v>12328</v>
      </c>
      <c r="L728" t="s">
        <v>12329</v>
      </c>
      <c r="M728" t="s">
        <v>7250</v>
      </c>
      <c r="R728">
        <v>0.39</v>
      </c>
      <c r="S728" t="s">
        <v>8257</v>
      </c>
      <c r="T728">
        <v>0.39</v>
      </c>
      <c r="U728">
        <v>181.5</v>
      </c>
      <c r="V728">
        <v>69</v>
      </c>
      <c r="W728" t="s">
        <v>6546</v>
      </c>
      <c r="X728">
        <v>69</v>
      </c>
      <c r="Y728" t="s">
        <v>12351</v>
      </c>
      <c r="Z728" t="s">
        <v>7253</v>
      </c>
      <c r="AC728" t="s">
        <v>8765</v>
      </c>
      <c r="AI728" t="s">
        <v>8765</v>
      </c>
      <c r="AO728" t="s">
        <v>6546</v>
      </c>
    </row>
    <row r="729" spans="1:41" hidden="1" x14ac:dyDescent="0.35">
      <c r="A729" t="s">
        <v>12352</v>
      </c>
      <c r="B729" t="s">
        <v>7246</v>
      </c>
      <c r="C729" t="s">
        <v>414</v>
      </c>
      <c r="D729" t="s">
        <v>414</v>
      </c>
      <c r="E729" t="s">
        <v>414</v>
      </c>
      <c r="G729" s="13" t="s">
        <v>12353</v>
      </c>
      <c r="H729" t="s">
        <v>12354</v>
      </c>
      <c r="K729" t="s">
        <v>12328</v>
      </c>
      <c r="L729" t="s">
        <v>12329</v>
      </c>
      <c r="M729" t="s">
        <v>7250</v>
      </c>
      <c r="R729">
        <v>0.84</v>
      </c>
      <c r="S729" t="s">
        <v>8257</v>
      </c>
      <c r="T729">
        <v>0.84</v>
      </c>
      <c r="U729">
        <v>390.92</v>
      </c>
      <c r="V729">
        <v>91</v>
      </c>
      <c r="W729">
        <v>48.17</v>
      </c>
      <c r="X729">
        <v>91</v>
      </c>
      <c r="Y729">
        <v>18</v>
      </c>
      <c r="Z729" t="s">
        <v>7253</v>
      </c>
      <c r="AC729" t="s">
        <v>8765</v>
      </c>
      <c r="AI729" t="s">
        <v>8765</v>
      </c>
      <c r="AO729" t="s">
        <v>12355</v>
      </c>
    </row>
    <row r="730" spans="1:41" hidden="1" x14ac:dyDescent="0.35">
      <c r="A730" t="s">
        <v>12356</v>
      </c>
      <c r="B730" t="s">
        <v>7246</v>
      </c>
      <c r="C730" t="s">
        <v>414</v>
      </c>
      <c r="D730" t="s">
        <v>414</v>
      </c>
      <c r="E730" t="s">
        <v>414</v>
      </c>
      <c r="G730" s="13" t="s">
        <v>12357</v>
      </c>
      <c r="H730" t="s">
        <v>12358</v>
      </c>
      <c r="K730" t="s">
        <v>12328</v>
      </c>
      <c r="L730" t="s">
        <v>12329</v>
      </c>
      <c r="M730" t="s">
        <v>7250</v>
      </c>
      <c r="R730">
        <v>1.29</v>
      </c>
      <c r="S730" t="s">
        <v>8257</v>
      </c>
      <c r="T730">
        <v>1.29</v>
      </c>
      <c r="U730">
        <v>600.34</v>
      </c>
      <c r="V730">
        <v>15</v>
      </c>
      <c r="W730" t="s">
        <v>6546</v>
      </c>
      <c r="X730">
        <v>15</v>
      </c>
      <c r="Y730">
        <v>14</v>
      </c>
      <c r="Z730" t="s">
        <v>7253</v>
      </c>
      <c r="AC730" t="s">
        <v>8765</v>
      </c>
      <c r="AI730" t="s">
        <v>8765</v>
      </c>
      <c r="AO730" t="s">
        <v>6546</v>
      </c>
    </row>
    <row r="731" spans="1:41" hidden="1" x14ac:dyDescent="0.35">
      <c r="A731" t="s">
        <v>12359</v>
      </c>
      <c r="B731" t="s">
        <v>7246</v>
      </c>
      <c r="C731" t="s">
        <v>414</v>
      </c>
      <c r="D731" t="s">
        <v>414</v>
      </c>
      <c r="E731" t="s">
        <v>414</v>
      </c>
      <c r="G731" s="13" t="s">
        <v>12360</v>
      </c>
      <c r="H731" t="s">
        <v>12361</v>
      </c>
      <c r="K731" t="s">
        <v>12328</v>
      </c>
      <c r="L731" t="s">
        <v>12329</v>
      </c>
      <c r="M731" t="s">
        <v>7250</v>
      </c>
      <c r="R731">
        <v>0.32</v>
      </c>
      <c r="S731" t="s">
        <v>8257</v>
      </c>
      <c r="T731">
        <v>0.32</v>
      </c>
      <c r="U731">
        <v>148.91999999999999</v>
      </c>
      <c r="V731">
        <v>12</v>
      </c>
      <c r="W731" t="s">
        <v>6546</v>
      </c>
      <c r="X731">
        <v>12</v>
      </c>
      <c r="Y731">
        <v>12</v>
      </c>
      <c r="Z731" t="s">
        <v>7253</v>
      </c>
      <c r="AC731" t="s">
        <v>8765</v>
      </c>
      <c r="AI731" t="s">
        <v>8765</v>
      </c>
      <c r="AO731" t="s">
        <v>6546</v>
      </c>
    </row>
    <row r="732" spans="1:41" hidden="1" x14ac:dyDescent="0.35">
      <c r="A732" t="s">
        <v>12362</v>
      </c>
      <c r="B732" t="s">
        <v>7246</v>
      </c>
      <c r="C732" t="s">
        <v>414</v>
      </c>
      <c r="D732" t="s">
        <v>414</v>
      </c>
      <c r="E732" t="s">
        <v>414</v>
      </c>
      <c r="G732" s="13" t="s">
        <v>12363</v>
      </c>
      <c r="H732" t="s">
        <v>12364</v>
      </c>
      <c r="K732" t="s">
        <v>12328</v>
      </c>
      <c r="L732" t="s">
        <v>12329</v>
      </c>
      <c r="M732" t="s">
        <v>7250</v>
      </c>
      <c r="R732">
        <v>1.5</v>
      </c>
      <c r="S732" t="s">
        <v>8257</v>
      </c>
      <c r="T732">
        <v>1.5</v>
      </c>
      <c r="U732">
        <v>698.08</v>
      </c>
      <c r="V732">
        <v>117</v>
      </c>
      <c r="W732" t="s">
        <v>6546</v>
      </c>
      <c r="X732">
        <v>117</v>
      </c>
      <c r="Y732" t="s">
        <v>12365</v>
      </c>
      <c r="Z732" t="s">
        <v>7253</v>
      </c>
      <c r="AC732" t="s">
        <v>8765</v>
      </c>
      <c r="AI732" t="s">
        <v>8765</v>
      </c>
      <c r="AO732" t="s">
        <v>6546</v>
      </c>
    </row>
    <row r="733" spans="1:41" hidden="1" x14ac:dyDescent="0.35">
      <c r="A733" t="s">
        <v>12366</v>
      </c>
      <c r="B733" t="s">
        <v>7246</v>
      </c>
      <c r="C733" t="s">
        <v>414</v>
      </c>
      <c r="D733" t="s">
        <v>414</v>
      </c>
      <c r="E733" t="s">
        <v>414</v>
      </c>
      <c r="G733" s="13" t="s">
        <v>12367</v>
      </c>
      <c r="H733" t="s">
        <v>12368</v>
      </c>
      <c r="K733" t="s">
        <v>12369</v>
      </c>
      <c r="L733" t="s">
        <v>12369</v>
      </c>
      <c r="M733" t="s">
        <v>7250</v>
      </c>
      <c r="R733">
        <v>4.55</v>
      </c>
      <c r="S733" t="s">
        <v>8257</v>
      </c>
      <c r="T733">
        <v>4.55</v>
      </c>
      <c r="U733">
        <v>2117.4899999999998</v>
      </c>
      <c r="V733">
        <v>29</v>
      </c>
      <c r="W733">
        <v>34.06</v>
      </c>
      <c r="X733">
        <v>29</v>
      </c>
      <c r="Y733">
        <v>24</v>
      </c>
      <c r="Z733" t="s">
        <v>7253</v>
      </c>
      <c r="AC733" t="s">
        <v>8765</v>
      </c>
      <c r="AI733" t="s">
        <v>8765</v>
      </c>
      <c r="AO733" t="s">
        <v>12370</v>
      </c>
    </row>
    <row r="734" spans="1:41" hidden="1" x14ac:dyDescent="0.35">
      <c r="A734" t="s">
        <v>12371</v>
      </c>
      <c r="B734" t="s">
        <v>7246</v>
      </c>
      <c r="C734" t="s">
        <v>414</v>
      </c>
      <c r="D734" t="s">
        <v>414</v>
      </c>
      <c r="E734" t="s">
        <v>414</v>
      </c>
      <c r="G734" s="13" t="s">
        <v>12372</v>
      </c>
      <c r="H734" t="s">
        <v>12373</v>
      </c>
      <c r="K734" t="s">
        <v>12369</v>
      </c>
      <c r="L734" t="s">
        <v>12369</v>
      </c>
      <c r="M734" t="s">
        <v>7250</v>
      </c>
      <c r="R734">
        <v>7.23</v>
      </c>
      <c r="S734" t="s">
        <v>8257</v>
      </c>
      <c r="T734">
        <v>7.23</v>
      </c>
      <c r="U734">
        <v>3364.72</v>
      </c>
      <c r="V734">
        <v>33</v>
      </c>
      <c r="W734" t="s">
        <v>6546</v>
      </c>
      <c r="X734">
        <v>33</v>
      </c>
      <c r="Y734">
        <v>28</v>
      </c>
      <c r="Z734" t="s">
        <v>7253</v>
      </c>
      <c r="AC734" t="s">
        <v>8765</v>
      </c>
      <c r="AI734" t="s">
        <v>8765</v>
      </c>
      <c r="AO734" t="s">
        <v>6546</v>
      </c>
    </row>
    <row r="735" spans="1:41" hidden="1" x14ac:dyDescent="0.35">
      <c r="A735" t="s">
        <v>12374</v>
      </c>
      <c r="B735" t="s">
        <v>7246</v>
      </c>
      <c r="C735" t="s">
        <v>414</v>
      </c>
      <c r="D735" t="s">
        <v>414</v>
      </c>
      <c r="E735" t="s">
        <v>414</v>
      </c>
      <c r="G735" s="13" t="s">
        <v>12375</v>
      </c>
      <c r="H735" t="s">
        <v>12376</v>
      </c>
      <c r="K735" t="s">
        <v>12369</v>
      </c>
      <c r="L735" t="s">
        <v>12369</v>
      </c>
      <c r="M735" t="s">
        <v>7250</v>
      </c>
      <c r="R735">
        <v>6.2</v>
      </c>
      <c r="S735" t="s">
        <v>8257</v>
      </c>
      <c r="T735">
        <v>6.2</v>
      </c>
      <c r="U735">
        <v>2885.38</v>
      </c>
      <c r="V735">
        <v>41</v>
      </c>
      <c r="W735">
        <v>31.14</v>
      </c>
      <c r="X735">
        <v>41</v>
      </c>
      <c r="Y735">
        <v>28</v>
      </c>
      <c r="Z735" t="s">
        <v>7253</v>
      </c>
      <c r="AC735" t="s">
        <v>8765</v>
      </c>
      <c r="AI735" t="s">
        <v>8765</v>
      </c>
      <c r="AO735" t="s">
        <v>12377</v>
      </c>
    </row>
    <row r="736" spans="1:41" hidden="1" x14ac:dyDescent="0.35">
      <c r="A736" t="s">
        <v>12378</v>
      </c>
      <c r="B736" t="s">
        <v>7246</v>
      </c>
      <c r="C736" t="s">
        <v>414</v>
      </c>
      <c r="D736" t="s">
        <v>414</v>
      </c>
      <c r="E736" t="s">
        <v>414</v>
      </c>
      <c r="G736" s="13" t="s">
        <v>12379</v>
      </c>
      <c r="H736" t="s">
        <v>12380</v>
      </c>
      <c r="K736" t="s">
        <v>12369</v>
      </c>
      <c r="L736" t="s">
        <v>12369</v>
      </c>
      <c r="M736" t="s">
        <v>7250</v>
      </c>
      <c r="R736">
        <v>12.91</v>
      </c>
      <c r="S736" t="s">
        <v>8257</v>
      </c>
      <c r="T736">
        <v>12.91</v>
      </c>
      <c r="U736">
        <v>6008.1</v>
      </c>
      <c r="V736">
        <v>86</v>
      </c>
      <c r="W736">
        <v>73.98</v>
      </c>
      <c r="X736">
        <v>86</v>
      </c>
      <c r="Y736">
        <v>36</v>
      </c>
      <c r="Z736" t="s">
        <v>7253</v>
      </c>
      <c r="AC736" t="s">
        <v>8765</v>
      </c>
      <c r="AI736" t="s">
        <v>8765</v>
      </c>
      <c r="AO736" t="s">
        <v>12381</v>
      </c>
    </row>
    <row r="737" spans="1:41" hidden="1" x14ac:dyDescent="0.35">
      <c r="A737" t="s">
        <v>12382</v>
      </c>
      <c r="B737" t="s">
        <v>7246</v>
      </c>
      <c r="C737" t="s">
        <v>414</v>
      </c>
      <c r="D737" t="s">
        <v>414</v>
      </c>
      <c r="E737" t="s">
        <v>414</v>
      </c>
      <c r="G737" s="13" t="s">
        <v>12383</v>
      </c>
      <c r="H737" t="s">
        <v>12384</v>
      </c>
      <c r="K737" t="s">
        <v>11702</v>
      </c>
      <c r="L737" t="s">
        <v>11702</v>
      </c>
      <c r="M737" t="s">
        <v>7250</v>
      </c>
      <c r="R737">
        <v>14.47</v>
      </c>
      <c r="S737" t="s">
        <v>8257</v>
      </c>
      <c r="T737">
        <v>14.47</v>
      </c>
      <c r="U737">
        <v>6734.1</v>
      </c>
      <c r="V737">
        <v>100</v>
      </c>
      <c r="W737">
        <v>70.87</v>
      </c>
      <c r="X737">
        <v>100</v>
      </c>
      <c r="Y737">
        <v>40</v>
      </c>
      <c r="Z737" t="s">
        <v>7253</v>
      </c>
      <c r="AC737" t="s">
        <v>8765</v>
      </c>
      <c r="AI737" t="s">
        <v>8765</v>
      </c>
      <c r="AO737" t="s">
        <v>12385</v>
      </c>
    </row>
    <row r="738" spans="1:41" hidden="1" x14ac:dyDescent="0.35">
      <c r="A738" t="s">
        <v>12386</v>
      </c>
      <c r="B738" t="s">
        <v>7246</v>
      </c>
      <c r="C738" t="s">
        <v>414</v>
      </c>
      <c r="D738" t="s">
        <v>414</v>
      </c>
      <c r="E738" t="s">
        <v>414</v>
      </c>
      <c r="G738" s="13" t="s">
        <v>12387</v>
      </c>
      <c r="H738" t="s">
        <v>12388</v>
      </c>
      <c r="K738" t="s">
        <v>11702</v>
      </c>
      <c r="L738" t="s">
        <v>11702</v>
      </c>
      <c r="M738" t="s">
        <v>7250</v>
      </c>
      <c r="R738">
        <v>2.0699999999999998</v>
      </c>
      <c r="S738" t="s">
        <v>8257</v>
      </c>
      <c r="T738">
        <v>2.0699999999999998</v>
      </c>
      <c r="U738">
        <v>963.34</v>
      </c>
      <c r="V738">
        <v>89</v>
      </c>
      <c r="W738" t="s">
        <v>6546</v>
      </c>
      <c r="X738">
        <v>89</v>
      </c>
      <c r="Y738">
        <v>16</v>
      </c>
      <c r="Z738" t="s">
        <v>7253</v>
      </c>
      <c r="AC738" t="s">
        <v>8765</v>
      </c>
      <c r="AI738" t="s">
        <v>8765</v>
      </c>
      <c r="AO738" t="s">
        <v>6546</v>
      </c>
    </row>
    <row r="739" spans="1:41" hidden="1" x14ac:dyDescent="0.35">
      <c r="A739" t="s">
        <v>12389</v>
      </c>
      <c r="B739" t="s">
        <v>7246</v>
      </c>
      <c r="C739" t="s">
        <v>414</v>
      </c>
      <c r="D739" t="s">
        <v>414</v>
      </c>
      <c r="E739" t="s">
        <v>414</v>
      </c>
      <c r="G739" s="13" t="s">
        <v>12390</v>
      </c>
      <c r="H739" t="s">
        <v>12391</v>
      </c>
      <c r="K739" t="s">
        <v>11702</v>
      </c>
      <c r="L739" t="s">
        <v>11702</v>
      </c>
      <c r="M739" t="s">
        <v>7250</v>
      </c>
      <c r="R739">
        <v>12.4</v>
      </c>
      <c r="S739" t="s">
        <v>8257</v>
      </c>
      <c r="T739">
        <v>12.4</v>
      </c>
      <c r="U739">
        <v>5770.75</v>
      </c>
      <c r="V739">
        <v>263</v>
      </c>
      <c r="W739" t="s">
        <v>6546</v>
      </c>
      <c r="X739">
        <v>263</v>
      </c>
      <c r="Y739">
        <v>32</v>
      </c>
      <c r="Z739" t="s">
        <v>7253</v>
      </c>
      <c r="AC739" t="s">
        <v>8765</v>
      </c>
      <c r="AI739" t="s">
        <v>8765</v>
      </c>
      <c r="AO739" t="s">
        <v>6546</v>
      </c>
    </row>
    <row r="740" spans="1:41" hidden="1" x14ac:dyDescent="0.35">
      <c r="A740" t="s">
        <v>12392</v>
      </c>
      <c r="B740" t="s">
        <v>7246</v>
      </c>
      <c r="C740" t="s">
        <v>414</v>
      </c>
      <c r="D740" t="s">
        <v>414</v>
      </c>
      <c r="E740" t="s">
        <v>414</v>
      </c>
      <c r="G740" s="13" t="s">
        <v>12393</v>
      </c>
      <c r="H740" t="s">
        <v>12394</v>
      </c>
      <c r="K740" t="s">
        <v>12395</v>
      </c>
      <c r="L740" t="s">
        <v>12395</v>
      </c>
      <c r="M740" t="s">
        <v>7250</v>
      </c>
      <c r="R740">
        <v>5.17</v>
      </c>
      <c r="S740" t="s">
        <v>8257</v>
      </c>
      <c r="T740">
        <v>5.17</v>
      </c>
      <c r="U740">
        <v>2406.0300000000002</v>
      </c>
      <c r="V740">
        <v>62</v>
      </c>
      <c r="W740">
        <v>51.57</v>
      </c>
      <c r="X740">
        <v>62</v>
      </c>
      <c r="Y740">
        <v>24</v>
      </c>
      <c r="Z740" t="s">
        <v>7253</v>
      </c>
      <c r="AC740" t="s">
        <v>8765</v>
      </c>
      <c r="AI740" t="s">
        <v>8765</v>
      </c>
      <c r="AO740" t="s">
        <v>12396</v>
      </c>
    </row>
    <row r="741" spans="1:41" hidden="1" x14ac:dyDescent="0.35">
      <c r="A741" t="s">
        <v>12397</v>
      </c>
      <c r="B741" t="s">
        <v>7246</v>
      </c>
      <c r="C741" t="s">
        <v>414</v>
      </c>
      <c r="D741" t="s">
        <v>414</v>
      </c>
      <c r="E741" t="s">
        <v>414</v>
      </c>
      <c r="G741" s="13" t="s">
        <v>12398</v>
      </c>
      <c r="H741" t="s">
        <v>12399</v>
      </c>
      <c r="K741" t="s">
        <v>12395</v>
      </c>
      <c r="L741" t="s">
        <v>12395</v>
      </c>
      <c r="M741" t="s">
        <v>7250</v>
      </c>
      <c r="R741">
        <v>7.23</v>
      </c>
      <c r="S741" t="s">
        <v>8257</v>
      </c>
      <c r="T741">
        <v>7.23</v>
      </c>
      <c r="U741">
        <v>3364.72</v>
      </c>
      <c r="V741">
        <v>81</v>
      </c>
      <c r="W741">
        <v>73.98</v>
      </c>
      <c r="X741">
        <v>81</v>
      </c>
      <c r="Y741">
        <v>36</v>
      </c>
      <c r="Z741" t="s">
        <v>7253</v>
      </c>
      <c r="AC741" t="s">
        <v>8765</v>
      </c>
      <c r="AI741" t="s">
        <v>8765</v>
      </c>
      <c r="AO741" t="s">
        <v>12381</v>
      </c>
    </row>
    <row r="742" spans="1:41" hidden="1" x14ac:dyDescent="0.35">
      <c r="A742" t="s">
        <v>12400</v>
      </c>
      <c r="B742" t="s">
        <v>7246</v>
      </c>
      <c r="C742" t="s">
        <v>414</v>
      </c>
      <c r="D742" t="s">
        <v>414</v>
      </c>
      <c r="E742" t="s">
        <v>414</v>
      </c>
      <c r="G742" s="13" t="s">
        <v>12401</v>
      </c>
      <c r="H742" t="s">
        <v>12402</v>
      </c>
      <c r="K742" t="s">
        <v>12403</v>
      </c>
      <c r="L742" t="s">
        <v>12403</v>
      </c>
      <c r="M742" t="s">
        <v>7250</v>
      </c>
      <c r="R742">
        <v>7.34</v>
      </c>
      <c r="S742" t="s">
        <v>8257</v>
      </c>
      <c r="T742">
        <v>7.34</v>
      </c>
      <c r="U742">
        <v>3415.91</v>
      </c>
      <c r="V742">
        <v>55</v>
      </c>
      <c r="W742" t="s">
        <v>6546</v>
      </c>
      <c r="X742">
        <v>55</v>
      </c>
      <c r="Y742">
        <v>24</v>
      </c>
      <c r="Z742" t="s">
        <v>7253</v>
      </c>
      <c r="AC742" t="s">
        <v>8765</v>
      </c>
      <c r="AI742" t="s">
        <v>8765</v>
      </c>
      <c r="AO742" t="s">
        <v>6546</v>
      </c>
    </row>
    <row r="743" spans="1:41" hidden="1" x14ac:dyDescent="0.35">
      <c r="A743" t="s">
        <v>12404</v>
      </c>
      <c r="B743" t="s">
        <v>7246</v>
      </c>
      <c r="C743" t="s">
        <v>416</v>
      </c>
      <c r="D743" t="s">
        <v>449</v>
      </c>
      <c r="E743" t="s">
        <v>9575</v>
      </c>
      <c r="G743" s="13" t="s">
        <v>12405</v>
      </c>
      <c r="H743" t="s">
        <v>12406</v>
      </c>
      <c r="K743" t="s">
        <v>12407</v>
      </c>
      <c r="L743" t="s">
        <v>12408</v>
      </c>
      <c r="M743" t="s">
        <v>7250</v>
      </c>
      <c r="N743">
        <v>2007</v>
      </c>
      <c r="R743">
        <v>500</v>
      </c>
      <c r="S743" t="s">
        <v>7251</v>
      </c>
      <c r="T743">
        <v>5.17</v>
      </c>
      <c r="U743">
        <v>2406.67</v>
      </c>
      <c r="V743">
        <v>23</v>
      </c>
      <c r="W743">
        <v>24.05</v>
      </c>
      <c r="X743">
        <v>23</v>
      </c>
      <c r="Y743">
        <v>32</v>
      </c>
      <c r="Z743" t="s">
        <v>7253</v>
      </c>
      <c r="AB743" t="s">
        <v>12409</v>
      </c>
      <c r="AC743" t="s">
        <v>8777</v>
      </c>
      <c r="AF743" t="s">
        <v>12410</v>
      </c>
      <c r="AI743" t="s">
        <v>8777</v>
      </c>
      <c r="AO743" t="s">
        <v>12411</v>
      </c>
    </row>
    <row r="744" spans="1:41" hidden="1" x14ac:dyDescent="0.35">
      <c r="A744" t="s">
        <v>12412</v>
      </c>
      <c r="B744" t="s">
        <v>7246</v>
      </c>
      <c r="C744" t="s">
        <v>425</v>
      </c>
      <c r="D744" t="s">
        <v>425</v>
      </c>
      <c r="E744" t="s">
        <v>425</v>
      </c>
      <c r="G744" s="13" t="s">
        <v>12413</v>
      </c>
      <c r="H744" t="s">
        <v>12414</v>
      </c>
      <c r="K744" t="s">
        <v>12415</v>
      </c>
      <c r="L744" t="s">
        <v>12415</v>
      </c>
      <c r="M744" t="s">
        <v>7250</v>
      </c>
      <c r="T744" t="s">
        <v>6546</v>
      </c>
      <c r="U744" t="s">
        <v>6546</v>
      </c>
      <c r="V744">
        <v>966</v>
      </c>
      <c r="W744" t="s">
        <v>6546</v>
      </c>
      <c r="X744">
        <v>966</v>
      </c>
      <c r="Y744" t="s">
        <v>12416</v>
      </c>
      <c r="Z744" t="s">
        <v>7253</v>
      </c>
      <c r="AC744" t="s">
        <v>8747</v>
      </c>
      <c r="AI744" t="s">
        <v>8747</v>
      </c>
      <c r="AO744" t="s">
        <v>6546</v>
      </c>
    </row>
    <row r="745" spans="1:41" hidden="1" x14ac:dyDescent="0.35">
      <c r="A745" t="s">
        <v>12417</v>
      </c>
      <c r="B745" t="s">
        <v>7246</v>
      </c>
      <c r="C745" t="s">
        <v>425</v>
      </c>
      <c r="D745" t="s">
        <v>425</v>
      </c>
      <c r="E745" t="s">
        <v>425</v>
      </c>
      <c r="G745" s="13" t="s">
        <v>12418</v>
      </c>
      <c r="H745" t="s">
        <v>12419</v>
      </c>
      <c r="K745" t="s">
        <v>12415</v>
      </c>
      <c r="L745" t="s">
        <v>12415</v>
      </c>
      <c r="M745" t="s">
        <v>7250</v>
      </c>
      <c r="T745" t="s">
        <v>6546</v>
      </c>
      <c r="U745" t="s">
        <v>6546</v>
      </c>
      <c r="V745">
        <v>249</v>
      </c>
      <c r="W745" t="s">
        <v>6546</v>
      </c>
      <c r="X745">
        <v>249</v>
      </c>
      <c r="Y745" t="s">
        <v>12420</v>
      </c>
      <c r="Z745" t="s">
        <v>7253</v>
      </c>
      <c r="AC745" t="s">
        <v>8747</v>
      </c>
      <c r="AI745" t="s">
        <v>8747</v>
      </c>
      <c r="AO745" t="s">
        <v>6546</v>
      </c>
    </row>
    <row r="746" spans="1:41" hidden="1" x14ac:dyDescent="0.35">
      <c r="A746" t="s">
        <v>12421</v>
      </c>
      <c r="B746" t="s">
        <v>7246</v>
      </c>
      <c r="C746" t="s">
        <v>425</v>
      </c>
      <c r="D746" t="s">
        <v>425</v>
      </c>
      <c r="E746" t="s">
        <v>425</v>
      </c>
      <c r="G746" s="13" t="s">
        <v>12422</v>
      </c>
      <c r="H746" t="s">
        <v>12423</v>
      </c>
      <c r="K746" t="s">
        <v>12415</v>
      </c>
      <c r="L746" t="s">
        <v>12415</v>
      </c>
      <c r="M746" t="s">
        <v>7250</v>
      </c>
      <c r="T746" t="s">
        <v>6546</v>
      </c>
      <c r="U746" t="s">
        <v>6546</v>
      </c>
      <c r="V746">
        <v>247</v>
      </c>
      <c r="W746" t="s">
        <v>6546</v>
      </c>
      <c r="X746">
        <v>247</v>
      </c>
      <c r="Y746" t="s">
        <v>12420</v>
      </c>
      <c r="Z746" t="s">
        <v>7253</v>
      </c>
      <c r="AC746" t="s">
        <v>8747</v>
      </c>
      <c r="AI746" t="s">
        <v>8747</v>
      </c>
      <c r="AO746" t="s">
        <v>6546</v>
      </c>
    </row>
    <row r="747" spans="1:41" hidden="1" x14ac:dyDescent="0.35">
      <c r="A747" t="s">
        <v>12424</v>
      </c>
      <c r="B747" t="s">
        <v>7246</v>
      </c>
      <c r="C747" t="s">
        <v>425</v>
      </c>
      <c r="D747" t="s">
        <v>425</v>
      </c>
      <c r="E747" t="s">
        <v>425</v>
      </c>
      <c r="G747" s="13" t="s">
        <v>12425</v>
      </c>
      <c r="H747" t="s">
        <v>12426</v>
      </c>
      <c r="K747" t="s">
        <v>12415</v>
      </c>
      <c r="L747" t="s">
        <v>12415</v>
      </c>
      <c r="M747" t="s">
        <v>7250</v>
      </c>
      <c r="T747" t="s">
        <v>6546</v>
      </c>
      <c r="U747" t="s">
        <v>6546</v>
      </c>
      <c r="V747">
        <v>244</v>
      </c>
      <c r="W747" t="s">
        <v>6546</v>
      </c>
      <c r="X747">
        <v>244</v>
      </c>
      <c r="Y747">
        <v>56</v>
      </c>
      <c r="Z747" t="s">
        <v>7253</v>
      </c>
      <c r="AC747" t="s">
        <v>8747</v>
      </c>
      <c r="AI747" t="s">
        <v>8747</v>
      </c>
      <c r="AO747" t="s">
        <v>6546</v>
      </c>
    </row>
    <row r="748" spans="1:41" hidden="1" x14ac:dyDescent="0.35">
      <c r="A748" t="s">
        <v>12427</v>
      </c>
      <c r="B748" t="s">
        <v>7246</v>
      </c>
      <c r="C748" t="s">
        <v>425</v>
      </c>
      <c r="D748" t="s">
        <v>425</v>
      </c>
      <c r="E748" t="s">
        <v>425</v>
      </c>
      <c r="G748" s="13" t="s">
        <v>12428</v>
      </c>
      <c r="H748" t="s">
        <v>12429</v>
      </c>
      <c r="K748" t="s">
        <v>12415</v>
      </c>
      <c r="L748" t="s">
        <v>12415</v>
      </c>
      <c r="M748" t="s">
        <v>7250</v>
      </c>
      <c r="T748" t="s">
        <v>6546</v>
      </c>
      <c r="U748" t="s">
        <v>6546</v>
      </c>
      <c r="V748">
        <v>204</v>
      </c>
      <c r="W748" t="s">
        <v>6546</v>
      </c>
      <c r="X748">
        <v>204</v>
      </c>
      <c r="Y748" t="s">
        <v>12430</v>
      </c>
      <c r="Z748" t="s">
        <v>7253</v>
      </c>
      <c r="AC748" t="s">
        <v>8747</v>
      </c>
      <c r="AI748" t="s">
        <v>8747</v>
      </c>
      <c r="AO748" t="s">
        <v>6546</v>
      </c>
    </row>
    <row r="749" spans="1:41" hidden="1" x14ac:dyDescent="0.35">
      <c r="A749" t="s">
        <v>12431</v>
      </c>
      <c r="B749" t="s">
        <v>7246</v>
      </c>
      <c r="C749" t="s">
        <v>425</v>
      </c>
      <c r="D749" t="s">
        <v>425</v>
      </c>
      <c r="E749" t="s">
        <v>425</v>
      </c>
      <c r="G749" s="13" t="s">
        <v>12432</v>
      </c>
      <c r="H749" t="s">
        <v>12433</v>
      </c>
      <c r="K749" t="s">
        <v>12415</v>
      </c>
      <c r="L749" t="s">
        <v>12415</v>
      </c>
      <c r="M749" t="s">
        <v>7250</v>
      </c>
      <c r="T749" t="s">
        <v>6546</v>
      </c>
      <c r="U749" t="s">
        <v>6546</v>
      </c>
      <c r="V749">
        <v>198</v>
      </c>
      <c r="W749">
        <v>177.19</v>
      </c>
      <c r="X749">
        <v>198</v>
      </c>
      <c r="Y749">
        <v>40</v>
      </c>
      <c r="Z749" t="s">
        <v>7253</v>
      </c>
      <c r="AC749" t="s">
        <v>8747</v>
      </c>
      <c r="AI749" t="s">
        <v>8747</v>
      </c>
      <c r="AO749" t="s">
        <v>12434</v>
      </c>
    </row>
    <row r="750" spans="1:41" hidden="1" x14ac:dyDescent="0.35">
      <c r="A750" t="s">
        <v>12435</v>
      </c>
      <c r="B750" t="s">
        <v>7246</v>
      </c>
      <c r="C750" t="s">
        <v>425</v>
      </c>
      <c r="D750" t="s">
        <v>425</v>
      </c>
      <c r="E750" t="s">
        <v>425</v>
      </c>
      <c r="G750" s="13" t="s">
        <v>12436</v>
      </c>
      <c r="H750" t="s">
        <v>12437</v>
      </c>
      <c r="K750" t="s">
        <v>12415</v>
      </c>
      <c r="L750" t="s">
        <v>12415</v>
      </c>
      <c r="M750" t="s">
        <v>7250</v>
      </c>
      <c r="T750" t="s">
        <v>6546</v>
      </c>
      <c r="U750" t="s">
        <v>6546</v>
      </c>
      <c r="V750">
        <v>153</v>
      </c>
      <c r="W750" t="s">
        <v>6546</v>
      </c>
      <c r="X750">
        <v>153</v>
      </c>
      <c r="Y750">
        <v>48</v>
      </c>
      <c r="Z750" t="s">
        <v>7253</v>
      </c>
      <c r="AC750" t="s">
        <v>8747</v>
      </c>
      <c r="AI750" t="s">
        <v>8747</v>
      </c>
      <c r="AO750" t="s">
        <v>6546</v>
      </c>
    </row>
    <row r="751" spans="1:41" hidden="1" x14ac:dyDescent="0.35">
      <c r="A751" t="s">
        <v>12438</v>
      </c>
      <c r="B751" t="s">
        <v>7246</v>
      </c>
      <c r="C751" t="s">
        <v>425</v>
      </c>
      <c r="D751" t="s">
        <v>425</v>
      </c>
      <c r="E751" t="s">
        <v>425</v>
      </c>
      <c r="G751" s="13" t="s">
        <v>12439</v>
      </c>
      <c r="H751" t="s">
        <v>12440</v>
      </c>
      <c r="K751" t="s">
        <v>12415</v>
      </c>
      <c r="L751" t="s">
        <v>12415</v>
      </c>
      <c r="M751" t="s">
        <v>7250</v>
      </c>
      <c r="T751" t="s">
        <v>6546</v>
      </c>
      <c r="U751" t="s">
        <v>6546</v>
      </c>
      <c r="V751">
        <v>145</v>
      </c>
      <c r="W751">
        <v>131.19999999999999</v>
      </c>
      <c r="X751">
        <v>145</v>
      </c>
      <c r="Y751">
        <v>30</v>
      </c>
      <c r="Z751" t="s">
        <v>7253</v>
      </c>
      <c r="AA751" t="s">
        <v>12441</v>
      </c>
      <c r="AB751" t="s">
        <v>12442</v>
      </c>
      <c r="AC751" t="s">
        <v>8747</v>
      </c>
      <c r="AE751" t="s">
        <v>6156</v>
      </c>
      <c r="AF751" t="s">
        <v>12443</v>
      </c>
      <c r="AG751" t="s">
        <v>2348</v>
      </c>
      <c r="AH751" t="s">
        <v>6156</v>
      </c>
      <c r="AI751" t="s">
        <v>8747</v>
      </c>
      <c r="AO751" t="s">
        <v>12444</v>
      </c>
    </row>
    <row r="752" spans="1:41" hidden="1" x14ac:dyDescent="0.35">
      <c r="A752" t="s">
        <v>12445</v>
      </c>
      <c r="B752" t="s">
        <v>7246</v>
      </c>
      <c r="C752" t="s">
        <v>425</v>
      </c>
      <c r="D752" t="s">
        <v>425</v>
      </c>
      <c r="E752" t="s">
        <v>425</v>
      </c>
      <c r="G752" s="13" t="s">
        <v>12446</v>
      </c>
      <c r="H752" t="s">
        <v>12447</v>
      </c>
      <c r="K752" t="s">
        <v>12415</v>
      </c>
      <c r="L752" t="s">
        <v>12415</v>
      </c>
      <c r="M752" t="s">
        <v>7250</v>
      </c>
      <c r="T752" t="s">
        <v>6546</v>
      </c>
      <c r="U752" t="s">
        <v>6546</v>
      </c>
      <c r="V752">
        <v>140</v>
      </c>
      <c r="W752">
        <v>127.85</v>
      </c>
      <c r="X752">
        <v>140</v>
      </c>
      <c r="Y752" t="s">
        <v>12448</v>
      </c>
      <c r="Z752" t="s">
        <v>7253</v>
      </c>
      <c r="AA752" t="s">
        <v>12449</v>
      </c>
      <c r="AC752" t="s">
        <v>8747</v>
      </c>
      <c r="AD752" t="s">
        <v>12450</v>
      </c>
      <c r="AE752" t="s">
        <v>6156</v>
      </c>
      <c r="AF752" t="s">
        <v>12451</v>
      </c>
      <c r="AH752" t="s">
        <v>6156</v>
      </c>
      <c r="AI752" t="s">
        <v>8747</v>
      </c>
      <c r="AO752" t="s">
        <v>12452</v>
      </c>
    </row>
    <row r="753" spans="1:41" hidden="1" x14ac:dyDescent="0.35">
      <c r="A753" t="s">
        <v>12453</v>
      </c>
      <c r="B753" t="s">
        <v>7246</v>
      </c>
      <c r="C753" t="s">
        <v>425</v>
      </c>
      <c r="D753" t="s">
        <v>425</v>
      </c>
      <c r="E753" t="s">
        <v>425</v>
      </c>
      <c r="G753" s="13" t="s">
        <v>12454</v>
      </c>
      <c r="H753" t="s">
        <v>12455</v>
      </c>
      <c r="K753" t="s">
        <v>12415</v>
      </c>
      <c r="L753" t="s">
        <v>12415</v>
      </c>
      <c r="M753" t="s">
        <v>7250</v>
      </c>
      <c r="T753" t="s">
        <v>6546</v>
      </c>
      <c r="U753" t="s">
        <v>6546</v>
      </c>
      <c r="V753">
        <v>137</v>
      </c>
      <c r="W753">
        <v>113.29</v>
      </c>
      <c r="X753">
        <v>137</v>
      </c>
      <c r="Y753" t="s">
        <v>7471</v>
      </c>
      <c r="Z753" t="s">
        <v>7253</v>
      </c>
      <c r="AC753" t="s">
        <v>8747</v>
      </c>
      <c r="AI753" t="s">
        <v>8747</v>
      </c>
      <c r="AO753" t="s">
        <v>12456</v>
      </c>
    </row>
    <row r="754" spans="1:41" hidden="1" x14ac:dyDescent="0.35">
      <c r="A754" t="s">
        <v>12457</v>
      </c>
      <c r="B754" t="s">
        <v>7246</v>
      </c>
      <c r="C754" t="s">
        <v>425</v>
      </c>
      <c r="D754" t="s">
        <v>425</v>
      </c>
      <c r="E754" t="s">
        <v>425</v>
      </c>
      <c r="G754" s="13" t="s">
        <v>12458</v>
      </c>
      <c r="H754" t="s">
        <v>12459</v>
      </c>
      <c r="K754" t="s">
        <v>12415</v>
      </c>
      <c r="L754" t="s">
        <v>12415</v>
      </c>
      <c r="M754" t="s">
        <v>7250</v>
      </c>
      <c r="T754" t="s">
        <v>6546</v>
      </c>
      <c r="U754" t="s">
        <v>6546</v>
      </c>
      <c r="V754">
        <v>124</v>
      </c>
      <c r="W754">
        <v>126.02</v>
      </c>
      <c r="X754">
        <v>124</v>
      </c>
      <c r="Y754" t="s">
        <v>12460</v>
      </c>
      <c r="Z754" t="s">
        <v>7253</v>
      </c>
      <c r="AA754" t="s">
        <v>12449</v>
      </c>
      <c r="AC754" t="s">
        <v>8747</v>
      </c>
      <c r="AD754" t="s">
        <v>12450</v>
      </c>
      <c r="AE754" t="s">
        <v>6156</v>
      </c>
      <c r="AF754" t="s">
        <v>12451</v>
      </c>
      <c r="AH754" t="s">
        <v>6156</v>
      </c>
      <c r="AI754" t="s">
        <v>8747</v>
      </c>
      <c r="AO754" t="s">
        <v>12461</v>
      </c>
    </row>
    <row r="755" spans="1:41" hidden="1" x14ac:dyDescent="0.35">
      <c r="A755" t="s">
        <v>12462</v>
      </c>
      <c r="B755" t="s">
        <v>7246</v>
      </c>
      <c r="C755" t="s">
        <v>425</v>
      </c>
      <c r="D755" t="s">
        <v>425</v>
      </c>
      <c r="E755" t="s">
        <v>425</v>
      </c>
      <c r="G755" s="13" t="s">
        <v>12463</v>
      </c>
      <c r="H755" t="s">
        <v>12464</v>
      </c>
      <c r="K755" t="s">
        <v>12415</v>
      </c>
      <c r="L755" t="s">
        <v>12415</v>
      </c>
      <c r="M755" t="s">
        <v>7250</v>
      </c>
      <c r="T755" t="s">
        <v>6546</v>
      </c>
      <c r="U755" t="s">
        <v>6546</v>
      </c>
      <c r="V755">
        <v>108</v>
      </c>
      <c r="W755" t="s">
        <v>6546</v>
      </c>
      <c r="X755">
        <v>108</v>
      </c>
      <c r="Y755" t="s">
        <v>12460</v>
      </c>
      <c r="Z755" t="s">
        <v>7253</v>
      </c>
      <c r="AC755" t="s">
        <v>8747</v>
      </c>
      <c r="AI755" t="s">
        <v>8747</v>
      </c>
      <c r="AO755" t="s">
        <v>6546</v>
      </c>
    </row>
    <row r="756" spans="1:41" hidden="1" x14ac:dyDescent="0.35">
      <c r="A756" t="s">
        <v>12465</v>
      </c>
      <c r="B756" t="s">
        <v>7246</v>
      </c>
      <c r="C756" t="s">
        <v>425</v>
      </c>
      <c r="D756" t="s">
        <v>425</v>
      </c>
      <c r="E756" t="s">
        <v>425</v>
      </c>
      <c r="G756" s="13" t="s">
        <v>12466</v>
      </c>
      <c r="H756" t="s">
        <v>12467</v>
      </c>
      <c r="K756" t="s">
        <v>12415</v>
      </c>
      <c r="L756" t="s">
        <v>12415</v>
      </c>
      <c r="M756" t="s">
        <v>7250</v>
      </c>
      <c r="T756" t="s">
        <v>6546</v>
      </c>
      <c r="U756" t="s">
        <v>6546</v>
      </c>
      <c r="V756">
        <v>56</v>
      </c>
      <c r="W756">
        <v>46.81</v>
      </c>
      <c r="X756">
        <v>56</v>
      </c>
      <c r="Y756" t="s">
        <v>12468</v>
      </c>
      <c r="Z756" t="s">
        <v>7253</v>
      </c>
      <c r="AA756" t="s">
        <v>12469</v>
      </c>
      <c r="AC756" t="s">
        <v>8747</v>
      </c>
      <c r="AE756" t="s">
        <v>6156</v>
      </c>
      <c r="AF756" t="s">
        <v>2348</v>
      </c>
      <c r="AH756" t="s">
        <v>6156</v>
      </c>
      <c r="AI756" t="s">
        <v>8747</v>
      </c>
      <c r="AO756" t="s">
        <v>12470</v>
      </c>
    </row>
    <row r="757" spans="1:41" hidden="1" x14ac:dyDescent="0.35">
      <c r="A757" t="s">
        <v>12471</v>
      </c>
      <c r="B757" t="s">
        <v>7246</v>
      </c>
      <c r="C757" t="s">
        <v>425</v>
      </c>
      <c r="D757" t="s">
        <v>425</v>
      </c>
      <c r="E757" t="s">
        <v>425</v>
      </c>
      <c r="G757" s="13" t="s">
        <v>12472</v>
      </c>
      <c r="H757" t="s">
        <v>12473</v>
      </c>
      <c r="K757" t="s">
        <v>12415</v>
      </c>
      <c r="L757" t="s">
        <v>12415</v>
      </c>
      <c r="M757" t="s">
        <v>7250</v>
      </c>
      <c r="T757" t="s">
        <v>6546</v>
      </c>
      <c r="U757" t="s">
        <v>6546</v>
      </c>
      <c r="V757">
        <v>56</v>
      </c>
      <c r="W757" t="s">
        <v>6546</v>
      </c>
      <c r="X757">
        <v>56</v>
      </c>
      <c r="Y757">
        <v>48</v>
      </c>
      <c r="Z757" t="s">
        <v>7253</v>
      </c>
      <c r="AC757" t="s">
        <v>8747</v>
      </c>
      <c r="AI757" t="s">
        <v>8747</v>
      </c>
      <c r="AO757" t="s">
        <v>6546</v>
      </c>
    </row>
    <row r="758" spans="1:41" hidden="1" x14ac:dyDescent="0.35">
      <c r="A758" t="s">
        <v>12474</v>
      </c>
      <c r="B758" t="s">
        <v>7246</v>
      </c>
      <c r="C758" t="s">
        <v>425</v>
      </c>
      <c r="D758" t="s">
        <v>425</v>
      </c>
      <c r="E758" t="s">
        <v>425</v>
      </c>
      <c r="G758" s="13" t="s">
        <v>12475</v>
      </c>
      <c r="H758" t="s">
        <v>12476</v>
      </c>
      <c r="K758" t="s">
        <v>12415</v>
      </c>
      <c r="L758" t="s">
        <v>12415</v>
      </c>
      <c r="M758" t="s">
        <v>7250</v>
      </c>
      <c r="T758" t="s">
        <v>6546</v>
      </c>
      <c r="U758" t="s">
        <v>6546</v>
      </c>
      <c r="V758">
        <v>56</v>
      </c>
      <c r="W758" t="s">
        <v>6546</v>
      </c>
      <c r="X758">
        <v>56</v>
      </c>
      <c r="Y758">
        <v>40</v>
      </c>
      <c r="Z758" t="s">
        <v>7253</v>
      </c>
      <c r="AC758" t="s">
        <v>8747</v>
      </c>
      <c r="AI758" t="s">
        <v>8747</v>
      </c>
      <c r="AO758" t="s">
        <v>6546</v>
      </c>
    </row>
    <row r="759" spans="1:41" hidden="1" x14ac:dyDescent="0.35">
      <c r="A759" t="s">
        <v>12477</v>
      </c>
      <c r="B759" t="s">
        <v>7246</v>
      </c>
      <c r="C759" t="s">
        <v>425</v>
      </c>
      <c r="D759" t="s">
        <v>425</v>
      </c>
      <c r="E759" t="s">
        <v>425</v>
      </c>
      <c r="G759" s="13" t="s">
        <v>12478</v>
      </c>
      <c r="H759" t="s">
        <v>12479</v>
      </c>
      <c r="K759" t="s">
        <v>12415</v>
      </c>
      <c r="L759" t="s">
        <v>12415</v>
      </c>
      <c r="M759" t="s">
        <v>7250</v>
      </c>
      <c r="T759" t="s">
        <v>6546</v>
      </c>
      <c r="U759" t="s">
        <v>6546</v>
      </c>
      <c r="V759">
        <v>56</v>
      </c>
      <c r="W759" t="s">
        <v>6546</v>
      </c>
      <c r="X759">
        <v>56</v>
      </c>
      <c r="Y759">
        <v>56</v>
      </c>
      <c r="Z759" t="s">
        <v>7253</v>
      </c>
      <c r="AC759" t="s">
        <v>8747</v>
      </c>
      <c r="AI759" t="s">
        <v>8747</v>
      </c>
      <c r="AO759" t="s">
        <v>6546</v>
      </c>
    </row>
    <row r="760" spans="1:41" hidden="1" x14ac:dyDescent="0.35">
      <c r="A760" t="s">
        <v>12480</v>
      </c>
      <c r="B760" t="s">
        <v>7246</v>
      </c>
      <c r="C760" t="s">
        <v>425</v>
      </c>
      <c r="D760" t="s">
        <v>425</v>
      </c>
      <c r="E760" t="s">
        <v>425</v>
      </c>
      <c r="G760" s="13" t="s">
        <v>12481</v>
      </c>
      <c r="H760" t="s">
        <v>12482</v>
      </c>
      <c r="K760" t="s">
        <v>12415</v>
      </c>
      <c r="L760" t="s">
        <v>12415</v>
      </c>
      <c r="M760" t="s">
        <v>7250</v>
      </c>
      <c r="T760" t="s">
        <v>6546</v>
      </c>
      <c r="U760" t="s">
        <v>6546</v>
      </c>
      <c r="V760">
        <v>53</v>
      </c>
      <c r="W760">
        <v>42.65</v>
      </c>
      <c r="X760">
        <v>53</v>
      </c>
      <c r="Y760">
        <v>42</v>
      </c>
      <c r="Z760" t="s">
        <v>7253</v>
      </c>
      <c r="AA760" t="s">
        <v>12483</v>
      </c>
      <c r="AC760" t="s">
        <v>8747</v>
      </c>
      <c r="AE760" t="s">
        <v>6156</v>
      </c>
      <c r="AF760" t="s">
        <v>12484</v>
      </c>
      <c r="AH760" t="s">
        <v>6156</v>
      </c>
      <c r="AI760" t="s">
        <v>8747</v>
      </c>
      <c r="AO760" t="s">
        <v>12485</v>
      </c>
    </row>
    <row r="761" spans="1:41" hidden="1" x14ac:dyDescent="0.35">
      <c r="A761" t="s">
        <v>12486</v>
      </c>
      <c r="B761" t="s">
        <v>7246</v>
      </c>
      <c r="C761" t="s">
        <v>425</v>
      </c>
      <c r="D761" t="s">
        <v>425</v>
      </c>
      <c r="E761" t="s">
        <v>425</v>
      </c>
      <c r="G761" s="13" t="s">
        <v>12487</v>
      </c>
      <c r="H761" t="s">
        <v>12488</v>
      </c>
      <c r="K761" t="s">
        <v>12415</v>
      </c>
      <c r="L761" t="s">
        <v>12415</v>
      </c>
      <c r="M761" t="s">
        <v>7250</v>
      </c>
      <c r="T761" t="s">
        <v>6546</v>
      </c>
      <c r="U761" t="s">
        <v>6546</v>
      </c>
      <c r="V761">
        <v>50</v>
      </c>
      <c r="W761" t="s">
        <v>6546</v>
      </c>
      <c r="X761">
        <v>50</v>
      </c>
      <c r="Y761">
        <v>30</v>
      </c>
      <c r="Z761" t="s">
        <v>7253</v>
      </c>
      <c r="AC761" t="s">
        <v>8747</v>
      </c>
      <c r="AI761" t="s">
        <v>8747</v>
      </c>
      <c r="AO761" t="s">
        <v>6546</v>
      </c>
    </row>
    <row r="762" spans="1:41" hidden="1" x14ac:dyDescent="0.35">
      <c r="A762" t="s">
        <v>12489</v>
      </c>
      <c r="B762" t="s">
        <v>7246</v>
      </c>
      <c r="C762" t="s">
        <v>425</v>
      </c>
      <c r="D762" t="s">
        <v>425</v>
      </c>
      <c r="E762" t="s">
        <v>425</v>
      </c>
      <c r="G762" s="13" t="s">
        <v>12490</v>
      </c>
      <c r="H762" t="s">
        <v>12491</v>
      </c>
      <c r="K762" t="s">
        <v>12415</v>
      </c>
      <c r="L762" t="s">
        <v>12415</v>
      </c>
      <c r="M762" t="s">
        <v>7250</v>
      </c>
      <c r="T762" t="s">
        <v>6546</v>
      </c>
      <c r="U762" t="s">
        <v>6546</v>
      </c>
      <c r="V762">
        <v>47</v>
      </c>
      <c r="W762">
        <v>45.5</v>
      </c>
      <c r="X762">
        <v>47</v>
      </c>
      <c r="Y762">
        <v>32</v>
      </c>
      <c r="Z762" t="s">
        <v>7253</v>
      </c>
      <c r="AA762" t="s">
        <v>12492</v>
      </c>
      <c r="AC762" t="s">
        <v>8747</v>
      </c>
      <c r="AE762" t="s">
        <v>3678</v>
      </c>
      <c r="AF762" t="s">
        <v>12451</v>
      </c>
      <c r="AH762" t="s">
        <v>6156</v>
      </c>
      <c r="AI762" t="s">
        <v>8747</v>
      </c>
      <c r="AO762" t="s">
        <v>12493</v>
      </c>
    </row>
    <row r="763" spans="1:41" hidden="1" x14ac:dyDescent="0.35">
      <c r="A763" t="s">
        <v>12494</v>
      </c>
      <c r="B763" t="s">
        <v>7246</v>
      </c>
      <c r="C763" t="s">
        <v>425</v>
      </c>
      <c r="D763" t="s">
        <v>425</v>
      </c>
      <c r="E763" t="s">
        <v>425</v>
      </c>
      <c r="G763" s="13" t="s">
        <v>12495</v>
      </c>
      <c r="H763" t="s">
        <v>12496</v>
      </c>
      <c r="K763" t="s">
        <v>12415</v>
      </c>
      <c r="L763" t="s">
        <v>12415</v>
      </c>
      <c r="M763" t="s">
        <v>7250</v>
      </c>
      <c r="T763" t="s">
        <v>6546</v>
      </c>
      <c r="U763" t="s">
        <v>6546</v>
      </c>
      <c r="V763">
        <v>45</v>
      </c>
      <c r="W763">
        <v>54.93</v>
      </c>
      <c r="X763">
        <v>45</v>
      </c>
      <c r="Y763">
        <v>32</v>
      </c>
      <c r="Z763" t="s">
        <v>7253</v>
      </c>
      <c r="AA763" t="s">
        <v>12497</v>
      </c>
      <c r="AC763" t="s">
        <v>8747</v>
      </c>
      <c r="AE763" t="s">
        <v>6156</v>
      </c>
      <c r="AF763" t="s">
        <v>12443</v>
      </c>
      <c r="AG763" t="s">
        <v>2348</v>
      </c>
      <c r="AH763" t="s">
        <v>6156</v>
      </c>
      <c r="AI763" t="s">
        <v>8747</v>
      </c>
      <c r="AO763" t="s">
        <v>12498</v>
      </c>
    </row>
    <row r="764" spans="1:41" hidden="1" x14ac:dyDescent="0.35">
      <c r="A764" t="s">
        <v>12499</v>
      </c>
      <c r="B764" t="s">
        <v>7246</v>
      </c>
      <c r="C764" t="s">
        <v>425</v>
      </c>
      <c r="D764" t="s">
        <v>425</v>
      </c>
      <c r="E764" t="s">
        <v>425</v>
      </c>
      <c r="G764" s="13" t="s">
        <v>12500</v>
      </c>
      <c r="H764" t="s">
        <v>12501</v>
      </c>
      <c r="K764" t="s">
        <v>12415</v>
      </c>
      <c r="L764" t="s">
        <v>12415</v>
      </c>
      <c r="M764" t="s">
        <v>7250</v>
      </c>
      <c r="T764" t="s">
        <v>6546</v>
      </c>
      <c r="U764" t="s">
        <v>6546</v>
      </c>
      <c r="V764">
        <v>43</v>
      </c>
      <c r="W764">
        <v>83.93</v>
      </c>
      <c r="X764">
        <v>43</v>
      </c>
      <c r="Y764">
        <v>30</v>
      </c>
      <c r="Z764" t="s">
        <v>7253</v>
      </c>
      <c r="AC764" t="s">
        <v>8747</v>
      </c>
      <c r="AF764" t="s">
        <v>12492</v>
      </c>
      <c r="AH764" t="s">
        <v>3678</v>
      </c>
      <c r="AI764" t="s">
        <v>8747</v>
      </c>
      <c r="AO764" t="s">
        <v>12502</v>
      </c>
    </row>
    <row r="765" spans="1:41" hidden="1" x14ac:dyDescent="0.35">
      <c r="A765" t="s">
        <v>12503</v>
      </c>
      <c r="B765" t="s">
        <v>7246</v>
      </c>
      <c r="C765" t="s">
        <v>425</v>
      </c>
      <c r="D765" t="s">
        <v>425</v>
      </c>
      <c r="E765" t="s">
        <v>425</v>
      </c>
      <c r="G765" s="13" t="s">
        <v>12504</v>
      </c>
      <c r="H765" t="s">
        <v>12505</v>
      </c>
      <c r="K765" t="s">
        <v>12415</v>
      </c>
      <c r="L765" t="s">
        <v>12415</v>
      </c>
      <c r="M765" t="s">
        <v>7250</v>
      </c>
      <c r="T765" t="s">
        <v>6546</v>
      </c>
      <c r="U765" t="s">
        <v>6546</v>
      </c>
      <c r="V765">
        <v>43</v>
      </c>
      <c r="W765">
        <v>83.93</v>
      </c>
      <c r="X765">
        <v>43</v>
      </c>
      <c r="Y765">
        <v>30</v>
      </c>
      <c r="Z765" t="s">
        <v>7253</v>
      </c>
      <c r="AC765" t="s">
        <v>8747</v>
      </c>
      <c r="AF765" t="s">
        <v>12492</v>
      </c>
      <c r="AH765" t="s">
        <v>3678</v>
      </c>
      <c r="AI765" t="s">
        <v>8747</v>
      </c>
      <c r="AO765" t="s">
        <v>12506</v>
      </c>
    </row>
    <row r="766" spans="1:41" hidden="1" x14ac:dyDescent="0.35">
      <c r="A766" t="s">
        <v>12507</v>
      </c>
      <c r="B766" t="s">
        <v>7246</v>
      </c>
      <c r="C766" t="s">
        <v>425</v>
      </c>
      <c r="D766" t="s">
        <v>425</v>
      </c>
      <c r="E766" t="s">
        <v>425</v>
      </c>
      <c r="G766" s="13" t="s">
        <v>12508</v>
      </c>
      <c r="H766" t="s">
        <v>12509</v>
      </c>
      <c r="K766" t="s">
        <v>12415</v>
      </c>
      <c r="L766" t="s">
        <v>12415</v>
      </c>
      <c r="M766" t="s">
        <v>7250</v>
      </c>
      <c r="T766" t="s">
        <v>6546</v>
      </c>
      <c r="U766" t="s">
        <v>6546</v>
      </c>
      <c r="V766">
        <v>43</v>
      </c>
      <c r="W766">
        <v>83.93</v>
      </c>
      <c r="X766">
        <v>43</v>
      </c>
      <c r="Y766">
        <v>30</v>
      </c>
      <c r="Z766" t="s">
        <v>7253</v>
      </c>
      <c r="AC766" t="s">
        <v>8747</v>
      </c>
      <c r="AF766" t="s">
        <v>12492</v>
      </c>
      <c r="AH766" t="s">
        <v>3678</v>
      </c>
      <c r="AI766" t="s">
        <v>8747</v>
      </c>
      <c r="AO766" t="s">
        <v>12510</v>
      </c>
    </row>
    <row r="767" spans="1:41" hidden="1" x14ac:dyDescent="0.35">
      <c r="A767" t="s">
        <v>12511</v>
      </c>
      <c r="B767" t="s">
        <v>7246</v>
      </c>
      <c r="C767" t="s">
        <v>425</v>
      </c>
      <c r="D767" t="s">
        <v>425</v>
      </c>
      <c r="E767" t="s">
        <v>425</v>
      </c>
      <c r="G767" s="13" t="s">
        <v>12512</v>
      </c>
      <c r="H767" t="s">
        <v>12513</v>
      </c>
      <c r="K767" t="s">
        <v>12415</v>
      </c>
      <c r="L767" t="s">
        <v>12415</v>
      </c>
      <c r="M767" t="s">
        <v>7250</v>
      </c>
      <c r="T767" t="s">
        <v>6546</v>
      </c>
      <c r="U767" t="s">
        <v>6546</v>
      </c>
      <c r="V767">
        <v>43</v>
      </c>
      <c r="W767">
        <v>41.8</v>
      </c>
      <c r="X767">
        <v>43</v>
      </c>
      <c r="Y767">
        <v>20</v>
      </c>
      <c r="Z767" t="s">
        <v>7253</v>
      </c>
      <c r="AC767" t="s">
        <v>8747</v>
      </c>
      <c r="AI767" t="s">
        <v>8747</v>
      </c>
      <c r="AO767" t="s">
        <v>12514</v>
      </c>
    </row>
    <row r="768" spans="1:41" hidden="1" x14ac:dyDescent="0.35">
      <c r="A768" t="s">
        <v>12515</v>
      </c>
      <c r="B768" t="s">
        <v>7246</v>
      </c>
      <c r="C768" t="s">
        <v>425</v>
      </c>
      <c r="D768" t="s">
        <v>425</v>
      </c>
      <c r="E768" t="s">
        <v>425</v>
      </c>
      <c r="G768" s="13" t="s">
        <v>12516</v>
      </c>
      <c r="H768" t="s">
        <v>12517</v>
      </c>
      <c r="K768" t="s">
        <v>12415</v>
      </c>
      <c r="L768" t="s">
        <v>12415</v>
      </c>
      <c r="M768" t="s">
        <v>7250</v>
      </c>
      <c r="T768" t="s">
        <v>6546</v>
      </c>
      <c r="U768" t="s">
        <v>6546</v>
      </c>
      <c r="V768">
        <v>42</v>
      </c>
      <c r="W768">
        <v>42.29</v>
      </c>
      <c r="X768">
        <v>42</v>
      </c>
      <c r="Y768">
        <v>32</v>
      </c>
      <c r="Z768" t="s">
        <v>7253</v>
      </c>
      <c r="AA768" t="s">
        <v>12518</v>
      </c>
      <c r="AC768" t="s">
        <v>8747</v>
      </c>
      <c r="AE768" t="s">
        <v>6156</v>
      </c>
      <c r="AF768" t="s">
        <v>12443</v>
      </c>
      <c r="AG768" t="s">
        <v>2348</v>
      </c>
      <c r="AH768" t="s">
        <v>6156</v>
      </c>
      <c r="AI768" t="s">
        <v>8747</v>
      </c>
      <c r="AO768" t="s">
        <v>12519</v>
      </c>
    </row>
    <row r="769" spans="1:41" hidden="1" x14ac:dyDescent="0.35">
      <c r="A769" t="s">
        <v>12520</v>
      </c>
      <c r="B769" t="s">
        <v>7246</v>
      </c>
      <c r="C769" t="s">
        <v>425</v>
      </c>
      <c r="D769" t="s">
        <v>425</v>
      </c>
      <c r="E769" t="s">
        <v>425</v>
      </c>
      <c r="G769" s="13" t="s">
        <v>12521</v>
      </c>
      <c r="H769" t="s">
        <v>12522</v>
      </c>
      <c r="K769" t="s">
        <v>12415</v>
      </c>
      <c r="L769" t="s">
        <v>12415</v>
      </c>
      <c r="M769" t="s">
        <v>7250</v>
      </c>
      <c r="T769" t="s">
        <v>6546</v>
      </c>
      <c r="U769" t="s">
        <v>6546</v>
      </c>
      <c r="V769">
        <v>39</v>
      </c>
      <c r="W769">
        <v>42.29</v>
      </c>
      <c r="X769">
        <v>39</v>
      </c>
      <c r="Y769">
        <v>8</v>
      </c>
      <c r="Z769" t="s">
        <v>7253</v>
      </c>
      <c r="AA769" t="s">
        <v>12443</v>
      </c>
      <c r="AC769" t="s">
        <v>8747</v>
      </c>
      <c r="AD769" t="s">
        <v>2348</v>
      </c>
      <c r="AE769" t="s">
        <v>6156</v>
      </c>
      <c r="AF769" t="s">
        <v>12518</v>
      </c>
      <c r="AH769" t="s">
        <v>6156</v>
      </c>
      <c r="AI769" t="s">
        <v>8747</v>
      </c>
      <c r="AO769" t="s">
        <v>12523</v>
      </c>
    </row>
    <row r="770" spans="1:41" hidden="1" x14ac:dyDescent="0.35">
      <c r="A770" t="s">
        <v>12524</v>
      </c>
      <c r="B770" t="s">
        <v>7246</v>
      </c>
      <c r="C770" t="s">
        <v>425</v>
      </c>
      <c r="D770" t="s">
        <v>425</v>
      </c>
      <c r="E770" t="s">
        <v>425</v>
      </c>
      <c r="G770" s="13" t="s">
        <v>12525</v>
      </c>
      <c r="H770" t="s">
        <v>12526</v>
      </c>
      <c r="K770" t="s">
        <v>12415</v>
      </c>
      <c r="L770" t="s">
        <v>12415</v>
      </c>
      <c r="M770" t="s">
        <v>7250</v>
      </c>
      <c r="T770" t="s">
        <v>6546</v>
      </c>
      <c r="U770" t="s">
        <v>6546</v>
      </c>
      <c r="V770">
        <v>39</v>
      </c>
      <c r="W770">
        <v>42.29</v>
      </c>
      <c r="X770">
        <v>39</v>
      </c>
      <c r="Y770">
        <v>10</v>
      </c>
      <c r="Z770" t="s">
        <v>7253</v>
      </c>
      <c r="AA770" t="s">
        <v>12443</v>
      </c>
      <c r="AC770" t="s">
        <v>8747</v>
      </c>
      <c r="AD770" t="s">
        <v>2348</v>
      </c>
      <c r="AE770" t="s">
        <v>6156</v>
      </c>
      <c r="AF770" t="s">
        <v>12518</v>
      </c>
      <c r="AH770" t="s">
        <v>6156</v>
      </c>
      <c r="AI770" t="s">
        <v>8747</v>
      </c>
      <c r="AO770" t="s">
        <v>12523</v>
      </c>
    </row>
    <row r="771" spans="1:41" hidden="1" x14ac:dyDescent="0.35">
      <c r="A771" t="s">
        <v>12527</v>
      </c>
      <c r="B771" t="s">
        <v>7246</v>
      </c>
      <c r="C771" t="s">
        <v>425</v>
      </c>
      <c r="D771" t="s">
        <v>425</v>
      </c>
      <c r="E771" t="s">
        <v>425</v>
      </c>
      <c r="G771" s="13" t="s">
        <v>12528</v>
      </c>
      <c r="H771" t="s">
        <v>12529</v>
      </c>
      <c r="K771" t="s">
        <v>12415</v>
      </c>
      <c r="L771" t="s">
        <v>12415</v>
      </c>
      <c r="M771" t="s">
        <v>7250</v>
      </c>
      <c r="T771" t="s">
        <v>6546</v>
      </c>
      <c r="U771" t="s">
        <v>6546</v>
      </c>
      <c r="V771">
        <v>34</v>
      </c>
      <c r="W771">
        <v>33.049999999999997</v>
      </c>
      <c r="X771">
        <v>34</v>
      </c>
      <c r="Y771">
        <v>12</v>
      </c>
      <c r="Z771" t="s">
        <v>7253</v>
      </c>
      <c r="AA771" t="s">
        <v>12530</v>
      </c>
      <c r="AC771" t="s">
        <v>8747</v>
      </c>
      <c r="AE771" t="s">
        <v>3673</v>
      </c>
      <c r="AF771" t="s">
        <v>12484</v>
      </c>
      <c r="AH771" t="s">
        <v>6156</v>
      </c>
      <c r="AI771" t="s">
        <v>8747</v>
      </c>
      <c r="AO771" t="s">
        <v>12531</v>
      </c>
    </row>
    <row r="772" spans="1:41" hidden="1" x14ac:dyDescent="0.35">
      <c r="A772" t="s">
        <v>12532</v>
      </c>
      <c r="B772" t="s">
        <v>7246</v>
      </c>
      <c r="C772" t="s">
        <v>425</v>
      </c>
      <c r="D772" t="s">
        <v>425</v>
      </c>
      <c r="E772" t="s">
        <v>425</v>
      </c>
      <c r="G772" s="13" t="s">
        <v>12533</v>
      </c>
      <c r="H772" t="s">
        <v>12534</v>
      </c>
      <c r="K772" t="s">
        <v>12415</v>
      </c>
      <c r="L772" t="s">
        <v>12415</v>
      </c>
      <c r="M772" t="s">
        <v>7250</v>
      </c>
      <c r="T772" t="s">
        <v>6546</v>
      </c>
      <c r="U772" t="s">
        <v>6546</v>
      </c>
      <c r="V772">
        <v>32</v>
      </c>
      <c r="W772" t="s">
        <v>6546</v>
      </c>
      <c r="X772">
        <v>32</v>
      </c>
      <c r="Y772">
        <v>40</v>
      </c>
      <c r="Z772" t="s">
        <v>7253</v>
      </c>
      <c r="AC772" t="s">
        <v>8747</v>
      </c>
      <c r="AI772" t="s">
        <v>8747</v>
      </c>
      <c r="AO772" t="s">
        <v>6546</v>
      </c>
    </row>
    <row r="773" spans="1:41" hidden="1" x14ac:dyDescent="0.35">
      <c r="A773" t="s">
        <v>12535</v>
      </c>
      <c r="B773" t="s">
        <v>7246</v>
      </c>
      <c r="C773" t="s">
        <v>451</v>
      </c>
      <c r="D773" t="s">
        <v>451</v>
      </c>
      <c r="E773" t="s">
        <v>451</v>
      </c>
      <c r="G773" s="13" t="s">
        <v>8254</v>
      </c>
      <c r="H773" t="s">
        <v>8255</v>
      </c>
      <c r="I773" t="s">
        <v>8683</v>
      </c>
      <c r="K773" t="s">
        <v>8256</v>
      </c>
      <c r="L773" t="s">
        <v>8256</v>
      </c>
      <c r="M773" t="s">
        <v>7292</v>
      </c>
      <c r="N773">
        <v>2022</v>
      </c>
      <c r="R773">
        <v>0.55000000000000004</v>
      </c>
      <c r="S773" t="s">
        <v>8257</v>
      </c>
      <c r="T773">
        <v>0.55000000000000004</v>
      </c>
      <c r="U773">
        <v>255.96</v>
      </c>
      <c r="V773">
        <v>0</v>
      </c>
      <c r="W773" t="s">
        <v>6546</v>
      </c>
      <c r="X773">
        <v>0</v>
      </c>
      <c r="AB773" t="s">
        <v>8258</v>
      </c>
      <c r="AC773" t="s">
        <v>7255</v>
      </c>
      <c r="AE773" t="s">
        <v>548</v>
      </c>
      <c r="AF773" t="s">
        <v>8259</v>
      </c>
      <c r="AH773" t="s">
        <v>548</v>
      </c>
      <c r="AI773" t="s">
        <v>7255</v>
      </c>
      <c r="AO773" t="s">
        <v>6546</v>
      </c>
    </row>
    <row r="774" spans="1:41" hidden="1" x14ac:dyDescent="0.35">
      <c r="A774" t="s">
        <v>12536</v>
      </c>
      <c r="B774" t="s">
        <v>7246</v>
      </c>
      <c r="C774" t="s">
        <v>5435</v>
      </c>
      <c r="D774" t="s">
        <v>5435</v>
      </c>
      <c r="E774" t="s">
        <v>5435</v>
      </c>
      <c r="G774" s="13" t="s">
        <v>12537</v>
      </c>
      <c r="H774" t="s">
        <v>12538</v>
      </c>
      <c r="K774" t="s">
        <v>12539</v>
      </c>
      <c r="L774" t="s">
        <v>12539</v>
      </c>
      <c r="M774" t="s">
        <v>7250</v>
      </c>
      <c r="R774">
        <v>8.27</v>
      </c>
      <c r="S774" t="s">
        <v>8257</v>
      </c>
      <c r="T774">
        <v>8.27</v>
      </c>
      <c r="U774">
        <v>3848.72</v>
      </c>
      <c r="V774">
        <v>128</v>
      </c>
      <c r="W774">
        <v>93.28</v>
      </c>
      <c r="X774">
        <v>128</v>
      </c>
      <c r="Y774">
        <v>26</v>
      </c>
      <c r="Z774" t="s">
        <v>7253</v>
      </c>
      <c r="AB774" t="s">
        <v>12540</v>
      </c>
      <c r="AC774" t="s">
        <v>8523</v>
      </c>
      <c r="AE774" t="s">
        <v>12541</v>
      </c>
      <c r="AF774" t="s">
        <v>12542</v>
      </c>
      <c r="AH774" t="s">
        <v>12543</v>
      </c>
      <c r="AI774" t="s">
        <v>8523</v>
      </c>
      <c r="AL774" t="s">
        <v>12544</v>
      </c>
      <c r="AN774" s="13" t="s">
        <v>12545</v>
      </c>
      <c r="AO774" t="s">
        <v>12546</v>
      </c>
    </row>
    <row r="775" spans="1:41" hidden="1" x14ac:dyDescent="0.35">
      <c r="A775" t="s">
        <v>12547</v>
      </c>
      <c r="B775" t="s">
        <v>7246</v>
      </c>
      <c r="C775" t="s">
        <v>5435</v>
      </c>
      <c r="D775" t="s">
        <v>5435</v>
      </c>
      <c r="E775" t="s">
        <v>5435</v>
      </c>
      <c r="G775" s="13" t="s">
        <v>12548</v>
      </c>
      <c r="H775" t="s">
        <v>12549</v>
      </c>
      <c r="K775" t="s">
        <v>12539</v>
      </c>
      <c r="L775" t="s">
        <v>12539</v>
      </c>
      <c r="M775" t="s">
        <v>7250</v>
      </c>
      <c r="R775">
        <v>4.13</v>
      </c>
      <c r="S775" t="s">
        <v>8257</v>
      </c>
      <c r="T775">
        <v>4.13</v>
      </c>
      <c r="U775">
        <v>1922.03</v>
      </c>
      <c r="V775">
        <v>49</v>
      </c>
      <c r="W775">
        <v>30.82</v>
      </c>
      <c r="X775">
        <v>49</v>
      </c>
      <c r="Y775">
        <v>26</v>
      </c>
      <c r="Z775" t="s">
        <v>7253</v>
      </c>
      <c r="AB775" t="s">
        <v>12550</v>
      </c>
      <c r="AC775" t="s">
        <v>8523</v>
      </c>
      <c r="AE775" t="s">
        <v>12541</v>
      </c>
      <c r="AF775" t="s">
        <v>12551</v>
      </c>
      <c r="AH775" t="s">
        <v>12541</v>
      </c>
      <c r="AI775" t="s">
        <v>8523</v>
      </c>
      <c r="AL775" t="s">
        <v>12552</v>
      </c>
      <c r="AN775" s="13" t="s">
        <v>12553</v>
      </c>
      <c r="AO775" t="s">
        <v>12554</v>
      </c>
    </row>
    <row r="776" spans="1:41" hidden="1" x14ac:dyDescent="0.35">
      <c r="A776" t="s">
        <v>12555</v>
      </c>
      <c r="B776" t="s">
        <v>7246</v>
      </c>
      <c r="C776" t="s">
        <v>5435</v>
      </c>
      <c r="D776" t="s">
        <v>5435</v>
      </c>
      <c r="E776" t="s">
        <v>5435</v>
      </c>
      <c r="G776" s="13" t="s">
        <v>12556</v>
      </c>
      <c r="H776" t="s">
        <v>12557</v>
      </c>
      <c r="K776" t="s">
        <v>12539</v>
      </c>
      <c r="L776" t="s">
        <v>12539</v>
      </c>
      <c r="M776" t="s">
        <v>7250</v>
      </c>
      <c r="R776">
        <v>8.27</v>
      </c>
      <c r="S776" t="s">
        <v>8257</v>
      </c>
      <c r="T776">
        <v>8.27</v>
      </c>
      <c r="U776">
        <v>3848.72</v>
      </c>
      <c r="V776">
        <v>49</v>
      </c>
      <c r="W776">
        <v>30.82</v>
      </c>
      <c r="X776">
        <v>49</v>
      </c>
      <c r="Y776">
        <v>36</v>
      </c>
      <c r="Z776" t="s">
        <v>7253</v>
      </c>
      <c r="AB776" t="s">
        <v>12550</v>
      </c>
      <c r="AC776" t="s">
        <v>8523</v>
      </c>
      <c r="AE776" t="s">
        <v>12541</v>
      </c>
      <c r="AF776" t="s">
        <v>12551</v>
      </c>
      <c r="AH776" t="s">
        <v>12541</v>
      </c>
      <c r="AI776" t="s">
        <v>8523</v>
      </c>
      <c r="AL776" t="s">
        <v>12558</v>
      </c>
      <c r="AN776" s="13" t="s">
        <v>12559</v>
      </c>
      <c r="AO776" t="s">
        <v>12554</v>
      </c>
    </row>
    <row r="777" spans="1:41" hidden="1" x14ac:dyDescent="0.35">
      <c r="A777" t="s">
        <v>12560</v>
      </c>
      <c r="B777" t="s">
        <v>7246</v>
      </c>
      <c r="C777" t="s">
        <v>451</v>
      </c>
      <c r="D777" t="s">
        <v>368</v>
      </c>
      <c r="E777" t="s">
        <v>7281</v>
      </c>
      <c r="G777" s="13" t="s">
        <v>12561</v>
      </c>
      <c r="H777" t="s">
        <v>12562</v>
      </c>
      <c r="I777" t="s">
        <v>11023</v>
      </c>
      <c r="K777" t="s">
        <v>12563</v>
      </c>
      <c r="L777" t="s">
        <v>12563</v>
      </c>
      <c r="M777" t="s">
        <v>7250</v>
      </c>
      <c r="N777">
        <v>2021</v>
      </c>
      <c r="R777">
        <v>93</v>
      </c>
      <c r="S777" t="s">
        <v>7251</v>
      </c>
      <c r="T777">
        <v>0.96</v>
      </c>
      <c r="U777">
        <v>447.64</v>
      </c>
      <c r="V777">
        <v>9.6999999999999993</v>
      </c>
      <c r="W777" t="s">
        <v>6546</v>
      </c>
      <c r="X777">
        <v>9.6999999999999993</v>
      </c>
      <c r="AC777" t="s">
        <v>7255</v>
      </c>
      <c r="AE777" t="s">
        <v>12564</v>
      </c>
      <c r="AH777" t="s">
        <v>1027</v>
      </c>
      <c r="AI777" t="s">
        <v>7255</v>
      </c>
      <c r="AO777" t="s">
        <v>6546</v>
      </c>
    </row>
    <row r="778" spans="1:41" hidden="1" x14ac:dyDescent="0.35">
      <c r="A778" t="s">
        <v>12565</v>
      </c>
      <c r="B778" t="s">
        <v>7246</v>
      </c>
      <c r="C778" t="s">
        <v>368</v>
      </c>
      <c r="D778" t="s">
        <v>368</v>
      </c>
      <c r="E778" t="s">
        <v>368</v>
      </c>
      <c r="G778" s="13" t="s">
        <v>7352</v>
      </c>
      <c r="H778" t="s">
        <v>7353</v>
      </c>
      <c r="I778" t="s">
        <v>12566</v>
      </c>
      <c r="K778" t="s">
        <v>12563</v>
      </c>
      <c r="L778" t="s">
        <v>12563</v>
      </c>
      <c r="M778" t="s">
        <v>7415</v>
      </c>
      <c r="N778">
        <v>2022</v>
      </c>
      <c r="R778">
        <v>360</v>
      </c>
      <c r="S778" t="s">
        <v>7251</v>
      </c>
      <c r="T778">
        <v>3.72</v>
      </c>
      <c r="U778">
        <v>1732.8</v>
      </c>
      <c r="V778">
        <v>25</v>
      </c>
      <c r="W778">
        <v>25.98</v>
      </c>
      <c r="X778">
        <v>25</v>
      </c>
      <c r="AB778" t="s">
        <v>12567</v>
      </c>
      <c r="AC778" t="s">
        <v>7255</v>
      </c>
      <c r="AE778" t="s">
        <v>1020</v>
      </c>
      <c r="AF778" t="s">
        <v>12567</v>
      </c>
      <c r="AH778" t="s">
        <v>1020</v>
      </c>
      <c r="AI778" t="s">
        <v>7255</v>
      </c>
      <c r="AO778" t="s">
        <v>12568</v>
      </c>
    </row>
    <row r="779" spans="1:41" hidden="1" x14ac:dyDescent="0.35">
      <c r="A779" t="s">
        <v>12569</v>
      </c>
      <c r="B779" t="s">
        <v>7246</v>
      </c>
      <c r="C779" t="s">
        <v>368</v>
      </c>
      <c r="D779" t="s">
        <v>368</v>
      </c>
      <c r="E779" t="s">
        <v>368</v>
      </c>
      <c r="G779" s="13" t="s">
        <v>7352</v>
      </c>
      <c r="H779" t="s">
        <v>7353</v>
      </c>
      <c r="I779" t="s">
        <v>12570</v>
      </c>
      <c r="K779" t="s">
        <v>12563</v>
      </c>
      <c r="L779" t="s">
        <v>12563</v>
      </c>
      <c r="M779" t="s">
        <v>7250</v>
      </c>
      <c r="N779">
        <v>2021</v>
      </c>
      <c r="R779">
        <v>60</v>
      </c>
      <c r="S779" t="s">
        <v>7251</v>
      </c>
      <c r="T779">
        <v>0.62</v>
      </c>
      <c r="U779">
        <v>288.8</v>
      </c>
      <c r="V779">
        <v>13</v>
      </c>
      <c r="W779">
        <v>18.63</v>
      </c>
      <c r="X779">
        <v>13</v>
      </c>
      <c r="AB779" t="s">
        <v>12571</v>
      </c>
      <c r="AC779" t="s">
        <v>7255</v>
      </c>
      <c r="AE779" t="s">
        <v>1020</v>
      </c>
      <c r="AF779" t="s">
        <v>12571</v>
      </c>
      <c r="AH779" t="s">
        <v>1020</v>
      </c>
      <c r="AI779" t="s">
        <v>7255</v>
      </c>
      <c r="AO779" t="s">
        <v>12572</v>
      </c>
    </row>
    <row r="780" spans="1:41" hidden="1" x14ac:dyDescent="0.35">
      <c r="A780" t="s">
        <v>12573</v>
      </c>
      <c r="B780" t="s">
        <v>7246</v>
      </c>
      <c r="C780" t="s">
        <v>368</v>
      </c>
      <c r="D780" t="s">
        <v>368</v>
      </c>
      <c r="E780" t="s">
        <v>368</v>
      </c>
      <c r="G780" s="13" t="s">
        <v>7352</v>
      </c>
      <c r="H780" t="s">
        <v>7353</v>
      </c>
      <c r="I780" t="s">
        <v>12574</v>
      </c>
      <c r="K780" t="s">
        <v>12563</v>
      </c>
      <c r="L780" t="s">
        <v>12563</v>
      </c>
      <c r="M780" t="s">
        <v>7250</v>
      </c>
      <c r="N780">
        <v>2017</v>
      </c>
      <c r="R780">
        <v>137.5</v>
      </c>
      <c r="S780" t="s">
        <v>7251</v>
      </c>
      <c r="T780">
        <v>1.42</v>
      </c>
      <c r="U780">
        <v>661.83</v>
      </c>
      <c r="V780">
        <v>36</v>
      </c>
      <c r="W780">
        <v>39.51</v>
      </c>
      <c r="X780">
        <v>36</v>
      </c>
      <c r="AB780" t="s">
        <v>12575</v>
      </c>
      <c r="AC780" t="s">
        <v>7255</v>
      </c>
      <c r="AE780" t="s">
        <v>1020</v>
      </c>
      <c r="AF780" t="s">
        <v>12567</v>
      </c>
      <c r="AH780" t="s">
        <v>1020</v>
      </c>
      <c r="AI780" t="s">
        <v>7255</v>
      </c>
      <c r="AO780" t="s">
        <v>12576</v>
      </c>
    </row>
    <row r="781" spans="1:41" hidden="1" x14ac:dyDescent="0.35">
      <c r="A781" t="s">
        <v>12577</v>
      </c>
      <c r="B781" t="s">
        <v>7246</v>
      </c>
      <c r="C781" t="s">
        <v>368</v>
      </c>
      <c r="D781" t="s">
        <v>368</v>
      </c>
      <c r="E781" t="s">
        <v>368</v>
      </c>
      <c r="G781" s="13" t="s">
        <v>7352</v>
      </c>
      <c r="H781" t="s">
        <v>7353</v>
      </c>
      <c r="I781" t="s">
        <v>12578</v>
      </c>
      <c r="K781" t="s">
        <v>12563</v>
      </c>
      <c r="L781" t="s">
        <v>12563</v>
      </c>
      <c r="M781" t="s">
        <v>7250</v>
      </c>
      <c r="N781">
        <v>2018</v>
      </c>
      <c r="R781">
        <v>50</v>
      </c>
      <c r="S781" t="s">
        <v>7251</v>
      </c>
      <c r="T781">
        <v>0.52</v>
      </c>
      <c r="U781">
        <v>240.67</v>
      </c>
      <c r="V781">
        <v>27</v>
      </c>
      <c r="W781">
        <v>23.17</v>
      </c>
      <c r="X781">
        <v>27</v>
      </c>
      <c r="AB781" t="s">
        <v>12579</v>
      </c>
      <c r="AC781" t="s">
        <v>7255</v>
      </c>
      <c r="AE781" t="s">
        <v>1020</v>
      </c>
      <c r="AF781" t="s">
        <v>12580</v>
      </c>
      <c r="AH781" t="s">
        <v>1020</v>
      </c>
      <c r="AI781" t="s">
        <v>7255</v>
      </c>
      <c r="AO781" t="s">
        <v>12581</v>
      </c>
    </row>
    <row r="782" spans="1:41" hidden="1" x14ac:dyDescent="0.35">
      <c r="A782" t="s">
        <v>12582</v>
      </c>
      <c r="B782" t="s">
        <v>7246</v>
      </c>
      <c r="C782" t="s">
        <v>451</v>
      </c>
      <c r="D782" t="s">
        <v>451</v>
      </c>
      <c r="E782" t="s">
        <v>451</v>
      </c>
      <c r="G782" s="13" t="s">
        <v>7507</v>
      </c>
      <c r="H782" t="s">
        <v>7508</v>
      </c>
      <c r="I782" t="s">
        <v>8683</v>
      </c>
      <c r="K782" t="s">
        <v>12583</v>
      </c>
      <c r="L782" t="s">
        <v>12583</v>
      </c>
      <c r="M782" t="s">
        <v>7250</v>
      </c>
      <c r="N782">
        <v>2019</v>
      </c>
      <c r="R782">
        <v>61</v>
      </c>
      <c r="S782" t="s">
        <v>7251</v>
      </c>
      <c r="T782">
        <v>0.63</v>
      </c>
      <c r="U782">
        <v>293.61</v>
      </c>
      <c r="V782">
        <v>64.400000000000006</v>
      </c>
      <c r="W782">
        <v>73.290000000000006</v>
      </c>
      <c r="X782">
        <v>64.400000000000006</v>
      </c>
      <c r="Y782" t="s">
        <v>12584</v>
      </c>
      <c r="Z782" t="s">
        <v>7253</v>
      </c>
      <c r="AC782" t="s">
        <v>7255</v>
      </c>
      <c r="AE782" t="s">
        <v>513</v>
      </c>
      <c r="AH782" t="s">
        <v>12585</v>
      </c>
      <c r="AI782" t="s">
        <v>7255</v>
      </c>
      <c r="AO782" t="s">
        <v>12586</v>
      </c>
    </row>
    <row r="783" spans="1:41" hidden="1" x14ac:dyDescent="0.35">
      <c r="A783" t="s">
        <v>12587</v>
      </c>
      <c r="B783" t="s">
        <v>7246</v>
      </c>
      <c r="C783" t="s">
        <v>451</v>
      </c>
      <c r="D783" t="s">
        <v>451</v>
      </c>
      <c r="E783" t="s">
        <v>451</v>
      </c>
      <c r="G783" s="13" t="s">
        <v>7737</v>
      </c>
      <c r="H783" t="s">
        <v>7738</v>
      </c>
      <c r="I783" t="s">
        <v>8683</v>
      </c>
      <c r="K783" t="s">
        <v>7320</v>
      </c>
      <c r="L783" t="s">
        <v>7320</v>
      </c>
      <c r="M783" t="s">
        <v>7415</v>
      </c>
      <c r="T783" t="s">
        <v>6546</v>
      </c>
      <c r="U783" t="s">
        <v>6546</v>
      </c>
      <c r="V783">
        <v>191.51</v>
      </c>
      <c r="W783">
        <v>217.28</v>
      </c>
      <c r="X783">
        <v>191.51</v>
      </c>
      <c r="AA783" t="s">
        <v>7665</v>
      </c>
      <c r="AC783" t="s">
        <v>7255</v>
      </c>
      <c r="AE783" t="s">
        <v>634</v>
      </c>
      <c r="AH783" t="s">
        <v>634</v>
      </c>
      <c r="AI783" t="s">
        <v>7255</v>
      </c>
      <c r="AO783" t="s">
        <v>12588</v>
      </c>
    </row>
    <row r="784" spans="1:41" hidden="1" x14ac:dyDescent="0.35">
      <c r="A784" t="s">
        <v>12589</v>
      </c>
      <c r="B784" t="s">
        <v>7246</v>
      </c>
      <c r="C784" t="s">
        <v>368</v>
      </c>
      <c r="D784" t="s">
        <v>368</v>
      </c>
      <c r="E784" t="s">
        <v>368</v>
      </c>
      <c r="G784" s="13" t="s">
        <v>7788</v>
      </c>
      <c r="H784" t="s">
        <v>7789</v>
      </c>
      <c r="I784" t="s">
        <v>12590</v>
      </c>
      <c r="K784" t="s">
        <v>7320</v>
      </c>
      <c r="L784" t="s">
        <v>7320</v>
      </c>
      <c r="M784" t="s">
        <v>7415</v>
      </c>
      <c r="N784">
        <v>2022</v>
      </c>
      <c r="T784" t="s">
        <v>6546</v>
      </c>
      <c r="U784" t="s">
        <v>6546</v>
      </c>
      <c r="V784">
        <v>350.84</v>
      </c>
      <c r="W784">
        <v>441.03</v>
      </c>
      <c r="X784">
        <v>350.84</v>
      </c>
      <c r="AA784" t="s">
        <v>12591</v>
      </c>
      <c r="AB784" t="s">
        <v>1064</v>
      </c>
      <c r="AC784" t="s">
        <v>7255</v>
      </c>
      <c r="AE784" t="s">
        <v>989</v>
      </c>
      <c r="AG784" t="s">
        <v>12592</v>
      </c>
      <c r="AH784" t="s">
        <v>989</v>
      </c>
      <c r="AI784" t="s">
        <v>7255</v>
      </c>
      <c r="AO784" t="s">
        <v>12593</v>
      </c>
    </row>
    <row r="785" spans="1:41" hidden="1" x14ac:dyDescent="0.35">
      <c r="A785" t="s">
        <v>12594</v>
      </c>
      <c r="B785" t="s">
        <v>7246</v>
      </c>
      <c r="C785" t="s">
        <v>368</v>
      </c>
      <c r="D785" t="s">
        <v>368</v>
      </c>
      <c r="E785" t="s">
        <v>368</v>
      </c>
      <c r="G785" s="13" t="s">
        <v>7788</v>
      </c>
      <c r="H785" t="s">
        <v>7789</v>
      </c>
      <c r="I785" t="s">
        <v>12595</v>
      </c>
      <c r="K785" t="s">
        <v>7320</v>
      </c>
      <c r="L785" t="s">
        <v>7320</v>
      </c>
      <c r="M785" t="s">
        <v>7731</v>
      </c>
      <c r="N785">
        <v>2021</v>
      </c>
      <c r="R785">
        <v>2700</v>
      </c>
      <c r="S785" t="s">
        <v>7251</v>
      </c>
      <c r="T785">
        <v>27.93</v>
      </c>
      <c r="U785">
        <v>12996</v>
      </c>
      <c r="V785">
        <v>88.5</v>
      </c>
      <c r="W785" t="s">
        <v>6546</v>
      </c>
      <c r="X785">
        <v>88.5</v>
      </c>
      <c r="AA785" t="s">
        <v>12591</v>
      </c>
      <c r="AC785" t="s">
        <v>7255</v>
      </c>
      <c r="AE785" t="s">
        <v>989</v>
      </c>
      <c r="AH785" t="s">
        <v>1020</v>
      </c>
      <c r="AI785" t="s">
        <v>7255</v>
      </c>
      <c r="AO785" t="s">
        <v>6546</v>
      </c>
    </row>
    <row r="786" spans="1:41" hidden="1" x14ac:dyDescent="0.35">
      <c r="A786" t="s">
        <v>12596</v>
      </c>
      <c r="B786" t="s">
        <v>7246</v>
      </c>
      <c r="C786" t="s">
        <v>368</v>
      </c>
      <c r="D786" t="s">
        <v>368</v>
      </c>
      <c r="E786" t="s">
        <v>368</v>
      </c>
      <c r="G786" s="13" t="s">
        <v>7788</v>
      </c>
      <c r="H786" t="s">
        <v>7789</v>
      </c>
      <c r="I786" t="s">
        <v>12597</v>
      </c>
      <c r="K786" t="s">
        <v>7320</v>
      </c>
      <c r="L786" t="s">
        <v>7320</v>
      </c>
      <c r="M786" t="s">
        <v>7731</v>
      </c>
      <c r="R786">
        <v>3000</v>
      </c>
      <c r="S786" t="s">
        <v>7251</v>
      </c>
      <c r="T786">
        <v>31.03</v>
      </c>
      <c r="U786">
        <v>14440</v>
      </c>
      <c r="V786">
        <v>275.2</v>
      </c>
      <c r="W786" t="s">
        <v>6546</v>
      </c>
      <c r="X786">
        <v>275.2</v>
      </c>
      <c r="AA786" t="s">
        <v>12591</v>
      </c>
      <c r="AC786" t="s">
        <v>7255</v>
      </c>
      <c r="AE786" t="s">
        <v>989</v>
      </c>
      <c r="AH786" t="s">
        <v>1020</v>
      </c>
      <c r="AI786" t="s">
        <v>7255</v>
      </c>
      <c r="AO786" t="s">
        <v>6546</v>
      </c>
    </row>
    <row r="787" spans="1:41" hidden="1" x14ac:dyDescent="0.35">
      <c r="A787" t="s">
        <v>12598</v>
      </c>
      <c r="B787" t="s">
        <v>7246</v>
      </c>
      <c r="C787" t="s">
        <v>451</v>
      </c>
      <c r="D787" t="s">
        <v>451</v>
      </c>
      <c r="E787" t="s">
        <v>451</v>
      </c>
      <c r="G787" s="13" t="s">
        <v>7958</v>
      </c>
      <c r="H787" t="s">
        <v>7959</v>
      </c>
      <c r="I787" t="s">
        <v>12599</v>
      </c>
      <c r="K787" t="s">
        <v>7960</v>
      </c>
      <c r="L787" t="s">
        <v>7268</v>
      </c>
      <c r="M787" t="s">
        <v>7269</v>
      </c>
      <c r="R787">
        <v>395</v>
      </c>
      <c r="S787" t="s">
        <v>7251</v>
      </c>
      <c r="T787">
        <v>4.09</v>
      </c>
      <c r="U787">
        <v>1901.27</v>
      </c>
      <c r="V787">
        <v>53.1</v>
      </c>
      <c r="W787">
        <v>389.53</v>
      </c>
      <c r="X787">
        <v>53.1</v>
      </c>
      <c r="AB787" t="s">
        <v>7326</v>
      </c>
      <c r="AC787" t="s">
        <v>7255</v>
      </c>
      <c r="AE787" t="s">
        <v>533</v>
      </c>
      <c r="AF787" t="s">
        <v>3524</v>
      </c>
      <c r="AH787" t="s">
        <v>513</v>
      </c>
      <c r="AI787" t="s">
        <v>7255</v>
      </c>
      <c r="AO787" t="s">
        <v>12600</v>
      </c>
    </row>
    <row r="788" spans="1:41" hidden="1" x14ac:dyDescent="0.35">
      <c r="A788" t="s">
        <v>12601</v>
      </c>
      <c r="B788" t="s">
        <v>7246</v>
      </c>
      <c r="C788" t="s">
        <v>451</v>
      </c>
      <c r="D788" t="s">
        <v>451</v>
      </c>
      <c r="E788" t="s">
        <v>451</v>
      </c>
      <c r="G788" s="13" t="s">
        <v>8230</v>
      </c>
      <c r="H788" t="s">
        <v>8231</v>
      </c>
      <c r="I788" t="s">
        <v>12602</v>
      </c>
      <c r="J788" t="s">
        <v>12603</v>
      </c>
      <c r="K788" t="s">
        <v>7429</v>
      </c>
      <c r="L788" t="s">
        <v>7320</v>
      </c>
      <c r="M788" t="s">
        <v>7731</v>
      </c>
      <c r="N788">
        <v>2023</v>
      </c>
      <c r="R788">
        <v>4750</v>
      </c>
      <c r="S788" t="s">
        <v>7251</v>
      </c>
      <c r="T788">
        <v>49.13</v>
      </c>
      <c r="U788">
        <v>22863.34</v>
      </c>
      <c r="V788">
        <v>5.42</v>
      </c>
      <c r="W788">
        <v>12.22</v>
      </c>
      <c r="X788">
        <v>5.42</v>
      </c>
      <c r="AC788" t="s">
        <v>7255</v>
      </c>
      <c r="AE788" t="s">
        <v>12604</v>
      </c>
      <c r="AF788" t="s">
        <v>12605</v>
      </c>
      <c r="AH788" t="s">
        <v>634</v>
      </c>
      <c r="AI788" t="s">
        <v>7255</v>
      </c>
      <c r="AO788" t="s">
        <v>12606</v>
      </c>
    </row>
    <row r="789" spans="1:41" hidden="1" x14ac:dyDescent="0.35">
      <c r="A789" t="s">
        <v>12607</v>
      </c>
      <c r="B789" t="s">
        <v>7246</v>
      </c>
      <c r="C789" t="s">
        <v>406</v>
      </c>
      <c r="D789" t="s">
        <v>406</v>
      </c>
      <c r="E789" t="s">
        <v>406</v>
      </c>
      <c r="G789" s="13" t="s">
        <v>8384</v>
      </c>
      <c r="H789" t="s">
        <v>8385</v>
      </c>
      <c r="I789" t="s">
        <v>12608</v>
      </c>
      <c r="K789" t="s">
        <v>12609</v>
      </c>
      <c r="L789" t="s">
        <v>12609</v>
      </c>
      <c r="M789" t="s">
        <v>7292</v>
      </c>
      <c r="R789">
        <v>100</v>
      </c>
      <c r="S789" t="s">
        <v>7251</v>
      </c>
      <c r="T789">
        <v>1.03</v>
      </c>
      <c r="U789">
        <v>481.33</v>
      </c>
      <c r="V789">
        <v>159</v>
      </c>
      <c r="W789">
        <v>152.74</v>
      </c>
      <c r="X789">
        <v>159</v>
      </c>
      <c r="AB789" t="s">
        <v>8389</v>
      </c>
      <c r="AC789" t="s">
        <v>7255</v>
      </c>
      <c r="AE789" t="s">
        <v>12610</v>
      </c>
      <c r="AF789" t="s">
        <v>12611</v>
      </c>
      <c r="AH789" t="s">
        <v>12612</v>
      </c>
      <c r="AI789" t="s">
        <v>7255</v>
      </c>
      <c r="AL789" t="s">
        <v>8391</v>
      </c>
      <c r="AM789" t="s">
        <v>12613</v>
      </c>
      <c r="AN789" s="13" t="s">
        <v>8392</v>
      </c>
      <c r="AO789" t="s">
        <v>12614</v>
      </c>
    </row>
    <row r="790" spans="1:41" hidden="1" x14ac:dyDescent="0.35">
      <c r="A790" t="s">
        <v>12615</v>
      </c>
      <c r="B790" t="s">
        <v>7246</v>
      </c>
      <c r="C790" t="s">
        <v>451</v>
      </c>
      <c r="D790" t="s">
        <v>451</v>
      </c>
      <c r="E790" t="s">
        <v>451</v>
      </c>
      <c r="G790" s="13" t="s">
        <v>8395</v>
      </c>
      <c r="H790" t="s">
        <v>8396</v>
      </c>
      <c r="I790" t="s">
        <v>12616</v>
      </c>
      <c r="K790" t="s">
        <v>12617</v>
      </c>
      <c r="L790" t="s">
        <v>12617</v>
      </c>
      <c r="M790" t="s">
        <v>7731</v>
      </c>
      <c r="N790">
        <v>2019</v>
      </c>
      <c r="T790" t="s">
        <v>6546</v>
      </c>
      <c r="U790" t="s">
        <v>6546</v>
      </c>
      <c r="V790">
        <v>59.5</v>
      </c>
      <c r="W790">
        <v>50.39</v>
      </c>
      <c r="X790">
        <v>59.5</v>
      </c>
      <c r="AB790" t="s">
        <v>12618</v>
      </c>
      <c r="AC790" t="s">
        <v>7255</v>
      </c>
      <c r="AE790" t="s">
        <v>785</v>
      </c>
      <c r="AF790" t="s">
        <v>12619</v>
      </c>
      <c r="AH790" t="s">
        <v>785</v>
      </c>
      <c r="AI790" t="s">
        <v>7255</v>
      </c>
      <c r="AO790" t="s">
        <v>12620</v>
      </c>
    </row>
    <row r="791" spans="1:41" hidden="1" x14ac:dyDescent="0.35">
      <c r="A791" t="s">
        <v>12621</v>
      </c>
      <c r="B791" t="s">
        <v>7246</v>
      </c>
      <c r="C791" t="s">
        <v>387</v>
      </c>
      <c r="D791" t="s">
        <v>387</v>
      </c>
      <c r="E791" t="s">
        <v>387</v>
      </c>
      <c r="G791" s="13" t="s">
        <v>8820</v>
      </c>
      <c r="H791" t="s">
        <v>8821</v>
      </c>
      <c r="I791" t="s">
        <v>8683</v>
      </c>
      <c r="J791" t="s">
        <v>12622</v>
      </c>
      <c r="K791" t="s">
        <v>12623</v>
      </c>
      <c r="L791" t="s">
        <v>12623</v>
      </c>
      <c r="M791" t="s">
        <v>7269</v>
      </c>
      <c r="R791">
        <v>1100</v>
      </c>
      <c r="S791" t="s">
        <v>7251</v>
      </c>
      <c r="T791">
        <v>11.38</v>
      </c>
      <c r="U791">
        <v>5294.67</v>
      </c>
      <c r="V791" t="s">
        <v>6546</v>
      </c>
      <c r="W791" t="s">
        <v>6546</v>
      </c>
      <c r="X791" t="s">
        <v>6546</v>
      </c>
      <c r="AC791" t="s">
        <v>8747</v>
      </c>
      <c r="AI791" t="s">
        <v>8747</v>
      </c>
      <c r="AO791" t="s">
        <v>6546</v>
      </c>
    </row>
    <row r="792" spans="1:41" hidden="1" x14ac:dyDescent="0.35">
      <c r="A792" t="s">
        <v>12624</v>
      </c>
      <c r="B792" t="s">
        <v>7246</v>
      </c>
      <c r="C792" t="s">
        <v>9477</v>
      </c>
      <c r="D792" t="s">
        <v>5775</v>
      </c>
      <c r="E792" t="s">
        <v>9586</v>
      </c>
      <c r="G792" s="13" t="s">
        <v>9587</v>
      </c>
      <c r="H792" t="s">
        <v>9588</v>
      </c>
      <c r="I792" t="s">
        <v>8683</v>
      </c>
      <c r="J792" t="s">
        <v>12625</v>
      </c>
      <c r="K792" t="s">
        <v>12626</v>
      </c>
      <c r="L792" t="s">
        <v>12627</v>
      </c>
      <c r="M792" t="s">
        <v>7415</v>
      </c>
      <c r="N792">
        <v>2024</v>
      </c>
      <c r="R792">
        <v>0.57999999999999996</v>
      </c>
      <c r="S792" t="s">
        <v>8257</v>
      </c>
      <c r="T792">
        <v>0.57999999999999996</v>
      </c>
      <c r="U792">
        <v>267.60000000000002</v>
      </c>
      <c r="V792">
        <v>0</v>
      </c>
      <c r="W792" t="s">
        <v>6546</v>
      </c>
      <c r="X792">
        <v>0</v>
      </c>
      <c r="AC792" t="s">
        <v>8777</v>
      </c>
      <c r="AI792" t="s">
        <v>8777</v>
      </c>
      <c r="AJ792" t="s">
        <v>6407</v>
      </c>
      <c r="AO792" t="s">
        <v>6546</v>
      </c>
    </row>
    <row r="793" spans="1:41" hidden="1" x14ac:dyDescent="0.35">
      <c r="A793" t="s">
        <v>12628</v>
      </c>
      <c r="B793" t="s">
        <v>7246</v>
      </c>
      <c r="C793" t="s">
        <v>423</v>
      </c>
      <c r="D793" t="s">
        <v>423</v>
      </c>
      <c r="E793" t="s">
        <v>423</v>
      </c>
      <c r="G793" s="13" t="s">
        <v>10035</v>
      </c>
      <c r="H793" t="s">
        <v>10036</v>
      </c>
      <c r="I793" t="s">
        <v>12629</v>
      </c>
      <c r="K793" t="s">
        <v>9976</v>
      </c>
      <c r="L793" t="s">
        <v>9976</v>
      </c>
      <c r="M793" t="s">
        <v>7250</v>
      </c>
      <c r="N793">
        <v>2021</v>
      </c>
      <c r="R793">
        <v>8</v>
      </c>
      <c r="S793" t="s">
        <v>8257</v>
      </c>
      <c r="T793">
        <v>8</v>
      </c>
      <c r="U793">
        <v>3723.07</v>
      </c>
      <c r="V793">
        <v>390</v>
      </c>
      <c r="W793">
        <v>345.24</v>
      </c>
      <c r="X793">
        <v>390</v>
      </c>
      <c r="Y793">
        <v>700</v>
      </c>
      <c r="Z793" t="s">
        <v>8842</v>
      </c>
      <c r="AB793" t="s">
        <v>12630</v>
      </c>
      <c r="AC793" t="s">
        <v>8844</v>
      </c>
      <c r="AE793" t="s">
        <v>12631</v>
      </c>
      <c r="AF793" t="s">
        <v>5487</v>
      </c>
      <c r="AH793" t="s">
        <v>12631</v>
      </c>
      <c r="AI793" t="s">
        <v>8844</v>
      </c>
      <c r="AL793" t="s">
        <v>12632</v>
      </c>
      <c r="AO793" t="s">
        <v>12633</v>
      </c>
    </row>
    <row r="794" spans="1:41" hidden="1" x14ac:dyDescent="0.35">
      <c r="A794" t="s">
        <v>12634</v>
      </c>
      <c r="B794" t="s">
        <v>7246</v>
      </c>
      <c r="C794" t="s">
        <v>9898</v>
      </c>
      <c r="D794" t="s">
        <v>12635</v>
      </c>
      <c r="E794" t="s">
        <v>12636</v>
      </c>
      <c r="G794" s="13" t="s">
        <v>12637</v>
      </c>
      <c r="H794" t="s">
        <v>12638</v>
      </c>
      <c r="I794" t="s">
        <v>12639</v>
      </c>
      <c r="J794" t="s">
        <v>12640</v>
      </c>
      <c r="K794" t="s">
        <v>12641</v>
      </c>
      <c r="L794" t="s">
        <v>12642</v>
      </c>
      <c r="M794" t="s">
        <v>7415</v>
      </c>
      <c r="N794">
        <v>2022</v>
      </c>
      <c r="R794">
        <v>30</v>
      </c>
      <c r="S794" t="s">
        <v>8257</v>
      </c>
      <c r="T794">
        <v>30</v>
      </c>
      <c r="U794">
        <v>13961.5</v>
      </c>
      <c r="V794">
        <v>966</v>
      </c>
      <c r="W794">
        <v>1056.49</v>
      </c>
      <c r="X794">
        <v>966</v>
      </c>
      <c r="AA794" t="s">
        <v>12643</v>
      </c>
      <c r="AB794" t="s">
        <v>12643</v>
      </c>
      <c r="AC794" t="s">
        <v>8844</v>
      </c>
      <c r="AF794" t="s">
        <v>12644</v>
      </c>
      <c r="AI794" t="s">
        <v>8844</v>
      </c>
      <c r="AO794" t="s">
        <v>12645</v>
      </c>
    </row>
    <row r="795" spans="1:41" x14ac:dyDescent="0.35">
      <c r="A795" t="s">
        <v>12646</v>
      </c>
      <c r="B795" t="s">
        <v>7246</v>
      </c>
      <c r="C795" t="s">
        <v>24</v>
      </c>
      <c r="D795" t="s">
        <v>24</v>
      </c>
      <c r="E795" t="s">
        <v>24</v>
      </c>
      <c r="F795" t="s">
        <v>354</v>
      </c>
      <c r="G795" s="13" t="s">
        <v>10745</v>
      </c>
      <c r="H795" t="s">
        <v>10746</v>
      </c>
      <c r="I795" t="s">
        <v>12616</v>
      </c>
      <c r="J795" t="s">
        <v>10747</v>
      </c>
      <c r="K795" t="s">
        <v>12647</v>
      </c>
      <c r="L795" t="s">
        <v>12648</v>
      </c>
      <c r="M795" t="s">
        <v>7292</v>
      </c>
      <c r="N795">
        <v>2028</v>
      </c>
      <c r="R795">
        <v>500</v>
      </c>
      <c r="S795" t="s">
        <v>9164</v>
      </c>
      <c r="T795">
        <v>5.1100000000000003</v>
      </c>
      <c r="U795">
        <v>2379.7399999999998</v>
      </c>
      <c r="V795" t="s">
        <v>6546</v>
      </c>
      <c r="W795">
        <v>662.34</v>
      </c>
      <c r="X795">
        <v>662.34</v>
      </c>
      <c r="AB795" t="s">
        <v>10752</v>
      </c>
      <c r="AC795" t="s">
        <v>9165</v>
      </c>
      <c r="AE795" t="s">
        <v>2973</v>
      </c>
      <c r="AF795" t="s">
        <v>12649</v>
      </c>
      <c r="AH795" t="s">
        <v>2973</v>
      </c>
      <c r="AI795" t="s">
        <v>9165</v>
      </c>
      <c r="AO795" t="s">
        <v>12650</v>
      </c>
    </row>
    <row r="796" spans="1:41" hidden="1" x14ac:dyDescent="0.35">
      <c r="A796" t="s">
        <v>12651</v>
      </c>
      <c r="B796" t="s">
        <v>7246</v>
      </c>
      <c r="C796" t="s">
        <v>368</v>
      </c>
      <c r="D796" t="s">
        <v>368</v>
      </c>
      <c r="E796" t="s">
        <v>368</v>
      </c>
      <c r="G796" s="13" t="s">
        <v>12652</v>
      </c>
      <c r="H796" t="s">
        <v>12653</v>
      </c>
      <c r="I796" t="s">
        <v>8683</v>
      </c>
      <c r="K796" t="s">
        <v>12654</v>
      </c>
      <c r="L796" t="s">
        <v>12654</v>
      </c>
      <c r="M796" t="s">
        <v>7250</v>
      </c>
      <c r="N796">
        <v>2019</v>
      </c>
      <c r="R796">
        <v>310</v>
      </c>
      <c r="S796" t="s">
        <v>7251</v>
      </c>
      <c r="T796">
        <v>3.21</v>
      </c>
      <c r="U796">
        <v>1492.13</v>
      </c>
      <c r="V796">
        <v>0</v>
      </c>
      <c r="W796" t="s">
        <v>6546</v>
      </c>
      <c r="X796">
        <v>0</v>
      </c>
      <c r="AB796" t="s">
        <v>12655</v>
      </c>
      <c r="AC796" t="s">
        <v>7255</v>
      </c>
      <c r="AE796" t="s">
        <v>989</v>
      </c>
      <c r="AF796" t="s">
        <v>12656</v>
      </c>
      <c r="AH796" t="s">
        <v>989</v>
      </c>
      <c r="AI796" t="s">
        <v>7255</v>
      </c>
      <c r="AO796" t="s">
        <v>6546</v>
      </c>
    </row>
    <row r="797" spans="1:41" hidden="1" x14ac:dyDescent="0.35">
      <c r="A797" t="s">
        <v>12657</v>
      </c>
      <c r="B797" t="s">
        <v>7246</v>
      </c>
      <c r="C797" t="s">
        <v>5583</v>
      </c>
      <c r="D797" t="s">
        <v>5583</v>
      </c>
      <c r="E797" t="s">
        <v>5583</v>
      </c>
      <c r="G797" s="13" t="s">
        <v>12658</v>
      </c>
      <c r="H797" t="s">
        <v>12659</v>
      </c>
      <c r="I797" t="s">
        <v>8683</v>
      </c>
      <c r="K797" t="s">
        <v>11898</v>
      </c>
      <c r="L797" t="s">
        <v>11899</v>
      </c>
      <c r="M797" t="s">
        <v>7415</v>
      </c>
      <c r="N797">
        <v>2022</v>
      </c>
      <c r="T797" t="s">
        <v>6546</v>
      </c>
      <c r="U797" t="s">
        <v>6546</v>
      </c>
      <c r="V797">
        <v>0</v>
      </c>
      <c r="W797" t="s">
        <v>6546</v>
      </c>
      <c r="X797">
        <v>0</v>
      </c>
      <c r="Y797">
        <v>700</v>
      </c>
      <c r="Z797" t="s">
        <v>8842</v>
      </c>
      <c r="AC797" t="s">
        <v>8777</v>
      </c>
      <c r="AI797" t="s">
        <v>8777</v>
      </c>
      <c r="AJ797" t="s">
        <v>6407</v>
      </c>
      <c r="AO797" t="s">
        <v>6546</v>
      </c>
    </row>
    <row r="798" spans="1:41" hidden="1" x14ac:dyDescent="0.35">
      <c r="A798" t="s">
        <v>12660</v>
      </c>
      <c r="B798" t="s">
        <v>7246</v>
      </c>
      <c r="C798" t="s">
        <v>451</v>
      </c>
      <c r="D798" t="s">
        <v>451</v>
      </c>
      <c r="E798" t="s">
        <v>451</v>
      </c>
      <c r="G798" s="13" t="s">
        <v>8106</v>
      </c>
      <c r="H798" t="s">
        <v>8107</v>
      </c>
      <c r="I798" t="s">
        <v>7331</v>
      </c>
      <c r="K798" t="s">
        <v>12661</v>
      </c>
      <c r="L798" t="s">
        <v>7422</v>
      </c>
      <c r="M798" t="s">
        <v>7250</v>
      </c>
      <c r="N798">
        <v>2017</v>
      </c>
      <c r="O798">
        <v>2018</v>
      </c>
      <c r="R798">
        <v>460</v>
      </c>
      <c r="S798" t="s">
        <v>7251</v>
      </c>
      <c r="T798">
        <v>4.76</v>
      </c>
      <c r="U798">
        <v>2214.13</v>
      </c>
      <c r="V798" t="s">
        <v>6546</v>
      </c>
      <c r="W798">
        <v>2227.0700000000002</v>
      </c>
      <c r="X798">
        <v>2227.0700000000002</v>
      </c>
      <c r="AB798" t="s">
        <v>6273</v>
      </c>
      <c r="AC798" t="s">
        <v>7255</v>
      </c>
      <c r="AE798" t="s">
        <v>475</v>
      </c>
      <c r="AF798" t="s">
        <v>8109</v>
      </c>
      <c r="AH798" t="s">
        <v>497</v>
      </c>
      <c r="AI798" t="s">
        <v>7255</v>
      </c>
      <c r="AO798" t="s">
        <v>12662</v>
      </c>
    </row>
    <row r="799" spans="1:41" hidden="1" x14ac:dyDescent="0.35">
      <c r="A799" t="s">
        <v>12663</v>
      </c>
      <c r="B799" t="s">
        <v>7246</v>
      </c>
      <c r="C799" t="s">
        <v>451</v>
      </c>
      <c r="D799" t="s">
        <v>451</v>
      </c>
      <c r="E799" t="s">
        <v>451</v>
      </c>
      <c r="G799" s="13" t="s">
        <v>8230</v>
      </c>
      <c r="H799" t="s">
        <v>8231</v>
      </c>
      <c r="I799" t="s">
        <v>11023</v>
      </c>
      <c r="K799" t="s">
        <v>8232</v>
      </c>
      <c r="L799" t="s">
        <v>8233</v>
      </c>
      <c r="M799" t="s">
        <v>7250</v>
      </c>
      <c r="N799">
        <v>2019</v>
      </c>
      <c r="T799" t="s">
        <v>6546</v>
      </c>
      <c r="U799" t="s">
        <v>6546</v>
      </c>
      <c r="V799">
        <v>39.4</v>
      </c>
      <c r="W799">
        <v>31.94</v>
      </c>
      <c r="X799">
        <v>39.4</v>
      </c>
      <c r="AB799" t="s">
        <v>12664</v>
      </c>
      <c r="AC799" t="s">
        <v>7255</v>
      </c>
      <c r="AE799" t="s">
        <v>634</v>
      </c>
      <c r="AF799" t="s">
        <v>12664</v>
      </c>
      <c r="AH799" t="s">
        <v>634</v>
      </c>
      <c r="AI799" t="s">
        <v>7255</v>
      </c>
      <c r="AO799" t="s">
        <v>12665</v>
      </c>
    </row>
    <row r="800" spans="1:41" hidden="1" x14ac:dyDescent="0.35">
      <c r="A800" t="s">
        <v>12666</v>
      </c>
      <c r="B800" t="s">
        <v>7246</v>
      </c>
      <c r="C800" t="s">
        <v>451</v>
      </c>
      <c r="D800" t="s">
        <v>451</v>
      </c>
      <c r="E800" t="s">
        <v>451</v>
      </c>
      <c r="G800" s="13" t="s">
        <v>8490</v>
      </c>
      <c r="H800" t="s">
        <v>8491</v>
      </c>
      <c r="I800" t="s">
        <v>12667</v>
      </c>
      <c r="K800" t="s">
        <v>12668</v>
      </c>
      <c r="L800" t="s">
        <v>12668</v>
      </c>
      <c r="M800" t="s">
        <v>7415</v>
      </c>
      <c r="N800">
        <v>2022</v>
      </c>
      <c r="T800" t="s">
        <v>6546</v>
      </c>
      <c r="U800" t="s">
        <v>6546</v>
      </c>
      <c r="V800">
        <v>56.3</v>
      </c>
      <c r="W800">
        <v>69</v>
      </c>
      <c r="X800">
        <v>56.3</v>
      </c>
      <c r="AC800" t="s">
        <v>7255</v>
      </c>
      <c r="AE800" t="s">
        <v>891</v>
      </c>
      <c r="AH800" t="s">
        <v>891</v>
      </c>
      <c r="AI800" t="s">
        <v>7255</v>
      </c>
      <c r="AO800" t="s">
        <v>12669</v>
      </c>
    </row>
    <row r="801" spans="1:41" hidden="1" x14ac:dyDescent="0.35">
      <c r="A801" t="s">
        <v>12670</v>
      </c>
      <c r="B801" t="s">
        <v>7246</v>
      </c>
      <c r="C801" t="s">
        <v>5643</v>
      </c>
      <c r="D801" t="s">
        <v>5643</v>
      </c>
      <c r="E801" t="s">
        <v>5643</v>
      </c>
      <c r="G801" s="13" t="s">
        <v>9746</v>
      </c>
      <c r="H801" t="s">
        <v>9747</v>
      </c>
      <c r="I801" t="s">
        <v>12671</v>
      </c>
      <c r="J801" t="s">
        <v>9748</v>
      </c>
      <c r="K801" t="s">
        <v>9749</v>
      </c>
      <c r="L801" t="s">
        <v>9750</v>
      </c>
      <c r="M801" t="s">
        <v>7250</v>
      </c>
      <c r="N801">
        <v>2020</v>
      </c>
      <c r="R801">
        <v>8</v>
      </c>
      <c r="S801" t="s">
        <v>8257</v>
      </c>
      <c r="T801">
        <v>8</v>
      </c>
      <c r="U801">
        <v>3723.07</v>
      </c>
      <c r="V801">
        <v>0</v>
      </c>
      <c r="W801" t="s">
        <v>6546</v>
      </c>
      <c r="X801">
        <v>0</v>
      </c>
      <c r="AB801" t="s">
        <v>12672</v>
      </c>
      <c r="AC801" t="s">
        <v>8777</v>
      </c>
      <c r="AE801" t="s">
        <v>5642</v>
      </c>
      <c r="AF801" t="s">
        <v>9752</v>
      </c>
      <c r="AH801" t="s">
        <v>3342</v>
      </c>
      <c r="AI801" t="s">
        <v>8777</v>
      </c>
      <c r="AO801" t="s">
        <v>6546</v>
      </c>
    </row>
    <row r="802" spans="1:41" hidden="1" x14ac:dyDescent="0.35">
      <c r="A802" t="s">
        <v>12673</v>
      </c>
      <c r="B802" t="s">
        <v>7246</v>
      </c>
      <c r="C802" t="s">
        <v>396</v>
      </c>
      <c r="D802" t="s">
        <v>396</v>
      </c>
      <c r="E802" t="s">
        <v>396</v>
      </c>
      <c r="G802" s="13" t="s">
        <v>12674</v>
      </c>
      <c r="H802" t="s">
        <v>12675</v>
      </c>
      <c r="K802" t="s">
        <v>12676</v>
      </c>
      <c r="L802" t="s">
        <v>12676</v>
      </c>
      <c r="M802" t="s">
        <v>7250</v>
      </c>
      <c r="N802">
        <v>1990</v>
      </c>
      <c r="R802">
        <v>23</v>
      </c>
      <c r="S802" t="s">
        <v>7251</v>
      </c>
      <c r="T802">
        <v>0.24</v>
      </c>
      <c r="U802">
        <v>110.71</v>
      </c>
      <c r="V802">
        <v>21</v>
      </c>
      <c r="W802">
        <v>25.03</v>
      </c>
      <c r="X802">
        <v>21</v>
      </c>
      <c r="Y802">
        <v>12</v>
      </c>
      <c r="Z802" t="s">
        <v>7253</v>
      </c>
      <c r="AA802" t="s">
        <v>12677</v>
      </c>
      <c r="AB802" t="s">
        <v>12678</v>
      </c>
      <c r="AC802" t="s">
        <v>9852</v>
      </c>
      <c r="AF802" t="s">
        <v>12678</v>
      </c>
      <c r="AI802" t="s">
        <v>9852</v>
      </c>
      <c r="AO802" t="s">
        <v>12679</v>
      </c>
    </row>
    <row r="803" spans="1:41" hidden="1" x14ac:dyDescent="0.35">
      <c r="A803" t="s">
        <v>12680</v>
      </c>
      <c r="B803" t="s">
        <v>7246</v>
      </c>
      <c r="C803" t="s">
        <v>351</v>
      </c>
      <c r="D803" t="s">
        <v>5411</v>
      </c>
      <c r="E803" t="s">
        <v>8625</v>
      </c>
      <c r="G803" s="13" t="s">
        <v>12681</v>
      </c>
      <c r="H803" t="s">
        <v>12682</v>
      </c>
      <c r="I803" t="s">
        <v>8683</v>
      </c>
      <c r="K803" t="s">
        <v>12683</v>
      </c>
      <c r="L803" t="s">
        <v>12683</v>
      </c>
      <c r="M803" t="s">
        <v>7250</v>
      </c>
      <c r="N803">
        <v>2019</v>
      </c>
      <c r="R803">
        <v>1.83</v>
      </c>
      <c r="S803" t="s">
        <v>8257</v>
      </c>
      <c r="T803">
        <v>1.83</v>
      </c>
      <c r="U803">
        <v>851.65</v>
      </c>
      <c r="V803">
        <v>0</v>
      </c>
      <c r="W803" t="s">
        <v>6546</v>
      </c>
      <c r="X803">
        <v>0</v>
      </c>
      <c r="AB803" t="s">
        <v>12684</v>
      </c>
      <c r="AC803" t="s">
        <v>8523</v>
      </c>
      <c r="AF803" t="s">
        <v>5410</v>
      </c>
      <c r="AH803" t="s">
        <v>12685</v>
      </c>
      <c r="AI803" t="s">
        <v>8523</v>
      </c>
      <c r="AL803" t="s">
        <v>12686</v>
      </c>
      <c r="AM803" t="s">
        <v>8687</v>
      </c>
      <c r="AN803" s="13" t="s">
        <v>12687</v>
      </c>
      <c r="AO803" t="s">
        <v>6546</v>
      </c>
    </row>
    <row r="804" spans="1:41" hidden="1" x14ac:dyDescent="0.35">
      <c r="A804" t="s">
        <v>12688</v>
      </c>
      <c r="B804" t="s">
        <v>7246</v>
      </c>
      <c r="C804" t="s">
        <v>396</v>
      </c>
      <c r="D804" t="s">
        <v>396</v>
      </c>
      <c r="E804" t="s">
        <v>396</v>
      </c>
      <c r="G804" s="13" t="s">
        <v>12689</v>
      </c>
      <c r="H804" t="s">
        <v>12690</v>
      </c>
      <c r="J804" t="s">
        <v>12691</v>
      </c>
      <c r="K804" t="s">
        <v>7077</v>
      </c>
      <c r="L804" t="s">
        <v>7077</v>
      </c>
      <c r="M804" t="s">
        <v>7250</v>
      </c>
      <c r="N804">
        <v>2009</v>
      </c>
      <c r="O804">
        <v>2010</v>
      </c>
      <c r="T804" t="s">
        <v>6546</v>
      </c>
      <c r="U804" t="s">
        <v>6546</v>
      </c>
      <c r="V804">
        <v>32.799999999999997</v>
      </c>
      <c r="W804">
        <v>20.21</v>
      </c>
      <c r="X804">
        <v>32.799999999999997</v>
      </c>
      <c r="AB804" t="s">
        <v>11272</v>
      </c>
      <c r="AC804" t="s">
        <v>9852</v>
      </c>
      <c r="AD804" t="s">
        <v>7096</v>
      </c>
      <c r="AF804" t="s">
        <v>12692</v>
      </c>
      <c r="AG804" t="s">
        <v>12693</v>
      </c>
      <c r="AI804" t="s">
        <v>9852</v>
      </c>
      <c r="AO804" t="s">
        <v>12694</v>
      </c>
    </row>
    <row r="805" spans="1:41" hidden="1" x14ac:dyDescent="0.35">
      <c r="A805" t="s">
        <v>12695</v>
      </c>
      <c r="B805" t="s">
        <v>7246</v>
      </c>
      <c r="C805" t="s">
        <v>344</v>
      </c>
      <c r="D805" t="s">
        <v>344</v>
      </c>
      <c r="E805" t="s">
        <v>344</v>
      </c>
      <c r="G805" s="13" t="s">
        <v>12696</v>
      </c>
      <c r="H805" t="s">
        <v>12697</v>
      </c>
      <c r="K805" t="s">
        <v>12133</v>
      </c>
      <c r="L805" t="s">
        <v>12133</v>
      </c>
      <c r="M805" t="s">
        <v>7250</v>
      </c>
      <c r="N805">
        <v>2020</v>
      </c>
      <c r="R805">
        <v>2.5</v>
      </c>
      <c r="S805" t="s">
        <v>8257</v>
      </c>
      <c r="T805">
        <v>2.5</v>
      </c>
      <c r="U805">
        <v>1163.46</v>
      </c>
      <c r="V805">
        <v>185</v>
      </c>
      <c r="W805">
        <v>143.11000000000001</v>
      </c>
      <c r="X805">
        <v>185</v>
      </c>
      <c r="Y805">
        <v>16</v>
      </c>
      <c r="Z805" t="s">
        <v>7253</v>
      </c>
      <c r="AA805" s="13" t="s">
        <v>12698</v>
      </c>
      <c r="AB805" t="s">
        <v>12699</v>
      </c>
      <c r="AC805" t="s">
        <v>8747</v>
      </c>
      <c r="AE805" t="s">
        <v>3129</v>
      </c>
      <c r="AF805" t="s">
        <v>12700</v>
      </c>
      <c r="AH805" t="s">
        <v>12701</v>
      </c>
      <c r="AI805" t="s">
        <v>8747</v>
      </c>
      <c r="AO805" t="s">
        <v>12702</v>
      </c>
    </row>
    <row r="806" spans="1:41" hidden="1" x14ac:dyDescent="0.35">
      <c r="A806" t="s">
        <v>12703</v>
      </c>
      <c r="B806" t="s">
        <v>7246</v>
      </c>
      <c r="C806" t="s">
        <v>344</v>
      </c>
      <c r="D806" t="s">
        <v>344</v>
      </c>
      <c r="E806" t="s">
        <v>344</v>
      </c>
      <c r="G806" s="13" t="s">
        <v>12704</v>
      </c>
      <c r="H806" t="s">
        <v>12705</v>
      </c>
      <c r="K806" t="s">
        <v>12133</v>
      </c>
      <c r="L806" t="s">
        <v>12133</v>
      </c>
      <c r="M806" t="s">
        <v>7250</v>
      </c>
      <c r="N806">
        <v>2018</v>
      </c>
      <c r="R806">
        <v>8.8000000000000007</v>
      </c>
      <c r="S806" t="s">
        <v>8257</v>
      </c>
      <c r="T806">
        <v>8.8000000000000007</v>
      </c>
      <c r="U806">
        <v>4095.37</v>
      </c>
      <c r="V806">
        <v>770</v>
      </c>
      <c r="W806">
        <v>744.65</v>
      </c>
      <c r="X806">
        <v>770</v>
      </c>
      <c r="Y806">
        <v>56</v>
      </c>
      <c r="Z806" t="s">
        <v>7253</v>
      </c>
      <c r="AA806" s="13" t="s">
        <v>8978</v>
      </c>
      <c r="AB806" t="s">
        <v>12706</v>
      </c>
      <c r="AC806" t="s">
        <v>8747</v>
      </c>
      <c r="AE806" t="s">
        <v>3121</v>
      </c>
      <c r="AF806" t="s">
        <v>8875</v>
      </c>
      <c r="AH806" t="s">
        <v>8876</v>
      </c>
      <c r="AI806" t="s">
        <v>8747</v>
      </c>
      <c r="AL806" t="s">
        <v>12707</v>
      </c>
      <c r="AO806" t="s">
        <v>12708</v>
      </c>
    </row>
    <row r="807" spans="1:41" hidden="1" x14ac:dyDescent="0.35">
      <c r="A807" t="s">
        <v>12709</v>
      </c>
      <c r="B807" t="s">
        <v>7246</v>
      </c>
      <c r="C807" t="s">
        <v>344</v>
      </c>
      <c r="D807" t="s">
        <v>344</v>
      </c>
      <c r="E807" t="s">
        <v>344</v>
      </c>
      <c r="G807" s="13" t="s">
        <v>12710</v>
      </c>
      <c r="H807" t="s">
        <v>12711</v>
      </c>
      <c r="J807" t="s">
        <v>12712</v>
      </c>
      <c r="K807" t="s">
        <v>12133</v>
      </c>
      <c r="L807" t="s">
        <v>12133</v>
      </c>
      <c r="M807" t="s">
        <v>7250</v>
      </c>
      <c r="N807">
        <v>2020</v>
      </c>
      <c r="R807">
        <v>4</v>
      </c>
      <c r="S807" t="s">
        <v>8257</v>
      </c>
      <c r="T807">
        <v>4</v>
      </c>
      <c r="U807">
        <v>1861.53</v>
      </c>
      <c r="V807">
        <v>345</v>
      </c>
      <c r="W807">
        <v>527.54</v>
      </c>
      <c r="X807">
        <v>345</v>
      </c>
      <c r="Y807">
        <v>48</v>
      </c>
      <c r="Z807" t="s">
        <v>7253</v>
      </c>
      <c r="AA807" s="13" t="s">
        <v>8978</v>
      </c>
      <c r="AB807" t="s">
        <v>12713</v>
      </c>
      <c r="AC807" t="s">
        <v>8747</v>
      </c>
      <c r="AE807" t="s">
        <v>12714</v>
      </c>
      <c r="AF807" t="s">
        <v>8875</v>
      </c>
      <c r="AH807" t="s">
        <v>8876</v>
      </c>
      <c r="AI807" t="s">
        <v>8747</v>
      </c>
      <c r="AL807" t="s">
        <v>12715</v>
      </c>
      <c r="AO807" t="s">
        <v>12716</v>
      </c>
    </row>
    <row r="808" spans="1:41" hidden="1" x14ac:dyDescent="0.35">
      <c r="A808" t="s">
        <v>12717</v>
      </c>
      <c r="B808" t="s">
        <v>7246</v>
      </c>
      <c r="C808" t="s">
        <v>344</v>
      </c>
      <c r="D808" t="s">
        <v>5861</v>
      </c>
      <c r="E808" t="s">
        <v>12718</v>
      </c>
      <c r="G808" s="13" t="s">
        <v>12719</v>
      </c>
      <c r="H808" t="s">
        <v>12720</v>
      </c>
      <c r="K808" t="s">
        <v>12721</v>
      </c>
      <c r="L808" t="s">
        <v>12721</v>
      </c>
      <c r="M808" t="s">
        <v>7250</v>
      </c>
      <c r="N808">
        <v>2011</v>
      </c>
      <c r="R808">
        <v>8</v>
      </c>
      <c r="S808" t="s">
        <v>8257</v>
      </c>
      <c r="T808">
        <v>8</v>
      </c>
      <c r="U808">
        <v>3723.07</v>
      </c>
      <c r="V808">
        <v>757</v>
      </c>
      <c r="W808">
        <v>733.13</v>
      </c>
      <c r="X808">
        <v>757</v>
      </c>
      <c r="Y808" t="s">
        <v>12722</v>
      </c>
      <c r="Z808" t="s">
        <v>7253</v>
      </c>
      <c r="AA808" s="13" t="s">
        <v>12723</v>
      </c>
      <c r="AB808" t="s">
        <v>8875</v>
      </c>
      <c r="AC808" t="s">
        <v>8747</v>
      </c>
      <c r="AE808" t="s">
        <v>8876</v>
      </c>
      <c r="AH808" t="s">
        <v>8878</v>
      </c>
      <c r="AI808" t="s">
        <v>8777</v>
      </c>
      <c r="AL808" t="s">
        <v>12724</v>
      </c>
      <c r="AO808" t="s">
        <v>12725</v>
      </c>
    </row>
    <row r="809" spans="1:41" hidden="1" x14ac:dyDescent="0.35">
      <c r="A809" t="s">
        <v>12726</v>
      </c>
      <c r="B809" t="s">
        <v>7246</v>
      </c>
      <c r="C809" t="s">
        <v>344</v>
      </c>
      <c r="D809" t="s">
        <v>5861</v>
      </c>
      <c r="E809" t="s">
        <v>12718</v>
      </c>
      <c r="G809" s="13" t="s">
        <v>12719</v>
      </c>
      <c r="H809" t="s">
        <v>12720</v>
      </c>
      <c r="I809" t="s">
        <v>12727</v>
      </c>
      <c r="K809" t="s">
        <v>12721</v>
      </c>
      <c r="L809" t="s">
        <v>12721</v>
      </c>
      <c r="M809" t="s">
        <v>7250</v>
      </c>
      <c r="N809">
        <v>2022</v>
      </c>
      <c r="R809">
        <v>2.5</v>
      </c>
      <c r="S809" t="s">
        <v>8257</v>
      </c>
      <c r="T809">
        <v>2.5</v>
      </c>
      <c r="U809">
        <v>1163.46</v>
      </c>
      <c r="V809">
        <v>0</v>
      </c>
      <c r="W809" t="s">
        <v>6546</v>
      </c>
      <c r="X809">
        <v>0</v>
      </c>
      <c r="AB809" t="s">
        <v>8875</v>
      </c>
      <c r="AC809" t="s">
        <v>8747</v>
      </c>
      <c r="AE809" t="s">
        <v>8876</v>
      </c>
      <c r="AH809" t="s">
        <v>8878</v>
      </c>
      <c r="AI809" t="s">
        <v>8777</v>
      </c>
      <c r="AO809" t="s">
        <v>6546</v>
      </c>
    </row>
    <row r="810" spans="1:41" hidden="1" x14ac:dyDescent="0.35">
      <c r="A810" t="s">
        <v>12728</v>
      </c>
      <c r="B810" t="s">
        <v>7246</v>
      </c>
      <c r="C810" t="s">
        <v>344</v>
      </c>
      <c r="D810" t="s">
        <v>344</v>
      </c>
      <c r="E810" t="s">
        <v>344</v>
      </c>
      <c r="G810" s="13" t="s">
        <v>12729</v>
      </c>
      <c r="H810" t="s">
        <v>12730</v>
      </c>
      <c r="J810" t="s">
        <v>12731</v>
      </c>
      <c r="K810" t="s">
        <v>12732</v>
      </c>
      <c r="L810" t="s">
        <v>12733</v>
      </c>
      <c r="M810" t="s">
        <v>7250</v>
      </c>
      <c r="N810">
        <v>2016</v>
      </c>
      <c r="T810" t="s">
        <v>6546</v>
      </c>
      <c r="U810" t="s">
        <v>6546</v>
      </c>
      <c r="V810">
        <v>509</v>
      </c>
      <c r="W810">
        <v>707.42</v>
      </c>
      <c r="X810">
        <v>509</v>
      </c>
      <c r="Y810">
        <v>28</v>
      </c>
      <c r="Z810" t="s">
        <v>7253</v>
      </c>
      <c r="AC810" t="s">
        <v>8747</v>
      </c>
      <c r="AI810" t="s">
        <v>8747</v>
      </c>
      <c r="AO810" t="s">
        <v>12734</v>
      </c>
    </row>
    <row r="811" spans="1:41" hidden="1" x14ac:dyDescent="0.35">
      <c r="A811" t="s">
        <v>12735</v>
      </c>
      <c r="B811" t="s">
        <v>7246</v>
      </c>
      <c r="C811" t="s">
        <v>344</v>
      </c>
      <c r="D811" t="s">
        <v>344</v>
      </c>
      <c r="E811" t="s">
        <v>344</v>
      </c>
      <c r="G811" s="13" t="s">
        <v>12736</v>
      </c>
      <c r="H811" t="s">
        <v>12737</v>
      </c>
      <c r="J811" t="s">
        <v>12738</v>
      </c>
      <c r="K811" t="s">
        <v>12732</v>
      </c>
      <c r="L811" t="s">
        <v>12733</v>
      </c>
      <c r="M811" t="s">
        <v>7250</v>
      </c>
      <c r="N811">
        <v>2018</v>
      </c>
      <c r="R811">
        <v>700</v>
      </c>
      <c r="S811" t="s">
        <v>7251</v>
      </c>
      <c r="T811">
        <v>7.24</v>
      </c>
      <c r="U811">
        <v>3369.33</v>
      </c>
      <c r="V811">
        <v>530</v>
      </c>
      <c r="W811">
        <v>491.25</v>
      </c>
      <c r="X811">
        <v>530</v>
      </c>
      <c r="Y811">
        <v>16</v>
      </c>
      <c r="Z811" t="s">
        <v>7253</v>
      </c>
      <c r="AA811" s="13" t="s">
        <v>12739</v>
      </c>
      <c r="AB811" t="s">
        <v>12740</v>
      </c>
      <c r="AC811" t="s">
        <v>8747</v>
      </c>
      <c r="AE811" t="s">
        <v>12741</v>
      </c>
      <c r="AF811" t="s">
        <v>12742</v>
      </c>
      <c r="AH811" t="s">
        <v>12743</v>
      </c>
      <c r="AI811" t="s">
        <v>8747</v>
      </c>
      <c r="AL811" t="s">
        <v>12744</v>
      </c>
      <c r="AO811" t="s">
        <v>12745</v>
      </c>
    </row>
    <row r="812" spans="1:41" hidden="1" x14ac:dyDescent="0.35">
      <c r="A812" t="s">
        <v>12746</v>
      </c>
      <c r="B812" t="s">
        <v>7246</v>
      </c>
      <c r="C812" t="s">
        <v>344</v>
      </c>
      <c r="D812" t="s">
        <v>344</v>
      </c>
      <c r="E812" t="s">
        <v>344</v>
      </c>
      <c r="G812" s="13" t="s">
        <v>12747</v>
      </c>
      <c r="H812" t="s">
        <v>12748</v>
      </c>
      <c r="K812" t="s">
        <v>12732</v>
      </c>
      <c r="L812" t="s">
        <v>12733</v>
      </c>
      <c r="M812" t="s">
        <v>7250</v>
      </c>
      <c r="N812">
        <v>2018</v>
      </c>
      <c r="T812" t="s">
        <v>6546</v>
      </c>
      <c r="U812" t="s">
        <v>6546</v>
      </c>
      <c r="V812">
        <v>379</v>
      </c>
      <c r="W812">
        <v>236.18</v>
      </c>
      <c r="X812">
        <v>379</v>
      </c>
      <c r="Y812">
        <v>10</v>
      </c>
      <c r="Z812" t="s">
        <v>7253</v>
      </c>
      <c r="AA812" s="13" t="s">
        <v>12739</v>
      </c>
      <c r="AB812" t="s">
        <v>12749</v>
      </c>
      <c r="AC812" t="s">
        <v>8747</v>
      </c>
      <c r="AE812" t="s">
        <v>12750</v>
      </c>
      <c r="AF812" t="s">
        <v>12751</v>
      </c>
      <c r="AH812" t="s">
        <v>12751</v>
      </c>
      <c r="AI812" t="s">
        <v>8747</v>
      </c>
      <c r="AL812" t="s">
        <v>12752</v>
      </c>
      <c r="AO812" t="s">
        <v>12753</v>
      </c>
    </row>
    <row r="813" spans="1:41" hidden="1" x14ac:dyDescent="0.35">
      <c r="A813" t="s">
        <v>12754</v>
      </c>
      <c r="B813" t="s">
        <v>7246</v>
      </c>
      <c r="C813" t="s">
        <v>344</v>
      </c>
      <c r="D813" t="s">
        <v>344</v>
      </c>
      <c r="E813" t="s">
        <v>344</v>
      </c>
      <c r="G813" s="13" t="s">
        <v>12755</v>
      </c>
      <c r="H813" t="s">
        <v>12756</v>
      </c>
      <c r="K813" t="s">
        <v>12732</v>
      </c>
      <c r="L813" t="s">
        <v>12733</v>
      </c>
      <c r="M813" t="s">
        <v>7269</v>
      </c>
      <c r="T813" t="s">
        <v>6546</v>
      </c>
      <c r="U813" t="s">
        <v>6546</v>
      </c>
      <c r="V813">
        <v>204</v>
      </c>
      <c r="W813">
        <v>313.97000000000003</v>
      </c>
      <c r="X813">
        <v>204</v>
      </c>
      <c r="Y813">
        <v>42</v>
      </c>
      <c r="Z813" t="s">
        <v>7253</v>
      </c>
      <c r="AA813" s="13" t="s">
        <v>12757</v>
      </c>
      <c r="AC813" t="s">
        <v>8747</v>
      </c>
      <c r="AI813" t="s">
        <v>8747</v>
      </c>
      <c r="AO813" t="s">
        <v>12758</v>
      </c>
    </row>
    <row r="814" spans="1:41" hidden="1" x14ac:dyDescent="0.35">
      <c r="A814" t="s">
        <v>12759</v>
      </c>
      <c r="B814" t="s">
        <v>7246</v>
      </c>
      <c r="C814" t="s">
        <v>344</v>
      </c>
      <c r="D814" t="s">
        <v>344</v>
      </c>
      <c r="E814" t="s">
        <v>344</v>
      </c>
      <c r="G814" s="13" t="s">
        <v>12760</v>
      </c>
      <c r="H814" t="s">
        <v>12761</v>
      </c>
      <c r="J814" t="s">
        <v>12762</v>
      </c>
      <c r="K814" t="s">
        <v>12732</v>
      </c>
      <c r="L814" t="s">
        <v>12733</v>
      </c>
      <c r="M814" t="s">
        <v>7269</v>
      </c>
      <c r="N814">
        <v>2022</v>
      </c>
      <c r="T814" t="s">
        <v>6546</v>
      </c>
      <c r="U814" t="s">
        <v>6546</v>
      </c>
      <c r="V814">
        <v>110</v>
      </c>
      <c r="W814">
        <v>76.72</v>
      </c>
      <c r="X814">
        <v>110</v>
      </c>
      <c r="Y814">
        <v>16</v>
      </c>
      <c r="Z814" t="s">
        <v>7253</v>
      </c>
      <c r="AC814" t="s">
        <v>8747</v>
      </c>
      <c r="AI814" t="s">
        <v>8747</v>
      </c>
      <c r="AO814" t="s">
        <v>12763</v>
      </c>
    </row>
    <row r="815" spans="1:41" hidden="1" x14ac:dyDescent="0.35">
      <c r="A815" t="s">
        <v>12764</v>
      </c>
      <c r="B815" t="s">
        <v>7246</v>
      </c>
      <c r="C815" t="s">
        <v>351</v>
      </c>
      <c r="D815" t="s">
        <v>351</v>
      </c>
      <c r="E815" t="s">
        <v>351</v>
      </c>
      <c r="G815" s="13" t="s">
        <v>8539</v>
      </c>
      <c r="H815" t="s">
        <v>8540</v>
      </c>
      <c r="I815" t="s">
        <v>8683</v>
      </c>
      <c r="K815" t="s">
        <v>8541</v>
      </c>
      <c r="L815" t="s">
        <v>8542</v>
      </c>
      <c r="M815" t="s">
        <v>7415</v>
      </c>
      <c r="N815">
        <v>2022</v>
      </c>
      <c r="R815">
        <v>50</v>
      </c>
      <c r="S815" t="s">
        <v>7251</v>
      </c>
      <c r="T815">
        <v>0.52</v>
      </c>
      <c r="U815">
        <v>240.67</v>
      </c>
      <c r="V815">
        <v>0</v>
      </c>
      <c r="W815" t="s">
        <v>6546</v>
      </c>
      <c r="X815">
        <v>0</v>
      </c>
      <c r="AB815" t="s">
        <v>8543</v>
      </c>
      <c r="AC815" t="s">
        <v>8523</v>
      </c>
      <c r="AE815" t="s">
        <v>3137</v>
      </c>
      <c r="AF815" t="s">
        <v>8544</v>
      </c>
      <c r="AH815" t="s">
        <v>3137</v>
      </c>
      <c r="AI815" t="s">
        <v>8523</v>
      </c>
      <c r="AL815" t="s">
        <v>12765</v>
      </c>
      <c r="AM815" t="s">
        <v>8687</v>
      </c>
      <c r="AN815" s="13" t="s">
        <v>8546</v>
      </c>
      <c r="AO815" t="s">
        <v>6546</v>
      </c>
    </row>
    <row r="816" spans="1:41" hidden="1" x14ac:dyDescent="0.35">
      <c r="A816" t="s">
        <v>12766</v>
      </c>
      <c r="B816" t="s">
        <v>7246</v>
      </c>
      <c r="C816" t="s">
        <v>351</v>
      </c>
      <c r="D816" t="s">
        <v>351</v>
      </c>
      <c r="E816" t="s">
        <v>351</v>
      </c>
      <c r="G816" s="13" t="s">
        <v>12767</v>
      </c>
      <c r="H816" t="s">
        <v>12768</v>
      </c>
      <c r="K816" t="s">
        <v>12769</v>
      </c>
      <c r="L816" t="s">
        <v>12769</v>
      </c>
      <c r="M816" t="s">
        <v>7731</v>
      </c>
      <c r="R816" t="s">
        <v>12770</v>
      </c>
      <c r="T816" t="s">
        <v>6546</v>
      </c>
      <c r="U816" t="s">
        <v>6546</v>
      </c>
      <c r="V816">
        <v>320</v>
      </c>
      <c r="W816">
        <v>293.7</v>
      </c>
      <c r="X816">
        <v>320</v>
      </c>
      <c r="AB816" t="s">
        <v>12771</v>
      </c>
      <c r="AC816" t="s">
        <v>8523</v>
      </c>
      <c r="AE816" t="s">
        <v>3179</v>
      </c>
      <c r="AF816" t="s">
        <v>12772</v>
      </c>
      <c r="AH816" t="s">
        <v>3179</v>
      </c>
      <c r="AI816" t="s">
        <v>8523</v>
      </c>
      <c r="AL816" t="s">
        <v>12773</v>
      </c>
      <c r="AN816" s="13" t="s">
        <v>12774</v>
      </c>
      <c r="AO816" t="s">
        <v>12775</v>
      </c>
    </row>
    <row r="817" spans="1:41" hidden="1" x14ac:dyDescent="0.35">
      <c r="A817" t="s">
        <v>12776</v>
      </c>
      <c r="B817" t="s">
        <v>7246</v>
      </c>
      <c r="C817" t="s">
        <v>351</v>
      </c>
      <c r="D817" t="s">
        <v>351</v>
      </c>
      <c r="E817" t="s">
        <v>351</v>
      </c>
      <c r="G817" s="13" t="s">
        <v>12777</v>
      </c>
      <c r="H817" t="s">
        <v>12778</v>
      </c>
      <c r="I817" t="s">
        <v>8099</v>
      </c>
      <c r="K817" t="s">
        <v>12769</v>
      </c>
      <c r="L817" t="s">
        <v>12769</v>
      </c>
      <c r="M817" t="s">
        <v>7250</v>
      </c>
      <c r="N817">
        <v>2006</v>
      </c>
      <c r="R817">
        <v>25</v>
      </c>
      <c r="S817" t="s">
        <v>7251</v>
      </c>
      <c r="T817">
        <v>0.26</v>
      </c>
      <c r="U817">
        <v>120.33</v>
      </c>
      <c r="V817">
        <v>181</v>
      </c>
      <c r="W817">
        <v>245.25</v>
      </c>
      <c r="X817">
        <v>181</v>
      </c>
      <c r="AB817" t="s">
        <v>12779</v>
      </c>
      <c r="AC817" t="s">
        <v>8523</v>
      </c>
      <c r="AE817" t="s">
        <v>3179</v>
      </c>
      <c r="AF817" t="s">
        <v>12780</v>
      </c>
      <c r="AH817" t="s">
        <v>3179</v>
      </c>
      <c r="AI817" t="s">
        <v>8523</v>
      </c>
      <c r="AL817" t="s">
        <v>12781</v>
      </c>
      <c r="AM817" t="s">
        <v>12782</v>
      </c>
      <c r="AN817" s="13" t="s">
        <v>12783</v>
      </c>
      <c r="AO817" t="s">
        <v>12784</v>
      </c>
    </row>
    <row r="818" spans="1:41" hidden="1" x14ac:dyDescent="0.35">
      <c r="A818" t="s">
        <v>12785</v>
      </c>
      <c r="B818" t="s">
        <v>7246</v>
      </c>
      <c r="C818" t="s">
        <v>351</v>
      </c>
      <c r="D818" t="s">
        <v>351</v>
      </c>
      <c r="E818" t="s">
        <v>351</v>
      </c>
      <c r="G818" s="13" t="s">
        <v>12777</v>
      </c>
      <c r="H818" t="s">
        <v>12778</v>
      </c>
      <c r="I818" t="s">
        <v>12786</v>
      </c>
      <c r="K818" t="s">
        <v>12769</v>
      </c>
      <c r="L818" t="s">
        <v>12769</v>
      </c>
      <c r="M818" t="s">
        <v>7250</v>
      </c>
      <c r="N818">
        <v>2009</v>
      </c>
      <c r="R818">
        <v>25</v>
      </c>
      <c r="S818" t="s">
        <v>7251</v>
      </c>
      <c r="T818">
        <v>0.26</v>
      </c>
      <c r="U818">
        <v>120.33</v>
      </c>
      <c r="V818">
        <v>178.4</v>
      </c>
      <c r="W818">
        <v>160.72999999999999</v>
      </c>
      <c r="X818">
        <v>178.4</v>
      </c>
      <c r="AB818" t="s">
        <v>12787</v>
      </c>
      <c r="AC818" t="s">
        <v>8523</v>
      </c>
      <c r="AE818" t="s">
        <v>3179</v>
      </c>
      <c r="AF818" t="s">
        <v>12788</v>
      </c>
      <c r="AH818" t="s">
        <v>3179</v>
      </c>
      <c r="AI818" t="s">
        <v>8523</v>
      </c>
      <c r="AL818" t="s">
        <v>12781</v>
      </c>
      <c r="AM818" t="s">
        <v>12789</v>
      </c>
      <c r="AN818" s="13" t="s">
        <v>12783</v>
      </c>
      <c r="AO818" t="s">
        <v>12790</v>
      </c>
    </row>
    <row r="819" spans="1:41" hidden="1" x14ac:dyDescent="0.35">
      <c r="A819" t="s">
        <v>12791</v>
      </c>
      <c r="B819" t="s">
        <v>7246</v>
      </c>
      <c r="C819" t="s">
        <v>351</v>
      </c>
      <c r="D819" t="s">
        <v>351</v>
      </c>
      <c r="E819" t="s">
        <v>351</v>
      </c>
      <c r="G819" s="13" t="s">
        <v>12792</v>
      </c>
      <c r="H819" t="s">
        <v>12793</v>
      </c>
      <c r="I819" t="s">
        <v>12794</v>
      </c>
      <c r="J819" t="s">
        <v>12795</v>
      </c>
      <c r="K819" t="s">
        <v>12796</v>
      </c>
      <c r="L819" t="s">
        <v>12797</v>
      </c>
      <c r="M819" t="s">
        <v>7415</v>
      </c>
      <c r="R819">
        <v>4.09</v>
      </c>
      <c r="S819" t="s">
        <v>8257</v>
      </c>
      <c r="T819">
        <v>4.09</v>
      </c>
      <c r="U819">
        <v>1902.49</v>
      </c>
      <c r="V819">
        <v>813</v>
      </c>
      <c r="W819">
        <v>781.54</v>
      </c>
      <c r="X819">
        <v>813</v>
      </c>
      <c r="Y819">
        <v>24</v>
      </c>
      <c r="Z819" t="s">
        <v>7253</v>
      </c>
      <c r="AA819" t="s">
        <v>12798</v>
      </c>
      <c r="AB819" t="s">
        <v>12799</v>
      </c>
      <c r="AC819" t="s">
        <v>8523</v>
      </c>
      <c r="AE819" t="s">
        <v>12800</v>
      </c>
      <c r="AF819" t="s">
        <v>3149</v>
      </c>
      <c r="AH819" t="s">
        <v>3148</v>
      </c>
      <c r="AI819" t="s">
        <v>8523</v>
      </c>
      <c r="AL819" t="s">
        <v>12801</v>
      </c>
      <c r="AM819" t="s">
        <v>12802</v>
      </c>
      <c r="AN819" s="13" t="s">
        <v>12803</v>
      </c>
      <c r="AO819" t="s">
        <v>12804</v>
      </c>
    </row>
    <row r="820" spans="1:41" hidden="1" x14ac:dyDescent="0.35">
      <c r="A820" t="s">
        <v>12805</v>
      </c>
      <c r="B820" t="s">
        <v>7246</v>
      </c>
      <c r="C820" t="s">
        <v>351</v>
      </c>
      <c r="D820" t="s">
        <v>351</v>
      </c>
      <c r="E820" t="s">
        <v>351</v>
      </c>
      <c r="G820" s="13" t="s">
        <v>12806</v>
      </c>
      <c r="H820" t="s">
        <v>12807</v>
      </c>
      <c r="J820" t="s">
        <v>12808</v>
      </c>
      <c r="K820" t="s">
        <v>12809</v>
      </c>
      <c r="L820" t="s">
        <v>8542</v>
      </c>
      <c r="M820" t="s">
        <v>7250</v>
      </c>
      <c r="N820">
        <v>1981</v>
      </c>
      <c r="R820">
        <v>1.1000000000000001</v>
      </c>
      <c r="S820" t="s">
        <v>8257</v>
      </c>
      <c r="T820">
        <v>1.1000000000000001</v>
      </c>
      <c r="U820">
        <v>509.59</v>
      </c>
      <c r="V820">
        <v>280</v>
      </c>
      <c r="W820">
        <v>254.19</v>
      </c>
      <c r="X820">
        <v>280</v>
      </c>
      <c r="Y820">
        <v>8</v>
      </c>
      <c r="Z820" t="s">
        <v>7253</v>
      </c>
      <c r="AB820" t="s">
        <v>12810</v>
      </c>
      <c r="AC820" t="s">
        <v>8523</v>
      </c>
      <c r="AE820" t="s">
        <v>10644</v>
      </c>
      <c r="AF820" t="s">
        <v>12811</v>
      </c>
      <c r="AH820" t="s">
        <v>10644</v>
      </c>
      <c r="AI820" t="s">
        <v>8523</v>
      </c>
      <c r="AL820" t="s">
        <v>12812</v>
      </c>
      <c r="AN820" s="13" t="s">
        <v>12813</v>
      </c>
      <c r="AO820" t="s">
        <v>12814</v>
      </c>
    </row>
    <row r="821" spans="1:41" x14ac:dyDescent="0.35">
      <c r="A821" t="s">
        <v>12815</v>
      </c>
      <c r="B821" t="s">
        <v>7246</v>
      </c>
      <c r="C821" t="s">
        <v>24</v>
      </c>
      <c r="D821" t="s">
        <v>24</v>
      </c>
      <c r="E821" t="s">
        <v>24</v>
      </c>
      <c r="F821" t="s">
        <v>354</v>
      </c>
      <c r="G821" s="13" t="s">
        <v>12816</v>
      </c>
      <c r="H821" t="s">
        <v>12817</v>
      </c>
      <c r="J821" t="s">
        <v>12818</v>
      </c>
      <c r="K821" t="s">
        <v>12819</v>
      </c>
      <c r="L821" t="s">
        <v>12819</v>
      </c>
      <c r="M821" t="s">
        <v>7292</v>
      </c>
      <c r="N821">
        <v>2024</v>
      </c>
      <c r="R821">
        <v>117.53</v>
      </c>
      <c r="S821" t="s">
        <v>7251</v>
      </c>
      <c r="T821">
        <v>1.22</v>
      </c>
      <c r="U821">
        <v>565.71</v>
      </c>
      <c r="V821">
        <v>950</v>
      </c>
      <c r="W821">
        <v>927.54</v>
      </c>
      <c r="X821">
        <v>950</v>
      </c>
      <c r="AA821" t="s">
        <v>11242</v>
      </c>
      <c r="AC821" t="s">
        <v>9165</v>
      </c>
      <c r="AE821" t="s">
        <v>10751</v>
      </c>
      <c r="AF821" t="s">
        <v>12820</v>
      </c>
      <c r="AH821" t="s">
        <v>4129</v>
      </c>
      <c r="AI821" t="s">
        <v>9165</v>
      </c>
      <c r="AO821" t="s">
        <v>12821</v>
      </c>
    </row>
    <row r="822" spans="1:41" x14ac:dyDescent="0.35">
      <c r="A822" t="s">
        <v>12822</v>
      </c>
      <c r="B822" t="s">
        <v>7246</v>
      </c>
      <c r="C822" t="s">
        <v>24</v>
      </c>
      <c r="D822" t="s">
        <v>24</v>
      </c>
      <c r="E822" t="s">
        <v>24</v>
      </c>
      <c r="F822" t="s">
        <v>354</v>
      </c>
      <c r="G822" s="13" t="s">
        <v>12823</v>
      </c>
      <c r="H822" t="s">
        <v>12824</v>
      </c>
      <c r="K822" t="s">
        <v>12825</v>
      </c>
      <c r="L822" t="s">
        <v>12825</v>
      </c>
      <c r="M822" t="s">
        <v>7292</v>
      </c>
      <c r="N822">
        <v>2025</v>
      </c>
      <c r="T822" t="s">
        <v>6546</v>
      </c>
      <c r="U822" t="s">
        <v>6546</v>
      </c>
      <c r="V822">
        <v>260</v>
      </c>
      <c r="W822">
        <v>252.89</v>
      </c>
      <c r="X822">
        <v>260</v>
      </c>
      <c r="AA822" t="s">
        <v>12826</v>
      </c>
      <c r="AC822" t="s">
        <v>9165</v>
      </c>
      <c r="AF822" t="s">
        <v>6437</v>
      </c>
      <c r="AH822" t="s">
        <v>10751</v>
      </c>
      <c r="AI822" t="s">
        <v>9165</v>
      </c>
      <c r="AJ822" t="s">
        <v>6407</v>
      </c>
      <c r="AK822">
        <v>2021</v>
      </c>
      <c r="AO822" t="s">
        <v>12827</v>
      </c>
    </row>
    <row r="823" spans="1:41" x14ac:dyDescent="0.35">
      <c r="A823" t="s">
        <v>12828</v>
      </c>
      <c r="B823" t="s">
        <v>7246</v>
      </c>
      <c r="C823" t="s">
        <v>24</v>
      </c>
      <c r="D823" t="s">
        <v>24</v>
      </c>
      <c r="E823" t="s">
        <v>24</v>
      </c>
      <c r="F823" t="s">
        <v>354</v>
      </c>
      <c r="G823" s="13" t="s">
        <v>12829</v>
      </c>
      <c r="H823" t="s">
        <v>12830</v>
      </c>
      <c r="J823" t="s">
        <v>12831</v>
      </c>
      <c r="K823" t="s">
        <v>12832</v>
      </c>
      <c r="L823" t="s">
        <v>12832</v>
      </c>
      <c r="M823" t="s">
        <v>7292</v>
      </c>
      <c r="N823">
        <v>2023</v>
      </c>
      <c r="R823">
        <v>300</v>
      </c>
      <c r="S823" t="s">
        <v>9164</v>
      </c>
      <c r="T823">
        <v>3.07</v>
      </c>
      <c r="U823">
        <v>1427.84</v>
      </c>
      <c r="V823">
        <v>500</v>
      </c>
      <c r="W823">
        <v>314.31</v>
      </c>
      <c r="X823">
        <v>500</v>
      </c>
      <c r="AA823" t="s">
        <v>10741</v>
      </c>
      <c r="AB823" t="s">
        <v>10591</v>
      </c>
      <c r="AC823" t="s">
        <v>9165</v>
      </c>
      <c r="AE823" t="s">
        <v>2973</v>
      </c>
      <c r="AF823" t="s">
        <v>6432</v>
      </c>
      <c r="AH823" t="s">
        <v>2973</v>
      </c>
      <c r="AI823" t="s">
        <v>9165</v>
      </c>
      <c r="AO823" t="s">
        <v>12833</v>
      </c>
    </row>
    <row r="824" spans="1:41" x14ac:dyDescent="0.35">
      <c r="A824" t="s">
        <v>12834</v>
      </c>
      <c r="B824" t="s">
        <v>7246</v>
      </c>
      <c r="C824" t="s">
        <v>24</v>
      </c>
      <c r="D824" t="s">
        <v>24</v>
      </c>
      <c r="E824" t="s">
        <v>24</v>
      </c>
      <c r="F824" t="s">
        <v>354</v>
      </c>
      <c r="G824" s="13" t="s">
        <v>12835</v>
      </c>
      <c r="H824" t="s">
        <v>12836</v>
      </c>
      <c r="K824" t="s">
        <v>12837</v>
      </c>
      <c r="L824" t="s">
        <v>12837</v>
      </c>
      <c r="M824" t="s">
        <v>7250</v>
      </c>
      <c r="N824">
        <v>2021</v>
      </c>
      <c r="T824" t="s">
        <v>6546</v>
      </c>
      <c r="U824" t="s">
        <v>6546</v>
      </c>
      <c r="V824">
        <v>79.3</v>
      </c>
      <c r="W824">
        <v>74.430000000000007</v>
      </c>
      <c r="X824">
        <v>79.3</v>
      </c>
      <c r="Y824">
        <v>100</v>
      </c>
      <c r="Z824" t="s">
        <v>8842</v>
      </c>
      <c r="AB824" t="s">
        <v>12838</v>
      </c>
      <c r="AC824" t="s">
        <v>9165</v>
      </c>
      <c r="AE824" t="s">
        <v>6388</v>
      </c>
      <c r="AF824" t="s">
        <v>12839</v>
      </c>
      <c r="AH824" t="s">
        <v>6388</v>
      </c>
      <c r="AI824" t="s">
        <v>9165</v>
      </c>
      <c r="AO824" t="s">
        <v>12840</v>
      </c>
    </row>
    <row r="825" spans="1:41" x14ac:dyDescent="0.35">
      <c r="A825" t="s">
        <v>12841</v>
      </c>
      <c r="B825" t="s">
        <v>7246</v>
      </c>
      <c r="C825" t="s">
        <v>24</v>
      </c>
      <c r="D825" t="s">
        <v>24</v>
      </c>
      <c r="E825" t="s">
        <v>24</v>
      </c>
      <c r="F825" t="s">
        <v>354</v>
      </c>
      <c r="G825" s="13" t="s">
        <v>12842</v>
      </c>
      <c r="H825" t="s">
        <v>12843</v>
      </c>
      <c r="I825" t="s">
        <v>12844</v>
      </c>
      <c r="K825" t="s">
        <v>12647</v>
      </c>
      <c r="L825" t="s">
        <v>12648</v>
      </c>
      <c r="M825" t="s">
        <v>7292</v>
      </c>
      <c r="N825">
        <v>2023</v>
      </c>
      <c r="T825" t="s">
        <v>6546</v>
      </c>
      <c r="U825" t="s">
        <v>6546</v>
      </c>
      <c r="V825">
        <v>185</v>
      </c>
      <c r="W825">
        <v>135.11000000000001</v>
      </c>
      <c r="X825">
        <v>185</v>
      </c>
      <c r="AB825" t="s">
        <v>12845</v>
      </c>
      <c r="AC825" t="s">
        <v>9165</v>
      </c>
      <c r="AE825" t="s">
        <v>4124</v>
      </c>
      <c r="AF825" t="s">
        <v>12846</v>
      </c>
      <c r="AH825" t="s">
        <v>4124</v>
      </c>
      <c r="AI825" t="s">
        <v>9165</v>
      </c>
      <c r="AO825" t="s">
        <v>12847</v>
      </c>
    </row>
    <row r="826" spans="1:41" x14ac:dyDescent="0.35">
      <c r="A826" t="s">
        <v>12848</v>
      </c>
      <c r="B826" t="s">
        <v>7246</v>
      </c>
      <c r="C826" t="s">
        <v>24</v>
      </c>
      <c r="D826" t="s">
        <v>24</v>
      </c>
      <c r="E826" t="s">
        <v>24</v>
      </c>
      <c r="F826" t="s">
        <v>354</v>
      </c>
      <c r="G826" s="13" t="s">
        <v>12849</v>
      </c>
      <c r="H826" t="s">
        <v>12850</v>
      </c>
      <c r="K826" t="s">
        <v>12851</v>
      </c>
      <c r="L826" t="s">
        <v>12851</v>
      </c>
      <c r="M826" t="s">
        <v>7292</v>
      </c>
      <c r="N826">
        <v>2024</v>
      </c>
      <c r="R826">
        <v>331.74</v>
      </c>
      <c r="S826" t="s">
        <v>7251</v>
      </c>
      <c r="T826">
        <v>3.43</v>
      </c>
      <c r="U826">
        <v>1596.78</v>
      </c>
      <c r="V826">
        <v>210</v>
      </c>
      <c r="W826">
        <v>143.6</v>
      </c>
      <c r="X826">
        <v>210</v>
      </c>
      <c r="AA826" t="s">
        <v>12852</v>
      </c>
      <c r="AC826" t="s">
        <v>9165</v>
      </c>
      <c r="AF826" t="s">
        <v>12853</v>
      </c>
      <c r="AH826" t="s">
        <v>6388</v>
      </c>
      <c r="AI826" t="s">
        <v>9165</v>
      </c>
      <c r="AO826" t="s">
        <v>12854</v>
      </c>
    </row>
    <row r="827" spans="1:41" x14ac:dyDescent="0.35">
      <c r="A827" t="s">
        <v>12855</v>
      </c>
      <c r="B827" t="s">
        <v>7246</v>
      </c>
      <c r="C827" t="s">
        <v>24</v>
      </c>
      <c r="D827" t="s">
        <v>24</v>
      </c>
      <c r="E827" t="s">
        <v>24</v>
      </c>
      <c r="F827" t="s">
        <v>354</v>
      </c>
      <c r="G827" s="13" t="s">
        <v>12856</v>
      </c>
      <c r="H827" t="s">
        <v>12857</v>
      </c>
      <c r="K827" t="s">
        <v>10748</v>
      </c>
      <c r="L827" t="s">
        <v>10749</v>
      </c>
      <c r="M827" t="s">
        <v>7292</v>
      </c>
      <c r="N827">
        <v>2022</v>
      </c>
      <c r="R827">
        <v>459.69</v>
      </c>
      <c r="S827" t="s">
        <v>7251</v>
      </c>
      <c r="T827">
        <v>4.75</v>
      </c>
      <c r="U827">
        <v>2212.64</v>
      </c>
      <c r="V827">
        <v>12</v>
      </c>
      <c r="W827">
        <v>12.09</v>
      </c>
      <c r="X827">
        <v>12</v>
      </c>
      <c r="AA827" t="s">
        <v>6416</v>
      </c>
      <c r="AB827" t="s">
        <v>4123</v>
      </c>
      <c r="AC827" t="s">
        <v>9165</v>
      </c>
      <c r="AE827" t="s">
        <v>4124</v>
      </c>
      <c r="AF827" t="s">
        <v>12843</v>
      </c>
      <c r="AH827" t="s">
        <v>4124</v>
      </c>
      <c r="AI827" t="s">
        <v>9165</v>
      </c>
      <c r="AO827" t="s">
        <v>12858</v>
      </c>
    </row>
    <row r="828" spans="1:41" hidden="1" x14ac:dyDescent="0.35">
      <c r="A828" t="s">
        <v>12859</v>
      </c>
      <c r="B828" t="s">
        <v>7246</v>
      </c>
      <c r="C828" t="s">
        <v>4136</v>
      </c>
      <c r="D828" t="s">
        <v>4136</v>
      </c>
      <c r="E828" t="s">
        <v>4136</v>
      </c>
      <c r="G828" s="13" t="s">
        <v>12860</v>
      </c>
      <c r="H828" t="s">
        <v>12861</v>
      </c>
      <c r="K828" t="s">
        <v>10372</v>
      </c>
      <c r="L828" t="s">
        <v>6511</v>
      </c>
      <c r="M828" t="s">
        <v>7250</v>
      </c>
      <c r="N828">
        <v>2022</v>
      </c>
      <c r="R828">
        <v>1200</v>
      </c>
      <c r="S828" t="s">
        <v>7251</v>
      </c>
      <c r="T828">
        <v>12.41</v>
      </c>
      <c r="U828">
        <v>5776</v>
      </c>
      <c r="V828">
        <v>7</v>
      </c>
      <c r="W828">
        <v>8.1</v>
      </c>
      <c r="X828">
        <v>7</v>
      </c>
      <c r="Y828">
        <v>42</v>
      </c>
      <c r="Z828" t="s">
        <v>7253</v>
      </c>
      <c r="AB828" t="s">
        <v>10575</v>
      </c>
      <c r="AC828" t="s">
        <v>8859</v>
      </c>
      <c r="AD828" t="s">
        <v>2678</v>
      </c>
      <c r="AF828" t="s">
        <v>10575</v>
      </c>
      <c r="AG828" t="s">
        <v>2678</v>
      </c>
      <c r="AI828" t="s">
        <v>8859</v>
      </c>
      <c r="AO828" t="s">
        <v>12862</v>
      </c>
    </row>
    <row r="829" spans="1:41" hidden="1" x14ac:dyDescent="0.35">
      <c r="A829" t="s">
        <v>12863</v>
      </c>
      <c r="B829" t="s">
        <v>7246</v>
      </c>
      <c r="C829" t="s">
        <v>4136</v>
      </c>
      <c r="D829" t="s">
        <v>4136</v>
      </c>
      <c r="E829" t="s">
        <v>4136</v>
      </c>
      <c r="G829" s="13" t="s">
        <v>12864</v>
      </c>
      <c r="H829" t="s">
        <v>12865</v>
      </c>
      <c r="K829" t="s">
        <v>11566</v>
      </c>
      <c r="L829" t="s">
        <v>11567</v>
      </c>
      <c r="M829" t="s">
        <v>7250</v>
      </c>
      <c r="N829">
        <v>1993</v>
      </c>
      <c r="R829">
        <v>400</v>
      </c>
      <c r="S829" t="s">
        <v>7251</v>
      </c>
      <c r="T829">
        <v>4.1399999999999997</v>
      </c>
      <c r="U829">
        <v>1925.33</v>
      </c>
      <c r="V829">
        <v>175</v>
      </c>
      <c r="W829">
        <v>139.71</v>
      </c>
      <c r="X829">
        <v>175</v>
      </c>
      <c r="Y829">
        <v>24</v>
      </c>
      <c r="Z829" t="s">
        <v>7253</v>
      </c>
      <c r="AA829" t="s">
        <v>12866</v>
      </c>
      <c r="AC829" t="s">
        <v>8859</v>
      </c>
      <c r="AD829" t="s">
        <v>10437</v>
      </c>
      <c r="AF829" t="s">
        <v>10380</v>
      </c>
      <c r="AG829" t="s">
        <v>10381</v>
      </c>
      <c r="AI829" t="s">
        <v>8859</v>
      </c>
      <c r="AO829" t="s">
        <v>12867</v>
      </c>
    </row>
    <row r="830" spans="1:41" hidden="1" x14ac:dyDescent="0.35">
      <c r="A830" t="s">
        <v>12868</v>
      </c>
      <c r="B830" t="s">
        <v>7246</v>
      </c>
      <c r="C830" t="s">
        <v>351</v>
      </c>
      <c r="D830" t="s">
        <v>351</v>
      </c>
      <c r="E830" t="s">
        <v>351</v>
      </c>
      <c r="G830" s="13" t="s">
        <v>12869</v>
      </c>
      <c r="H830" t="s">
        <v>12870</v>
      </c>
      <c r="K830" t="s">
        <v>12871</v>
      </c>
      <c r="L830" t="s">
        <v>12872</v>
      </c>
      <c r="M830" t="s">
        <v>7250</v>
      </c>
      <c r="N830">
        <v>2016</v>
      </c>
      <c r="R830">
        <v>3.65</v>
      </c>
      <c r="S830" t="s">
        <v>8257</v>
      </c>
      <c r="T830">
        <v>3.65</v>
      </c>
      <c r="U830">
        <v>1698.65</v>
      </c>
      <c r="V830">
        <v>77</v>
      </c>
      <c r="W830">
        <v>94.02</v>
      </c>
      <c r="X830">
        <v>77</v>
      </c>
      <c r="Y830">
        <v>24</v>
      </c>
      <c r="Z830" t="s">
        <v>7253</v>
      </c>
      <c r="AA830" t="s">
        <v>12873</v>
      </c>
      <c r="AB830" t="s">
        <v>12874</v>
      </c>
      <c r="AC830" t="s">
        <v>8523</v>
      </c>
      <c r="AE830" t="s">
        <v>10644</v>
      </c>
      <c r="AF830" t="s">
        <v>12875</v>
      </c>
      <c r="AH830" t="s">
        <v>10644</v>
      </c>
      <c r="AI830" t="s">
        <v>8523</v>
      </c>
      <c r="AL830" t="s">
        <v>12876</v>
      </c>
      <c r="AN830" s="13" t="s">
        <v>12877</v>
      </c>
      <c r="AO830" t="s">
        <v>12878</v>
      </c>
    </row>
    <row r="831" spans="1:41" hidden="1" x14ac:dyDescent="0.35">
      <c r="A831" t="s">
        <v>12879</v>
      </c>
      <c r="B831" t="s">
        <v>7246</v>
      </c>
      <c r="C831" t="s">
        <v>5586</v>
      </c>
      <c r="D831" t="s">
        <v>5580</v>
      </c>
      <c r="E831" t="s">
        <v>12880</v>
      </c>
      <c r="G831" s="13" t="s">
        <v>12881</v>
      </c>
      <c r="H831" t="s">
        <v>12882</v>
      </c>
      <c r="J831" t="s">
        <v>12883</v>
      </c>
      <c r="K831" t="s">
        <v>12002</v>
      </c>
      <c r="L831" t="s">
        <v>12002</v>
      </c>
      <c r="M831" t="s">
        <v>7292</v>
      </c>
      <c r="N831">
        <v>2027</v>
      </c>
      <c r="O831">
        <v>2028</v>
      </c>
      <c r="R831">
        <v>81</v>
      </c>
      <c r="S831" t="s">
        <v>12003</v>
      </c>
      <c r="T831">
        <v>2.98</v>
      </c>
      <c r="U831">
        <v>1387.86</v>
      </c>
      <c r="V831">
        <v>65</v>
      </c>
      <c r="W831">
        <v>61.63</v>
      </c>
      <c r="X831">
        <v>65</v>
      </c>
      <c r="Y831">
        <v>20</v>
      </c>
      <c r="Z831" t="s">
        <v>7253</v>
      </c>
      <c r="AB831" t="s">
        <v>12884</v>
      </c>
      <c r="AC831" t="s">
        <v>8777</v>
      </c>
      <c r="AF831" t="s">
        <v>12885</v>
      </c>
      <c r="AI831" t="s">
        <v>8777</v>
      </c>
      <c r="AJ831" t="s">
        <v>9032</v>
      </c>
      <c r="AO831" t="s">
        <v>12886</v>
      </c>
    </row>
    <row r="832" spans="1:41" hidden="1" x14ac:dyDescent="0.35">
      <c r="A832" t="s">
        <v>12887</v>
      </c>
      <c r="B832" t="s">
        <v>7246</v>
      </c>
      <c r="C832" t="s">
        <v>5583</v>
      </c>
      <c r="D832" t="s">
        <v>5583</v>
      </c>
      <c r="E832" t="s">
        <v>5583</v>
      </c>
      <c r="G832" s="13" t="s">
        <v>11896</v>
      </c>
      <c r="H832" t="s">
        <v>11897</v>
      </c>
      <c r="I832" t="s">
        <v>12888</v>
      </c>
      <c r="K832" t="s">
        <v>11898</v>
      </c>
      <c r="L832" t="s">
        <v>11899</v>
      </c>
      <c r="M832" t="s">
        <v>7250</v>
      </c>
      <c r="N832">
        <v>2022</v>
      </c>
      <c r="T832" t="s">
        <v>6546</v>
      </c>
      <c r="U832" t="s">
        <v>6546</v>
      </c>
      <c r="V832">
        <v>58</v>
      </c>
      <c r="W832">
        <v>56.79</v>
      </c>
      <c r="X832">
        <v>58</v>
      </c>
      <c r="Y832">
        <v>27.5</v>
      </c>
      <c r="Z832" t="s">
        <v>7253</v>
      </c>
      <c r="AB832" t="s">
        <v>11900</v>
      </c>
      <c r="AC832" t="s">
        <v>8777</v>
      </c>
      <c r="AF832" t="s">
        <v>11901</v>
      </c>
      <c r="AI832" t="s">
        <v>8777</v>
      </c>
      <c r="AJ832" t="s">
        <v>6407</v>
      </c>
      <c r="AO832" t="s">
        <v>11902</v>
      </c>
    </row>
    <row r="833" spans="1:41" hidden="1" x14ac:dyDescent="0.35">
      <c r="A833" t="s">
        <v>12889</v>
      </c>
      <c r="B833" t="s">
        <v>7246</v>
      </c>
      <c r="C833" t="s">
        <v>5583</v>
      </c>
      <c r="D833" t="s">
        <v>5583</v>
      </c>
      <c r="E833" t="s">
        <v>5583</v>
      </c>
      <c r="G833" s="13" t="s">
        <v>12890</v>
      </c>
      <c r="H833" t="s">
        <v>12891</v>
      </c>
      <c r="K833" t="s">
        <v>11898</v>
      </c>
      <c r="L833" t="s">
        <v>11899</v>
      </c>
      <c r="M833" t="s">
        <v>7250</v>
      </c>
      <c r="N833">
        <v>2020</v>
      </c>
      <c r="R833">
        <v>20</v>
      </c>
      <c r="S833" t="s">
        <v>8257</v>
      </c>
      <c r="T833">
        <v>20</v>
      </c>
      <c r="U833">
        <v>9307.67</v>
      </c>
      <c r="V833">
        <v>474</v>
      </c>
      <c r="W833">
        <v>460</v>
      </c>
      <c r="X833">
        <v>474</v>
      </c>
      <c r="AB833" t="s">
        <v>12892</v>
      </c>
      <c r="AC833" t="s">
        <v>8777</v>
      </c>
      <c r="AF833" t="s">
        <v>12893</v>
      </c>
      <c r="AI833" t="s">
        <v>8777</v>
      </c>
      <c r="AO833" t="s">
        <v>12894</v>
      </c>
    </row>
    <row r="834" spans="1:41" hidden="1" x14ac:dyDescent="0.35">
      <c r="A834" t="s">
        <v>12895</v>
      </c>
      <c r="B834" t="s">
        <v>7246</v>
      </c>
      <c r="C834" t="s">
        <v>5583</v>
      </c>
      <c r="D834" t="s">
        <v>5583</v>
      </c>
      <c r="E834" t="s">
        <v>5583</v>
      </c>
      <c r="G834" s="13" t="s">
        <v>12896</v>
      </c>
      <c r="H834" t="s">
        <v>12897</v>
      </c>
      <c r="K834" t="s">
        <v>11898</v>
      </c>
      <c r="L834" t="s">
        <v>11899</v>
      </c>
      <c r="M834" t="s">
        <v>7250</v>
      </c>
      <c r="N834">
        <v>2016</v>
      </c>
      <c r="R834">
        <v>0.35</v>
      </c>
      <c r="S834" t="s">
        <v>8257</v>
      </c>
      <c r="T834">
        <v>0.35</v>
      </c>
      <c r="U834">
        <v>162.88</v>
      </c>
      <c r="V834">
        <v>70</v>
      </c>
      <c r="W834">
        <v>70.510000000000005</v>
      </c>
      <c r="X834">
        <v>70</v>
      </c>
      <c r="AA834" t="s">
        <v>12898</v>
      </c>
      <c r="AB834" t="s">
        <v>12899</v>
      </c>
      <c r="AC834" t="s">
        <v>8777</v>
      </c>
      <c r="AF834" t="s">
        <v>12900</v>
      </c>
      <c r="AI834" t="s">
        <v>8777</v>
      </c>
      <c r="AO834" t="s">
        <v>12901</v>
      </c>
    </row>
    <row r="835" spans="1:41" hidden="1" x14ac:dyDescent="0.35">
      <c r="A835" t="s">
        <v>12902</v>
      </c>
      <c r="B835" t="s">
        <v>7246</v>
      </c>
      <c r="C835" t="s">
        <v>5583</v>
      </c>
      <c r="D835" t="s">
        <v>5583</v>
      </c>
      <c r="E835" t="s">
        <v>5583</v>
      </c>
      <c r="G835" s="13" t="s">
        <v>12903</v>
      </c>
      <c r="H835" t="s">
        <v>12904</v>
      </c>
      <c r="K835" t="s">
        <v>11898</v>
      </c>
      <c r="L835" t="s">
        <v>11899</v>
      </c>
      <c r="M835" t="s">
        <v>7250</v>
      </c>
      <c r="N835">
        <v>2015</v>
      </c>
      <c r="R835">
        <v>0.88</v>
      </c>
      <c r="S835" t="s">
        <v>8257</v>
      </c>
      <c r="T835">
        <v>0.88</v>
      </c>
      <c r="U835">
        <v>409.54</v>
      </c>
      <c r="V835">
        <v>80</v>
      </c>
      <c r="W835">
        <v>72.86</v>
      </c>
      <c r="X835">
        <v>80</v>
      </c>
      <c r="AB835" t="s">
        <v>12905</v>
      </c>
      <c r="AC835" t="s">
        <v>8777</v>
      </c>
      <c r="AF835" t="s">
        <v>12906</v>
      </c>
      <c r="AI835" t="s">
        <v>8777</v>
      </c>
      <c r="AO835" t="s">
        <v>12907</v>
      </c>
    </row>
    <row r="836" spans="1:41" hidden="1" x14ac:dyDescent="0.35">
      <c r="A836" t="s">
        <v>12908</v>
      </c>
      <c r="B836" t="s">
        <v>7246</v>
      </c>
      <c r="C836" t="s">
        <v>5583</v>
      </c>
      <c r="D836" t="s">
        <v>5583</v>
      </c>
      <c r="E836" t="s">
        <v>5583</v>
      </c>
      <c r="G836" s="13" t="s">
        <v>12909</v>
      </c>
      <c r="H836" t="s">
        <v>12910</v>
      </c>
      <c r="J836" t="s">
        <v>12911</v>
      </c>
      <c r="K836" t="s">
        <v>11898</v>
      </c>
      <c r="L836" t="s">
        <v>11899</v>
      </c>
      <c r="M836" t="s">
        <v>7292</v>
      </c>
      <c r="N836">
        <v>2023</v>
      </c>
      <c r="O836">
        <v>2025</v>
      </c>
      <c r="R836">
        <v>0.26</v>
      </c>
      <c r="S836" t="s">
        <v>8257</v>
      </c>
      <c r="T836">
        <v>0.26</v>
      </c>
      <c r="U836">
        <v>121</v>
      </c>
      <c r="V836">
        <v>37</v>
      </c>
      <c r="W836">
        <v>5.43</v>
      </c>
      <c r="X836">
        <v>37</v>
      </c>
      <c r="Y836">
        <v>10</v>
      </c>
      <c r="Z836" t="s">
        <v>7253</v>
      </c>
      <c r="AC836" t="s">
        <v>8777</v>
      </c>
      <c r="AF836" t="s">
        <v>12912</v>
      </c>
      <c r="AI836" t="s">
        <v>8777</v>
      </c>
      <c r="AJ836" t="s">
        <v>9032</v>
      </c>
      <c r="AO836" t="s">
        <v>12913</v>
      </c>
    </row>
    <row r="837" spans="1:41" hidden="1" x14ac:dyDescent="0.35">
      <c r="A837" t="s">
        <v>12914</v>
      </c>
      <c r="B837" t="s">
        <v>7246</v>
      </c>
      <c r="C837" t="s">
        <v>5583</v>
      </c>
      <c r="D837" t="s">
        <v>5583</v>
      </c>
      <c r="E837" t="s">
        <v>5583</v>
      </c>
      <c r="G837" s="13" t="s">
        <v>12915</v>
      </c>
      <c r="H837" t="s">
        <v>12916</v>
      </c>
      <c r="K837" t="s">
        <v>11898</v>
      </c>
      <c r="L837" t="s">
        <v>11899</v>
      </c>
      <c r="M837" t="s">
        <v>7415</v>
      </c>
      <c r="N837">
        <v>2021</v>
      </c>
      <c r="O837">
        <v>2022</v>
      </c>
      <c r="R837">
        <v>0.22</v>
      </c>
      <c r="S837" t="s">
        <v>8257</v>
      </c>
      <c r="T837">
        <v>0.22</v>
      </c>
      <c r="U837">
        <v>102.38</v>
      </c>
      <c r="V837">
        <v>62</v>
      </c>
      <c r="W837">
        <v>54.43</v>
      </c>
      <c r="X837">
        <v>62</v>
      </c>
      <c r="Y837">
        <v>10</v>
      </c>
      <c r="Z837" t="s">
        <v>7253</v>
      </c>
      <c r="AC837" t="s">
        <v>8777</v>
      </c>
      <c r="AI837" t="s">
        <v>8777</v>
      </c>
      <c r="AJ837" t="s">
        <v>6407</v>
      </c>
      <c r="AL837" t="s">
        <v>12917</v>
      </c>
      <c r="AO837" t="s">
        <v>12918</v>
      </c>
    </row>
    <row r="838" spans="1:41" hidden="1" x14ac:dyDescent="0.35">
      <c r="A838" t="s">
        <v>12919</v>
      </c>
      <c r="B838" t="s">
        <v>7246</v>
      </c>
      <c r="C838" t="s">
        <v>5583</v>
      </c>
      <c r="D838" t="s">
        <v>5583</v>
      </c>
      <c r="E838" t="s">
        <v>5583</v>
      </c>
      <c r="G838" s="13" t="s">
        <v>12920</v>
      </c>
      <c r="H838" t="s">
        <v>12921</v>
      </c>
      <c r="K838" t="s">
        <v>11898</v>
      </c>
      <c r="L838" t="s">
        <v>11899</v>
      </c>
      <c r="M838" t="s">
        <v>7292</v>
      </c>
      <c r="T838" t="s">
        <v>6546</v>
      </c>
      <c r="U838" t="s">
        <v>6546</v>
      </c>
      <c r="V838">
        <v>54</v>
      </c>
      <c r="W838">
        <v>46.4</v>
      </c>
      <c r="X838">
        <v>54</v>
      </c>
      <c r="AB838" t="s">
        <v>12922</v>
      </c>
      <c r="AC838" t="s">
        <v>8777</v>
      </c>
      <c r="AF838" t="s">
        <v>12923</v>
      </c>
      <c r="AI838" t="s">
        <v>8777</v>
      </c>
      <c r="AJ838" t="s">
        <v>9032</v>
      </c>
      <c r="AO838" t="s">
        <v>12924</v>
      </c>
    </row>
    <row r="839" spans="1:41" hidden="1" x14ac:dyDescent="0.35">
      <c r="A839" t="s">
        <v>12925</v>
      </c>
      <c r="B839" t="s">
        <v>7246</v>
      </c>
      <c r="C839" t="s">
        <v>5583</v>
      </c>
      <c r="D839" t="s">
        <v>5583</v>
      </c>
      <c r="E839" t="s">
        <v>5583</v>
      </c>
      <c r="G839" s="13" t="s">
        <v>12926</v>
      </c>
      <c r="H839" t="s">
        <v>12927</v>
      </c>
      <c r="K839" t="s">
        <v>11898</v>
      </c>
      <c r="L839" t="s">
        <v>11899</v>
      </c>
      <c r="M839" t="s">
        <v>7731</v>
      </c>
      <c r="N839">
        <v>2022</v>
      </c>
      <c r="T839" t="s">
        <v>6546</v>
      </c>
      <c r="U839" t="s">
        <v>6546</v>
      </c>
      <c r="V839">
        <v>844</v>
      </c>
      <c r="W839">
        <v>372.05</v>
      </c>
      <c r="X839">
        <v>844</v>
      </c>
      <c r="Y839">
        <v>47.24</v>
      </c>
      <c r="Z839" t="s">
        <v>7253</v>
      </c>
      <c r="AC839" t="s">
        <v>8777</v>
      </c>
      <c r="AI839" t="s">
        <v>8777</v>
      </c>
      <c r="AJ839" t="s">
        <v>9032</v>
      </c>
      <c r="AO839" t="s">
        <v>12928</v>
      </c>
    </row>
    <row r="840" spans="1:41" hidden="1" x14ac:dyDescent="0.35">
      <c r="A840" t="s">
        <v>12929</v>
      </c>
      <c r="B840" t="s">
        <v>7246</v>
      </c>
      <c r="C840" t="s">
        <v>368</v>
      </c>
      <c r="D840" t="s">
        <v>368</v>
      </c>
      <c r="E840" t="s">
        <v>368</v>
      </c>
      <c r="G840" s="13" t="s">
        <v>12930</v>
      </c>
      <c r="H840" t="s">
        <v>12931</v>
      </c>
      <c r="K840" t="s">
        <v>12932</v>
      </c>
      <c r="L840" t="s">
        <v>12932</v>
      </c>
      <c r="M840" t="s">
        <v>7250</v>
      </c>
      <c r="N840">
        <v>2020</v>
      </c>
      <c r="R840">
        <v>1700</v>
      </c>
      <c r="S840" t="s">
        <v>7251</v>
      </c>
      <c r="T840">
        <v>17.579999999999998</v>
      </c>
      <c r="U840">
        <v>8182.67</v>
      </c>
      <c r="V840">
        <v>350</v>
      </c>
      <c r="W840">
        <v>308.83</v>
      </c>
      <c r="X840">
        <v>350</v>
      </c>
      <c r="AB840" t="s">
        <v>12933</v>
      </c>
      <c r="AC840" t="s">
        <v>7255</v>
      </c>
      <c r="AE840" t="s">
        <v>1020</v>
      </c>
      <c r="AH840" t="s">
        <v>1020</v>
      </c>
      <c r="AI840" t="s">
        <v>7255</v>
      </c>
      <c r="AO840" t="s">
        <v>12934</v>
      </c>
    </row>
    <row r="841" spans="1:41" hidden="1" x14ac:dyDescent="0.35">
      <c r="A841" t="s">
        <v>12935</v>
      </c>
      <c r="B841" t="s">
        <v>7246</v>
      </c>
      <c r="C841" t="s">
        <v>368</v>
      </c>
      <c r="D841" t="s">
        <v>368</v>
      </c>
      <c r="E841" t="s">
        <v>368</v>
      </c>
      <c r="G841" s="13" t="s">
        <v>12936</v>
      </c>
      <c r="H841" t="s">
        <v>12937</v>
      </c>
      <c r="K841" t="s">
        <v>12938</v>
      </c>
      <c r="L841" t="s">
        <v>12938</v>
      </c>
      <c r="M841" t="s">
        <v>7250</v>
      </c>
      <c r="N841">
        <v>2019</v>
      </c>
      <c r="R841">
        <v>150</v>
      </c>
      <c r="S841" t="s">
        <v>7251</v>
      </c>
      <c r="T841">
        <v>1.55</v>
      </c>
      <c r="U841">
        <v>722</v>
      </c>
      <c r="V841">
        <v>33.799999999999997</v>
      </c>
      <c r="W841">
        <v>26.87</v>
      </c>
      <c r="X841">
        <v>33.799999999999997</v>
      </c>
      <c r="AB841" t="s">
        <v>1064</v>
      </c>
      <c r="AC841" t="s">
        <v>7255</v>
      </c>
      <c r="AE841" t="s">
        <v>989</v>
      </c>
      <c r="AF841" t="s">
        <v>1064</v>
      </c>
      <c r="AH841" t="s">
        <v>989</v>
      </c>
      <c r="AI841" t="s">
        <v>7255</v>
      </c>
      <c r="AO841" t="s">
        <v>12939</v>
      </c>
    </row>
    <row r="842" spans="1:41" hidden="1" x14ac:dyDescent="0.35">
      <c r="A842" t="s">
        <v>12940</v>
      </c>
      <c r="B842" t="s">
        <v>7246</v>
      </c>
      <c r="C842" t="s">
        <v>368</v>
      </c>
      <c r="D842" t="s">
        <v>451</v>
      </c>
      <c r="E842" t="s">
        <v>7309</v>
      </c>
      <c r="G842" s="13" t="s">
        <v>12941</v>
      </c>
      <c r="H842" t="s">
        <v>12942</v>
      </c>
      <c r="K842" t="s">
        <v>12943</v>
      </c>
      <c r="L842" t="s">
        <v>12944</v>
      </c>
      <c r="M842" t="s">
        <v>7250</v>
      </c>
      <c r="N842">
        <v>1982</v>
      </c>
      <c r="R842">
        <v>2400</v>
      </c>
      <c r="S842" t="s">
        <v>7251</v>
      </c>
      <c r="T842">
        <v>24.82</v>
      </c>
      <c r="U842">
        <v>11552</v>
      </c>
      <c r="V842">
        <v>2266</v>
      </c>
      <c r="W842">
        <v>2095.77</v>
      </c>
      <c r="X842">
        <v>2266</v>
      </c>
      <c r="AB842" t="s">
        <v>12945</v>
      </c>
      <c r="AC842" t="s">
        <v>7255</v>
      </c>
      <c r="AE842" t="s">
        <v>667</v>
      </c>
      <c r="AF842" t="s">
        <v>12946</v>
      </c>
      <c r="AH842" t="s">
        <v>508</v>
      </c>
      <c r="AI842" t="s">
        <v>7255</v>
      </c>
      <c r="AO842" t="s">
        <v>12947</v>
      </c>
    </row>
    <row r="843" spans="1:41" hidden="1" x14ac:dyDescent="0.35">
      <c r="A843" t="s">
        <v>12948</v>
      </c>
      <c r="B843" t="s">
        <v>7246</v>
      </c>
      <c r="C843" t="s">
        <v>368</v>
      </c>
      <c r="D843" t="s">
        <v>368</v>
      </c>
      <c r="E843" t="s">
        <v>368</v>
      </c>
      <c r="G843" s="13" t="s">
        <v>12949</v>
      </c>
      <c r="H843" t="s">
        <v>12950</v>
      </c>
      <c r="K843" t="s">
        <v>12951</v>
      </c>
      <c r="L843" t="s">
        <v>12951</v>
      </c>
      <c r="M843" t="s">
        <v>7250</v>
      </c>
      <c r="N843">
        <v>2018</v>
      </c>
      <c r="T843" t="s">
        <v>6546</v>
      </c>
      <c r="U843" t="s">
        <v>6546</v>
      </c>
      <c r="V843" t="s">
        <v>6546</v>
      </c>
      <c r="W843">
        <v>10.94</v>
      </c>
      <c r="X843">
        <v>10.94</v>
      </c>
      <c r="AC843" t="s">
        <v>7255</v>
      </c>
      <c r="AE843" t="s">
        <v>1023</v>
      </c>
      <c r="AH843" t="s">
        <v>1023</v>
      </c>
      <c r="AI843" t="s">
        <v>7255</v>
      </c>
      <c r="AO843" t="s">
        <v>12952</v>
      </c>
    </row>
    <row r="844" spans="1:41" hidden="1" x14ac:dyDescent="0.35">
      <c r="A844" t="s">
        <v>12953</v>
      </c>
      <c r="B844" t="s">
        <v>7246</v>
      </c>
      <c r="C844" t="s">
        <v>4136</v>
      </c>
      <c r="D844" t="s">
        <v>4136</v>
      </c>
      <c r="E844" t="s">
        <v>4136</v>
      </c>
      <c r="G844" s="13" t="s">
        <v>12954</v>
      </c>
      <c r="H844" t="s">
        <v>12955</v>
      </c>
      <c r="K844" t="s">
        <v>10479</v>
      </c>
      <c r="L844" t="s">
        <v>6511</v>
      </c>
      <c r="M844" t="s">
        <v>7250</v>
      </c>
      <c r="N844">
        <v>2011</v>
      </c>
      <c r="R844">
        <v>70</v>
      </c>
      <c r="S844" t="s">
        <v>7251</v>
      </c>
      <c r="T844">
        <v>0.72</v>
      </c>
      <c r="U844">
        <v>336.93</v>
      </c>
      <c r="V844">
        <v>56</v>
      </c>
      <c r="W844">
        <v>54.83</v>
      </c>
      <c r="X844">
        <v>56</v>
      </c>
      <c r="Y844">
        <v>10</v>
      </c>
      <c r="Z844" t="s">
        <v>7253</v>
      </c>
      <c r="AA844" t="s">
        <v>12956</v>
      </c>
      <c r="AC844" t="s">
        <v>8859</v>
      </c>
      <c r="AD844" t="s">
        <v>12957</v>
      </c>
      <c r="AF844" t="s">
        <v>10374</v>
      </c>
      <c r="AG844" t="s">
        <v>2678</v>
      </c>
      <c r="AI844" t="s">
        <v>8859</v>
      </c>
      <c r="AO844" t="s">
        <v>12958</v>
      </c>
    </row>
    <row r="845" spans="1:41" hidden="1" x14ac:dyDescent="0.35">
      <c r="A845" t="s">
        <v>12959</v>
      </c>
      <c r="B845" t="s">
        <v>7246</v>
      </c>
      <c r="C845" t="s">
        <v>396</v>
      </c>
      <c r="D845" t="s">
        <v>396</v>
      </c>
      <c r="E845" t="s">
        <v>396</v>
      </c>
      <c r="G845" s="13" t="s">
        <v>12960</v>
      </c>
      <c r="H845" t="s">
        <v>12961</v>
      </c>
      <c r="K845" t="s">
        <v>7077</v>
      </c>
      <c r="L845" t="s">
        <v>7077</v>
      </c>
      <c r="M845" t="s">
        <v>7250</v>
      </c>
      <c r="N845">
        <v>2002</v>
      </c>
      <c r="T845" t="s">
        <v>6546</v>
      </c>
      <c r="U845" t="s">
        <v>6546</v>
      </c>
      <c r="V845" t="s">
        <v>6546</v>
      </c>
      <c r="W845">
        <v>20.28</v>
      </c>
      <c r="X845">
        <v>20.28</v>
      </c>
      <c r="AB845" t="s">
        <v>12962</v>
      </c>
      <c r="AC845" t="s">
        <v>9852</v>
      </c>
      <c r="AF845" t="s">
        <v>12963</v>
      </c>
      <c r="AI845" t="s">
        <v>9852</v>
      </c>
      <c r="AO845" t="s">
        <v>12964</v>
      </c>
    </row>
    <row r="846" spans="1:41" hidden="1" x14ac:dyDescent="0.35">
      <c r="A846" t="s">
        <v>12965</v>
      </c>
      <c r="B846" t="s">
        <v>7246</v>
      </c>
      <c r="C846" t="s">
        <v>396</v>
      </c>
      <c r="D846" t="s">
        <v>396</v>
      </c>
      <c r="E846" t="s">
        <v>396</v>
      </c>
      <c r="G846" s="13" t="s">
        <v>12966</v>
      </c>
      <c r="H846" t="s">
        <v>12967</v>
      </c>
      <c r="K846" t="s">
        <v>7101</v>
      </c>
      <c r="L846" t="s">
        <v>7101</v>
      </c>
      <c r="M846" t="s">
        <v>7250</v>
      </c>
      <c r="T846" t="s">
        <v>6546</v>
      </c>
      <c r="U846" t="s">
        <v>6546</v>
      </c>
      <c r="V846" t="s">
        <v>6546</v>
      </c>
      <c r="W846" t="s">
        <v>6546</v>
      </c>
      <c r="X846" t="s">
        <v>6546</v>
      </c>
      <c r="AC846" t="s">
        <v>9852</v>
      </c>
      <c r="AI846" t="s">
        <v>9852</v>
      </c>
      <c r="AO846" t="s">
        <v>6546</v>
      </c>
    </row>
    <row r="847" spans="1:41" hidden="1" x14ac:dyDescent="0.35">
      <c r="A847" t="s">
        <v>12968</v>
      </c>
      <c r="B847" t="s">
        <v>7246</v>
      </c>
      <c r="C847" t="s">
        <v>12969</v>
      </c>
      <c r="D847" t="s">
        <v>24</v>
      </c>
      <c r="E847" t="s">
        <v>12970</v>
      </c>
      <c r="G847" s="13" t="s">
        <v>12971</v>
      </c>
      <c r="H847" t="s">
        <v>12972</v>
      </c>
      <c r="K847" t="s">
        <v>12973</v>
      </c>
      <c r="L847" t="s">
        <v>12973</v>
      </c>
      <c r="M847" t="s">
        <v>7269</v>
      </c>
      <c r="R847">
        <v>633.4</v>
      </c>
      <c r="S847" t="s">
        <v>7251</v>
      </c>
      <c r="T847">
        <v>6.55</v>
      </c>
      <c r="U847">
        <v>3048.77</v>
      </c>
      <c r="V847">
        <v>4000</v>
      </c>
      <c r="W847">
        <v>2247.13</v>
      </c>
      <c r="X847">
        <v>4000</v>
      </c>
      <c r="AA847" t="s">
        <v>12974</v>
      </c>
      <c r="AC847" t="s">
        <v>10816</v>
      </c>
      <c r="AE847" t="s">
        <v>12969</v>
      </c>
      <c r="AF847" t="s">
        <v>6432</v>
      </c>
      <c r="AH847" t="s">
        <v>2973</v>
      </c>
      <c r="AI847" t="s">
        <v>9165</v>
      </c>
      <c r="AO847" t="s">
        <v>12975</v>
      </c>
    </row>
    <row r="848" spans="1:41" x14ac:dyDescent="0.35">
      <c r="A848" t="s">
        <v>12976</v>
      </c>
      <c r="B848" t="s">
        <v>7246</v>
      </c>
      <c r="C848" t="s">
        <v>24</v>
      </c>
      <c r="D848" t="s">
        <v>24</v>
      </c>
      <c r="E848" t="s">
        <v>24</v>
      </c>
      <c r="F848" t="s">
        <v>354</v>
      </c>
      <c r="G848" s="13" t="s">
        <v>12977</v>
      </c>
      <c r="H848" t="s">
        <v>12978</v>
      </c>
      <c r="J848" t="s">
        <v>12979</v>
      </c>
      <c r="K848" t="s">
        <v>9163</v>
      </c>
      <c r="L848" t="s">
        <v>9163</v>
      </c>
      <c r="M848" t="s">
        <v>7250</v>
      </c>
      <c r="N848">
        <v>1972</v>
      </c>
      <c r="R848">
        <v>70</v>
      </c>
      <c r="S848" t="s">
        <v>9164</v>
      </c>
      <c r="T848">
        <v>0.72</v>
      </c>
      <c r="U848">
        <v>333.16</v>
      </c>
      <c r="V848">
        <v>445</v>
      </c>
      <c r="W848">
        <v>419.01</v>
      </c>
      <c r="X848">
        <v>445</v>
      </c>
      <c r="AA848" t="s">
        <v>12980</v>
      </c>
      <c r="AB848" t="s">
        <v>12981</v>
      </c>
      <c r="AC848" t="s">
        <v>9165</v>
      </c>
      <c r="AE848" t="s">
        <v>6388</v>
      </c>
      <c r="AF848" t="s">
        <v>12982</v>
      </c>
      <c r="AH848" t="s">
        <v>6388</v>
      </c>
      <c r="AI848" t="s">
        <v>9165</v>
      </c>
      <c r="AO848" t="s">
        <v>12983</v>
      </c>
    </row>
    <row r="849" spans="1:41" hidden="1" x14ac:dyDescent="0.35">
      <c r="A849" t="s">
        <v>12984</v>
      </c>
      <c r="B849" t="s">
        <v>7246</v>
      </c>
      <c r="C849" t="s">
        <v>396</v>
      </c>
      <c r="D849" t="s">
        <v>396</v>
      </c>
      <c r="E849" t="s">
        <v>396</v>
      </c>
      <c r="G849" s="13" t="s">
        <v>12985</v>
      </c>
      <c r="H849" t="s">
        <v>12986</v>
      </c>
      <c r="K849" t="s">
        <v>7052</v>
      </c>
      <c r="L849" t="s">
        <v>7052</v>
      </c>
      <c r="M849" t="s">
        <v>7250</v>
      </c>
      <c r="N849">
        <v>1999</v>
      </c>
      <c r="O849">
        <v>2010</v>
      </c>
      <c r="T849" t="s">
        <v>6546</v>
      </c>
      <c r="U849" t="s">
        <v>6546</v>
      </c>
      <c r="V849">
        <v>75</v>
      </c>
      <c r="W849">
        <v>55.91</v>
      </c>
      <c r="X849">
        <v>75</v>
      </c>
      <c r="AB849" t="s">
        <v>11343</v>
      </c>
      <c r="AC849" t="s">
        <v>9852</v>
      </c>
      <c r="AD849" t="s">
        <v>11344</v>
      </c>
      <c r="AE849" t="s">
        <v>11345</v>
      </c>
      <c r="AF849" t="s">
        <v>11375</v>
      </c>
      <c r="AG849" t="s">
        <v>11382</v>
      </c>
      <c r="AH849" t="s">
        <v>11376</v>
      </c>
      <c r="AI849" t="s">
        <v>9852</v>
      </c>
      <c r="AO849" t="s">
        <v>12987</v>
      </c>
    </row>
    <row r="850" spans="1:41" hidden="1" x14ac:dyDescent="0.35">
      <c r="A850" t="s">
        <v>12988</v>
      </c>
      <c r="B850" t="s">
        <v>7246</v>
      </c>
      <c r="C850" t="s">
        <v>396</v>
      </c>
      <c r="D850" t="s">
        <v>396</v>
      </c>
      <c r="E850" t="s">
        <v>396</v>
      </c>
      <c r="G850" s="13" t="s">
        <v>12989</v>
      </c>
      <c r="H850" t="s">
        <v>12990</v>
      </c>
      <c r="K850" t="s">
        <v>7052</v>
      </c>
      <c r="L850" t="s">
        <v>7052</v>
      </c>
      <c r="M850" t="s">
        <v>7250</v>
      </c>
      <c r="N850">
        <v>2002</v>
      </c>
      <c r="T850" t="s">
        <v>6546</v>
      </c>
      <c r="U850" t="s">
        <v>6546</v>
      </c>
      <c r="V850">
        <v>90</v>
      </c>
      <c r="W850">
        <v>896.09</v>
      </c>
      <c r="X850">
        <v>90</v>
      </c>
      <c r="AB850" t="s">
        <v>12991</v>
      </c>
      <c r="AC850" t="s">
        <v>9852</v>
      </c>
      <c r="AD850" t="s">
        <v>7051</v>
      </c>
      <c r="AF850" t="s">
        <v>12992</v>
      </c>
      <c r="AG850" t="s">
        <v>7051</v>
      </c>
      <c r="AI850" t="s">
        <v>9852</v>
      </c>
      <c r="AO850" t="s">
        <v>12993</v>
      </c>
    </row>
    <row r="851" spans="1:41" x14ac:dyDescent="0.35">
      <c r="A851" t="s">
        <v>12994</v>
      </c>
      <c r="B851" t="s">
        <v>7246</v>
      </c>
      <c r="C851" t="s">
        <v>24</v>
      </c>
      <c r="D851" t="s">
        <v>24</v>
      </c>
      <c r="E851" t="s">
        <v>24</v>
      </c>
      <c r="F851" t="s">
        <v>354</v>
      </c>
      <c r="G851" s="13" t="s">
        <v>12995</v>
      </c>
      <c r="H851" t="s">
        <v>12996</v>
      </c>
      <c r="K851" t="s">
        <v>9163</v>
      </c>
      <c r="L851" t="s">
        <v>9163</v>
      </c>
      <c r="M851" t="s">
        <v>7250</v>
      </c>
      <c r="N851">
        <v>1995</v>
      </c>
      <c r="R851">
        <v>166</v>
      </c>
      <c r="S851" t="s">
        <v>9164</v>
      </c>
      <c r="T851">
        <v>1.7</v>
      </c>
      <c r="U851">
        <v>790.07</v>
      </c>
      <c r="V851">
        <v>251.2</v>
      </c>
      <c r="W851">
        <v>213.79</v>
      </c>
      <c r="X851">
        <v>251.2</v>
      </c>
      <c r="AB851" t="s">
        <v>1103</v>
      </c>
      <c r="AC851" t="s">
        <v>9165</v>
      </c>
      <c r="AE851" t="s">
        <v>6388</v>
      </c>
      <c r="AF851" t="s">
        <v>12997</v>
      </c>
      <c r="AH851" t="s">
        <v>6388</v>
      </c>
      <c r="AI851" t="s">
        <v>9165</v>
      </c>
      <c r="AO851" t="s">
        <v>12998</v>
      </c>
    </row>
    <row r="852" spans="1:41" hidden="1" x14ac:dyDescent="0.35">
      <c r="A852" t="s">
        <v>12999</v>
      </c>
      <c r="B852" t="s">
        <v>7246</v>
      </c>
      <c r="C852" t="s">
        <v>396</v>
      </c>
      <c r="D852" t="s">
        <v>396</v>
      </c>
      <c r="E852" t="s">
        <v>396</v>
      </c>
      <c r="G852" s="13" t="s">
        <v>13000</v>
      </c>
      <c r="H852" t="s">
        <v>13001</v>
      </c>
      <c r="K852" t="s">
        <v>7077</v>
      </c>
      <c r="L852" t="s">
        <v>7077</v>
      </c>
      <c r="M852" t="s">
        <v>7250</v>
      </c>
      <c r="N852">
        <v>2010</v>
      </c>
      <c r="T852" t="s">
        <v>6546</v>
      </c>
      <c r="U852" t="s">
        <v>6546</v>
      </c>
      <c r="V852">
        <v>15</v>
      </c>
      <c r="W852">
        <v>10.63</v>
      </c>
      <c r="X852">
        <v>15</v>
      </c>
      <c r="AB852" t="s">
        <v>13002</v>
      </c>
      <c r="AC852" t="s">
        <v>9852</v>
      </c>
      <c r="AD852" t="s">
        <v>13003</v>
      </c>
      <c r="AF852" t="s">
        <v>13004</v>
      </c>
      <c r="AG852" t="s">
        <v>13003</v>
      </c>
      <c r="AI852" t="s">
        <v>9852</v>
      </c>
      <c r="AO852" t="s">
        <v>13005</v>
      </c>
    </row>
    <row r="853" spans="1:41" hidden="1" x14ac:dyDescent="0.35">
      <c r="A853" t="s">
        <v>13006</v>
      </c>
      <c r="B853" t="s">
        <v>7246</v>
      </c>
      <c r="C853" t="s">
        <v>396</v>
      </c>
      <c r="D853" t="s">
        <v>396</v>
      </c>
      <c r="E853" t="s">
        <v>396</v>
      </c>
      <c r="G853" s="13" t="s">
        <v>13007</v>
      </c>
      <c r="H853" t="s">
        <v>13008</v>
      </c>
      <c r="K853" t="s">
        <v>7113</v>
      </c>
      <c r="L853" t="s">
        <v>7113</v>
      </c>
      <c r="M853" t="s">
        <v>7250</v>
      </c>
      <c r="N853">
        <v>2020</v>
      </c>
      <c r="T853" t="s">
        <v>6546</v>
      </c>
      <c r="U853" t="s">
        <v>6546</v>
      </c>
      <c r="V853">
        <v>4</v>
      </c>
      <c r="W853">
        <v>3.79</v>
      </c>
      <c r="X853">
        <v>4</v>
      </c>
      <c r="AB853" t="s">
        <v>5102</v>
      </c>
      <c r="AC853" t="s">
        <v>9852</v>
      </c>
      <c r="AD853" t="s">
        <v>11258</v>
      </c>
      <c r="AE853" t="s">
        <v>5103</v>
      </c>
      <c r="AF853" t="s">
        <v>5102</v>
      </c>
      <c r="AG853" t="s">
        <v>11258</v>
      </c>
      <c r="AH853" t="s">
        <v>5103</v>
      </c>
      <c r="AI853" t="s">
        <v>9852</v>
      </c>
      <c r="AO853" t="s">
        <v>13009</v>
      </c>
    </row>
    <row r="854" spans="1:41" hidden="1" x14ac:dyDescent="0.35">
      <c r="A854" t="s">
        <v>13010</v>
      </c>
      <c r="B854" t="s">
        <v>7246</v>
      </c>
      <c r="C854" t="s">
        <v>396</v>
      </c>
      <c r="D854" t="s">
        <v>396</v>
      </c>
      <c r="E854" t="s">
        <v>396</v>
      </c>
      <c r="G854" s="13" t="s">
        <v>13011</v>
      </c>
      <c r="H854" t="s">
        <v>13012</v>
      </c>
      <c r="K854" t="s">
        <v>7113</v>
      </c>
      <c r="L854" t="s">
        <v>7113</v>
      </c>
      <c r="M854" t="s">
        <v>7250</v>
      </c>
      <c r="N854">
        <v>2014</v>
      </c>
      <c r="T854" t="s">
        <v>6546</v>
      </c>
      <c r="U854" t="s">
        <v>6546</v>
      </c>
      <c r="V854">
        <v>85</v>
      </c>
      <c r="W854">
        <v>94.58</v>
      </c>
      <c r="X854">
        <v>85</v>
      </c>
      <c r="AB854" t="s">
        <v>5102</v>
      </c>
      <c r="AC854" t="s">
        <v>9852</v>
      </c>
      <c r="AD854" t="s">
        <v>11258</v>
      </c>
      <c r="AE854" t="s">
        <v>5103</v>
      </c>
      <c r="AF854" t="s">
        <v>13013</v>
      </c>
      <c r="AG854" t="s">
        <v>13013</v>
      </c>
      <c r="AH854" t="s">
        <v>11258</v>
      </c>
      <c r="AI854" t="s">
        <v>9852</v>
      </c>
      <c r="AO854" t="s">
        <v>13014</v>
      </c>
    </row>
    <row r="855" spans="1:41" hidden="1" x14ac:dyDescent="0.35">
      <c r="A855" t="s">
        <v>13015</v>
      </c>
      <c r="B855" t="s">
        <v>7246</v>
      </c>
      <c r="C855" t="s">
        <v>396</v>
      </c>
      <c r="D855" t="s">
        <v>396</v>
      </c>
      <c r="E855" t="s">
        <v>396</v>
      </c>
      <c r="G855" s="13" t="s">
        <v>13016</v>
      </c>
      <c r="H855" t="s">
        <v>13017</v>
      </c>
      <c r="J855" t="s">
        <v>13018</v>
      </c>
      <c r="K855" t="s">
        <v>7077</v>
      </c>
      <c r="L855" t="s">
        <v>7077</v>
      </c>
      <c r="M855" t="s">
        <v>7250</v>
      </c>
      <c r="N855">
        <v>2021</v>
      </c>
      <c r="T855" t="s">
        <v>6546</v>
      </c>
      <c r="U855" t="s">
        <v>6546</v>
      </c>
      <c r="V855">
        <v>92</v>
      </c>
      <c r="W855">
        <v>68.599999999999994</v>
      </c>
      <c r="X855">
        <v>92</v>
      </c>
      <c r="AB855" t="s">
        <v>13019</v>
      </c>
      <c r="AC855" t="s">
        <v>9852</v>
      </c>
      <c r="AD855" t="s">
        <v>2984</v>
      </c>
      <c r="AF855" t="s">
        <v>5126</v>
      </c>
      <c r="AG855" t="s">
        <v>11283</v>
      </c>
      <c r="AI855" t="s">
        <v>9852</v>
      </c>
      <c r="AO855" t="s">
        <v>13020</v>
      </c>
    </row>
    <row r="856" spans="1:41" hidden="1" x14ac:dyDescent="0.35">
      <c r="A856" t="s">
        <v>13021</v>
      </c>
      <c r="B856" t="s">
        <v>7246</v>
      </c>
      <c r="C856" t="s">
        <v>396</v>
      </c>
      <c r="D856" t="s">
        <v>396</v>
      </c>
      <c r="E856" t="s">
        <v>396</v>
      </c>
      <c r="G856" s="13" t="s">
        <v>13022</v>
      </c>
      <c r="H856" t="s">
        <v>13023</v>
      </c>
      <c r="K856" t="s">
        <v>7077</v>
      </c>
      <c r="L856" t="s">
        <v>7077</v>
      </c>
      <c r="M856" t="s">
        <v>7250</v>
      </c>
      <c r="N856">
        <v>2016</v>
      </c>
      <c r="T856" t="s">
        <v>6546</v>
      </c>
      <c r="U856" t="s">
        <v>6546</v>
      </c>
      <c r="V856">
        <v>81.3</v>
      </c>
      <c r="W856">
        <v>59.85</v>
      </c>
      <c r="X856">
        <v>81.3</v>
      </c>
      <c r="AB856" t="s">
        <v>13024</v>
      </c>
      <c r="AC856" t="s">
        <v>9852</v>
      </c>
      <c r="AD856" t="s">
        <v>2984</v>
      </c>
      <c r="AF856" t="s">
        <v>13025</v>
      </c>
      <c r="AG856" t="s">
        <v>13026</v>
      </c>
      <c r="AI856" t="s">
        <v>9852</v>
      </c>
      <c r="AO856" t="s">
        <v>13027</v>
      </c>
    </row>
    <row r="857" spans="1:41" hidden="1" x14ac:dyDescent="0.35">
      <c r="A857" t="s">
        <v>13028</v>
      </c>
      <c r="B857" t="s">
        <v>7246</v>
      </c>
      <c r="C857" t="s">
        <v>4136</v>
      </c>
      <c r="D857" t="s">
        <v>4136</v>
      </c>
      <c r="E857" t="s">
        <v>4136</v>
      </c>
      <c r="G857" s="13" t="s">
        <v>13029</v>
      </c>
      <c r="H857" t="s">
        <v>13030</v>
      </c>
      <c r="K857" t="s">
        <v>10495</v>
      </c>
      <c r="L857" t="s">
        <v>6511</v>
      </c>
      <c r="M857" t="s">
        <v>7250</v>
      </c>
      <c r="R857">
        <v>11</v>
      </c>
      <c r="S857" t="s">
        <v>7251</v>
      </c>
      <c r="T857">
        <v>0.11</v>
      </c>
      <c r="U857">
        <v>52.95</v>
      </c>
      <c r="V857">
        <v>65</v>
      </c>
      <c r="W857">
        <v>55.49</v>
      </c>
      <c r="X857">
        <v>65</v>
      </c>
      <c r="Y857">
        <v>6</v>
      </c>
      <c r="Z857" t="s">
        <v>7253</v>
      </c>
      <c r="AB857" t="s">
        <v>13031</v>
      </c>
      <c r="AC857" t="s">
        <v>8859</v>
      </c>
      <c r="AD857" t="s">
        <v>10437</v>
      </c>
      <c r="AF857" t="s">
        <v>13032</v>
      </c>
      <c r="AG857" t="s">
        <v>10437</v>
      </c>
      <c r="AI857" t="s">
        <v>8859</v>
      </c>
      <c r="AO857" t="s">
        <v>13033</v>
      </c>
    </row>
    <row r="858" spans="1:41" x14ac:dyDescent="0.35">
      <c r="A858" t="s">
        <v>13034</v>
      </c>
      <c r="B858" t="s">
        <v>7246</v>
      </c>
      <c r="C858" t="s">
        <v>24</v>
      </c>
      <c r="D858" t="s">
        <v>24</v>
      </c>
      <c r="E858" t="s">
        <v>24</v>
      </c>
      <c r="F858" t="s">
        <v>354</v>
      </c>
      <c r="G858" s="13" t="s">
        <v>13035</v>
      </c>
      <c r="H858" t="s">
        <v>13036</v>
      </c>
      <c r="J858" t="s">
        <v>13037</v>
      </c>
      <c r="K858" t="s">
        <v>13038</v>
      </c>
      <c r="L858" t="s">
        <v>13038</v>
      </c>
      <c r="M858" t="s">
        <v>7292</v>
      </c>
      <c r="N858">
        <v>2023</v>
      </c>
      <c r="R858">
        <v>426.52</v>
      </c>
      <c r="S858" t="s">
        <v>7251</v>
      </c>
      <c r="T858">
        <v>4.41</v>
      </c>
      <c r="U858">
        <v>2052.98</v>
      </c>
      <c r="V858">
        <v>820</v>
      </c>
      <c r="W858">
        <v>770.7</v>
      </c>
      <c r="X858">
        <v>820</v>
      </c>
      <c r="AA858" t="s">
        <v>13039</v>
      </c>
      <c r="AB858" t="s">
        <v>13040</v>
      </c>
      <c r="AC858" t="s">
        <v>9165</v>
      </c>
      <c r="AE858" t="s">
        <v>2973</v>
      </c>
      <c r="AF858" t="s">
        <v>4099</v>
      </c>
      <c r="AH858" t="s">
        <v>4124</v>
      </c>
      <c r="AI858" t="s">
        <v>9165</v>
      </c>
      <c r="AO858" t="s">
        <v>13041</v>
      </c>
    </row>
    <row r="859" spans="1:41" hidden="1" x14ac:dyDescent="0.35">
      <c r="A859" t="s">
        <v>13042</v>
      </c>
      <c r="B859" t="s">
        <v>7246</v>
      </c>
      <c r="C859" t="s">
        <v>396</v>
      </c>
      <c r="D859" t="s">
        <v>396</v>
      </c>
      <c r="E859" t="s">
        <v>396</v>
      </c>
      <c r="G859" s="13" t="s">
        <v>13043</v>
      </c>
      <c r="H859" t="s">
        <v>13044</v>
      </c>
      <c r="K859" t="s">
        <v>7101</v>
      </c>
      <c r="L859" t="s">
        <v>7101</v>
      </c>
      <c r="M859" t="s">
        <v>7250</v>
      </c>
      <c r="N859">
        <v>2005</v>
      </c>
      <c r="T859" t="s">
        <v>6546</v>
      </c>
      <c r="U859" t="s">
        <v>6546</v>
      </c>
      <c r="V859">
        <v>43</v>
      </c>
      <c r="W859">
        <v>11.39</v>
      </c>
      <c r="X859">
        <v>43</v>
      </c>
      <c r="Y859">
        <v>300</v>
      </c>
      <c r="Z859" t="s">
        <v>8842</v>
      </c>
      <c r="AB859" t="s">
        <v>13045</v>
      </c>
      <c r="AC859" t="s">
        <v>9852</v>
      </c>
      <c r="AD859" t="s">
        <v>12693</v>
      </c>
      <c r="AF859" t="s">
        <v>13046</v>
      </c>
      <c r="AG859" t="s">
        <v>7096</v>
      </c>
      <c r="AI859" t="s">
        <v>9852</v>
      </c>
      <c r="AO859" t="s">
        <v>13047</v>
      </c>
    </row>
    <row r="860" spans="1:41" x14ac:dyDescent="0.35">
      <c r="A860" t="s">
        <v>13048</v>
      </c>
      <c r="B860" t="s">
        <v>7246</v>
      </c>
      <c r="C860" t="s">
        <v>24</v>
      </c>
      <c r="D860" t="s">
        <v>24</v>
      </c>
      <c r="E860" t="s">
        <v>24</v>
      </c>
      <c r="F860" t="s">
        <v>354</v>
      </c>
      <c r="G860" s="13" t="s">
        <v>13049</v>
      </c>
      <c r="H860" t="s">
        <v>13050</v>
      </c>
      <c r="J860" t="s">
        <v>13051</v>
      </c>
      <c r="K860" t="s">
        <v>9163</v>
      </c>
      <c r="L860" t="s">
        <v>9163</v>
      </c>
      <c r="M860" t="s">
        <v>7250</v>
      </c>
      <c r="N860">
        <v>2018</v>
      </c>
      <c r="R860">
        <v>300</v>
      </c>
      <c r="S860" t="s">
        <v>9164</v>
      </c>
      <c r="T860">
        <v>3.07</v>
      </c>
      <c r="U860">
        <v>1427.84</v>
      </c>
      <c r="V860">
        <v>50</v>
      </c>
      <c r="W860">
        <v>42.26</v>
      </c>
      <c r="X860">
        <v>50</v>
      </c>
      <c r="AB860" t="s">
        <v>13052</v>
      </c>
      <c r="AC860" t="s">
        <v>9165</v>
      </c>
      <c r="AE860" t="s">
        <v>2973</v>
      </c>
      <c r="AF860" t="s">
        <v>13040</v>
      </c>
      <c r="AH860" t="s">
        <v>2973</v>
      </c>
      <c r="AI860" t="s">
        <v>9165</v>
      </c>
      <c r="AO860" t="s">
        <v>13053</v>
      </c>
    </row>
    <row r="861" spans="1:41" hidden="1" x14ac:dyDescent="0.35">
      <c r="A861" t="s">
        <v>13054</v>
      </c>
      <c r="B861" t="s">
        <v>7246</v>
      </c>
      <c r="C861" t="s">
        <v>396</v>
      </c>
      <c r="D861" t="s">
        <v>396</v>
      </c>
      <c r="E861" t="s">
        <v>396</v>
      </c>
      <c r="G861" s="13" t="s">
        <v>13055</v>
      </c>
      <c r="H861" t="s">
        <v>13056</v>
      </c>
      <c r="K861" t="s">
        <v>7049</v>
      </c>
      <c r="L861" t="s">
        <v>7049</v>
      </c>
      <c r="M861" t="s">
        <v>7250</v>
      </c>
      <c r="N861">
        <v>2013</v>
      </c>
      <c r="T861" t="s">
        <v>6546</v>
      </c>
      <c r="U861" t="s">
        <v>6546</v>
      </c>
      <c r="V861">
        <v>5.3</v>
      </c>
      <c r="W861">
        <v>5.31</v>
      </c>
      <c r="X861">
        <v>5.3</v>
      </c>
      <c r="AB861" t="s">
        <v>13057</v>
      </c>
      <c r="AC861" t="s">
        <v>9852</v>
      </c>
      <c r="AD861" t="s">
        <v>13058</v>
      </c>
      <c r="AE861" t="s">
        <v>13059</v>
      </c>
      <c r="AF861" t="s">
        <v>13060</v>
      </c>
      <c r="AG861" t="s">
        <v>7086</v>
      </c>
      <c r="AH861" t="s">
        <v>13059</v>
      </c>
      <c r="AI861" t="s">
        <v>9852</v>
      </c>
      <c r="AO861" t="s">
        <v>13061</v>
      </c>
    </row>
    <row r="862" spans="1:41" hidden="1" x14ac:dyDescent="0.35">
      <c r="A862" t="s">
        <v>13062</v>
      </c>
      <c r="B862" t="s">
        <v>7246</v>
      </c>
      <c r="C862" t="s">
        <v>396</v>
      </c>
      <c r="D862" t="s">
        <v>396</v>
      </c>
      <c r="E862" t="s">
        <v>396</v>
      </c>
      <c r="G862" s="13" t="s">
        <v>13063</v>
      </c>
      <c r="H862" t="s">
        <v>13064</v>
      </c>
      <c r="K862" t="s">
        <v>13065</v>
      </c>
      <c r="L862" t="s">
        <v>13065</v>
      </c>
      <c r="M862" t="s">
        <v>7250</v>
      </c>
      <c r="N862">
        <v>2013</v>
      </c>
      <c r="T862" t="s">
        <v>6546</v>
      </c>
      <c r="U862" t="s">
        <v>6546</v>
      </c>
      <c r="V862">
        <v>13.3</v>
      </c>
      <c r="W862">
        <v>13.92</v>
      </c>
      <c r="X862">
        <v>13.3</v>
      </c>
      <c r="AB862" t="s">
        <v>13060</v>
      </c>
      <c r="AC862" t="s">
        <v>9852</v>
      </c>
      <c r="AD862" t="s">
        <v>7086</v>
      </c>
      <c r="AE862" t="s">
        <v>13059</v>
      </c>
      <c r="AF862" t="s">
        <v>13066</v>
      </c>
      <c r="AG862" t="s">
        <v>7043</v>
      </c>
      <c r="AH862" t="s">
        <v>13067</v>
      </c>
      <c r="AI862" t="s">
        <v>9852</v>
      </c>
      <c r="AO862" t="s">
        <v>13068</v>
      </c>
    </row>
    <row r="863" spans="1:41" hidden="1" x14ac:dyDescent="0.35">
      <c r="A863" t="s">
        <v>13069</v>
      </c>
      <c r="B863" t="s">
        <v>7246</v>
      </c>
      <c r="C863" t="s">
        <v>396</v>
      </c>
      <c r="D863" t="s">
        <v>396</v>
      </c>
      <c r="E863" t="s">
        <v>396</v>
      </c>
      <c r="G863" s="13" t="s">
        <v>13070</v>
      </c>
      <c r="H863" t="s">
        <v>13071</v>
      </c>
      <c r="K863" t="s">
        <v>7077</v>
      </c>
      <c r="L863" t="s">
        <v>7077</v>
      </c>
      <c r="M863" t="s">
        <v>7250</v>
      </c>
      <c r="T863" t="s">
        <v>6546</v>
      </c>
      <c r="U863" t="s">
        <v>6546</v>
      </c>
      <c r="V863" t="s">
        <v>6546</v>
      </c>
      <c r="W863" t="s">
        <v>6546</v>
      </c>
      <c r="X863" t="s">
        <v>6546</v>
      </c>
      <c r="AC863" t="s">
        <v>9852</v>
      </c>
      <c r="AD863" t="s">
        <v>5121</v>
      </c>
      <c r="AF863" t="s">
        <v>2984</v>
      </c>
      <c r="AI863" t="s">
        <v>9852</v>
      </c>
      <c r="AO863" t="s">
        <v>6546</v>
      </c>
    </row>
    <row r="864" spans="1:41" hidden="1" x14ac:dyDescent="0.35">
      <c r="A864" t="s">
        <v>13072</v>
      </c>
      <c r="B864" t="s">
        <v>7246</v>
      </c>
      <c r="C864" t="s">
        <v>396</v>
      </c>
      <c r="D864" t="s">
        <v>396</v>
      </c>
      <c r="E864" t="s">
        <v>396</v>
      </c>
      <c r="G864" s="13" t="s">
        <v>13073</v>
      </c>
      <c r="H864" t="s">
        <v>13074</v>
      </c>
      <c r="K864" t="s">
        <v>7077</v>
      </c>
      <c r="L864" t="s">
        <v>7077</v>
      </c>
      <c r="M864" t="s">
        <v>7250</v>
      </c>
      <c r="N864">
        <v>1999</v>
      </c>
      <c r="T864" t="s">
        <v>6546</v>
      </c>
      <c r="U864" t="s">
        <v>6546</v>
      </c>
      <c r="V864">
        <v>40.4</v>
      </c>
      <c r="W864">
        <v>18.559999999999999</v>
      </c>
      <c r="X864">
        <v>40.4</v>
      </c>
      <c r="AB864" t="s">
        <v>13075</v>
      </c>
      <c r="AC864" t="s">
        <v>9852</v>
      </c>
      <c r="AF864" t="s">
        <v>13076</v>
      </c>
      <c r="AI864" t="s">
        <v>9852</v>
      </c>
      <c r="AO864" t="s">
        <v>13077</v>
      </c>
    </row>
    <row r="865" spans="1:41" hidden="1" x14ac:dyDescent="0.35">
      <c r="A865" t="s">
        <v>13078</v>
      </c>
      <c r="B865" t="s">
        <v>7246</v>
      </c>
      <c r="C865" t="s">
        <v>396</v>
      </c>
      <c r="D865" t="s">
        <v>396</v>
      </c>
      <c r="E865" t="s">
        <v>396</v>
      </c>
      <c r="G865" s="13" t="s">
        <v>13079</v>
      </c>
      <c r="H865" t="s">
        <v>13080</v>
      </c>
      <c r="K865" t="s">
        <v>7113</v>
      </c>
      <c r="L865" t="s">
        <v>7113</v>
      </c>
      <c r="M865" t="s">
        <v>7250</v>
      </c>
      <c r="N865">
        <v>2003</v>
      </c>
      <c r="T865" t="s">
        <v>6546</v>
      </c>
      <c r="U865" t="s">
        <v>6546</v>
      </c>
      <c r="V865">
        <v>46</v>
      </c>
      <c r="W865">
        <v>17.38</v>
      </c>
      <c r="X865">
        <v>46</v>
      </c>
      <c r="AB865" t="s">
        <v>13081</v>
      </c>
      <c r="AC865" t="s">
        <v>9852</v>
      </c>
      <c r="AF865" t="s">
        <v>13082</v>
      </c>
      <c r="AI865" t="s">
        <v>9852</v>
      </c>
      <c r="AO865" t="s">
        <v>13083</v>
      </c>
    </row>
    <row r="866" spans="1:41" hidden="1" x14ac:dyDescent="0.35">
      <c r="A866" t="s">
        <v>13084</v>
      </c>
      <c r="B866" t="s">
        <v>7246</v>
      </c>
      <c r="C866" t="s">
        <v>396</v>
      </c>
      <c r="D866" t="s">
        <v>396</v>
      </c>
      <c r="E866" t="s">
        <v>396</v>
      </c>
      <c r="G866" s="13" t="s">
        <v>13085</v>
      </c>
      <c r="H866" t="s">
        <v>13086</v>
      </c>
      <c r="J866" t="s">
        <v>13087</v>
      </c>
      <c r="K866" t="s">
        <v>7113</v>
      </c>
      <c r="L866" t="s">
        <v>7113</v>
      </c>
      <c r="M866" t="s">
        <v>7250</v>
      </c>
      <c r="N866">
        <v>2000</v>
      </c>
      <c r="T866" t="s">
        <v>6546</v>
      </c>
      <c r="U866" t="s">
        <v>6546</v>
      </c>
      <c r="V866">
        <v>21</v>
      </c>
      <c r="W866">
        <v>13.21</v>
      </c>
      <c r="X866">
        <v>21</v>
      </c>
      <c r="AB866" t="s">
        <v>7107</v>
      </c>
      <c r="AC866" t="s">
        <v>9852</v>
      </c>
      <c r="AD866" t="s">
        <v>5103</v>
      </c>
      <c r="AE866" t="s">
        <v>5114</v>
      </c>
      <c r="AG866" t="s">
        <v>11528</v>
      </c>
      <c r="AH866" t="s">
        <v>11529</v>
      </c>
      <c r="AI866" t="s">
        <v>9852</v>
      </c>
      <c r="AO866" t="s">
        <v>13088</v>
      </c>
    </row>
    <row r="867" spans="1:41" hidden="1" x14ac:dyDescent="0.35">
      <c r="A867" t="s">
        <v>13089</v>
      </c>
      <c r="B867" t="s">
        <v>7246</v>
      </c>
      <c r="C867" t="s">
        <v>396</v>
      </c>
      <c r="D867" t="s">
        <v>396</v>
      </c>
      <c r="E867" t="s">
        <v>396</v>
      </c>
      <c r="G867" s="13" t="s">
        <v>13090</v>
      </c>
      <c r="H867" t="s">
        <v>13091</v>
      </c>
      <c r="J867" t="s">
        <v>13092</v>
      </c>
      <c r="K867" t="s">
        <v>7113</v>
      </c>
      <c r="L867" t="s">
        <v>7113</v>
      </c>
      <c r="M867" t="s">
        <v>7250</v>
      </c>
      <c r="N867">
        <v>1972</v>
      </c>
      <c r="O867">
        <v>1976</v>
      </c>
      <c r="T867" t="s">
        <v>6546</v>
      </c>
      <c r="U867" t="s">
        <v>6546</v>
      </c>
      <c r="V867">
        <v>109</v>
      </c>
      <c r="W867">
        <v>28.34</v>
      </c>
      <c r="X867">
        <v>109</v>
      </c>
      <c r="AB867" t="s">
        <v>13093</v>
      </c>
      <c r="AC867" t="s">
        <v>9852</v>
      </c>
      <c r="AE867" t="s">
        <v>5114</v>
      </c>
      <c r="AG867" t="s">
        <v>13094</v>
      </c>
      <c r="AH867" t="s">
        <v>5114</v>
      </c>
      <c r="AI867" t="s">
        <v>9852</v>
      </c>
      <c r="AO867" t="s">
        <v>13095</v>
      </c>
    </row>
    <row r="868" spans="1:41" hidden="1" x14ac:dyDescent="0.35">
      <c r="A868" t="s">
        <v>13096</v>
      </c>
      <c r="B868" t="s">
        <v>7246</v>
      </c>
      <c r="C868" t="s">
        <v>396</v>
      </c>
      <c r="D868" t="s">
        <v>396</v>
      </c>
      <c r="E868" t="s">
        <v>396</v>
      </c>
      <c r="G868" s="13" t="s">
        <v>13097</v>
      </c>
      <c r="H868" t="s">
        <v>13098</v>
      </c>
      <c r="K868" t="s">
        <v>7113</v>
      </c>
      <c r="L868" t="s">
        <v>7113</v>
      </c>
      <c r="M868" t="s">
        <v>7250</v>
      </c>
      <c r="N868">
        <v>1970</v>
      </c>
      <c r="T868" t="s">
        <v>6546</v>
      </c>
      <c r="U868" t="s">
        <v>6546</v>
      </c>
      <c r="V868" t="s">
        <v>6546</v>
      </c>
      <c r="W868" t="s">
        <v>6546</v>
      </c>
      <c r="X868" t="s">
        <v>6546</v>
      </c>
      <c r="AC868" t="s">
        <v>9852</v>
      </c>
      <c r="AI868" t="s">
        <v>9852</v>
      </c>
      <c r="AO868" t="s">
        <v>6546</v>
      </c>
    </row>
    <row r="869" spans="1:41" hidden="1" x14ac:dyDescent="0.35">
      <c r="A869" t="s">
        <v>13099</v>
      </c>
      <c r="B869" t="s">
        <v>7246</v>
      </c>
      <c r="C869" t="s">
        <v>396</v>
      </c>
      <c r="D869" t="s">
        <v>396</v>
      </c>
      <c r="E869" t="s">
        <v>396</v>
      </c>
      <c r="G869" s="13" t="s">
        <v>13100</v>
      </c>
      <c r="H869" t="s">
        <v>13101</v>
      </c>
      <c r="J869" t="s">
        <v>13102</v>
      </c>
      <c r="K869" t="s">
        <v>7113</v>
      </c>
      <c r="L869" t="s">
        <v>7113</v>
      </c>
      <c r="M869" t="s">
        <v>7250</v>
      </c>
      <c r="N869">
        <v>1978</v>
      </c>
      <c r="T869" t="s">
        <v>6546</v>
      </c>
      <c r="U869" t="s">
        <v>6546</v>
      </c>
      <c r="V869">
        <v>92</v>
      </c>
      <c r="W869">
        <v>81.93</v>
      </c>
      <c r="X869">
        <v>92</v>
      </c>
      <c r="AC869" t="s">
        <v>9852</v>
      </c>
      <c r="AI869" t="s">
        <v>9852</v>
      </c>
      <c r="AO869" t="s">
        <v>13103</v>
      </c>
    </row>
    <row r="870" spans="1:41" x14ac:dyDescent="0.35">
      <c r="A870" t="s">
        <v>13104</v>
      </c>
      <c r="B870" t="s">
        <v>7246</v>
      </c>
      <c r="C870" t="s">
        <v>24</v>
      </c>
      <c r="D870" t="s">
        <v>24</v>
      </c>
      <c r="E870" t="s">
        <v>24</v>
      </c>
      <c r="F870" t="s">
        <v>354</v>
      </c>
      <c r="G870" s="13" t="s">
        <v>13105</v>
      </c>
      <c r="H870" t="s">
        <v>13106</v>
      </c>
      <c r="I870" t="s">
        <v>8319</v>
      </c>
      <c r="J870" t="s">
        <v>13107</v>
      </c>
      <c r="K870" t="s">
        <v>9163</v>
      </c>
      <c r="L870" t="s">
        <v>9163</v>
      </c>
      <c r="M870" t="s">
        <v>7250</v>
      </c>
      <c r="N870">
        <v>1969</v>
      </c>
      <c r="R870">
        <v>318.47000000000003</v>
      </c>
      <c r="S870" t="s">
        <v>7251</v>
      </c>
      <c r="T870">
        <v>3.29</v>
      </c>
      <c r="U870">
        <v>1532.9</v>
      </c>
      <c r="V870">
        <v>438</v>
      </c>
      <c r="W870">
        <v>442.63</v>
      </c>
      <c r="X870">
        <v>438</v>
      </c>
      <c r="AB870" t="s">
        <v>13108</v>
      </c>
      <c r="AC870" t="s">
        <v>9165</v>
      </c>
      <c r="AE870" t="s">
        <v>2973</v>
      </c>
      <c r="AF870" t="s">
        <v>1080</v>
      </c>
      <c r="AH870" t="s">
        <v>2973</v>
      </c>
      <c r="AI870" t="s">
        <v>9165</v>
      </c>
      <c r="AO870" t="s">
        <v>13109</v>
      </c>
    </row>
    <row r="871" spans="1:41" hidden="1" x14ac:dyDescent="0.35">
      <c r="A871" t="s">
        <v>13110</v>
      </c>
      <c r="B871" t="s">
        <v>7246</v>
      </c>
      <c r="C871" t="s">
        <v>396</v>
      </c>
      <c r="D871" t="s">
        <v>396</v>
      </c>
      <c r="E871" t="s">
        <v>396</v>
      </c>
      <c r="G871" s="13" t="s">
        <v>13111</v>
      </c>
      <c r="H871" t="s">
        <v>13112</v>
      </c>
      <c r="J871" t="s">
        <v>13113</v>
      </c>
      <c r="K871" t="s">
        <v>7113</v>
      </c>
      <c r="L871" t="s">
        <v>7113</v>
      </c>
      <c r="M871" t="s">
        <v>7250</v>
      </c>
      <c r="N871">
        <v>1989</v>
      </c>
      <c r="T871" t="s">
        <v>6546</v>
      </c>
      <c r="U871" t="s">
        <v>6546</v>
      </c>
      <c r="V871">
        <v>158</v>
      </c>
      <c r="W871">
        <v>103.79</v>
      </c>
      <c r="X871">
        <v>158</v>
      </c>
      <c r="AB871" t="s">
        <v>13114</v>
      </c>
      <c r="AC871" t="s">
        <v>9852</v>
      </c>
      <c r="AI871" t="s">
        <v>9852</v>
      </c>
      <c r="AO871" t="s">
        <v>13115</v>
      </c>
    </row>
    <row r="872" spans="1:41" hidden="1" x14ac:dyDescent="0.35">
      <c r="A872" t="s">
        <v>13116</v>
      </c>
      <c r="B872" t="s">
        <v>7246</v>
      </c>
      <c r="C872" t="s">
        <v>396</v>
      </c>
      <c r="D872" t="s">
        <v>396</v>
      </c>
      <c r="E872" t="s">
        <v>396</v>
      </c>
      <c r="G872" s="13" t="s">
        <v>13117</v>
      </c>
      <c r="H872" t="s">
        <v>13118</v>
      </c>
      <c r="J872" t="s">
        <v>13119</v>
      </c>
      <c r="K872" t="s">
        <v>7113</v>
      </c>
      <c r="L872" t="s">
        <v>7113</v>
      </c>
      <c r="M872" t="s">
        <v>7250</v>
      </c>
      <c r="N872">
        <v>1994</v>
      </c>
      <c r="T872" t="s">
        <v>6546</v>
      </c>
      <c r="U872" t="s">
        <v>6546</v>
      </c>
      <c r="V872">
        <v>73</v>
      </c>
      <c r="W872">
        <v>58.73</v>
      </c>
      <c r="X872">
        <v>73</v>
      </c>
      <c r="AB872" t="s">
        <v>13120</v>
      </c>
      <c r="AC872" t="s">
        <v>9852</v>
      </c>
      <c r="AF872" t="s">
        <v>13114</v>
      </c>
      <c r="AI872" t="s">
        <v>9852</v>
      </c>
      <c r="AO872" t="s">
        <v>13121</v>
      </c>
    </row>
    <row r="873" spans="1:41" hidden="1" x14ac:dyDescent="0.35">
      <c r="A873" t="s">
        <v>13122</v>
      </c>
      <c r="B873" t="s">
        <v>7246</v>
      </c>
      <c r="C873" t="s">
        <v>396</v>
      </c>
      <c r="D873" t="s">
        <v>396</v>
      </c>
      <c r="E873" t="s">
        <v>396</v>
      </c>
      <c r="G873" s="13" t="s">
        <v>13123</v>
      </c>
      <c r="H873" t="s">
        <v>13124</v>
      </c>
      <c r="K873" t="s">
        <v>7077</v>
      </c>
      <c r="L873" t="s">
        <v>7077</v>
      </c>
      <c r="M873" t="s">
        <v>7250</v>
      </c>
      <c r="N873">
        <v>2015</v>
      </c>
      <c r="T873" t="s">
        <v>6546</v>
      </c>
      <c r="U873" t="s">
        <v>6546</v>
      </c>
      <c r="V873">
        <v>8.6</v>
      </c>
      <c r="W873">
        <v>6.96</v>
      </c>
      <c r="X873">
        <v>8.6</v>
      </c>
      <c r="AB873" t="s">
        <v>13125</v>
      </c>
      <c r="AC873" t="s">
        <v>9852</v>
      </c>
      <c r="AD873" t="s">
        <v>5121</v>
      </c>
      <c r="AF873" t="s">
        <v>5132</v>
      </c>
      <c r="AG873" t="s">
        <v>11461</v>
      </c>
      <c r="AI873" t="s">
        <v>9852</v>
      </c>
      <c r="AO873" t="s">
        <v>13126</v>
      </c>
    </row>
    <row r="874" spans="1:41" hidden="1" x14ac:dyDescent="0.35">
      <c r="A874" t="s">
        <v>13127</v>
      </c>
      <c r="B874" t="s">
        <v>7246</v>
      </c>
      <c r="C874" t="s">
        <v>396</v>
      </c>
      <c r="D874" t="s">
        <v>396</v>
      </c>
      <c r="E874" t="s">
        <v>396</v>
      </c>
      <c r="G874" s="13" t="s">
        <v>13128</v>
      </c>
      <c r="H874" t="s">
        <v>13129</v>
      </c>
      <c r="K874" t="s">
        <v>7077</v>
      </c>
      <c r="L874" t="s">
        <v>7077</v>
      </c>
      <c r="M874" t="s">
        <v>7250</v>
      </c>
      <c r="N874">
        <v>2008</v>
      </c>
      <c r="T874" t="s">
        <v>6546</v>
      </c>
      <c r="U874" t="s">
        <v>6546</v>
      </c>
      <c r="V874">
        <v>8</v>
      </c>
      <c r="W874">
        <v>9.2200000000000006</v>
      </c>
      <c r="X874">
        <v>8</v>
      </c>
      <c r="AB874" t="s">
        <v>13130</v>
      </c>
      <c r="AC874" t="s">
        <v>9852</v>
      </c>
      <c r="AD874" t="s">
        <v>5121</v>
      </c>
      <c r="AF874" t="s">
        <v>13125</v>
      </c>
      <c r="AG874" t="s">
        <v>11461</v>
      </c>
      <c r="AI874" t="s">
        <v>9852</v>
      </c>
      <c r="AO874" t="s">
        <v>13131</v>
      </c>
    </row>
    <row r="875" spans="1:41" hidden="1" x14ac:dyDescent="0.35">
      <c r="A875" t="s">
        <v>13132</v>
      </c>
      <c r="B875" t="s">
        <v>7246</v>
      </c>
      <c r="C875" t="s">
        <v>396</v>
      </c>
      <c r="D875" t="s">
        <v>396</v>
      </c>
      <c r="E875" t="s">
        <v>396</v>
      </c>
      <c r="G875" s="13" t="s">
        <v>13133</v>
      </c>
      <c r="H875" t="s">
        <v>13134</v>
      </c>
      <c r="K875" t="s">
        <v>7101</v>
      </c>
      <c r="L875" t="s">
        <v>7101</v>
      </c>
      <c r="M875" t="s">
        <v>7250</v>
      </c>
      <c r="N875">
        <v>2003</v>
      </c>
      <c r="T875" t="s">
        <v>6546</v>
      </c>
      <c r="U875" t="s">
        <v>6546</v>
      </c>
      <c r="V875">
        <v>71</v>
      </c>
      <c r="W875">
        <v>58.98</v>
      </c>
      <c r="X875">
        <v>71</v>
      </c>
      <c r="Y875">
        <v>400</v>
      </c>
      <c r="Z875" t="s">
        <v>8842</v>
      </c>
      <c r="AB875" t="s">
        <v>13135</v>
      </c>
      <c r="AC875" t="s">
        <v>9852</v>
      </c>
      <c r="AD875" t="s">
        <v>2998</v>
      </c>
      <c r="AF875" t="s">
        <v>13136</v>
      </c>
      <c r="AG875" t="s">
        <v>13137</v>
      </c>
      <c r="AI875" t="s">
        <v>9852</v>
      </c>
      <c r="AO875" t="s">
        <v>13138</v>
      </c>
    </row>
    <row r="876" spans="1:41" x14ac:dyDescent="0.35">
      <c r="A876" t="s">
        <v>13139</v>
      </c>
      <c r="B876" t="s">
        <v>7246</v>
      </c>
      <c r="C876" t="s">
        <v>24</v>
      </c>
      <c r="D876" t="s">
        <v>24</v>
      </c>
      <c r="E876" t="s">
        <v>24</v>
      </c>
      <c r="F876" t="s">
        <v>354</v>
      </c>
      <c r="G876" s="13" t="s">
        <v>13140</v>
      </c>
      <c r="H876" t="s">
        <v>13141</v>
      </c>
      <c r="J876" t="s">
        <v>13142</v>
      </c>
      <c r="K876" t="s">
        <v>13143</v>
      </c>
      <c r="L876" t="s">
        <v>13143</v>
      </c>
      <c r="M876" t="s">
        <v>7250</v>
      </c>
      <c r="N876">
        <v>2004</v>
      </c>
      <c r="R876">
        <v>314</v>
      </c>
      <c r="S876" t="s">
        <v>9164</v>
      </c>
      <c r="T876">
        <v>3.21</v>
      </c>
      <c r="U876">
        <v>1494.48</v>
      </c>
      <c r="V876">
        <v>687</v>
      </c>
      <c r="W876">
        <v>790.41</v>
      </c>
      <c r="X876">
        <v>687</v>
      </c>
      <c r="AA876" t="s">
        <v>10604</v>
      </c>
      <c r="AB876" t="s">
        <v>10606</v>
      </c>
      <c r="AC876" t="s">
        <v>9165</v>
      </c>
      <c r="AE876" t="s">
        <v>2969</v>
      </c>
      <c r="AF876" t="s">
        <v>6408</v>
      </c>
      <c r="AH876" t="s">
        <v>4129</v>
      </c>
      <c r="AI876" t="s">
        <v>9165</v>
      </c>
      <c r="AO876" t="s">
        <v>13144</v>
      </c>
    </row>
    <row r="877" spans="1:41" hidden="1" x14ac:dyDescent="0.35">
      <c r="A877" t="s">
        <v>13145</v>
      </c>
      <c r="B877" t="s">
        <v>7246</v>
      </c>
      <c r="C877" t="s">
        <v>396</v>
      </c>
      <c r="D877" t="s">
        <v>396</v>
      </c>
      <c r="E877" t="s">
        <v>396</v>
      </c>
      <c r="G877" s="13" t="s">
        <v>13146</v>
      </c>
      <c r="H877" t="s">
        <v>13147</v>
      </c>
      <c r="K877" t="s">
        <v>7077</v>
      </c>
      <c r="L877" t="s">
        <v>7077</v>
      </c>
      <c r="M877" t="s">
        <v>7250</v>
      </c>
      <c r="N877">
        <v>2017</v>
      </c>
      <c r="T877" t="s">
        <v>6546</v>
      </c>
      <c r="U877" t="s">
        <v>6546</v>
      </c>
      <c r="V877">
        <v>50</v>
      </c>
      <c r="W877">
        <v>35.950000000000003</v>
      </c>
      <c r="X877">
        <v>50</v>
      </c>
      <c r="AB877" t="s">
        <v>13148</v>
      </c>
      <c r="AC877" t="s">
        <v>9852</v>
      </c>
      <c r="AD877" t="s">
        <v>2984</v>
      </c>
      <c r="AF877" t="s">
        <v>13025</v>
      </c>
      <c r="AG877" t="s">
        <v>13026</v>
      </c>
      <c r="AI877" t="s">
        <v>9852</v>
      </c>
      <c r="AO877" t="s">
        <v>13149</v>
      </c>
    </row>
    <row r="878" spans="1:41" hidden="1" x14ac:dyDescent="0.35">
      <c r="A878" t="s">
        <v>13150</v>
      </c>
      <c r="B878" t="s">
        <v>7246</v>
      </c>
      <c r="C878" t="s">
        <v>396</v>
      </c>
      <c r="D878" t="s">
        <v>396</v>
      </c>
      <c r="E878" t="s">
        <v>396</v>
      </c>
      <c r="G878" s="13" t="s">
        <v>13151</v>
      </c>
      <c r="H878" t="s">
        <v>13152</v>
      </c>
      <c r="K878" t="s">
        <v>13153</v>
      </c>
      <c r="L878" t="s">
        <v>13153</v>
      </c>
      <c r="M878" t="s">
        <v>7250</v>
      </c>
      <c r="N878">
        <v>2015</v>
      </c>
      <c r="T878" t="s">
        <v>6546</v>
      </c>
      <c r="U878" t="s">
        <v>6546</v>
      </c>
      <c r="V878">
        <v>12</v>
      </c>
      <c r="W878">
        <v>12.59</v>
      </c>
      <c r="X878">
        <v>12</v>
      </c>
      <c r="Y878">
        <v>150</v>
      </c>
      <c r="Z878" t="s">
        <v>8842</v>
      </c>
      <c r="AB878" t="s">
        <v>13154</v>
      </c>
      <c r="AC878" t="s">
        <v>9852</v>
      </c>
      <c r="AD878" t="s">
        <v>11448</v>
      </c>
      <c r="AF878" t="s">
        <v>13155</v>
      </c>
      <c r="AG878" t="s">
        <v>11448</v>
      </c>
      <c r="AI878" t="s">
        <v>9852</v>
      </c>
      <c r="AO878" t="s">
        <v>13156</v>
      </c>
    </row>
    <row r="879" spans="1:41" hidden="1" x14ac:dyDescent="0.35">
      <c r="A879" t="s">
        <v>13157</v>
      </c>
      <c r="B879" t="s">
        <v>7246</v>
      </c>
      <c r="C879" t="s">
        <v>396</v>
      </c>
      <c r="D879" t="s">
        <v>396</v>
      </c>
      <c r="E879" t="s">
        <v>396</v>
      </c>
      <c r="G879" s="13" t="s">
        <v>13158</v>
      </c>
      <c r="H879" t="s">
        <v>13159</v>
      </c>
      <c r="K879" t="s">
        <v>7077</v>
      </c>
      <c r="L879" t="s">
        <v>7077</v>
      </c>
      <c r="M879" t="s">
        <v>7250</v>
      </c>
      <c r="N879">
        <v>2004</v>
      </c>
      <c r="T879" t="s">
        <v>6546</v>
      </c>
      <c r="U879" t="s">
        <v>6546</v>
      </c>
      <c r="V879">
        <v>41.7</v>
      </c>
      <c r="W879">
        <v>24.97</v>
      </c>
      <c r="X879">
        <v>41.7</v>
      </c>
      <c r="AB879" t="s">
        <v>13160</v>
      </c>
      <c r="AC879" t="s">
        <v>9852</v>
      </c>
      <c r="AD879" t="s">
        <v>12693</v>
      </c>
      <c r="AF879" t="s">
        <v>13161</v>
      </c>
      <c r="AG879" t="s">
        <v>13026</v>
      </c>
      <c r="AI879" t="s">
        <v>9852</v>
      </c>
      <c r="AO879" t="s">
        <v>13162</v>
      </c>
    </row>
    <row r="880" spans="1:41" hidden="1" x14ac:dyDescent="0.35">
      <c r="A880" t="s">
        <v>13163</v>
      </c>
      <c r="B880" t="s">
        <v>7246</v>
      </c>
      <c r="C880" t="s">
        <v>396</v>
      </c>
      <c r="D880" t="s">
        <v>396</v>
      </c>
      <c r="E880" t="s">
        <v>396</v>
      </c>
      <c r="G880" s="13" t="s">
        <v>13164</v>
      </c>
      <c r="H880" t="s">
        <v>13165</v>
      </c>
      <c r="K880" t="s">
        <v>7052</v>
      </c>
      <c r="L880" t="s">
        <v>7052</v>
      </c>
      <c r="M880" t="s">
        <v>7250</v>
      </c>
      <c r="N880">
        <v>1996</v>
      </c>
      <c r="T880" t="s">
        <v>6546</v>
      </c>
      <c r="U880" t="s">
        <v>6546</v>
      </c>
      <c r="V880">
        <v>1.74</v>
      </c>
      <c r="W880">
        <v>1.46</v>
      </c>
      <c r="X880">
        <v>1.74</v>
      </c>
      <c r="AB880" t="s">
        <v>11375</v>
      </c>
      <c r="AC880" t="s">
        <v>9852</v>
      </c>
      <c r="AD880" t="s">
        <v>11382</v>
      </c>
      <c r="AE880" t="s">
        <v>13166</v>
      </c>
      <c r="AF880" t="s">
        <v>11377</v>
      </c>
      <c r="AG880" t="s">
        <v>13167</v>
      </c>
      <c r="AH880" t="s">
        <v>13166</v>
      </c>
      <c r="AI880" t="s">
        <v>9852</v>
      </c>
      <c r="AO880" t="s">
        <v>13168</v>
      </c>
    </row>
    <row r="881" spans="1:41" hidden="1" x14ac:dyDescent="0.35">
      <c r="A881" t="s">
        <v>13169</v>
      </c>
      <c r="B881" t="s">
        <v>7246</v>
      </c>
      <c r="C881" t="s">
        <v>396</v>
      </c>
      <c r="D881" t="s">
        <v>396</v>
      </c>
      <c r="E881" t="s">
        <v>396</v>
      </c>
      <c r="G881" s="13" t="s">
        <v>13170</v>
      </c>
      <c r="H881" t="s">
        <v>13171</v>
      </c>
      <c r="K881" t="s">
        <v>7101</v>
      </c>
      <c r="L881" t="s">
        <v>7101</v>
      </c>
      <c r="M881" t="s">
        <v>7250</v>
      </c>
      <c r="N881">
        <v>2002</v>
      </c>
      <c r="T881" t="s">
        <v>6546</v>
      </c>
      <c r="U881" t="s">
        <v>6546</v>
      </c>
      <c r="V881">
        <v>102</v>
      </c>
      <c r="W881">
        <v>51.47</v>
      </c>
      <c r="X881">
        <v>102</v>
      </c>
      <c r="Y881" t="s">
        <v>13172</v>
      </c>
      <c r="Z881" t="s">
        <v>8842</v>
      </c>
      <c r="AB881" t="s">
        <v>13173</v>
      </c>
      <c r="AC881" t="s">
        <v>9852</v>
      </c>
      <c r="AF881" t="s">
        <v>13174</v>
      </c>
      <c r="AG881" t="s">
        <v>2998</v>
      </c>
      <c r="AI881" t="s">
        <v>9852</v>
      </c>
      <c r="AO881" t="s">
        <v>13175</v>
      </c>
    </row>
    <row r="882" spans="1:41" hidden="1" x14ac:dyDescent="0.35">
      <c r="A882" t="s">
        <v>13176</v>
      </c>
      <c r="B882" t="s">
        <v>7246</v>
      </c>
      <c r="C882" t="s">
        <v>396</v>
      </c>
      <c r="D882" t="s">
        <v>396</v>
      </c>
      <c r="E882" t="s">
        <v>396</v>
      </c>
      <c r="G882" s="13" t="s">
        <v>13177</v>
      </c>
      <c r="H882" t="s">
        <v>13178</v>
      </c>
      <c r="K882" t="s">
        <v>13179</v>
      </c>
      <c r="L882" t="s">
        <v>13179</v>
      </c>
      <c r="M882" t="s">
        <v>7250</v>
      </c>
      <c r="N882">
        <v>2014</v>
      </c>
      <c r="T882" t="s">
        <v>6546</v>
      </c>
      <c r="U882" t="s">
        <v>6546</v>
      </c>
      <c r="V882">
        <v>60</v>
      </c>
      <c r="W882">
        <v>41.54</v>
      </c>
      <c r="X882">
        <v>60</v>
      </c>
      <c r="AB882" t="s">
        <v>7125</v>
      </c>
      <c r="AC882" t="s">
        <v>9852</v>
      </c>
      <c r="AD882" t="s">
        <v>13059</v>
      </c>
      <c r="AF882" t="s">
        <v>13180</v>
      </c>
      <c r="AG882" t="s">
        <v>13181</v>
      </c>
      <c r="AI882" t="s">
        <v>9852</v>
      </c>
      <c r="AO882" t="s">
        <v>13182</v>
      </c>
    </row>
    <row r="883" spans="1:41" hidden="1" x14ac:dyDescent="0.35">
      <c r="A883" t="s">
        <v>13183</v>
      </c>
      <c r="B883" t="s">
        <v>7246</v>
      </c>
      <c r="C883" t="s">
        <v>396</v>
      </c>
      <c r="D883" t="s">
        <v>396</v>
      </c>
      <c r="E883" t="s">
        <v>396</v>
      </c>
      <c r="G883" s="13" t="s">
        <v>13184</v>
      </c>
      <c r="H883" t="s">
        <v>13185</v>
      </c>
      <c r="K883" t="s">
        <v>13186</v>
      </c>
      <c r="L883" t="s">
        <v>13186</v>
      </c>
      <c r="M883" t="s">
        <v>7250</v>
      </c>
      <c r="N883">
        <v>2006</v>
      </c>
      <c r="T883" t="s">
        <v>6546</v>
      </c>
      <c r="U883" t="s">
        <v>6546</v>
      </c>
      <c r="V883">
        <v>31</v>
      </c>
      <c r="W883">
        <v>28.75</v>
      </c>
      <c r="X883">
        <v>31</v>
      </c>
      <c r="Y883">
        <v>500</v>
      </c>
      <c r="Z883" t="s">
        <v>8842</v>
      </c>
      <c r="AB883" t="s">
        <v>13187</v>
      </c>
      <c r="AC883" t="s">
        <v>9852</v>
      </c>
      <c r="AD883" t="s">
        <v>11390</v>
      </c>
      <c r="AF883" t="s">
        <v>13188</v>
      </c>
      <c r="AG883" t="s">
        <v>11399</v>
      </c>
      <c r="AI883" t="s">
        <v>9852</v>
      </c>
      <c r="AO883" t="s">
        <v>13189</v>
      </c>
    </row>
    <row r="884" spans="1:41" hidden="1" x14ac:dyDescent="0.35">
      <c r="A884" t="s">
        <v>13190</v>
      </c>
      <c r="B884" t="s">
        <v>7246</v>
      </c>
      <c r="C884" t="s">
        <v>396</v>
      </c>
      <c r="D884" t="s">
        <v>396</v>
      </c>
      <c r="E884" t="s">
        <v>396</v>
      </c>
      <c r="G884" s="13" t="s">
        <v>13191</v>
      </c>
      <c r="H884" t="s">
        <v>13192</v>
      </c>
      <c r="K884" t="s">
        <v>7052</v>
      </c>
      <c r="L884" t="s">
        <v>7052</v>
      </c>
      <c r="M884" t="s">
        <v>7250</v>
      </c>
      <c r="N884">
        <v>2002</v>
      </c>
      <c r="T884" t="s">
        <v>6546</v>
      </c>
      <c r="U884" t="s">
        <v>6546</v>
      </c>
      <c r="V884">
        <v>11.6</v>
      </c>
      <c r="W884">
        <v>6.03</v>
      </c>
      <c r="X884">
        <v>11.6</v>
      </c>
      <c r="AB884" t="s">
        <v>13193</v>
      </c>
      <c r="AC884" t="s">
        <v>9852</v>
      </c>
      <c r="AD884" t="s">
        <v>7091</v>
      </c>
      <c r="AF884" t="s">
        <v>13194</v>
      </c>
      <c r="AG884" t="s">
        <v>7091</v>
      </c>
      <c r="AI884" t="s">
        <v>9852</v>
      </c>
      <c r="AO884" t="s">
        <v>13195</v>
      </c>
    </row>
    <row r="885" spans="1:41" hidden="1" x14ac:dyDescent="0.35">
      <c r="A885" t="s">
        <v>13196</v>
      </c>
      <c r="B885" t="s">
        <v>7246</v>
      </c>
      <c r="C885" t="s">
        <v>396</v>
      </c>
      <c r="D885" t="s">
        <v>396</v>
      </c>
      <c r="E885" t="s">
        <v>396</v>
      </c>
      <c r="G885" s="13" t="s">
        <v>13197</v>
      </c>
      <c r="H885" t="s">
        <v>13198</v>
      </c>
      <c r="K885" t="s">
        <v>13199</v>
      </c>
      <c r="L885" t="s">
        <v>13200</v>
      </c>
      <c r="M885" t="s">
        <v>7415</v>
      </c>
      <c r="N885">
        <v>2022</v>
      </c>
      <c r="T885" t="s">
        <v>6546</v>
      </c>
      <c r="U885" t="s">
        <v>6546</v>
      </c>
      <c r="V885">
        <v>30</v>
      </c>
      <c r="W885">
        <v>23.07</v>
      </c>
      <c r="X885">
        <v>30</v>
      </c>
      <c r="AA885" t="s">
        <v>7053</v>
      </c>
      <c r="AB885" t="s">
        <v>7054</v>
      </c>
      <c r="AC885" t="s">
        <v>9852</v>
      </c>
      <c r="AD885" t="s">
        <v>5121</v>
      </c>
      <c r="AF885" t="s">
        <v>2985</v>
      </c>
      <c r="AG885" t="s">
        <v>5121</v>
      </c>
      <c r="AI885" t="s">
        <v>9852</v>
      </c>
      <c r="AO885" t="s">
        <v>13201</v>
      </c>
    </row>
    <row r="886" spans="1:41" hidden="1" x14ac:dyDescent="0.35">
      <c r="A886" t="s">
        <v>13202</v>
      </c>
      <c r="B886" t="s">
        <v>7246</v>
      </c>
      <c r="C886" t="s">
        <v>396</v>
      </c>
      <c r="D886" t="s">
        <v>396</v>
      </c>
      <c r="E886" t="s">
        <v>396</v>
      </c>
      <c r="G886" s="13" t="s">
        <v>13203</v>
      </c>
      <c r="H886" t="s">
        <v>13204</v>
      </c>
      <c r="K886" t="s">
        <v>7101</v>
      </c>
      <c r="L886" t="s">
        <v>7101</v>
      </c>
      <c r="M886" t="s">
        <v>7250</v>
      </c>
      <c r="N886">
        <v>2013</v>
      </c>
      <c r="T886" t="s">
        <v>6546</v>
      </c>
      <c r="U886" t="s">
        <v>6546</v>
      </c>
      <c r="V886">
        <v>8.5</v>
      </c>
      <c r="W886">
        <v>7.03</v>
      </c>
      <c r="X886">
        <v>8.5</v>
      </c>
      <c r="Y886">
        <v>600</v>
      </c>
      <c r="Z886" t="s">
        <v>8842</v>
      </c>
      <c r="AB886" t="s">
        <v>13205</v>
      </c>
      <c r="AC886" t="s">
        <v>9852</v>
      </c>
      <c r="AD886" t="s">
        <v>11428</v>
      </c>
      <c r="AF886" t="s">
        <v>13206</v>
      </c>
      <c r="AG886" t="s">
        <v>11428</v>
      </c>
      <c r="AI886" t="s">
        <v>9852</v>
      </c>
      <c r="AO886" t="s">
        <v>13207</v>
      </c>
    </row>
    <row r="887" spans="1:41" hidden="1" x14ac:dyDescent="0.35">
      <c r="A887" t="s">
        <v>13208</v>
      </c>
      <c r="B887" t="s">
        <v>7246</v>
      </c>
      <c r="C887" t="s">
        <v>396</v>
      </c>
      <c r="D887" t="s">
        <v>396</v>
      </c>
      <c r="E887" t="s">
        <v>396</v>
      </c>
      <c r="G887" s="13" t="s">
        <v>13209</v>
      </c>
      <c r="H887" t="s">
        <v>13210</v>
      </c>
      <c r="K887" t="s">
        <v>13153</v>
      </c>
      <c r="L887" t="s">
        <v>13153</v>
      </c>
      <c r="M887" t="s">
        <v>7250</v>
      </c>
      <c r="N887">
        <v>1996</v>
      </c>
      <c r="R887">
        <v>1.64</v>
      </c>
      <c r="S887" t="s">
        <v>8257</v>
      </c>
      <c r="T887">
        <v>1.64</v>
      </c>
      <c r="U887">
        <v>763.23</v>
      </c>
      <c r="V887">
        <v>261</v>
      </c>
      <c r="W887">
        <v>144.75</v>
      </c>
      <c r="X887">
        <v>261</v>
      </c>
      <c r="AB887" t="s">
        <v>13211</v>
      </c>
      <c r="AC887" t="s">
        <v>9852</v>
      </c>
      <c r="AD887" t="s">
        <v>11428</v>
      </c>
      <c r="AF887" t="s">
        <v>3005</v>
      </c>
      <c r="AG887" t="s">
        <v>5145</v>
      </c>
      <c r="AI887" t="s">
        <v>9852</v>
      </c>
      <c r="AO887" t="s">
        <v>13212</v>
      </c>
    </row>
    <row r="888" spans="1:41" hidden="1" x14ac:dyDescent="0.35">
      <c r="A888" t="s">
        <v>13213</v>
      </c>
      <c r="B888" t="s">
        <v>7246</v>
      </c>
      <c r="C888" t="s">
        <v>396</v>
      </c>
      <c r="D888" t="s">
        <v>396</v>
      </c>
      <c r="E888" t="s">
        <v>396</v>
      </c>
      <c r="G888" s="13" t="s">
        <v>13214</v>
      </c>
      <c r="H888" t="s">
        <v>13215</v>
      </c>
      <c r="K888" t="s">
        <v>7077</v>
      </c>
      <c r="L888" t="s">
        <v>7077</v>
      </c>
      <c r="M888" t="s">
        <v>7250</v>
      </c>
      <c r="N888">
        <v>2001</v>
      </c>
      <c r="T888" t="s">
        <v>6546</v>
      </c>
      <c r="U888" t="s">
        <v>6546</v>
      </c>
      <c r="V888">
        <v>47.02</v>
      </c>
      <c r="W888">
        <v>47.01</v>
      </c>
      <c r="X888">
        <v>47.02</v>
      </c>
      <c r="AB888" t="s">
        <v>13216</v>
      </c>
      <c r="AC888" t="s">
        <v>9852</v>
      </c>
      <c r="AD888" t="s">
        <v>12693</v>
      </c>
      <c r="AF888" t="s">
        <v>13160</v>
      </c>
      <c r="AG888" t="s">
        <v>12693</v>
      </c>
      <c r="AI888" t="s">
        <v>9852</v>
      </c>
      <c r="AO888" t="s">
        <v>13217</v>
      </c>
    </row>
    <row r="889" spans="1:41" hidden="1" x14ac:dyDescent="0.35">
      <c r="A889" t="s">
        <v>13218</v>
      </c>
      <c r="B889" t="s">
        <v>7246</v>
      </c>
      <c r="C889" t="s">
        <v>396</v>
      </c>
      <c r="D889" t="s">
        <v>396</v>
      </c>
      <c r="E889" t="s">
        <v>396</v>
      </c>
      <c r="G889" s="13" t="s">
        <v>13219</v>
      </c>
      <c r="H889" t="s">
        <v>13220</v>
      </c>
      <c r="K889" t="s">
        <v>7052</v>
      </c>
      <c r="L889" t="s">
        <v>7052</v>
      </c>
      <c r="M889" t="s">
        <v>7250</v>
      </c>
      <c r="N889">
        <v>1976</v>
      </c>
      <c r="T889" t="s">
        <v>6546</v>
      </c>
      <c r="U889" t="s">
        <v>6546</v>
      </c>
      <c r="V889" t="s">
        <v>6546</v>
      </c>
      <c r="W889" t="s">
        <v>6546</v>
      </c>
      <c r="X889" t="s">
        <v>6546</v>
      </c>
      <c r="AC889" t="s">
        <v>9852</v>
      </c>
      <c r="AI889" t="s">
        <v>9852</v>
      </c>
      <c r="AO889" t="s">
        <v>6546</v>
      </c>
    </row>
    <row r="890" spans="1:41" hidden="1" x14ac:dyDescent="0.35">
      <c r="A890" t="s">
        <v>13221</v>
      </c>
      <c r="B890" t="s">
        <v>7246</v>
      </c>
      <c r="C890" t="s">
        <v>396</v>
      </c>
      <c r="D890" t="s">
        <v>396</v>
      </c>
      <c r="E890" t="s">
        <v>396</v>
      </c>
      <c r="G890" s="13" t="s">
        <v>13222</v>
      </c>
      <c r="H890" t="s">
        <v>13223</v>
      </c>
      <c r="K890" t="s">
        <v>7101</v>
      </c>
      <c r="L890" t="s">
        <v>7101</v>
      </c>
      <c r="M890" t="s">
        <v>7250</v>
      </c>
      <c r="N890">
        <v>1960</v>
      </c>
      <c r="T890" t="s">
        <v>6546</v>
      </c>
      <c r="U890" t="s">
        <v>6546</v>
      </c>
      <c r="V890">
        <v>61</v>
      </c>
      <c r="W890">
        <v>35.51</v>
      </c>
      <c r="X890">
        <v>61</v>
      </c>
      <c r="Y890">
        <v>150</v>
      </c>
      <c r="Z890" t="s">
        <v>8842</v>
      </c>
      <c r="AB890" t="s">
        <v>7100</v>
      </c>
      <c r="AC890" t="s">
        <v>9852</v>
      </c>
      <c r="AD890" t="s">
        <v>11428</v>
      </c>
      <c r="AF890" t="s">
        <v>13224</v>
      </c>
      <c r="AG890" t="s">
        <v>11428</v>
      </c>
      <c r="AI890" t="s">
        <v>9852</v>
      </c>
      <c r="AO890" t="s">
        <v>13225</v>
      </c>
    </row>
    <row r="891" spans="1:41" hidden="1" x14ac:dyDescent="0.35">
      <c r="A891" t="s">
        <v>13226</v>
      </c>
      <c r="B891" t="s">
        <v>7246</v>
      </c>
      <c r="C891" t="s">
        <v>396</v>
      </c>
      <c r="D891" t="s">
        <v>396</v>
      </c>
      <c r="E891" t="s">
        <v>396</v>
      </c>
      <c r="G891" s="13" t="s">
        <v>13227</v>
      </c>
      <c r="H891" t="s">
        <v>13228</v>
      </c>
      <c r="K891" t="s">
        <v>7077</v>
      </c>
      <c r="L891" t="s">
        <v>7077</v>
      </c>
      <c r="M891" t="s">
        <v>7250</v>
      </c>
      <c r="N891">
        <v>2004</v>
      </c>
      <c r="T891" t="s">
        <v>6546</v>
      </c>
      <c r="U891" t="s">
        <v>6546</v>
      </c>
      <c r="V891">
        <v>88</v>
      </c>
      <c r="W891">
        <v>42.73</v>
      </c>
      <c r="X891">
        <v>88</v>
      </c>
      <c r="AB891" t="s">
        <v>13229</v>
      </c>
      <c r="AC891" t="s">
        <v>9852</v>
      </c>
      <c r="AD891" t="s">
        <v>12693</v>
      </c>
      <c r="AF891" t="s">
        <v>13230</v>
      </c>
      <c r="AG891" t="s">
        <v>13003</v>
      </c>
      <c r="AI891" t="s">
        <v>9852</v>
      </c>
      <c r="AO891" t="s">
        <v>13231</v>
      </c>
    </row>
    <row r="892" spans="1:41" hidden="1" x14ac:dyDescent="0.35">
      <c r="A892" t="s">
        <v>13232</v>
      </c>
      <c r="B892" t="s">
        <v>7246</v>
      </c>
      <c r="C892" t="s">
        <v>396</v>
      </c>
      <c r="D892" t="s">
        <v>396</v>
      </c>
      <c r="E892" t="s">
        <v>396</v>
      </c>
      <c r="G892" s="13" t="s">
        <v>13233</v>
      </c>
      <c r="H892" t="s">
        <v>13234</v>
      </c>
      <c r="K892" t="s">
        <v>7077</v>
      </c>
      <c r="L892" t="s">
        <v>7077</v>
      </c>
      <c r="M892" t="s">
        <v>7250</v>
      </c>
      <c r="N892">
        <v>2015</v>
      </c>
      <c r="T892" t="s">
        <v>6546</v>
      </c>
      <c r="U892" t="s">
        <v>6546</v>
      </c>
      <c r="V892">
        <v>40</v>
      </c>
      <c r="W892">
        <v>38.01</v>
      </c>
      <c r="X892">
        <v>40</v>
      </c>
      <c r="AB892" t="s">
        <v>12692</v>
      </c>
      <c r="AC892" t="s">
        <v>9852</v>
      </c>
      <c r="AD892" t="s">
        <v>12693</v>
      </c>
      <c r="AF892" t="s">
        <v>13148</v>
      </c>
      <c r="AG892" t="s">
        <v>11283</v>
      </c>
      <c r="AI892" t="s">
        <v>9852</v>
      </c>
      <c r="AO892" t="s">
        <v>13235</v>
      </c>
    </row>
    <row r="893" spans="1:41" hidden="1" x14ac:dyDescent="0.35">
      <c r="A893" t="s">
        <v>13236</v>
      </c>
      <c r="B893" t="s">
        <v>7246</v>
      </c>
      <c r="C893" t="s">
        <v>396</v>
      </c>
      <c r="D893" t="s">
        <v>396</v>
      </c>
      <c r="E893" t="s">
        <v>396</v>
      </c>
      <c r="G893" s="13" t="s">
        <v>13237</v>
      </c>
      <c r="H893" t="s">
        <v>13238</v>
      </c>
      <c r="K893" t="s">
        <v>7077</v>
      </c>
      <c r="L893" t="s">
        <v>7077</v>
      </c>
      <c r="M893" t="s">
        <v>7250</v>
      </c>
      <c r="N893">
        <v>2003</v>
      </c>
      <c r="T893" t="s">
        <v>6546</v>
      </c>
      <c r="U893" t="s">
        <v>6546</v>
      </c>
      <c r="V893" t="s">
        <v>6546</v>
      </c>
      <c r="W893" t="s">
        <v>6546</v>
      </c>
      <c r="X893" t="s">
        <v>6546</v>
      </c>
      <c r="AC893" t="s">
        <v>9852</v>
      </c>
      <c r="AI893" t="s">
        <v>9852</v>
      </c>
      <c r="AO893" t="s">
        <v>6546</v>
      </c>
    </row>
    <row r="894" spans="1:41" x14ac:dyDescent="0.35">
      <c r="A894" t="s">
        <v>13239</v>
      </c>
      <c r="B894" t="s">
        <v>7246</v>
      </c>
      <c r="C894" t="s">
        <v>24</v>
      </c>
      <c r="D894" t="s">
        <v>24</v>
      </c>
      <c r="E894" t="s">
        <v>24</v>
      </c>
      <c r="F894" t="s">
        <v>354</v>
      </c>
      <c r="G894" s="13" t="s">
        <v>13240</v>
      </c>
      <c r="H894" t="s">
        <v>13241</v>
      </c>
      <c r="J894" t="s">
        <v>13242</v>
      </c>
      <c r="K894" t="s">
        <v>13243</v>
      </c>
      <c r="L894" t="s">
        <v>13243</v>
      </c>
      <c r="M894" t="s">
        <v>7250</v>
      </c>
      <c r="N894">
        <v>1991</v>
      </c>
      <c r="R894">
        <v>15</v>
      </c>
      <c r="S894" t="s">
        <v>9164</v>
      </c>
      <c r="T894">
        <v>0.15</v>
      </c>
      <c r="U894">
        <v>71.39</v>
      </c>
      <c r="V894">
        <v>82</v>
      </c>
      <c r="W894">
        <v>66.77</v>
      </c>
      <c r="X894">
        <v>82</v>
      </c>
      <c r="AA894" t="s">
        <v>10604</v>
      </c>
      <c r="AC894" t="s">
        <v>9165</v>
      </c>
      <c r="AE894" t="s">
        <v>2969</v>
      </c>
      <c r="AF894" t="s">
        <v>13244</v>
      </c>
      <c r="AH894" t="s">
        <v>4129</v>
      </c>
      <c r="AI894" t="s">
        <v>9165</v>
      </c>
      <c r="AO894" t="s">
        <v>13245</v>
      </c>
    </row>
    <row r="895" spans="1:41" hidden="1" x14ac:dyDescent="0.35">
      <c r="A895" t="s">
        <v>13246</v>
      </c>
      <c r="B895" t="s">
        <v>7246</v>
      </c>
      <c r="C895" t="s">
        <v>396</v>
      </c>
      <c r="D895" t="s">
        <v>396</v>
      </c>
      <c r="E895" t="s">
        <v>396</v>
      </c>
      <c r="G895" s="13" t="s">
        <v>13247</v>
      </c>
      <c r="H895" t="s">
        <v>13248</v>
      </c>
      <c r="J895" t="s">
        <v>13249</v>
      </c>
      <c r="K895" t="s">
        <v>7077</v>
      </c>
      <c r="L895" t="s">
        <v>7077</v>
      </c>
      <c r="M895" t="s">
        <v>7250</v>
      </c>
      <c r="N895">
        <v>2003</v>
      </c>
      <c r="T895" t="s">
        <v>6546</v>
      </c>
      <c r="U895" t="s">
        <v>6546</v>
      </c>
      <c r="V895" t="s">
        <v>6546</v>
      </c>
      <c r="W895">
        <v>16.809999999999999</v>
      </c>
      <c r="X895">
        <v>16.809999999999999</v>
      </c>
      <c r="AC895" t="s">
        <v>9852</v>
      </c>
      <c r="AI895" t="s">
        <v>9852</v>
      </c>
      <c r="AO895" t="s">
        <v>13250</v>
      </c>
    </row>
    <row r="896" spans="1:41" x14ac:dyDescent="0.35">
      <c r="A896" t="s">
        <v>13251</v>
      </c>
      <c r="B896" t="s">
        <v>7246</v>
      </c>
      <c r="C896" t="s">
        <v>24</v>
      </c>
      <c r="D896" t="s">
        <v>24</v>
      </c>
      <c r="E896" t="s">
        <v>24</v>
      </c>
      <c r="F896" t="s">
        <v>354</v>
      </c>
      <c r="G896" s="13" t="s">
        <v>13252</v>
      </c>
      <c r="H896" t="s">
        <v>13253</v>
      </c>
      <c r="J896" t="s">
        <v>13254</v>
      </c>
      <c r="K896" t="s">
        <v>9163</v>
      </c>
      <c r="L896" t="s">
        <v>9163</v>
      </c>
      <c r="M896" t="s">
        <v>7250</v>
      </c>
      <c r="N896">
        <v>2005</v>
      </c>
      <c r="R896">
        <v>40</v>
      </c>
      <c r="S896" t="s">
        <v>9164</v>
      </c>
      <c r="T896">
        <v>0.41</v>
      </c>
      <c r="U896">
        <v>190.38</v>
      </c>
      <c r="V896">
        <v>45</v>
      </c>
      <c r="W896">
        <v>49.37</v>
      </c>
      <c r="X896">
        <v>45</v>
      </c>
      <c r="AB896" t="s">
        <v>13255</v>
      </c>
      <c r="AC896" t="s">
        <v>9165</v>
      </c>
      <c r="AE896" t="s">
        <v>2969</v>
      </c>
      <c r="AF896" t="s">
        <v>13256</v>
      </c>
      <c r="AH896" t="s">
        <v>4129</v>
      </c>
      <c r="AI896" t="s">
        <v>9165</v>
      </c>
      <c r="AO896" t="s">
        <v>13257</v>
      </c>
    </row>
    <row r="897" spans="1:41" hidden="1" x14ac:dyDescent="0.35">
      <c r="A897" t="s">
        <v>13258</v>
      </c>
      <c r="B897" t="s">
        <v>7246</v>
      </c>
      <c r="C897" t="s">
        <v>4136</v>
      </c>
      <c r="D897" t="s">
        <v>4136</v>
      </c>
      <c r="E897" t="s">
        <v>4136</v>
      </c>
      <c r="G897" s="13" t="s">
        <v>13259</v>
      </c>
      <c r="H897" t="s">
        <v>13260</v>
      </c>
      <c r="J897" t="s">
        <v>13261</v>
      </c>
      <c r="K897" t="s">
        <v>10372</v>
      </c>
      <c r="L897" t="s">
        <v>6511</v>
      </c>
      <c r="M897" t="s">
        <v>7250</v>
      </c>
      <c r="N897">
        <v>2014</v>
      </c>
      <c r="R897">
        <v>250</v>
      </c>
      <c r="S897" t="s">
        <v>7251</v>
      </c>
      <c r="T897">
        <v>2.59</v>
      </c>
      <c r="U897">
        <v>1203.33</v>
      </c>
      <c r="V897">
        <v>1.5</v>
      </c>
      <c r="W897">
        <v>2.68</v>
      </c>
      <c r="X897">
        <v>1.5</v>
      </c>
      <c r="AA897" t="s">
        <v>13262</v>
      </c>
      <c r="AC897" t="s">
        <v>8859</v>
      </c>
      <c r="AD897" t="s">
        <v>10418</v>
      </c>
      <c r="AG897" t="s">
        <v>10418</v>
      </c>
      <c r="AI897" t="s">
        <v>8859</v>
      </c>
      <c r="AO897" t="s">
        <v>13263</v>
      </c>
    </row>
    <row r="898" spans="1:41" hidden="1" x14ac:dyDescent="0.35">
      <c r="A898" t="s">
        <v>13264</v>
      </c>
      <c r="B898" t="s">
        <v>7246</v>
      </c>
      <c r="C898" t="s">
        <v>4136</v>
      </c>
      <c r="D898" t="s">
        <v>4136</v>
      </c>
      <c r="E898" t="s">
        <v>4136</v>
      </c>
      <c r="G898" s="13" t="s">
        <v>13265</v>
      </c>
      <c r="H898" t="s">
        <v>13266</v>
      </c>
      <c r="K898" t="s">
        <v>10508</v>
      </c>
      <c r="L898" t="s">
        <v>6511</v>
      </c>
      <c r="M898" t="s">
        <v>7250</v>
      </c>
      <c r="N898">
        <v>1991</v>
      </c>
      <c r="R898">
        <v>25</v>
      </c>
      <c r="S898" t="s">
        <v>7251</v>
      </c>
      <c r="T898">
        <v>0.26</v>
      </c>
      <c r="U898">
        <v>120.33</v>
      </c>
      <c r="V898">
        <v>21</v>
      </c>
      <c r="W898">
        <v>28.78</v>
      </c>
      <c r="X898">
        <v>21</v>
      </c>
      <c r="Y898" t="s">
        <v>10757</v>
      </c>
      <c r="Z898" t="s">
        <v>7253</v>
      </c>
      <c r="AB898" t="s">
        <v>10522</v>
      </c>
      <c r="AC898" t="s">
        <v>8859</v>
      </c>
      <c r="AD898" t="s">
        <v>10418</v>
      </c>
      <c r="AG898" t="s">
        <v>13267</v>
      </c>
      <c r="AI898" t="s">
        <v>8859</v>
      </c>
      <c r="AO898" t="s">
        <v>13268</v>
      </c>
    </row>
    <row r="899" spans="1:41" x14ac:dyDescent="0.35">
      <c r="A899" t="s">
        <v>13269</v>
      </c>
      <c r="B899" t="s">
        <v>7246</v>
      </c>
      <c r="C899" t="s">
        <v>24</v>
      </c>
      <c r="D899" t="s">
        <v>24</v>
      </c>
      <c r="E899" t="s">
        <v>24</v>
      </c>
      <c r="F899" t="s">
        <v>354</v>
      </c>
      <c r="G899" s="13" t="s">
        <v>13270</v>
      </c>
      <c r="H899" t="s">
        <v>13271</v>
      </c>
      <c r="J899" t="s">
        <v>13272</v>
      </c>
      <c r="K899" t="s">
        <v>11241</v>
      </c>
      <c r="L899" t="s">
        <v>11241</v>
      </c>
      <c r="M899" t="s">
        <v>7250</v>
      </c>
      <c r="N899">
        <v>2009</v>
      </c>
      <c r="R899">
        <v>614</v>
      </c>
      <c r="S899" t="s">
        <v>9164</v>
      </c>
      <c r="T899">
        <v>6.28</v>
      </c>
      <c r="U899">
        <v>2922.32</v>
      </c>
      <c r="V899">
        <v>250</v>
      </c>
      <c r="W899">
        <v>65.760000000000005</v>
      </c>
      <c r="X899">
        <v>250</v>
      </c>
      <c r="AB899" t="s">
        <v>13273</v>
      </c>
      <c r="AC899" t="s">
        <v>9165</v>
      </c>
      <c r="AE899" t="s">
        <v>2969</v>
      </c>
      <c r="AF899" t="s">
        <v>13274</v>
      </c>
      <c r="AH899" t="s">
        <v>2969</v>
      </c>
      <c r="AI899" t="s">
        <v>9165</v>
      </c>
      <c r="AO899" t="s">
        <v>13275</v>
      </c>
    </row>
    <row r="900" spans="1:41" hidden="1" x14ac:dyDescent="0.35">
      <c r="A900" t="s">
        <v>13276</v>
      </c>
      <c r="B900" t="s">
        <v>7246</v>
      </c>
      <c r="C900" t="s">
        <v>396</v>
      </c>
      <c r="D900" t="s">
        <v>396</v>
      </c>
      <c r="E900" t="s">
        <v>396</v>
      </c>
      <c r="G900" s="13" t="s">
        <v>13277</v>
      </c>
      <c r="H900" t="s">
        <v>13278</v>
      </c>
      <c r="K900" t="s">
        <v>13279</v>
      </c>
      <c r="L900" t="s">
        <v>13279</v>
      </c>
      <c r="M900" t="s">
        <v>7250</v>
      </c>
      <c r="N900">
        <v>2004</v>
      </c>
      <c r="T900" t="s">
        <v>6546</v>
      </c>
      <c r="U900" t="s">
        <v>6546</v>
      </c>
      <c r="V900">
        <v>28</v>
      </c>
      <c r="W900">
        <v>71.16</v>
      </c>
      <c r="X900">
        <v>28</v>
      </c>
      <c r="Y900">
        <v>400</v>
      </c>
      <c r="Z900" t="s">
        <v>8842</v>
      </c>
      <c r="AB900" t="s">
        <v>7118</v>
      </c>
      <c r="AC900" t="s">
        <v>9852</v>
      </c>
      <c r="AD900" t="s">
        <v>11390</v>
      </c>
      <c r="AE900" t="s">
        <v>5078</v>
      </c>
      <c r="AF900" t="s">
        <v>13280</v>
      </c>
      <c r="AG900" t="s">
        <v>11390</v>
      </c>
      <c r="AH900" t="s">
        <v>5078</v>
      </c>
      <c r="AI900" t="s">
        <v>9852</v>
      </c>
      <c r="AO900" t="s">
        <v>13281</v>
      </c>
    </row>
    <row r="901" spans="1:41" x14ac:dyDescent="0.35">
      <c r="A901" t="s">
        <v>13282</v>
      </c>
      <c r="B901" t="s">
        <v>7246</v>
      </c>
      <c r="C901" t="s">
        <v>24</v>
      </c>
      <c r="D901" t="s">
        <v>24</v>
      </c>
      <c r="E901" t="s">
        <v>24</v>
      </c>
      <c r="F901" t="s">
        <v>354</v>
      </c>
      <c r="G901" s="13" t="s">
        <v>13283</v>
      </c>
      <c r="H901" t="s">
        <v>13284</v>
      </c>
      <c r="J901" t="s">
        <v>13285</v>
      </c>
      <c r="K901" t="s">
        <v>9163</v>
      </c>
      <c r="L901" t="s">
        <v>9163</v>
      </c>
      <c r="M901" t="s">
        <v>7250</v>
      </c>
      <c r="N901">
        <v>1996</v>
      </c>
      <c r="R901">
        <v>404</v>
      </c>
      <c r="S901" t="s">
        <v>9164</v>
      </c>
      <c r="T901">
        <v>4.13</v>
      </c>
      <c r="U901">
        <v>1922.83</v>
      </c>
      <c r="V901">
        <v>937</v>
      </c>
      <c r="W901">
        <v>928.83</v>
      </c>
      <c r="X901">
        <v>937</v>
      </c>
      <c r="AA901" t="s">
        <v>13286</v>
      </c>
      <c r="AB901" t="s">
        <v>12820</v>
      </c>
      <c r="AC901" t="s">
        <v>9165</v>
      </c>
      <c r="AE901" t="s">
        <v>2973</v>
      </c>
      <c r="AF901" t="s">
        <v>13040</v>
      </c>
      <c r="AH901" t="s">
        <v>2973</v>
      </c>
      <c r="AI901" t="s">
        <v>9165</v>
      </c>
      <c r="AO901" t="s">
        <v>13287</v>
      </c>
    </row>
    <row r="902" spans="1:41" hidden="1" x14ac:dyDescent="0.35">
      <c r="A902" t="s">
        <v>13288</v>
      </c>
      <c r="B902" t="s">
        <v>7246</v>
      </c>
      <c r="C902" t="s">
        <v>396</v>
      </c>
      <c r="D902" t="s">
        <v>396</v>
      </c>
      <c r="E902" t="s">
        <v>396</v>
      </c>
      <c r="G902" s="13" t="s">
        <v>13289</v>
      </c>
      <c r="H902" t="s">
        <v>13290</v>
      </c>
      <c r="K902" t="s">
        <v>7113</v>
      </c>
      <c r="L902" t="s">
        <v>7113</v>
      </c>
      <c r="M902" t="s">
        <v>7250</v>
      </c>
      <c r="N902">
        <v>2006</v>
      </c>
      <c r="T902" t="s">
        <v>6546</v>
      </c>
      <c r="U902" t="s">
        <v>6546</v>
      </c>
      <c r="V902">
        <v>46</v>
      </c>
      <c r="W902">
        <v>42.31</v>
      </c>
      <c r="X902">
        <v>46</v>
      </c>
      <c r="AB902" t="s">
        <v>13082</v>
      </c>
      <c r="AC902" t="s">
        <v>9852</v>
      </c>
      <c r="AF902" t="s">
        <v>13291</v>
      </c>
      <c r="AI902" t="s">
        <v>9852</v>
      </c>
      <c r="AO902" t="s">
        <v>13292</v>
      </c>
    </row>
    <row r="903" spans="1:41" hidden="1" x14ac:dyDescent="0.35">
      <c r="A903" t="s">
        <v>13293</v>
      </c>
      <c r="B903" t="s">
        <v>7246</v>
      </c>
      <c r="C903" t="s">
        <v>396</v>
      </c>
      <c r="D903" t="s">
        <v>396</v>
      </c>
      <c r="E903" t="s">
        <v>396</v>
      </c>
      <c r="G903" s="13" t="s">
        <v>13294</v>
      </c>
      <c r="H903" t="s">
        <v>13295</v>
      </c>
      <c r="K903" t="s">
        <v>7101</v>
      </c>
      <c r="L903" t="s">
        <v>7101</v>
      </c>
      <c r="M903" t="s">
        <v>7250</v>
      </c>
      <c r="N903">
        <v>2013</v>
      </c>
      <c r="T903" t="s">
        <v>6546</v>
      </c>
      <c r="U903" t="s">
        <v>6546</v>
      </c>
      <c r="V903">
        <v>76</v>
      </c>
      <c r="W903">
        <v>63.57</v>
      </c>
      <c r="X903">
        <v>76</v>
      </c>
      <c r="Y903" t="s">
        <v>13296</v>
      </c>
      <c r="Z903" t="s">
        <v>8842</v>
      </c>
      <c r="AB903" t="s">
        <v>13297</v>
      </c>
      <c r="AC903" t="s">
        <v>9852</v>
      </c>
      <c r="AD903" t="s">
        <v>11428</v>
      </c>
      <c r="AF903" t="s">
        <v>13298</v>
      </c>
      <c r="AG903" t="s">
        <v>11428</v>
      </c>
      <c r="AI903" t="s">
        <v>9852</v>
      </c>
      <c r="AO903" t="s">
        <v>13299</v>
      </c>
    </row>
    <row r="904" spans="1:41" hidden="1" x14ac:dyDescent="0.35">
      <c r="A904" t="s">
        <v>13300</v>
      </c>
      <c r="B904" t="s">
        <v>7246</v>
      </c>
      <c r="C904" t="s">
        <v>396</v>
      </c>
      <c r="D904" t="s">
        <v>396</v>
      </c>
      <c r="E904" t="s">
        <v>396</v>
      </c>
      <c r="G904" s="13" t="s">
        <v>13301</v>
      </c>
      <c r="H904" t="s">
        <v>13302</v>
      </c>
      <c r="K904" t="s">
        <v>7101</v>
      </c>
      <c r="L904" t="s">
        <v>7101</v>
      </c>
      <c r="M904" t="s">
        <v>7250</v>
      </c>
      <c r="N904">
        <v>2009</v>
      </c>
      <c r="T904" t="s">
        <v>6546</v>
      </c>
      <c r="U904" t="s">
        <v>6546</v>
      </c>
      <c r="V904">
        <v>68</v>
      </c>
      <c r="W904">
        <v>36.46</v>
      </c>
      <c r="X904">
        <v>68</v>
      </c>
      <c r="Y904">
        <v>500</v>
      </c>
      <c r="Z904" t="s">
        <v>8842</v>
      </c>
      <c r="AB904" t="s">
        <v>7100</v>
      </c>
      <c r="AC904" t="s">
        <v>9852</v>
      </c>
      <c r="AD904" t="s">
        <v>11428</v>
      </c>
      <c r="AF904" t="s">
        <v>13224</v>
      </c>
      <c r="AG904" t="s">
        <v>11435</v>
      </c>
      <c r="AI904" t="s">
        <v>9852</v>
      </c>
      <c r="AO904" t="s">
        <v>13303</v>
      </c>
    </row>
    <row r="905" spans="1:41" x14ac:dyDescent="0.35">
      <c r="A905" t="s">
        <v>13304</v>
      </c>
      <c r="B905" t="s">
        <v>7246</v>
      </c>
      <c r="C905" t="s">
        <v>24</v>
      </c>
      <c r="D905" t="s">
        <v>24</v>
      </c>
      <c r="E905" t="s">
        <v>24</v>
      </c>
      <c r="F905" t="s">
        <v>354</v>
      </c>
      <c r="G905" s="13" t="s">
        <v>13305</v>
      </c>
      <c r="H905" t="s">
        <v>13306</v>
      </c>
      <c r="K905" t="s">
        <v>13307</v>
      </c>
      <c r="L905" t="s">
        <v>13307</v>
      </c>
      <c r="M905" t="s">
        <v>7250</v>
      </c>
      <c r="N905">
        <v>2004</v>
      </c>
      <c r="R905">
        <v>142</v>
      </c>
      <c r="S905" t="s">
        <v>9164</v>
      </c>
      <c r="T905">
        <v>1.45</v>
      </c>
      <c r="U905">
        <v>675.85</v>
      </c>
      <c r="V905">
        <v>87</v>
      </c>
      <c r="W905">
        <v>87.09</v>
      </c>
      <c r="X905">
        <v>87</v>
      </c>
      <c r="AA905" t="s">
        <v>10741</v>
      </c>
      <c r="AB905" t="s">
        <v>13308</v>
      </c>
      <c r="AC905" t="s">
        <v>9165</v>
      </c>
      <c r="AE905" t="s">
        <v>2973</v>
      </c>
      <c r="AF905" t="s">
        <v>13040</v>
      </c>
      <c r="AH905" t="s">
        <v>2973</v>
      </c>
      <c r="AI905" t="s">
        <v>9165</v>
      </c>
      <c r="AO905" t="s">
        <v>13309</v>
      </c>
    </row>
    <row r="906" spans="1:41" hidden="1" x14ac:dyDescent="0.35">
      <c r="A906" t="s">
        <v>13310</v>
      </c>
      <c r="B906" t="s">
        <v>7246</v>
      </c>
      <c r="C906" t="s">
        <v>4136</v>
      </c>
      <c r="D906" t="s">
        <v>4136</v>
      </c>
      <c r="E906" t="s">
        <v>4136</v>
      </c>
      <c r="G906" s="13" t="s">
        <v>13311</v>
      </c>
      <c r="H906" t="s">
        <v>13312</v>
      </c>
      <c r="K906" t="s">
        <v>10372</v>
      </c>
      <c r="L906" t="s">
        <v>6511</v>
      </c>
      <c r="M906" t="s">
        <v>7250</v>
      </c>
      <c r="N906">
        <v>2010</v>
      </c>
      <c r="R906">
        <v>330</v>
      </c>
      <c r="S906" t="s">
        <v>7251</v>
      </c>
      <c r="T906">
        <v>3.41</v>
      </c>
      <c r="U906">
        <v>1588.4</v>
      </c>
      <c r="V906">
        <v>8</v>
      </c>
      <c r="W906">
        <v>13.3</v>
      </c>
      <c r="X906">
        <v>8</v>
      </c>
      <c r="Y906">
        <v>24</v>
      </c>
      <c r="Z906" t="s">
        <v>7253</v>
      </c>
      <c r="AA906" t="s">
        <v>13313</v>
      </c>
      <c r="AC906" t="s">
        <v>8859</v>
      </c>
      <c r="AD906" t="s">
        <v>10393</v>
      </c>
      <c r="AF906" t="s">
        <v>10380</v>
      </c>
      <c r="AG906" t="s">
        <v>2678</v>
      </c>
      <c r="AI906" t="s">
        <v>8859</v>
      </c>
      <c r="AO906" t="s">
        <v>13314</v>
      </c>
    </row>
    <row r="907" spans="1:41" hidden="1" x14ac:dyDescent="0.35">
      <c r="A907" t="s">
        <v>13315</v>
      </c>
      <c r="B907" t="s">
        <v>7246</v>
      </c>
      <c r="C907" t="s">
        <v>396</v>
      </c>
      <c r="D907" t="s">
        <v>396</v>
      </c>
      <c r="E907" t="s">
        <v>396</v>
      </c>
      <c r="G907" s="13" t="s">
        <v>13316</v>
      </c>
      <c r="H907" t="s">
        <v>13317</v>
      </c>
      <c r="J907" t="s">
        <v>13318</v>
      </c>
      <c r="K907" t="s">
        <v>7101</v>
      </c>
      <c r="L907" t="s">
        <v>7101</v>
      </c>
      <c r="M907" t="s">
        <v>7250</v>
      </c>
      <c r="N907">
        <v>2012</v>
      </c>
      <c r="T907" t="s">
        <v>6546</v>
      </c>
      <c r="U907" t="s">
        <v>6546</v>
      </c>
      <c r="V907">
        <v>213</v>
      </c>
      <c r="W907">
        <v>125.16</v>
      </c>
      <c r="X907">
        <v>213</v>
      </c>
      <c r="Y907">
        <v>500</v>
      </c>
      <c r="Z907" t="s">
        <v>8842</v>
      </c>
      <c r="AB907" t="s">
        <v>7100</v>
      </c>
      <c r="AC907" t="s">
        <v>9852</v>
      </c>
      <c r="AD907" t="s">
        <v>11428</v>
      </c>
      <c r="AF907" t="s">
        <v>13319</v>
      </c>
      <c r="AG907" t="s">
        <v>13003</v>
      </c>
      <c r="AI907" t="s">
        <v>9852</v>
      </c>
      <c r="AO907" t="s">
        <v>13320</v>
      </c>
    </row>
    <row r="908" spans="1:41" hidden="1" x14ac:dyDescent="0.35">
      <c r="A908" t="s">
        <v>13321</v>
      </c>
      <c r="B908" t="s">
        <v>7246</v>
      </c>
      <c r="C908" t="s">
        <v>396</v>
      </c>
      <c r="D908" t="s">
        <v>396</v>
      </c>
      <c r="E908" t="s">
        <v>396</v>
      </c>
      <c r="G908" s="13" t="s">
        <v>13322</v>
      </c>
      <c r="H908" t="s">
        <v>13323</v>
      </c>
      <c r="K908" t="s">
        <v>11270</v>
      </c>
      <c r="L908" t="s">
        <v>11270</v>
      </c>
      <c r="M908" t="s">
        <v>7250</v>
      </c>
      <c r="N908">
        <v>1989</v>
      </c>
      <c r="T908" t="s">
        <v>6546</v>
      </c>
      <c r="U908" t="s">
        <v>6546</v>
      </c>
      <c r="V908">
        <v>68</v>
      </c>
      <c r="W908">
        <v>36.799999999999997</v>
      </c>
      <c r="X908">
        <v>68</v>
      </c>
      <c r="AB908" t="s">
        <v>13324</v>
      </c>
      <c r="AC908" t="s">
        <v>9852</v>
      </c>
      <c r="AD908" t="s">
        <v>5121</v>
      </c>
      <c r="AF908" t="s">
        <v>13325</v>
      </c>
      <c r="AG908" t="s">
        <v>11461</v>
      </c>
      <c r="AI908" t="s">
        <v>9852</v>
      </c>
      <c r="AO908" t="s">
        <v>13326</v>
      </c>
    </row>
    <row r="909" spans="1:41" hidden="1" x14ac:dyDescent="0.35">
      <c r="A909" t="s">
        <v>13327</v>
      </c>
      <c r="B909" t="s">
        <v>7246</v>
      </c>
      <c r="C909" t="s">
        <v>396</v>
      </c>
      <c r="D909" t="s">
        <v>396</v>
      </c>
      <c r="E909" t="s">
        <v>396</v>
      </c>
      <c r="G909" s="13" t="s">
        <v>13328</v>
      </c>
      <c r="H909" t="s">
        <v>13329</v>
      </c>
      <c r="K909" t="s">
        <v>13153</v>
      </c>
      <c r="L909" t="s">
        <v>13153</v>
      </c>
      <c r="M909" t="s">
        <v>7250</v>
      </c>
      <c r="N909">
        <v>2007</v>
      </c>
      <c r="T909" t="s">
        <v>6546</v>
      </c>
      <c r="U909" t="s">
        <v>6546</v>
      </c>
      <c r="V909">
        <v>95</v>
      </c>
      <c r="W909">
        <v>70.62</v>
      </c>
      <c r="X909">
        <v>95</v>
      </c>
      <c r="Y909">
        <v>400</v>
      </c>
      <c r="Z909" t="s">
        <v>8842</v>
      </c>
      <c r="AB909" t="s">
        <v>13330</v>
      </c>
      <c r="AC909" t="s">
        <v>9852</v>
      </c>
      <c r="AD909" t="s">
        <v>5145</v>
      </c>
      <c r="AF909" t="s">
        <v>13155</v>
      </c>
      <c r="AG909" t="s">
        <v>11448</v>
      </c>
      <c r="AI909" t="s">
        <v>9852</v>
      </c>
      <c r="AO909" t="s">
        <v>13331</v>
      </c>
    </row>
    <row r="910" spans="1:41" hidden="1" x14ac:dyDescent="0.35">
      <c r="A910" t="s">
        <v>13332</v>
      </c>
      <c r="B910" t="s">
        <v>7246</v>
      </c>
      <c r="C910" t="s">
        <v>396</v>
      </c>
      <c r="D910" t="s">
        <v>396</v>
      </c>
      <c r="E910" t="s">
        <v>396</v>
      </c>
      <c r="G910" s="13" t="s">
        <v>13333</v>
      </c>
      <c r="H910" t="s">
        <v>13334</v>
      </c>
      <c r="J910" t="s">
        <v>13335</v>
      </c>
      <c r="K910" t="s">
        <v>7101</v>
      </c>
      <c r="L910" t="s">
        <v>7101</v>
      </c>
      <c r="M910" t="s">
        <v>7250</v>
      </c>
      <c r="N910">
        <v>2006</v>
      </c>
      <c r="T910" t="s">
        <v>6546</v>
      </c>
      <c r="U910" t="s">
        <v>6546</v>
      </c>
      <c r="V910">
        <v>81</v>
      </c>
      <c r="W910">
        <v>50.45</v>
      </c>
      <c r="X910">
        <v>81</v>
      </c>
      <c r="Y910">
        <v>400</v>
      </c>
      <c r="Z910" t="s">
        <v>8842</v>
      </c>
      <c r="AB910" t="s">
        <v>13336</v>
      </c>
      <c r="AC910" t="s">
        <v>9852</v>
      </c>
      <c r="AD910" t="s">
        <v>13137</v>
      </c>
      <c r="AF910" t="s">
        <v>13188</v>
      </c>
      <c r="AG910" t="s">
        <v>11399</v>
      </c>
      <c r="AI910" t="s">
        <v>9852</v>
      </c>
      <c r="AO910" t="s">
        <v>13337</v>
      </c>
    </row>
    <row r="911" spans="1:41" hidden="1" x14ac:dyDescent="0.35">
      <c r="A911" t="s">
        <v>13338</v>
      </c>
      <c r="B911" t="s">
        <v>7246</v>
      </c>
      <c r="C911" t="s">
        <v>10693</v>
      </c>
      <c r="D911" t="s">
        <v>10693</v>
      </c>
      <c r="E911" t="s">
        <v>10693</v>
      </c>
      <c r="G911" s="13" t="s">
        <v>13339</v>
      </c>
      <c r="H911" t="s">
        <v>13340</v>
      </c>
      <c r="K911" t="s">
        <v>6543</v>
      </c>
      <c r="L911" t="s">
        <v>6543</v>
      </c>
      <c r="M911" t="s">
        <v>7292</v>
      </c>
      <c r="N911">
        <v>2026</v>
      </c>
      <c r="R911">
        <v>400</v>
      </c>
      <c r="S911" t="s">
        <v>7251</v>
      </c>
      <c r="T911">
        <v>4.1399999999999997</v>
      </c>
      <c r="U911">
        <v>1925.33</v>
      </c>
      <c r="V911" t="s">
        <v>6546</v>
      </c>
      <c r="W911">
        <v>105.25</v>
      </c>
      <c r="X911">
        <v>105.25</v>
      </c>
      <c r="AA911" t="s">
        <v>5422</v>
      </c>
      <c r="AB911" t="s">
        <v>13341</v>
      </c>
      <c r="AC911" t="s">
        <v>8523</v>
      </c>
      <c r="AE911" t="s">
        <v>13342</v>
      </c>
      <c r="AF911" t="s">
        <v>13343</v>
      </c>
      <c r="AH911" t="s">
        <v>13342</v>
      </c>
      <c r="AI911" t="s">
        <v>8523</v>
      </c>
      <c r="AL911" t="s">
        <v>13344</v>
      </c>
      <c r="AN911" s="13" t="s">
        <v>13345</v>
      </c>
      <c r="AO911" t="s">
        <v>13346</v>
      </c>
    </row>
    <row r="912" spans="1:41" hidden="1" x14ac:dyDescent="0.35">
      <c r="A912" t="s">
        <v>13347</v>
      </c>
      <c r="B912" t="s">
        <v>7246</v>
      </c>
      <c r="C912" t="s">
        <v>10693</v>
      </c>
      <c r="D912" t="s">
        <v>10693</v>
      </c>
      <c r="E912" t="s">
        <v>10693</v>
      </c>
      <c r="G912" s="13" t="s">
        <v>13348</v>
      </c>
      <c r="H912" t="s">
        <v>13349</v>
      </c>
      <c r="I912" t="s">
        <v>8099</v>
      </c>
      <c r="K912" t="s">
        <v>13350</v>
      </c>
      <c r="L912" t="s">
        <v>13350</v>
      </c>
      <c r="M912" t="s">
        <v>7292</v>
      </c>
      <c r="N912">
        <v>2024</v>
      </c>
      <c r="R912">
        <v>200</v>
      </c>
      <c r="S912" t="s">
        <v>7251</v>
      </c>
      <c r="T912">
        <v>2.0699999999999998</v>
      </c>
      <c r="U912">
        <v>962.67</v>
      </c>
      <c r="V912">
        <v>285</v>
      </c>
      <c r="W912">
        <v>265.42</v>
      </c>
      <c r="X912">
        <v>285</v>
      </c>
      <c r="Y912">
        <v>20</v>
      </c>
      <c r="Z912" t="s">
        <v>7253</v>
      </c>
      <c r="AA912" t="s">
        <v>13351</v>
      </c>
      <c r="AB912" t="s">
        <v>10701</v>
      </c>
      <c r="AC912" t="s">
        <v>8523</v>
      </c>
      <c r="AE912" t="s">
        <v>10702</v>
      </c>
      <c r="AF912" t="s">
        <v>13352</v>
      </c>
      <c r="AH912" t="s">
        <v>13353</v>
      </c>
      <c r="AI912" t="s">
        <v>8523</v>
      </c>
      <c r="AL912" t="s">
        <v>13354</v>
      </c>
      <c r="AM912" t="s">
        <v>13355</v>
      </c>
      <c r="AN912" s="13" t="s">
        <v>13356</v>
      </c>
      <c r="AO912" t="s">
        <v>13357</v>
      </c>
    </row>
    <row r="913" spans="1:41" hidden="1" x14ac:dyDescent="0.35">
      <c r="A913" t="s">
        <v>13358</v>
      </c>
      <c r="B913" t="s">
        <v>7246</v>
      </c>
      <c r="C913" t="s">
        <v>10693</v>
      </c>
      <c r="D913" t="s">
        <v>10693</v>
      </c>
      <c r="E913" t="s">
        <v>10693</v>
      </c>
      <c r="G913" s="13" t="s">
        <v>10694</v>
      </c>
      <c r="H913" t="s">
        <v>10695</v>
      </c>
      <c r="J913" t="s">
        <v>13359</v>
      </c>
      <c r="K913" t="s">
        <v>10698</v>
      </c>
      <c r="L913" t="s">
        <v>10698</v>
      </c>
      <c r="M913" t="s">
        <v>7250</v>
      </c>
      <c r="N913">
        <v>1977</v>
      </c>
      <c r="R913">
        <v>166</v>
      </c>
      <c r="S913" t="s">
        <v>7251</v>
      </c>
      <c r="T913">
        <v>1.72</v>
      </c>
      <c r="U913">
        <v>799.01</v>
      </c>
      <c r="V913">
        <v>1222</v>
      </c>
      <c r="W913">
        <v>582.24</v>
      </c>
      <c r="X913">
        <v>1222</v>
      </c>
      <c r="Y913" t="s">
        <v>13360</v>
      </c>
      <c r="Z913" t="s">
        <v>7253</v>
      </c>
      <c r="AA913" t="s">
        <v>13361</v>
      </c>
      <c r="AB913" t="s">
        <v>13362</v>
      </c>
      <c r="AC913" t="s">
        <v>8523</v>
      </c>
      <c r="AE913" t="s">
        <v>13363</v>
      </c>
      <c r="AF913" t="s">
        <v>10701</v>
      </c>
      <c r="AH913" t="s">
        <v>10702</v>
      </c>
      <c r="AI913" t="s">
        <v>8523</v>
      </c>
      <c r="AL913" t="s">
        <v>13364</v>
      </c>
      <c r="AN913" s="13" t="s">
        <v>10706</v>
      </c>
      <c r="AO913" t="s">
        <v>13365</v>
      </c>
    </row>
    <row r="914" spans="1:41" hidden="1" x14ac:dyDescent="0.35">
      <c r="A914" t="s">
        <v>13366</v>
      </c>
      <c r="B914" t="s">
        <v>7246</v>
      </c>
      <c r="C914" t="s">
        <v>10693</v>
      </c>
      <c r="D914" t="s">
        <v>10693</v>
      </c>
      <c r="E914" t="s">
        <v>10693</v>
      </c>
      <c r="G914" s="13" t="s">
        <v>10694</v>
      </c>
      <c r="H914" t="s">
        <v>10695</v>
      </c>
      <c r="I914" t="s">
        <v>13367</v>
      </c>
      <c r="J914" t="s">
        <v>13368</v>
      </c>
      <c r="K914" t="s">
        <v>10698</v>
      </c>
      <c r="L914" t="s">
        <v>10698</v>
      </c>
      <c r="M914" t="s">
        <v>7250</v>
      </c>
      <c r="N914">
        <v>2020</v>
      </c>
      <c r="R914">
        <v>100</v>
      </c>
      <c r="S914" t="s">
        <v>7251</v>
      </c>
      <c r="T914">
        <v>1.03</v>
      </c>
      <c r="U914">
        <v>481.33</v>
      </c>
      <c r="V914">
        <v>0</v>
      </c>
      <c r="W914" t="s">
        <v>6546</v>
      </c>
      <c r="X914">
        <v>0</v>
      </c>
      <c r="Y914">
        <v>20</v>
      </c>
      <c r="Z914" t="s">
        <v>7253</v>
      </c>
      <c r="AB914" t="s">
        <v>13369</v>
      </c>
      <c r="AC914" t="s">
        <v>8523</v>
      </c>
      <c r="AE914" t="s">
        <v>3233</v>
      </c>
      <c r="AF914" t="s">
        <v>13370</v>
      </c>
      <c r="AH914" t="s">
        <v>13371</v>
      </c>
      <c r="AI914" t="s">
        <v>8523</v>
      </c>
      <c r="AL914" t="s">
        <v>13372</v>
      </c>
      <c r="AM914" t="s">
        <v>13373</v>
      </c>
      <c r="AN914" s="13" t="s">
        <v>10706</v>
      </c>
      <c r="AO914" t="s">
        <v>6546</v>
      </c>
    </row>
    <row r="915" spans="1:41" hidden="1" x14ac:dyDescent="0.35">
      <c r="A915" t="s">
        <v>13374</v>
      </c>
      <c r="B915" t="s">
        <v>7246</v>
      </c>
      <c r="C915" t="s">
        <v>5586</v>
      </c>
      <c r="D915" t="s">
        <v>5844</v>
      </c>
      <c r="E915" t="s">
        <v>13375</v>
      </c>
      <c r="G915" s="13" t="s">
        <v>13376</v>
      </c>
      <c r="H915" t="s">
        <v>13377</v>
      </c>
      <c r="I915" t="s">
        <v>13378</v>
      </c>
      <c r="J915" t="s">
        <v>13378</v>
      </c>
      <c r="K915" t="s">
        <v>13379</v>
      </c>
      <c r="L915" t="s">
        <v>13379</v>
      </c>
      <c r="M915" t="s">
        <v>7292</v>
      </c>
      <c r="N915">
        <v>2027</v>
      </c>
      <c r="O915">
        <v>2028</v>
      </c>
      <c r="R915">
        <v>7</v>
      </c>
      <c r="S915" t="s">
        <v>8257</v>
      </c>
      <c r="T915">
        <v>7</v>
      </c>
      <c r="U915">
        <v>3257.68</v>
      </c>
      <c r="V915">
        <v>182</v>
      </c>
      <c r="W915">
        <v>177.49</v>
      </c>
      <c r="X915">
        <v>182</v>
      </c>
      <c r="Y915">
        <v>31.5</v>
      </c>
      <c r="Z915" t="s">
        <v>7253</v>
      </c>
      <c r="AC915" t="s">
        <v>8777</v>
      </c>
      <c r="AD915" t="s">
        <v>9803</v>
      </c>
      <c r="AF915" t="s">
        <v>13380</v>
      </c>
      <c r="AI915" t="s">
        <v>8777</v>
      </c>
      <c r="AJ915" t="s">
        <v>9032</v>
      </c>
      <c r="AL915" t="s">
        <v>13381</v>
      </c>
      <c r="AO915" t="s">
        <v>13382</v>
      </c>
    </row>
    <row r="916" spans="1:41" hidden="1" x14ac:dyDescent="0.35">
      <c r="A916" t="s">
        <v>13383</v>
      </c>
      <c r="B916" t="s">
        <v>7246</v>
      </c>
      <c r="C916" t="s">
        <v>5586</v>
      </c>
      <c r="D916" t="s">
        <v>5586</v>
      </c>
      <c r="E916" t="s">
        <v>5586</v>
      </c>
      <c r="G916" s="13" t="s">
        <v>13384</v>
      </c>
      <c r="H916" t="s">
        <v>13385</v>
      </c>
      <c r="I916" t="s">
        <v>13386</v>
      </c>
      <c r="J916" t="s">
        <v>13387</v>
      </c>
      <c r="K916" t="s">
        <v>12016</v>
      </c>
      <c r="L916" t="s">
        <v>12016</v>
      </c>
      <c r="M916" t="s">
        <v>7250</v>
      </c>
      <c r="N916">
        <v>2021</v>
      </c>
      <c r="R916">
        <v>2.63</v>
      </c>
      <c r="S916" t="s">
        <v>8257</v>
      </c>
      <c r="T916">
        <v>2.63</v>
      </c>
      <c r="U916">
        <v>1223.96</v>
      </c>
      <c r="V916">
        <v>18</v>
      </c>
      <c r="W916">
        <v>53.6</v>
      </c>
      <c r="X916">
        <v>18</v>
      </c>
      <c r="AA916" t="s">
        <v>13388</v>
      </c>
      <c r="AB916" t="s">
        <v>13389</v>
      </c>
      <c r="AC916" t="s">
        <v>8777</v>
      </c>
      <c r="AF916" t="s">
        <v>13390</v>
      </c>
      <c r="AI916" t="s">
        <v>8777</v>
      </c>
      <c r="AJ916" t="s">
        <v>6407</v>
      </c>
      <c r="AO916" t="s">
        <v>13391</v>
      </c>
    </row>
    <row r="917" spans="1:41" hidden="1" x14ac:dyDescent="0.35">
      <c r="A917" t="s">
        <v>13392</v>
      </c>
      <c r="B917" t="s">
        <v>7246</v>
      </c>
      <c r="C917" t="s">
        <v>5586</v>
      </c>
      <c r="D917" t="s">
        <v>5586</v>
      </c>
      <c r="E917" t="s">
        <v>5586</v>
      </c>
      <c r="G917" s="13" t="s">
        <v>13384</v>
      </c>
      <c r="H917" t="s">
        <v>13385</v>
      </c>
      <c r="I917" t="s">
        <v>13393</v>
      </c>
      <c r="J917" t="s">
        <v>13394</v>
      </c>
      <c r="K917" t="s">
        <v>12016</v>
      </c>
      <c r="L917" t="s">
        <v>12016</v>
      </c>
      <c r="M917" t="s">
        <v>7292</v>
      </c>
      <c r="N917">
        <v>2027</v>
      </c>
      <c r="R917">
        <v>10</v>
      </c>
      <c r="S917" t="s">
        <v>8257</v>
      </c>
      <c r="T917">
        <v>10</v>
      </c>
      <c r="U917">
        <v>4653.83</v>
      </c>
      <c r="V917">
        <v>180</v>
      </c>
      <c r="W917">
        <v>124.45</v>
      </c>
      <c r="X917">
        <v>180</v>
      </c>
      <c r="AB917" t="s">
        <v>13390</v>
      </c>
      <c r="AC917" t="s">
        <v>8777</v>
      </c>
      <c r="AF917" t="s">
        <v>13395</v>
      </c>
      <c r="AI917" t="s">
        <v>8777</v>
      </c>
      <c r="AJ917" t="s">
        <v>9032</v>
      </c>
      <c r="AO917" t="s">
        <v>13396</v>
      </c>
    </row>
    <row r="918" spans="1:41" hidden="1" x14ac:dyDescent="0.35">
      <c r="A918" t="s">
        <v>13397</v>
      </c>
      <c r="B918" t="s">
        <v>7246</v>
      </c>
      <c r="C918" t="s">
        <v>5586</v>
      </c>
      <c r="D918" t="s">
        <v>5586</v>
      </c>
      <c r="E918" t="s">
        <v>5586</v>
      </c>
      <c r="G918" s="13" t="s">
        <v>13384</v>
      </c>
      <c r="H918" t="s">
        <v>13385</v>
      </c>
      <c r="I918" t="s">
        <v>13398</v>
      </c>
      <c r="J918" t="s">
        <v>13399</v>
      </c>
      <c r="K918" t="s">
        <v>12016</v>
      </c>
      <c r="L918" t="s">
        <v>12016</v>
      </c>
      <c r="M918" t="s">
        <v>7292</v>
      </c>
      <c r="N918">
        <v>2027</v>
      </c>
      <c r="R918">
        <v>2</v>
      </c>
      <c r="S918" t="s">
        <v>8257</v>
      </c>
      <c r="T918">
        <v>2</v>
      </c>
      <c r="U918">
        <v>930.77</v>
      </c>
      <c r="V918">
        <v>128</v>
      </c>
      <c r="W918">
        <v>115.45</v>
      </c>
      <c r="X918">
        <v>128</v>
      </c>
      <c r="AB918" t="s">
        <v>13395</v>
      </c>
      <c r="AC918" t="s">
        <v>8777</v>
      </c>
      <c r="AF918" t="s">
        <v>9803</v>
      </c>
      <c r="AI918" t="s">
        <v>8777</v>
      </c>
      <c r="AJ918" t="s">
        <v>9032</v>
      </c>
      <c r="AO918" t="s">
        <v>13400</v>
      </c>
    </row>
    <row r="919" spans="1:41" hidden="1" x14ac:dyDescent="0.35">
      <c r="A919" t="s">
        <v>13401</v>
      </c>
      <c r="B919" t="s">
        <v>7246</v>
      </c>
      <c r="C919" t="s">
        <v>9367</v>
      </c>
      <c r="D919" t="s">
        <v>9367</v>
      </c>
      <c r="E919" t="s">
        <v>9367</v>
      </c>
      <c r="G919" s="13" t="s">
        <v>13402</v>
      </c>
      <c r="H919" t="s">
        <v>13403</v>
      </c>
      <c r="J919" t="s">
        <v>13404</v>
      </c>
      <c r="K919" t="s">
        <v>13405</v>
      </c>
      <c r="L919" t="s">
        <v>13405</v>
      </c>
      <c r="M919" t="s">
        <v>7250</v>
      </c>
      <c r="T919" t="s">
        <v>6546</v>
      </c>
      <c r="U919" t="s">
        <v>6546</v>
      </c>
      <c r="V919" t="s">
        <v>6546</v>
      </c>
      <c r="W919">
        <v>264.98</v>
      </c>
      <c r="X919">
        <v>264.98</v>
      </c>
      <c r="AB919" t="s">
        <v>13406</v>
      </c>
      <c r="AC919" t="s">
        <v>8777</v>
      </c>
      <c r="AD919" t="s">
        <v>13407</v>
      </c>
      <c r="AE919" t="s">
        <v>13408</v>
      </c>
      <c r="AF919" t="s">
        <v>13409</v>
      </c>
      <c r="AG919" t="s">
        <v>13409</v>
      </c>
      <c r="AH919" t="s">
        <v>13410</v>
      </c>
      <c r="AI919" t="s">
        <v>8777</v>
      </c>
      <c r="AO919" t="s">
        <v>13411</v>
      </c>
    </row>
    <row r="920" spans="1:41" hidden="1" x14ac:dyDescent="0.35">
      <c r="A920" t="s">
        <v>13412</v>
      </c>
      <c r="B920" t="s">
        <v>7246</v>
      </c>
      <c r="C920" t="s">
        <v>13413</v>
      </c>
      <c r="D920" t="s">
        <v>13414</v>
      </c>
      <c r="E920" t="s">
        <v>13415</v>
      </c>
      <c r="G920" s="13" t="s">
        <v>13416</v>
      </c>
      <c r="H920" t="s">
        <v>13417</v>
      </c>
      <c r="K920" t="s">
        <v>13418</v>
      </c>
      <c r="L920" t="s">
        <v>13418</v>
      </c>
      <c r="M920" t="s">
        <v>7292</v>
      </c>
      <c r="N920">
        <v>2022</v>
      </c>
      <c r="R920">
        <v>12</v>
      </c>
      <c r="S920" t="s">
        <v>8257</v>
      </c>
      <c r="T920">
        <v>12</v>
      </c>
      <c r="U920">
        <v>5584.6</v>
      </c>
      <c r="V920">
        <v>767</v>
      </c>
      <c r="W920">
        <v>726.93</v>
      </c>
      <c r="X920">
        <v>767</v>
      </c>
      <c r="AB920" t="s">
        <v>13419</v>
      </c>
      <c r="AC920" t="s">
        <v>8765</v>
      </c>
      <c r="AE920" t="s">
        <v>13420</v>
      </c>
      <c r="AF920" t="s">
        <v>13421</v>
      </c>
      <c r="AH920" t="s">
        <v>13422</v>
      </c>
      <c r="AI920" t="s">
        <v>8765</v>
      </c>
      <c r="AO920" t="s">
        <v>13423</v>
      </c>
    </row>
    <row r="921" spans="1:41" hidden="1" x14ac:dyDescent="0.35">
      <c r="A921" t="s">
        <v>13424</v>
      </c>
      <c r="B921" t="s">
        <v>7246</v>
      </c>
      <c r="C921" t="s">
        <v>392</v>
      </c>
      <c r="D921" t="s">
        <v>392</v>
      </c>
      <c r="E921" t="s">
        <v>392</v>
      </c>
      <c r="G921" s="13" t="s">
        <v>13425</v>
      </c>
      <c r="H921" t="s">
        <v>13426</v>
      </c>
      <c r="K921" t="s">
        <v>13427</v>
      </c>
      <c r="L921" t="s">
        <v>13427</v>
      </c>
      <c r="M921" t="s">
        <v>7250</v>
      </c>
      <c r="N921">
        <v>2017</v>
      </c>
      <c r="T921" t="s">
        <v>6546</v>
      </c>
      <c r="U921" t="s">
        <v>6546</v>
      </c>
      <c r="V921">
        <v>90</v>
      </c>
      <c r="W921">
        <v>79.89</v>
      </c>
      <c r="X921">
        <v>90</v>
      </c>
      <c r="AB921" t="s">
        <v>13428</v>
      </c>
      <c r="AC921" t="s">
        <v>8747</v>
      </c>
      <c r="AF921" t="s">
        <v>13429</v>
      </c>
      <c r="AI921" t="s">
        <v>8747</v>
      </c>
      <c r="AO921" t="s">
        <v>13430</v>
      </c>
    </row>
    <row r="922" spans="1:41" hidden="1" x14ac:dyDescent="0.35">
      <c r="A922" t="s">
        <v>13431</v>
      </c>
      <c r="B922" t="s">
        <v>7246</v>
      </c>
      <c r="C922" t="s">
        <v>13432</v>
      </c>
      <c r="D922" t="s">
        <v>13432</v>
      </c>
      <c r="E922" t="s">
        <v>13432</v>
      </c>
      <c r="G922" s="13" t="s">
        <v>13433</v>
      </c>
      <c r="H922" t="s">
        <v>13434</v>
      </c>
      <c r="K922" t="s">
        <v>13435</v>
      </c>
      <c r="L922" t="s">
        <v>13436</v>
      </c>
      <c r="M922" t="s">
        <v>7250</v>
      </c>
      <c r="N922">
        <v>2021</v>
      </c>
      <c r="R922">
        <v>950</v>
      </c>
      <c r="S922" t="s">
        <v>7251</v>
      </c>
      <c r="T922">
        <v>9.83</v>
      </c>
      <c r="U922">
        <v>4572.67</v>
      </c>
      <c r="V922">
        <v>70</v>
      </c>
      <c r="W922">
        <v>67.44</v>
      </c>
      <c r="X922">
        <v>70</v>
      </c>
      <c r="AB922" t="s">
        <v>13437</v>
      </c>
      <c r="AC922" t="s">
        <v>8765</v>
      </c>
      <c r="AF922" t="s">
        <v>13438</v>
      </c>
      <c r="AH922" t="s">
        <v>13439</v>
      </c>
      <c r="AI922" t="s">
        <v>8765</v>
      </c>
      <c r="AO922" t="s">
        <v>13440</v>
      </c>
    </row>
    <row r="923" spans="1:41" hidden="1" x14ac:dyDescent="0.35">
      <c r="A923" t="s">
        <v>13441</v>
      </c>
      <c r="B923" t="s">
        <v>7246</v>
      </c>
      <c r="C923" t="s">
        <v>5643</v>
      </c>
      <c r="D923" t="s">
        <v>5643</v>
      </c>
      <c r="E923" t="s">
        <v>5643</v>
      </c>
      <c r="G923" s="13" t="s">
        <v>13442</v>
      </c>
      <c r="H923" t="s">
        <v>13443</v>
      </c>
      <c r="J923" t="s">
        <v>13444</v>
      </c>
      <c r="K923" t="s">
        <v>13445</v>
      </c>
      <c r="L923" t="s">
        <v>13446</v>
      </c>
      <c r="M923" t="s">
        <v>7250</v>
      </c>
      <c r="N923">
        <v>2019</v>
      </c>
      <c r="T923" t="s">
        <v>6546</v>
      </c>
      <c r="U923" t="s">
        <v>6546</v>
      </c>
      <c r="V923">
        <v>87</v>
      </c>
      <c r="W923">
        <v>78.040000000000006</v>
      </c>
      <c r="X923">
        <v>87</v>
      </c>
      <c r="Y923">
        <v>47.2</v>
      </c>
      <c r="Z923" t="s">
        <v>7253</v>
      </c>
      <c r="AB923" t="s">
        <v>1377</v>
      </c>
      <c r="AC923" t="s">
        <v>8777</v>
      </c>
      <c r="AF923" t="s">
        <v>13447</v>
      </c>
      <c r="AI923" t="s">
        <v>8777</v>
      </c>
      <c r="AO923" t="s">
        <v>13448</v>
      </c>
    </row>
    <row r="924" spans="1:41" hidden="1" x14ac:dyDescent="0.35">
      <c r="A924" t="s">
        <v>13449</v>
      </c>
      <c r="B924" t="s">
        <v>7246</v>
      </c>
      <c r="C924" t="s">
        <v>5643</v>
      </c>
      <c r="D924" t="s">
        <v>5643</v>
      </c>
      <c r="E924" t="s">
        <v>5643</v>
      </c>
      <c r="G924" s="13" t="s">
        <v>13450</v>
      </c>
      <c r="H924" t="s">
        <v>13451</v>
      </c>
      <c r="K924" t="s">
        <v>13452</v>
      </c>
      <c r="L924" t="s">
        <v>13453</v>
      </c>
      <c r="M924" t="s">
        <v>7250</v>
      </c>
      <c r="T924" t="s">
        <v>6546</v>
      </c>
      <c r="U924" t="s">
        <v>6546</v>
      </c>
      <c r="V924">
        <v>290</v>
      </c>
      <c r="W924">
        <v>171.5</v>
      </c>
      <c r="X924">
        <v>290</v>
      </c>
      <c r="Y924">
        <v>1200</v>
      </c>
      <c r="Z924" t="s">
        <v>8842</v>
      </c>
      <c r="AB924" t="s">
        <v>13454</v>
      </c>
      <c r="AC924" t="s">
        <v>8777</v>
      </c>
      <c r="AD924" t="s">
        <v>13455</v>
      </c>
      <c r="AE924" t="s">
        <v>9611</v>
      </c>
      <c r="AF924" t="s">
        <v>13456</v>
      </c>
      <c r="AG924" t="s">
        <v>13457</v>
      </c>
      <c r="AH924" t="s">
        <v>9753</v>
      </c>
      <c r="AI924" t="s">
        <v>8777</v>
      </c>
      <c r="AO924" t="s">
        <v>13458</v>
      </c>
    </row>
    <row r="925" spans="1:41" hidden="1" x14ac:dyDescent="0.35">
      <c r="A925" t="s">
        <v>13459</v>
      </c>
      <c r="B925" t="s">
        <v>7246</v>
      </c>
      <c r="C925" t="s">
        <v>5643</v>
      </c>
      <c r="D925" t="s">
        <v>5643</v>
      </c>
      <c r="E925" t="s">
        <v>5643</v>
      </c>
      <c r="G925" s="13" t="s">
        <v>13460</v>
      </c>
      <c r="H925" t="s">
        <v>13461</v>
      </c>
      <c r="K925" t="s">
        <v>13452</v>
      </c>
      <c r="L925" t="s">
        <v>13453</v>
      </c>
      <c r="M925" t="s">
        <v>7250</v>
      </c>
      <c r="T925" t="s">
        <v>6546</v>
      </c>
      <c r="U925" t="s">
        <v>6546</v>
      </c>
      <c r="V925" t="s">
        <v>6546</v>
      </c>
      <c r="W925">
        <v>277.48</v>
      </c>
      <c r="X925">
        <v>277.48</v>
      </c>
      <c r="AB925" t="s">
        <v>13456</v>
      </c>
      <c r="AC925" t="s">
        <v>8777</v>
      </c>
      <c r="AD925" t="s">
        <v>13457</v>
      </c>
      <c r="AE925" t="s">
        <v>9753</v>
      </c>
      <c r="AF925" t="s">
        <v>10322</v>
      </c>
      <c r="AG925" t="s">
        <v>10323</v>
      </c>
      <c r="AH925" t="s">
        <v>9708</v>
      </c>
      <c r="AI925" t="s">
        <v>8777</v>
      </c>
      <c r="AO925" t="s">
        <v>13462</v>
      </c>
    </row>
    <row r="926" spans="1:41" hidden="1" x14ac:dyDescent="0.35">
      <c r="A926" t="s">
        <v>13463</v>
      </c>
      <c r="B926" t="s">
        <v>7246</v>
      </c>
      <c r="C926" t="s">
        <v>5643</v>
      </c>
      <c r="D926" t="s">
        <v>5643</v>
      </c>
      <c r="E926" t="s">
        <v>5643</v>
      </c>
      <c r="G926" s="13" t="s">
        <v>13464</v>
      </c>
      <c r="H926" t="s">
        <v>13465</v>
      </c>
      <c r="K926" t="s">
        <v>13452</v>
      </c>
      <c r="L926" t="s">
        <v>13453</v>
      </c>
      <c r="M926" t="s">
        <v>7250</v>
      </c>
      <c r="T926" t="s">
        <v>6546</v>
      </c>
      <c r="U926" t="s">
        <v>6546</v>
      </c>
      <c r="V926" t="s">
        <v>6546</v>
      </c>
      <c r="W926">
        <v>277.31</v>
      </c>
      <c r="X926">
        <v>277.31</v>
      </c>
      <c r="AB926" t="s">
        <v>13456</v>
      </c>
      <c r="AC926" t="s">
        <v>8777</v>
      </c>
      <c r="AD926" t="s">
        <v>13457</v>
      </c>
      <c r="AE926" t="s">
        <v>9753</v>
      </c>
      <c r="AF926" t="s">
        <v>13466</v>
      </c>
      <c r="AG926" t="s">
        <v>13467</v>
      </c>
      <c r="AH926" t="s">
        <v>9601</v>
      </c>
      <c r="AI926" t="s">
        <v>8777</v>
      </c>
      <c r="AO926" t="s">
        <v>13468</v>
      </c>
    </row>
    <row r="927" spans="1:41" hidden="1" x14ac:dyDescent="0.35">
      <c r="A927" t="s">
        <v>13469</v>
      </c>
      <c r="B927" t="s">
        <v>7246</v>
      </c>
      <c r="C927" t="s">
        <v>371</v>
      </c>
      <c r="D927" t="s">
        <v>371</v>
      </c>
      <c r="E927" t="s">
        <v>371</v>
      </c>
      <c r="G927" s="13" t="s">
        <v>13470</v>
      </c>
      <c r="H927" t="s">
        <v>13471</v>
      </c>
      <c r="K927" t="s">
        <v>13472</v>
      </c>
      <c r="L927" t="s">
        <v>13472</v>
      </c>
      <c r="M927" t="s">
        <v>7250</v>
      </c>
      <c r="N927">
        <v>2019</v>
      </c>
      <c r="R927">
        <v>1.5</v>
      </c>
      <c r="S927" t="s">
        <v>8257</v>
      </c>
      <c r="T927">
        <v>1.5</v>
      </c>
      <c r="U927">
        <v>698.08</v>
      </c>
      <c r="V927">
        <v>186</v>
      </c>
      <c r="W927">
        <v>169.84</v>
      </c>
      <c r="X927">
        <v>186</v>
      </c>
      <c r="Y927">
        <v>20</v>
      </c>
      <c r="Z927" t="s">
        <v>7253</v>
      </c>
      <c r="AB927" t="s">
        <v>13473</v>
      </c>
      <c r="AC927" t="s">
        <v>8765</v>
      </c>
      <c r="AE927" t="s">
        <v>13474</v>
      </c>
      <c r="AF927" t="s">
        <v>13475</v>
      </c>
      <c r="AH927" t="s">
        <v>13474</v>
      </c>
      <c r="AI927" t="s">
        <v>8765</v>
      </c>
      <c r="AO927" t="s">
        <v>13476</v>
      </c>
    </row>
    <row r="928" spans="1:41" hidden="1" x14ac:dyDescent="0.35">
      <c r="A928" t="s">
        <v>13477</v>
      </c>
      <c r="B928" t="s">
        <v>7246</v>
      </c>
      <c r="C928" t="s">
        <v>371</v>
      </c>
      <c r="D928" t="s">
        <v>371</v>
      </c>
      <c r="E928" t="s">
        <v>371</v>
      </c>
      <c r="G928" s="13" t="s">
        <v>13478</v>
      </c>
      <c r="H928" t="s">
        <v>13479</v>
      </c>
      <c r="K928" t="s">
        <v>13472</v>
      </c>
      <c r="L928" t="s">
        <v>13472</v>
      </c>
      <c r="M928" t="s">
        <v>7269</v>
      </c>
      <c r="R928">
        <v>150</v>
      </c>
      <c r="S928" t="s">
        <v>7251</v>
      </c>
      <c r="T928">
        <v>1.55</v>
      </c>
      <c r="U928">
        <v>722</v>
      </c>
      <c r="V928">
        <v>52</v>
      </c>
      <c r="W928">
        <v>65.05</v>
      </c>
      <c r="X928">
        <v>52</v>
      </c>
      <c r="Y928">
        <v>20</v>
      </c>
      <c r="Z928" t="s">
        <v>7253</v>
      </c>
      <c r="AB928" t="s">
        <v>13473</v>
      </c>
      <c r="AC928" t="s">
        <v>8765</v>
      </c>
      <c r="AE928" t="s">
        <v>13474</v>
      </c>
      <c r="AF928" t="s">
        <v>13480</v>
      </c>
      <c r="AH928" t="s">
        <v>13474</v>
      </c>
      <c r="AI928" t="s">
        <v>8765</v>
      </c>
      <c r="AO928" t="s">
        <v>13481</v>
      </c>
    </row>
    <row r="929" spans="1:41" hidden="1" x14ac:dyDescent="0.35">
      <c r="A929" t="s">
        <v>13482</v>
      </c>
      <c r="B929" t="s">
        <v>7246</v>
      </c>
      <c r="C929" t="s">
        <v>371</v>
      </c>
      <c r="D929" t="s">
        <v>371</v>
      </c>
      <c r="E929" t="s">
        <v>371</v>
      </c>
      <c r="G929" s="13" t="s">
        <v>13483</v>
      </c>
      <c r="H929" t="s">
        <v>13484</v>
      </c>
      <c r="K929" t="s">
        <v>13472</v>
      </c>
      <c r="L929" t="s">
        <v>13472</v>
      </c>
      <c r="M929" t="s">
        <v>7250</v>
      </c>
      <c r="N929">
        <v>2019</v>
      </c>
      <c r="T929" t="s">
        <v>6546</v>
      </c>
      <c r="U929" t="s">
        <v>6546</v>
      </c>
      <c r="V929">
        <v>59</v>
      </c>
      <c r="W929">
        <v>68.94</v>
      </c>
      <c r="X929">
        <v>59</v>
      </c>
      <c r="AB929" t="s">
        <v>13485</v>
      </c>
      <c r="AC929" t="s">
        <v>8765</v>
      </c>
      <c r="AF929" t="s">
        <v>13473</v>
      </c>
      <c r="AH929" t="s">
        <v>13474</v>
      </c>
      <c r="AI929" t="s">
        <v>8765</v>
      </c>
      <c r="AO929" t="s">
        <v>13486</v>
      </c>
    </row>
    <row r="930" spans="1:41" hidden="1" x14ac:dyDescent="0.35">
      <c r="A930" t="s">
        <v>13487</v>
      </c>
      <c r="B930" t="s">
        <v>7246</v>
      </c>
      <c r="C930" t="s">
        <v>5705</v>
      </c>
      <c r="D930" t="s">
        <v>5705</v>
      </c>
      <c r="E930" t="s">
        <v>5705</v>
      </c>
      <c r="G930" s="13" t="s">
        <v>13488</v>
      </c>
      <c r="H930" t="s">
        <v>13489</v>
      </c>
      <c r="I930" t="s">
        <v>8683</v>
      </c>
      <c r="J930" t="s">
        <v>13490</v>
      </c>
      <c r="K930" t="s">
        <v>13491</v>
      </c>
      <c r="L930" t="s">
        <v>13492</v>
      </c>
      <c r="M930" t="s">
        <v>7292</v>
      </c>
      <c r="N930">
        <v>2023</v>
      </c>
      <c r="O930">
        <v>2024</v>
      </c>
      <c r="R930">
        <v>0.8</v>
      </c>
      <c r="S930" t="s">
        <v>8257</v>
      </c>
      <c r="T930">
        <v>0.8</v>
      </c>
      <c r="U930">
        <v>372.31</v>
      </c>
      <c r="V930">
        <v>0</v>
      </c>
      <c r="W930" t="s">
        <v>6546</v>
      </c>
      <c r="X930">
        <v>0</v>
      </c>
      <c r="AC930" t="s">
        <v>8777</v>
      </c>
      <c r="AI930" t="s">
        <v>8777</v>
      </c>
      <c r="AJ930" t="s">
        <v>9032</v>
      </c>
      <c r="AO930" t="s">
        <v>6546</v>
      </c>
    </row>
    <row r="931" spans="1:41" hidden="1" x14ac:dyDescent="0.35">
      <c r="A931" t="s">
        <v>13493</v>
      </c>
      <c r="B931" t="s">
        <v>7246</v>
      </c>
      <c r="C931" t="s">
        <v>383</v>
      </c>
      <c r="D931" t="s">
        <v>383</v>
      </c>
      <c r="E931" t="s">
        <v>383</v>
      </c>
      <c r="G931" s="13" t="s">
        <v>13494</v>
      </c>
      <c r="H931" t="s">
        <v>13495</v>
      </c>
      <c r="K931" t="s">
        <v>13496</v>
      </c>
      <c r="L931" t="s">
        <v>13496</v>
      </c>
      <c r="M931" t="s">
        <v>7250</v>
      </c>
      <c r="R931">
        <v>6.5</v>
      </c>
      <c r="S931" t="s">
        <v>8792</v>
      </c>
      <c r="T931">
        <v>2.37</v>
      </c>
      <c r="U931">
        <v>1104.8800000000001</v>
      </c>
      <c r="V931">
        <v>106</v>
      </c>
      <c r="W931">
        <v>97.78</v>
      </c>
      <c r="X931">
        <v>106</v>
      </c>
      <c r="AB931" t="s">
        <v>6909</v>
      </c>
      <c r="AC931" t="s">
        <v>8859</v>
      </c>
      <c r="AE931" t="s">
        <v>3089</v>
      </c>
      <c r="AF931" t="s">
        <v>13497</v>
      </c>
      <c r="AG931" t="s">
        <v>13498</v>
      </c>
      <c r="AH931" t="s">
        <v>3089</v>
      </c>
      <c r="AI931" t="s">
        <v>8859</v>
      </c>
      <c r="AO931" t="s">
        <v>13499</v>
      </c>
    </row>
    <row r="932" spans="1:41" hidden="1" x14ac:dyDescent="0.35">
      <c r="A932" t="s">
        <v>13500</v>
      </c>
      <c r="B932" t="s">
        <v>7246</v>
      </c>
      <c r="C932" t="s">
        <v>383</v>
      </c>
      <c r="D932" t="s">
        <v>383</v>
      </c>
      <c r="E932" t="s">
        <v>383</v>
      </c>
      <c r="G932" s="13" t="s">
        <v>13501</v>
      </c>
      <c r="H932" t="s">
        <v>13502</v>
      </c>
      <c r="K932" t="s">
        <v>13503</v>
      </c>
      <c r="L932" t="s">
        <v>13503</v>
      </c>
      <c r="M932" t="s">
        <v>7415</v>
      </c>
      <c r="R932">
        <v>3.32</v>
      </c>
      <c r="S932" t="s">
        <v>8792</v>
      </c>
      <c r="T932">
        <v>1.21</v>
      </c>
      <c r="U932">
        <v>564.34</v>
      </c>
      <c r="V932">
        <v>17</v>
      </c>
      <c r="W932">
        <v>10.07</v>
      </c>
      <c r="X932">
        <v>17</v>
      </c>
      <c r="Y932">
        <v>12</v>
      </c>
      <c r="Z932" t="s">
        <v>7253</v>
      </c>
      <c r="AB932" t="s">
        <v>6909</v>
      </c>
      <c r="AC932" t="s">
        <v>8859</v>
      </c>
      <c r="AE932" t="s">
        <v>3089</v>
      </c>
      <c r="AF932" t="s">
        <v>6909</v>
      </c>
      <c r="AH932" t="s">
        <v>3089</v>
      </c>
      <c r="AI932" t="s">
        <v>8859</v>
      </c>
      <c r="AO932" t="s">
        <v>13504</v>
      </c>
    </row>
    <row r="933" spans="1:41" hidden="1" x14ac:dyDescent="0.35">
      <c r="A933" t="s">
        <v>13505</v>
      </c>
      <c r="B933" t="s">
        <v>7246</v>
      </c>
      <c r="C933" t="s">
        <v>383</v>
      </c>
      <c r="D933" t="s">
        <v>383</v>
      </c>
      <c r="E933" t="s">
        <v>383</v>
      </c>
      <c r="G933" s="13" t="s">
        <v>13506</v>
      </c>
      <c r="H933" t="s">
        <v>13507</v>
      </c>
      <c r="J933" t="s">
        <v>13508</v>
      </c>
      <c r="K933" t="s">
        <v>13509</v>
      </c>
      <c r="L933" t="s">
        <v>13509</v>
      </c>
      <c r="M933" t="s">
        <v>7250</v>
      </c>
      <c r="R933">
        <v>12</v>
      </c>
      <c r="S933" t="s">
        <v>8257</v>
      </c>
      <c r="T933">
        <v>12</v>
      </c>
      <c r="U933">
        <v>5584.6</v>
      </c>
      <c r="V933">
        <v>311</v>
      </c>
      <c r="W933">
        <v>156.4</v>
      </c>
      <c r="X933">
        <v>311</v>
      </c>
      <c r="AB933" t="s">
        <v>13510</v>
      </c>
      <c r="AC933" t="s">
        <v>8859</v>
      </c>
      <c r="AE933" t="s">
        <v>3106</v>
      </c>
      <c r="AF933" t="s">
        <v>13511</v>
      </c>
      <c r="AH933" t="s">
        <v>3106</v>
      </c>
      <c r="AI933" t="s">
        <v>8859</v>
      </c>
      <c r="AO933" t="s">
        <v>13512</v>
      </c>
    </row>
    <row r="934" spans="1:41" hidden="1" x14ac:dyDescent="0.35">
      <c r="A934" t="s">
        <v>13513</v>
      </c>
      <c r="B934" t="s">
        <v>7246</v>
      </c>
      <c r="C934" t="s">
        <v>383</v>
      </c>
      <c r="D934" t="s">
        <v>13514</v>
      </c>
      <c r="E934" t="s">
        <v>13515</v>
      </c>
      <c r="G934" s="13" t="s">
        <v>13516</v>
      </c>
      <c r="H934" t="s">
        <v>13517</v>
      </c>
      <c r="J934" t="s">
        <v>13518</v>
      </c>
      <c r="K934" t="s">
        <v>13519</v>
      </c>
      <c r="L934" t="s">
        <v>13519</v>
      </c>
      <c r="M934" t="s">
        <v>7292</v>
      </c>
      <c r="T934" t="s">
        <v>6546</v>
      </c>
      <c r="U934" t="s">
        <v>6546</v>
      </c>
      <c r="V934">
        <v>113</v>
      </c>
      <c r="W934">
        <v>89.9</v>
      </c>
      <c r="X934">
        <v>113</v>
      </c>
      <c r="AB934" t="s">
        <v>13520</v>
      </c>
      <c r="AC934" t="s">
        <v>8859</v>
      </c>
      <c r="AE934" t="s">
        <v>3117</v>
      </c>
      <c r="AF934" t="s">
        <v>13521</v>
      </c>
      <c r="AI934" t="s">
        <v>8859</v>
      </c>
      <c r="AO934" t="s">
        <v>13522</v>
      </c>
    </row>
    <row r="935" spans="1:41" hidden="1" x14ac:dyDescent="0.35">
      <c r="A935" t="s">
        <v>13523</v>
      </c>
      <c r="B935" t="s">
        <v>7246</v>
      </c>
      <c r="C935" t="s">
        <v>383</v>
      </c>
      <c r="D935" t="s">
        <v>383</v>
      </c>
      <c r="E935" t="s">
        <v>383</v>
      </c>
      <c r="G935" s="13" t="s">
        <v>13524</v>
      </c>
      <c r="H935" t="s">
        <v>13525</v>
      </c>
      <c r="K935" t="s">
        <v>13526</v>
      </c>
      <c r="L935" t="s">
        <v>13526</v>
      </c>
      <c r="M935" t="s">
        <v>7415</v>
      </c>
      <c r="N935">
        <v>2022</v>
      </c>
      <c r="R935">
        <v>19.2</v>
      </c>
      <c r="S935" t="s">
        <v>8792</v>
      </c>
      <c r="T935">
        <v>7.01</v>
      </c>
      <c r="U935">
        <v>3263.64</v>
      </c>
      <c r="V935">
        <v>317</v>
      </c>
      <c r="W935">
        <v>303.27999999999997</v>
      </c>
      <c r="X935">
        <v>317</v>
      </c>
      <c r="AB935" t="s">
        <v>13527</v>
      </c>
      <c r="AC935" t="s">
        <v>8859</v>
      </c>
      <c r="AE935" t="s">
        <v>2787</v>
      </c>
      <c r="AF935" t="s">
        <v>13528</v>
      </c>
      <c r="AH935" t="s">
        <v>3106</v>
      </c>
      <c r="AI935" t="s">
        <v>8859</v>
      </c>
      <c r="AO935" t="s">
        <v>13529</v>
      </c>
    </row>
    <row r="936" spans="1:41" hidden="1" x14ac:dyDescent="0.35">
      <c r="A936" t="s">
        <v>13530</v>
      </c>
      <c r="B936" t="s">
        <v>7246</v>
      </c>
      <c r="C936" t="s">
        <v>383</v>
      </c>
      <c r="D936" t="s">
        <v>383</v>
      </c>
      <c r="E936" t="s">
        <v>383</v>
      </c>
      <c r="G936" s="13" t="s">
        <v>13531</v>
      </c>
      <c r="H936" t="s">
        <v>13532</v>
      </c>
      <c r="K936" t="s">
        <v>13509</v>
      </c>
      <c r="L936" t="s">
        <v>13509</v>
      </c>
      <c r="M936" t="s">
        <v>7292</v>
      </c>
      <c r="R936">
        <v>5</v>
      </c>
      <c r="S936" t="s">
        <v>7251</v>
      </c>
      <c r="T936">
        <v>0.05</v>
      </c>
      <c r="U936">
        <v>24.07</v>
      </c>
      <c r="V936">
        <v>440</v>
      </c>
      <c r="W936">
        <v>448.72</v>
      </c>
      <c r="X936">
        <v>440</v>
      </c>
      <c r="AB936" t="s">
        <v>13533</v>
      </c>
      <c r="AC936" t="s">
        <v>8859</v>
      </c>
      <c r="AE936" t="s">
        <v>10998</v>
      </c>
      <c r="AF936" t="s">
        <v>13534</v>
      </c>
      <c r="AH936" t="s">
        <v>10998</v>
      </c>
      <c r="AI936" t="s">
        <v>8859</v>
      </c>
      <c r="AO936" t="s">
        <v>13535</v>
      </c>
    </row>
    <row r="937" spans="1:41" hidden="1" x14ac:dyDescent="0.35">
      <c r="A937" t="s">
        <v>13536</v>
      </c>
      <c r="B937" t="s">
        <v>7246</v>
      </c>
      <c r="C937" t="s">
        <v>383</v>
      </c>
      <c r="D937" t="s">
        <v>383</v>
      </c>
      <c r="E937" t="s">
        <v>383</v>
      </c>
      <c r="G937" s="13" t="s">
        <v>13537</v>
      </c>
      <c r="H937" t="s">
        <v>13538</v>
      </c>
      <c r="K937" t="s">
        <v>10763</v>
      </c>
      <c r="L937" t="s">
        <v>10763</v>
      </c>
      <c r="M937" t="s">
        <v>7415</v>
      </c>
      <c r="N937">
        <v>2023</v>
      </c>
      <c r="R937">
        <v>16.5</v>
      </c>
      <c r="S937" t="s">
        <v>8792</v>
      </c>
      <c r="T937">
        <v>6.03</v>
      </c>
      <c r="U937">
        <v>2804.69</v>
      </c>
      <c r="V937">
        <v>1755</v>
      </c>
      <c r="W937">
        <v>1600.64</v>
      </c>
      <c r="X937">
        <v>1755</v>
      </c>
      <c r="AB937" t="s">
        <v>13539</v>
      </c>
      <c r="AC937" t="s">
        <v>8859</v>
      </c>
      <c r="AE937" t="s">
        <v>3106</v>
      </c>
      <c r="AF937" t="s">
        <v>4983</v>
      </c>
      <c r="AH937" t="s">
        <v>4971</v>
      </c>
      <c r="AI937" t="s">
        <v>8859</v>
      </c>
      <c r="AO937" t="s">
        <v>13540</v>
      </c>
    </row>
    <row r="938" spans="1:41" hidden="1" x14ac:dyDescent="0.35">
      <c r="A938" t="s">
        <v>13541</v>
      </c>
      <c r="B938" t="s">
        <v>7246</v>
      </c>
      <c r="C938" t="s">
        <v>385</v>
      </c>
      <c r="D938" t="s">
        <v>385</v>
      </c>
      <c r="E938" t="s">
        <v>385</v>
      </c>
      <c r="G938" s="13" t="s">
        <v>13542</v>
      </c>
      <c r="H938" t="s">
        <v>13543</v>
      </c>
      <c r="K938" t="s">
        <v>13544</v>
      </c>
      <c r="L938" t="s">
        <v>13544</v>
      </c>
      <c r="M938" t="s">
        <v>7292</v>
      </c>
      <c r="N938">
        <v>2028</v>
      </c>
      <c r="T938" t="s">
        <v>6546</v>
      </c>
      <c r="U938" t="s">
        <v>6546</v>
      </c>
      <c r="V938">
        <v>150</v>
      </c>
      <c r="W938">
        <v>120.69</v>
      </c>
      <c r="X938">
        <v>150</v>
      </c>
      <c r="AA938" t="s">
        <v>13545</v>
      </c>
      <c r="AB938" t="s">
        <v>13545</v>
      </c>
      <c r="AC938" t="s">
        <v>10816</v>
      </c>
      <c r="AF938" t="s">
        <v>13546</v>
      </c>
      <c r="AH938" t="s">
        <v>13547</v>
      </c>
      <c r="AI938" t="s">
        <v>10816</v>
      </c>
      <c r="AO938" t="s">
        <v>13548</v>
      </c>
    </row>
    <row r="939" spans="1:41" hidden="1" x14ac:dyDescent="0.35">
      <c r="A939" t="s">
        <v>13549</v>
      </c>
      <c r="B939" t="s">
        <v>7246</v>
      </c>
      <c r="C939" t="s">
        <v>385</v>
      </c>
      <c r="D939" t="s">
        <v>385</v>
      </c>
      <c r="E939" t="s">
        <v>385</v>
      </c>
      <c r="G939" s="13" t="s">
        <v>13550</v>
      </c>
      <c r="H939" t="s">
        <v>13551</v>
      </c>
      <c r="K939" t="s">
        <v>6992</v>
      </c>
      <c r="L939" t="s">
        <v>6992</v>
      </c>
      <c r="M939" t="s">
        <v>7250</v>
      </c>
      <c r="N939">
        <v>2020</v>
      </c>
      <c r="T939" t="s">
        <v>6546</v>
      </c>
      <c r="U939" t="s">
        <v>6546</v>
      </c>
      <c r="V939">
        <v>68</v>
      </c>
      <c r="W939">
        <v>79.37</v>
      </c>
      <c r="X939">
        <v>68</v>
      </c>
      <c r="AC939" t="s">
        <v>10816</v>
      </c>
      <c r="AI939" t="s">
        <v>10816</v>
      </c>
      <c r="AO939" t="s">
        <v>13552</v>
      </c>
    </row>
    <row r="940" spans="1:41" hidden="1" x14ac:dyDescent="0.35">
      <c r="A940" t="s">
        <v>13553</v>
      </c>
      <c r="B940" t="s">
        <v>7246</v>
      </c>
      <c r="C940" t="s">
        <v>387</v>
      </c>
      <c r="D940" t="s">
        <v>418</v>
      </c>
      <c r="E940" t="s">
        <v>13554</v>
      </c>
      <c r="G940" s="13" t="s">
        <v>13555</v>
      </c>
      <c r="H940" t="s">
        <v>13556</v>
      </c>
      <c r="K940" t="s">
        <v>13557</v>
      </c>
      <c r="L940" t="s">
        <v>13557</v>
      </c>
      <c r="M940" t="s">
        <v>7292</v>
      </c>
      <c r="R940">
        <v>10</v>
      </c>
      <c r="S940" t="s">
        <v>8257</v>
      </c>
      <c r="T940">
        <v>10</v>
      </c>
      <c r="U940">
        <v>4653.83</v>
      </c>
      <c r="V940">
        <v>400</v>
      </c>
      <c r="W940">
        <v>176.12</v>
      </c>
      <c r="X940">
        <v>400</v>
      </c>
      <c r="AB940" t="s">
        <v>13558</v>
      </c>
      <c r="AC940" t="s">
        <v>8747</v>
      </c>
      <c r="AD940" t="s">
        <v>13559</v>
      </c>
      <c r="AE940" t="s">
        <v>13560</v>
      </c>
      <c r="AF940" t="s">
        <v>13561</v>
      </c>
      <c r="AH940" t="s">
        <v>6143</v>
      </c>
      <c r="AI940" t="s">
        <v>8747</v>
      </c>
      <c r="AO940" t="s">
        <v>13562</v>
      </c>
    </row>
    <row r="941" spans="1:41" hidden="1" x14ac:dyDescent="0.35">
      <c r="A941" t="s">
        <v>13563</v>
      </c>
      <c r="B941" t="s">
        <v>7246</v>
      </c>
      <c r="C941" t="s">
        <v>423</v>
      </c>
      <c r="D941" t="s">
        <v>5925</v>
      </c>
      <c r="E941" t="s">
        <v>9865</v>
      </c>
      <c r="G941" s="13" t="s">
        <v>13564</v>
      </c>
      <c r="H941" t="s">
        <v>13565</v>
      </c>
      <c r="J941" t="s">
        <v>13566</v>
      </c>
      <c r="K941" t="s">
        <v>11744</v>
      </c>
      <c r="L941" t="s">
        <v>11744</v>
      </c>
      <c r="M941" t="s">
        <v>8874</v>
      </c>
      <c r="N941">
        <v>1986</v>
      </c>
      <c r="R941">
        <v>4</v>
      </c>
      <c r="S941" t="s">
        <v>8257</v>
      </c>
      <c r="T941">
        <v>4</v>
      </c>
      <c r="U941">
        <v>1861.53</v>
      </c>
      <c r="V941">
        <v>842</v>
      </c>
      <c r="W941">
        <v>714.15</v>
      </c>
      <c r="X941">
        <v>842</v>
      </c>
      <c r="Y941" t="s">
        <v>7471</v>
      </c>
      <c r="Z941" t="s">
        <v>7253</v>
      </c>
      <c r="AB941" t="s">
        <v>13567</v>
      </c>
      <c r="AC941" t="s">
        <v>8844</v>
      </c>
      <c r="AH941" t="s">
        <v>3755</v>
      </c>
      <c r="AI941" t="s">
        <v>8777</v>
      </c>
      <c r="AO941" t="s">
        <v>13568</v>
      </c>
    </row>
    <row r="942" spans="1:41" hidden="1" x14ac:dyDescent="0.35">
      <c r="A942" t="s">
        <v>13569</v>
      </c>
      <c r="B942" t="s">
        <v>7246</v>
      </c>
      <c r="C942" t="s">
        <v>390</v>
      </c>
      <c r="D942" t="s">
        <v>390</v>
      </c>
      <c r="E942" t="s">
        <v>390</v>
      </c>
      <c r="G942" s="13" t="s">
        <v>13570</v>
      </c>
      <c r="H942" t="s">
        <v>13571</v>
      </c>
      <c r="J942" t="s">
        <v>13572</v>
      </c>
      <c r="K942" t="s">
        <v>12180</v>
      </c>
      <c r="L942" t="s">
        <v>12180</v>
      </c>
      <c r="M942" t="s">
        <v>7250</v>
      </c>
      <c r="R942">
        <v>0.89</v>
      </c>
      <c r="S942" t="s">
        <v>8257</v>
      </c>
      <c r="T942">
        <v>0.89</v>
      </c>
      <c r="U942">
        <v>414.19</v>
      </c>
      <c r="V942">
        <v>145</v>
      </c>
      <c r="W942" t="s">
        <v>6546</v>
      </c>
      <c r="X942">
        <v>145</v>
      </c>
      <c r="Y942">
        <v>24</v>
      </c>
      <c r="Z942" t="s">
        <v>7253</v>
      </c>
      <c r="AA942" t="s">
        <v>3394</v>
      </c>
      <c r="AC942" t="s">
        <v>8747</v>
      </c>
      <c r="AE942" t="s">
        <v>3394</v>
      </c>
      <c r="AF942" t="s">
        <v>13573</v>
      </c>
      <c r="AH942" t="s">
        <v>12182</v>
      </c>
      <c r="AI942" t="s">
        <v>8747</v>
      </c>
      <c r="AL942" t="s">
        <v>13574</v>
      </c>
      <c r="AO942" t="s">
        <v>6546</v>
      </c>
    </row>
    <row r="943" spans="1:41" hidden="1" x14ac:dyDescent="0.35">
      <c r="A943" t="s">
        <v>13575</v>
      </c>
      <c r="B943" t="s">
        <v>7246</v>
      </c>
      <c r="C943" t="s">
        <v>390</v>
      </c>
      <c r="D943" t="s">
        <v>390</v>
      </c>
      <c r="E943" t="s">
        <v>390</v>
      </c>
      <c r="G943" s="13" t="s">
        <v>13576</v>
      </c>
      <c r="H943" t="s">
        <v>13577</v>
      </c>
      <c r="K943" t="s">
        <v>12180</v>
      </c>
      <c r="L943" t="s">
        <v>12180</v>
      </c>
      <c r="M943" t="s">
        <v>7250</v>
      </c>
      <c r="R943">
        <v>5.26</v>
      </c>
      <c r="S943" t="s">
        <v>8257</v>
      </c>
      <c r="T943">
        <v>5.26</v>
      </c>
      <c r="U943">
        <v>2447.92</v>
      </c>
      <c r="V943">
        <v>34</v>
      </c>
      <c r="W943" t="s">
        <v>6546</v>
      </c>
      <c r="X943">
        <v>34</v>
      </c>
      <c r="Y943">
        <v>18</v>
      </c>
      <c r="Z943" t="s">
        <v>7253</v>
      </c>
      <c r="AC943" t="s">
        <v>8747</v>
      </c>
      <c r="AI943" t="s">
        <v>8747</v>
      </c>
      <c r="AL943" t="s">
        <v>13578</v>
      </c>
      <c r="AO943" t="s">
        <v>6546</v>
      </c>
    </row>
    <row r="944" spans="1:41" hidden="1" x14ac:dyDescent="0.35">
      <c r="A944" t="s">
        <v>13579</v>
      </c>
      <c r="B944" t="s">
        <v>7246</v>
      </c>
      <c r="C944" t="s">
        <v>390</v>
      </c>
      <c r="D944" t="s">
        <v>390</v>
      </c>
      <c r="E944" t="s">
        <v>390</v>
      </c>
      <c r="G944" s="13" t="s">
        <v>13580</v>
      </c>
      <c r="H944" t="s">
        <v>13581</v>
      </c>
      <c r="K944" t="s">
        <v>12180</v>
      </c>
      <c r="L944" t="s">
        <v>12180</v>
      </c>
      <c r="M944" t="s">
        <v>7250</v>
      </c>
      <c r="R944">
        <v>150</v>
      </c>
      <c r="S944" t="s">
        <v>7251</v>
      </c>
      <c r="T944">
        <v>1.55</v>
      </c>
      <c r="U944">
        <v>722</v>
      </c>
      <c r="V944">
        <v>438</v>
      </c>
      <c r="W944" t="s">
        <v>6546</v>
      </c>
      <c r="X944">
        <v>438</v>
      </c>
      <c r="Y944">
        <v>16</v>
      </c>
      <c r="Z944" t="s">
        <v>7253</v>
      </c>
      <c r="AC944" t="s">
        <v>8747</v>
      </c>
      <c r="AI944" t="s">
        <v>8747</v>
      </c>
      <c r="AL944" t="s">
        <v>13582</v>
      </c>
      <c r="AO944" t="s">
        <v>6546</v>
      </c>
    </row>
    <row r="945" spans="1:41" hidden="1" x14ac:dyDescent="0.35">
      <c r="A945" t="s">
        <v>13583</v>
      </c>
      <c r="B945" t="s">
        <v>7246</v>
      </c>
      <c r="C945" t="s">
        <v>390</v>
      </c>
      <c r="D945" t="s">
        <v>390</v>
      </c>
      <c r="E945" t="s">
        <v>390</v>
      </c>
      <c r="G945" s="13" t="s">
        <v>13584</v>
      </c>
      <c r="H945" t="s">
        <v>13585</v>
      </c>
      <c r="K945" t="s">
        <v>12180</v>
      </c>
      <c r="L945" t="s">
        <v>12180</v>
      </c>
      <c r="M945" t="s">
        <v>7250</v>
      </c>
      <c r="R945">
        <v>10</v>
      </c>
      <c r="S945" t="s">
        <v>8257</v>
      </c>
      <c r="T945">
        <v>10</v>
      </c>
      <c r="U945">
        <v>4653.83</v>
      </c>
      <c r="V945">
        <v>87</v>
      </c>
      <c r="W945">
        <v>33.1</v>
      </c>
      <c r="X945">
        <v>87</v>
      </c>
      <c r="Y945">
        <v>42</v>
      </c>
      <c r="Z945" t="s">
        <v>7253</v>
      </c>
      <c r="AA945" t="s">
        <v>12219</v>
      </c>
      <c r="AB945" t="s">
        <v>13586</v>
      </c>
      <c r="AC945" t="s">
        <v>8747</v>
      </c>
      <c r="AE945" t="s">
        <v>3388</v>
      </c>
      <c r="AF945" t="s">
        <v>2501</v>
      </c>
      <c r="AH945" t="s">
        <v>3388</v>
      </c>
      <c r="AI945" t="s">
        <v>8747</v>
      </c>
      <c r="AL945" t="s">
        <v>13587</v>
      </c>
      <c r="AO945" t="s">
        <v>13588</v>
      </c>
    </row>
    <row r="946" spans="1:41" hidden="1" x14ac:dyDescent="0.35">
      <c r="A946" t="s">
        <v>13589</v>
      </c>
      <c r="B946" t="s">
        <v>7246</v>
      </c>
      <c r="C946" t="s">
        <v>5714</v>
      </c>
      <c r="D946" t="s">
        <v>5714</v>
      </c>
      <c r="E946" t="s">
        <v>5714</v>
      </c>
      <c r="G946" s="13" t="s">
        <v>13590</v>
      </c>
      <c r="H946" t="s">
        <v>13591</v>
      </c>
      <c r="K946" t="s">
        <v>13592</v>
      </c>
      <c r="L946" t="s">
        <v>13593</v>
      </c>
      <c r="M946" t="s">
        <v>7415</v>
      </c>
      <c r="N946">
        <v>2025</v>
      </c>
      <c r="T946" t="s">
        <v>6546</v>
      </c>
      <c r="U946" t="s">
        <v>6546</v>
      </c>
      <c r="V946">
        <v>573</v>
      </c>
      <c r="W946">
        <v>560.04</v>
      </c>
      <c r="X946">
        <v>573</v>
      </c>
      <c r="Y946" t="s">
        <v>13594</v>
      </c>
      <c r="Z946" t="s">
        <v>7253</v>
      </c>
      <c r="AB946" t="s">
        <v>3427</v>
      </c>
      <c r="AC946" t="s">
        <v>8777</v>
      </c>
      <c r="AF946" t="s">
        <v>13595</v>
      </c>
      <c r="AI946" t="s">
        <v>8777</v>
      </c>
      <c r="AJ946" t="s">
        <v>6407</v>
      </c>
      <c r="AO946" t="s">
        <v>13596</v>
      </c>
    </row>
    <row r="947" spans="1:41" hidden="1" x14ac:dyDescent="0.35">
      <c r="A947" t="s">
        <v>13597</v>
      </c>
      <c r="B947" t="s">
        <v>7246</v>
      </c>
      <c r="C947" t="s">
        <v>5714</v>
      </c>
      <c r="D947" t="s">
        <v>5714</v>
      </c>
      <c r="E947" t="s">
        <v>5714</v>
      </c>
      <c r="G947" s="13" t="s">
        <v>13598</v>
      </c>
      <c r="H947" t="s">
        <v>13599</v>
      </c>
      <c r="J947" t="s">
        <v>13600</v>
      </c>
      <c r="K947" t="s">
        <v>13601</v>
      </c>
      <c r="L947" t="s">
        <v>13602</v>
      </c>
      <c r="M947" t="s">
        <v>7250</v>
      </c>
      <c r="N947">
        <v>2020</v>
      </c>
      <c r="T947" t="s">
        <v>6546</v>
      </c>
      <c r="U947" t="s">
        <v>6546</v>
      </c>
      <c r="V947">
        <v>55</v>
      </c>
      <c r="W947">
        <v>49.91</v>
      </c>
      <c r="X947">
        <v>55</v>
      </c>
      <c r="Y947">
        <v>56</v>
      </c>
      <c r="Z947" t="s">
        <v>7253</v>
      </c>
      <c r="AA947" t="s">
        <v>13603</v>
      </c>
      <c r="AB947" t="s">
        <v>9765</v>
      </c>
      <c r="AC947" t="s">
        <v>8777</v>
      </c>
      <c r="AE947" t="s">
        <v>9766</v>
      </c>
      <c r="AF947" t="s">
        <v>1865</v>
      </c>
      <c r="AH947" t="s">
        <v>9766</v>
      </c>
      <c r="AI947" t="s">
        <v>8777</v>
      </c>
      <c r="AO947" t="s">
        <v>13604</v>
      </c>
    </row>
    <row r="948" spans="1:41" hidden="1" x14ac:dyDescent="0.35">
      <c r="A948" t="s">
        <v>13605</v>
      </c>
      <c r="B948" t="s">
        <v>7246</v>
      </c>
      <c r="C948" t="s">
        <v>396</v>
      </c>
      <c r="D948" t="s">
        <v>396</v>
      </c>
      <c r="E948" t="s">
        <v>396</v>
      </c>
      <c r="G948" s="13" t="s">
        <v>13606</v>
      </c>
      <c r="H948" t="s">
        <v>13607</v>
      </c>
      <c r="J948" t="s">
        <v>13608</v>
      </c>
      <c r="K948" t="s">
        <v>11342</v>
      </c>
      <c r="L948" t="s">
        <v>11342</v>
      </c>
      <c r="M948" t="s">
        <v>7250</v>
      </c>
      <c r="N948">
        <v>2020</v>
      </c>
      <c r="T948" t="s">
        <v>6546</v>
      </c>
      <c r="U948" t="s">
        <v>6546</v>
      </c>
      <c r="V948">
        <v>60</v>
      </c>
      <c r="W948">
        <v>36.51</v>
      </c>
      <c r="X948">
        <v>60</v>
      </c>
      <c r="AB948" t="s">
        <v>13609</v>
      </c>
      <c r="AC948" t="s">
        <v>9852</v>
      </c>
      <c r="AD948" t="s">
        <v>5138</v>
      </c>
      <c r="AF948" t="s">
        <v>13610</v>
      </c>
      <c r="AG948" t="s">
        <v>2999</v>
      </c>
      <c r="AI948" t="s">
        <v>9852</v>
      </c>
      <c r="AO948" t="s">
        <v>13611</v>
      </c>
    </row>
    <row r="949" spans="1:41" hidden="1" x14ac:dyDescent="0.35">
      <c r="A949" t="s">
        <v>13612</v>
      </c>
      <c r="B949" t="s">
        <v>7246</v>
      </c>
      <c r="C949" t="s">
        <v>9477</v>
      </c>
      <c r="D949" t="s">
        <v>9477</v>
      </c>
      <c r="E949" t="s">
        <v>9477</v>
      </c>
      <c r="G949" s="13" t="s">
        <v>13613</v>
      </c>
      <c r="H949" t="s">
        <v>13614</v>
      </c>
      <c r="K949" t="s">
        <v>13615</v>
      </c>
      <c r="L949" t="s">
        <v>13616</v>
      </c>
      <c r="M949" t="s">
        <v>7250</v>
      </c>
      <c r="N949">
        <v>2015</v>
      </c>
      <c r="R949">
        <v>0.5</v>
      </c>
      <c r="S949" t="s">
        <v>8792</v>
      </c>
      <c r="T949">
        <v>0.18</v>
      </c>
      <c r="U949">
        <v>84.99</v>
      </c>
      <c r="V949">
        <v>110</v>
      </c>
      <c r="W949">
        <v>116.19</v>
      </c>
      <c r="X949">
        <v>110</v>
      </c>
      <c r="Y949">
        <v>31.5</v>
      </c>
      <c r="Z949" t="s">
        <v>7253</v>
      </c>
      <c r="AB949" t="s">
        <v>3485</v>
      </c>
      <c r="AC949" t="s">
        <v>8777</v>
      </c>
      <c r="AF949" t="s">
        <v>13617</v>
      </c>
      <c r="AI949" t="s">
        <v>8777</v>
      </c>
      <c r="AO949" t="s">
        <v>13618</v>
      </c>
    </row>
    <row r="950" spans="1:41" hidden="1" x14ac:dyDescent="0.35">
      <c r="A950" t="s">
        <v>13619</v>
      </c>
      <c r="B950" t="s">
        <v>7246</v>
      </c>
      <c r="C950" t="s">
        <v>406</v>
      </c>
      <c r="D950" t="s">
        <v>406</v>
      </c>
      <c r="E950" t="s">
        <v>406</v>
      </c>
      <c r="G950" s="13" t="s">
        <v>13620</v>
      </c>
      <c r="H950" t="s">
        <v>13621</v>
      </c>
      <c r="K950" t="s">
        <v>12609</v>
      </c>
      <c r="L950" t="s">
        <v>12609</v>
      </c>
      <c r="M950" t="s">
        <v>7250</v>
      </c>
      <c r="N950">
        <v>2020</v>
      </c>
      <c r="R950">
        <v>240</v>
      </c>
      <c r="S950" t="s">
        <v>7251</v>
      </c>
      <c r="T950">
        <v>2.48</v>
      </c>
      <c r="U950">
        <v>1155.2</v>
      </c>
      <c r="V950">
        <v>16</v>
      </c>
      <c r="W950">
        <v>8.81</v>
      </c>
      <c r="X950">
        <v>16</v>
      </c>
      <c r="Y950">
        <v>36</v>
      </c>
      <c r="Z950" t="s">
        <v>7253</v>
      </c>
      <c r="AB950" t="s">
        <v>13622</v>
      </c>
      <c r="AC950" t="s">
        <v>7255</v>
      </c>
      <c r="AE950" t="s">
        <v>8388</v>
      </c>
      <c r="AF950" t="s">
        <v>13623</v>
      </c>
      <c r="AH950" t="s">
        <v>8388</v>
      </c>
      <c r="AI950" t="s">
        <v>7255</v>
      </c>
      <c r="AL950" t="s">
        <v>13624</v>
      </c>
      <c r="AN950" s="13" t="s">
        <v>13625</v>
      </c>
      <c r="AO950" t="s">
        <v>13626</v>
      </c>
    </row>
    <row r="951" spans="1:41" hidden="1" x14ac:dyDescent="0.35">
      <c r="A951" t="s">
        <v>13627</v>
      </c>
      <c r="B951" t="s">
        <v>7246</v>
      </c>
      <c r="C951" t="s">
        <v>406</v>
      </c>
      <c r="D951" t="s">
        <v>406</v>
      </c>
      <c r="E951" t="s">
        <v>406</v>
      </c>
      <c r="G951" s="13" t="s">
        <v>8384</v>
      </c>
      <c r="H951" t="s">
        <v>8385</v>
      </c>
      <c r="I951" t="s">
        <v>13628</v>
      </c>
      <c r="K951" t="s">
        <v>12609</v>
      </c>
      <c r="L951" t="s">
        <v>12609</v>
      </c>
      <c r="M951" t="s">
        <v>7292</v>
      </c>
      <c r="R951">
        <v>200</v>
      </c>
      <c r="S951" t="s">
        <v>7251</v>
      </c>
      <c r="T951">
        <v>2.0699999999999998</v>
      </c>
      <c r="U951">
        <v>962.67</v>
      </c>
      <c r="V951">
        <v>0</v>
      </c>
      <c r="W951" t="s">
        <v>6546</v>
      </c>
      <c r="X951">
        <v>0</v>
      </c>
      <c r="AB951" t="s">
        <v>8389</v>
      </c>
      <c r="AC951" t="s">
        <v>7255</v>
      </c>
      <c r="AE951" t="s">
        <v>12610</v>
      </c>
      <c r="AF951" t="s">
        <v>12611</v>
      </c>
      <c r="AH951" t="s">
        <v>12612</v>
      </c>
      <c r="AI951" t="s">
        <v>7255</v>
      </c>
      <c r="AL951" t="s">
        <v>8391</v>
      </c>
      <c r="AM951" t="s">
        <v>13629</v>
      </c>
      <c r="AN951" s="13" t="s">
        <v>8392</v>
      </c>
      <c r="AO951" t="s">
        <v>6546</v>
      </c>
    </row>
    <row r="952" spans="1:41" hidden="1" x14ac:dyDescent="0.35">
      <c r="A952" t="s">
        <v>13630</v>
      </c>
      <c r="B952" t="s">
        <v>7246</v>
      </c>
      <c r="C952" t="s">
        <v>406</v>
      </c>
      <c r="D952" t="s">
        <v>406</v>
      </c>
      <c r="E952" t="s">
        <v>406</v>
      </c>
      <c r="G952" s="13" t="s">
        <v>13631</v>
      </c>
      <c r="H952" t="s">
        <v>13632</v>
      </c>
      <c r="K952" t="s">
        <v>6543</v>
      </c>
      <c r="L952" t="s">
        <v>6543</v>
      </c>
      <c r="M952" t="s">
        <v>7731</v>
      </c>
      <c r="N952">
        <v>2024</v>
      </c>
      <c r="R952" t="s">
        <v>12770</v>
      </c>
      <c r="T952" t="s">
        <v>6546</v>
      </c>
      <c r="U952" t="s">
        <v>6546</v>
      </c>
      <c r="V952">
        <v>855</v>
      </c>
      <c r="W952">
        <v>760.39</v>
      </c>
      <c r="X952">
        <v>855</v>
      </c>
      <c r="AB952" t="s">
        <v>13633</v>
      </c>
      <c r="AC952" t="s">
        <v>7255</v>
      </c>
      <c r="AE952" t="s">
        <v>4009</v>
      </c>
      <c r="AF952" t="s">
        <v>13634</v>
      </c>
      <c r="AH952" t="s">
        <v>6236</v>
      </c>
      <c r="AI952" t="s">
        <v>7255</v>
      </c>
      <c r="AL952" t="s">
        <v>13635</v>
      </c>
      <c r="AN952" s="13" t="s">
        <v>13636</v>
      </c>
      <c r="AO952" t="s">
        <v>13637</v>
      </c>
    </row>
    <row r="953" spans="1:41" hidden="1" x14ac:dyDescent="0.35">
      <c r="A953" t="s">
        <v>13638</v>
      </c>
      <c r="B953" t="s">
        <v>7246</v>
      </c>
      <c r="C953" t="s">
        <v>406</v>
      </c>
      <c r="D953" t="s">
        <v>406</v>
      </c>
      <c r="E953" t="s">
        <v>406</v>
      </c>
      <c r="G953" s="13" t="s">
        <v>13639</v>
      </c>
      <c r="H953" t="s">
        <v>13640</v>
      </c>
      <c r="K953" t="s">
        <v>13641</v>
      </c>
      <c r="L953" t="s">
        <v>13642</v>
      </c>
      <c r="M953" t="s">
        <v>7250</v>
      </c>
      <c r="N953">
        <v>2016</v>
      </c>
      <c r="R953">
        <v>337</v>
      </c>
      <c r="S953" t="s">
        <v>7251</v>
      </c>
      <c r="T953">
        <v>3.49</v>
      </c>
      <c r="U953">
        <v>1622.09</v>
      </c>
      <c r="V953">
        <v>165</v>
      </c>
      <c r="W953">
        <v>159.44999999999999</v>
      </c>
      <c r="X953">
        <v>165</v>
      </c>
      <c r="Y953">
        <v>30</v>
      </c>
      <c r="Z953" t="s">
        <v>7253</v>
      </c>
      <c r="AB953" t="s">
        <v>13643</v>
      </c>
      <c r="AC953" t="s">
        <v>7255</v>
      </c>
      <c r="AE953" t="s">
        <v>6233</v>
      </c>
      <c r="AF953" t="s">
        <v>13644</v>
      </c>
      <c r="AH953" t="s">
        <v>13645</v>
      </c>
      <c r="AI953" t="s">
        <v>7255</v>
      </c>
      <c r="AL953" t="s">
        <v>13646</v>
      </c>
      <c r="AN953" s="13" t="s">
        <v>13647</v>
      </c>
      <c r="AO953" t="s">
        <v>13648</v>
      </c>
    </row>
    <row r="954" spans="1:41" hidden="1" x14ac:dyDescent="0.35">
      <c r="A954" t="s">
        <v>13649</v>
      </c>
      <c r="B954" t="s">
        <v>7246</v>
      </c>
      <c r="C954" t="s">
        <v>406</v>
      </c>
      <c r="D954" t="s">
        <v>406</v>
      </c>
      <c r="E954" t="s">
        <v>406</v>
      </c>
      <c r="G954" s="13" t="s">
        <v>13650</v>
      </c>
      <c r="H954" t="s">
        <v>13651</v>
      </c>
      <c r="K954" t="s">
        <v>8638</v>
      </c>
      <c r="L954" t="s">
        <v>7845</v>
      </c>
      <c r="M954" t="s">
        <v>7250</v>
      </c>
      <c r="N954">
        <v>2014</v>
      </c>
      <c r="R954">
        <v>770</v>
      </c>
      <c r="S954" t="s">
        <v>7251</v>
      </c>
      <c r="T954">
        <v>7.96</v>
      </c>
      <c r="U954">
        <v>3706.27</v>
      </c>
      <c r="V954">
        <v>505</v>
      </c>
      <c r="W954">
        <v>511.59</v>
      </c>
      <c r="X954">
        <v>505</v>
      </c>
      <c r="Y954">
        <v>36</v>
      </c>
      <c r="Z954" t="s">
        <v>7253</v>
      </c>
      <c r="AB954" t="s">
        <v>8706</v>
      </c>
      <c r="AC954" t="s">
        <v>7255</v>
      </c>
      <c r="AE954" t="s">
        <v>8513</v>
      </c>
      <c r="AF954" t="s">
        <v>8658</v>
      </c>
      <c r="AH954" t="s">
        <v>8513</v>
      </c>
      <c r="AI954" t="s">
        <v>7255</v>
      </c>
      <c r="AL954" t="s">
        <v>13652</v>
      </c>
      <c r="AN954" s="13" t="s">
        <v>13653</v>
      </c>
      <c r="AO954" t="s">
        <v>13654</v>
      </c>
    </row>
    <row r="955" spans="1:41" hidden="1" x14ac:dyDescent="0.35">
      <c r="A955" t="s">
        <v>13655</v>
      </c>
      <c r="B955" t="s">
        <v>7246</v>
      </c>
      <c r="C955" t="s">
        <v>406</v>
      </c>
      <c r="D955" t="s">
        <v>406</v>
      </c>
      <c r="E955" t="s">
        <v>406</v>
      </c>
      <c r="G955" s="13" t="s">
        <v>13656</v>
      </c>
      <c r="H955" t="s">
        <v>13657</v>
      </c>
      <c r="J955" t="s">
        <v>3981</v>
      </c>
      <c r="K955" t="s">
        <v>8552</v>
      </c>
      <c r="L955" t="s">
        <v>8552</v>
      </c>
      <c r="M955" t="s">
        <v>7250</v>
      </c>
      <c r="N955">
        <v>1999</v>
      </c>
      <c r="R955">
        <v>5000</v>
      </c>
      <c r="S955" t="s">
        <v>7251</v>
      </c>
      <c r="T955">
        <v>51.71</v>
      </c>
      <c r="U955">
        <v>24066.67</v>
      </c>
      <c r="V955">
        <v>8611</v>
      </c>
      <c r="W955">
        <v>4482.8900000000003</v>
      </c>
      <c r="X955">
        <v>8611</v>
      </c>
      <c r="Y955" t="s">
        <v>13658</v>
      </c>
      <c r="Z955" t="s">
        <v>7253</v>
      </c>
      <c r="AB955" t="s">
        <v>8722</v>
      </c>
      <c r="AC955" t="s">
        <v>7255</v>
      </c>
      <c r="AE955" t="s">
        <v>8481</v>
      </c>
      <c r="AF955" t="s">
        <v>13659</v>
      </c>
      <c r="AH955" t="s">
        <v>8388</v>
      </c>
      <c r="AI955" t="s">
        <v>7255</v>
      </c>
      <c r="AL955" t="s">
        <v>13657</v>
      </c>
      <c r="AN955" s="13" t="s">
        <v>13660</v>
      </c>
      <c r="AO955" t="s">
        <v>13661</v>
      </c>
    </row>
    <row r="956" spans="1:41" hidden="1" x14ac:dyDescent="0.35">
      <c r="A956" t="s">
        <v>13662</v>
      </c>
      <c r="B956" t="s">
        <v>7246</v>
      </c>
      <c r="C956" t="s">
        <v>406</v>
      </c>
      <c r="D956" t="s">
        <v>406</v>
      </c>
      <c r="E956" t="s">
        <v>406</v>
      </c>
      <c r="G956" s="13" t="s">
        <v>8681</v>
      </c>
      <c r="H956" t="s">
        <v>8682</v>
      </c>
      <c r="I956" t="s">
        <v>13663</v>
      </c>
      <c r="K956" t="s">
        <v>8638</v>
      </c>
      <c r="L956" t="s">
        <v>7845</v>
      </c>
      <c r="M956" t="s">
        <v>7250</v>
      </c>
      <c r="N956">
        <v>2010</v>
      </c>
      <c r="R956">
        <v>190</v>
      </c>
      <c r="S956" t="s">
        <v>7251</v>
      </c>
      <c r="T956">
        <v>1.97</v>
      </c>
      <c r="U956">
        <v>914.53</v>
      </c>
      <c r="V956">
        <v>5.05</v>
      </c>
      <c r="W956">
        <v>3.24</v>
      </c>
      <c r="X956">
        <v>5.05</v>
      </c>
      <c r="Y956">
        <v>12</v>
      </c>
      <c r="Z956" t="s">
        <v>7253</v>
      </c>
      <c r="AB956" t="s">
        <v>13664</v>
      </c>
      <c r="AC956" t="s">
        <v>7255</v>
      </c>
      <c r="AE956" t="s">
        <v>8684</v>
      </c>
      <c r="AF956" t="s">
        <v>13665</v>
      </c>
      <c r="AH956" t="s">
        <v>8684</v>
      </c>
      <c r="AI956" t="s">
        <v>7255</v>
      </c>
      <c r="AL956" t="s">
        <v>8686</v>
      </c>
      <c r="AM956" t="s">
        <v>13666</v>
      </c>
      <c r="AN956" s="13" t="s">
        <v>8688</v>
      </c>
      <c r="AO956" t="s">
        <v>13667</v>
      </c>
    </row>
    <row r="957" spans="1:41" hidden="1" x14ac:dyDescent="0.35">
      <c r="A957" t="s">
        <v>13668</v>
      </c>
      <c r="B957" t="s">
        <v>7246</v>
      </c>
      <c r="C957" t="s">
        <v>408</v>
      </c>
      <c r="D957" t="s">
        <v>408</v>
      </c>
      <c r="E957" t="s">
        <v>408</v>
      </c>
      <c r="G957" s="13" t="s">
        <v>13669</v>
      </c>
      <c r="H957" t="s">
        <v>13670</v>
      </c>
      <c r="K957" t="s">
        <v>6543</v>
      </c>
      <c r="L957" t="s">
        <v>6543</v>
      </c>
      <c r="M957" t="s">
        <v>7292</v>
      </c>
      <c r="T957" t="s">
        <v>6546</v>
      </c>
      <c r="U957" t="s">
        <v>6546</v>
      </c>
      <c r="V957">
        <v>120</v>
      </c>
      <c r="W957">
        <v>108.14</v>
      </c>
      <c r="X957">
        <v>120</v>
      </c>
      <c r="AB957" t="s">
        <v>13671</v>
      </c>
      <c r="AC957" t="s">
        <v>8747</v>
      </c>
      <c r="AD957" t="s">
        <v>13672</v>
      </c>
      <c r="AE957" t="s">
        <v>13673</v>
      </c>
      <c r="AF957" t="s">
        <v>8871</v>
      </c>
      <c r="AG957" t="s">
        <v>13674</v>
      </c>
      <c r="AH957" t="s">
        <v>13673</v>
      </c>
      <c r="AI957" t="s">
        <v>8747</v>
      </c>
      <c r="AO957" t="s">
        <v>13675</v>
      </c>
    </row>
    <row r="958" spans="1:41" hidden="1" x14ac:dyDescent="0.35">
      <c r="A958" t="s">
        <v>13676</v>
      </c>
      <c r="B958" t="s">
        <v>7246</v>
      </c>
      <c r="C958" t="s">
        <v>4077</v>
      </c>
      <c r="D958" t="s">
        <v>431</v>
      </c>
      <c r="E958" t="s">
        <v>8882</v>
      </c>
      <c r="G958" s="13" t="s">
        <v>13677</v>
      </c>
      <c r="H958" t="s">
        <v>13678</v>
      </c>
      <c r="K958" t="s">
        <v>13679</v>
      </c>
      <c r="L958" t="s">
        <v>13679</v>
      </c>
      <c r="M958" t="s">
        <v>7292</v>
      </c>
      <c r="T958" t="s">
        <v>6546</v>
      </c>
      <c r="U958" t="s">
        <v>6546</v>
      </c>
      <c r="V958">
        <v>2600</v>
      </c>
      <c r="W958">
        <v>2460.56</v>
      </c>
      <c r="X958">
        <v>2600</v>
      </c>
      <c r="AA958" t="s">
        <v>13680</v>
      </c>
      <c r="AB958" t="s">
        <v>13681</v>
      </c>
      <c r="AC958" t="s">
        <v>8765</v>
      </c>
      <c r="AE958" t="s">
        <v>13682</v>
      </c>
      <c r="AH958" t="s">
        <v>4093</v>
      </c>
      <c r="AI958" t="s">
        <v>8765</v>
      </c>
      <c r="AO958" t="s">
        <v>13683</v>
      </c>
    </row>
    <row r="959" spans="1:41" hidden="1" x14ac:dyDescent="0.35">
      <c r="A959" t="s">
        <v>13684</v>
      </c>
      <c r="B959" t="s">
        <v>7246</v>
      </c>
      <c r="C959" t="s">
        <v>4077</v>
      </c>
      <c r="D959" t="s">
        <v>431</v>
      </c>
      <c r="E959" t="s">
        <v>8882</v>
      </c>
      <c r="G959" s="13" t="s">
        <v>13685</v>
      </c>
      <c r="H959" t="s">
        <v>13686</v>
      </c>
      <c r="J959" t="s">
        <v>13687</v>
      </c>
      <c r="K959" t="s">
        <v>13688</v>
      </c>
      <c r="L959" t="s">
        <v>13688</v>
      </c>
      <c r="M959" t="s">
        <v>7292</v>
      </c>
      <c r="T959" t="s">
        <v>6546</v>
      </c>
      <c r="U959" t="s">
        <v>6546</v>
      </c>
      <c r="V959">
        <v>2600</v>
      </c>
      <c r="W959">
        <v>2074.38</v>
      </c>
      <c r="X959">
        <v>2600</v>
      </c>
      <c r="AA959" t="s">
        <v>13680</v>
      </c>
      <c r="AB959" t="s">
        <v>13689</v>
      </c>
      <c r="AC959" t="s">
        <v>8765</v>
      </c>
      <c r="AE959" t="s">
        <v>13682</v>
      </c>
      <c r="AF959" t="s">
        <v>13690</v>
      </c>
      <c r="AH959" t="s">
        <v>3691</v>
      </c>
      <c r="AI959" t="s">
        <v>8765</v>
      </c>
      <c r="AO959" t="s">
        <v>13691</v>
      </c>
    </row>
    <row r="960" spans="1:41" hidden="1" x14ac:dyDescent="0.35">
      <c r="A960" t="s">
        <v>13692</v>
      </c>
      <c r="B960" t="s">
        <v>7246</v>
      </c>
      <c r="C960" t="s">
        <v>4077</v>
      </c>
      <c r="D960" t="s">
        <v>4077</v>
      </c>
      <c r="E960" t="s">
        <v>4077</v>
      </c>
      <c r="G960" s="13" t="s">
        <v>13693</v>
      </c>
      <c r="H960" t="s">
        <v>13694</v>
      </c>
      <c r="J960" t="s">
        <v>13695</v>
      </c>
      <c r="K960" t="s">
        <v>13696</v>
      </c>
      <c r="L960" t="s">
        <v>13696</v>
      </c>
      <c r="M960" t="s">
        <v>7250</v>
      </c>
      <c r="N960">
        <v>2014</v>
      </c>
      <c r="R960">
        <v>20.77</v>
      </c>
      <c r="S960" t="s">
        <v>7251</v>
      </c>
      <c r="T960">
        <v>0.21</v>
      </c>
      <c r="U960">
        <v>99.97</v>
      </c>
      <c r="V960">
        <v>100</v>
      </c>
      <c r="W960">
        <v>85.1</v>
      </c>
      <c r="X960">
        <v>100</v>
      </c>
      <c r="AA960" t="s">
        <v>8887</v>
      </c>
      <c r="AB960" t="s">
        <v>13697</v>
      </c>
      <c r="AC960" t="s">
        <v>8765</v>
      </c>
      <c r="AE960" t="s">
        <v>4076</v>
      </c>
      <c r="AF960" t="s">
        <v>4076</v>
      </c>
      <c r="AH960" t="s">
        <v>4076</v>
      </c>
      <c r="AI960" t="s">
        <v>8765</v>
      </c>
      <c r="AO960" t="s">
        <v>13698</v>
      </c>
    </row>
    <row r="961" spans="1:41" hidden="1" x14ac:dyDescent="0.35">
      <c r="A961" t="s">
        <v>13699</v>
      </c>
      <c r="B961" t="s">
        <v>7246</v>
      </c>
      <c r="C961" t="s">
        <v>5183</v>
      </c>
      <c r="D961" t="s">
        <v>5183</v>
      </c>
      <c r="E961" t="s">
        <v>5183</v>
      </c>
      <c r="G961" s="13" t="s">
        <v>13700</v>
      </c>
      <c r="H961" t="s">
        <v>13701</v>
      </c>
      <c r="K961" t="s">
        <v>13702</v>
      </c>
      <c r="L961" t="s">
        <v>13702</v>
      </c>
      <c r="M961" t="s">
        <v>7250</v>
      </c>
      <c r="N961">
        <v>2014</v>
      </c>
      <c r="R961">
        <v>345</v>
      </c>
      <c r="S961" t="s">
        <v>7251</v>
      </c>
      <c r="T961">
        <v>3.57</v>
      </c>
      <c r="U961">
        <v>1660.6</v>
      </c>
      <c r="V961">
        <v>300</v>
      </c>
      <c r="W961">
        <v>176.25</v>
      </c>
      <c r="X961">
        <v>300</v>
      </c>
      <c r="AA961" t="s">
        <v>13703</v>
      </c>
      <c r="AB961" t="s">
        <v>13704</v>
      </c>
      <c r="AC961" t="s">
        <v>10816</v>
      </c>
      <c r="AF961" t="s">
        <v>13705</v>
      </c>
      <c r="AH961" t="s">
        <v>13706</v>
      </c>
      <c r="AI961" t="s">
        <v>10816</v>
      </c>
      <c r="AO961" t="s">
        <v>13707</v>
      </c>
    </row>
    <row r="962" spans="1:41" hidden="1" x14ac:dyDescent="0.35">
      <c r="A962" t="s">
        <v>13708</v>
      </c>
      <c r="B962" t="s">
        <v>7246</v>
      </c>
      <c r="C962" t="s">
        <v>5183</v>
      </c>
      <c r="D962" t="s">
        <v>5183</v>
      </c>
      <c r="E962" t="s">
        <v>5183</v>
      </c>
      <c r="G962" s="13" t="s">
        <v>13700</v>
      </c>
      <c r="H962" t="s">
        <v>13701</v>
      </c>
      <c r="I962" t="s">
        <v>12888</v>
      </c>
      <c r="K962" t="s">
        <v>13702</v>
      </c>
      <c r="L962" t="s">
        <v>13702</v>
      </c>
      <c r="M962" t="s">
        <v>7292</v>
      </c>
      <c r="N962">
        <v>2022</v>
      </c>
      <c r="R962">
        <v>345</v>
      </c>
      <c r="S962" t="s">
        <v>7251</v>
      </c>
      <c r="T962">
        <v>3.57</v>
      </c>
      <c r="U962">
        <v>1660.6</v>
      </c>
      <c r="V962">
        <v>300</v>
      </c>
      <c r="W962">
        <v>253.63</v>
      </c>
      <c r="X962">
        <v>300</v>
      </c>
      <c r="AA962" t="s">
        <v>13703</v>
      </c>
      <c r="AB962" t="s">
        <v>13704</v>
      </c>
      <c r="AC962" t="s">
        <v>10816</v>
      </c>
      <c r="AF962" t="s">
        <v>13705</v>
      </c>
      <c r="AH962" t="s">
        <v>13706</v>
      </c>
      <c r="AI962" t="s">
        <v>10816</v>
      </c>
      <c r="AO962" t="s">
        <v>13709</v>
      </c>
    </row>
    <row r="963" spans="1:41" hidden="1" x14ac:dyDescent="0.35">
      <c r="A963" t="s">
        <v>13710</v>
      </c>
      <c r="B963" t="s">
        <v>7246</v>
      </c>
      <c r="C963" t="s">
        <v>4081</v>
      </c>
      <c r="D963" t="s">
        <v>431</v>
      </c>
      <c r="E963" t="s">
        <v>13711</v>
      </c>
      <c r="G963" s="13" t="s">
        <v>13712</v>
      </c>
      <c r="H963" t="s">
        <v>13713</v>
      </c>
      <c r="I963" t="s">
        <v>13714</v>
      </c>
      <c r="J963" t="s">
        <v>13715</v>
      </c>
      <c r="K963" t="s">
        <v>13716</v>
      </c>
      <c r="L963" t="s">
        <v>13716</v>
      </c>
      <c r="M963" t="s">
        <v>7292</v>
      </c>
      <c r="T963" t="s">
        <v>6546</v>
      </c>
      <c r="U963" t="s">
        <v>6546</v>
      </c>
      <c r="V963" t="s">
        <v>6546</v>
      </c>
      <c r="W963">
        <v>289.17</v>
      </c>
      <c r="X963">
        <v>289.17</v>
      </c>
      <c r="AA963" t="s">
        <v>13717</v>
      </c>
      <c r="AB963" t="s">
        <v>13718</v>
      </c>
      <c r="AC963" t="s">
        <v>8765</v>
      </c>
      <c r="AE963" t="s">
        <v>13719</v>
      </c>
      <c r="AF963" t="s">
        <v>13720</v>
      </c>
      <c r="AH963" t="s">
        <v>13721</v>
      </c>
      <c r="AI963" t="s">
        <v>8765</v>
      </c>
      <c r="AO963" t="s">
        <v>13722</v>
      </c>
    </row>
    <row r="964" spans="1:41" hidden="1" x14ac:dyDescent="0.35">
      <c r="A964" t="s">
        <v>13723</v>
      </c>
      <c r="B964" t="s">
        <v>7246</v>
      </c>
      <c r="C964" t="s">
        <v>414</v>
      </c>
      <c r="D964" t="s">
        <v>414</v>
      </c>
      <c r="E964" t="s">
        <v>414</v>
      </c>
      <c r="G964" s="13" t="s">
        <v>8761</v>
      </c>
      <c r="H964" t="s">
        <v>8762</v>
      </c>
      <c r="I964" t="s">
        <v>13724</v>
      </c>
      <c r="J964" t="s">
        <v>13725</v>
      </c>
      <c r="K964" t="s">
        <v>12329</v>
      </c>
      <c r="L964" t="s">
        <v>12329</v>
      </c>
      <c r="M964" t="s">
        <v>7250</v>
      </c>
      <c r="N964">
        <v>2021</v>
      </c>
      <c r="R964">
        <v>1100</v>
      </c>
      <c r="S964" t="s">
        <v>7251</v>
      </c>
      <c r="T964">
        <v>11.38</v>
      </c>
      <c r="U964">
        <v>5294.67</v>
      </c>
      <c r="V964">
        <v>342</v>
      </c>
      <c r="W964">
        <v>483.88</v>
      </c>
      <c r="X964">
        <v>342</v>
      </c>
      <c r="Y964">
        <v>36</v>
      </c>
      <c r="Z964" t="s">
        <v>7253</v>
      </c>
      <c r="AB964" t="s">
        <v>2659</v>
      </c>
      <c r="AC964" t="s">
        <v>8765</v>
      </c>
      <c r="AE964" t="s">
        <v>3524</v>
      </c>
      <c r="AF964" t="s">
        <v>8766</v>
      </c>
      <c r="AI964" t="s">
        <v>8765</v>
      </c>
      <c r="AO964" t="s">
        <v>13726</v>
      </c>
    </row>
    <row r="965" spans="1:41" hidden="1" x14ac:dyDescent="0.35">
      <c r="A965" t="s">
        <v>13727</v>
      </c>
      <c r="B965" t="s">
        <v>7246</v>
      </c>
      <c r="C965" t="s">
        <v>416</v>
      </c>
      <c r="D965" t="s">
        <v>416</v>
      </c>
      <c r="E965" t="s">
        <v>416</v>
      </c>
      <c r="G965" s="13" t="s">
        <v>13728</v>
      </c>
      <c r="H965" t="s">
        <v>13729</v>
      </c>
      <c r="K965" t="s">
        <v>11709</v>
      </c>
      <c r="L965" t="s">
        <v>11709</v>
      </c>
      <c r="M965" t="s">
        <v>7250</v>
      </c>
      <c r="N965">
        <v>2019</v>
      </c>
      <c r="T965" t="s">
        <v>6546</v>
      </c>
      <c r="U965" t="s">
        <v>6546</v>
      </c>
      <c r="V965">
        <v>156</v>
      </c>
      <c r="W965">
        <v>156.31</v>
      </c>
      <c r="X965">
        <v>156</v>
      </c>
      <c r="Y965">
        <v>18</v>
      </c>
      <c r="Z965" t="s">
        <v>7253</v>
      </c>
      <c r="AA965" t="s">
        <v>13730</v>
      </c>
      <c r="AB965" t="s">
        <v>13731</v>
      </c>
      <c r="AC965" t="s">
        <v>8777</v>
      </c>
      <c r="AF965" t="s">
        <v>13732</v>
      </c>
      <c r="AI965" t="s">
        <v>8777</v>
      </c>
      <c r="AL965" t="s">
        <v>13733</v>
      </c>
      <c r="AO965" t="s">
        <v>13734</v>
      </c>
    </row>
    <row r="966" spans="1:41" hidden="1" x14ac:dyDescent="0.35">
      <c r="A966" t="s">
        <v>13735</v>
      </c>
      <c r="B966" t="s">
        <v>7246</v>
      </c>
      <c r="C966" t="s">
        <v>418</v>
      </c>
      <c r="D966" t="s">
        <v>418</v>
      </c>
      <c r="E966" t="s">
        <v>418</v>
      </c>
      <c r="G966" s="13" t="s">
        <v>13736</v>
      </c>
      <c r="H966" t="s">
        <v>13737</v>
      </c>
      <c r="K966" t="s">
        <v>13738</v>
      </c>
      <c r="L966" t="s">
        <v>13739</v>
      </c>
      <c r="M966" t="s">
        <v>7415</v>
      </c>
      <c r="T966" t="s">
        <v>6546</v>
      </c>
      <c r="U966" t="s">
        <v>6546</v>
      </c>
      <c r="V966">
        <v>301</v>
      </c>
      <c r="W966">
        <v>241.08</v>
      </c>
      <c r="X966">
        <v>301</v>
      </c>
      <c r="Y966">
        <v>32</v>
      </c>
      <c r="Z966" t="s">
        <v>7253</v>
      </c>
      <c r="AB966" t="s">
        <v>13740</v>
      </c>
      <c r="AC966" t="s">
        <v>8747</v>
      </c>
      <c r="AG966" t="s">
        <v>2395</v>
      </c>
      <c r="AH966" t="s">
        <v>6143</v>
      </c>
      <c r="AI966" t="s">
        <v>8747</v>
      </c>
      <c r="AO966" t="s">
        <v>13741</v>
      </c>
    </row>
    <row r="967" spans="1:41" hidden="1" x14ac:dyDescent="0.35">
      <c r="A967" t="s">
        <v>13742</v>
      </c>
      <c r="B967" t="s">
        <v>7246</v>
      </c>
      <c r="C967" t="s">
        <v>5802</v>
      </c>
      <c r="D967" t="s">
        <v>5802</v>
      </c>
      <c r="E967" t="s">
        <v>5802</v>
      </c>
      <c r="G967" s="13" t="s">
        <v>13743</v>
      </c>
      <c r="H967" t="s">
        <v>9380</v>
      </c>
      <c r="I967" t="s">
        <v>13744</v>
      </c>
      <c r="K967" t="s">
        <v>11195</v>
      </c>
      <c r="L967" t="s">
        <v>11195</v>
      </c>
      <c r="M967" t="s">
        <v>7415</v>
      </c>
      <c r="N967">
        <v>2022</v>
      </c>
      <c r="T967" t="s">
        <v>6546</v>
      </c>
      <c r="U967" t="s">
        <v>6546</v>
      </c>
      <c r="V967">
        <v>122</v>
      </c>
      <c r="W967">
        <v>174.89</v>
      </c>
      <c r="X967">
        <v>122</v>
      </c>
      <c r="Y967">
        <v>39</v>
      </c>
      <c r="Z967" t="s">
        <v>7253</v>
      </c>
      <c r="AB967" t="s">
        <v>13745</v>
      </c>
      <c r="AC967" t="s">
        <v>8777</v>
      </c>
      <c r="AE967" t="s">
        <v>13746</v>
      </c>
      <c r="AF967" t="s">
        <v>13747</v>
      </c>
      <c r="AH967" t="s">
        <v>13748</v>
      </c>
      <c r="AI967" t="s">
        <v>8777</v>
      </c>
      <c r="AJ967" t="s">
        <v>6407</v>
      </c>
      <c r="AO967" t="s">
        <v>13749</v>
      </c>
    </row>
    <row r="968" spans="1:41" hidden="1" x14ac:dyDescent="0.35">
      <c r="A968" t="s">
        <v>13750</v>
      </c>
      <c r="B968" t="s">
        <v>7246</v>
      </c>
      <c r="C968" t="s">
        <v>5802</v>
      </c>
      <c r="D968" t="s">
        <v>5802</v>
      </c>
      <c r="E968" t="s">
        <v>5802</v>
      </c>
      <c r="G968" s="13" t="s">
        <v>13743</v>
      </c>
      <c r="H968" t="s">
        <v>9380</v>
      </c>
      <c r="I968" t="s">
        <v>13751</v>
      </c>
      <c r="K968" t="s">
        <v>11195</v>
      </c>
      <c r="L968" t="s">
        <v>11195</v>
      </c>
      <c r="M968" t="s">
        <v>7415</v>
      </c>
      <c r="N968">
        <v>2022</v>
      </c>
      <c r="T968" t="s">
        <v>6546</v>
      </c>
      <c r="U968" t="s">
        <v>6546</v>
      </c>
      <c r="V968">
        <v>69</v>
      </c>
      <c r="W968">
        <v>174.89</v>
      </c>
      <c r="X968">
        <v>69</v>
      </c>
      <c r="Y968">
        <v>39</v>
      </c>
      <c r="Z968" t="s">
        <v>7253</v>
      </c>
      <c r="AB968" t="s">
        <v>13747</v>
      </c>
      <c r="AC968" t="s">
        <v>8777</v>
      </c>
      <c r="AE968" t="s">
        <v>13748</v>
      </c>
      <c r="AF968" t="s">
        <v>13752</v>
      </c>
      <c r="AH968" t="s">
        <v>13753</v>
      </c>
      <c r="AI968" t="s">
        <v>8777</v>
      </c>
      <c r="AJ968" t="s">
        <v>6407</v>
      </c>
      <c r="AO968" t="s">
        <v>13749</v>
      </c>
    </row>
    <row r="969" spans="1:41" hidden="1" x14ac:dyDescent="0.35">
      <c r="A969" t="s">
        <v>13754</v>
      </c>
      <c r="B969" t="s">
        <v>7246</v>
      </c>
      <c r="C969" t="s">
        <v>5802</v>
      </c>
      <c r="D969" t="s">
        <v>5802</v>
      </c>
      <c r="E969" t="s">
        <v>5802</v>
      </c>
      <c r="G969" s="13" t="s">
        <v>13755</v>
      </c>
      <c r="H969" t="s">
        <v>13756</v>
      </c>
      <c r="K969" t="s">
        <v>11195</v>
      </c>
      <c r="L969" t="s">
        <v>11195</v>
      </c>
      <c r="M969" t="s">
        <v>7250</v>
      </c>
      <c r="N969">
        <v>2019</v>
      </c>
      <c r="T969" t="s">
        <v>6546</v>
      </c>
      <c r="U969" t="s">
        <v>6546</v>
      </c>
      <c r="V969">
        <v>168</v>
      </c>
      <c r="W969">
        <v>165.16</v>
      </c>
      <c r="X969">
        <v>168</v>
      </c>
      <c r="AC969" t="s">
        <v>8777</v>
      </c>
      <c r="AI969" t="s">
        <v>8777</v>
      </c>
      <c r="AJ969" t="s">
        <v>6407</v>
      </c>
      <c r="AO969" t="s">
        <v>13757</v>
      </c>
    </row>
    <row r="970" spans="1:41" hidden="1" x14ac:dyDescent="0.35">
      <c r="A970" t="s">
        <v>13758</v>
      </c>
      <c r="B970" t="s">
        <v>7246</v>
      </c>
      <c r="C970" t="s">
        <v>5802</v>
      </c>
      <c r="D970" t="s">
        <v>5802</v>
      </c>
      <c r="E970" t="s">
        <v>5802</v>
      </c>
      <c r="G970" s="13" t="s">
        <v>13759</v>
      </c>
      <c r="H970" t="s">
        <v>13760</v>
      </c>
      <c r="K970" t="s">
        <v>11195</v>
      </c>
      <c r="L970" t="s">
        <v>11195</v>
      </c>
      <c r="M970" t="s">
        <v>7292</v>
      </c>
      <c r="N970">
        <v>2023</v>
      </c>
      <c r="O970">
        <v>2025</v>
      </c>
      <c r="R970">
        <v>1</v>
      </c>
      <c r="S970" t="s">
        <v>8257</v>
      </c>
      <c r="T970">
        <v>1</v>
      </c>
      <c r="U970">
        <v>465.38</v>
      </c>
      <c r="V970">
        <v>30</v>
      </c>
      <c r="W970">
        <v>25.14</v>
      </c>
      <c r="X970">
        <v>30</v>
      </c>
      <c r="Y970">
        <v>27.55</v>
      </c>
      <c r="Z970" t="s">
        <v>7253</v>
      </c>
      <c r="AB970" t="s">
        <v>13761</v>
      </c>
      <c r="AC970" t="s">
        <v>8777</v>
      </c>
      <c r="AF970" t="s">
        <v>13762</v>
      </c>
      <c r="AI970" t="s">
        <v>8777</v>
      </c>
      <c r="AJ970" t="s">
        <v>9032</v>
      </c>
      <c r="AO970" t="s">
        <v>13763</v>
      </c>
    </row>
    <row r="971" spans="1:41" hidden="1" x14ac:dyDescent="0.35">
      <c r="A971" t="s">
        <v>13764</v>
      </c>
      <c r="B971" t="s">
        <v>7246</v>
      </c>
      <c r="C971" t="s">
        <v>5802</v>
      </c>
      <c r="D971" t="s">
        <v>5802</v>
      </c>
      <c r="E971" t="s">
        <v>5802</v>
      </c>
      <c r="G971" s="13" t="s">
        <v>13765</v>
      </c>
      <c r="H971" t="s">
        <v>13766</v>
      </c>
      <c r="K971" t="s">
        <v>11195</v>
      </c>
      <c r="L971" t="s">
        <v>11195</v>
      </c>
      <c r="M971" t="s">
        <v>7292</v>
      </c>
      <c r="N971">
        <v>2022</v>
      </c>
      <c r="T971" t="s">
        <v>6546</v>
      </c>
      <c r="U971" t="s">
        <v>6546</v>
      </c>
      <c r="V971">
        <v>53</v>
      </c>
      <c r="W971">
        <v>46.19</v>
      </c>
      <c r="X971">
        <v>53</v>
      </c>
      <c r="Y971">
        <v>700</v>
      </c>
      <c r="Z971" t="s">
        <v>8842</v>
      </c>
      <c r="AB971" t="s">
        <v>13767</v>
      </c>
      <c r="AC971" t="s">
        <v>8777</v>
      </c>
      <c r="AF971" t="s">
        <v>13768</v>
      </c>
      <c r="AI971" t="s">
        <v>8777</v>
      </c>
      <c r="AJ971" t="s">
        <v>9032</v>
      </c>
      <c r="AO971" t="s">
        <v>13769</v>
      </c>
    </row>
    <row r="972" spans="1:41" hidden="1" x14ac:dyDescent="0.35">
      <c r="A972" t="s">
        <v>13770</v>
      </c>
      <c r="B972" t="s">
        <v>7246</v>
      </c>
      <c r="C972" t="s">
        <v>5802</v>
      </c>
      <c r="D972" t="s">
        <v>5802</v>
      </c>
      <c r="E972" t="s">
        <v>5802</v>
      </c>
      <c r="G972" s="13" t="s">
        <v>13771</v>
      </c>
      <c r="H972" t="s">
        <v>13772</v>
      </c>
      <c r="K972" t="s">
        <v>11195</v>
      </c>
      <c r="L972" t="s">
        <v>11195</v>
      </c>
      <c r="M972" t="s">
        <v>7292</v>
      </c>
      <c r="N972">
        <v>2023</v>
      </c>
      <c r="T972" t="s">
        <v>6546</v>
      </c>
      <c r="U972" t="s">
        <v>6546</v>
      </c>
      <c r="V972">
        <v>63</v>
      </c>
      <c r="W972">
        <v>60.44</v>
      </c>
      <c r="X972">
        <v>63</v>
      </c>
      <c r="Y972">
        <v>700</v>
      </c>
      <c r="Z972" t="s">
        <v>8842</v>
      </c>
      <c r="AB972" t="s">
        <v>13773</v>
      </c>
      <c r="AC972" t="s">
        <v>8777</v>
      </c>
      <c r="AF972" t="s">
        <v>13774</v>
      </c>
      <c r="AG972" t="s">
        <v>13775</v>
      </c>
      <c r="AH972" t="s">
        <v>13776</v>
      </c>
      <c r="AI972" t="s">
        <v>8777</v>
      </c>
      <c r="AJ972" t="s">
        <v>9032</v>
      </c>
      <c r="AO972" t="s">
        <v>13777</v>
      </c>
    </row>
    <row r="973" spans="1:41" hidden="1" x14ac:dyDescent="0.35">
      <c r="A973" t="s">
        <v>13778</v>
      </c>
      <c r="B973" t="s">
        <v>7246</v>
      </c>
      <c r="C973" t="s">
        <v>5802</v>
      </c>
      <c r="D973" t="s">
        <v>5802</v>
      </c>
      <c r="E973" t="s">
        <v>5802</v>
      </c>
      <c r="G973" s="13" t="s">
        <v>13779</v>
      </c>
      <c r="H973" t="s">
        <v>13780</v>
      </c>
      <c r="K973" t="s">
        <v>11195</v>
      </c>
      <c r="L973" t="s">
        <v>11195</v>
      </c>
      <c r="M973" t="s">
        <v>7250</v>
      </c>
      <c r="N973">
        <v>2020</v>
      </c>
      <c r="T973" t="s">
        <v>6546</v>
      </c>
      <c r="U973" t="s">
        <v>6546</v>
      </c>
      <c r="V973">
        <v>43</v>
      </c>
      <c r="W973">
        <v>43.68</v>
      </c>
      <c r="X973">
        <v>43</v>
      </c>
      <c r="Y973">
        <v>39.4</v>
      </c>
      <c r="Z973" t="s">
        <v>7253</v>
      </c>
      <c r="AB973" t="s">
        <v>13781</v>
      </c>
      <c r="AC973" t="s">
        <v>8777</v>
      </c>
      <c r="AF973" t="s">
        <v>11937</v>
      </c>
      <c r="AI973" t="s">
        <v>8777</v>
      </c>
      <c r="AO973" t="s">
        <v>13782</v>
      </c>
    </row>
    <row r="974" spans="1:41" hidden="1" x14ac:dyDescent="0.35">
      <c r="A974" t="s">
        <v>13783</v>
      </c>
      <c r="B974" t="s">
        <v>7246</v>
      </c>
      <c r="C974" t="s">
        <v>5802</v>
      </c>
      <c r="D974" t="s">
        <v>5802</v>
      </c>
      <c r="E974" t="s">
        <v>5802</v>
      </c>
      <c r="G974" s="13" t="s">
        <v>13784</v>
      </c>
      <c r="H974" t="s">
        <v>13785</v>
      </c>
      <c r="K974" t="s">
        <v>11195</v>
      </c>
      <c r="L974" t="s">
        <v>11195</v>
      </c>
      <c r="M974" t="s">
        <v>7250</v>
      </c>
      <c r="N974">
        <v>2021</v>
      </c>
      <c r="T974" t="s">
        <v>6546</v>
      </c>
      <c r="U974" t="s">
        <v>6546</v>
      </c>
      <c r="V974">
        <v>130</v>
      </c>
      <c r="W974">
        <v>146.94999999999999</v>
      </c>
      <c r="X974">
        <v>130</v>
      </c>
      <c r="Y974">
        <v>39.4</v>
      </c>
      <c r="Z974" t="s">
        <v>7253</v>
      </c>
      <c r="AB974" t="s">
        <v>13786</v>
      </c>
      <c r="AC974" t="s">
        <v>8777</v>
      </c>
      <c r="AF974" t="s">
        <v>13787</v>
      </c>
      <c r="AI974" t="s">
        <v>8777</v>
      </c>
      <c r="AO974" t="s">
        <v>13788</v>
      </c>
    </row>
    <row r="975" spans="1:41" hidden="1" x14ac:dyDescent="0.35">
      <c r="A975" t="s">
        <v>13789</v>
      </c>
      <c r="B975" t="s">
        <v>7246</v>
      </c>
      <c r="C975" t="s">
        <v>5802</v>
      </c>
      <c r="D975" t="s">
        <v>5802</v>
      </c>
      <c r="E975" t="s">
        <v>5802</v>
      </c>
      <c r="G975" s="13" t="s">
        <v>13790</v>
      </c>
      <c r="H975" t="s">
        <v>13791</v>
      </c>
      <c r="K975" t="s">
        <v>11195</v>
      </c>
      <c r="L975" t="s">
        <v>11195</v>
      </c>
      <c r="M975" t="s">
        <v>7250</v>
      </c>
      <c r="N975">
        <v>2018</v>
      </c>
      <c r="T975" t="s">
        <v>6546</v>
      </c>
      <c r="U975" t="s">
        <v>6546</v>
      </c>
      <c r="V975">
        <v>33</v>
      </c>
      <c r="W975">
        <v>26.98</v>
      </c>
      <c r="X975">
        <v>33</v>
      </c>
      <c r="Y975">
        <v>39</v>
      </c>
      <c r="Z975" t="s">
        <v>7253</v>
      </c>
      <c r="AB975" t="s">
        <v>13792</v>
      </c>
      <c r="AC975" t="s">
        <v>8777</v>
      </c>
      <c r="AF975" t="s">
        <v>13793</v>
      </c>
      <c r="AI975" t="s">
        <v>8777</v>
      </c>
      <c r="AO975" t="s">
        <v>13794</v>
      </c>
    </row>
    <row r="976" spans="1:41" hidden="1" x14ac:dyDescent="0.35">
      <c r="A976" t="s">
        <v>13795</v>
      </c>
      <c r="B976" t="s">
        <v>7246</v>
      </c>
      <c r="C976" t="s">
        <v>5830</v>
      </c>
      <c r="D976" t="s">
        <v>5830</v>
      </c>
      <c r="E976" t="s">
        <v>5830</v>
      </c>
      <c r="G976" s="13" t="s">
        <v>13796</v>
      </c>
      <c r="H976" t="s">
        <v>13797</v>
      </c>
      <c r="I976" t="s">
        <v>12786</v>
      </c>
      <c r="K976" t="s">
        <v>13798</v>
      </c>
      <c r="L976" t="s">
        <v>13799</v>
      </c>
      <c r="M976" t="s">
        <v>7269</v>
      </c>
      <c r="N976">
        <v>2022</v>
      </c>
      <c r="R976">
        <v>2.65</v>
      </c>
      <c r="S976" t="s">
        <v>8257</v>
      </c>
      <c r="T976">
        <v>2.65</v>
      </c>
      <c r="U976">
        <v>1233.27</v>
      </c>
      <c r="V976">
        <v>50</v>
      </c>
      <c r="W976">
        <v>45.56</v>
      </c>
      <c r="X976">
        <v>50</v>
      </c>
      <c r="Y976">
        <v>31.49</v>
      </c>
      <c r="Z976" t="s">
        <v>7253</v>
      </c>
      <c r="AB976" t="s">
        <v>12024</v>
      </c>
      <c r="AC976" t="s">
        <v>8777</v>
      </c>
      <c r="AF976" t="s">
        <v>13800</v>
      </c>
      <c r="AG976" t="s">
        <v>13801</v>
      </c>
      <c r="AI976" t="s">
        <v>8777</v>
      </c>
      <c r="AO976" t="s">
        <v>13802</v>
      </c>
    </row>
    <row r="977" spans="1:41" hidden="1" x14ac:dyDescent="0.35">
      <c r="A977" t="s">
        <v>13803</v>
      </c>
      <c r="B977" t="s">
        <v>7246</v>
      </c>
      <c r="C977" t="s">
        <v>5830</v>
      </c>
      <c r="D977" t="s">
        <v>5830</v>
      </c>
      <c r="E977" t="s">
        <v>5830</v>
      </c>
      <c r="G977" s="13" t="s">
        <v>13804</v>
      </c>
      <c r="H977" t="s">
        <v>13805</v>
      </c>
      <c r="I977" t="s">
        <v>7331</v>
      </c>
      <c r="J977" t="s">
        <v>13806</v>
      </c>
      <c r="K977" t="s">
        <v>13807</v>
      </c>
      <c r="L977" t="s">
        <v>13808</v>
      </c>
      <c r="M977" t="s">
        <v>7250</v>
      </c>
      <c r="N977">
        <v>2015</v>
      </c>
      <c r="T977" t="s">
        <v>6546</v>
      </c>
      <c r="U977" t="s">
        <v>6546</v>
      </c>
      <c r="V977">
        <v>33</v>
      </c>
      <c r="W977">
        <v>20.32</v>
      </c>
      <c r="X977">
        <v>33</v>
      </c>
      <c r="AB977" t="s">
        <v>13809</v>
      </c>
      <c r="AC977" t="s">
        <v>8777</v>
      </c>
      <c r="AF977" t="s">
        <v>13810</v>
      </c>
      <c r="AI977" t="s">
        <v>8777</v>
      </c>
      <c r="AO977" t="s">
        <v>13811</v>
      </c>
    </row>
    <row r="978" spans="1:41" hidden="1" x14ac:dyDescent="0.35">
      <c r="A978" t="s">
        <v>13812</v>
      </c>
      <c r="B978" t="s">
        <v>7246</v>
      </c>
      <c r="C978" t="s">
        <v>423</v>
      </c>
      <c r="D978" t="s">
        <v>423</v>
      </c>
      <c r="E978" t="s">
        <v>423</v>
      </c>
      <c r="G978" s="13" t="s">
        <v>13813</v>
      </c>
      <c r="H978" t="s">
        <v>13814</v>
      </c>
      <c r="K978" t="s">
        <v>9976</v>
      </c>
      <c r="L978" t="s">
        <v>9976</v>
      </c>
      <c r="M978" t="s">
        <v>7250</v>
      </c>
      <c r="N978">
        <v>2006</v>
      </c>
      <c r="R978">
        <v>1.7</v>
      </c>
      <c r="S978" t="s">
        <v>8257</v>
      </c>
      <c r="T978">
        <v>1.7</v>
      </c>
      <c r="U978">
        <v>791.15</v>
      </c>
      <c r="V978">
        <v>325</v>
      </c>
      <c r="W978">
        <v>228.6</v>
      </c>
      <c r="X978">
        <v>325</v>
      </c>
      <c r="Y978" t="s">
        <v>13815</v>
      </c>
      <c r="Z978" t="s">
        <v>8842</v>
      </c>
      <c r="AA978" t="s">
        <v>13816</v>
      </c>
      <c r="AB978" t="s">
        <v>13817</v>
      </c>
      <c r="AC978" t="s">
        <v>8844</v>
      </c>
      <c r="AD978" t="s">
        <v>13818</v>
      </c>
      <c r="AE978" t="s">
        <v>13819</v>
      </c>
      <c r="AF978" t="s">
        <v>13820</v>
      </c>
      <c r="AH978" t="s">
        <v>13821</v>
      </c>
      <c r="AI978" t="s">
        <v>8844</v>
      </c>
      <c r="AO978" t="s">
        <v>13822</v>
      </c>
    </row>
    <row r="979" spans="1:41" hidden="1" x14ac:dyDescent="0.35">
      <c r="A979" t="s">
        <v>13823</v>
      </c>
      <c r="B979" t="s">
        <v>7246</v>
      </c>
      <c r="C979" t="s">
        <v>423</v>
      </c>
      <c r="D979" t="s">
        <v>423</v>
      </c>
      <c r="E979" t="s">
        <v>423</v>
      </c>
      <c r="G979" s="13" t="s">
        <v>13824</v>
      </c>
      <c r="H979" t="s">
        <v>13825</v>
      </c>
      <c r="I979" t="s">
        <v>13826</v>
      </c>
      <c r="K979" t="s">
        <v>9976</v>
      </c>
      <c r="L979" t="s">
        <v>9976</v>
      </c>
      <c r="M979" t="s">
        <v>7250</v>
      </c>
      <c r="N979">
        <v>1996</v>
      </c>
      <c r="R979">
        <v>1.7</v>
      </c>
      <c r="S979" t="s">
        <v>8257</v>
      </c>
      <c r="T979">
        <v>1.7</v>
      </c>
      <c r="U979">
        <v>791.15</v>
      </c>
      <c r="V979">
        <v>292</v>
      </c>
      <c r="W979">
        <v>191.63</v>
      </c>
      <c r="X979">
        <v>292</v>
      </c>
      <c r="AA979" t="s">
        <v>13816</v>
      </c>
      <c r="AB979" t="s">
        <v>3636</v>
      </c>
      <c r="AC979" t="s">
        <v>8844</v>
      </c>
      <c r="AE979" t="s">
        <v>13827</v>
      </c>
      <c r="AF979" t="s">
        <v>13817</v>
      </c>
      <c r="AG979" t="s">
        <v>13818</v>
      </c>
      <c r="AH979" t="s">
        <v>13819</v>
      </c>
      <c r="AI979" t="s">
        <v>8844</v>
      </c>
      <c r="AL979" t="s">
        <v>13828</v>
      </c>
      <c r="AM979" t="s">
        <v>13828</v>
      </c>
      <c r="AO979" t="s">
        <v>13829</v>
      </c>
    </row>
    <row r="980" spans="1:41" hidden="1" x14ac:dyDescent="0.35">
      <c r="A980" t="s">
        <v>13830</v>
      </c>
      <c r="B980" t="s">
        <v>7246</v>
      </c>
      <c r="C980" t="s">
        <v>423</v>
      </c>
      <c r="D980" t="s">
        <v>423</v>
      </c>
      <c r="E980" t="s">
        <v>423</v>
      </c>
      <c r="G980" s="13" t="s">
        <v>13831</v>
      </c>
      <c r="H980" t="s">
        <v>13832</v>
      </c>
      <c r="K980" t="s">
        <v>9976</v>
      </c>
      <c r="L980" t="s">
        <v>9976</v>
      </c>
      <c r="M980" t="s">
        <v>7250</v>
      </c>
      <c r="N980">
        <v>1964</v>
      </c>
      <c r="R980">
        <v>7</v>
      </c>
      <c r="S980" t="s">
        <v>8257</v>
      </c>
      <c r="T980">
        <v>7</v>
      </c>
      <c r="U980">
        <v>3257.68</v>
      </c>
      <c r="V980">
        <v>765</v>
      </c>
      <c r="W980">
        <v>696.78</v>
      </c>
      <c r="X980">
        <v>765</v>
      </c>
      <c r="Y980">
        <v>1020</v>
      </c>
      <c r="Z980" t="s">
        <v>8842</v>
      </c>
      <c r="AB980" t="s">
        <v>13833</v>
      </c>
      <c r="AC980" t="s">
        <v>8844</v>
      </c>
      <c r="AE980" t="s">
        <v>13834</v>
      </c>
      <c r="AF980" t="s">
        <v>13835</v>
      </c>
      <c r="AH980" t="s">
        <v>9996</v>
      </c>
      <c r="AI980" t="s">
        <v>8844</v>
      </c>
      <c r="AO980" t="s">
        <v>13836</v>
      </c>
    </row>
    <row r="981" spans="1:41" hidden="1" x14ac:dyDescent="0.35">
      <c r="A981" t="s">
        <v>13837</v>
      </c>
      <c r="B981" t="s">
        <v>7246</v>
      </c>
      <c r="C981" t="s">
        <v>423</v>
      </c>
      <c r="D981" t="s">
        <v>423</v>
      </c>
      <c r="E981" t="s">
        <v>423</v>
      </c>
      <c r="G981" s="13" t="s">
        <v>13838</v>
      </c>
      <c r="H981" t="s">
        <v>13839</v>
      </c>
      <c r="K981" t="s">
        <v>9976</v>
      </c>
      <c r="L981" t="s">
        <v>9976</v>
      </c>
      <c r="M981" t="s">
        <v>7250</v>
      </c>
      <c r="N981">
        <v>1969</v>
      </c>
      <c r="R981">
        <v>4.2</v>
      </c>
      <c r="S981" t="s">
        <v>8257</v>
      </c>
      <c r="T981">
        <v>4.2</v>
      </c>
      <c r="U981">
        <v>1954.61</v>
      </c>
      <c r="V981">
        <v>214</v>
      </c>
      <c r="W981">
        <v>144.03</v>
      </c>
      <c r="X981">
        <v>214</v>
      </c>
      <c r="Y981">
        <v>530</v>
      </c>
      <c r="Z981" t="s">
        <v>8842</v>
      </c>
      <c r="AB981" t="s">
        <v>13840</v>
      </c>
      <c r="AC981" t="s">
        <v>8844</v>
      </c>
      <c r="AE981" t="s">
        <v>13841</v>
      </c>
      <c r="AF981" t="s">
        <v>13842</v>
      </c>
      <c r="AH981" t="s">
        <v>13843</v>
      </c>
      <c r="AI981" t="s">
        <v>8844</v>
      </c>
      <c r="AO981" t="s">
        <v>13844</v>
      </c>
    </row>
    <row r="982" spans="1:41" hidden="1" x14ac:dyDescent="0.35">
      <c r="A982" t="s">
        <v>13845</v>
      </c>
      <c r="B982" t="s">
        <v>7246</v>
      </c>
      <c r="C982" t="s">
        <v>423</v>
      </c>
      <c r="D982" t="s">
        <v>423</v>
      </c>
      <c r="E982" t="s">
        <v>423</v>
      </c>
      <c r="G982" s="13" t="s">
        <v>13846</v>
      </c>
      <c r="H982" t="s">
        <v>9874</v>
      </c>
      <c r="I982" t="s">
        <v>13847</v>
      </c>
      <c r="J982" t="s">
        <v>13848</v>
      </c>
      <c r="K982" t="s">
        <v>9848</v>
      </c>
      <c r="L982" t="s">
        <v>9848</v>
      </c>
      <c r="M982" t="s">
        <v>7292</v>
      </c>
      <c r="N982">
        <v>2024</v>
      </c>
      <c r="R982">
        <v>69</v>
      </c>
      <c r="S982" t="s">
        <v>8257</v>
      </c>
      <c r="T982">
        <v>69</v>
      </c>
      <c r="U982">
        <v>32111.46</v>
      </c>
      <c r="V982">
        <v>1260</v>
      </c>
      <c r="W982">
        <v>1119.03</v>
      </c>
      <c r="X982">
        <v>1260</v>
      </c>
      <c r="Y982">
        <v>1420</v>
      </c>
      <c r="Z982" t="s">
        <v>8842</v>
      </c>
      <c r="AA982" t="s">
        <v>13849</v>
      </c>
      <c r="AB982" t="s">
        <v>13850</v>
      </c>
      <c r="AC982" t="s">
        <v>8844</v>
      </c>
      <c r="AE982" t="s">
        <v>13851</v>
      </c>
      <c r="AF982" t="s">
        <v>9878</v>
      </c>
      <c r="AH982" t="s">
        <v>3621</v>
      </c>
      <c r="AI982" t="s">
        <v>8844</v>
      </c>
      <c r="AL982" t="s">
        <v>13852</v>
      </c>
      <c r="AO982" t="s">
        <v>13853</v>
      </c>
    </row>
    <row r="983" spans="1:41" hidden="1" x14ac:dyDescent="0.35">
      <c r="A983" t="s">
        <v>13854</v>
      </c>
      <c r="B983" t="s">
        <v>7246</v>
      </c>
      <c r="C983" t="s">
        <v>423</v>
      </c>
      <c r="D983" t="s">
        <v>423</v>
      </c>
      <c r="E983" t="s">
        <v>423</v>
      </c>
      <c r="G983" s="13" t="s">
        <v>13855</v>
      </c>
      <c r="H983" t="s">
        <v>13856</v>
      </c>
      <c r="K983" t="s">
        <v>9976</v>
      </c>
      <c r="L983" t="s">
        <v>9976</v>
      </c>
      <c r="M983" t="s">
        <v>7250</v>
      </c>
      <c r="N983">
        <v>1965</v>
      </c>
      <c r="T983" t="s">
        <v>6546</v>
      </c>
      <c r="U983" t="s">
        <v>6546</v>
      </c>
      <c r="V983">
        <v>240</v>
      </c>
      <c r="W983">
        <v>242.37</v>
      </c>
      <c r="X983">
        <v>240</v>
      </c>
      <c r="Y983">
        <v>530</v>
      </c>
      <c r="Z983" t="s">
        <v>8842</v>
      </c>
      <c r="AB983" t="s">
        <v>13857</v>
      </c>
      <c r="AC983" t="s">
        <v>8844</v>
      </c>
      <c r="AE983" t="s">
        <v>13858</v>
      </c>
      <c r="AF983" t="s">
        <v>13859</v>
      </c>
      <c r="AH983" t="s">
        <v>13860</v>
      </c>
      <c r="AI983" t="s">
        <v>8844</v>
      </c>
      <c r="AO983" t="s">
        <v>13861</v>
      </c>
    </row>
    <row r="984" spans="1:41" hidden="1" x14ac:dyDescent="0.35">
      <c r="A984" t="s">
        <v>13862</v>
      </c>
      <c r="B984" t="s">
        <v>7246</v>
      </c>
      <c r="C984" t="s">
        <v>5541</v>
      </c>
      <c r="D984" t="s">
        <v>423</v>
      </c>
      <c r="E984" t="s">
        <v>13863</v>
      </c>
      <c r="G984" s="13" t="s">
        <v>13864</v>
      </c>
      <c r="H984" t="s">
        <v>13865</v>
      </c>
      <c r="K984" t="s">
        <v>9976</v>
      </c>
      <c r="L984" t="s">
        <v>9976</v>
      </c>
      <c r="M984" t="s">
        <v>7250</v>
      </c>
      <c r="N984">
        <v>1963</v>
      </c>
      <c r="R984">
        <v>15</v>
      </c>
      <c r="S984" t="s">
        <v>8257</v>
      </c>
      <c r="T984">
        <v>15</v>
      </c>
      <c r="U984">
        <v>6980.75</v>
      </c>
      <c r="V984">
        <v>4537</v>
      </c>
      <c r="W984">
        <v>2124.08</v>
      </c>
      <c r="X984">
        <v>4537</v>
      </c>
      <c r="Y984" t="s">
        <v>13866</v>
      </c>
      <c r="Z984" t="s">
        <v>8842</v>
      </c>
      <c r="AA984" t="s">
        <v>9892</v>
      </c>
      <c r="AB984" t="s">
        <v>9892</v>
      </c>
      <c r="AC984" t="s">
        <v>8844</v>
      </c>
      <c r="AE984" t="s">
        <v>5541</v>
      </c>
      <c r="AF984" t="s">
        <v>13867</v>
      </c>
      <c r="AH984" t="s">
        <v>13868</v>
      </c>
      <c r="AI984" t="s">
        <v>8844</v>
      </c>
      <c r="AL984" t="s">
        <v>13869</v>
      </c>
      <c r="AO984" t="s">
        <v>13870</v>
      </c>
    </row>
    <row r="985" spans="1:41" hidden="1" x14ac:dyDescent="0.35">
      <c r="A985" t="s">
        <v>13871</v>
      </c>
      <c r="B985" t="s">
        <v>7246</v>
      </c>
      <c r="C985" t="s">
        <v>5541</v>
      </c>
      <c r="D985" t="s">
        <v>5541</v>
      </c>
      <c r="E985" t="s">
        <v>5541</v>
      </c>
      <c r="G985" s="13" t="s">
        <v>13872</v>
      </c>
      <c r="H985" t="s">
        <v>13873</v>
      </c>
      <c r="I985" t="s">
        <v>13874</v>
      </c>
      <c r="K985" t="s">
        <v>13875</v>
      </c>
      <c r="L985" t="s">
        <v>13876</v>
      </c>
      <c r="M985" t="s">
        <v>7250</v>
      </c>
      <c r="N985">
        <v>1973</v>
      </c>
      <c r="O985">
        <v>1983</v>
      </c>
      <c r="R985">
        <v>0.6</v>
      </c>
      <c r="S985" t="s">
        <v>8257</v>
      </c>
      <c r="T985">
        <v>0.6</v>
      </c>
      <c r="U985">
        <v>279.23</v>
      </c>
      <c r="V985">
        <v>71</v>
      </c>
      <c r="W985">
        <v>100.89</v>
      </c>
      <c r="X985">
        <v>71</v>
      </c>
      <c r="AB985" t="s">
        <v>9892</v>
      </c>
      <c r="AC985" t="s">
        <v>8844</v>
      </c>
      <c r="AF985" t="s">
        <v>13877</v>
      </c>
      <c r="AI985" t="s">
        <v>8844</v>
      </c>
      <c r="AO985" t="s">
        <v>13878</v>
      </c>
    </row>
    <row r="986" spans="1:41" hidden="1" x14ac:dyDescent="0.35">
      <c r="A986" t="s">
        <v>13879</v>
      </c>
      <c r="B986" t="s">
        <v>7246</v>
      </c>
      <c r="C986" t="s">
        <v>9898</v>
      </c>
      <c r="D986" t="s">
        <v>423</v>
      </c>
      <c r="E986" t="s">
        <v>9899</v>
      </c>
      <c r="G986" s="13" t="s">
        <v>13880</v>
      </c>
      <c r="H986" t="s">
        <v>13881</v>
      </c>
      <c r="I986" t="s">
        <v>13882</v>
      </c>
      <c r="K986" t="s">
        <v>9976</v>
      </c>
      <c r="L986" t="s">
        <v>9976</v>
      </c>
      <c r="M986" t="s">
        <v>7250</v>
      </c>
      <c r="N986">
        <v>1967</v>
      </c>
      <c r="R986">
        <v>80</v>
      </c>
      <c r="S986" t="s">
        <v>8257</v>
      </c>
      <c r="T986">
        <v>80</v>
      </c>
      <c r="U986">
        <v>37230.68</v>
      </c>
      <c r="V986">
        <v>2662</v>
      </c>
      <c r="W986">
        <v>2748.97</v>
      </c>
      <c r="X986">
        <v>2662</v>
      </c>
      <c r="Y986" t="s">
        <v>13883</v>
      </c>
      <c r="Z986" t="s">
        <v>7253</v>
      </c>
      <c r="AA986" t="s">
        <v>13884</v>
      </c>
      <c r="AB986" t="s">
        <v>9926</v>
      </c>
      <c r="AC986" t="s">
        <v>8844</v>
      </c>
      <c r="AE986" t="s">
        <v>9898</v>
      </c>
      <c r="AF986" t="s">
        <v>13885</v>
      </c>
      <c r="AH986" t="s">
        <v>13886</v>
      </c>
      <c r="AI986" t="s">
        <v>8844</v>
      </c>
      <c r="AL986" t="s">
        <v>13887</v>
      </c>
      <c r="AO986" t="s">
        <v>13888</v>
      </c>
    </row>
    <row r="987" spans="1:41" hidden="1" x14ac:dyDescent="0.35">
      <c r="A987" t="s">
        <v>13889</v>
      </c>
      <c r="B987" t="s">
        <v>7246</v>
      </c>
      <c r="C987" t="s">
        <v>9898</v>
      </c>
      <c r="D987" t="s">
        <v>423</v>
      </c>
      <c r="E987" t="s">
        <v>9899</v>
      </c>
      <c r="G987" s="13" t="s">
        <v>13880</v>
      </c>
      <c r="H987" t="s">
        <v>13881</v>
      </c>
      <c r="I987" t="s">
        <v>13890</v>
      </c>
      <c r="K987" t="s">
        <v>9976</v>
      </c>
      <c r="L987" t="s">
        <v>9976</v>
      </c>
      <c r="M987" t="s">
        <v>7250</v>
      </c>
      <c r="N987">
        <v>1976</v>
      </c>
      <c r="R987">
        <v>80</v>
      </c>
      <c r="S987" t="s">
        <v>8257</v>
      </c>
      <c r="T987">
        <v>80</v>
      </c>
      <c r="U987">
        <v>37230.68</v>
      </c>
      <c r="V987">
        <v>2737</v>
      </c>
      <c r="W987">
        <v>2541.02</v>
      </c>
      <c r="X987">
        <v>2737</v>
      </c>
      <c r="Y987" t="s">
        <v>13891</v>
      </c>
      <c r="Z987" t="s">
        <v>7253</v>
      </c>
      <c r="AA987" t="s">
        <v>13892</v>
      </c>
      <c r="AB987" t="s">
        <v>9925</v>
      </c>
      <c r="AC987" t="s">
        <v>8844</v>
      </c>
      <c r="AE987" t="s">
        <v>9898</v>
      </c>
      <c r="AF987" t="s">
        <v>5464</v>
      </c>
      <c r="AH987" t="s">
        <v>13893</v>
      </c>
      <c r="AI987" t="s">
        <v>8844</v>
      </c>
      <c r="AL987" t="s">
        <v>13887</v>
      </c>
      <c r="AO987" t="s">
        <v>13894</v>
      </c>
    </row>
    <row r="988" spans="1:41" hidden="1" x14ac:dyDescent="0.35">
      <c r="A988" t="s">
        <v>13895</v>
      </c>
      <c r="B988" t="s">
        <v>7246</v>
      </c>
      <c r="C988" t="s">
        <v>423</v>
      </c>
      <c r="D988" t="s">
        <v>423</v>
      </c>
      <c r="E988" t="s">
        <v>423</v>
      </c>
      <c r="G988" s="13" t="s">
        <v>13896</v>
      </c>
      <c r="H988" t="s">
        <v>13897</v>
      </c>
      <c r="K988" t="s">
        <v>9976</v>
      </c>
      <c r="L988" t="s">
        <v>9976</v>
      </c>
      <c r="M988" t="s">
        <v>7250</v>
      </c>
      <c r="N988">
        <v>2006</v>
      </c>
      <c r="R988">
        <v>28</v>
      </c>
      <c r="S988" t="s">
        <v>8257</v>
      </c>
      <c r="T988">
        <v>28</v>
      </c>
      <c r="U988">
        <v>13030.74</v>
      </c>
      <c r="V988">
        <v>310</v>
      </c>
      <c r="W988">
        <v>306.16000000000003</v>
      </c>
      <c r="X988">
        <v>310</v>
      </c>
      <c r="Y988">
        <v>1420</v>
      </c>
      <c r="Z988" t="s">
        <v>8842</v>
      </c>
      <c r="AA988" t="s">
        <v>13898</v>
      </c>
      <c r="AB988" t="s">
        <v>13899</v>
      </c>
      <c r="AC988" t="s">
        <v>8844</v>
      </c>
      <c r="AE988" t="s">
        <v>13900</v>
      </c>
      <c r="AF988" t="s">
        <v>13901</v>
      </c>
      <c r="AH988" t="s">
        <v>13900</v>
      </c>
      <c r="AI988" t="s">
        <v>8844</v>
      </c>
      <c r="AL988" t="s">
        <v>13902</v>
      </c>
      <c r="AO988" t="s">
        <v>13903</v>
      </c>
    </row>
    <row r="989" spans="1:41" hidden="1" x14ac:dyDescent="0.35">
      <c r="A989" t="s">
        <v>13904</v>
      </c>
      <c r="B989" t="s">
        <v>7246</v>
      </c>
      <c r="C989" t="s">
        <v>423</v>
      </c>
      <c r="D989" t="s">
        <v>423</v>
      </c>
      <c r="E989" t="s">
        <v>423</v>
      </c>
      <c r="G989" s="13" t="s">
        <v>13905</v>
      </c>
      <c r="H989" t="s">
        <v>13906</v>
      </c>
      <c r="K989" t="s">
        <v>9976</v>
      </c>
      <c r="L989" t="s">
        <v>9976</v>
      </c>
      <c r="M989" t="s">
        <v>7250</v>
      </c>
      <c r="T989" t="s">
        <v>6546</v>
      </c>
      <c r="U989" t="s">
        <v>6546</v>
      </c>
      <c r="V989">
        <v>127</v>
      </c>
      <c r="W989">
        <v>133.85</v>
      </c>
      <c r="X989">
        <v>127</v>
      </c>
      <c r="Y989">
        <v>1020</v>
      </c>
      <c r="Z989" t="s">
        <v>8842</v>
      </c>
      <c r="AB989" t="s">
        <v>13907</v>
      </c>
      <c r="AC989" t="s">
        <v>8844</v>
      </c>
      <c r="AE989" t="s">
        <v>13908</v>
      </c>
      <c r="AF989" t="s">
        <v>13909</v>
      </c>
      <c r="AH989" t="s">
        <v>13868</v>
      </c>
      <c r="AI989" t="s">
        <v>8844</v>
      </c>
      <c r="AO989" t="s">
        <v>13910</v>
      </c>
    </row>
    <row r="990" spans="1:41" hidden="1" x14ac:dyDescent="0.35">
      <c r="A990" t="s">
        <v>13911</v>
      </c>
      <c r="B990" t="s">
        <v>7246</v>
      </c>
      <c r="C990" t="s">
        <v>423</v>
      </c>
      <c r="D990" t="s">
        <v>423</v>
      </c>
      <c r="E990" t="s">
        <v>423</v>
      </c>
      <c r="G990" s="13" t="s">
        <v>13912</v>
      </c>
      <c r="H990" t="s">
        <v>13913</v>
      </c>
      <c r="K990" t="s">
        <v>9976</v>
      </c>
      <c r="L990" t="s">
        <v>9976</v>
      </c>
      <c r="M990" t="s">
        <v>7250</v>
      </c>
      <c r="N990">
        <v>1977</v>
      </c>
      <c r="T990" t="s">
        <v>6546</v>
      </c>
      <c r="U990" t="s">
        <v>6546</v>
      </c>
      <c r="V990">
        <v>389</v>
      </c>
      <c r="W990">
        <v>335.33</v>
      </c>
      <c r="X990">
        <v>389</v>
      </c>
      <c r="Y990">
        <v>1220</v>
      </c>
      <c r="Z990" t="s">
        <v>8842</v>
      </c>
      <c r="AB990" t="s">
        <v>13914</v>
      </c>
      <c r="AC990" t="s">
        <v>8844</v>
      </c>
      <c r="AE990" t="s">
        <v>13915</v>
      </c>
      <c r="AF990" t="s">
        <v>3642</v>
      </c>
      <c r="AH990" t="s">
        <v>13915</v>
      </c>
      <c r="AI990" t="s">
        <v>8844</v>
      </c>
      <c r="AO990" t="s">
        <v>13916</v>
      </c>
    </row>
    <row r="991" spans="1:41" hidden="1" x14ac:dyDescent="0.35">
      <c r="A991" t="s">
        <v>13917</v>
      </c>
      <c r="B991" t="s">
        <v>7246</v>
      </c>
      <c r="C991" t="s">
        <v>9898</v>
      </c>
      <c r="D991" t="s">
        <v>84</v>
      </c>
      <c r="E991" t="s">
        <v>13918</v>
      </c>
      <c r="G991" s="13" t="s">
        <v>12637</v>
      </c>
      <c r="H991" t="s">
        <v>12638</v>
      </c>
      <c r="I991" t="s">
        <v>13919</v>
      </c>
      <c r="J991" t="s">
        <v>13920</v>
      </c>
      <c r="K991" t="s">
        <v>13921</v>
      </c>
      <c r="L991" t="s">
        <v>13922</v>
      </c>
      <c r="M991" t="s">
        <v>7250</v>
      </c>
      <c r="N991">
        <v>2009</v>
      </c>
      <c r="R991">
        <v>15</v>
      </c>
      <c r="S991" t="s">
        <v>8257</v>
      </c>
      <c r="T991">
        <v>15</v>
      </c>
      <c r="U991">
        <v>6980.75</v>
      </c>
      <c r="V991">
        <v>1833</v>
      </c>
      <c r="W991">
        <v>1883.13</v>
      </c>
      <c r="X991">
        <v>1833</v>
      </c>
      <c r="Y991">
        <v>42</v>
      </c>
      <c r="Z991" t="s">
        <v>7253</v>
      </c>
      <c r="AA991" t="s">
        <v>13923</v>
      </c>
      <c r="AB991" t="s">
        <v>13924</v>
      </c>
      <c r="AC991" t="s">
        <v>8844</v>
      </c>
      <c r="AF991" t="s">
        <v>13925</v>
      </c>
      <c r="AH991" t="s">
        <v>4824</v>
      </c>
      <c r="AI991" t="s">
        <v>9852</v>
      </c>
      <c r="AO991" t="s">
        <v>13926</v>
      </c>
    </row>
    <row r="992" spans="1:41" hidden="1" x14ac:dyDescent="0.35">
      <c r="A992" t="s">
        <v>13927</v>
      </c>
      <c r="B992" t="s">
        <v>7246</v>
      </c>
      <c r="C992" t="s">
        <v>9898</v>
      </c>
      <c r="D992" t="s">
        <v>84</v>
      </c>
      <c r="E992" t="s">
        <v>13918</v>
      </c>
      <c r="G992" s="13" t="s">
        <v>12637</v>
      </c>
      <c r="H992" t="s">
        <v>12638</v>
      </c>
      <c r="I992" t="s">
        <v>13928</v>
      </c>
      <c r="J992" t="s">
        <v>13929</v>
      </c>
      <c r="K992" t="s">
        <v>13921</v>
      </c>
      <c r="L992" t="s">
        <v>13922</v>
      </c>
      <c r="M992" t="s">
        <v>7250</v>
      </c>
      <c r="N992">
        <v>2010</v>
      </c>
      <c r="R992">
        <v>15</v>
      </c>
      <c r="S992" t="s">
        <v>8257</v>
      </c>
      <c r="T992">
        <v>15</v>
      </c>
      <c r="U992">
        <v>6980.75</v>
      </c>
      <c r="V992">
        <v>1833</v>
      </c>
      <c r="W992">
        <v>1883.13</v>
      </c>
      <c r="X992">
        <v>1833</v>
      </c>
      <c r="Y992">
        <v>42</v>
      </c>
      <c r="Z992" t="s">
        <v>7253</v>
      </c>
      <c r="AA992" t="s">
        <v>13923</v>
      </c>
      <c r="AB992" t="s">
        <v>13924</v>
      </c>
      <c r="AC992" t="s">
        <v>8844</v>
      </c>
      <c r="AF992" t="s">
        <v>13925</v>
      </c>
      <c r="AH992" t="s">
        <v>4824</v>
      </c>
      <c r="AI992" t="s">
        <v>9852</v>
      </c>
      <c r="AO992" t="s">
        <v>13926</v>
      </c>
    </row>
    <row r="993" spans="1:41" hidden="1" x14ac:dyDescent="0.35">
      <c r="A993" t="s">
        <v>13930</v>
      </c>
      <c r="B993" t="s">
        <v>7246</v>
      </c>
      <c r="C993" t="s">
        <v>4136</v>
      </c>
      <c r="D993" t="s">
        <v>4136</v>
      </c>
      <c r="E993" t="s">
        <v>4136</v>
      </c>
      <c r="G993" s="13" t="s">
        <v>13931</v>
      </c>
      <c r="H993" t="s">
        <v>13932</v>
      </c>
      <c r="J993" t="s">
        <v>13933</v>
      </c>
      <c r="K993" t="s">
        <v>10508</v>
      </c>
      <c r="L993" t="s">
        <v>6511</v>
      </c>
      <c r="M993" t="s">
        <v>7250</v>
      </c>
      <c r="N993">
        <v>1968</v>
      </c>
      <c r="R993">
        <v>175</v>
      </c>
      <c r="S993" t="s">
        <v>7251</v>
      </c>
      <c r="T993">
        <v>1.81</v>
      </c>
      <c r="U993">
        <v>842.33</v>
      </c>
      <c r="V993">
        <v>81</v>
      </c>
      <c r="W993">
        <v>70.239999999999995</v>
      </c>
      <c r="X993">
        <v>81</v>
      </c>
      <c r="Y993">
        <v>14</v>
      </c>
      <c r="Z993" t="s">
        <v>7253</v>
      </c>
      <c r="AA993" t="s">
        <v>13313</v>
      </c>
      <c r="AC993" t="s">
        <v>8859</v>
      </c>
      <c r="AD993" t="s">
        <v>13934</v>
      </c>
      <c r="AF993" t="s">
        <v>10417</v>
      </c>
      <c r="AG993" t="s">
        <v>10418</v>
      </c>
      <c r="AI993" t="s">
        <v>8859</v>
      </c>
      <c r="AO993" t="s">
        <v>13935</v>
      </c>
    </row>
    <row r="994" spans="1:41" hidden="1" x14ac:dyDescent="0.35">
      <c r="A994" t="s">
        <v>13936</v>
      </c>
      <c r="B994" t="s">
        <v>7246</v>
      </c>
      <c r="C994" t="s">
        <v>396</v>
      </c>
      <c r="D994" t="s">
        <v>396</v>
      </c>
      <c r="E994" t="s">
        <v>396</v>
      </c>
      <c r="G994" s="13" t="s">
        <v>13937</v>
      </c>
      <c r="H994" t="s">
        <v>13938</v>
      </c>
      <c r="J994" t="s">
        <v>13939</v>
      </c>
      <c r="K994" t="s">
        <v>11270</v>
      </c>
      <c r="L994" t="s">
        <v>11270</v>
      </c>
      <c r="M994" t="s">
        <v>7250</v>
      </c>
      <c r="N994">
        <v>2006</v>
      </c>
      <c r="T994" t="s">
        <v>6546</v>
      </c>
      <c r="U994" t="s">
        <v>6546</v>
      </c>
      <c r="V994">
        <v>14</v>
      </c>
      <c r="W994">
        <v>12.89</v>
      </c>
      <c r="X994">
        <v>14</v>
      </c>
      <c r="AB994" t="s">
        <v>13940</v>
      </c>
      <c r="AC994" t="s">
        <v>9852</v>
      </c>
      <c r="AD994" t="s">
        <v>5121</v>
      </c>
      <c r="AF994" t="s">
        <v>2985</v>
      </c>
      <c r="AG994" t="s">
        <v>11461</v>
      </c>
      <c r="AI994" t="s">
        <v>9852</v>
      </c>
      <c r="AO994" t="s">
        <v>13941</v>
      </c>
    </row>
    <row r="995" spans="1:41" hidden="1" x14ac:dyDescent="0.35">
      <c r="A995" t="s">
        <v>13942</v>
      </c>
      <c r="B995" t="s">
        <v>7246</v>
      </c>
      <c r="C995" t="s">
        <v>396</v>
      </c>
      <c r="D995" t="s">
        <v>396</v>
      </c>
      <c r="E995" t="s">
        <v>396</v>
      </c>
      <c r="G995" s="13" t="s">
        <v>13943</v>
      </c>
      <c r="H995" t="s">
        <v>13944</v>
      </c>
      <c r="K995" t="s">
        <v>7077</v>
      </c>
      <c r="L995" t="s">
        <v>7077</v>
      </c>
      <c r="M995" t="s">
        <v>7250</v>
      </c>
      <c r="T995" t="s">
        <v>6546</v>
      </c>
      <c r="U995" t="s">
        <v>6546</v>
      </c>
      <c r="V995" t="s">
        <v>6546</v>
      </c>
      <c r="W995" t="s">
        <v>6546</v>
      </c>
      <c r="X995" t="s">
        <v>6546</v>
      </c>
      <c r="AC995" t="s">
        <v>9852</v>
      </c>
      <c r="AI995" t="s">
        <v>9852</v>
      </c>
      <c r="AO995" t="s">
        <v>6546</v>
      </c>
    </row>
    <row r="996" spans="1:41" hidden="1" x14ac:dyDescent="0.35">
      <c r="A996" t="s">
        <v>13945</v>
      </c>
      <c r="B996" t="s">
        <v>7246</v>
      </c>
      <c r="C996" t="s">
        <v>396</v>
      </c>
      <c r="D996" t="s">
        <v>396</v>
      </c>
      <c r="E996" t="s">
        <v>396</v>
      </c>
      <c r="G996" s="13" t="s">
        <v>13946</v>
      </c>
      <c r="H996" t="s">
        <v>13947</v>
      </c>
      <c r="K996" t="s">
        <v>13153</v>
      </c>
      <c r="L996" t="s">
        <v>13153</v>
      </c>
      <c r="M996" t="s">
        <v>7250</v>
      </c>
      <c r="N996">
        <v>2017</v>
      </c>
      <c r="T996" t="s">
        <v>6546</v>
      </c>
      <c r="U996" t="s">
        <v>6546</v>
      </c>
      <c r="V996">
        <v>40</v>
      </c>
      <c r="W996">
        <v>27.34</v>
      </c>
      <c r="X996">
        <v>40</v>
      </c>
      <c r="Y996" t="s">
        <v>13948</v>
      </c>
      <c r="Z996" t="s">
        <v>8842</v>
      </c>
      <c r="AB996" t="s">
        <v>13949</v>
      </c>
      <c r="AC996" t="s">
        <v>9852</v>
      </c>
      <c r="AD996" t="s">
        <v>11448</v>
      </c>
      <c r="AF996" t="s">
        <v>13950</v>
      </c>
      <c r="AG996" t="s">
        <v>5145</v>
      </c>
      <c r="AI996" t="s">
        <v>9852</v>
      </c>
      <c r="AO996" t="s">
        <v>13951</v>
      </c>
    </row>
    <row r="997" spans="1:41" hidden="1" x14ac:dyDescent="0.35">
      <c r="A997" t="s">
        <v>13952</v>
      </c>
      <c r="B997" t="s">
        <v>7246</v>
      </c>
      <c r="C997" t="s">
        <v>396</v>
      </c>
      <c r="D997" t="s">
        <v>396</v>
      </c>
      <c r="E997" t="s">
        <v>396</v>
      </c>
      <c r="G997" s="13" t="s">
        <v>13953</v>
      </c>
      <c r="H997" t="s">
        <v>13954</v>
      </c>
      <c r="K997" t="s">
        <v>7113</v>
      </c>
      <c r="L997" t="s">
        <v>7113</v>
      </c>
      <c r="M997" t="s">
        <v>7250</v>
      </c>
      <c r="N997">
        <v>1996</v>
      </c>
      <c r="T997" t="s">
        <v>6546</v>
      </c>
      <c r="U997" t="s">
        <v>6546</v>
      </c>
      <c r="V997">
        <v>3</v>
      </c>
      <c r="W997" t="s">
        <v>6546</v>
      </c>
      <c r="X997">
        <v>3</v>
      </c>
      <c r="AC997" t="s">
        <v>9852</v>
      </c>
      <c r="AD997" t="s">
        <v>11258</v>
      </c>
      <c r="AE997" t="s">
        <v>5103</v>
      </c>
      <c r="AG997" t="s">
        <v>11258</v>
      </c>
      <c r="AH997" t="s">
        <v>5103</v>
      </c>
      <c r="AI997" t="s">
        <v>9852</v>
      </c>
      <c r="AO997" t="s">
        <v>6546</v>
      </c>
    </row>
    <row r="998" spans="1:41" hidden="1" x14ac:dyDescent="0.35">
      <c r="A998" t="s">
        <v>13955</v>
      </c>
      <c r="B998" t="s">
        <v>7246</v>
      </c>
      <c r="C998" t="s">
        <v>396</v>
      </c>
      <c r="D998" t="s">
        <v>396</v>
      </c>
      <c r="E998" t="s">
        <v>396</v>
      </c>
      <c r="G998" s="13" t="s">
        <v>13956</v>
      </c>
      <c r="H998" t="s">
        <v>13957</v>
      </c>
      <c r="K998" t="s">
        <v>7077</v>
      </c>
      <c r="L998" t="s">
        <v>7077</v>
      </c>
      <c r="M998" t="s">
        <v>7250</v>
      </c>
      <c r="N998">
        <v>2005</v>
      </c>
      <c r="T998" t="s">
        <v>6546</v>
      </c>
      <c r="U998" t="s">
        <v>6546</v>
      </c>
      <c r="V998">
        <v>53</v>
      </c>
      <c r="W998">
        <v>41.45</v>
      </c>
      <c r="X998">
        <v>53</v>
      </c>
      <c r="AB998" t="s">
        <v>13161</v>
      </c>
      <c r="AC998" t="s">
        <v>9852</v>
      </c>
      <c r="AD998" t="s">
        <v>13026</v>
      </c>
      <c r="AF998" t="s">
        <v>13025</v>
      </c>
      <c r="AG998" t="s">
        <v>13026</v>
      </c>
      <c r="AI998" t="s">
        <v>9852</v>
      </c>
      <c r="AO998" t="s">
        <v>13958</v>
      </c>
    </row>
    <row r="999" spans="1:41" hidden="1" x14ac:dyDescent="0.35">
      <c r="A999" t="s">
        <v>13959</v>
      </c>
      <c r="B999" t="s">
        <v>7246</v>
      </c>
      <c r="C999" t="s">
        <v>396</v>
      </c>
      <c r="D999" t="s">
        <v>396</v>
      </c>
      <c r="E999" t="s">
        <v>396</v>
      </c>
      <c r="G999" s="13" t="s">
        <v>13960</v>
      </c>
      <c r="H999" t="s">
        <v>13961</v>
      </c>
      <c r="J999" t="s">
        <v>13962</v>
      </c>
      <c r="K999" t="s">
        <v>7101</v>
      </c>
      <c r="L999" t="s">
        <v>7101</v>
      </c>
      <c r="M999" t="s">
        <v>7250</v>
      </c>
      <c r="N999">
        <v>1962</v>
      </c>
      <c r="T999" t="s">
        <v>6546</v>
      </c>
      <c r="U999" t="s">
        <v>6546</v>
      </c>
      <c r="V999">
        <v>322</v>
      </c>
      <c r="W999">
        <v>250.62</v>
      </c>
      <c r="X999">
        <v>322</v>
      </c>
      <c r="Y999" t="s">
        <v>13963</v>
      </c>
      <c r="Z999" t="s">
        <v>8842</v>
      </c>
      <c r="AB999" t="s">
        <v>7096</v>
      </c>
      <c r="AC999" t="s">
        <v>9852</v>
      </c>
      <c r="AD999" t="s">
        <v>13964</v>
      </c>
      <c r="AF999" t="s">
        <v>13965</v>
      </c>
      <c r="AG999" t="s">
        <v>11435</v>
      </c>
      <c r="AI999" t="s">
        <v>9852</v>
      </c>
      <c r="AO999" t="s">
        <v>13966</v>
      </c>
    </row>
    <row r="1000" spans="1:41" hidden="1" x14ac:dyDescent="0.35">
      <c r="A1000" t="s">
        <v>13967</v>
      </c>
      <c r="B1000" t="s">
        <v>7246</v>
      </c>
      <c r="C1000" t="s">
        <v>396</v>
      </c>
      <c r="D1000" t="s">
        <v>396</v>
      </c>
      <c r="E1000" t="s">
        <v>396</v>
      </c>
      <c r="G1000" s="13" t="s">
        <v>13968</v>
      </c>
      <c r="H1000" t="s">
        <v>13969</v>
      </c>
      <c r="K1000" t="s">
        <v>7101</v>
      </c>
      <c r="L1000" t="s">
        <v>7101</v>
      </c>
      <c r="M1000" t="s">
        <v>7250</v>
      </c>
      <c r="N1000">
        <v>2016</v>
      </c>
      <c r="T1000" t="s">
        <v>6546</v>
      </c>
      <c r="U1000" t="s">
        <v>6546</v>
      </c>
      <c r="V1000">
        <v>103</v>
      </c>
      <c r="W1000">
        <v>68.7</v>
      </c>
      <c r="X1000">
        <v>103</v>
      </c>
      <c r="AB1000" t="s">
        <v>13970</v>
      </c>
      <c r="AC1000" t="s">
        <v>9852</v>
      </c>
      <c r="AD1000" t="s">
        <v>11428</v>
      </c>
      <c r="AF1000" t="s">
        <v>13971</v>
      </c>
      <c r="AG1000" t="s">
        <v>3004</v>
      </c>
      <c r="AI1000" t="s">
        <v>9852</v>
      </c>
      <c r="AO1000" t="s">
        <v>13972</v>
      </c>
    </row>
    <row r="1001" spans="1:41" hidden="1" x14ac:dyDescent="0.35">
      <c r="A1001" t="s">
        <v>13973</v>
      </c>
      <c r="B1001" t="s">
        <v>7246</v>
      </c>
      <c r="C1001" t="s">
        <v>423</v>
      </c>
      <c r="D1001" t="s">
        <v>423</v>
      </c>
      <c r="E1001" t="s">
        <v>423</v>
      </c>
      <c r="G1001" s="13" t="s">
        <v>13974</v>
      </c>
      <c r="H1001" t="s">
        <v>13975</v>
      </c>
      <c r="K1001" t="s">
        <v>9976</v>
      </c>
      <c r="L1001" t="s">
        <v>9976</v>
      </c>
      <c r="M1001" t="s">
        <v>7250</v>
      </c>
      <c r="N1001">
        <v>1974</v>
      </c>
      <c r="R1001">
        <v>15.6</v>
      </c>
      <c r="S1001" t="s">
        <v>8257</v>
      </c>
      <c r="T1001">
        <v>15.6</v>
      </c>
      <c r="U1001">
        <v>7259.98</v>
      </c>
      <c r="V1001">
        <v>550</v>
      </c>
      <c r="W1001">
        <v>641.15</v>
      </c>
      <c r="X1001">
        <v>550</v>
      </c>
      <c r="Y1001">
        <v>1200</v>
      </c>
      <c r="Z1001" t="s">
        <v>8842</v>
      </c>
      <c r="AB1001" t="s">
        <v>13976</v>
      </c>
      <c r="AC1001" t="s">
        <v>8844</v>
      </c>
      <c r="AE1001" t="s">
        <v>10031</v>
      </c>
      <c r="AF1001" t="s">
        <v>13833</v>
      </c>
      <c r="AH1001" t="s">
        <v>13834</v>
      </c>
      <c r="AI1001" t="s">
        <v>8844</v>
      </c>
      <c r="AO1001" t="s">
        <v>13977</v>
      </c>
    </row>
    <row r="1002" spans="1:41" hidden="1" x14ac:dyDescent="0.35">
      <c r="A1002" t="s">
        <v>13978</v>
      </c>
      <c r="B1002" t="s">
        <v>7246</v>
      </c>
      <c r="C1002" t="s">
        <v>423</v>
      </c>
      <c r="D1002" t="s">
        <v>423</v>
      </c>
      <c r="E1002" t="s">
        <v>423</v>
      </c>
      <c r="G1002" s="13" t="s">
        <v>13979</v>
      </c>
      <c r="H1002" t="s">
        <v>13980</v>
      </c>
      <c r="K1002" t="s">
        <v>9848</v>
      </c>
      <c r="L1002" t="s">
        <v>9848</v>
      </c>
      <c r="M1002" t="s">
        <v>7250</v>
      </c>
      <c r="N1002">
        <v>1961</v>
      </c>
      <c r="T1002" t="s">
        <v>6546</v>
      </c>
      <c r="U1002" t="s">
        <v>6546</v>
      </c>
      <c r="V1002">
        <v>582</v>
      </c>
      <c r="W1002">
        <v>578.22</v>
      </c>
      <c r="X1002">
        <v>582</v>
      </c>
      <c r="Y1002">
        <v>720</v>
      </c>
      <c r="Z1002" t="s">
        <v>8842</v>
      </c>
      <c r="AB1002" t="s">
        <v>5499</v>
      </c>
      <c r="AC1002" t="s">
        <v>8844</v>
      </c>
      <c r="AE1002" t="s">
        <v>10031</v>
      </c>
      <c r="AF1002" t="s">
        <v>5536</v>
      </c>
      <c r="AH1002" t="s">
        <v>9935</v>
      </c>
      <c r="AI1002" t="s">
        <v>8844</v>
      </c>
      <c r="AL1002" t="s">
        <v>13981</v>
      </c>
      <c r="AO1002" t="s">
        <v>13982</v>
      </c>
    </row>
    <row r="1003" spans="1:41" hidden="1" x14ac:dyDescent="0.35">
      <c r="A1003" t="s">
        <v>13983</v>
      </c>
      <c r="B1003" t="s">
        <v>7246</v>
      </c>
      <c r="C1003" t="s">
        <v>423</v>
      </c>
      <c r="D1003" t="s">
        <v>423</v>
      </c>
      <c r="E1003" t="s">
        <v>423</v>
      </c>
      <c r="G1003" s="13" t="s">
        <v>13984</v>
      </c>
      <c r="H1003" t="s">
        <v>13985</v>
      </c>
      <c r="K1003" t="s">
        <v>9976</v>
      </c>
      <c r="L1003" t="s">
        <v>9976</v>
      </c>
      <c r="M1003" t="s">
        <v>7250</v>
      </c>
      <c r="T1003" t="s">
        <v>6546</v>
      </c>
      <c r="U1003" t="s">
        <v>6546</v>
      </c>
      <c r="V1003">
        <v>458</v>
      </c>
      <c r="W1003">
        <v>397.48</v>
      </c>
      <c r="X1003">
        <v>458</v>
      </c>
      <c r="Y1003">
        <v>1220</v>
      </c>
      <c r="Z1003" t="s">
        <v>8842</v>
      </c>
      <c r="AB1003" t="s">
        <v>13986</v>
      </c>
      <c r="AC1003" t="s">
        <v>8844</v>
      </c>
      <c r="AE1003" t="s">
        <v>9935</v>
      </c>
      <c r="AF1003" t="s">
        <v>13987</v>
      </c>
      <c r="AH1003" t="s">
        <v>13886</v>
      </c>
      <c r="AI1003" t="s">
        <v>8844</v>
      </c>
      <c r="AO1003" t="s">
        <v>13988</v>
      </c>
    </row>
    <row r="1004" spans="1:41" hidden="1" x14ac:dyDescent="0.35">
      <c r="A1004" t="s">
        <v>13989</v>
      </c>
      <c r="B1004" t="s">
        <v>7246</v>
      </c>
      <c r="C1004" t="s">
        <v>423</v>
      </c>
      <c r="D1004" t="s">
        <v>423</v>
      </c>
      <c r="E1004" t="s">
        <v>423</v>
      </c>
      <c r="G1004" s="13" t="s">
        <v>13990</v>
      </c>
      <c r="H1004" t="s">
        <v>13991</v>
      </c>
      <c r="I1004" t="s">
        <v>13991</v>
      </c>
      <c r="K1004" t="s">
        <v>9848</v>
      </c>
      <c r="L1004" t="s">
        <v>9848</v>
      </c>
      <c r="M1004" t="s">
        <v>7415</v>
      </c>
      <c r="T1004" t="s">
        <v>6546</v>
      </c>
      <c r="U1004" t="s">
        <v>6546</v>
      </c>
      <c r="V1004">
        <v>213.2</v>
      </c>
      <c r="W1004">
        <v>507.26</v>
      </c>
      <c r="X1004">
        <v>213.2</v>
      </c>
      <c r="Y1004">
        <v>1400</v>
      </c>
      <c r="Z1004" t="s">
        <v>8842</v>
      </c>
      <c r="AB1004" t="s">
        <v>9934</v>
      </c>
      <c r="AC1004" t="s">
        <v>8844</v>
      </c>
      <c r="AD1004" t="s">
        <v>13986</v>
      </c>
      <c r="AE1004" t="s">
        <v>9935</v>
      </c>
      <c r="AF1004" t="s">
        <v>13992</v>
      </c>
      <c r="AG1004" t="s">
        <v>13993</v>
      </c>
      <c r="AH1004" t="s">
        <v>9996</v>
      </c>
      <c r="AI1004" t="s">
        <v>8844</v>
      </c>
      <c r="AL1004" t="s">
        <v>13994</v>
      </c>
      <c r="AO1004" t="s">
        <v>13995</v>
      </c>
    </row>
    <row r="1005" spans="1:41" hidden="1" x14ac:dyDescent="0.35">
      <c r="A1005" t="s">
        <v>13996</v>
      </c>
      <c r="B1005" t="s">
        <v>7246</v>
      </c>
      <c r="C1005" t="s">
        <v>423</v>
      </c>
      <c r="D1005" t="s">
        <v>423</v>
      </c>
      <c r="E1005" t="s">
        <v>423</v>
      </c>
      <c r="G1005" s="13" t="s">
        <v>13997</v>
      </c>
      <c r="H1005" t="s">
        <v>13998</v>
      </c>
      <c r="K1005" t="s">
        <v>9976</v>
      </c>
      <c r="L1005" t="s">
        <v>9976</v>
      </c>
      <c r="M1005" t="s">
        <v>7250</v>
      </c>
      <c r="N1005">
        <v>1966</v>
      </c>
      <c r="R1005">
        <v>10</v>
      </c>
      <c r="S1005" t="s">
        <v>8257</v>
      </c>
      <c r="T1005">
        <v>10</v>
      </c>
      <c r="U1005">
        <v>4653.83</v>
      </c>
      <c r="V1005">
        <v>525</v>
      </c>
      <c r="W1005">
        <v>639.99</v>
      </c>
      <c r="X1005">
        <v>525</v>
      </c>
      <c r="Y1005" t="s">
        <v>13999</v>
      </c>
      <c r="Z1005" t="s">
        <v>8842</v>
      </c>
      <c r="AA1005" t="s">
        <v>14000</v>
      </c>
      <c r="AB1005" t="s">
        <v>14001</v>
      </c>
      <c r="AC1005" t="s">
        <v>8844</v>
      </c>
      <c r="AE1005" t="s">
        <v>14002</v>
      </c>
      <c r="AF1005" t="s">
        <v>14003</v>
      </c>
      <c r="AH1005" t="s">
        <v>13868</v>
      </c>
      <c r="AI1005" t="s">
        <v>8844</v>
      </c>
      <c r="AO1005" t="s">
        <v>14004</v>
      </c>
    </row>
    <row r="1006" spans="1:41" hidden="1" x14ac:dyDescent="0.35">
      <c r="A1006" t="s">
        <v>14005</v>
      </c>
      <c r="B1006" t="s">
        <v>7246</v>
      </c>
      <c r="C1006" t="s">
        <v>423</v>
      </c>
      <c r="D1006" t="s">
        <v>423</v>
      </c>
      <c r="E1006" t="s">
        <v>423</v>
      </c>
      <c r="G1006" s="13" t="s">
        <v>14006</v>
      </c>
      <c r="H1006" t="s">
        <v>14007</v>
      </c>
      <c r="K1006" t="s">
        <v>9976</v>
      </c>
      <c r="L1006" t="s">
        <v>9976</v>
      </c>
      <c r="M1006" t="s">
        <v>7250</v>
      </c>
      <c r="N1006">
        <v>1967</v>
      </c>
      <c r="R1006">
        <v>4.8</v>
      </c>
      <c r="S1006" t="s">
        <v>8257</v>
      </c>
      <c r="T1006">
        <v>4.8</v>
      </c>
      <c r="U1006">
        <v>2233.84</v>
      </c>
      <c r="V1006">
        <v>150</v>
      </c>
      <c r="W1006">
        <v>133.87</v>
      </c>
      <c r="X1006">
        <v>150</v>
      </c>
      <c r="Y1006">
        <v>1020</v>
      </c>
      <c r="Z1006" t="s">
        <v>8842</v>
      </c>
      <c r="AB1006" t="s">
        <v>14008</v>
      </c>
      <c r="AC1006" t="s">
        <v>8844</v>
      </c>
      <c r="AE1006" t="s">
        <v>13908</v>
      </c>
      <c r="AF1006" t="s">
        <v>5475</v>
      </c>
      <c r="AH1006" t="s">
        <v>13908</v>
      </c>
      <c r="AI1006" t="s">
        <v>8844</v>
      </c>
      <c r="AO1006" t="s">
        <v>14009</v>
      </c>
    </row>
    <row r="1007" spans="1:41" hidden="1" x14ac:dyDescent="0.35">
      <c r="A1007" t="s">
        <v>14010</v>
      </c>
      <c r="B1007" t="s">
        <v>7246</v>
      </c>
      <c r="C1007" t="s">
        <v>423</v>
      </c>
      <c r="D1007" t="s">
        <v>423</v>
      </c>
      <c r="E1007" t="s">
        <v>423</v>
      </c>
      <c r="G1007" s="13" t="s">
        <v>14011</v>
      </c>
      <c r="H1007" t="s">
        <v>14012</v>
      </c>
      <c r="K1007" t="s">
        <v>9976</v>
      </c>
      <c r="L1007" t="s">
        <v>9976</v>
      </c>
      <c r="M1007" t="s">
        <v>7250</v>
      </c>
      <c r="N1007">
        <v>2009</v>
      </c>
      <c r="R1007">
        <v>2.7</v>
      </c>
      <c r="S1007" t="s">
        <v>8257</v>
      </c>
      <c r="T1007">
        <v>2.7</v>
      </c>
      <c r="U1007">
        <v>1256.54</v>
      </c>
      <c r="V1007">
        <v>204</v>
      </c>
      <c r="W1007">
        <v>203.09</v>
      </c>
      <c r="X1007">
        <v>204</v>
      </c>
      <c r="Y1007">
        <v>1220</v>
      </c>
      <c r="Z1007" t="s">
        <v>8842</v>
      </c>
      <c r="AB1007" t="s">
        <v>14013</v>
      </c>
      <c r="AC1007" t="s">
        <v>8844</v>
      </c>
      <c r="AE1007" t="s">
        <v>14014</v>
      </c>
      <c r="AF1007" t="s">
        <v>14015</v>
      </c>
      <c r="AH1007" t="s">
        <v>13886</v>
      </c>
      <c r="AI1007" t="s">
        <v>8844</v>
      </c>
      <c r="AO1007" t="s">
        <v>14016</v>
      </c>
    </row>
    <row r="1008" spans="1:41" hidden="1" x14ac:dyDescent="0.35">
      <c r="A1008" t="s">
        <v>14017</v>
      </c>
      <c r="B1008" t="s">
        <v>7246</v>
      </c>
      <c r="C1008" t="s">
        <v>423</v>
      </c>
      <c r="D1008" t="s">
        <v>423</v>
      </c>
      <c r="E1008" t="s">
        <v>423</v>
      </c>
      <c r="G1008" s="13" t="s">
        <v>14018</v>
      </c>
      <c r="H1008" t="s">
        <v>14019</v>
      </c>
      <c r="K1008" t="s">
        <v>9976</v>
      </c>
      <c r="L1008" t="s">
        <v>9976</v>
      </c>
      <c r="M1008" t="s">
        <v>7250</v>
      </c>
      <c r="N1008">
        <v>1957</v>
      </c>
      <c r="T1008" t="s">
        <v>6546</v>
      </c>
      <c r="U1008" t="s">
        <v>6546</v>
      </c>
      <c r="V1008">
        <v>386</v>
      </c>
      <c r="W1008">
        <v>365.8</v>
      </c>
      <c r="X1008">
        <v>386</v>
      </c>
      <c r="Y1008">
        <v>325</v>
      </c>
      <c r="Z1008" t="s">
        <v>8842</v>
      </c>
      <c r="AB1008" t="s">
        <v>14020</v>
      </c>
      <c r="AC1008" t="s">
        <v>8844</v>
      </c>
      <c r="AE1008" t="s">
        <v>5506</v>
      </c>
      <c r="AF1008" t="s">
        <v>5499</v>
      </c>
      <c r="AH1008" t="s">
        <v>10031</v>
      </c>
      <c r="AI1008" t="s">
        <v>8844</v>
      </c>
      <c r="AO1008" t="s">
        <v>14021</v>
      </c>
    </row>
    <row r="1009" spans="1:41" hidden="1" x14ac:dyDescent="0.35">
      <c r="A1009" t="s">
        <v>14022</v>
      </c>
      <c r="B1009" t="s">
        <v>7246</v>
      </c>
      <c r="C1009" t="s">
        <v>9388</v>
      </c>
      <c r="D1009" t="s">
        <v>423</v>
      </c>
      <c r="E1009" t="s">
        <v>14023</v>
      </c>
      <c r="G1009" s="13" t="s">
        <v>14024</v>
      </c>
      <c r="H1009" t="s">
        <v>14025</v>
      </c>
      <c r="K1009" t="s">
        <v>9976</v>
      </c>
      <c r="L1009" t="s">
        <v>9976</v>
      </c>
      <c r="M1009" t="s">
        <v>7250</v>
      </c>
      <c r="N1009">
        <v>1948</v>
      </c>
      <c r="R1009">
        <v>5.4</v>
      </c>
      <c r="S1009" t="s">
        <v>8257</v>
      </c>
      <c r="T1009">
        <v>5.4</v>
      </c>
      <c r="U1009">
        <v>2513.0700000000002</v>
      </c>
      <c r="V1009" t="s">
        <v>6546</v>
      </c>
      <c r="W1009">
        <v>208.73</v>
      </c>
      <c r="X1009">
        <v>208.73</v>
      </c>
      <c r="AB1009" t="s">
        <v>14026</v>
      </c>
      <c r="AC1009" t="s">
        <v>8777</v>
      </c>
      <c r="AE1009" t="s">
        <v>9388</v>
      </c>
      <c r="AF1009" t="s">
        <v>14027</v>
      </c>
      <c r="AH1009" t="s">
        <v>9996</v>
      </c>
      <c r="AI1009" t="s">
        <v>8844</v>
      </c>
      <c r="AO1009" t="s">
        <v>14028</v>
      </c>
    </row>
    <row r="1010" spans="1:41" hidden="1" x14ac:dyDescent="0.35">
      <c r="A1010" t="s">
        <v>14029</v>
      </c>
      <c r="B1010" t="s">
        <v>7246</v>
      </c>
      <c r="C1010" t="s">
        <v>423</v>
      </c>
      <c r="D1010" t="s">
        <v>423</v>
      </c>
      <c r="E1010" t="s">
        <v>423</v>
      </c>
      <c r="G1010" s="13" t="s">
        <v>14030</v>
      </c>
      <c r="H1010" t="s">
        <v>14031</v>
      </c>
      <c r="J1010" t="s">
        <v>14032</v>
      </c>
      <c r="K1010" t="s">
        <v>9848</v>
      </c>
      <c r="L1010" t="s">
        <v>9848</v>
      </c>
      <c r="M1010" t="s">
        <v>7292</v>
      </c>
      <c r="N1010">
        <v>2028</v>
      </c>
      <c r="R1010">
        <v>2.5</v>
      </c>
      <c r="S1010" t="s">
        <v>8257</v>
      </c>
      <c r="T1010">
        <v>2.5</v>
      </c>
      <c r="U1010">
        <v>1163.46</v>
      </c>
      <c r="V1010">
        <v>660</v>
      </c>
      <c r="W1010">
        <v>554.03</v>
      </c>
      <c r="X1010">
        <v>660</v>
      </c>
      <c r="Y1010">
        <v>28.35</v>
      </c>
      <c r="Z1010" t="s">
        <v>7253</v>
      </c>
      <c r="AA1010" t="s">
        <v>14033</v>
      </c>
      <c r="AB1010" t="s">
        <v>14033</v>
      </c>
      <c r="AC1010" t="s">
        <v>8844</v>
      </c>
      <c r="AE1010" t="s">
        <v>14034</v>
      </c>
      <c r="AF1010" t="s">
        <v>3615</v>
      </c>
      <c r="AH1010" t="s">
        <v>14034</v>
      </c>
      <c r="AI1010" t="s">
        <v>8844</v>
      </c>
      <c r="AL1010" t="s">
        <v>14035</v>
      </c>
      <c r="AO1010" t="s">
        <v>14036</v>
      </c>
    </row>
    <row r="1011" spans="1:41" hidden="1" x14ac:dyDescent="0.35">
      <c r="A1011" t="s">
        <v>14037</v>
      </c>
      <c r="B1011" t="s">
        <v>7246</v>
      </c>
      <c r="C1011" t="s">
        <v>423</v>
      </c>
      <c r="D1011" t="s">
        <v>423</v>
      </c>
      <c r="E1011" t="s">
        <v>423</v>
      </c>
      <c r="G1011" s="13" t="s">
        <v>14038</v>
      </c>
      <c r="H1011" t="s">
        <v>14039</v>
      </c>
      <c r="I1011" t="s">
        <v>7331</v>
      </c>
      <c r="J1011" t="s">
        <v>14040</v>
      </c>
      <c r="K1011" t="s">
        <v>14041</v>
      </c>
      <c r="L1011" t="s">
        <v>14041</v>
      </c>
      <c r="M1011" t="s">
        <v>7250</v>
      </c>
      <c r="N1011">
        <v>1967</v>
      </c>
      <c r="R1011">
        <v>1.5</v>
      </c>
      <c r="S1011" t="s">
        <v>8257</v>
      </c>
      <c r="T1011">
        <v>1.5</v>
      </c>
      <c r="U1011">
        <v>698.08</v>
      </c>
      <c r="V1011">
        <v>310</v>
      </c>
      <c r="W1011">
        <v>283.58</v>
      </c>
      <c r="X1011">
        <v>310</v>
      </c>
      <c r="Y1011">
        <v>529</v>
      </c>
      <c r="Z1011" t="s">
        <v>8842</v>
      </c>
      <c r="AA1011" t="s">
        <v>14042</v>
      </c>
      <c r="AB1011" t="s">
        <v>14043</v>
      </c>
      <c r="AC1011" t="s">
        <v>8844</v>
      </c>
      <c r="AE1011" t="s">
        <v>14044</v>
      </c>
      <c r="AF1011" t="s">
        <v>14045</v>
      </c>
      <c r="AH1011" t="s">
        <v>14044</v>
      </c>
      <c r="AI1011" t="s">
        <v>8844</v>
      </c>
      <c r="AL1011" t="s">
        <v>14046</v>
      </c>
      <c r="AO1011" t="s">
        <v>14047</v>
      </c>
    </row>
    <row r="1012" spans="1:41" hidden="1" x14ac:dyDescent="0.35">
      <c r="A1012" t="s">
        <v>14048</v>
      </c>
      <c r="B1012" t="s">
        <v>7246</v>
      </c>
      <c r="C1012" t="s">
        <v>423</v>
      </c>
      <c r="D1012" t="s">
        <v>423</v>
      </c>
      <c r="E1012" t="s">
        <v>423</v>
      </c>
      <c r="G1012" s="13" t="s">
        <v>14049</v>
      </c>
      <c r="H1012" t="s">
        <v>14050</v>
      </c>
      <c r="K1012" t="s">
        <v>9976</v>
      </c>
      <c r="L1012" t="s">
        <v>9976</v>
      </c>
      <c r="M1012" t="s">
        <v>7250</v>
      </c>
      <c r="N1012">
        <v>1973</v>
      </c>
      <c r="R1012">
        <v>9.1300000000000008</v>
      </c>
      <c r="S1012" t="s">
        <v>8257</v>
      </c>
      <c r="T1012">
        <v>9.1300000000000008</v>
      </c>
      <c r="U1012">
        <v>4248.95</v>
      </c>
      <c r="V1012">
        <v>115</v>
      </c>
      <c r="W1012">
        <v>186.66</v>
      </c>
      <c r="X1012">
        <v>115</v>
      </c>
      <c r="Y1012">
        <v>1220</v>
      </c>
      <c r="Z1012" t="s">
        <v>8842</v>
      </c>
      <c r="AB1012" t="s">
        <v>14027</v>
      </c>
      <c r="AC1012" t="s">
        <v>8844</v>
      </c>
      <c r="AE1012" t="s">
        <v>9996</v>
      </c>
      <c r="AF1012" t="s">
        <v>14051</v>
      </c>
      <c r="AH1012" t="s">
        <v>9996</v>
      </c>
      <c r="AI1012" t="s">
        <v>8844</v>
      </c>
      <c r="AO1012" t="s">
        <v>14052</v>
      </c>
    </row>
    <row r="1013" spans="1:41" hidden="1" x14ac:dyDescent="0.35">
      <c r="A1013" t="s">
        <v>14053</v>
      </c>
      <c r="B1013" t="s">
        <v>7246</v>
      </c>
      <c r="C1013" t="s">
        <v>423</v>
      </c>
      <c r="D1013" t="s">
        <v>423</v>
      </c>
      <c r="E1013" t="s">
        <v>423</v>
      </c>
      <c r="G1013" s="13" t="s">
        <v>14054</v>
      </c>
      <c r="H1013" t="s">
        <v>14055</v>
      </c>
      <c r="K1013" t="s">
        <v>9976</v>
      </c>
      <c r="L1013" t="s">
        <v>9976</v>
      </c>
      <c r="M1013" t="s">
        <v>7250</v>
      </c>
      <c r="N1013">
        <v>1959</v>
      </c>
      <c r="T1013" t="s">
        <v>6546</v>
      </c>
      <c r="U1013" t="s">
        <v>6546</v>
      </c>
      <c r="V1013">
        <v>209</v>
      </c>
      <c r="W1013">
        <v>209.76</v>
      </c>
      <c r="X1013">
        <v>209</v>
      </c>
      <c r="Y1013">
        <v>530</v>
      </c>
      <c r="Z1013" t="s">
        <v>8842</v>
      </c>
      <c r="AB1013" t="s">
        <v>5475</v>
      </c>
      <c r="AC1013" t="s">
        <v>8844</v>
      </c>
      <c r="AE1013" t="s">
        <v>13908</v>
      </c>
      <c r="AF1013" t="s">
        <v>14056</v>
      </c>
      <c r="AH1013" t="s">
        <v>14057</v>
      </c>
      <c r="AI1013" t="s">
        <v>8844</v>
      </c>
      <c r="AO1013" t="s">
        <v>14058</v>
      </c>
    </row>
    <row r="1014" spans="1:41" hidden="1" x14ac:dyDescent="0.35">
      <c r="A1014" t="s">
        <v>14059</v>
      </c>
      <c r="B1014" t="s">
        <v>7246</v>
      </c>
      <c r="C1014" t="s">
        <v>423</v>
      </c>
      <c r="D1014" t="s">
        <v>423</v>
      </c>
      <c r="E1014" t="s">
        <v>423</v>
      </c>
      <c r="G1014" s="13" t="s">
        <v>14060</v>
      </c>
      <c r="H1014" t="s">
        <v>14061</v>
      </c>
      <c r="K1014" t="s">
        <v>9976</v>
      </c>
      <c r="L1014" t="s">
        <v>9976</v>
      </c>
      <c r="M1014" t="s">
        <v>7250</v>
      </c>
      <c r="N1014">
        <v>1966</v>
      </c>
      <c r="T1014" t="s">
        <v>6546</v>
      </c>
      <c r="U1014" t="s">
        <v>6546</v>
      </c>
      <c r="V1014" t="s">
        <v>6546</v>
      </c>
      <c r="W1014">
        <v>207.82</v>
      </c>
      <c r="X1014">
        <v>207.82</v>
      </c>
      <c r="Y1014">
        <v>820</v>
      </c>
      <c r="Z1014" t="s">
        <v>8842</v>
      </c>
      <c r="AB1014" t="s">
        <v>5475</v>
      </c>
      <c r="AC1014" t="s">
        <v>8844</v>
      </c>
      <c r="AE1014" t="s">
        <v>13908</v>
      </c>
      <c r="AF1014" t="s">
        <v>14062</v>
      </c>
      <c r="AH1014" t="s">
        <v>14057</v>
      </c>
      <c r="AI1014" t="s">
        <v>8844</v>
      </c>
      <c r="AO1014" t="s">
        <v>14063</v>
      </c>
    </row>
    <row r="1015" spans="1:41" hidden="1" x14ac:dyDescent="0.35">
      <c r="A1015" t="s">
        <v>14064</v>
      </c>
      <c r="B1015" t="s">
        <v>7246</v>
      </c>
      <c r="C1015" t="s">
        <v>423</v>
      </c>
      <c r="D1015" t="s">
        <v>423</v>
      </c>
      <c r="E1015" t="s">
        <v>423</v>
      </c>
      <c r="G1015" s="13" t="s">
        <v>14065</v>
      </c>
      <c r="H1015" t="s">
        <v>14066</v>
      </c>
      <c r="K1015" t="s">
        <v>9976</v>
      </c>
      <c r="L1015" t="s">
        <v>9976</v>
      </c>
      <c r="M1015" t="s">
        <v>7250</v>
      </c>
      <c r="N1015">
        <v>1964</v>
      </c>
      <c r="T1015" t="s">
        <v>6546</v>
      </c>
      <c r="U1015" t="s">
        <v>6546</v>
      </c>
      <c r="V1015" t="s">
        <v>6546</v>
      </c>
      <c r="W1015">
        <v>154.74</v>
      </c>
      <c r="X1015">
        <v>154.74</v>
      </c>
      <c r="Y1015">
        <v>720</v>
      </c>
      <c r="Z1015" t="s">
        <v>8842</v>
      </c>
      <c r="AB1015" t="s">
        <v>14067</v>
      </c>
      <c r="AC1015" t="s">
        <v>8844</v>
      </c>
      <c r="AE1015" t="s">
        <v>14068</v>
      </c>
      <c r="AF1015" t="s">
        <v>14069</v>
      </c>
      <c r="AH1015" t="s">
        <v>5516</v>
      </c>
      <c r="AI1015" t="s">
        <v>8844</v>
      </c>
      <c r="AO1015" t="s">
        <v>14070</v>
      </c>
    </row>
    <row r="1016" spans="1:41" hidden="1" x14ac:dyDescent="0.35">
      <c r="A1016" t="s">
        <v>14071</v>
      </c>
      <c r="B1016" t="s">
        <v>7246</v>
      </c>
      <c r="C1016" t="s">
        <v>423</v>
      </c>
      <c r="D1016" t="s">
        <v>423</v>
      </c>
      <c r="E1016" t="s">
        <v>423</v>
      </c>
      <c r="G1016" s="13" t="s">
        <v>14072</v>
      </c>
      <c r="H1016" t="s">
        <v>14073</v>
      </c>
      <c r="K1016" t="s">
        <v>9976</v>
      </c>
      <c r="L1016" t="s">
        <v>9976</v>
      </c>
      <c r="M1016" t="s">
        <v>7250</v>
      </c>
      <c r="N1016">
        <v>1963</v>
      </c>
      <c r="R1016">
        <v>5.25</v>
      </c>
      <c r="S1016" t="s">
        <v>8257</v>
      </c>
      <c r="T1016">
        <v>5.25</v>
      </c>
      <c r="U1016">
        <v>2443.2600000000002</v>
      </c>
      <c r="V1016">
        <v>292</v>
      </c>
      <c r="W1016">
        <v>249.29</v>
      </c>
      <c r="X1016">
        <v>292</v>
      </c>
      <c r="Y1016">
        <v>530</v>
      </c>
      <c r="Z1016" t="s">
        <v>8842</v>
      </c>
      <c r="AB1016" t="s">
        <v>14074</v>
      </c>
      <c r="AC1016" t="s">
        <v>8844</v>
      </c>
      <c r="AE1016" t="s">
        <v>5506</v>
      </c>
      <c r="AF1016" t="s">
        <v>14020</v>
      </c>
      <c r="AH1016" t="s">
        <v>5506</v>
      </c>
      <c r="AI1016" t="s">
        <v>8844</v>
      </c>
      <c r="AO1016" t="s">
        <v>14075</v>
      </c>
    </row>
    <row r="1017" spans="1:41" hidden="1" x14ac:dyDescent="0.35">
      <c r="A1017" t="s">
        <v>14076</v>
      </c>
      <c r="B1017" t="s">
        <v>7246</v>
      </c>
      <c r="C1017" t="s">
        <v>423</v>
      </c>
      <c r="D1017" t="s">
        <v>423</v>
      </c>
      <c r="E1017" t="s">
        <v>423</v>
      </c>
      <c r="G1017" s="13" t="s">
        <v>14077</v>
      </c>
      <c r="H1017" t="s">
        <v>14078</v>
      </c>
      <c r="K1017" t="s">
        <v>9976</v>
      </c>
      <c r="L1017" t="s">
        <v>9976</v>
      </c>
      <c r="M1017" t="s">
        <v>7250</v>
      </c>
      <c r="N1017">
        <v>1976</v>
      </c>
      <c r="T1017" t="s">
        <v>6546</v>
      </c>
      <c r="U1017" t="s">
        <v>6546</v>
      </c>
      <c r="V1017">
        <v>249</v>
      </c>
      <c r="W1017">
        <v>254.03</v>
      </c>
      <c r="X1017">
        <v>249</v>
      </c>
      <c r="Y1017">
        <v>530</v>
      </c>
      <c r="Z1017" t="s">
        <v>8842</v>
      </c>
      <c r="AB1017" t="s">
        <v>14074</v>
      </c>
      <c r="AC1017" t="s">
        <v>8844</v>
      </c>
      <c r="AE1017" t="s">
        <v>5506</v>
      </c>
      <c r="AF1017" t="s">
        <v>14079</v>
      </c>
      <c r="AH1017" t="s">
        <v>14080</v>
      </c>
      <c r="AI1017" t="s">
        <v>8844</v>
      </c>
      <c r="AO1017" t="s">
        <v>14081</v>
      </c>
    </row>
    <row r="1018" spans="1:41" hidden="1" x14ac:dyDescent="0.35">
      <c r="A1018" t="s">
        <v>14082</v>
      </c>
      <c r="B1018" t="s">
        <v>7246</v>
      </c>
      <c r="C1018" t="s">
        <v>423</v>
      </c>
      <c r="D1018" t="s">
        <v>423</v>
      </c>
      <c r="E1018" t="s">
        <v>423</v>
      </c>
      <c r="G1018" s="13" t="s">
        <v>14083</v>
      </c>
      <c r="H1018" t="s">
        <v>14084</v>
      </c>
      <c r="K1018" t="s">
        <v>9976</v>
      </c>
      <c r="L1018" t="s">
        <v>9976</v>
      </c>
      <c r="M1018" t="s">
        <v>7250</v>
      </c>
      <c r="N1018">
        <v>1968</v>
      </c>
      <c r="T1018" t="s">
        <v>6546</v>
      </c>
      <c r="U1018" t="s">
        <v>6546</v>
      </c>
      <c r="V1018" t="s">
        <v>6546</v>
      </c>
      <c r="W1018">
        <v>411.99</v>
      </c>
      <c r="X1018">
        <v>411.99</v>
      </c>
      <c r="Y1018">
        <v>820</v>
      </c>
      <c r="Z1018" t="s">
        <v>8842</v>
      </c>
      <c r="AB1018" t="s">
        <v>14085</v>
      </c>
      <c r="AC1018" t="s">
        <v>8844</v>
      </c>
      <c r="AE1018" t="s">
        <v>14086</v>
      </c>
      <c r="AF1018" t="s">
        <v>14087</v>
      </c>
      <c r="AH1018" t="s">
        <v>13841</v>
      </c>
      <c r="AI1018" t="s">
        <v>8844</v>
      </c>
      <c r="AO1018" t="s">
        <v>14088</v>
      </c>
    </row>
    <row r="1019" spans="1:41" hidden="1" x14ac:dyDescent="0.35">
      <c r="A1019" t="s">
        <v>14089</v>
      </c>
      <c r="B1019" t="s">
        <v>7246</v>
      </c>
      <c r="C1019" t="s">
        <v>423</v>
      </c>
      <c r="D1019" t="s">
        <v>423</v>
      </c>
      <c r="E1019" t="s">
        <v>423</v>
      </c>
      <c r="G1019" s="13" t="s">
        <v>14090</v>
      </c>
      <c r="H1019" t="s">
        <v>14091</v>
      </c>
      <c r="K1019" t="s">
        <v>9976</v>
      </c>
      <c r="L1019" t="s">
        <v>9976</v>
      </c>
      <c r="M1019" t="s">
        <v>7250</v>
      </c>
      <c r="T1019" t="s">
        <v>6546</v>
      </c>
      <c r="U1019" t="s">
        <v>6546</v>
      </c>
      <c r="V1019">
        <v>257</v>
      </c>
      <c r="W1019">
        <v>252.5</v>
      </c>
      <c r="X1019">
        <v>257</v>
      </c>
      <c r="Y1019" t="s">
        <v>11104</v>
      </c>
      <c r="Z1019" t="s">
        <v>8842</v>
      </c>
      <c r="AB1019" t="s">
        <v>14092</v>
      </c>
      <c r="AC1019" t="s">
        <v>8844</v>
      </c>
      <c r="AE1019" t="s">
        <v>14093</v>
      </c>
      <c r="AF1019" t="s">
        <v>14069</v>
      </c>
      <c r="AH1019" t="s">
        <v>5516</v>
      </c>
      <c r="AI1019" t="s">
        <v>8844</v>
      </c>
      <c r="AO1019" t="s">
        <v>14094</v>
      </c>
    </row>
    <row r="1020" spans="1:41" hidden="1" x14ac:dyDescent="0.35">
      <c r="A1020" t="s">
        <v>14095</v>
      </c>
      <c r="B1020" t="s">
        <v>7246</v>
      </c>
      <c r="C1020" t="s">
        <v>423</v>
      </c>
      <c r="D1020" t="s">
        <v>423</v>
      </c>
      <c r="E1020" t="s">
        <v>423</v>
      </c>
      <c r="G1020" s="13" t="s">
        <v>14096</v>
      </c>
      <c r="H1020" t="s">
        <v>14097</v>
      </c>
      <c r="K1020" t="s">
        <v>9848</v>
      </c>
      <c r="L1020" t="s">
        <v>9848</v>
      </c>
      <c r="M1020" t="s">
        <v>7292</v>
      </c>
      <c r="N1020">
        <v>2026</v>
      </c>
      <c r="R1020">
        <v>50</v>
      </c>
      <c r="S1020" t="s">
        <v>8257</v>
      </c>
      <c r="T1020">
        <v>50</v>
      </c>
      <c r="U1020">
        <v>23269.17</v>
      </c>
      <c r="V1020">
        <v>1365</v>
      </c>
      <c r="W1020">
        <v>1162.77</v>
      </c>
      <c r="X1020">
        <v>1365</v>
      </c>
      <c r="Y1020">
        <v>55.91</v>
      </c>
      <c r="Z1020" t="s">
        <v>7253</v>
      </c>
      <c r="AB1020" t="s">
        <v>14098</v>
      </c>
      <c r="AC1020" t="s">
        <v>8844</v>
      </c>
      <c r="AE1020" t="s">
        <v>14099</v>
      </c>
      <c r="AF1020" t="s">
        <v>13992</v>
      </c>
      <c r="AH1020" t="s">
        <v>9996</v>
      </c>
      <c r="AI1020" t="s">
        <v>8844</v>
      </c>
      <c r="AL1020" t="s">
        <v>14100</v>
      </c>
      <c r="AO1020" t="s">
        <v>14101</v>
      </c>
    </row>
    <row r="1021" spans="1:41" hidden="1" x14ac:dyDescent="0.35">
      <c r="A1021" t="s">
        <v>14102</v>
      </c>
      <c r="B1021" t="s">
        <v>7246</v>
      </c>
      <c r="C1021" t="s">
        <v>423</v>
      </c>
      <c r="D1021" t="s">
        <v>423</v>
      </c>
      <c r="E1021" t="s">
        <v>423</v>
      </c>
      <c r="G1021" s="13" t="s">
        <v>14103</v>
      </c>
      <c r="H1021" t="s">
        <v>14104</v>
      </c>
      <c r="I1021" t="s">
        <v>9875</v>
      </c>
      <c r="K1021" t="s">
        <v>9976</v>
      </c>
      <c r="L1021" t="s">
        <v>9976</v>
      </c>
      <c r="M1021" t="s">
        <v>7250</v>
      </c>
      <c r="N1021">
        <v>1972</v>
      </c>
      <c r="R1021">
        <v>14.5</v>
      </c>
      <c r="S1021" t="s">
        <v>8257</v>
      </c>
      <c r="T1021">
        <v>14.5</v>
      </c>
      <c r="U1021">
        <v>6748.06</v>
      </c>
      <c r="V1021">
        <v>575</v>
      </c>
      <c r="W1021">
        <v>564.54</v>
      </c>
      <c r="X1021">
        <v>575</v>
      </c>
      <c r="Y1021">
        <v>1420</v>
      </c>
      <c r="Z1021" t="s">
        <v>8842</v>
      </c>
      <c r="AB1021" t="s">
        <v>14105</v>
      </c>
      <c r="AC1021" t="s">
        <v>8844</v>
      </c>
      <c r="AD1021" t="s">
        <v>14106</v>
      </c>
      <c r="AE1021" t="s">
        <v>13851</v>
      </c>
      <c r="AF1021" t="s">
        <v>14107</v>
      </c>
      <c r="AG1021" t="s">
        <v>14108</v>
      </c>
      <c r="AH1021" t="s">
        <v>14109</v>
      </c>
      <c r="AI1021" t="s">
        <v>8844</v>
      </c>
      <c r="AO1021" t="s">
        <v>14110</v>
      </c>
    </row>
    <row r="1022" spans="1:41" hidden="1" x14ac:dyDescent="0.35">
      <c r="A1022" t="s">
        <v>14111</v>
      </c>
      <c r="B1022" t="s">
        <v>7246</v>
      </c>
      <c r="C1022" t="s">
        <v>423</v>
      </c>
      <c r="D1022" t="s">
        <v>423</v>
      </c>
      <c r="E1022" t="s">
        <v>423</v>
      </c>
      <c r="G1022" s="13" t="s">
        <v>14112</v>
      </c>
      <c r="H1022" t="s">
        <v>14113</v>
      </c>
      <c r="K1022" t="s">
        <v>9976</v>
      </c>
      <c r="L1022" t="s">
        <v>9976</v>
      </c>
      <c r="M1022" t="s">
        <v>7250</v>
      </c>
      <c r="N1022">
        <v>1977</v>
      </c>
      <c r="R1022">
        <v>8.1999999999999993</v>
      </c>
      <c r="S1022" t="s">
        <v>8257</v>
      </c>
      <c r="T1022">
        <v>8.1999999999999993</v>
      </c>
      <c r="U1022">
        <v>3816.14</v>
      </c>
      <c r="V1022">
        <v>1162</v>
      </c>
      <c r="W1022">
        <v>1357.89</v>
      </c>
      <c r="X1022">
        <v>1162</v>
      </c>
      <c r="Y1022" t="s">
        <v>14114</v>
      </c>
      <c r="Z1022" t="s">
        <v>8842</v>
      </c>
      <c r="AB1022" t="s">
        <v>14115</v>
      </c>
      <c r="AC1022" t="s">
        <v>8844</v>
      </c>
      <c r="AE1022" t="s">
        <v>14109</v>
      </c>
      <c r="AF1022" t="s">
        <v>14116</v>
      </c>
      <c r="AH1022" t="s">
        <v>14117</v>
      </c>
      <c r="AI1022" t="s">
        <v>8844</v>
      </c>
      <c r="AO1022" t="s">
        <v>14118</v>
      </c>
    </row>
    <row r="1023" spans="1:41" hidden="1" x14ac:dyDescent="0.35">
      <c r="A1023" t="s">
        <v>14119</v>
      </c>
      <c r="B1023" t="s">
        <v>7246</v>
      </c>
      <c r="C1023" t="s">
        <v>423</v>
      </c>
      <c r="D1023" t="s">
        <v>423</v>
      </c>
      <c r="E1023" t="s">
        <v>423</v>
      </c>
      <c r="G1023" s="13" t="s">
        <v>14120</v>
      </c>
      <c r="H1023" t="s">
        <v>14121</v>
      </c>
      <c r="K1023" t="s">
        <v>9976</v>
      </c>
      <c r="L1023" t="s">
        <v>9976</v>
      </c>
      <c r="M1023" t="s">
        <v>7250</v>
      </c>
      <c r="N1023">
        <v>1967</v>
      </c>
      <c r="T1023" t="s">
        <v>6546</v>
      </c>
      <c r="U1023" t="s">
        <v>6546</v>
      </c>
      <c r="V1023" t="s">
        <v>6546</v>
      </c>
      <c r="W1023">
        <v>1143.1600000000001</v>
      </c>
      <c r="X1023">
        <v>1143.1600000000001</v>
      </c>
      <c r="Y1023">
        <v>1220</v>
      </c>
      <c r="Z1023" t="s">
        <v>8842</v>
      </c>
      <c r="AB1023" t="s">
        <v>14122</v>
      </c>
      <c r="AC1023" t="s">
        <v>8844</v>
      </c>
      <c r="AE1023" t="s">
        <v>13868</v>
      </c>
      <c r="AF1023" t="s">
        <v>13976</v>
      </c>
      <c r="AH1023" t="s">
        <v>10031</v>
      </c>
      <c r="AI1023" t="s">
        <v>8844</v>
      </c>
      <c r="AO1023" t="s">
        <v>14123</v>
      </c>
    </row>
    <row r="1024" spans="1:41" hidden="1" x14ac:dyDescent="0.35">
      <c r="A1024" t="s">
        <v>14124</v>
      </c>
      <c r="B1024" t="s">
        <v>7246</v>
      </c>
      <c r="C1024" t="s">
        <v>423</v>
      </c>
      <c r="D1024" t="s">
        <v>423</v>
      </c>
      <c r="E1024" t="s">
        <v>423</v>
      </c>
      <c r="G1024" s="13" t="s">
        <v>14125</v>
      </c>
      <c r="H1024" t="s">
        <v>14126</v>
      </c>
      <c r="I1024" t="s">
        <v>7331</v>
      </c>
      <c r="J1024" t="s">
        <v>14127</v>
      </c>
      <c r="K1024" t="s">
        <v>9976</v>
      </c>
      <c r="L1024" t="s">
        <v>9976</v>
      </c>
      <c r="M1024" t="s">
        <v>7250</v>
      </c>
      <c r="N1024">
        <v>2019</v>
      </c>
      <c r="R1024">
        <v>38</v>
      </c>
      <c r="S1024" t="s">
        <v>8257</v>
      </c>
      <c r="T1024">
        <v>38</v>
      </c>
      <c r="U1024">
        <v>17684.57</v>
      </c>
      <c r="V1024">
        <v>2200</v>
      </c>
      <c r="W1024">
        <v>1124.72</v>
      </c>
      <c r="X1024">
        <v>2200</v>
      </c>
      <c r="Y1024">
        <v>1420</v>
      </c>
      <c r="Z1024" t="s">
        <v>8842</v>
      </c>
      <c r="AA1024" t="s">
        <v>14128</v>
      </c>
      <c r="AB1024" t="s">
        <v>14129</v>
      </c>
      <c r="AC1024" t="s">
        <v>8844</v>
      </c>
      <c r="AF1024" t="s">
        <v>14130</v>
      </c>
      <c r="AH1024" t="s">
        <v>14131</v>
      </c>
      <c r="AI1024" t="s">
        <v>8844</v>
      </c>
      <c r="AL1024" t="s">
        <v>14132</v>
      </c>
      <c r="AO1024" t="s">
        <v>14133</v>
      </c>
    </row>
    <row r="1025" spans="1:41" hidden="1" x14ac:dyDescent="0.35">
      <c r="A1025" t="s">
        <v>14134</v>
      </c>
      <c r="B1025" t="s">
        <v>7246</v>
      </c>
      <c r="C1025" t="s">
        <v>423</v>
      </c>
      <c r="D1025" t="s">
        <v>423</v>
      </c>
      <c r="E1025" t="s">
        <v>423</v>
      </c>
      <c r="G1025" s="13" t="s">
        <v>14125</v>
      </c>
      <c r="H1025" t="s">
        <v>14126</v>
      </c>
      <c r="I1025" t="s">
        <v>11023</v>
      </c>
      <c r="K1025" t="s">
        <v>9848</v>
      </c>
      <c r="L1025" t="s">
        <v>9848</v>
      </c>
      <c r="M1025" t="s">
        <v>7415</v>
      </c>
      <c r="N1025">
        <v>2022</v>
      </c>
      <c r="R1025">
        <v>38</v>
      </c>
      <c r="S1025" t="s">
        <v>8257</v>
      </c>
      <c r="T1025">
        <v>38</v>
      </c>
      <c r="U1025">
        <v>17684.57</v>
      </c>
      <c r="V1025">
        <v>800</v>
      </c>
      <c r="W1025">
        <v>577.85</v>
      </c>
      <c r="X1025">
        <v>800</v>
      </c>
      <c r="Y1025">
        <v>1420</v>
      </c>
      <c r="Z1025" t="s">
        <v>8842</v>
      </c>
      <c r="AA1025" t="s">
        <v>14135</v>
      </c>
      <c r="AB1025" t="s">
        <v>3615</v>
      </c>
      <c r="AC1025" t="s">
        <v>8844</v>
      </c>
      <c r="AF1025" t="s">
        <v>14128</v>
      </c>
      <c r="AH1025" t="s">
        <v>14129</v>
      </c>
      <c r="AI1025" t="s">
        <v>8844</v>
      </c>
      <c r="AL1025" t="s">
        <v>14136</v>
      </c>
      <c r="AO1025" t="s">
        <v>14137</v>
      </c>
    </row>
    <row r="1026" spans="1:41" hidden="1" x14ac:dyDescent="0.35">
      <c r="A1026" t="s">
        <v>14138</v>
      </c>
      <c r="B1026" t="s">
        <v>7246</v>
      </c>
      <c r="C1026" t="s">
        <v>423</v>
      </c>
      <c r="D1026" t="s">
        <v>423</v>
      </c>
      <c r="E1026" t="s">
        <v>423</v>
      </c>
      <c r="G1026" s="13" t="s">
        <v>14139</v>
      </c>
      <c r="H1026" t="s">
        <v>14140</v>
      </c>
      <c r="K1026" t="s">
        <v>9976</v>
      </c>
      <c r="L1026" t="s">
        <v>9976</v>
      </c>
      <c r="M1026" t="s">
        <v>7250</v>
      </c>
      <c r="N1026">
        <v>1988</v>
      </c>
      <c r="T1026" t="s">
        <v>6546</v>
      </c>
      <c r="U1026" t="s">
        <v>6546</v>
      </c>
      <c r="V1026">
        <v>763</v>
      </c>
      <c r="W1026">
        <v>1575.77</v>
      </c>
      <c r="X1026">
        <v>763</v>
      </c>
      <c r="AB1026" t="s">
        <v>14141</v>
      </c>
      <c r="AC1026" t="s">
        <v>8844</v>
      </c>
      <c r="AE1026" t="s">
        <v>9851</v>
      </c>
      <c r="AF1026" t="s">
        <v>3639</v>
      </c>
      <c r="AH1026" t="s">
        <v>14142</v>
      </c>
      <c r="AI1026" t="s">
        <v>8844</v>
      </c>
      <c r="AO1026" t="s">
        <v>14143</v>
      </c>
    </row>
    <row r="1027" spans="1:41" hidden="1" x14ac:dyDescent="0.35">
      <c r="A1027" t="s">
        <v>14144</v>
      </c>
      <c r="B1027" t="s">
        <v>7246</v>
      </c>
      <c r="C1027" t="s">
        <v>423</v>
      </c>
      <c r="D1027" t="s">
        <v>423</v>
      </c>
      <c r="E1027" t="s">
        <v>423</v>
      </c>
      <c r="G1027" s="13" t="s">
        <v>14145</v>
      </c>
      <c r="H1027" t="s">
        <v>14146</v>
      </c>
      <c r="K1027" t="s">
        <v>9976</v>
      </c>
      <c r="L1027" t="s">
        <v>9976</v>
      </c>
      <c r="M1027" t="s">
        <v>7250</v>
      </c>
      <c r="N1027">
        <v>1991</v>
      </c>
      <c r="T1027" t="s">
        <v>6546</v>
      </c>
      <c r="U1027" t="s">
        <v>6546</v>
      </c>
      <c r="V1027" t="s">
        <v>6546</v>
      </c>
      <c r="W1027">
        <v>834.32</v>
      </c>
      <c r="X1027">
        <v>834.32</v>
      </c>
      <c r="Y1027">
        <v>1420</v>
      </c>
      <c r="Z1027" t="s">
        <v>8842</v>
      </c>
      <c r="AB1027" t="s">
        <v>14108</v>
      </c>
      <c r="AC1027" t="s">
        <v>8844</v>
      </c>
      <c r="AE1027" t="s">
        <v>14109</v>
      </c>
      <c r="AF1027" t="s">
        <v>13867</v>
      </c>
      <c r="AH1027" t="s">
        <v>13868</v>
      </c>
      <c r="AI1027" t="s">
        <v>8844</v>
      </c>
      <c r="AO1027" t="s">
        <v>14147</v>
      </c>
    </row>
    <row r="1028" spans="1:41" hidden="1" x14ac:dyDescent="0.35">
      <c r="A1028" t="s">
        <v>14148</v>
      </c>
      <c r="B1028" t="s">
        <v>7246</v>
      </c>
      <c r="C1028" t="s">
        <v>423</v>
      </c>
      <c r="D1028" t="s">
        <v>423</v>
      </c>
      <c r="E1028" t="s">
        <v>423</v>
      </c>
      <c r="G1028" s="13" t="s">
        <v>14149</v>
      </c>
      <c r="H1028" t="s">
        <v>14150</v>
      </c>
      <c r="J1028" t="s">
        <v>14151</v>
      </c>
      <c r="K1028" t="s">
        <v>9976</v>
      </c>
      <c r="L1028" t="s">
        <v>9976</v>
      </c>
      <c r="M1028" t="s">
        <v>7250</v>
      </c>
      <c r="N1028">
        <v>2021</v>
      </c>
      <c r="R1028">
        <v>20</v>
      </c>
      <c r="S1028" t="s">
        <v>8257</v>
      </c>
      <c r="T1028">
        <v>20</v>
      </c>
      <c r="U1028">
        <v>9307.67</v>
      </c>
      <c r="V1028">
        <v>115.5</v>
      </c>
      <c r="W1028">
        <v>112.81</v>
      </c>
      <c r="X1028">
        <v>115.5</v>
      </c>
      <c r="Y1028">
        <v>1020</v>
      </c>
      <c r="Z1028" t="s">
        <v>8842</v>
      </c>
      <c r="AA1028" t="s">
        <v>14152</v>
      </c>
      <c r="AB1028" t="s">
        <v>14152</v>
      </c>
      <c r="AC1028" t="s">
        <v>8844</v>
      </c>
      <c r="AD1028" t="s">
        <v>14106</v>
      </c>
      <c r="AE1028" t="s">
        <v>9851</v>
      </c>
      <c r="AF1028" t="s">
        <v>14153</v>
      </c>
      <c r="AG1028" t="s">
        <v>14154</v>
      </c>
      <c r="AH1028" t="s">
        <v>13851</v>
      </c>
      <c r="AI1028" t="s">
        <v>8844</v>
      </c>
      <c r="AL1028" t="s">
        <v>14155</v>
      </c>
      <c r="AO1028" t="s">
        <v>14156</v>
      </c>
    </row>
    <row r="1029" spans="1:41" hidden="1" x14ac:dyDescent="0.35">
      <c r="A1029" t="s">
        <v>14157</v>
      </c>
      <c r="B1029" t="s">
        <v>7246</v>
      </c>
      <c r="C1029" t="s">
        <v>423</v>
      </c>
      <c r="D1029" t="s">
        <v>423</v>
      </c>
      <c r="E1029" t="s">
        <v>423</v>
      </c>
      <c r="G1029" s="13" t="s">
        <v>14158</v>
      </c>
      <c r="H1029" t="s">
        <v>14159</v>
      </c>
      <c r="K1029" t="s">
        <v>9976</v>
      </c>
      <c r="L1029" t="s">
        <v>9976</v>
      </c>
      <c r="M1029" t="s">
        <v>7250</v>
      </c>
      <c r="T1029" t="s">
        <v>6546</v>
      </c>
      <c r="U1029" t="s">
        <v>6546</v>
      </c>
      <c r="V1029">
        <v>658</v>
      </c>
      <c r="W1029">
        <v>785.91</v>
      </c>
      <c r="X1029">
        <v>658</v>
      </c>
      <c r="Y1029" t="s">
        <v>14160</v>
      </c>
      <c r="Z1029" t="s">
        <v>8842</v>
      </c>
      <c r="AB1029" t="s">
        <v>3639</v>
      </c>
      <c r="AC1029" t="s">
        <v>8844</v>
      </c>
      <c r="AE1029" t="s">
        <v>14142</v>
      </c>
      <c r="AF1029" t="s">
        <v>14161</v>
      </c>
      <c r="AH1029" t="s">
        <v>14117</v>
      </c>
      <c r="AI1029" t="s">
        <v>8844</v>
      </c>
      <c r="AO1029" t="s">
        <v>14162</v>
      </c>
    </row>
    <row r="1030" spans="1:41" hidden="1" x14ac:dyDescent="0.35">
      <c r="A1030" t="s">
        <v>14163</v>
      </c>
      <c r="B1030" t="s">
        <v>7246</v>
      </c>
      <c r="C1030" t="s">
        <v>423</v>
      </c>
      <c r="D1030" t="s">
        <v>423</v>
      </c>
      <c r="E1030" t="s">
        <v>423</v>
      </c>
      <c r="G1030" s="13" t="s">
        <v>14164</v>
      </c>
      <c r="H1030" t="s">
        <v>14165</v>
      </c>
      <c r="K1030" t="s">
        <v>9976</v>
      </c>
      <c r="L1030" t="s">
        <v>9976</v>
      </c>
      <c r="M1030" t="s">
        <v>7250</v>
      </c>
      <c r="N1030">
        <v>1973</v>
      </c>
      <c r="T1030" t="s">
        <v>6546</v>
      </c>
      <c r="U1030" t="s">
        <v>6546</v>
      </c>
      <c r="V1030">
        <v>251</v>
      </c>
      <c r="W1030">
        <v>408.45</v>
      </c>
      <c r="X1030">
        <v>251</v>
      </c>
      <c r="Y1030">
        <v>1020</v>
      </c>
      <c r="Z1030" t="s">
        <v>8842</v>
      </c>
      <c r="AB1030" t="s">
        <v>3642</v>
      </c>
      <c r="AC1030" t="s">
        <v>8844</v>
      </c>
      <c r="AE1030" t="s">
        <v>13915</v>
      </c>
      <c r="AF1030" t="s">
        <v>14166</v>
      </c>
      <c r="AH1030" t="s">
        <v>13841</v>
      </c>
      <c r="AI1030" t="s">
        <v>8844</v>
      </c>
      <c r="AO1030" t="s">
        <v>14167</v>
      </c>
    </row>
    <row r="1031" spans="1:41" hidden="1" x14ac:dyDescent="0.35">
      <c r="A1031" t="s">
        <v>14168</v>
      </c>
      <c r="B1031" t="s">
        <v>7246</v>
      </c>
      <c r="C1031" t="s">
        <v>423</v>
      </c>
      <c r="D1031" t="s">
        <v>423</v>
      </c>
      <c r="E1031" t="s">
        <v>423</v>
      </c>
      <c r="G1031" s="13" t="s">
        <v>14169</v>
      </c>
      <c r="H1031" t="s">
        <v>14170</v>
      </c>
      <c r="K1031" t="s">
        <v>9976</v>
      </c>
      <c r="L1031" t="s">
        <v>9976</v>
      </c>
      <c r="M1031" t="s">
        <v>7250</v>
      </c>
      <c r="N1031">
        <v>1974</v>
      </c>
      <c r="R1031">
        <v>4.8</v>
      </c>
      <c r="S1031" t="s">
        <v>8257</v>
      </c>
      <c r="T1031">
        <v>4.8</v>
      </c>
      <c r="U1031">
        <v>2233.84</v>
      </c>
      <c r="V1031">
        <v>508</v>
      </c>
      <c r="W1031">
        <v>479.33</v>
      </c>
      <c r="X1031">
        <v>508</v>
      </c>
      <c r="Y1031">
        <v>1020</v>
      </c>
      <c r="Z1031" t="s">
        <v>8842</v>
      </c>
      <c r="AB1031" t="s">
        <v>3642</v>
      </c>
      <c r="AC1031" t="s">
        <v>8844</v>
      </c>
      <c r="AE1031" t="s">
        <v>13915</v>
      </c>
      <c r="AF1031" t="s">
        <v>14171</v>
      </c>
      <c r="AH1031" t="s">
        <v>5506</v>
      </c>
      <c r="AI1031" t="s">
        <v>8844</v>
      </c>
      <c r="AO1031" t="s">
        <v>14172</v>
      </c>
    </row>
    <row r="1032" spans="1:41" hidden="1" x14ac:dyDescent="0.35">
      <c r="A1032" t="s">
        <v>14173</v>
      </c>
      <c r="B1032" t="s">
        <v>7246</v>
      </c>
      <c r="C1032" t="s">
        <v>423</v>
      </c>
      <c r="D1032" t="s">
        <v>423</v>
      </c>
      <c r="E1032" t="s">
        <v>423</v>
      </c>
      <c r="G1032" s="13" t="s">
        <v>14174</v>
      </c>
      <c r="H1032" t="s">
        <v>14175</v>
      </c>
      <c r="K1032" t="s">
        <v>9976</v>
      </c>
      <c r="L1032" t="s">
        <v>9976</v>
      </c>
      <c r="M1032" t="s">
        <v>7250</v>
      </c>
      <c r="R1032">
        <v>8.7899999999999991</v>
      </c>
      <c r="S1032" t="s">
        <v>8257</v>
      </c>
      <c r="T1032">
        <v>8.7899999999999991</v>
      </c>
      <c r="U1032">
        <v>4090.72</v>
      </c>
      <c r="V1032">
        <v>810</v>
      </c>
      <c r="W1032">
        <v>528.51</v>
      </c>
      <c r="X1032">
        <v>810</v>
      </c>
      <c r="Y1032">
        <v>1020</v>
      </c>
      <c r="Z1032" t="s">
        <v>8842</v>
      </c>
      <c r="AB1032" t="s">
        <v>14176</v>
      </c>
      <c r="AC1032" t="s">
        <v>8844</v>
      </c>
      <c r="AE1032" t="s">
        <v>14177</v>
      </c>
      <c r="AF1032" t="s">
        <v>13833</v>
      </c>
      <c r="AH1032" t="s">
        <v>13834</v>
      </c>
      <c r="AI1032" t="s">
        <v>8844</v>
      </c>
      <c r="AO1032" t="s">
        <v>14178</v>
      </c>
    </row>
    <row r="1033" spans="1:41" hidden="1" x14ac:dyDescent="0.35">
      <c r="A1033" t="s">
        <v>14179</v>
      </c>
      <c r="B1033" t="s">
        <v>7246</v>
      </c>
      <c r="C1033" t="s">
        <v>423</v>
      </c>
      <c r="D1033" t="s">
        <v>423</v>
      </c>
      <c r="E1033" t="s">
        <v>423</v>
      </c>
      <c r="G1033" s="13" t="s">
        <v>14180</v>
      </c>
      <c r="H1033" t="s">
        <v>14181</v>
      </c>
      <c r="K1033" t="s">
        <v>9976</v>
      </c>
      <c r="L1033" t="s">
        <v>9976</v>
      </c>
      <c r="M1033" t="s">
        <v>7250</v>
      </c>
      <c r="N1033">
        <v>1998</v>
      </c>
      <c r="R1033">
        <v>30</v>
      </c>
      <c r="S1033" t="s">
        <v>8257</v>
      </c>
      <c r="T1033">
        <v>30</v>
      </c>
      <c r="U1033">
        <v>13961.5</v>
      </c>
      <c r="V1033">
        <v>937</v>
      </c>
      <c r="W1033">
        <v>1212.75</v>
      </c>
      <c r="X1033">
        <v>937</v>
      </c>
      <c r="Y1033">
        <v>1420</v>
      </c>
      <c r="Z1033" t="s">
        <v>8842</v>
      </c>
      <c r="AB1033" t="s">
        <v>14182</v>
      </c>
      <c r="AC1033" t="s">
        <v>8844</v>
      </c>
      <c r="AE1033" t="s">
        <v>10031</v>
      </c>
      <c r="AF1033" t="s">
        <v>14183</v>
      </c>
      <c r="AH1033" t="s">
        <v>5516</v>
      </c>
      <c r="AI1033" t="s">
        <v>8844</v>
      </c>
      <c r="AO1033" t="s">
        <v>14184</v>
      </c>
    </row>
    <row r="1034" spans="1:41" hidden="1" x14ac:dyDescent="0.35">
      <c r="A1034" t="s">
        <v>14185</v>
      </c>
      <c r="B1034" t="s">
        <v>7246</v>
      </c>
      <c r="C1034" t="s">
        <v>423</v>
      </c>
      <c r="D1034" t="s">
        <v>423</v>
      </c>
      <c r="E1034" t="s">
        <v>423</v>
      </c>
      <c r="G1034" s="13" t="s">
        <v>14186</v>
      </c>
      <c r="H1034" t="s">
        <v>14187</v>
      </c>
      <c r="K1034" t="s">
        <v>9976</v>
      </c>
      <c r="L1034" t="s">
        <v>9976</v>
      </c>
      <c r="M1034" t="s">
        <v>7250</v>
      </c>
      <c r="N1034">
        <v>2011</v>
      </c>
      <c r="T1034" t="s">
        <v>6546</v>
      </c>
      <c r="U1034" t="s">
        <v>6546</v>
      </c>
      <c r="V1034">
        <v>174</v>
      </c>
      <c r="W1034">
        <v>184.16</v>
      </c>
      <c r="X1034">
        <v>174</v>
      </c>
      <c r="Y1034">
        <v>720</v>
      </c>
      <c r="Z1034" t="s">
        <v>8842</v>
      </c>
      <c r="AB1034" t="s">
        <v>14182</v>
      </c>
      <c r="AC1034" t="s">
        <v>8844</v>
      </c>
      <c r="AE1034" t="s">
        <v>10031</v>
      </c>
      <c r="AF1034" t="s">
        <v>14188</v>
      </c>
      <c r="AH1034" t="s">
        <v>14189</v>
      </c>
      <c r="AI1034" t="s">
        <v>8844</v>
      </c>
      <c r="AO1034" t="s">
        <v>14190</v>
      </c>
    </row>
    <row r="1035" spans="1:41" hidden="1" x14ac:dyDescent="0.35">
      <c r="A1035" t="s">
        <v>14191</v>
      </c>
      <c r="B1035" t="s">
        <v>7246</v>
      </c>
      <c r="C1035" t="s">
        <v>423</v>
      </c>
      <c r="D1035" t="s">
        <v>423</v>
      </c>
      <c r="E1035" t="s">
        <v>423</v>
      </c>
      <c r="G1035" s="13" t="s">
        <v>14192</v>
      </c>
      <c r="H1035" t="s">
        <v>14193</v>
      </c>
      <c r="K1035" t="s">
        <v>9976</v>
      </c>
      <c r="L1035" t="s">
        <v>9976</v>
      </c>
      <c r="M1035" t="s">
        <v>7250</v>
      </c>
      <c r="R1035">
        <v>36</v>
      </c>
      <c r="S1035" t="s">
        <v>8257</v>
      </c>
      <c r="T1035">
        <v>36</v>
      </c>
      <c r="U1035">
        <v>16753.8</v>
      </c>
      <c r="V1035" t="s">
        <v>6546</v>
      </c>
      <c r="W1035">
        <v>533.70000000000005</v>
      </c>
      <c r="X1035">
        <v>533.70000000000005</v>
      </c>
      <c r="Y1035">
        <v>1420</v>
      </c>
      <c r="Z1035" t="s">
        <v>8842</v>
      </c>
      <c r="AB1035" t="s">
        <v>10030</v>
      </c>
      <c r="AC1035" t="s">
        <v>8844</v>
      </c>
      <c r="AE1035" t="s">
        <v>10031</v>
      </c>
      <c r="AF1035" t="s">
        <v>9934</v>
      </c>
      <c r="AH1035" t="s">
        <v>9935</v>
      </c>
      <c r="AI1035" t="s">
        <v>8844</v>
      </c>
      <c r="AO1035" t="s">
        <v>14194</v>
      </c>
    </row>
    <row r="1036" spans="1:41" hidden="1" x14ac:dyDescent="0.35">
      <c r="A1036" t="s">
        <v>14195</v>
      </c>
      <c r="B1036" t="s">
        <v>7246</v>
      </c>
      <c r="C1036" t="s">
        <v>423</v>
      </c>
      <c r="D1036" t="s">
        <v>423</v>
      </c>
      <c r="E1036" t="s">
        <v>423</v>
      </c>
      <c r="G1036" s="13" t="s">
        <v>14196</v>
      </c>
      <c r="H1036" t="s">
        <v>14197</v>
      </c>
      <c r="K1036" t="s">
        <v>9976</v>
      </c>
      <c r="L1036" t="s">
        <v>9976</v>
      </c>
      <c r="M1036" t="s">
        <v>7250</v>
      </c>
      <c r="T1036" t="s">
        <v>6546</v>
      </c>
      <c r="U1036" t="s">
        <v>6546</v>
      </c>
      <c r="V1036" t="s">
        <v>6546</v>
      </c>
      <c r="W1036">
        <v>189.34</v>
      </c>
      <c r="X1036">
        <v>189.34</v>
      </c>
      <c r="Y1036">
        <v>325</v>
      </c>
      <c r="Z1036" t="s">
        <v>8842</v>
      </c>
      <c r="AB1036" t="s">
        <v>14198</v>
      </c>
      <c r="AC1036" t="s">
        <v>8844</v>
      </c>
      <c r="AE1036" t="s">
        <v>13841</v>
      </c>
      <c r="AF1036" t="s">
        <v>14166</v>
      </c>
      <c r="AH1036" t="s">
        <v>13841</v>
      </c>
      <c r="AI1036" t="s">
        <v>8844</v>
      </c>
      <c r="AO1036" t="s">
        <v>14199</v>
      </c>
    </row>
    <row r="1037" spans="1:41" hidden="1" x14ac:dyDescent="0.35">
      <c r="A1037" t="s">
        <v>14200</v>
      </c>
      <c r="B1037" t="s">
        <v>7246</v>
      </c>
      <c r="C1037" t="s">
        <v>423</v>
      </c>
      <c r="D1037" t="s">
        <v>423</v>
      </c>
      <c r="E1037" t="s">
        <v>423</v>
      </c>
      <c r="G1037" s="13" t="s">
        <v>14201</v>
      </c>
      <c r="H1037" t="s">
        <v>14202</v>
      </c>
      <c r="K1037" t="s">
        <v>9976</v>
      </c>
      <c r="L1037" t="s">
        <v>9976</v>
      </c>
      <c r="M1037" t="s">
        <v>7250</v>
      </c>
      <c r="N1037">
        <v>1987</v>
      </c>
      <c r="T1037" t="s">
        <v>6546</v>
      </c>
      <c r="U1037" t="s">
        <v>6546</v>
      </c>
      <c r="V1037">
        <v>310</v>
      </c>
      <c r="W1037">
        <v>429.11</v>
      </c>
      <c r="X1037">
        <v>310</v>
      </c>
      <c r="Y1037" t="s">
        <v>10012</v>
      </c>
      <c r="Z1037" t="s">
        <v>8842</v>
      </c>
      <c r="AB1037" t="s">
        <v>14203</v>
      </c>
      <c r="AC1037" t="s">
        <v>8844</v>
      </c>
      <c r="AE1037" t="s">
        <v>14057</v>
      </c>
      <c r="AF1037" t="s">
        <v>3642</v>
      </c>
      <c r="AH1037" t="s">
        <v>13915</v>
      </c>
      <c r="AI1037" t="s">
        <v>8844</v>
      </c>
      <c r="AO1037" t="s">
        <v>14204</v>
      </c>
    </row>
    <row r="1038" spans="1:41" hidden="1" x14ac:dyDescent="0.35">
      <c r="A1038" t="s">
        <v>14205</v>
      </c>
      <c r="B1038" t="s">
        <v>7246</v>
      </c>
      <c r="C1038" t="s">
        <v>423</v>
      </c>
      <c r="D1038" t="s">
        <v>423</v>
      </c>
      <c r="E1038" t="s">
        <v>423</v>
      </c>
      <c r="G1038" s="13" t="s">
        <v>14206</v>
      </c>
      <c r="H1038" t="s">
        <v>14207</v>
      </c>
      <c r="K1038" t="s">
        <v>9848</v>
      </c>
      <c r="L1038" t="s">
        <v>9848</v>
      </c>
      <c r="M1038" t="s">
        <v>7269</v>
      </c>
      <c r="T1038" t="s">
        <v>6546</v>
      </c>
      <c r="U1038" t="s">
        <v>6546</v>
      </c>
      <c r="V1038">
        <v>1600</v>
      </c>
      <c r="W1038">
        <v>1276.19</v>
      </c>
      <c r="X1038">
        <v>1600</v>
      </c>
      <c r="AB1038" t="s">
        <v>14208</v>
      </c>
      <c r="AC1038" t="s">
        <v>8844</v>
      </c>
      <c r="AE1038" t="s">
        <v>14117</v>
      </c>
      <c r="AF1038" t="s">
        <v>14209</v>
      </c>
      <c r="AH1038" t="s">
        <v>14034</v>
      </c>
      <c r="AI1038" t="s">
        <v>8844</v>
      </c>
      <c r="AL1038" t="s">
        <v>14210</v>
      </c>
      <c r="AO1038" t="s">
        <v>14211</v>
      </c>
    </row>
    <row r="1039" spans="1:41" hidden="1" x14ac:dyDescent="0.35">
      <c r="A1039" t="s">
        <v>14212</v>
      </c>
      <c r="B1039" t="s">
        <v>7246</v>
      </c>
      <c r="C1039" t="s">
        <v>423</v>
      </c>
      <c r="D1039" t="s">
        <v>423</v>
      </c>
      <c r="E1039" t="s">
        <v>423</v>
      </c>
      <c r="G1039" s="13" t="s">
        <v>14213</v>
      </c>
      <c r="H1039" t="s">
        <v>14214</v>
      </c>
      <c r="K1039" t="s">
        <v>9976</v>
      </c>
      <c r="L1039" t="s">
        <v>9976</v>
      </c>
      <c r="M1039" t="s">
        <v>7250</v>
      </c>
      <c r="N1039">
        <v>1976</v>
      </c>
      <c r="T1039" t="s">
        <v>6546</v>
      </c>
      <c r="U1039" t="s">
        <v>6546</v>
      </c>
      <c r="V1039" t="s">
        <v>6546</v>
      </c>
      <c r="W1039">
        <v>560.14</v>
      </c>
      <c r="X1039">
        <v>560.14</v>
      </c>
      <c r="Y1039">
        <v>1420</v>
      </c>
      <c r="Z1039" t="s">
        <v>8842</v>
      </c>
      <c r="AA1039" t="s">
        <v>14215</v>
      </c>
      <c r="AB1039" t="s">
        <v>14108</v>
      </c>
      <c r="AC1039" t="s">
        <v>8844</v>
      </c>
      <c r="AE1039" t="s">
        <v>14002</v>
      </c>
      <c r="AF1039" t="s">
        <v>14216</v>
      </c>
      <c r="AH1039" t="s">
        <v>14217</v>
      </c>
      <c r="AI1039" t="s">
        <v>8844</v>
      </c>
      <c r="AO1039" t="s">
        <v>14218</v>
      </c>
    </row>
    <row r="1040" spans="1:41" hidden="1" x14ac:dyDescent="0.35">
      <c r="A1040" t="s">
        <v>14219</v>
      </c>
      <c r="B1040" t="s">
        <v>7246</v>
      </c>
      <c r="C1040" t="s">
        <v>423</v>
      </c>
      <c r="D1040" t="s">
        <v>423</v>
      </c>
      <c r="E1040" t="s">
        <v>423</v>
      </c>
      <c r="G1040" s="13" t="s">
        <v>14220</v>
      </c>
      <c r="H1040" t="s">
        <v>14221</v>
      </c>
      <c r="K1040" t="s">
        <v>9976</v>
      </c>
      <c r="L1040" t="s">
        <v>9976</v>
      </c>
      <c r="M1040" t="s">
        <v>7250</v>
      </c>
      <c r="T1040" t="s">
        <v>6546</v>
      </c>
      <c r="U1040" t="s">
        <v>6546</v>
      </c>
      <c r="V1040">
        <v>150</v>
      </c>
      <c r="W1040">
        <v>100.67</v>
      </c>
      <c r="X1040">
        <v>150</v>
      </c>
      <c r="Y1040">
        <v>820</v>
      </c>
      <c r="Z1040" t="s">
        <v>8842</v>
      </c>
      <c r="AA1040" t="s">
        <v>14222</v>
      </c>
      <c r="AC1040" t="s">
        <v>8844</v>
      </c>
      <c r="AH1040" t="s">
        <v>13834</v>
      </c>
      <c r="AI1040" t="s">
        <v>8844</v>
      </c>
      <c r="AO1040" t="s">
        <v>14223</v>
      </c>
    </row>
    <row r="1041" spans="1:41" hidden="1" x14ac:dyDescent="0.35">
      <c r="A1041" t="s">
        <v>14224</v>
      </c>
      <c r="B1041" t="s">
        <v>7246</v>
      </c>
      <c r="C1041" t="s">
        <v>423</v>
      </c>
      <c r="D1041" t="s">
        <v>423</v>
      </c>
      <c r="E1041" t="s">
        <v>423</v>
      </c>
      <c r="G1041" s="13" t="s">
        <v>14225</v>
      </c>
      <c r="H1041" t="s">
        <v>14226</v>
      </c>
      <c r="K1041" t="s">
        <v>9976</v>
      </c>
      <c r="L1041" t="s">
        <v>9976</v>
      </c>
      <c r="M1041" t="s">
        <v>7250</v>
      </c>
      <c r="R1041">
        <v>90</v>
      </c>
      <c r="S1041" t="s">
        <v>8257</v>
      </c>
      <c r="T1041">
        <v>90</v>
      </c>
      <c r="U1041">
        <v>41884.51</v>
      </c>
      <c r="V1041">
        <v>365</v>
      </c>
      <c r="W1041">
        <v>487.33</v>
      </c>
      <c r="X1041">
        <v>365</v>
      </c>
      <c r="Y1041">
        <v>1200</v>
      </c>
      <c r="Z1041" t="s">
        <v>8842</v>
      </c>
      <c r="AA1041" t="s">
        <v>14222</v>
      </c>
      <c r="AC1041" t="s">
        <v>8844</v>
      </c>
      <c r="AE1041" t="s">
        <v>13886</v>
      </c>
      <c r="AH1041" t="s">
        <v>13886</v>
      </c>
      <c r="AI1041" t="s">
        <v>8844</v>
      </c>
      <c r="AO1041" t="s">
        <v>14227</v>
      </c>
    </row>
    <row r="1042" spans="1:41" hidden="1" x14ac:dyDescent="0.35">
      <c r="A1042" t="s">
        <v>14228</v>
      </c>
      <c r="B1042" t="s">
        <v>7246</v>
      </c>
      <c r="C1042" t="s">
        <v>423</v>
      </c>
      <c r="D1042" t="s">
        <v>423</v>
      </c>
      <c r="E1042" t="s">
        <v>423</v>
      </c>
      <c r="G1042" s="13" t="s">
        <v>14229</v>
      </c>
      <c r="H1042" t="s">
        <v>14230</v>
      </c>
      <c r="K1042" t="s">
        <v>9976</v>
      </c>
      <c r="L1042" t="s">
        <v>9976</v>
      </c>
      <c r="M1042" t="s">
        <v>7250</v>
      </c>
      <c r="R1042">
        <v>3.1</v>
      </c>
      <c r="S1042" t="s">
        <v>8257</v>
      </c>
      <c r="T1042">
        <v>3.1</v>
      </c>
      <c r="U1042">
        <v>1442.69</v>
      </c>
      <c r="V1042" t="s">
        <v>6546</v>
      </c>
      <c r="W1042">
        <v>384.61</v>
      </c>
      <c r="X1042">
        <v>384.61</v>
      </c>
      <c r="AB1042" t="s">
        <v>13901</v>
      </c>
      <c r="AC1042" t="s">
        <v>8844</v>
      </c>
      <c r="AE1042" t="s">
        <v>14231</v>
      </c>
      <c r="AF1042" t="s">
        <v>14232</v>
      </c>
      <c r="AH1042" t="s">
        <v>14233</v>
      </c>
      <c r="AI1042" t="s">
        <v>8844</v>
      </c>
      <c r="AO1042" t="s">
        <v>14234</v>
      </c>
    </row>
    <row r="1043" spans="1:41" hidden="1" x14ac:dyDescent="0.35">
      <c r="A1043" t="s">
        <v>14235</v>
      </c>
      <c r="B1043" t="s">
        <v>7246</v>
      </c>
      <c r="C1043" t="s">
        <v>423</v>
      </c>
      <c r="D1043" t="s">
        <v>423</v>
      </c>
      <c r="E1043" t="s">
        <v>423</v>
      </c>
      <c r="G1043" s="13" t="s">
        <v>14236</v>
      </c>
      <c r="H1043" t="s">
        <v>14237</v>
      </c>
      <c r="K1043" t="s">
        <v>9976</v>
      </c>
      <c r="L1043" t="s">
        <v>9976</v>
      </c>
      <c r="M1043" t="s">
        <v>7250</v>
      </c>
      <c r="N1043">
        <v>1960</v>
      </c>
      <c r="T1043" t="s">
        <v>6546</v>
      </c>
      <c r="U1043" t="s">
        <v>6546</v>
      </c>
      <c r="V1043">
        <v>606</v>
      </c>
      <c r="W1043">
        <v>604.08000000000004</v>
      </c>
      <c r="X1043">
        <v>606</v>
      </c>
      <c r="Y1043">
        <v>800</v>
      </c>
      <c r="Z1043" t="s">
        <v>8842</v>
      </c>
      <c r="AB1043" t="s">
        <v>14238</v>
      </c>
      <c r="AC1043" t="s">
        <v>8844</v>
      </c>
      <c r="AE1043" t="s">
        <v>14086</v>
      </c>
      <c r="AF1043" t="s">
        <v>5499</v>
      </c>
      <c r="AH1043" t="s">
        <v>10031</v>
      </c>
      <c r="AI1043" t="s">
        <v>8844</v>
      </c>
      <c r="AO1043" t="s">
        <v>14239</v>
      </c>
    </row>
    <row r="1044" spans="1:41" hidden="1" x14ac:dyDescent="0.35">
      <c r="A1044" t="s">
        <v>14240</v>
      </c>
      <c r="B1044" t="s">
        <v>7246</v>
      </c>
      <c r="C1044" t="s">
        <v>423</v>
      </c>
      <c r="D1044" t="s">
        <v>423</v>
      </c>
      <c r="E1044" t="s">
        <v>423</v>
      </c>
      <c r="G1044" s="13" t="s">
        <v>14241</v>
      </c>
      <c r="H1044" t="s">
        <v>14242</v>
      </c>
      <c r="K1044" t="s">
        <v>9976</v>
      </c>
      <c r="L1044" t="s">
        <v>9976</v>
      </c>
      <c r="M1044" t="s">
        <v>9336</v>
      </c>
      <c r="N1044">
        <v>1946</v>
      </c>
      <c r="T1044" t="s">
        <v>6546</v>
      </c>
      <c r="U1044" t="s">
        <v>6546</v>
      </c>
      <c r="V1044" t="s">
        <v>6546</v>
      </c>
      <c r="W1044">
        <v>780.03</v>
      </c>
      <c r="X1044">
        <v>780.03</v>
      </c>
      <c r="Y1044">
        <v>325</v>
      </c>
      <c r="Z1044" t="s">
        <v>8842</v>
      </c>
      <c r="AB1044" t="s">
        <v>3656</v>
      </c>
      <c r="AC1044" t="s">
        <v>8844</v>
      </c>
      <c r="AE1044" t="s">
        <v>14086</v>
      </c>
      <c r="AH1044" t="s">
        <v>13886</v>
      </c>
      <c r="AI1044" t="s">
        <v>8844</v>
      </c>
      <c r="AO1044" t="s">
        <v>14243</v>
      </c>
    </row>
    <row r="1045" spans="1:41" hidden="1" x14ac:dyDescent="0.35">
      <c r="A1045" t="s">
        <v>14244</v>
      </c>
      <c r="B1045" t="s">
        <v>7246</v>
      </c>
      <c r="C1045" t="s">
        <v>5978</v>
      </c>
      <c r="D1045" t="s">
        <v>423</v>
      </c>
      <c r="E1045" t="s">
        <v>10127</v>
      </c>
      <c r="G1045" s="13" t="s">
        <v>14245</v>
      </c>
      <c r="H1045" t="s">
        <v>14246</v>
      </c>
      <c r="K1045" t="s">
        <v>9976</v>
      </c>
      <c r="L1045" t="s">
        <v>9976</v>
      </c>
      <c r="M1045" t="s">
        <v>8874</v>
      </c>
      <c r="N1045">
        <v>1959</v>
      </c>
      <c r="T1045" t="s">
        <v>6546</v>
      </c>
      <c r="U1045" t="s">
        <v>6546</v>
      </c>
      <c r="V1045">
        <v>507</v>
      </c>
      <c r="W1045">
        <v>514.20000000000005</v>
      </c>
      <c r="X1045">
        <v>507</v>
      </c>
      <c r="Y1045">
        <v>1220</v>
      </c>
      <c r="Z1045" t="s">
        <v>8842</v>
      </c>
      <c r="AA1045" t="s">
        <v>14247</v>
      </c>
      <c r="AB1045" t="s">
        <v>10212</v>
      </c>
      <c r="AC1045" t="s">
        <v>8777</v>
      </c>
      <c r="AF1045" t="s">
        <v>13857</v>
      </c>
      <c r="AH1045" t="s">
        <v>13858</v>
      </c>
      <c r="AI1045" t="s">
        <v>8844</v>
      </c>
      <c r="AO1045" t="s">
        <v>14248</v>
      </c>
    </row>
    <row r="1046" spans="1:41" hidden="1" x14ac:dyDescent="0.35">
      <c r="A1046" t="s">
        <v>14249</v>
      </c>
      <c r="B1046" t="s">
        <v>7246</v>
      </c>
      <c r="C1046" t="s">
        <v>423</v>
      </c>
      <c r="D1046" t="s">
        <v>423</v>
      </c>
      <c r="E1046" t="s">
        <v>423</v>
      </c>
      <c r="G1046" s="13" t="s">
        <v>14250</v>
      </c>
      <c r="H1046" t="s">
        <v>14251</v>
      </c>
      <c r="K1046" t="s">
        <v>9976</v>
      </c>
      <c r="L1046" t="s">
        <v>9976</v>
      </c>
      <c r="M1046" t="s">
        <v>7250</v>
      </c>
      <c r="N1046">
        <v>1958</v>
      </c>
      <c r="T1046" t="s">
        <v>6546</v>
      </c>
      <c r="U1046" t="s">
        <v>6546</v>
      </c>
      <c r="V1046" t="s">
        <v>6546</v>
      </c>
      <c r="W1046">
        <v>129.55000000000001</v>
      </c>
      <c r="X1046">
        <v>129.55000000000001</v>
      </c>
      <c r="Y1046">
        <v>325</v>
      </c>
      <c r="Z1046" t="s">
        <v>8842</v>
      </c>
      <c r="AB1046" t="s">
        <v>14252</v>
      </c>
      <c r="AC1046" t="s">
        <v>8844</v>
      </c>
      <c r="AE1046" t="s">
        <v>14057</v>
      </c>
      <c r="AF1046" t="s">
        <v>14056</v>
      </c>
      <c r="AH1046" t="s">
        <v>14057</v>
      </c>
      <c r="AI1046" t="s">
        <v>8844</v>
      </c>
      <c r="AO1046" t="s">
        <v>14253</v>
      </c>
    </row>
    <row r="1047" spans="1:41" hidden="1" x14ac:dyDescent="0.35">
      <c r="A1047" t="s">
        <v>14254</v>
      </c>
      <c r="B1047" t="s">
        <v>7246</v>
      </c>
      <c r="C1047" t="s">
        <v>423</v>
      </c>
      <c r="D1047" t="s">
        <v>423</v>
      </c>
      <c r="E1047" t="s">
        <v>423</v>
      </c>
      <c r="G1047" s="13" t="s">
        <v>14255</v>
      </c>
      <c r="H1047" t="s">
        <v>14256</v>
      </c>
      <c r="K1047" t="s">
        <v>9976</v>
      </c>
      <c r="L1047" t="s">
        <v>9976</v>
      </c>
      <c r="M1047" t="s">
        <v>7250</v>
      </c>
      <c r="N1047">
        <v>1958</v>
      </c>
      <c r="T1047" t="s">
        <v>6546</v>
      </c>
      <c r="U1047" t="s">
        <v>6546</v>
      </c>
      <c r="V1047">
        <v>84</v>
      </c>
      <c r="W1047">
        <v>105.95</v>
      </c>
      <c r="X1047">
        <v>84</v>
      </c>
      <c r="Y1047">
        <v>377</v>
      </c>
      <c r="Z1047" t="s">
        <v>8842</v>
      </c>
      <c r="AB1047" t="s">
        <v>14252</v>
      </c>
      <c r="AC1047" t="s">
        <v>8844</v>
      </c>
      <c r="AE1047" t="s">
        <v>14057</v>
      </c>
      <c r="AF1047" t="s">
        <v>14257</v>
      </c>
      <c r="AH1047" t="s">
        <v>14057</v>
      </c>
      <c r="AI1047" t="s">
        <v>8844</v>
      </c>
      <c r="AO1047" t="s">
        <v>14258</v>
      </c>
    </row>
    <row r="1048" spans="1:41" hidden="1" x14ac:dyDescent="0.35">
      <c r="A1048" t="s">
        <v>14259</v>
      </c>
      <c r="B1048" t="s">
        <v>7246</v>
      </c>
      <c r="C1048" t="s">
        <v>423</v>
      </c>
      <c r="D1048" t="s">
        <v>423</v>
      </c>
      <c r="E1048" t="s">
        <v>423</v>
      </c>
      <c r="G1048" s="13" t="s">
        <v>14260</v>
      </c>
      <c r="H1048" t="s">
        <v>14261</v>
      </c>
      <c r="K1048" t="s">
        <v>9976</v>
      </c>
      <c r="L1048" t="s">
        <v>9976</v>
      </c>
      <c r="M1048" t="s">
        <v>7250</v>
      </c>
      <c r="N1048">
        <v>2010</v>
      </c>
      <c r="R1048">
        <v>0.75</v>
      </c>
      <c r="S1048" t="s">
        <v>8257</v>
      </c>
      <c r="T1048">
        <v>0.75</v>
      </c>
      <c r="U1048">
        <v>349.04</v>
      </c>
      <c r="V1048">
        <v>392</v>
      </c>
      <c r="W1048">
        <v>371.28</v>
      </c>
      <c r="X1048">
        <v>392</v>
      </c>
      <c r="Y1048">
        <v>530</v>
      </c>
      <c r="Z1048" t="s">
        <v>8842</v>
      </c>
      <c r="AA1048" t="s">
        <v>14262</v>
      </c>
      <c r="AB1048" t="s">
        <v>14263</v>
      </c>
      <c r="AC1048" t="s">
        <v>8844</v>
      </c>
      <c r="AE1048" t="s">
        <v>14264</v>
      </c>
      <c r="AF1048" t="s">
        <v>14265</v>
      </c>
      <c r="AH1048" t="s">
        <v>14264</v>
      </c>
      <c r="AI1048" t="s">
        <v>8844</v>
      </c>
      <c r="AO1048" t="s">
        <v>14266</v>
      </c>
    </row>
    <row r="1049" spans="1:41" hidden="1" x14ac:dyDescent="0.35">
      <c r="A1049" t="s">
        <v>14267</v>
      </c>
      <c r="B1049" t="s">
        <v>7246</v>
      </c>
      <c r="C1049" t="s">
        <v>423</v>
      </c>
      <c r="D1049" t="s">
        <v>423</v>
      </c>
      <c r="E1049" t="s">
        <v>423</v>
      </c>
      <c r="G1049" s="13" t="s">
        <v>14268</v>
      </c>
      <c r="H1049" t="s">
        <v>14269</v>
      </c>
      <c r="J1049" t="s">
        <v>14270</v>
      </c>
      <c r="K1049" t="s">
        <v>9848</v>
      </c>
      <c r="L1049" t="s">
        <v>9848</v>
      </c>
      <c r="M1049" t="s">
        <v>7415</v>
      </c>
      <c r="N1049">
        <v>2023</v>
      </c>
      <c r="R1049">
        <v>63</v>
      </c>
      <c r="S1049" t="s">
        <v>8257</v>
      </c>
      <c r="T1049">
        <v>63</v>
      </c>
      <c r="U1049">
        <v>29319.16</v>
      </c>
      <c r="V1049">
        <v>1625</v>
      </c>
      <c r="W1049">
        <v>1296.98</v>
      </c>
      <c r="X1049">
        <v>1625</v>
      </c>
      <c r="AA1049" t="s">
        <v>14271</v>
      </c>
      <c r="AB1049" t="s">
        <v>10030</v>
      </c>
      <c r="AC1049" t="s">
        <v>8844</v>
      </c>
      <c r="AE1049" t="s">
        <v>14272</v>
      </c>
      <c r="AF1049" t="s">
        <v>14273</v>
      </c>
      <c r="AH1049" t="s">
        <v>9910</v>
      </c>
      <c r="AI1049" t="s">
        <v>8844</v>
      </c>
      <c r="AL1049" t="s">
        <v>14274</v>
      </c>
      <c r="AO1049" t="s">
        <v>14275</v>
      </c>
    </row>
    <row r="1050" spans="1:41" hidden="1" x14ac:dyDescent="0.35">
      <c r="A1050" t="s">
        <v>14276</v>
      </c>
      <c r="B1050" t="s">
        <v>7246</v>
      </c>
      <c r="C1050" t="s">
        <v>423</v>
      </c>
      <c r="D1050" t="s">
        <v>423</v>
      </c>
      <c r="E1050" t="s">
        <v>423</v>
      </c>
      <c r="G1050" s="13" t="s">
        <v>14277</v>
      </c>
      <c r="H1050" t="s">
        <v>14278</v>
      </c>
      <c r="J1050" t="s">
        <v>14279</v>
      </c>
      <c r="K1050" t="s">
        <v>9976</v>
      </c>
      <c r="L1050" t="s">
        <v>9976</v>
      </c>
      <c r="M1050" t="s">
        <v>7250</v>
      </c>
      <c r="N1050">
        <v>2016</v>
      </c>
      <c r="R1050">
        <v>63</v>
      </c>
      <c r="S1050" t="s">
        <v>8257</v>
      </c>
      <c r="T1050">
        <v>63</v>
      </c>
      <c r="U1050">
        <v>29319.16</v>
      </c>
      <c r="V1050">
        <v>880</v>
      </c>
      <c r="W1050">
        <v>771.3</v>
      </c>
      <c r="X1050">
        <v>880</v>
      </c>
      <c r="Y1050" t="s">
        <v>14280</v>
      </c>
      <c r="Z1050" t="s">
        <v>8842</v>
      </c>
      <c r="AB1050" t="s">
        <v>14281</v>
      </c>
      <c r="AC1050" t="s">
        <v>8844</v>
      </c>
      <c r="AE1050" t="s">
        <v>14177</v>
      </c>
      <c r="AF1050" t="s">
        <v>14273</v>
      </c>
      <c r="AH1050" t="s">
        <v>9910</v>
      </c>
      <c r="AI1050" t="s">
        <v>8844</v>
      </c>
      <c r="AO1050" t="s">
        <v>14282</v>
      </c>
    </row>
    <row r="1051" spans="1:41" hidden="1" x14ac:dyDescent="0.35">
      <c r="A1051" t="s">
        <v>14283</v>
      </c>
      <c r="B1051" t="s">
        <v>7246</v>
      </c>
      <c r="C1051" t="s">
        <v>423</v>
      </c>
      <c r="D1051" t="s">
        <v>423</v>
      </c>
      <c r="E1051" t="s">
        <v>423</v>
      </c>
      <c r="G1051" s="13" t="s">
        <v>14284</v>
      </c>
      <c r="H1051" t="s">
        <v>14285</v>
      </c>
      <c r="J1051" t="s">
        <v>14286</v>
      </c>
      <c r="K1051" t="s">
        <v>9976</v>
      </c>
      <c r="L1051" t="s">
        <v>9976</v>
      </c>
      <c r="M1051" t="s">
        <v>7250</v>
      </c>
      <c r="N1051">
        <v>1966</v>
      </c>
      <c r="T1051" t="s">
        <v>6546</v>
      </c>
      <c r="U1051" t="s">
        <v>6546</v>
      </c>
      <c r="V1051">
        <v>145</v>
      </c>
      <c r="W1051">
        <v>138.99</v>
      </c>
      <c r="X1051">
        <v>145</v>
      </c>
      <c r="Y1051">
        <v>1020</v>
      </c>
      <c r="Z1051" t="s">
        <v>8842</v>
      </c>
      <c r="AB1051" t="s">
        <v>13867</v>
      </c>
      <c r="AC1051" t="s">
        <v>8844</v>
      </c>
      <c r="AE1051" t="s">
        <v>13868</v>
      </c>
      <c r="AF1051" t="s">
        <v>14003</v>
      </c>
      <c r="AH1051" t="s">
        <v>13868</v>
      </c>
      <c r="AI1051" t="s">
        <v>8844</v>
      </c>
      <c r="AL1051" t="s">
        <v>14287</v>
      </c>
      <c r="AO1051" t="s">
        <v>14288</v>
      </c>
    </row>
    <row r="1052" spans="1:41" hidden="1" x14ac:dyDescent="0.35">
      <c r="A1052" t="s">
        <v>14289</v>
      </c>
      <c r="B1052" t="s">
        <v>7246</v>
      </c>
      <c r="C1052" t="s">
        <v>423</v>
      </c>
      <c r="D1052" t="s">
        <v>423</v>
      </c>
      <c r="E1052" t="s">
        <v>423</v>
      </c>
      <c r="G1052" s="13" t="s">
        <v>14290</v>
      </c>
      <c r="H1052" t="s">
        <v>14291</v>
      </c>
      <c r="K1052" t="s">
        <v>9976</v>
      </c>
      <c r="L1052" t="s">
        <v>9976</v>
      </c>
      <c r="M1052" t="s">
        <v>7250</v>
      </c>
      <c r="N1052">
        <v>2014</v>
      </c>
      <c r="R1052">
        <v>5.35</v>
      </c>
      <c r="S1052" t="s">
        <v>8257</v>
      </c>
      <c r="T1052">
        <v>5.35</v>
      </c>
      <c r="U1052">
        <v>2489.8000000000002</v>
      </c>
      <c r="V1052">
        <v>263</v>
      </c>
      <c r="W1052">
        <v>121.91</v>
      </c>
      <c r="X1052">
        <v>263</v>
      </c>
      <c r="Y1052">
        <v>720</v>
      </c>
      <c r="Z1052" t="s">
        <v>8842</v>
      </c>
      <c r="AB1052" t="s">
        <v>14292</v>
      </c>
      <c r="AC1052" t="s">
        <v>8844</v>
      </c>
      <c r="AE1052" t="s">
        <v>13841</v>
      </c>
      <c r="AF1052" t="s">
        <v>13842</v>
      </c>
      <c r="AH1052" t="s">
        <v>13843</v>
      </c>
      <c r="AI1052" t="s">
        <v>8844</v>
      </c>
      <c r="AL1052" t="s">
        <v>14293</v>
      </c>
      <c r="AO1052" t="s">
        <v>14294</v>
      </c>
    </row>
    <row r="1053" spans="1:41" hidden="1" x14ac:dyDescent="0.35">
      <c r="A1053" t="s">
        <v>14295</v>
      </c>
      <c r="B1053" t="s">
        <v>7246</v>
      </c>
      <c r="C1053" t="s">
        <v>423</v>
      </c>
      <c r="D1053" t="s">
        <v>423</v>
      </c>
      <c r="E1053" t="s">
        <v>423</v>
      </c>
      <c r="G1053" s="13" t="s">
        <v>14296</v>
      </c>
      <c r="H1053" t="s">
        <v>14297</v>
      </c>
      <c r="J1053" t="s">
        <v>14298</v>
      </c>
      <c r="K1053" t="s">
        <v>14299</v>
      </c>
      <c r="L1053" t="s">
        <v>14299</v>
      </c>
      <c r="M1053" t="s">
        <v>7250</v>
      </c>
      <c r="N1053">
        <v>2002</v>
      </c>
      <c r="R1053">
        <v>1</v>
      </c>
      <c r="S1053" t="s">
        <v>8257</v>
      </c>
      <c r="T1053">
        <v>1</v>
      </c>
      <c r="U1053">
        <v>465.38</v>
      </c>
      <c r="V1053">
        <v>686</v>
      </c>
      <c r="W1053">
        <v>590.66999999999996</v>
      </c>
      <c r="X1053">
        <v>686</v>
      </c>
      <c r="AA1053" t="s">
        <v>14300</v>
      </c>
      <c r="AB1053" t="s">
        <v>14301</v>
      </c>
      <c r="AC1053" t="s">
        <v>8844</v>
      </c>
      <c r="AE1053" t="s">
        <v>14302</v>
      </c>
      <c r="AF1053" t="s">
        <v>14303</v>
      </c>
      <c r="AH1053" t="s">
        <v>14044</v>
      </c>
      <c r="AI1053" t="s">
        <v>8844</v>
      </c>
      <c r="AL1053" t="s">
        <v>14304</v>
      </c>
      <c r="AO1053" t="s">
        <v>14305</v>
      </c>
    </row>
    <row r="1054" spans="1:41" hidden="1" x14ac:dyDescent="0.35">
      <c r="A1054" t="s">
        <v>14306</v>
      </c>
      <c r="B1054" t="s">
        <v>7246</v>
      </c>
      <c r="C1054" t="s">
        <v>423</v>
      </c>
      <c r="D1054" t="s">
        <v>423</v>
      </c>
      <c r="E1054" t="s">
        <v>423</v>
      </c>
      <c r="G1054" s="13" t="s">
        <v>14307</v>
      </c>
      <c r="H1054" t="s">
        <v>14308</v>
      </c>
      <c r="K1054" t="s">
        <v>9976</v>
      </c>
      <c r="L1054" t="s">
        <v>9976</v>
      </c>
      <c r="M1054" t="s">
        <v>7250</v>
      </c>
      <c r="N1054">
        <v>1972</v>
      </c>
      <c r="T1054" t="s">
        <v>6546</v>
      </c>
      <c r="U1054" t="s">
        <v>6546</v>
      </c>
      <c r="V1054">
        <v>150</v>
      </c>
      <c r="W1054">
        <v>157.02000000000001</v>
      </c>
      <c r="X1054">
        <v>150</v>
      </c>
      <c r="Y1054">
        <v>40.159999999999997</v>
      </c>
      <c r="Z1054" t="s">
        <v>7253</v>
      </c>
      <c r="AB1054" t="s">
        <v>10015</v>
      </c>
      <c r="AC1054" t="s">
        <v>8844</v>
      </c>
      <c r="AE1054" t="s">
        <v>10024</v>
      </c>
      <c r="AF1054" t="s">
        <v>14309</v>
      </c>
      <c r="AH1054" t="s">
        <v>14310</v>
      </c>
      <c r="AI1054" t="s">
        <v>8844</v>
      </c>
      <c r="AO1054" t="s">
        <v>14311</v>
      </c>
    </row>
    <row r="1055" spans="1:41" hidden="1" x14ac:dyDescent="0.35">
      <c r="A1055" t="s">
        <v>14312</v>
      </c>
      <c r="B1055" t="s">
        <v>7246</v>
      </c>
      <c r="C1055" t="s">
        <v>423</v>
      </c>
      <c r="D1055" t="s">
        <v>423</v>
      </c>
      <c r="E1055" t="s">
        <v>423</v>
      </c>
      <c r="G1055" s="13" t="s">
        <v>14313</v>
      </c>
      <c r="H1055" t="s">
        <v>14314</v>
      </c>
      <c r="K1055" t="s">
        <v>9976</v>
      </c>
      <c r="L1055" t="s">
        <v>9976</v>
      </c>
      <c r="M1055" t="s">
        <v>7250</v>
      </c>
      <c r="N1055">
        <v>1995</v>
      </c>
      <c r="T1055" t="s">
        <v>6546</v>
      </c>
      <c r="U1055" t="s">
        <v>6546</v>
      </c>
      <c r="V1055" t="s">
        <v>6546</v>
      </c>
      <c r="W1055">
        <v>402.53</v>
      </c>
      <c r="X1055">
        <v>402.53</v>
      </c>
      <c r="Y1055">
        <v>1220</v>
      </c>
      <c r="Z1055" t="s">
        <v>8842</v>
      </c>
      <c r="AB1055" t="s">
        <v>5529</v>
      </c>
      <c r="AC1055" t="s">
        <v>8844</v>
      </c>
      <c r="AE1055" t="s">
        <v>14315</v>
      </c>
      <c r="AF1055" t="s">
        <v>14316</v>
      </c>
      <c r="AH1055" t="s">
        <v>10024</v>
      </c>
      <c r="AI1055" t="s">
        <v>8844</v>
      </c>
      <c r="AL1055" t="s">
        <v>14317</v>
      </c>
      <c r="AO1055" t="s">
        <v>14318</v>
      </c>
    </row>
    <row r="1056" spans="1:41" hidden="1" x14ac:dyDescent="0.35">
      <c r="A1056" t="s">
        <v>14319</v>
      </c>
      <c r="B1056" t="s">
        <v>7246</v>
      </c>
      <c r="C1056" t="s">
        <v>423</v>
      </c>
      <c r="D1056" t="s">
        <v>423</v>
      </c>
      <c r="E1056" t="s">
        <v>423</v>
      </c>
      <c r="G1056" s="13" t="s">
        <v>14320</v>
      </c>
      <c r="H1056" t="s">
        <v>14321</v>
      </c>
      <c r="K1056" t="s">
        <v>9976</v>
      </c>
      <c r="L1056" t="s">
        <v>9976</v>
      </c>
      <c r="M1056" t="s">
        <v>7250</v>
      </c>
      <c r="N1056">
        <v>1953</v>
      </c>
      <c r="T1056" t="s">
        <v>6546</v>
      </c>
      <c r="U1056" t="s">
        <v>6546</v>
      </c>
      <c r="V1056">
        <v>170</v>
      </c>
      <c r="W1056">
        <v>159.12</v>
      </c>
      <c r="X1056">
        <v>170</v>
      </c>
      <c r="Y1056">
        <v>325</v>
      </c>
      <c r="Z1056" t="s">
        <v>8842</v>
      </c>
      <c r="AB1056" t="s">
        <v>14257</v>
      </c>
      <c r="AC1056" t="s">
        <v>8844</v>
      </c>
      <c r="AE1056" t="s">
        <v>14057</v>
      </c>
      <c r="AF1056" t="s">
        <v>14322</v>
      </c>
      <c r="AH1056" t="s">
        <v>14057</v>
      </c>
      <c r="AI1056" t="s">
        <v>8844</v>
      </c>
      <c r="AL1056" t="s">
        <v>14323</v>
      </c>
      <c r="AO1056" t="s">
        <v>14324</v>
      </c>
    </row>
    <row r="1057" spans="1:41" hidden="1" x14ac:dyDescent="0.35">
      <c r="A1057" t="s">
        <v>14325</v>
      </c>
      <c r="B1057" t="s">
        <v>7246</v>
      </c>
      <c r="C1057" t="s">
        <v>423</v>
      </c>
      <c r="D1057" t="s">
        <v>423</v>
      </c>
      <c r="E1057" t="s">
        <v>423</v>
      </c>
      <c r="G1057" s="13" t="s">
        <v>14326</v>
      </c>
      <c r="H1057" t="s">
        <v>14327</v>
      </c>
      <c r="K1057" t="s">
        <v>9848</v>
      </c>
      <c r="L1057" t="s">
        <v>9848</v>
      </c>
      <c r="M1057" t="s">
        <v>7292</v>
      </c>
      <c r="R1057">
        <v>37</v>
      </c>
      <c r="S1057" t="s">
        <v>8257</v>
      </c>
      <c r="T1057">
        <v>37</v>
      </c>
      <c r="U1057">
        <v>17219.189999999999</v>
      </c>
      <c r="V1057">
        <v>1365</v>
      </c>
      <c r="W1057">
        <v>960.9</v>
      </c>
      <c r="X1057">
        <v>1365</v>
      </c>
      <c r="Y1057">
        <v>55.91</v>
      </c>
      <c r="Z1057" t="s">
        <v>7253</v>
      </c>
      <c r="AB1057" t="s">
        <v>9878</v>
      </c>
      <c r="AC1057" t="s">
        <v>8844</v>
      </c>
      <c r="AE1057" t="s">
        <v>14217</v>
      </c>
      <c r="AG1057" t="s">
        <v>14328</v>
      </c>
      <c r="AH1057" t="s">
        <v>14329</v>
      </c>
      <c r="AI1057" t="s">
        <v>8844</v>
      </c>
      <c r="AL1057" t="s">
        <v>14330</v>
      </c>
      <c r="AO1057" t="s">
        <v>14331</v>
      </c>
    </row>
    <row r="1058" spans="1:41" hidden="1" x14ac:dyDescent="0.35">
      <c r="A1058" t="s">
        <v>14332</v>
      </c>
      <c r="B1058" t="s">
        <v>7246</v>
      </c>
      <c r="C1058" t="s">
        <v>451</v>
      </c>
      <c r="D1058" t="s">
        <v>451</v>
      </c>
      <c r="E1058" t="s">
        <v>451</v>
      </c>
      <c r="G1058" s="13" t="s">
        <v>8499</v>
      </c>
      <c r="H1058" t="s">
        <v>8500</v>
      </c>
      <c r="I1058" t="s">
        <v>12786</v>
      </c>
      <c r="K1058" t="s">
        <v>14333</v>
      </c>
      <c r="L1058" t="s">
        <v>14333</v>
      </c>
      <c r="M1058" t="s">
        <v>7250</v>
      </c>
      <c r="N1058">
        <v>2018</v>
      </c>
      <c r="R1058">
        <v>1550</v>
      </c>
      <c r="S1058" t="s">
        <v>7251</v>
      </c>
      <c r="T1058">
        <v>16.03</v>
      </c>
      <c r="U1058">
        <v>7460.67</v>
      </c>
      <c r="V1058">
        <v>0</v>
      </c>
      <c r="W1058" t="s">
        <v>6546</v>
      </c>
      <c r="X1058">
        <v>0</v>
      </c>
      <c r="AC1058" t="s">
        <v>7255</v>
      </c>
      <c r="AE1058" t="s">
        <v>533</v>
      </c>
      <c r="AH1058" t="s">
        <v>556</v>
      </c>
      <c r="AI1058" t="s">
        <v>7255</v>
      </c>
      <c r="AO1058" t="s">
        <v>6546</v>
      </c>
    </row>
    <row r="1059" spans="1:41" hidden="1" x14ac:dyDescent="0.35">
      <c r="A1059" t="s">
        <v>14334</v>
      </c>
      <c r="B1059" t="s">
        <v>7246</v>
      </c>
      <c r="C1059" t="s">
        <v>423</v>
      </c>
      <c r="D1059" t="s">
        <v>423</v>
      </c>
      <c r="E1059" t="s">
        <v>423</v>
      </c>
      <c r="G1059" s="13" t="s">
        <v>14335</v>
      </c>
      <c r="H1059" t="s">
        <v>14336</v>
      </c>
      <c r="K1059" t="s">
        <v>9976</v>
      </c>
      <c r="L1059" t="s">
        <v>9976</v>
      </c>
      <c r="M1059" t="s">
        <v>7250</v>
      </c>
      <c r="N1059">
        <v>1986</v>
      </c>
      <c r="T1059" t="s">
        <v>6546</v>
      </c>
      <c r="U1059" t="s">
        <v>6546</v>
      </c>
      <c r="V1059">
        <v>1780</v>
      </c>
      <c r="W1059">
        <v>1744.44</v>
      </c>
      <c r="X1059">
        <v>1780</v>
      </c>
      <c r="Y1059">
        <v>1420</v>
      </c>
      <c r="Z1059" t="s">
        <v>8842</v>
      </c>
      <c r="AA1059" t="s">
        <v>10023</v>
      </c>
      <c r="AB1059" t="s">
        <v>10133</v>
      </c>
      <c r="AC1059" t="s">
        <v>8844</v>
      </c>
      <c r="AE1059" t="s">
        <v>13851</v>
      </c>
      <c r="AF1059" t="s">
        <v>5472</v>
      </c>
      <c r="AH1059" t="s">
        <v>13908</v>
      </c>
      <c r="AI1059" t="s">
        <v>8844</v>
      </c>
      <c r="AO1059" t="s">
        <v>14337</v>
      </c>
    </row>
    <row r="1060" spans="1:41" hidden="1" x14ac:dyDescent="0.35">
      <c r="A1060" t="s">
        <v>14338</v>
      </c>
      <c r="B1060" t="s">
        <v>7246</v>
      </c>
      <c r="C1060" t="s">
        <v>423</v>
      </c>
      <c r="D1060" t="s">
        <v>5775</v>
      </c>
      <c r="E1060" t="s">
        <v>14339</v>
      </c>
      <c r="G1060" s="13" t="s">
        <v>14340</v>
      </c>
      <c r="H1060" t="s">
        <v>14341</v>
      </c>
      <c r="K1060" t="s">
        <v>9976</v>
      </c>
      <c r="L1060" t="s">
        <v>9976</v>
      </c>
      <c r="M1060" t="s">
        <v>7250</v>
      </c>
      <c r="N1060">
        <v>1972</v>
      </c>
      <c r="T1060" t="s">
        <v>6546</v>
      </c>
      <c r="U1060" t="s">
        <v>6546</v>
      </c>
      <c r="V1060">
        <v>365</v>
      </c>
      <c r="W1060">
        <v>580.12</v>
      </c>
      <c r="X1060">
        <v>365</v>
      </c>
      <c r="Y1060">
        <v>1000</v>
      </c>
      <c r="Z1060" t="s">
        <v>8842</v>
      </c>
      <c r="AB1060" t="s">
        <v>14342</v>
      </c>
      <c r="AC1060" t="s">
        <v>8844</v>
      </c>
      <c r="AE1060" t="s">
        <v>14310</v>
      </c>
      <c r="AF1060" t="s">
        <v>7152</v>
      </c>
      <c r="AH1060" t="s">
        <v>5775</v>
      </c>
      <c r="AI1060" t="s">
        <v>8777</v>
      </c>
      <c r="AL1060" t="s">
        <v>14343</v>
      </c>
      <c r="AO1060" t="s">
        <v>14344</v>
      </c>
    </row>
    <row r="1061" spans="1:41" hidden="1" x14ac:dyDescent="0.35">
      <c r="A1061" t="s">
        <v>14345</v>
      </c>
      <c r="B1061" t="s">
        <v>7246</v>
      </c>
      <c r="C1061" t="s">
        <v>423</v>
      </c>
      <c r="D1061" t="s">
        <v>423</v>
      </c>
      <c r="E1061" t="s">
        <v>423</v>
      </c>
      <c r="G1061" s="13" t="s">
        <v>14346</v>
      </c>
      <c r="H1061" t="s">
        <v>14153</v>
      </c>
      <c r="I1061" t="s">
        <v>9875</v>
      </c>
      <c r="K1061" t="s">
        <v>9976</v>
      </c>
      <c r="L1061" t="s">
        <v>9976</v>
      </c>
      <c r="M1061" t="s">
        <v>7250</v>
      </c>
      <c r="N1061">
        <v>1988</v>
      </c>
      <c r="T1061" t="s">
        <v>6546</v>
      </c>
      <c r="U1061" t="s">
        <v>6546</v>
      </c>
      <c r="V1061">
        <v>2946</v>
      </c>
      <c r="W1061">
        <v>3040.59</v>
      </c>
      <c r="X1061">
        <v>2946</v>
      </c>
      <c r="Y1061" t="s">
        <v>14114</v>
      </c>
      <c r="Z1061" t="s">
        <v>8842</v>
      </c>
      <c r="AB1061" t="s">
        <v>14347</v>
      </c>
      <c r="AC1061" t="s">
        <v>8844</v>
      </c>
      <c r="AD1061" t="s">
        <v>14106</v>
      </c>
      <c r="AE1061" t="s">
        <v>13851</v>
      </c>
      <c r="AF1061" t="s">
        <v>5529</v>
      </c>
      <c r="AG1061" t="s">
        <v>14348</v>
      </c>
      <c r="AH1061" t="s">
        <v>14315</v>
      </c>
      <c r="AI1061" t="s">
        <v>8844</v>
      </c>
      <c r="AO1061" t="s">
        <v>14349</v>
      </c>
    </row>
    <row r="1062" spans="1:41" hidden="1" x14ac:dyDescent="0.35">
      <c r="A1062" t="s">
        <v>14350</v>
      </c>
      <c r="B1062" t="s">
        <v>7246</v>
      </c>
      <c r="C1062" t="s">
        <v>423</v>
      </c>
      <c r="D1062" t="s">
        <v>423</v>
      </c>
      <c r="E1062" t="s">
        <v>423</v>
      </c>
      <c r="G1062" s="13" t="s">
        <v>14351</v>
      </c>
      <c r="H1062" t="s">
        <v>14352</v>
      </c>
      <c r="K1062" t="s">
        <v>9976</v>
      </c>
      <c r="L1062" t="s">
        <v>9976</v>
      </c>
      <c r="M1062" t="s">
        <v>7250</v>
      </c>
      <c r="N1062">
        <v>1980</v>
      </c>
      <c r="T1062" t="s">
        <v>6546</v>
      </c>
      <c r="U1062" t="s">
        <v>6546</v>
      </c>
      <c r="V1062">
        <v>99</v>
      </c>
      <c r="W1062">
        <v>139.58000000000001</v>
      </c>
      <c r="X1062">
        <v>99</v>
      </c>
      <c r="Y1062">
        <v>530</v>
      </c>
      <c r="Z1062" t="s">
        <v>8842</v>
      </c>
      <c r="AB1062" t="s">
        <v>14353</v>
      </c>
      <c r="AC1062" t="s">
        <v>8844</v>
      </c>
      <c r="AE1062" t="s">
        <v>14117</v>
      </c>
      <c r="AF1062" t="s">
        <v>3636</v>
      </c>
      <c r="AH1062" t="s">
        <v>13827</v>
      </c>
      <c r="AI1062" t="s">
        <v>8844</v>
      </c>
      <c r="AO1062" t="s">
        <v>14354</v>
      </c>
    </row>
    <row r="1063" spans="1:41" hidden="1" x14ac:dyDescent="0.35">
      <c r="A1063" t="s">
        <v>14355</v>
      </c>
      <c r="B1063" t="s">
        <v>7246</v>
      </c>
      <c r="C1063" t="s">
        <v>423</v>
      </c>
      <c r="D1063" t="s">
        <v>423</v>
      </c>
      <c r="E1063" t="s">
        <v>423</v>
      </c>
      <c r="G1063" s="13" t="s">
        <v>14356</v>
      </c>
      <c r="H1063" t="s">
        <v>14357</v>
      </c>
      <c r="K1063" t="s">
        <v>9976</v>
      </c>
      <c r="L1063" t="s">
        <v>9976</v>
      </c>
      <c r="M1063" t="s">
        <v>7250</v>
      </c>
      <c r="N1063">
        <v>2004</v>
      </c>
      <c r="R1063">
        <v>100</v>
      </c>
      <c r="S1063" t="s">
        <v>8257</v>
      </c>
      <c r="T1063">
        <v>100</v>
      </c>
      <c r="U1063">
        <v>46538.34</v>
      </c>
      <c r="V1063">
        <v>590</v>
      </c>
      <c r="W1063">
        <v>183.19</v>
      </c>
      <c r="X1063">
        <v>590</v>
      </c>
      <c r="Y1063">
        <v>1420</v>
      </c>
      <c r="Z1063" t="s">
        <v>8842</v>
      </c>
      <c r="AA1063" t="s">
        <v>14358</v>
      </c>
      <c r="AB1063" t="s">
        <v>14359</v>
      </c>
      <c r="AC1063" t="s">
        <v>8844</v>
      </c>
      <c r="AE1063" t="s">
        <v>13851</v>
      </c>
      <c r="AF1063" t="s">
        <v>14360</v>
      </c>
      <c r="AH1063" t="s">
        <v>14361</v>
      </c>
      <c r="AI1063" t="s">
        <v>8844</v>
      </c>
      <c r="AO1063" t="s">
        <v>14362</v>
      </c>
    </row>
    <row r="1064" spans="1:41" hidden="1" x14ac:dyDescent="0.35">
      <c r="A1064" t="s">
        <v>14363</v>
      </c>
      <c r="B1064" t="s">
        <v>7246</v>
      </c>
      <c r="C1064" t="s">
        <v>5844</v>
      </c>
      <c r="D1064" t="s">
        <v>5796</v>
      </c>
      <c r="E1064" t="s">
        <v>14364</v>
      </c>
      <c r="G1064" s="13" t="s">
        <v>14365</v>
      </c>
      <c r="H1064" t="s">
        <v>14366</v>
      </c>
      <c r="K1064" t="s">
        <v>14367</v>
      </c>
      <c r="L1064" t="s">
        <v>14367</v>
      </c>
      <c r="M1064" t="s">
        <v>7292</v>
      </c>
      <c r="N1064">
        <v>2023</v>
      </c>
      <c r="R1064">
        <v>42.35</v>
      </c>
      <c r="S1064" t="s">
        <v>12003</v>
      </c>
      <c r="T1064">
        <v>1.56</v>
      </c>
      <c r="U1064">
        <v>725.63</v>
      </c>
      <c r="V1064">
        <v>93.7</v>
      </c>
      <c r="W1064">
        <v>34.83</v>
      </c>
      <c r="X1064">
        <v>93.7</v>
      </c>
      <c r="Y1064" t="s">
        <v>14368</v>
      </c>
      <c r="Z1064" t="s">
        <v>7253</v>
      </c>
      <c r="AB1064" t="s">
        <v>14369</v>
      </c>
      <c r="AC1064" t="s">
        <v>8777</v>
      </c>
      <c r="AF1064" t="s">
        <v>12923</v>
      </c>
      <c r="AI1064" t="s">
        <v>8777</v>
      </c>
      <c r="AJ1064" t="s">
        <v>9032</v>
      </c>
      <c r="AO1064" t="s">
        <v>14370</v>
      </c>
    </row>
    <row r="1065" spans="1:41" hidden="1" x14ac:dyDescent="0.35">
      <c r="A1065" t="s">
        <v>14371</v>
      </c>
      <c r="B1065" t="s">
        <v>7246</v>
      </c>
      <c r="C1065" t="s">
        <v>5844</v>
      </c>
      <c r="D1065" t="s">
        <v>5844</v>
      </c>
      <c r="E1065" t="s">
        <v>5844</v>
      </c>
      <c r="G1065" s="13" t="s">
        <v>14372</v>
      </c>
      <c r="H1065" t="s">
        <v>14373</v>
      </c>
      <c r="K1065" t="s">
        <v>14374</v>
      </c>
      <c r="L1065" t="s">
        <v>14374</v>
      </c>
      <c r="M1065" t="s">
        <v>7292</v>
      </c>
      <c r="N1065">
        <v>2022</v>
      </c>
      <c r="T1065" t="s">
        <v>6546</v>
      </c>
      <c r="U1065" t="s">
        <v>6546</v>
      </c>
      <c r="V1065">
        <v>115</v>
      </c>
      <c r="W1065">
        <v>128.71</v>
      </c>
      <c r="X1065">
        <v>115</v>
      </c>
      <c r="Y1065">
        <v>23.6</v>
      </c>
      <c r="Z1065" t="s">
        <v>7253</v>
      </c>
      <c r="AC1065" t="s">
        <v>8777</v>
      </c>
      <c r="AI1065" t="s">
        <v>8777</v>
      </c>
      <c r="AJ1065" t="s">
        <v>9032</v>
      </c>
      <c r="AO1065" t="s">
        <v>14375</v>
      </c>
    </row>
    <row r="1066" spans="1:41" hidden="1" x14ac:dyDescent="0.35">
      <c r="A1066" t="s">
        <v>14376</v>
      </c>
      <c r="B1066" t="s">
        <v>7246</v>
      </c>
      <c r="C1066" t="s">
        <v>5844</v>
      </c>
      <c r="D1066" t="s">
        <v>5844</v>
      </c>
      <c r="E1066" t="s">
        <v>5844</v>
      </c>
      <c r="G1066" s="13" t="s">
        <v>14377</v>
      </c>
      <c r="H1066" t="s">
        <v>14378</v>
      </c>
      <c r="J1066" t="s">
        <v>14379</v>
      </c>
      <c r="K1066" t="s">
        <v>14374</v>
      </c>
      <c r="L1066" t="s">
        <v>14374</v>
      </c>
      <c r="M1066" t="s">
        <v>7415</v>
      </c>
      <c r="N1066">
        <v>2023</v>
      </c>
      <c r="T1066" t="s">
        <v>6546</v>
      </c>
      <c r="U1066" t="s">
        <v>6546</v>
      </c>
      <c r="V1066">
        <v>105</v>
      </c>
      <c r="W1066">
        <v>78.44</v>
      </c>
      <c r="X1066">
        <v>105</v>
      </c>
      <c r="Y1066">
        <v>11.8</v>
      </c>
      <c r="Z1066" t="s">
        <v>7253</v>
      </c>
      <c r="AB1066" t="s">
        <v>14380</v>
      </c>
      <c r="AC1066" t="s">
        <v>8777</v>
      </c>
      <c r="AF1066" t="s">
        <v>14381</v>
      </c>
      <c r="AI1066" t="s">
        <v>8777</v>
      </c>
      <c r="AJ1066" t="s">
        <v>6407</v>
      </c>
      <c r="AO1066" t="s">
        <v>14382</v>
      </c>
    </row>
    <row r="1067" spans="1:41" hidden="1" x14ac:dyDescent="0.35">
      <c r="A1067" t="s">
        <v>14383</v>
      </c>
      <c r="B1067" t="s">
        <v>7246</v>
      </c>
      <c r="C1067" t="s">
        <v>5705</v>
      </c>
      <c r="D1067" t="s">
        <v>5705</v>
      </c>
      <c r="E1067" t="s">
        <v>5705</v>
      </c>
      <c r="G1067" s="13" t="s">
        <v>14384</v>
      </c>
      <c r="H1067" t="s">
        <v>14385</v>
      </c>
      <c r="K1067" t="s">
        <v>14386</v>
      </c>
      <c r="L1067" t="s">
        <v>14386</v>
      </c>
      <c r="M1067" t="s">
        <v>7731</v>
      </c>
      <c r="N1067">
        <v>2022</v>
      </c>
      <c r="T1067" t="s">
        <v>6546</v>
      </c>
      <c r="U1067" t="s">
        <v>6546</v>
      </c>
      <c r="V1067">
        <v>80</v>
      </c>
      <c r="W1067">
        <v>76.38</v>
      </c>
      <c r="X1067">
        <v>80</v>
      </c>
      <c r="Y1067">
        <v>49.7</v>
      </c>
      <c r="Z1067" t="s">
        <v>7253</v>
      </c>
      <c r="AB1067" t="s">
        <v>14387</v>
      </c>
      <c r="AC1067" t="s">
        <v>8777</v>
      </c>
      <c r="AE1067" t="s">
        <v>9801</v>
      </c>
      <c r="AF1067" t="s">
        <v>9801</v>
      </c>
      <c r="AI1067" t="s">
        <v>8777</v>
      </c>
      <c r="AO1067" t="s">
        <v>14388</v>
      </c>
    </row>
    <row r="1068" spans="1:41" hidden="1" x14ac:dyDescent="0.35">
      <c r="A1068" t="s">
        <v>14389</v>
      </c>
      <c r="B1068" t="s">
        <v>7246</v>
      </c>
      <c r="C1068" t="s">
        <v>5851</v>
      </c>
      <c r="D1068" t="s">
        <v>5851</v>
      </c>
      <c r="E1068" t="s">
        <v>5858</v>
      </c>
      <c r="G1068" s="13" t="s">
        <v>14390</v>
      </c>
      <c r="H1068" t="s">
        <v>14391</v>
      </c>
      <c r="K1068" t="s">
        <v>11986</v>
      </c>
      <c r="L1068" t="s">
        <v>11987</v>
      </c>
      <c r="M1068" t="s">
        <v>7292</v>
      </c>
      <c r="N1068">
        <v>2022</v>
      </c>
      <c r="O1068">
        <v>2024</v>
      </c>
      <c r="T1068" t="s">
        <v>6546</v>
      </c>
      <c r="U1068" t="s">
        <v>6546</v>
      </c>
      <c r="V1068">
        <v>66</v>
      </c>
      <c r="W1068">
        <v>76.97</v>
      </c>
      <c r="X1068">
        <v>66</v>
      </c>
      <c r="Y1068">
        <v>15.8</v>
      </c>
      <c r="Z1068" t="s">
        <v>7253</v>
      </c>
      <c r="AB1068" t="s">
        <v>12009</v>
      </c>
      <c r="AC1068" t="s">
        <v>8777</v>
      </c>
      <c r="AF1068" t="s">
        <v>14392</v>
      </c>
      <c r="AI1068" t="s">
        <v>8777</v>
      </c>
      <c r="AJ1068" t="s">
        <v>9032</v>
      </c>
      <c r="AO1068" t="s">
        <v>14393</v>
      </c>
    </row>
    <row r="1069" spans="1:41" hidden="1" x14ac:dyDescent="0.35">
      <c r="A1069" t="s">
        <v>14394</v>
      </c>
      <c r="B1069" t="s">
        <v>7246</v>
      </c>
      <c r="C1069" t="s">
        <v>431</v>
      </c>
      <c r="D1069" t="s">
        <v>431</v>
      </c>
      <c r="E1069" t="s">
        <v>431</v>
      </c>
      <c r="G1069" s="13" t="s">
        <v>13712</v>
      </c>
      <c r="H1069" t="s">
        <v>13713</v>
      </c>
      <c r="I1069" t="s">
        <v>14395</v>
      </c>
      <c r="J1069" t="s">
        <v>14396</v>
      </c>
      <c r="K1069" t="s">
        <v>13716</v>
      </c>
      <c r="L1069" t="s">
        <v>13716</v>
      </c>
      <c r="M1069" t="s">
        <v>7292</v>
      </c>
      <c r="T1069" t="s">
        <v>6546</v>
      </c>
      <c r="U1069" t="s">
        <v>6546</v>
      </c>
      <c r="V1069" t="s">
        <v>6546</v>
      </c>
      <c r="W1069">
        <v>820.46</v>
      </c>
      <c r="X1069">
        <v>820.46</v>
      </c>
      <c r="AB1069" t="s">
        <v>14397</v>
      </c>
      <c r="AC1069" t="s">
        <v>8765</v>
      </c>
      <c r="AE1069" t="s">
        <v>14398</v>
      </c>
      <c r="AF1069" t="s">
        <v>13690</v>
      </c>
      <c r="AH1069" t="s">
        <v>3691</v>
      </c>
      <c r="AI1069" t="s">
        <v>8765</v>
      </c>
      <c r="AO1069" t="s">
        <v>14399</v>
      </c>
    </row>
    <row r="1070" spans="1:41" hidden="1" x14ac:dyDescent="0.35">
      <c r="A1070" t="s">
        <v>14400</v>
      </c>
      <c r="B1070" t="s">
        <v>7246</v>
      </c>
      <c r="C1070" t="s">
        <v>431</v>
      </c>
      <c r="D1070" t="s">
        <v>431</v>
      </c>
      <c r="E1070" t="s">
        <v>431</v>
      </c>
      <c r="G1070" s="13" t="s">
        <v>13712</v>
      </c>
      <c r="H1070" t="s">
        <v>13713</v>
      </c>
      <c r="I1070" t="s">
        <v>14401</v>
      </c>
      <c r="J1070" t="s">
        <v>14402</v>
      </c>
      <c r="K1070" t="s">
        <v>13716</v>
      </c>
      <c r="L1070" t="s">
        <v>13716</v>
      </c>
      <c r="M1070" t="s">
        <v>7292</v>
      </c>
      <c r="T1070" t="s">
        <v>6546</v>
      </c>
      <c r="U1070" t="s">
        <v>6546</v>
      </c>
      <c r="V1070" t="s">
        <v>6546</v>
      </c>
      <c r="W1070">
        <v>332.44</v>
      </c>
      <c r="X1070">
        <v>332.44</v>
      </c>
      <c r="AB1070" t="s">
        <v>2670</v>
      </c>
      <c r="AC1070" t="s">
        <v>8765</v>
      </c>
      <c r="AE1070" t="s">
        <v>3694</v>
      </c>
      <c r="AF1070" t="s">
        <v>14397</v>
      </c>
      <c r="AH1070" t="s">
        <v>14398</v>
      </c>
      <c r="AI1070" t="s">
        <v>8765</v>
      </c>
      <c r="AO1070" t="s">
        <v>14403</v>
      </c>
    </row>
    <row r="1071" spans="1:41" hidden="1" x14ac:dyDescent="0.35">
      <c r="A1071" t="s">
        <v>14404</v>
      </c>
      <c r="B1071" t="s">
        <v>7246</v>
      </c>
      <c r="C1071" t="s">
        <v>431</v>
      </c>
      <c r="D1071" t="s">
        <v>431</v>
      </c>
      <c r="E1071" t="s">
        <v>431</v>
      </c>
      <c r="G1071" s="13" t="s">
        <v>13712</v>
      </c>
      <c r="H1071" t="s">
        <v>13713</v>
      </c>
      <c r="I1071" t="s">
        <v>14405</v>
      </c>
      <c r="J1071" t="s">
        <v>14406</v>
      </c>
      <c r="K1071" t="s">
        <v>13716</v>
      </c>
      <c r="L1071" t="s">
        <v>13716</v>
      </c>
      <c r="M1071" t="s">
        <v>7292</v>
      </c>
      <c r="T1071" t="s">
        <v>6546</v>
      </c>
      <c r="U1071" t="s">
        <v>6546</v>
      </c>
      <c r="V1071" t="s">
        <v>6546</v>
      </c>
      <c r="W1071">
        <v>514.62</v>
      </c>
      <c r="X1071">
        <v>514.62</v>
      </c>
      <c r="AB1071" t="s">
        <v>13690</v>
      </c>
      <c r="AC1071" t="s">
        <v>8765</v>
      </c>
      <c r="AE1071" t="s">
        <v>3691</v>
      </c>
      <c r="AF1071" t="s">
        <v>14407</v>
      </c>
      <c r="AH1071" t="s">
        <v>14408</v>
      </c>
      <c r="AI1071" t="s">
        <v>8765</v>
      </c>
      <c r="AO1071" t="s">
        <v>14409</v>
      </c>
    </row>
    <row r="1072" spans="1:41" hidden="1" x14ac:dyDescent="0.35">
      <c r="A1072" t="s">
        <v>14410</v>
      </c>
      <c r="B1072" t="s">
        <v>7246</v>
      </c>
      <c r="C1072" t="s">
        <v>431</v>
      </c>
      <c r="D1072" t="s">
        <v>431</v>
      </c>
      <c r="E1072" t="s">
        <v>431</v>
      </c>
      <c r="G1072" s="13" t="s">
        <v>13712</v>
      </c>
      <c r="H1072" t="s">
        <v>13713</v>
      </c>
      <c r="I1072" t="s">
        <v>14411</v>
      </c>
      <c r="J1072" t="s">
        <v>14412</v>
      </c>
      <c r="K1072" t="s">
        <v>13716</v>
      </c>
      <c r="L1072" t="s">
        <v>13716</v>
      </c>
      <c r="M1072" t="s">
        <v>7292</v>
      </c>
      <c r="T1072" t="s">
        <v>6546</v>
      </c>
      <c r="U1072" t="s">
        <v>6546</v>
      </c>
      <c r="V1072" t="s">
        <v>6546</v>
      </c>
      <c r="W1072">
        <v>79.14</v>
      </c>
      <c r="X1072">
        <v>79.14</v>
      </c>
      <c r="AB1072" t="s">
        <v>14413</v>
      </c>
      <c r="AC1072" t="s">
        <v>8765</v>
      </c>
      <c r="AE1072" t="s">
        <v>3694</v>
      </c>
      <c r="AF1072" t="s">
        <v>14414</v>
      </c>
      <c r="AH1072" t="s">
        <v>3694</v>
      </c>
      <c r="AI1072" t="s">
        <v>8765</v>
      </c>
      <c r="AO1072" t="s">
        <v>14415</v>
      </c>
    </row>
    <row r="1073" spans="1:41" hidden="1" x14ac:dyDescent="0.35">
      <c r="A1073" t="s">
        <v>14416</v>
      </c>
      <c r="B1073" t="s">
        <v>7246</v>
      </c>
      <c r="C1073" t="s">
        <v>431</v>
      </c>
      <c r="D1073" t="s">
        <v>431</v>
      </c>
      <c r="E1073" t="s">
        <v>431</v>
      </c>
      <c r="G1073" s="13" t="s">
        <v>13712</v>
      </c>
      <c r="H1073" t="s">
        <v>13713</v>
      </c>
      <c r="I1073" t="s">
        <v>14417</v>
      </c>
      <c r="J1073" t="s">
        <v>14418</v>
      </c>
      <c r="K1073" t="s">
        <v>13716</v>
      </c>
      <c r="L1073" t="s">
        <v>13716</v>
      </c>
      <c r="M1073" t="s">
        <v>7292</v>
      </c>
      <c r="T1073" t="s">
        <v>6546</v>
      </c>
      <c r="U1073" t="s">
        <v>6546</v>
      </c>
      <c r="V1073" t="s">
        <v>6546</v>
      </c>
      <c r="W1073">
        <v>400.32</v>
      </c>
      <c r="X1073">
        <v>400.32</v>
      </c>
      <c r="AB1073" t="s">
        <v>14413</v>
      </c>
      <c r="AC1073" t="s">
        <v>8765</v>
      </c>
      <c r="AE1073" t="s">
        <v>3694</v>
      </c>
      <c r="AF1073" t="s">
        <v>2670</v>
      </c>
      <c r="AH1073" t="s">
        <v>3694</v>
      </c>
      <c r="AI1073" t="s">
        <v>8765</v>
      </c>
      <c r="AO1073" t="s">
        <v>14419</v>
      </c>
    </row>
    <row r="1074" spans="1:41" hidden="1" x14ac:dyDescent="0.35">
      <c r="A1074" t="s">
        <v>14420</v>
      </c>
      <c r="B1074" t="s">
        <v>7246</v>
      </c>
      <c r="C1074" t="s">
        <v>431</v>
      </c>
      <c r="D1074" t="s">
        <v>431</v>
      </c>
      <c r="E1074" t="s">
        <v>431</v>
      </c>
      <c r="G1074" s="13" t="s">
        <v>13712</v>
      </c>
      <c r="H1074" t="s">
        <v>13713</v>
      </c>
      <c r="I1074" t="s">
        <v>14421</v>
      </c>
      <c r="J1074" t="s">
        <v>14422</v>
      </c>
      <c r="K1074" t="s">
        <v>13716</v>
      </c>
      <c r="L1074" t="s">
        <v>13716</v>
      </c>
      <c r="M1074" t="s">
        <v>7292</v>
      </c>
      <c r="T1074" t="s">
        <v>6546</v>
      </c>
      <c r="U1074" t="s">
        <v>6546</v>
      </c>
      <c r="V1074" t="s">
        <v>6546</v>
      </c>
      <c r="W1074">
        <v>223.74</v>
      </c>
      <c r="X1074">
        <v>223.74</v>
      </c>
      <c r="AB1074" t="s">
        <v>13720</v>
      </c>
      <c r="AC1074" t="s">
        <v>8765</v>
      </c>
      <c r="AE1074" t="s">
        <v>13721</v>
      </c>
      <c r="AF1074" t="s">
        <v>14413</v>
      </c>
      <c r="AH1074" t="s">
        <v>3694</v>
      </c>
      <c r="AI1074" t="s">
        <v>8765</v>
      </c>
      <c r="AO1074" t="s">
        <v>14423</v>
      </c>
    </row>
    <row r="1075" spans="1:41" hidden="1" x14ac:dyDescent="0.35">
      <c r="A1075" t="s">
        <v>14424</v>
      </c>
      <c r="B1075" t="s">
        <v>7246</v>
      </c>
      <c r="C1075" t="s">
        <v>431</v>
      </c>
      <c r="D1075" t="s">
        <v>431</v>
      </c>
      <c r="E1075" t="s">
        <v>431</v>
      </c>
      <c r="G1075" s="13" t="s">
        <v>14425</v>
      </c>
      <c r="H1075" t="s">
        <v>14426</v>
      </c>
      <c r="K1075" t="s">
        <v>13716</v>
      </c>
      <c r="L1075" t="s">
        <v>13716</v>
      </c>
      <c r="M1075" t="s">
        <v>7250</v>
      </c>
      <c r="N1075">
        <v>1995</v>
      </c>
      <c r="R1075">
        <v>0.61</v>
      </c>
      <c r="S1075" t="s">
        <v>8257</v>
      </c>
      <c r="T1075">
        <v>0.61</v>
      </c>
      <c r="U1075">
        <v>283.88</v>
      </c>
      <c r="V1075">
        <v>600</v>
      </c>
      <c r="W1075">
        <v>412.93</v>
      </c>
      <c r="X1075">
        <v>600</v>
      </c>
      <c r="Y1075">
        <v>18</v>
      </c>
      <c r="Z1075" t="s">
        <v>7253</v>
      </c>
      <c r="AB1075" t="s">
        <v>14427</v>
      </c>
      <c r="AC1075" t="s">
        <v>8765</v>
      </c>
      <c r="AE1075" t="s">
        <v>4104</v>
      </c>
      <c r="AF1075" t="s">
        <v>2662</v>
      </c>
      <c r="AH1075" t="s">
        <v>3691</v>
      </c>
      <c r="AI1075" t="s">
        <v>8765</v>
      </c>
      <c r="AO1075" t="s">
        <v>14428</v>
      </c>
    </row>
    <row r="1076" spans="1:41" hidden="1" x14ac:dyDescent="0.35">
      <c r="A1076" t="s">
        <v>14429</v>
      </c>
      <c r="B1076" t="s">
        <v>7246</v>
      </c>
      <c r="C1076" t="s">
        <v>5823</v>
      </c>
      <c r="D1076" t="s">
        <v>5823</v>
      </c>
      <c r="E1076" t="s">
        <v>5823</v>
      </c>
      <c r="G1076" s="13" t="s">
        <v>14430</v>
      </c>
      <c r="H1076" t="s">
        <v>14431</v>
      </c>
      <c r="K1076" t="s">
        <v>11805</v>
      </c>
      <c r="L1076" t="s">
        <v>11806</v>
      </c>
      <c r="M1076" t="s">
        <v>7269</v>
      </c>
      <c r="N1076">
        <v>2028</v>
      </c>
      <c r="T1076" t="s">
        <v>6546</v>
      </c>
      <c r="U1076" t="s">
        <v>6546</v>
      </c>
      <c r="V1076">
        <v>67</v>
      </c>
      <c r="W1076">
        <v>75.8</v>
      </c>
      <c r="X1076">
        <v>67</v>
      </c>
      <c r="Y1076">
        <v>19.600000000000001</v>
      </c>
      <c r="Z1076" t="s">
        <v>7253</v>
      </c>
      <c r="AB1076" t="s">
        <v>14432</v>
      </c>
      <c r="AC1076" t="s">
        <v>8777</v>
      </c>
      <c r="AF1076" t="s">
        <v>14433</v>
      </c>
      <c r="AI1076" t="s">
        <v>8777</v>
      </c>
      <c r="AO1076" t="s">
        <v>14434</v>
      </c>
    </row>
    <row r="1077" spans="1:41" hidden="1" x14ac:dyDescent="0.35">
      <c r="A1077" t="s">
        <v>14435</v>
      </c>
      <c r="B1077" t="s">
        <v>7246</v>
      </c>
      <c r="C1077" t="s">
        <v>441</v>
      </c>
      <c r="D1077" t="s">
        <v>441</v>
      </c>
      <c r="E1077" t="s">
        <v>441</v>
      </c>
      <c r="G1077" s="13" t="s">
        <v>14436</v>
      </c>
      <c r="H1077" t="s">
        <v>14437</v>
      </c>
      <c r="J1077" t="s">
        <v>14438</v>
      </c>
      <c r="K1077" t="s">
        <v>6633</v>
      </c>
      <c r="L1077" t="s">
        <v>6633</v>
      </c>
      <c r="M1077" t="s">
        <v>7250</v>
      </c>
      <c r="N1077">
        <v>2002</v>
      </c>
      <c r="T1077" t="s">
        <v>6546</v>
      </c>
      <c r="U1077" t="s">
        <v>6546</v>
      </c>
      <c r="V1077">
        <v>420</v>
      </c>
      <c r="W1077">
        <v>342.46</v>
      </c>
      <c r="X1077">
        <v>420</v>
      </c>
      <c r="Y1077">
        <v>26</v>
      </c>
      <c r="Z1077" t="s">
        <v>7253</v>
      </c>
      <c r="AA1077" t="s">
        <v>14439</v>
      </c>
      <c r="AB1077" t="s">
        <v>14440</v>
      </c>
      <c r="AC1077" t="s">
        <v>9852</v>
      </c>
      <c r="AF1077" t="s">
        <v>14441</v>
      </c>
      <c r="AI1077" t="s">
        <v>9852</v>
      </c>
      <c r="AO1077" t="s">
        <v>14442</v>
      </c>
    </row>
    <row r="1078" spans="1:41" hidden="1" x14ac:dyDescent="0.35">
      <c r="A1078" t="s">
        <v>14443</v>
      </c>
      <c r="B1078" t="s">
        <v>7246</v>
      </c>
      <c r="C1078" t="s">
        <v>441</v>
      </c>
      <c r="D1078" t="s">
        <v>441</v>
      </c>
      <c r="E1078" t="s">
        <v>441</v>
      </c>
      <c r="G1078" s="13" t="s">
        <v>14444</v>
      </c>
      <c r="H1078" t="s">
        <v>14445</v>
      </c>
      <c r="J1078" t="s">
        <v>14446</v>
      </c>
      <c r="K1078" t="s">
        <v>6633</v>
      </c>
      <c r="L1078" t="s">
        <v>6633</v>
      </c>
      <c r="M1078" t="s">
        <v>7250</v>
      </c>
      <c r="T1078" t="s">
        <v>6546</v>
      </c>
      <c r="U1078" t="s">
        <v>6546</v>
      </c>
      <c r="V1078">
        <v>60</v>
      </c>
      <c r="W1078">
        <v>32.020000000000003</v>
      </c>
      <c r="X1078">
        <v>60</v>
      </c>
      <c r="Y1078">
        <v>26</v>
      </c>
      <c r="Z1078" t="s">
        <v>7253</v>
      </c>
      <c r="AA1078" t="s">
        <v>14439</v>
      </c>
      <c r="AB1078" t="s">
        <v>14440</v>
      </c>
      <c r="AC1078" t="s">
        <v>9852</v>
      </c>
      <c r="AF1078" t="s">
        <v>14447</v>
      </c>
      <c r="AI1078" t="s">
        <v>9852</v>
      </c>
      <c r="AO1078" t="s">
        <v>14448</v>
      </c>
    </row>
    <row r="1079" spans="1:41" hidden="1" x14ac:dyDescent="0.35">
      <c r="A1079" t="s">
        <v>14449</v>
      </c>
      <c r="B1079" t="s">
        <v>7246</v>
      </c>
      <c r="C1079" t="s">
        <v>5295</v>
      </c>
      <c r="D1079" t="s">
        <v>5295</v>
      </c>
      <c r="E1079" t="s">
        <v>5295</v>
      </c>
      <c r="G1079" s="13" t="s">
        <v>14450</v>
      </c>
      <c r="H1079" t="s">
        <v>14451</v>
      </c>
      <c r="K1079" t="s">
        <v>11024</v>
      </c>
      <c r="L1079" t="s">
        <v>11024</v>
      </c>
      <c r="M1079" t="s">
        <v>7292</v>
      </c>
      <c r="T1079" t="s">
        <v>6546</v>
      </c>
      <c r="U1079" t="s">
        <v>6546</v>
      </c>
      <c r="V1079" t="s">
        <v>6546</v>
      </c>
      <c r="W1079">
        <v>203.66</v>
      </c>
      <c r="X1079">
        <v>203.66</v>
      </c>
      <c r="AB1079" t="s">
        <v>14452</v>
      </c>
      <c r="AC1079" t="s">
        <v>10816</v>
      </c>
      <c r="AF1079" t="s">
        <v>14453</v>
      </c>
      <c r="AH1079" t="s">
        <v>14453</v>
      </c>
      <c r="AI1079" t="s">
        <v>10816</v>
      </c>
      <c r="AO1079" t="s">
        <v>14454</v>
      </c>
    </row>
    <row r="1080" spans="1:41" hidden="1" x14ac:dyDescent="0.35">
      <c r="A1080" t="s">
        <v>14455</v>
      </c>
      <c r="B1080" t="s">
        <v>7246</v>
      </c>
      <c r="C1080" t="s">
        <v>5295</v>
      </c>
      <c r="D1080" t="s">
        <v>5295</v>
      </c>
      <c r="E1080" t="s">
        <v>5295</v>
      </c>
      <c r="G1080" s="13" t="s">
        <v>14456</v>
      </c>
      <c r="H1080" t="s">
        <v>14457</v>
      </c>
      <c r="K1080" t="s">
        <v>11024</v>
      </c>
      <c r="L1080" t="s">
        <v>11024</v>
      </c>
      <c r="M1080" t="s">
        <v>7415</v>
      </c>
      <c r="N1080">
        <v>2022</v>
      </c>
      <c r="T1080" t="s">
        <v>6546</v>
      </c>
      <c r="U1080" t="s">
        <v>6546</v>
      </c>
      <c r="V1080">
        <v>119</v>
      </c>
      <c r="W1080">
        <v>119.73</v>
      </c>
      <c r="X1080">
        <v>119</v>
      </c>
      <c r="Y1080">
        <v>30</v>
      </c>
      <c r="Z1080" t="s">
        <v>7253</v>
      </c>
      <c r="AA1080" t="s">
        <v>14458</v>
      </c>
      <c r="AC1080" t="s">
        <v>10816</v>
      </c>
      <c r="AE1080" t="s">
        <v>14459</v>
      </c>
      <c r="AH1080" t="s">
        <v>14459</v>
      </c>
      <c r="AI1080" t="s">
        <v>10816</v>
      </c>
      <c r="AO1080" t="s">
        <v>14460</v>
      </c>
    </row>
    <row r="1081" spans="1:41" hidden="1" x14ac:dyDescent="0.35">
      <c r="A1081" t="s">
        <v>14461</v>
      </c>
      <c r="B1081" t="s">
        <v>7246</v>
      </c>
      <c r="C1081" t="s">
        <v>5925</v>
      </c>
      <c r="D1081" t="s">
        <v>5925</v>
      </c>
      <c r="E1081" t="s">
        <v>5925</v>
      </c>
      <c r="G1081" s="13" t="s">
        <v>14462</v>
      </c>
      <c r="H1081" t="s">
        <v>14463</v>
      </c>
      <c r="K1081" t="s">
        <v>11744</v>
      </c>
      <c r="L1081" t="s">
        <v>11744</v>
      </c>
      <c r="M1081" t="s">
        <v>7250</v>
      </c>
      <c r="N1081">
        <v>2005</v>
      </c>
      <c r="T1081" t="s">
        <v>6546</v>
      </c>
      <c r="U1081" t="s">
        <v>6546</v>
      </c>
      <c r="V1081">
        <v>722</v>
      </c>
      <c r="W1081">
        <v>570.63</v>
      </c>
      <c r="X1081">
        <v>722</v>
      </c>
      <c r="Y1081" t="s">
        <v>14464</v>
      </c>
      <c r="Z1081" t="s">
        <v>7253</v>
      </c>
      <c r="AC1081" t="s">
        <v>8777</v>
      </c>
      <c r="AI1081" t="s">
        <v>8777</v>
      </c>
      <c r="AO1081" t="s">
        <v>14465</v>
      </c>
    </row>
    <row r="1082" spans="1:41" hidden="1" x14ac:dyDescent="0.35">
      <c r="A1082" t="s">
        <v>14466</v>
      </c>
      <c r="B1082" t="s">
        <v>7246</v>
      </c>
      <c r="C1082" t="s">
        <v>5925</v>
      </c>
      <c r="D1082" t="s">
        <v>5925</v>
      </c>
      <c r="E1082" t="s">
        <v>5925</v>
      </c>
      <c r="G1082" s="13" t="s">
        <v>14467</v>
      </c>
      <c r="H1082" t="s">
        <v>14468</v>
      </c>
      <c r="K1082" t="s">
        <v>11744</v>
      </c>
      <c r="L1082" t="s">
        <v>11744</v>
      </c>
      <c r="M1082" t="s">
        <v>7250</v>
      </c>
      <c r="N1082">
        <v>2007</v>
      </c>
      <c r="T1082" t="s">
        <v>6546</v>
      </c>
      <c r="U1082" t="s">
        <v>6546</v>
      </c>
      <c r="V1082">
        <v>865</v>
      </c>
      <c r="W1082">
        <v>583.22</v>
      </c>
      <c r="X1082">
        <v>865</v>
      </c>
      <c r="Y1082" t="s">
        <v>14469</v>
      </c>
      <c r="Z1082" t="s">
        <v>7253</v>
      </c>
      <c r="AC1082" t="s">
        <v>8777</v>
      </c>
      <c r="AI1082" t="s">
        <v>8777</v>
      </c>
      <c r="AO1082" t="s">
        <v>14470</v>
      </c>
    </row>
    <row r="1083" spans="1:41" hidden="1" x14ac:dyDescent="0.35">
      <c r="A1083" t="s">
        <v>14471</v>
      </c>
      <c r="B1083" t="s">
        <v>7246</v>
      </c>
      <c r="C1083" t="s">
        <v>5925</v>
      </c>
      <c r="D1083" t="s">
        <v>5925</v>
      </c>
      <c r="E1083" t="s">
        <v>5925</v>
      </c>
      <c r="G1083" s="13" t="s">
        <v>14472</v>
      </c>
      <c r="H1083" t="s">
        <v>14473</v>
      </c>
      <c r="K1083" t="s">
        <v>11744</v>
      </c>
      <c r="L1083" t="s">
        <v>11744</v>
      </c>
      <c r="M1083" t="s">
        <v>7250</v>
      </c>
      <c r="N1083">
        <v>2015</v>
      </c>
      <c r="T1083" t="s">
        <v>6546</v>
      </c>
      <c r="U1083" t="s">
        <v>6546</v>
      </c>
      <c r="V1083">
        <v>177</v>
      </c>
      <c r="W1083">
        <v>151.04</v>
      </c>
      <c r="X1083">
        <v>177</v>
      </c>
      <c r="Y1083">
        <v>12</v>
      </c>
      <c r="Z1083" t="s">
        <v>7253</v>
      </c>
      <c r="AB1083" t="s">
        <v>14474</v>
      </c>
      <c r="AC1083" t="s">
        <v>8777</v>
      </c>
      <c r="AF1083" t="s">
        <v>14475</v>
      </c>
      <c r="AI1083" t="s">
        <v>8777</v>
      </c>
      <c r="AO1083" t="s">
        <v>14476</v>
      </c>
    </row>
    <row r="1084" spans="1:41" hidden="1" x14ac:dyDescent="0.35">
      <c r="A1084" t="s">
        <v>14477</v>
      </c>
      <c r="B1084" t="s">
        <v>7246</v>
      </c>
      <c r="C1084" t="s">
        <v>5925</v>
      </c>
      <c r="D1084" t="s">
        <v>5925</v>
      </c>
      <c r="E1084" t="s">
        <v>5925</v>
      </c>
      <c r="G1084" s="13" t="s">
        <v>14478</v>
      </c>
      <c r="H1084" t="s">
        <v>14479</v>
      </c>
      <c r="J1084" t="s">
        <v>14480</v>
      </c>
      <c r="K1084" t="s">
        <v>11744</v>
      </c>
      <c r="L1084" t="s">
        <v>11744</v>
      </c>
      <c r="M1084" t="s">
        <v>7250</v>
      </c>
      <c r="N1084">
        <v>2019</v>
      </c>
      <c r="T1084" t="s">
        <v>6546</v>
      </c>
      <c r="U1084" t="s">
        <v>6546</v>
      </c>
      <c r="V1084">
        <v>203.5</v>
      </c>
      <c r="W1084">
        <v>119.51</v>
      </c>
      <c r="X1084">
        <v>203.5</v>
      </c>
      <c r="Y1084">
        <v>12</v>
      </c>
      <c r="Z1084" t="s">
        <v>7253</v>
      </c>
      <c r="AB1084" t="s">
        <v>14481</v>
      </c>
      <c r="AC1084" t="s">
        <v>8777</v>
      </c>
      <c r="AF1084" t="s">
        <v>14482</v>
      </c>
      <c r="AI1084" t="s">
        <v>8777</v>
      </c>
      <c r="AO1084" t="s">
        <v>14483</v>
      </c>
    </row>
    <row r="1085" spans="1:41" hidden="1" x14ac:dyDescent="0.35">
      <c r="A1085" t="s">
        <v>14484</v>
      </c>
      <c r="B1085" t="s">
        <v>7246</v>
      </c>
      <c r="C1085" t="s">
        <v>5925</v>
      </c>
      <c r="D1085" t="s">
        <v>5925</v>
      </c>
      <c r="E1085" t="s">
        <v>5925</v>
      </c>
      <c r="G1085" s="13" t="s">
        <v>14485</v>
      </c>
      <c r="H1085" t="s">
        <v>14486</v>
      </c>
      <c r="K1085" t="s">
        <v>11744</v>
      </c>
      <c r="L1085" t="s">
        <v>11744</v>
      </c>
      <c r="M1085" t="s">
        <v>7250</v>
      </c>
      <c r="N1085">
        <v>2017</v>
      </c>
      <c r="T1085" t="s">
        <v>6546</v>
      </c>
      <c r="U1085" t="s">
        <v>6546</v>
      </c>
      <c r="V1085">
        <v>148</v>
      </c>
      <c r="W1085">
        <v>137.97</v>
      </c>
      <c r="X1085">
        <v>148</v>
      </c>
      <c r="AC1085" t="s">
        <v>8777</v>
      </c>
      <c r="AI1085" t="s">
        <v>8777</v>
      </c>
      <c r="AO1085" t="s">
        <v>14487</v>
      </c>
    </row>
    <row r="1086" spans="1:41" hidden="1" x14ac:dyDescent="0.35">
      <c r="A1086" t="s">
        <v>14488</v>
      </c>
      <c r="B1086" t="s">
        <v>7246</v>
      </c>
      <c r="C1086" t="s">
        <v>5925</v>
      </c>
      <c r="D1086" t="s">
        <v>5925</v>
      </c>
      <c r="E1086" t="s">
        <v>5925</v>
      </c>
      <c r="G1086" s="13" t="s">
        <v>14489</v>
      </c>
      <c r="H1086" t="s">
        <v>14490</v>
      </c>
      <c r="K1086" t="s">
        <v>11744</v>
      </c>
      <c r="L1086" t="s">
        <v>11744</v>
      </c>
      <c r="M1086" t="s">
        <v>7250</v>
      </c>
      <c r="N1086">
        <v>2018</v>
      </c>
      <c r="T1086" t="s">
        <v>6546</v>
      </c>
      <c r="U1086" t="s">
        <v>6546</v>
      </c>
      <c r="V1086">
        <v>140</v>
      </c>
      <c r="W1086">
        <v>225.8</v>
      </c>
      <c r="X1086">
        <v>140</v>
      </c>
      <c r="AC1086" t="s">
        <v>8777</v>
      </c>
      <c r="AE1086" t="s">
        <v>14491</v>
      </c>
      <c r="AG1086" t="s">
        <v>14492</v>
      </c>
      <c r="AI1086" t="s">
        <v>8777</v>
      </c>
      <c r="AO1086" t="s">
        <v>14493</v>
      </c>
    </row>
    <row r="1087" spans="1:41" hidden="1" x14ac:dyDescent="0.35">
      <c r="A1087" t="s">
        <v>14494</v>
      </c>
      <c r="B1087" t="s">
        <v>7246</v>
      </c>
      <c r="C1087" t="s">
        <v>5925</v>
      </c>
      <c r="D1087" t="s">
        <v>5925</v>
      </c>
      <c r="E1087" t="s">
        <v>5925</v>
      </c>
      <c r="G1087" s="13" t="s">
        <v>14495</v>
      </c>
      <c r="H1087" t="s">
        <v>14496</v>
      </c>
      <c r="J1087" t="s">
        <v>14497</v>
      </c>
      <c r="K1087" t="s">
        <v>14498</v>
      </c>
      <c r="L1087" t="s">
        <v>14498</v>
      </c>
      <c r="M1087" t="s">
        <v>7250</v>
      </c>
      <c r="N1087">
        <v>2019</v>
      </c>
      <c r="T1087" t="s">
        <v>6546</v>
      </c>
      <c r="U1087" t="s">
        <v>6546</v>
      </c>
      <c r="V1087">
        <v>32</v>
      </c>
      <c r="W1087">
        <v>35.69</v>
      </c>
      <c r="X1087">
        <v>32</v>
      </c>
      <c r="Y1087">
        <v>36</v>
      </c>
      <c r="Z1087" t="s">
        <v>7253</v>
      </c>
      <c r="AC1087" t="s">
        <v>8777</v>
      </c>
      <c r="AI1087" t="s">
        <v>8777</v>
      </c>
      <c r="AO1087" t="s">
        <v>14499</v>
      </c>
    </row>
    <row r="1088" spans="1:41" hidden="1" x14ac:dyDescent="0.35">
      <c r="A1088" t="s">
        <v>14500</v>
      </c>
      <c r="B1088" t="s">
        <v>7246</v>
      </c>
      <c r="C1088" t="s">
        <v>9898</v>
      </c>
      <c r="D1088" t="s">
        <v>5456</v>
      </c>
      <c r="E1088" t="s">
        <v>10100</v>
      </c>
      <c r="G1088" s="13" t="s">
        <v>14501</v>
      </c>
      <c r="H1088" t="s">
        <v>14502</v>
      </c>
      <c r="K1088" t="s">
        <v>14503</v>
      </c>
      <c r="L1088" t="s">
        <v>14503</v>
      </c>
      <c r="M1088" t="s">
        <v>7250</v>
      </c>
      <c r="N1088">
        <v>1974</v>
      </c>
      <c r="R1088">
        <v>7.2</v>
      </c>
      <c r="S1088" t="s">
        <v>8257</v>
      </c>
      <c r="T1088">
        <v>7.2</v>
      </c>
      <c r="U1088">
        <v>3350.76</v>
      </c>
      <c r="V1088">
        <v>999</v>
      </c>
      <c r="W1088">
        <v>967.72</v>
      </c>
      <c r="X1088">
        <v>999</v>
      </c>
      <c r="Y1088" t="s">
        <v>10012</v>
      </c>
      <c r="Z1088" t="s">
        <v>8842</v>
      </c>
      <c r="AA1088" t="s">
        <v>14504</v>
      </c>
      <c r="AB1088" t="s">
        <v>14504</v>
      </c>
      <c r="AC1088" t="s">
        <v>8844</v>
      </c>
      <c r="AE1088" t="s">
        <v>9928</v>
      </c>
      <c r="AF1088" t="s">
        <v>14505</v>
      </c>
      <c r="AG1088" t="s">
        <v>14505</v>
      </c>
      <c r="AH1088" t="s">
        <v>14506</v>
      </c>
      <c r="AI1088" t="s">
        <v>8844</v>
      </c>
      <c r="AO1088" t="s">
        <v>14507</v>
      </c>
    </row>
    <row r="1089" spans="1:41" hidden="1" x14ac:dyDescent="0.35">
      <c r="A1089" t="s">
        <v>14508</v>
      </c>
      <c r="B1089" t="s">
        <v>7246</v>
      </c>
      <c r="C1089" t="s">
        <v>447</v>
      </c>
      <c r="D1089" t="s">
        <v>447</v>
      </c>
      <c r="E1089" t="s">
        <v>447</v>
      </c>
      <c r="G1089" s="13" t="s">
        <v>14509</v>
      </c>
      <c r="H1089" t="s">
        <v>14510</v>
      </c>
      <c r="K1089" t="s">
        <v>14511</v>
      </c>
      <c r="L1089" t="s">
        <v>14512</v>
      </c>
      <c r="M1089" t="s">
        <v>7250</v>
      </c>
      <c r="T1089" t="s">
        <v>6546</v>
      </c>
      <c r="U1089" t="s">
        <v>6546</v>
      </c>
      <c r="V1089">
        <v>182</v>
      </c>
      <c r="W1089">
        <v>141.18</v>
      </c>
      <c r="X1089">
        <v>182</v>
      </c>
      <c r="Y1089">
        <v>24</v>
      </c>
      <c r="Z1089" t="s">
        <v>7253</v>
      </c>
      <c r="AB1089" t="s">
        <v>14513</v>
      </c>
      <c r="AC1089" t="s">
        <v>8747</v>
      </c>
      <c r="AE1089" t="s">
        <v>2580</v>
      </c>
      <c r="AF1089" t="s">
        <v>14514</v>
      </c>
      <c r="AG1089" t="s">
        <v>3791</v>
      </c>
      <c r="AI1089" t="s">
        <v>8747</v>
      </c>
      <c r="AO1089" t="s">
        <v>14515</v>
      </c>
    </row>
    <row r="1090" spans="1:41" hidden="1" x14ac:dyDescent="0.35">
      <c r="A1090" t="s">
        <v>14516</v>
      </c>
      <c r="B1090" t="s">
        <v>7246</v>
      </c>
      <c r="C1090" t="s">
        <v>447</v>
      </c>
      <c r="D1090" t="s">
        <v>447</v>
      </c>
      <c r="E1090" t="s">
        <v>447</v>
      </c>
      <c r="G1090" s="13" t="s">
        <v>14517</v>
      </c>
      <c r="H1090" t="s">
        <v>14518</v>
      </c>
      <c r="K1090" t="s">
        <v>14511</v>
      </c>
      <c r="L1090" t="s">
        <v>14512</v>
      </c>
      <c r="M1090" t="s">
        <v>7250</v>
      </c>
      <c r="T1090" t="s">
        <v>6546</v>
      </c>
      <c r="U1090" t="s">
        <v>6546</v>
      </c>
      <c r="V1090">
        <v>244</v>
      </c>
      <c r="W1090">
        <v>180</v>
      </c>
      <c r="X1090">
        <v>244</v>
      </c>
      <c r="Y1090">
        <v>48</v>
      </c>
      <c r="Z1090" t="s">
        <v>7253</v>
      </c>
      <c r="AA1090" t="s">
        <v>14519</v>
      </c>
      <c r="AB1090" t="s">
        <v>14520</v>
      </c>
      <c r="AC1090" t="s">
        <v>8747</v>
      </c>
      <c r="AD1090" t="s">
        <v>14521</v>
      </c>
      <c r="AF1090" t="s">
        <v>14514</v>
      </c>
      <c r="AG1090" t="s">
        <v>3791</v>
      </c>
      <c r="AI1090" t="s">
        <v>8747</v>
      </c>
      <c r="AO1090" t="s">
        <v>14522</v>
      </c>
    </row>
    <row r="1091" spans="1:41" hidden="1" x14ac:dyDescent="0.35">
      <c r="A1091" t="s">
        <v>14523</v>
      </c>
      <c r="B1091" t="s">
        <v>7246</v>
      </c>
      <c r="C1091" t="s">
        <v>451</v>
      </c>
      <c r="D1091" t="s">
        <v>451</v>
      </c>
      <c r="E1091" t="s">
        <v>451</v>
      </c>
      <c r="G1091" s="13" t="s">
        <v>8106</v>
      </c>
      <c r="H1091" t="s">
        <v>8107</v>
      </c>
      <c r="I1091" t="s">
        <v>14524</v>
      </c>
      <c r="K1091" t="s">
        <v>12661</v>
      </c>
      <c r="L1091" t="s">
        <v>7422</v>
      </c>
      <c r="M1091" t="s">
        <v>7415</v>
      </c>
      <c r="N1091">
        <v>2022</v>
      </c>
      <c r="R1091">
        <v>70</v>
      </c>
      <c r="S1091" t="s">
        <v>7251</v>
      </c>
      <c r="T1091">
        <v>0.72</v>
      </c>
      <c r="U1091">
        <v>336.93</v>
      </c>
      <c r="V1091">
        <v>2.25</v>
      </c>
      <c r="W1091" t="s">
        <v>6546</v>
      </c>
      <c r="X1091">
        <v>2.25</v>
      </c>
      <c r="Y1091">
        <v>20</v>
      </c>
      <c r="Z1091" t="s">
        <v>7253</v>
      </c>
      <c r="AC1091" t="s">
        <v>7255</v>
      </c>
      <c r="AD1091" t="s">
        <v>14525</v>
      </c>
      <c r="AE1091" t="s">
        <v>475</v>
      </c>
      <c r="AG1091" t="s">
        <v>14526</v>
      </c>
      <c r="AH1091" t="s">
        <v>14527</v>
      </c>
      <c r="AI1091" t="s">
        <v>7255</v>
      </c>
      <c r="AO1091" t="s">
        <v>6546</v>
      </c>
    </row>
    <row r="1092" spans="1:41" hidden="1" x14ac:dyDescent="0.35">
      <c r="A1092" t="s">
        <v>14528</v>
      </c>
      <c r="B1092" t="s">
        <v>7246</v>
      </c>
      <c r="C1092" t="s">
        <v>451</v>
      </c>
      <c r="D1092" t="s">
        <v>451</v>
      </c>
      <c r="E1092" t="s">
        <v>451</v>
      </c>
      <c r="G1092" s="13" t="s">
        <v>7946</v>
      </c>
      <c r="H1092" t="s">
        <v>7947</v>
      </c>
      <c r="I1092" t="s">
        <v>14529</v>
      </c>
      <c r="K1092" t="s">
        <v>8471</v>
      </c>
      <c r="L1092" t="s">
        <v>8471</v>
      </c>
      <c r="M1092" t="s">
        <v>7415</v>
      </c>
      <c r="N1092">
        <v>2022</v>
      </c>
      <c r="R1092">
        <v>72</v>
      </c>
      <c r="S1092" t="s">
        <v>7251</v>
      </c>
      <c r="T1092">
        <v>0.74</v>
      </c>
      <c r="U1092">
        <v>346.56</v>
      </c>
      <c r="V1092">
        <v>3.4</v>
      </c>
      <c r="W1092">
        <v>3.32</v>
      </c>
      <c r="X1092">
        <v>3.4</v>
      </c>
      <c r="Y1092">
        <v>12</v>
      </c>
      <c r="Z1092" t="s">
        <v>7253</v>
      </c>
      <c r="AB1092" t="s">
        <v>14530</v>
      </c>
      <c r="AC1092" t="s">
        <v>7255</v>
      </c>
      <c r="AE1092" t="s">
        <v>7271</v>
      </c>
      <c r="AF1092" t="s">
        <v>14530</v>
      </c>
      <c r="AH1092" t="s">
        <v>7271</v>
      </c>
      <c r="AI1092" t="s">
        <v>7255</v>
      </c>
      <c r="AO1092" t="s">
        <v>14531</v>
      </c>
    </row>
    <row r="1093" spans="1:41" hidden="1" x14ac:dyDescent="0.35">
      <c r="A1093" t="s">
        <v>14532</v>
      </c>
      <c r="B1093" t="s">
        <v>7246</v>
      </c>
      <c r="C1093" t="s">
        <v>451</v>
      </c>
      <c r="D1093" t="s">
        <v>451</v>
      </c>
      <c r="E1093" t="s">
        <v>451</v>
      </c>
      <c r="G1093" s="13" t="s">
        <v>7946</v>
      </c>
      <c r="H1093" t="s">
        <v>7947</v>
      </c>
      <c r="I1093" t="s">
        <v>14533</v>
      </c>
      <c r="K1093" t="s">
        <v>8471</v>
      </c>
      <c r="L1093" t="s">
        <v>8471</v>
      </c>
      <c r="M1093" t="s">
        <v>7415</v>
      </c>
      <c r="N1093">
        <v>2022</v>
      </c>
      <c r="R1093">
        <v>894</v>
      </c>
      <c r="S1093" t="s">
        <v>7251</v>
      </c>
      <c r="T1093">
        <v>9.25</v>
      </c>
      <c r="U1093">
        <v>4303.12</v>
      </c>
      <c r="V1093">
        <v>0</v>
      </c>
      <c r="W1093" t="s">
        <v>6546</v>
      </c>
      <c r="X1093">
        <v>0</v>
      </c>
      <c r="AC1093" t="s">
        <v>7255</v>
      </c>
      <c r="AI1093" t="s">
        <v>7255</v>
      </c>
      <c r="AO1093" t="s">
        <v>6546</v>
      </c>
    </row>
    <row r="1094" spans="1:41" hidden="1" x14ac:dyDescent="0.35">
      <c r="A1094" t="s">
        <v>14534</v>
      </c>
      <c r="B1094" t="s">
        <v>7246</v>
      </c>
      <c r="C1094" t="s">
        <v>451</v>
      </c>
      <c r="D1094" t="s">
        <v>451</v>
      </c>
      <c r="E1094" t="s">
        <v>451</v>
      </c>
      <c r="G1094" s="13" t="s">
        <v>14535</v>
      </c>
      <c r="H1094" t="s">
        <v>14536</v>
      </c>
      <c r="K1094" t="s">
        <v>14537</v>
      </c>
      <c r="L1094" t="s">
        <v>14537</v>
      </c>
      <c r="M1094" t="s">
        <v>7250</v>
      </c>
      <c r="N1094">
        <v>2018</v>
      </c>
      <c r="R1094">
        <v>1250</v>
      </c>
      <c r="S1094" t="s">
        <v>7251</v>
      </c>
      <c r="T1094">
        <v>12.93</v>
      </c>
      <c r="U1094">
        <v>6016.67</v>
      </c>
      <c r="V1094">
        <v>257.7</v>
      </c>
      <c r="W1094">
        <v>251.13</v>
      </c>
      <c r="X1094">
        <v>257.7</v>
      </c>
      <c r="AC1094" t="s">
        <v>7255</v>
      </c>
      <c r="AE1094" t="s">
        <v>486</v>
      </c>
      <c r="AH1094" t="s">
        <v>486</v>
      </c>
      <c r="AI1094" t="s">
        <v>7255</v>
      </c>
      <c r="AO1094" t="s">
        <v>14538</v>
      </c>
    </row>
    <row r="1095" spans="1:41" hidden="1" x14ac:dyDescent="0.35">
      <c r="A1095" t="s">
        <v>14539</v>
      </c>
      <c r="B1095" t="s">
        <v>7246</v>
      </c>
      <c r="C1095" t="s">
        <v>451</v>
      </c>
      <c r="D1095" t="s">
        <v>451</v>
      </c>
      <c r="E1095" t="s">
        <v>451</v>
      </c>
      <c r="G1095" s="13" t="s">
        <v>14535</v>
      </c>
      <c r="H1095" t="s">
        <v>14536</v>
      </c>
      <c r="I1095" t="s">
        <v>14540</v>
      </c>
      <c r="J1095" t="s">
        <v>14541</v>
      </c>
      <c r="K1095" t="s">
        <v>14537</v>
      </c>
      <c r="L1095" t="s">
        <v>14537</v>
      </c>
      <c r="M1095" t="s">
        <v>7250</v>
      </c>
      <c r="N1095">
        <v>2021</v>
      </c>
      <c r="R1095">
        <v>1250</v>
      </c>
      <c r="S1095" t="s">
        <v>7251</v>
      </c>
      <c r="T1095">
        <v>12.93</v>
      </c>
      <c r="U1095">
        <v>6016.67</v>
      </c>
      <c r="V1095" t="s">
        <v>6546</v>
      </c>
      <c r="W1095">
        <v>36.19</v>
      </c>
      <c r="X1095">
        <v>36.19</v>
      </c>
      <c r="AC1095" t="s">
        <v>7255</v>
      </c>
      <c r="AE1095" t="s">
        <v>486</v>
      </c>
      <c r="AH1095" t="s">
        <v>486</v>
      </c>
      <c r="AI1095" t="s">
        <v>7255</v>
      </c>
      <c r="AO1095" t="s">
        <v>14542</v>
      </c>
    </row>
    <row r="1096" spans="1:41" hidden="1" x14ac:dyDescent="0.35">
      <c r="A1096" t="s">
        <v>14543</v>
      </c>
      <c r="B1096" t="s">
        <v>7246</v>
      </c>
      <c r="C1096" t="s">
        <v>451</v>
      </c>
      <c r="D1096" t="s">
        <v>451</v>
      </c>
      <c r="E1096" t="s">
        <v>451</v>
      </c>
      <c r="G1096" s="13" t="s">
        <v>7518</v>
      </c>
      <c r="H1096" t="s">
        <v>7519</v>
      </c>
      <c r="I1096" t="s">
        <v>14544</v>
      </c>
      <c r="K1096" t="s">
        <v>14545</v>
      </c>
      <c r="L1096" t="s">
        <v>14545</v>
      </c>
      <c r="M1096" t="s">
        <v>7250</v>
      </c>
      <c r="N1096">
        <v>2020</v>
      </c>
      <c r="R1096">
        <v>39</v>
      </c>
      <c r="S1096" t="s">
        <v>7251</v>
      </c>
      <c r="T1096">
        <v>0.4</v>
      </c>
      <c r="U1096">
        <v>187.72</v>
      </c>
      <c r="V1096">
        <v>0</v>
      </c>
      <c r="W1096" t="s">
        <v>6546</v>
      </c>
      <c r="X1096">
        <v>0</v>
      </c>
      <c r="AC1096" t="s">
        <v>7255</v>
      </c>
      <c r="AE1096" t="s">
        <v>643</v>
      </c>
      <c r="AH1096" t="s">
        <v>643</v>
      </c>
      <c r="AI1096" t="s">
        <v>7255</v>
      </c>
      <c r="AO1096" t="s">
        <v>6546</v>
      </c>
    </row>
    <row r="1097" spans="1:41" hidden="1" x14ac:dyDescent="0.35">
      <c r="A1097" t="s">
        <v>14546</v>
      </c>
      <c r="B1097" t="s">
        <v>7246</v>
      </c>
      <c r="C1097" t="s">
        <v>451</v>
      </c>
      <c r="D1097" t="s">
        <v>451</v>
      </c>
      <c r="E1097" t="s">
        <v>451</v>
      </c>
      <c r="G1097" s="13" t="s">
        <v>7317</v>
      </c>
      <c r="H1097" t="s">
        <v>7318</v>
      </c>
      <c r="I1097" t="s">
        <v>14547</v>
      </c>
      <c r="K1097" t="s">
        <v>7319</v>
      </c>
      <c r="L1097" t="s">
        <v>7320</v>
      </c>
      <c r="M1097" t="s">
        <v>7292</v>
      </c>
      <c r="N1097">
        <v>2022</v>
      </c>
      <c r="R1097">
        <v>160</v>
      </c>
      <c r="S1097" t="s">
        <v>7251</v>
      </c>
      <c r="T1097">
        <v>1.65</v>
      </c>
      <c r="U1097">
        <v>770.13</v>
      </c>
      <c r="V1097">
        <v>0</v>
      </c>
      <c r="W1097" t="s">
        <v>6546</v>
      </c>
      <c r="X1097">
        <v>0</v>
      </c>
      <c r="AA1097" t="s">
        <v>368</v>
      </c>
      <c r="AC1097" t="s">
        <v>7255</v>
      </c>
      <c r="AE1097" t="s">
        <v>556</v>
      </c>
      <c r="AH1097" t="s">
        <v>497</v>
      </c>
      <c r="AI1097" t="s">
        <v>7255</v>
      </c>
      <c r="AO1097" t="s">
        <v>6546</v>
      </c>
    </row>
    <row r="1098" spans="1:41" hidden="1" x14ac:dyDescent="0.35">
      <c r="A1098" t="s">
        <v>14548</v>
      </c>
      <c r="B1098" t="s">
        <v>7246</v>
      </c>
      <c r="C1098" t="s">
        <v>451</v>
      </c>
      <c r="D1098" t="s">
        <v>451</v>
      </c>
      <c r="E1098" t="s">
        <v>451</v>
      </c>
      <c r="G1098" s="13" t="s">
        <v>14549</v>
      </c>
      <c r="H1098" t="s">
        <v>14550</v>
      </c>
      <c r="K1098" t="s">
        <v>14551</v>
      </c>
      <c r="L1098" t="s">
        <v>14551</v>
      </c>
      <c r="M1098" t="s">
        <v>7250</v>
      </c>
      <c r="N1098">
        <v>2012</v>
      </c>
      <c r="R1098">
        <v>484.26</v>
      </c>
      <c r="S1098" t="s">
        <v>7251</v>
      </c>
      <c r="T1098">
        <v>5.01</v>
      </c>
      <c r="U1098">
        <v>2330.91</v>
      </c>
      <c r="V1098">
        <v>177</v>
      </c>
      <c r="W1098">
        <v>100.22</v>
      </c>
      <c r="X1098">
        <v>177</v>
      </c>
      <c r="Y1098" t="s">
        <v>14552</v>
      </c>
      <c r="Z1098" t="s">
        <v>7253</v>
      </c>
      <c r="AA1098" t="s">
        <v>14553</v>
      </c>
      <c r="AC1098" t="s">
        <v>7255</v>
      </c>
      <c r="AE1098" t="s">
        <v>14554</v>
      </c>
      <c r="AF1098" t="s">
        <v>14555</v>
      </c>
      <c r="AH1098" t="s">
        <v>513</v>
      </c>
      <c r="AI1098" t="s">
        <v>7255</v>
      </c>
      <c r="AO1098" t="s">
        <v>14556</v>
      </c>
    </row>
    <row r="1099" spans="1:41" hidden="1" x14ac:dyDescent="0.35">
      <c r="A1099" t="s">
        <v>14557</v>
      </c>
      <c r="B1099" t="s">
        <v>7246</v>
      </c>
      <c r="C1099" t="s">
        <v>451</v>
      </c>
      <c r="D1099" t="s">
        <v>451</v>
      </c>
      <c r="E1099" t="s">
        <v>451</v>
      </c>
      <c r="G1099" s="13" t="s">
        <v>8045</v>
      </c>
      <c r="H1099" t="s">
        <v>8046</v>
      </c>
      <c r="I1099" t="s">
        <v>14558</v>
      </c>
      <c r="K1099" t="s">
        <v>14559</v>
      </c>
      <c r="L1099" t="s">
        <v>14559</v>
      </c>
      <c r="M1099" t="s">
        <v>7415</v>
      </c>
      <c r="N1099">
        <v>2022</v>
      </c>
      <c r="R1099">
        <v>180</v>
      </c>
      <c r="S1099" t="s">
        <v>7251</v>
      </c>
      <c r="T1099">
        <v>1.86</v>
      </c>
      <c r="U1099">
        <v>866.4</v>
      </c>
      <c r="V1099">
        <v>2</v>
      </c>
      <c r="W1099">
        <v>3</v>
      </c>
      <c r="X1099">
        <v>2</v>
      </c>
      <c r="Y1099">
        <v>24</v>
      </c>
      <c r="Z1099" t="s">
        <v>7253</v>
      </c>
      <c r="AC1099" t="s">
        <v>7255</v>
      </c>
      <c r="AE1099" t="s">
        <v>556</v>
      </c>
      <c r="AF1099" t="s">
        <v>14560</v>
      </c>
      <c r="AH1099" t="s">
        <v>556</v>
      </c>
      <c r="AI1099" t="s">
        <v>7255</v>
      </c>
      <c r="AO1099" t="s">
        <v>14561</v>
      </c>
    </row>
    <row r="1100" spans="1:41" hidden="1" x14ac:dyDescent="0.35">
      <c r="A1100" t="s">
        <v>14562</v>
      </c>
      <c r="B1100" t="s">
        <v>7246</v>
      </c>
      <c r="C1100" t="s">
        <v>451</v>
      </c>
      <c r="D1100" t="s">
        <v>451</v>
      </c>
      <c r="E1100" t="s">
        <v>451</v>
      </c>
      <c r="G1100" s="13" t="s">
        <v>7958</v>
      </c>
      <c r="H1100" t="s">
        <v>7959</v>
      </c>
      <c r="I1100" t="s">
        <v>14563</v>
      </c>
      <c r="K1100" t="s">
        <v>7960</v>
      </c>
      <c r="L1100" t="s">
        <v>7268</v>
      </c>
      <c r="M1100" t="s">
        <v>7415</v>
      </c>
      <c r="N1100">
        <v>2022</v>
      </c>
      <c r="R1100">
        <v>750</v>
      </c>
      <c r="S1100" t="s">
        <v>7251</v>
      </c>
      <c r="T1100">
        <v>7.76</v>
      </c>
      <c r="U1100">
        <v>3610</v>
      </c>
      <c r="V1100">
        <v>0.32</v>
      </c>
      <c r="W1100">
        <v>32.72</v>
      </c>
      <c r="X1100">
        <v>0.32</v>
      </c>
      <c r="Y1100">
        <v>20</v>
      </c>
      <c r="Z1100" t="s">
        <v>7253</v>
      </c>
      <c r="AC1100" t="s">
        <v>7255</v>
      </c>
      <c r="AE1100" t="s">
        <v>497</v>
      </c>
      <c r="AH1100" t="s">
        <v>497</v>
      </c>
      <c r="AI1100" t="s">
        <v>7255</v>
      </c>
      <c r="AO1100" t="s">
        <v>14564</v>
      </c>
    </row>
    <row r="1101" spans="1:41" hidden="1" x14ac:dyDescent="0.35">
      <c r="A1101" t="s">
        <v>14565</v>
      </c>
      <c r="B1101" t="s">
        <v>7246</v>
      </c>
      <c r="C1101" t="s">
        <v>451</v>
      </c>
      <c r="D1101" t="s">
        <v>451</v>
      </c>
      <c r="E1101" t="s">
        <v>451</v>
      </c>
      <c r="G1101" s="13" t="s">
        <v>14566</v>
      </c>
      <c r="H1101" t="s">
        <v>14567</v>
      </c>
      <c r="K1101" t="s">
        <v>14568</v>
      </c>
      <c r="L1101" t="s">
        <v>14568</v>
      </c>
      <c r="M1101" t="s">
        <v>7250</v>
      </c>
      <c r="N1101">
        <v>2017</v>
      </c>
      <c r="R1101">
        <v>200</v>
      </c>
      <c r="S1101" t="s">
        <v>7251</v>
      </c>
      <c r="T1101">
        <v>2.0699999999999998</v>
      </c>
      <c r="U1101">
        <v>962.67</v>
      </c>
      <c r="V1101">
        <v>80.5</v>
      </c>
      <c r="W1101">
        <v>81.91</v>
      </c>
      <c r="X1101">
        <v>80.5</v>
      </c>
      <c r="Y1101">
        <v>24</v>
      </c>
      <c r="Z1101" t="s">
        <v>7253</v>
      </c>
      <c r="AA1101" t="s">
        <v>14569</v>
      </c>
      <c r="AC1101" t="s">
        <v>7255</v>
      </c>
      <c r="AE1101" t="s">
        <v>812</v>
      </c>
      <c r="AH1101" t="s">
        <v>812</v>
      </c>
      <c r="AI1101" t="s">
        <v>7255</v>
      </c>
      <c r="AO1101" t="s">
        <v>14570</v>
      </c>
    </row>
    <row r="1102" spans="1:41" hidden="1" x14ac:dyDescent="0.35">
      <c r="A1102" t="s">
        <v>14571</v>
      </c>
      <c r="B1102" t="s">
        <v>7246</v>
      </c>
      <c r="C1102" t="s">
        <v>451</v>
      </c>
      <c r="D1102" t="s">
        <v>451</v>
      </c>
      <c r="E1102" t="s">
        <v>451</v>
      </c>
      <c r="G1102" s="13" t="s">
        <v>14572</v>
      </c>
      <c r="H1102" t="s">
        <v>14573</v>
      </c>
      <c r="K1102" t="s">
        <v>14574</v>
      </c>
      <c r="L1102" t="s">
        <v>14574</v>
      </c>
      <c r="M1102" t="s">
        <v>7250</v>
      </c>
      <c r="N1102">
        <v>2020</v>
      </c>
      <c r="R1102">
        <v>400</v>
      </c>
      <c r="S1102" t="s">
        <v>7251</v>
      </c>
      <c r="T1102">
        <v>4.1399999999999997</v>
      </c>
      <c r="U1102">
        <v>1925.33</v>
      </c>
      <c r="V1102">
        <v>37</v>
      </c>
      <c r="W1102">
        <v>37.29</v>
      </c>
      <c r="X1102">
        <v>37</v>
      </c>
      <c r="Y1102">
        <v>24</v>
      </c>
      <c r="Z1102" t="s">
        <v>7253</v>
      </c>
      <c r="AB1102" t="s">
        <v>14575</v>
      </c>
      <c r="AC1102" t="s">
        <v>7255</v>
      </c>
      <c r="AE1102" t="s">
        <v>837</v>
      </c>
      <c r="AF1102" t="s">
        <v>7257</v>
      </c>
      <c r="AH1102" t="s">
        <v>486</v>
      </c>
      <c r="AI1102" t="s">
        <v>7255</v>
      </c>
      <c r="AO1102" t="s">
        <v>14576</v>
      </c>
    </row>
    <row r="1103" spans="1:41" hidden="1" x14ac:dyDescent="0.35">
      <c r="A1103" t="s">
        <v>14577</v>
      </c>
      <c r="B1103" t="s">
        <v>7246</v>
      </c>
      <c r="C1103" t="s">
        <v>451</v>
      </c>
      <c r="D1103" t="s">
        <v>451</v>
      </c>
      <c r="E1103" t="s">
        <v>451</v>
      </c>
      <c r="G1103" s="13" t="s">
        <v>7426</v>
      </c>
      <c r="H1103" t="s">
        <v>7427</v>
      </c>
      <c r="I1103" t="s">
        <v>14578</v>
      </c>
      <c r="J1103" t="s">
        <v>14579</v>
      </c>
      <c r="K1103" t="s">
        <v>7429</v>
      </c>
      <c r="L1103" t="s">
        <v>7320</v>
      </c>
      <c r="M1103" t="s">
        <v>7250</v>
      </c>
      <c r="N1103">
        <v>2018</v>
      </c>
      <c r="R1103">
        <v>45</v>
      </c>
      <c r="S1103" t="s">
        <v>7251</v>
      </c>
      <c r="T1103">
        <v>0.47</v>
      </c>
      <c r="U1103">
        <v>216.6</v>
      </c>
      <c r="V1103">
        <v>0</v>
      </c>
      <c r="W1103" t="s">
        <v>6546</v>
      </c>
      <c r="X1103">
        <v>0</v>
      </c>
      <c r="AC1103" t="s">
        <v>7255</v>
      </c>
      <c r="AE1103" t="s">
        <v>6373</v>
      </c>
      <c r="AH1103" t="s">
        <v>6373</v>
      </c>
      <c r="AI1103" t="s">
        <v>7255</v>
      </c>
      <c r="AO1103" t="s">
        <v>6546</v>
      </c>
    </row>
    <row r="1104" spans="1:41" hidden="1" x14ac:dyDescent="0.35">
      <c r="A1104" t="s">
        <v>14580</v>
      </c>
      <c r="B1104" t="s">
        <v>7246</v>
      </c>
      <c r="C1104" t="s">
        <v>451</v>
      </c>
      <c r="D1104" t="s">
        <v>451</v>
      </c>
      <c r="E1104" t="s">
        <v>451</v>
      </c>
      <c r="G1104" s="13" t="s">
        <v>7877</v>
      </c>
      <c r="H1104" t="s">
        <v>7878</v>
      </c>
      <c r="I1104" t="s">
        <v>14581</v>
      </c>
      <c r="K1104" t="s">
        <v>14582</v>
      </c>
      <c r="L1104" t="s">
        <v>14582</v>
      </c>
      <c r="M1104" t="s">
        <v>7250</v>
      </c>
      <c r="N1104">
        <v>2020</v>
      </c>
      <c r="R1104">
        <v>1000</v>
      </c>
      <c r="S1104" t="s">
        <v>7251</v>
      </c>
      <c r="T1104">
        <v>10.34</v>
      </c>
      <c r="U1104">
        <v>4813.33</v>
      </c>
      <c r="V1104">
        <v>0</v>
      </c>
      <c r="W1104" t="s">
        <v>6546</v>
      </c>
      <c r="X1104">
        <v>0</v>
      </c>
      <c r="AC1104" t="s">
        <v>7255</v>
      </c>
      <c r="AE1104" t="s">
        <v>891</v>
      </c>
      <c r="AH1104" t="s">
        <v>475</v>
      </c>
      <c r="AI1104" t="s">
        <v>7255</v>
      </c>
      <c r="AO1104" t="s">
        <v>6546</v>
      </c>
    </row>
    <row r="1105" spans="1:41" hidden="1" x14ac:dyDescent="0.35">
      <c r="A1105" t="s">
        <v>14583</v>
      </c>
      <c r="B1105" t="s">
        <v>7246</v>
      </c>
      <c r="C1105" t="s">
        <v>451</v>
      </c>
      <c r="D1105" t="s">
        <v>451</v>
      </c>
      <c r="E1105" t="s">
        <v>451</v>
      </c>
      <c r="G1105" s="13" t="s">
        <v>7963</v>
      </c>
      <c r="H1105" t="s">
        <v>7964</v>
      </c>
      <c r="I1105" t="s">
        <v>14584</v>
      </c>
      <c r="K1105" t="s">
        <v>14585</v>
      </c>
      <c r="L1105" t="s">
        <v>14585</v>
      </c>
      <c r="M1105" t="s">
        <v>7731</v>
      </c>
      <c r="R1105">
        <v>52</v>
      </c>
      <c r="S1105" t="s">
        <v>7251</v>
      </c>
      <c r="T1105">
        <v>0.54</v>
      </c>
      <c r="U1105">
        <v>250.29</v>
      </c>
      <c r="V1105">
        <v>37</v>
      </c>
      <c r="W1105">
        <v>35.659999999999997</v>
      </c>
      <c r="X1105">
        <v>37</v>
      </c>
      <c r="Y1105">
        <v>12</v>
      </c>
      <c r="Z1105" t="s">
        <v>7253</v>
      </c>
      <c r="AC1105" t="s">
        <v>7255</v>
      </c>
      <c r="AE1105" t="s">
        <v>14586</v>
      </c>
      <c r="AH1105" t="s">
        <v>14587</v>
      </c>
      <c r="AI1105" t="s">
        <v>7255</v>
      </c>
      <c r="AO1105" t="s">
        <v>14588</v>
      </c>
    </row>
    <row r="1106" spans="1:41" hidden="1" x14ac:dyDescent="0.35">
      <c r="A1106" t="s">
        <v>14589</v>
      </c>
      <c r="B1106" t="s">
        <v>7246</v>
      </c>
      <c r="C1106" t="s">
        <v>451</v>
      </c>
      <c r="D1106" t="s">
        <v>451</v>
      </c>
      <c r="E1106" t="s">
        <v>451</v>
      </c>
      <c r="G1106" s="13" t="s">
        <v>14590</v>
      </c>
      <c r="H1106" t="s">
        <v>14591</v>
      </c>
      <c r="K1106" t="s">
        <v>14592</v>
      </c>
      <c r="L1106" t="s">
        <v>14593</v>
      </c>
      <c r="M1106" t="s">
        <v>7250</v>
      </c>
      <c r="N1106">
        <v>2017</v>
      </c>
      <c r="R1106">
        <v>1100</v>
      </c>
      <c r="S1106" t="s">
        <v>7251</v>
      </c>
      <c r="T1106">
        <v>11.38</v>
      </c>
      <c r="U1106">
        <v>5294.67</v>
      </c>
      <c r="V1106">
        <v>313.82</v>
      </c>
      <c r="W1106">
        <v>313.31</v>
      </c>
      <c r="X1106">
        <v>313.82</v>
      </c>
      <c r="Y1106">
        <v>42</v>
      </c>
      <c r="Z1106" t="s">
        <v>7253</v>
      </c>
      <c r="AC1106" t="s">
        <v>7255</v>
      </c>
      <c r="AE1106" t="s">
        <v>486</v>
      </c>
      <c r="AF1106" t="s">
        <v>8103</v>
      </c>
      <c r="AH1106" t="s">
        <v>486</v>
      </c>
      <c r="AI1106" t="s">
        <v>7255</v>
      </c>
      <c r="AL1106" t="s">
        <v>14594</v>
      </c>
      <c r="AN1106" s="13" t="s">
        <v>14595</v>
      </c>
      <c r="AO1106" t="s">
        <v>14596</v>
      </c>
    </row>
    <row r="1107" spans="1:41" hidden="1" x14ac:dyDescent="0.35">
      <c r="A1107" t="s">
        <v>14597</v>
      </c>
      <c r="B1107" t="s">
        <v>7246</v>
      </c>
      <c r="C1107" t="s">
        <v>451</v>
      </c>
      <c r="D1107" t="s">
        <v>451</v>
      </c>
      <c r="E1107" t="s">
        <v>451</v>
      </c>
      <c r="G1107" s="13" t="s">
        <v>8433</v>
      </c>
      <c r="H1107" t="s">
        <v>8434</v>
      </c>
      <c r="I1107" t="s">
        <v>14598</v>
      </c>
      <c r="K1107" t="s">
        <v>8079</v>
      </c>
      <c r="L1107" t="s">
        <v>8079</v>
      </c>
      <c r="M1107" t="s">
        <v>7415</v>
      </c>
      <c r="N1107">
        <v>2022</v>
      </c>
      <c r="R1107">
        <v>1530</v>
      </c>
      <c r="S1107" t="s">
        <v>7251</v>
      </c>
      <c r="T1107">
        <v>15.82</v>
      </c>
      <c r="U1107">
        <v>7364.4</v>
      </c>
      <c r="V1107">
        <v>33.799999999999997</v>
      </c>
      <c r="W1107">
        <v>32.83</v>
      </c>
      <c r="X1107">
        <v>33.799999999999997</v>
      </c>
      <c r="Y1107">
        <v>42</v>
      </c>
      <c r="Z1107" t="s">
        <v>7253</v>
      </c>
      <c r="AC1107" t="s">
        <v>7255</v>
      </c>
      <c r="AE1107" t="s">
        <v>486</v>
      </c>
      <c r="AH1107" t="s">
        <v>486</v>
      </c>
      <c r="AI1107" t="s">
        <v>7255</v>
      </c>
      <c r="AO1107" t="s">
        <v>14599</v>
      </c>
    </row>
    <row r="1108" spans="1:41" hidden="1" x14ac:dyDescent="0.35">
      <c r="A1108" t="s">
        <v>14600</v>
      </c>
      <c r="B1108" t="s">
        <v>7246</v>
      </c>
      <c r="C1108" t="s">
        <v>451</v>
      </c>
      <c r="D1108" t="s">
        <v>451</v>
      </c>
      <c r="E1108" t="s">
        <v>451</v>
      </c>
      <c r="G1108" s="13" t="s">
        <v>8077</v>
      </c>
      <c r="H1108" t="s">
        <v>8078</v>
      </c>
      <c r="I1108" t="s">
        <v>8683</v>
      </c>
      <c r="K1108" t="s">
        <v>14601</v>
      </c>
      <c r="L1108" t="s">
        <v>14601</v>
      </c>
      <c r="M1108" t="s">
        <v>7731</v>
      </c>
      <c r="R1108">
        <v>1500</v>
      </c>
      <c r="S1108" t="s">
        <v>7251</v>
      </c>
      <c r="T1108">
        <v>15.51</v>
      </c>
      <c r="U1108">
        <v>7220</v>
      </c>
      <c r="V1108">
        <v>167.9</v>
      </c>
      <c r="W1108">
        <v>163.22</v>
      </c>
      <c r="X1108">
        <v>167.9</v>
      </c>
      <c r="Y1108">
        <v>42</v>
      </c>
      <c r="Z1108" t="s">
        <v>7253</v>
      </c>
      <c r="AC1108" t="s">
        <v>7255</v>
      </c>
      <c r="AE1108" t="s">
        <v>497</v>
      </c>
      <c r="AH1108" t="s">
        <v>497</v>
      </c>
      <c r="AI1108" t="s">
        <v>7255</v>
      </c>
      <c r="AO1108" t="s">
        <v>14602</v>
      </c>
    </row>
    <row r="1109" spans="1:41" hidden="1" x14ac:dyDescent="0.35">
      <c r="A1109" t="s">
        <v>14603</v>
      </c>
      <c r="B1109" t="s">
        <v>7246</v>
      </c>
      <c r="C1109" t="s">
        <v>451</v>
      </c>
      <c r="D1109" t="s">
        <v>451</v>
      </c>
      <c r="E1109" t="s">
        <v>451</v>
      </c>
      <c r="G1109" s="13" t="s">
        <v>14604</v>
      </c>
      <c r="H1109" t="s">
        <v>14605</v>
      </c>
      <c r="K1109" t="s">
        <v>14606</v>
      </c>
      <c r="L1109" t="s">
        <v>14606</v>
      </c>
      <c r="M1109" t="s">
        <v>7731</v>
      </c>
      <c r="N1109">
        <v>2023</v>
      </c>
      <c r="R1109">
        <v>2000</v>
      </c>
      <c r="S1109" t="s">
        <v>7251</v>
      </c>
      <c r="T1109">
        <v>20.69</v>
      </c>
      <c r="U1109">
        <v>9626.67</v>
      </c>
      <c r="V1109">
        <v>289.7</v>
      </c>
      <c r="W1109">
        <v>277.92</v>
      </c>
      <c r="X1109">
        <v>289.7</v>
      </c>
      <c r="AB1109" t="s">
        <v>7976</v>
      </c>
      <c r="AC1109" t="s">
        <v>7255</v>
      </c>
      <c r="AD1109" t="s">
        <v>14607</v>
      </c>
      <c r="AE1109" t="s">
        <v>497</v>
      </c>
      <c r="AF1109" t="s">
        <v>8094</v>
      </c>
      <c r="AH1109" t="s">
        <v>497</v>
      </c>
      <c r="AI1109" t="s">
        <v>7255</v>
      </c>
      <c r="AO1109" t="s">
        <v>14608</v>
      </c>
    </row>
    <row r="1110" spans="1:41" hidden="1" x14ac:dyDescent="0.35">
      <c r="A1110" t="s">
        <v>14609</v>
      </c>
      <c r="B1110" t="s">
        <v>7246</v>
      </c>
      <c r="C1110" t="s">
        <v>451</v>
      </c>
      <c r="D1110" t="s">
        <v>451</v>
      </c>
      <c r="E1110" t="s">
        <v>451</v>
      </c>
      <c r="G1110" s="13" t="s">
        <v>8011</v>
      </c>
      <c r="H1110" t="s">
        <v>8012</v>
      </c>
      <c r="I1110" t="s">
        <v>14610</v>
      </c>
      <c r="K1110" t="s">
        <v>8014</v>
      </c>
      <c r="L1110" t="s">
        <v>7346</v>
      </c>
      <c r="M1110" t="s">
        <v>7269</v>
      </c>
      <c r="R1110">
        <v>1000</v>
      </c>
      <c r="S1110" t="s">
        <v>7251</v>
      </c>
      <c r="T1110">
        <v>10.34</v>
      </c>
      <c r="U1110">
        <v>4813.33</v>
      </c>
      <c r="V1110">
        <v>80.5</v>
      </c>
      <c r="W1110">
        <v>82.92</v>
      </c>
      <c r="X1110">
        <v>80.5</v>
      </c>
      <c r="AC1110" t="s">
        <v>7255</v>
      </c>
      <c r="AE1110" t="s">
        <v>513</v>
      </c>
      <c r="AH1110" t="s">
        <v>548</v>
      </c>
      <c r="AI1110" t="s">
        <v>7255</v>
      </c>
      <c r="AO1110" t="s">
        <v>14611</v>
      </c>
    </row>
    <row r="1111" spans="1:41" hidden="1" x14ac:dyDescent="0.35">
      <c r="A1111" t="s">
        <v>14612</v>
      </c>
      <c r="B1111" t="s">
        <v>7246</v>
      </c>
      <c r="C1111" t="s">
        <v>451</v>
      </c>
      <c r="D1111" t="s">
        <v>451</v>
      </c>
      <c r="E1111" t="s">
        <v>451</v>
      </c>
      <c r="G1111" s="13" t="s">
        <v>14613</v>
      </c>
      <c r="H1111" t="s">
        <v>14614</v>
      </c>
      <c r="K1111" t="s">
        <v>14615</v>
      </c>
      <c r="L1111" t="s">
        <v>14615</v>
      </c>
      <c r="M1111" t="s">
        <v>7292</v>
      </c>
      <c r="N1111">
        <v>2024</v>
      </c>
      <c r="R1111">
        <v>73</v>
      </c>
      <c r="S1111" t="s">
        <v>7251</v>
      </c>
      <c r="T1111">
        <v>0.76</v>
      </c>
      <c r="U1111">
        <v>351.37</v>
      </c>
      <c r="V1111">
        <v>506.9</v>
      </c>
      <c r="W1111">
        <v>474.07</v>
      </c>
      <c r="X1111">
        <v>506.9</v>
      </c>
      <c r="Y1111">
        <v>14</v>
      </c>
      <c r="Z1111" t="s">
        <v>7253</v>
      </c>
      <c r="AB1111" t="s">
        <v>14616</v>
      </c>
      <c r="AC1111" t="s">
        <v>7255</v>
      </c>
      <c r="AE1111" t="s">
        <v>896</v>
      </c>
      <c r="AF1111" t="s">
        <v>14617</v>
      </c>
      <c r="AH1111" t="s">
        <v>896</v>
      </c>
      <c r="AI1111" t="s">
        <v>7255</v>
      </c>
      <c r="AO1111" t="s">
        <v>14618</v>
      </c>
    </row>
    <row r="1112" spans="1:41" hidden="1" x14ac:dyDescent="0.35">
      <c r="A1112" t="s">
        <v>14619</v>
      </c>
      <c r="B1112" t="s">
        <v>7246</v>
      </c>
      <c r="C1112" t="s">
        <v>451</v>
      </c>
      <c r="D1112" t="s">
        <v>451</v>
      </c>
      <c r="E1112" t="s">
        <v>451</v>
      </c>
      <c r="G1112" s="13" t="s">
        <v>7550</v>
      </c>
      <c r="H1112" t="s">
        <v>7551</v>
      </c>
      <c r="I1112" t="s">
        <v>14620</v>
      </c>
      <c r="K1112" t="s">
        <v>7552</v>
      </c>
      <c r="L1112" t="s">
        <v>7553</v>
      </c>
      <c r="M1112" t="s">
        <v>7250</v>
      </c>
      <c r="N1112">
        <v>2020</v>
      </c>
      <c r="R1112">
        <v>75</v>
      </c>
      <c r="S1112" t="s">
        <v>7251</v>
      </c>
      <c r="T1112">
        <v>0.78</v>
      </c>
      <c r="U1112">
        <v>361</v>
      </c>
      <c r="V1112">
        <v>0</v>
      </c>
      <c r="W1112">
        <v>8.02</v>
      </c>
      <c r="X1112">
        <v>0</v>
      </c>
      <c r="Y1112">
        <v>24</v>
      </c>
      <c r="Z1112" t="s">
        <v>7253</v>
      </c>
      <c r="AC1112" t="s">
        <v>7255</v>
      </c>
      <c r="AE1112" t="s">
        <v>497</v>
      </c>
      <c r="AH1112" t="s">
        <v>497</v>
      </c>
      <c r="AI1112" t="s">
        <v>7255</v>
      </c>
      <c r="AO1112" t="s">
        <v>14621</v>
      </c>
    </row>
    <row r="1113" spans="1:41" hidden="1" x14ac:dyDescent="0.35">
      <c r="A1113" t="s">
        <v>14622</v>
      </c>
      <c r="B1113" t="s">
        <v>7246</v>
      </c>
      <c r="C1113" t="s">
        <v>451</v>
      </c>
      <c r="D1113" t="s">
        <v>451</v>
      </c>
      <c r="E1113" t="s">
        <v>451</v>
      </c>
      <c r="G1113" s="13" t="s">
        <v>7317</v>
      </c>
      <c r="H1113" t="s">
        <v>7318</v>
      </c>
      <c r="I1113" t="s">
        <v>14623</v>
      </c>
      <c r="K1113" t="s">
        <v>7319</v>
      </c>
      <c r="L1113" t="s">
        <v>7320</v>
      </c>
      <c r="M1113" t="s">
        <v>7292</v>
      </c>
      <c r="N1113">
        <v>2022</v>
      </c>
      <c r="R1113">
        <v>125</v>
      </c>
      <c r="S1113" t="s">
        <v>7251</v>
      </c>
      <c r="T1113">
        <v>1.29</v>
      </c>
      <c r="U1113">
        <v>601.66999999999996</v>
      </c>
      <c r="V1113">
        <v>0</v>
      </c>
      <c r="W1113" t="s">
        <v>6546</v>
      </c>
      <c r="X1113">
        <v>0</v>
      </c>
      <c r="AC1113" t="s">
        <v>7255</v>
      </c>
      <c r="AI1113" t="s">
        <v>7255</v>
      </c>
      <c r="AO1113" t="s">
        <v>6546</v>
      </c>
    </row>
    <row r="1114" spans="1:41" hidden="1" x14ac:dyDescent="0.35">
      <c r="A1114" t="s">
        <v>14624</v>
      </c>
      <c r="B1114" t="s">
        <v>7246</v>
      </c>
      <c r="C1114" t="s">
        <v>451</v>
      </c>
      <c r="D1114" t="s">
        <v>368</v>
      </c>
      <c r="E1114" t="s">
        <v>7281</v>
      </c>
      <c r="G1114" s="13" t="s">
        <v>8111</v>
      </c>
      <c r="H1114" t="s">
        <v>8112</v>
      </c>
      <c r="I1114" t="s">
        <v>14625</v>
      </c>
      <c r="K1114" t="s">
        <v>8113</v>
      </c>
      <c r="L1114" t="s">
        <v>8114</v>
      </c>
      <c r="M1114" t="s">
        <v>7250</v>
      </c>
      <c r="N1114">
        <v>2020</v>
      </c>
      <c r="R1114">
        <v>300</v>
      </c>
      <c r="S1114" t="s">
        <v>7251</v>
      </c>
      <c r="T1114">
        <v>3.1</v>
      </c>
      <c r="U1114">
        <v>1444</v>
      </c>
      <c r="V1114">
        <v>40.200000000000003</v>
      </c>
      <c r="W1114">
        <v>39.229999999999997</v>
      </c>
      <c r="X1114">
        <v>40.200000000000003</v>
      </c>
      <c r="Y1114">
        <v>26</v>
      </c>
      <c r="Z1114" t="s">
        <v>7253</v>
      </c>
      <c r="AC1114" t="s">
        <v>7255</v>
      </c>
      <c r="AE1114" t="s">
        <v>513</v>
      </c>
      <c r="AH1114" t="s">
        <v>983</v>
      </c>
      <c r="AI1114" t="s">
        <v>7255</v>
      </c>
      <c r="AO1114" t="s">
        <v>14626</v>
      </c>
    </row>
    <row r="1115" spans="1:41" hidden="1" x14ac:dyDescent="0.35">
      <c r="A1115" t="s">
        <v>14627</v>
      </c>
      <c r="B1115" t="s">
        <v>7246</v>
      </c>
      <c r="C1115" t="s">
        <v>451</v>
      </c>
      <c r="D1115" t="s">
        <v>451</v>
      </c>
      <c r="E1115" t="s">
        <v>451</v>
      </c>
      <c r="G1115" s="13" t="s">
        <v>14628</v>
      </c>
      <c r="H1115" t="s">
        <v>14629</v>
      </c>
      <c r="K1115" t="s">
        <v>14630</v>
      </c>
      <c r="L1115" t="s">
        <v>14630</v>
      </c>
      <c r="M1115" t="s">
        <v>7292</v>
      </c>
      <c r="N1115">
        <v>2022</v>
      </c>
      <c r="R1115">
        <v>1000</v>
      </c>
      <c r="S1115" t="s">
        <v>7251</v>
      </c>
      <c r="T1115">
        <v>10.34</v>
      </c>
      <c r="U1115">
        <v>4813.33</v>
      </c>
      <c r="V1115">
        <v>21.1</v>
      </c>
      <c r="W1115">
        <v>17.32</v>
      </c>
      <c r="X1115">
        <v>21.1</v>
      </c>
      <c r="Y1115">
        <v>36</v>
      </c>
      <c r="Z1115" t="s">
        <v>7253</v>
      </c>
      <c r="AC1115" t="s">
        <v>7255</v>
      </c>
      <c r="AE1115" t="s">
        <v>497</v>
      </c>
      <c r="AH1115" t="s">
        <v>497</v>
      </c>
      <c r="AI1115" t="s">
        <v>7255</v>
      </c>
      <c r="AO1115" t="s">
        <v>14631</v>
      </c>
    </row>
    <row r="1116" spans="1:41" hidden="1" x14ac:dyDescent="0.35">
      <c r="A1116" t="s">
        <v>14632</v>
      </c>
      <c r="B1116" t="s">
        <v>7246</v>
      </c>
      <c r="C1116" t="s">
        <v>451</v>
      </c>
      <c r="D1116" t="s">
        <v>451</v>
      </c>
      <c r="E1116" t="s">
        <v>451</v>
      </c>
      <c r="G1116" s="13" t="s">
        <v>14633</v>
      </c>
      <c r="H1116" t="s">
        <v>14634</v>
      </c>
      <c r="K1116" t="s">
        <v>14635</v>
      </c>
      <c r="L1116" t="s">
        <v>8114</v>
      </c>
      <c r="M1116" t="s">
        <v>7250</v>
      </c>
      <c r="N1116">
        <v>2022</v>
      </c>
      <c r="R1116">
        <v>330</v>
      </c>
      <c r="S1116" t="s">
        <v>7251</v>
      </c>
      <c r="T1116">
        <v>3.41</v>
      </c>
      <c r="U1116">
        <v>1588.4</v>
      </c>
      <c r="V1116">
        <v>50.37</v>
      </c>
      <c r="W1116">
        <v>45.39</v>
      </c>
      <c r="X1116">
        <v>50.37</v>
      </c>
      <c r="Y1116">
        <v>20</v>
      </c>
      <c r="Z1116" t="s">
        <v>7253</v>
      </c>
      <c r="AC1116" t="s">
        <v>7255</v>
      </c>
      <c r="AD1116" t="s">
        <v>14636</v>
      </c>
      <c r="AE1116" t="s">
        <v>513</v>
      </c>
      <c r="AG1116" t="s">
        <v>14637</v>
      </c>
      <c r="AH1116" t="s">
        <v>513</v>
      </c>
      <c r="AI1116" t="s">
        <v>7255</v>
      </c>
      <c r="AO1116" t="s">
        <v>14638</v>
      </c>
    </row>
    <row r="1117" spans="1:41" hidden="1" x14ac:dyDescent="0.35">
      <c r="A1117" t="s">
        <v>14639</v>
      </c>
      <c r="B1117" t="s">
        <v>7246</v>
      </c>
      <c r="C1117" t="s">
        <v>451</v>
      </c>
      <c r="D1117" t="s">
        <v>451</v>
      </c>
      <c r="E1117" t="s">
        <v>451</v>
      </c>
      <c r="G1117" s="13" t="s">
        <v>8011</v>
      </c>
      <c r="H1117" t="s">
        <v>8012</v>
      </c>
      <c r="I1117" t="s">
        <v>14640</v>
      </c>
      <c r="K1117" t="s">
        <v>8014</v>
      </c>
      <c r="L1117" t="s">
        <v>7346</v>
      </c>
      <c r="M1117" t="s">
        <v>7415</v>
      </c>
      <c r="N1117">
        <v>2022</v>
      </c>
      <c r="R1117">
        <v>65</v>
      </c>
      <c r="S1117" t="s">
        <v>7251</v>
      </c>
      <c r="T1117">
        <v>0.67</v>
      </c>
      <c r="U1117">
        <v>312.87</v>
      </c>
      <c r="V1117">
        <v>0</v>
      </c>
      <c r="W1117" t="s">
        <v>6546</v>
      </c>
      <c r="X1117">
        <v>0</v>
      </c>
      <c r="AC1117" t="s">
        <v>7255</v>
      </c>
      <c r="AE1117" t="s">
        <v>664</v>
      </c>
      <c r="AH1117" t="s">
        <v>664</v>
      </c>
      <c r="AI1117" t="s">
        <v>7255</v>
      </c>
      <c r="AO1117" t="s">
        <v>6546</v>
      </c>
    </row>
    <row r="1118" spans="1:41" hidden="1" x14ac:dyDescent="0.35">
      <c r="A1118" t="s">
        <v>14641</v>
      </c>
      <c r="B1118" t="s">
        <v>7246</v>
      </c>
      <c r="C1118" t="s">
        <v>451</v>
      </c>
      <c r="D1118" t="s">
        <v>451</v>
      </c>
      <c r="E1118" t="s">
        <v>451</v>
      </c>
      <c r="G1118" s="13" t="s">
        <v>14642</v>
      </c>
      <c r="H1118" t="s">
        <v>14643</v>
      </c>
      <c r="K1118" t="s">
        <v>14644</v>
      </c>
      <c r="L1118" t="s">
        <v>14645</v>
      </c>
      <c r="M1118" t="s">
        <v>7415</v>
      </c>
      <c r="N1118">
        <v>2022</v>
      </c>
      <c r="R1118">
        <v>2500</v>
      </c>
      <c r="S1118" t="s">
        <v>7251</v>
      </c>
      <c r="T1118">
        <v>25.86</v>
      </c>
      <c r="U1118">
        <v>12033.34</v>
      </c>
      <c r="V1118">
        <v>111</v>
      </c>
      <c r="W1118">
        <v>101.97</v>
      </c>
      <c r="X1118">
        <v>111</v>
      </c>
      <c r="Y1118">
        <v>42</v>
      </c>
      <c r="Z1118" t="s">
        <v>7253</v>
      </c>
      <c r="AC1118" t="s">
        <v>7255</v>
      </c>
      <c r="AE1118" t="s">
        <v>497</v>
      </c>
      <c r="AH1118" t="s">
        <v>486</v>
      </c>
      <c r="AI1118" t="s">
        <v>7255</v>
      </c>
      <c r="AO1118" t="s">
        <v>14646</v>
      </c>
    </row>
    <row r="1119" spans="1:41" hidden="1" x14ac:dyDescent="0.35">
      <c r="A1119" t="s">
        <v>14647</v>
      </c>
      <c r="B1119" t="s">
        <v>7246</v>
      </c>
      <c r="C1119" t="s">
        <v>451</v>
      </c>
      <c r="D1119" t="s">
        <v>451</v>
      </c>
      <c r="E1119" t="s">
        <v>451</v>
      </c>
      <c r="G1119" s="13" t="s">
        <v>8106</v>
      </c>
      <c r="H1119" t="s">
        <v>8107</v>
      </c>
      <c r="I1119" t="s">
        <v>11023</v>
      </c>
      <c r="K1119" t="s">
        <v>12661</v>
      </c>
      <c r="L1119" t="s">
        <v>7422</v>
      </c>
      <c r="M1119" t="s">
        <v>7250</v>
      </c>
      <c r="N1119">
        <v>2021</v>
      </c>
      <c r="R1119">
        <v>300</v>
      </c>
      <c r="S1119" t="s">
        <v>7251</v>
      </c>
      <c r="T1119">
        <v>3.1</v>
      </c>
      <c r="U1119">
        <v>1444</v>
      </c>
      <c r="V1119">
        <v>0</v>
      </c>
      <c r="W1119" t="s">
        <v>6546</v>
      </c>
      <c r="X1119">
        <v>0</v>
      </c>
      <c r="AB1119" t="s">
        <v>6273</v>
      </c>
      <c r="AC1119" t="s">
        <v>7255</v>
      </c>
      <c r="AE1119" t="s">
        <v>475</v>
      </c>
      <c r="AF1119" t="s">
        <v>8109</v>
      </c>
      <c r="AH1119" t="s">
        <v>497</v>
      </c>
      <c r="AI1119" t="s">
        <v>7255</v>
      </c>
      <c r="AO1119" t="s">
        <v>6546</v>
      </c>
    </row>
    <row r="1120" spans="1:41" hidden="1" x14ac:dyDescent="0.35">
      <c r="A1120" t="s">
        <v>14648</v>
      </c>
      <c r="B1120" t="s">
        <v>7246</v>
      </c>
      <c r="C1120" t="s">
        <v>451</v>
      </c>
      <c r="D1120" t="s">
        <v>451</v>
      </c>
      <c r="E1120" t="s">
        <v>451</v>
      </c>
      <c r="G1120" s="13" t="s">
        <v>7605</v>
      </c>
      <c r="H1120" t="s">
        <v>7606</v>
      </c>
      <c r="I1120" t="s">
        <v>14649</v>
      </c>
      <c r="K1120" t="s">
        <v>7607</v>
      </c>
      <c r="L1120" t="s">
        <v>7607</v>
      </c>
      <c r="M1120" t="s">
        <v>7415</v>
      </c>
      <c r="N1120">
        <v>2022</v>
      </c>
      <c r="R1120">
        <v>78</v>
      </c>
      <c r="S1120" t="s">
        <v>7251</v>
      </c>
      <c r="T1120">
        <v>0.81</v>
      </c>
      <c r="U1120">
        <v>375.44</v>
      </c>
      <c r="V1120">
        <v>6.4</v>
      </c>
      <c r="W1120">
        <v>5.53</v>
      </c>
      <c r="X1120">
        <v>6.4</v>
      </c>
      <c r="Y1120">
        <v>36</v>
      </c>
      <c r="Z1120" t="s">
        <v>7253</v>
      </c>
      <c r="AC1120" t="s">
        <v>7255</v>
      </c>
      <c r="AI1120" t="s">
        <v>7255</v>
      </c>
      <c r="AO1120" t="s">
        <v>14650</v>
      </c>
    </row>
    <row r="1121" spans="1:41" hidden="1" x14ac:dyDescent="0.35">
      <c r="A1121" t="s">
        <v>14651</v>
      </c>
      <c r="B1121" t="s">
        <v>7246</v>
      </c>
      <c r="C1121" t="s">
        <v>451</v>
      </c>
      <c r="D1121" t="s">
        <v>451</v>
      </c>
      <c r="E1121" t="s">
        <v>451</v>
      </c>
      <c r="G1121" s="13" t="s">
        <v>8011</v>
      </c>
      <c r="H1121" t="s">
        <v>8012</v>
      </c>
      <c r="I1121" t="s">
        <v>14652</v>
      </c>
      <c r="K1121" t="s">
        <v>8014</v>
      </c>
      <c r="L1121" t="s">
        <v>7346</v>
      </c>
      <c r="M1121" t="s">
        <v>7250</v>
      </c>
      <c r="N1121">
        <v>2020</v>
      </c>
      <c r="R1121">
        <v>206</v>
      </c>
      <c r="S1121" t="s">
        <v>7251</v>
      </c>
      <c r="T1121">
        <v>2.13</v>
      </c>
      <c r="U1121">
        <v>991.55</v>
      </c>
      <c r="V1121">
        <v>17.7</v>
      </c>
      <c r="W1121">
        <v>17.649999999999999</v>
      </c>
      <c r="X1121">
        <v>17.7</v>
      </c>
      <c r="Y1121">
        <v>42</v>
      </c>
      <c r="Z1121" t="s">
        <v>7253</v>
      </c>
      <c r="AC1121" t="s">
        <v>7255</v>
      </c>
      <c r="AE1121" t="s">
        <v>643</v>
      </c>
      <c r="AH1121" t="s">
        <v>643</v>
      </c>
      <c r="AI1121" t="s">
        <v>7255</v>
      </c>
      <c r="AO1121" t="s">
        <v>14653</v>
      </c>
    </row>
    <row r="1122" spans="1:41" hidden="1" x14ac:dyDescent="0.35">
      <c r="A1122" t="s">
        <v>14654</v>
      </c>
      <c r="B1122" t="s">
        <v>7246</v>
      </c>
      <c r="C1122" t="s">
        <v>451</v>
      </c>
      <c r="D1122" t="s">
        <v>451</v>
      </c>
      <c r="E1122" t="s">
        <v>451</v>
      </c>
      <c r="G1122" s="13" t="s">
        <v>8011</v>
      </c>
      <c r="H1122" t="s">
        <v>8012</v>
      </c>
      <c r="I1122" t="s">
        <v>14655</v>
      </c>
      <c r="K1122" t="s">
        <v>8014</v>
      </c>
      <c r="L1122" t="s">
        <v>7346</v>
      </c>
      <c r="M1122" t="s">
        <v>7292</v>
      </c>
      <c r="N1122">
        <v>2023</v>
      </c>
      <c r="R1122">
        <v>70</v>
      </c>
      <c r="S1122" t="s">
        <v>7251</v>
      </c>
      <c r="T1122">
        <v>0.72</v>
      </c>
      <c r="U1122">
        <v>336.93</v>
      </c>
      <c r="V1122">
        <v>2.2999999999999998</v>
      </c>
      <c r="W1122">
        <v>21.17</v>
      </c>
      <c r="X1122">
        <v>2.2999999999999998</v>
      </c>
      <c r="Y1122">
        <v>42</v>
      </c>
      <c r="Z1122" t="s">
        <v>7253</v>
      </c>
      <c r="AC1122" t="s">
        <v>7255</v>
      </c>
      <c r="AE1122" t="s">
        <v>643</v>
      </c>
      <c r="AH1122" t="s">
        <v>643</v>
      </c>
      <c r="AI1122" t="s">
        <v>7255</v>
      </c>
      <c r="AO1122" t="s">
        <v>14656</v>
      </c>
    </row>
    <row r="1123" spans="1:41" hidden="1" x14ac:dyDescent="0.35">
      <c r="A1123" t="s">
        <v>14657</v>
      </c>
      <c r="B1123" t="s">
        <v>7246</v>
      </c>
      <c r="C1123" t="s">
        <v>451</v>
      </c>
      <c r="D1123" t="s">
        <v>451</v>
      </c>
      <c r="E1123" t="s">
        <v>451</v>
      </c>
      <c r="G1123" s="13" t="s">
        <v>7595</v>
      </c>
      <c r="H1123" t="s">
        <v>7596</v>
      </c>
      <c r="I1123" t="s">
        <v>14658</v>
      </c>
      <c r="J1123" t="s">
        <v>14659</v>
      </c>
      <c r="K1123" t="s">
        <v>7590</v>
      </c>
      <c r="L1123" t="s">
        <v>7590</v>
      </c>
      <c r="M1123" t="s">
        <v>7250</v>
      </c>
      <c r="N1123">
        <v>2020</v>
      </c>
      <c r="R1123">
        <v>500</v>
      </c>
      <c r="S1123" t="s">
        <v>7251</v>
      </c>
      <c r="T1123">
        <v>5.17</v>
      </c>
      <c r="U1123">
        <v>2406.67</v>
      </c>
      <c r="V1123">
        <v>35.4</v>
      </c>
      <c r="W1123">
        <v>34.19</v>
      </c>
      <c r="X1123">
        <v>35.4</v>
      </c>
      <c r="Y1123">
        <v>30</v>
      </c>
      <c r="Z1123" t="s">
        <v>7253</v>
      </c>
      <c r="AC1123" t="s">
        <v>7255</v>
      </c>
      <c r="AI1123" t="s">
        <v>7255</v>
      </c>
      <c r="AO1123" t="s">
        <v>14660</v>
      </c>
    </row>
    <row r="1124" spans="1:41" hidden="1" x14ac:dyDescent="0.35">
      <c r="A1124" t="s">
        <v>14661</v>
      </c>
      <c r="B1124" t="s">
        <v>7246</v>
      </c>
      <c r="C1124" t="s">
        <v>451</v>
      </c>
      <c r="D1124" t="s">
        <v>451</v>
      </c>
      <c r="E1124" t="s">
        <v>451</v>
      </c>
      <c r="G1124" s="13" t="s">
        <v>14662</v>
      </c>
      <c r="H1124" t="s">
        <v>14663</v>
      </c>
      <c r="K1124" t="s">
        <v>14664</v>
      </c>
      <c r="L1124" t="s">
        <v>14664</v>
      </c>
      <c r="M1124" t="s">
        <v>7415</v>
      </c>
      <c r="N1124">
        <v>2022</v>
      </c>
      <c r="R1124">
        <v>580</v>
      </c>
      <c r="S1124" t="s">
        <v>7251</v>
      </c>
      <c r="T1124">
        <v>6</v>
      </c>
      <c r="U1124">
        <v>2791.73</v>
      </c>
      <c r="V1124">
        <v>19.600000000000001</v>
      </c>
      <c r="W1124">
        <v>46.12</v>
      </c>
      <c r="X1124">
        <v>19.600000000000001</v>
      </c>
      <c r="Y1124" t="s">
        <v>7691</v>
      </c>
      <c r="Z1124" t="s">
        <v>7253</v>
      </c>
      <c r="AC1124" t="s">
        <v>7255</v>
      </c>
      <c r="AE1124" t="s">
        <v>513</v>
      </c>
      <c r="AH1124" t="s">
        <v>537</v>
      </c>
      <c r="AI1124" t="s">
        <v>7255</v>
      </c>
      <c r="AO1124" t="s">
        <v>14665</v>
      </c>
    </row>
    <row r="1125" spans="1:41" hidden="1" x14ac:dyDescent="0.35">
      <c r="A1125" t="s">
        <v>14666</v>
      </c>
      <c r="B1125" t="s">
        <v>7246</v>
      </c>
      <c r="C1125" t="s">
        <v>451</v>
      </c>
      <c r="D1125" t="s">
        <v>451</v>
      </c>
      <c r="E1125" t="s">
        <v>451</v>
      </c>
      <c r="G1125" s="13" t="s">
        <v>14667</v>
      </c>
      <c r="H1125" t="s">
        <v>14668</v>
      </c>
      <c r="K1125" t="s">
        <v>14669</v>
      </c>
      <c r="L1125" t="s">
        <v>14669</v>
      </c>
      <c r="M1125" t="s">
        <v>7250</v>
      </c>
      <c r="N1125">
        <v>1949</v>
      </c>
      <c r="S1125" t="s">
        <v>7251</v>
      </c>
      <c r="T1125">
        <v>0</v>
      </c>
      <c r="U1125">
        <v>0</v>
      </c>
      <c r="V1125">
        <v>80.5</v>
      </c>
      <c r="W1125">
        <v>162.07</v>
      </c>
      <c r="X1125">
        <v>80.5</v>
      </c>
      <c r="Y1125">
        <v>16</v>
      </c>
      <c r="Z1125" t="s">
        <v>7253</v>
      </c>
      <c r="AC1125" t="s">
        <v>7255</v>
      </c>
      <c r="AI1125" t="s">
        <v>7255</v>
      </c>
      <c r="AO1125" t="s">
        <v>14670</v>
      </c>
    </row>
    <row r="1126" spans="1:41" hidden="1" x14ac:dyDescent="0.35">
      <c r="A1126" t="s">
        <v>14671</v>
      </c>
      <c r="B1126" t="s">
        <v>7246</v>
      </c>
      <c r="C1126" t="s">
        <v>451</v>
      </c>
      <c r="D1126" t="s">
        <v>451</v>
      </c>
      <c r="E1126" t="s">
        <v>451</v>
      </c>
      <c r="G1126" s="13" t="s">
        <v>14667</v>
      </c>
      <c r="H1126" t="s">
        <v>14668</v>
      </c>
      <c r="I1126" t="s">
        <v>8683</v>
      </c>
      <c r="K1126" t="s">
        <v>14669</v>
      </c>
      <c r="L1126" t="s">
        <v>14669</v>
      </c>
      <c r="M1126" t="s">
        <v>7292</v>
      </c>
      <c r="N1126">
        <v>2024</v>
      </c>
      <c r="R1126">
        <v>200</v>
      </c>
      <c r="S1126" t="s">
        <v>7251</v>
      </c>
      <c r="T1126">
        <v>2.0699999999999998</v>
      </c>
      <c r="U1126">
        <v>962.67</v>
      </c>
      <c r="V1126">
        <v>0</v>
      </c>
      <c r="W1126" t="s">
        <v>6546</v>
      </c>
      <c r="X1126">
        <v>0</v>
      </c>
      <c r="Y1126">
        <v>36</v>
      </c>
      <c r="Z1126" t="s">
        <v>7253</v>
      </c>
      <c r="AC1126" t="s">
        <v>7255</v>
      </c>
      <c r="AE1126" t="s">
        <v>490</v>
      </c>
      <c r="AF1126" t="s">
        <v>14672</v>
      </c>
      <c r="AH1126" t="s">
        <v>490</v>
      </c>
      <c r="AI1126" t="s">
        <v>7255</v>
      </c>
      <c r="AO1126" t="s">
        <v>6546</v>
      </c>
    </row>
    <row r="1127" spans="1:41" hidden="1" x14ac:dyDescent="0.35">
      <c r="A1127" t="s">
        <v>14673</v>
      </c>
      <c r="B1127" t="s">
        <v>7246</v>
      </c>
      <c r="C1127" t="s">
        <v>451</v>
      </c>
      <c r="D1127" t="s">
        <v>451</v>
      </c>
      <c r="E1127" t="s">
        <v>451</v>
      </c>
      <c r="G1127" s="13" t="s">
        <v>8106</v>
      </c>
      <c r="H1127" t="s">
        <v>8107</v>
      </c>
      <c r="I1127" t="s">
        <v>14674</v>
      </c>
      <c r="K1127" t="s">
        <v>12661</v>
      </c>
      <c r="L1127" t="s">
        <v>7422</v>
      </c>
      <c r="M1127" t="s">
        <v>7250</v>
      </c>
      <c r="N1127">
        <v>2020</v>
      </c>
      <c r="R1127">
        <v>500</v>
      </c>
      <c r="S1127" t="s">
        <v>7251</v>
      </c>
      <c r="T1127">
        <v>5.17</v>
      </c>
      <c r="U1127">
        <v>2406.67</v>
      </c>
      <c r="V1127">
        <v>27.04</v>
      </c>
      <c r="W1127">
        <v>27.16</v>
      </c>
      <c r="X1127">
        <v>27.04</v>
      </c>
      <c r="Y1127">
        <v>30</v>
      </c>
      <c r="Z1127" t="s">
        <v>7253</v>
      </c>
      <c r="AA1127" t="s">
        <v>14675</v>
      </c>
      <c r="AC1127" t="s">
        <v>7255</v>
      </c>
      <c r="AE1127" t="s">
        <v>486</v>
      </c>
      <c r="AH1127" t="s">
        <v>486</v>
      </c>
      <c r="AI1127" t="s">
        <v>7255</v>
      </c>
      <c r="AO1127" t="s">
        <v>14676</v>
      </c>
    </row>
    <row r="1128" spans="1:41" hidden="1" x14ac:dyDescent="0.35">
      <c r="A1128" t="s">
        <v>14677</v>
      </c>
      <c r="B1128" t="s">
        <v>7246</v>
      </c>
      <c r="C1128" t="s">
        <v>451</v>
      </c>
      <c r="D1128" t="s">
        <v>451</v>
      </c>
      <c r="E1128" t="s">
        <v>451</v>
      </c>
      <c r="G1128" s="13" t="s">
        <v>7426</v>
      </c>
      <c r="H1128" t="s">
        <v>7427</v>
      </c>
      <c r="I1128" t="s">
        <v>14678</v>
      </c>
      <c r="K1128" t="s">
        <v>7429</v>
      </c>
      <c r="L1128" t="s">
        <v>7320</v>
      </c>
      <c r="M1128" t="s">
        <v>7415</v>
      </c>
      <c r="N1128">
        <v>2022</v>
      </c>
      <c r="R1128">
        <v>493</v>
      </c>
      <c r="S1128" t="s">
        <v>7251</v>
      </c>
      <c r="T1128">
        <v>5.0999999999999996</v>
      </c>
      <c r="U1128">
        <v>2372.9699999999998</v>
      </c>
      <c r="V1128">
        <v>0</v>
      </c>
      <c r="W1128" t="s">
        <v>6546</v>
      </c>
      <c r="X1128">
        <v>0</v>
      </c>
      <c r="AC1128" t="s">
        <v>7255</v>
      </c>
      <c r="AE1128" t="s">
        <v>530</v>
      </c>
      <c r="AH1128" t="s">
        <v>497</v>
      </c>
      <c r="AI1128" t="s">
        <v>7255</v>
      </c>
      <c r="AO1128" t="s">
        <v>6546</v>
      </c>
    </row>
    <row r="1129" spans="1:41" hidden="1" x14ac:dyDescent="0.35">
      <c r="A1129" t="s">
        <v>14679</v>
      </c>
      <c r="B1129" t="s">
        <v>7246</v>
      </c>
      <c r="C1129" t="s">
        <v>451</v>
      </c>
      <c r="D1129" t="s">
        <v>451</v>
      </c>
      <c r="E1129" t="s">
        <v>451</v>
      </c>
      <c r="G1129" s="13" t="s">
        <v>14680</v>
      </c>
      <c r="H1129" t="s">
        <v>14681</v>
      </c>
      <c r="K1129" t="s">
        <v>14682</v>
      </c>
      <c r="L1129" t="s">
        <v>7422</v>
      </c>
      <c r="M1129" t="s">
        <v>7292</v>
      </c>
      <c r="R1129">
        <v>1362</v>
      </c>
      <c r="S1129" t="s">
        <v>7251</v>
      </c>
      <c r="T1129">
        <v>14.09</v>
      </c>
      <c r="U1129">
        <v>6555.76</v>
      </c>
      <c r="V1129" t="s">
        <v>6546</v>
      </c>
      <c r="W1129" t="s">
        <v>6546</v>
      </c>
      <c r="X1129" t="s">
        <v>6546</v>
      </c>
      <c r="AC1129" t="s">
        <v>7255</v>
      </c>
      <c r="AE1129" t="s">
        <v>497</v>
      </c>
      <c r="AH1129" t="s">
        <v>497</v>
      </c>
      <c r="AI1129" t="s">
        <v>7255</v>
      </c>
      <c r="AO1129" t="s">
        <v>6546</v>
      </c>
    </row>
    <row r="1130" spans="1:41" hidden="1" x14ac:dyDescent="0.35">
      <c r="A1130" t="s">
        <v>14683</v>
      </c>
      <c r="B1130" t="s">
        <v>7246</v>
      </c>
      <c r="C1130" t="s">
        <v>451</v>
      </c>
      <c r="D1130" t="s">
        <v>451</v>
      </c>
      <c r="E1130" t="s">
        <v>451</v>
      </c>
      <c r="G1130" s="13" t="s">
        <v>7377</v>
      </c>
      <c r="H1130" t="s">
        <v>7378</v>
      </c>
      <c r="I1130" t="s">
        <v>14684</v>
      </c>
      <c r="K1130" t="s">
        <v>7379</v>
      </c>
      <c r="L1130" t="s">
        <v>7380</v>
      </c>
      <c r="M1130" t="s">
        <v>7250</v>
      </c>
      <c r="N1130">
        <v>2022</v>
      </c>
      <c r="R1130">
        <v>100</v>
      </c>
      <c r="S1130" t="s">
        <v>7251</v>
      </c>
      <c r="T1130">
        <v>1.03</v>
      </c>
      <c r="U1130">
        <v>481.33</v>
      </c>
      <c r="V1130">
        <v>0</v>
      </c>
      <c r="W1130" t="s">
        <v>6546</v>
      </c>
      <c r="X1130">
        <v>0</v>
      </c>
      <c r="AA1130" t="s">
        <v>14569</v>
      </c>
      <c r="AC1130" t="s">
        <v>7255</v>
      </c>
      <c r="AE1130" t="s">
        <v>812</v>
      </c>
      <c r="AH1130" t="s">
        <v>812</v>
      </c>
      <c r="AI1130" t="s">
        <v>7255</v>
      </c>
      <c r="AO1130" t="s">
        <v>6546</v>
      </c>
    </row>
    <row r="1131" spans="1:41" hidden="1" x14ac:dyDescent="0.35">
      <c r="A1131" t="s">
        <v>14685</v>
      </c>
      <c r="B1131" t="s">
        <v>7246</v>
      </c>
      <c r="C1131" t="s">
        <v>451</v>
      </c>
      <c r="D1131" t="s">
        <v>451</v>
      </c>
      <c r="E1131" t="s">
        <v>451</v>
      </c>
      <c r="G1131" s="13" t="s">
        <v>7595</v>
      </c>
      <c r="H1131" t="s">
        <v>7596</v>
      </c>
      <c r="I1131" t="s">
        <v>14686</v>
      </c>
      <c r="K1131" t="s">
        <v>7590</v>
      </c>
      <c r="L1131" t="s">
        <v>7590</v>
      </c>
      <c r="M1131" t="s">
        <v>7415</v>
      </c>
      <c r="N1131">
        <v>2022</v>
      </c>
      <c r="R1131">
        <v>48</v>
      </c>
      <c r="S1131" t="s">
        <v>7251</v>
      </c>
      <c r="T1131">
        <v>0.5</v>
      </c>
      <c r="U1131">
        <v>231.04</v>
      </c>
      <c r="V1131">
        <v>0</v>
      </c>
      <c r="W1131" t="s">
        <v>6546</v>
      </c>
      <c r="X1131">
        <v>0</v>
      </c>
      <c r="AC1131" t="s">
        <v>7255</v>
      </c>
      <c r="AE1131" t="s">
        <v>799</v>
      </c>
      <c r="AH1131" t="s">
        <v>799</v>
      </c>
      <c r="AI1131" t="s">
        <v>7255</v>
      </c>
      <c r="AO1131" t="s">
        <v>6546</v>
      </c>
    </row>
    <row r="1132" spans="1:41" hidden="1" x14ac:dyDescent="0.35">
      <c r="A1132" t="s">
        <v>14687</v>
      </c>
      <c r="B1132" t="s">
        <v>7246</v>
      </c>
      <c r="C1132" t="s">
        <v>451</v>
      </c>
      <c r="D1132" t="s">
        <v>451</v>
      </c>
      <c r="E1132" t="s">
        <v>451</v>
      </c>
      <c r="G1132" s="13" t="s">
        <v>7958</v>
      </c>
      <c r="H1132" t="s">
        <v>7959</v>
      </c>
      <c r="I1132" t="s">
        <v>14688</v>
      </c>
      <c r="K1132" t="s">
        <v>7960</v>
      </c>
      <c r="L1132" t="s">
        <v>7268</v>
      </c>
      <c r="M1132" t="s">
        <v>7415</v>
      </c>
      <c r="N1132">
        <v>2022</v>
      </c>
      <c r="R1132">
        <v>264</v>
      </c>
      <c r="S1132" t="s">
        <v>7251</v>
      </c>
      <c r="T1132">
        <v>2.73</v>
      </c>
      <c r="U1132">
        <v>1270.72</v>
      </c>
      <c r="V1132">
        <v>2.8</v>
      </c>
      <c r="W1132">
        <v>1.76</v>
      </c>
      <c r="X1132">
        <v>2.8</v>
      </c>
      <c r="Y1132" t="s">
        <v>8657</v>
      </c>
      <c r="Z1132" t="s">
        <v>7253</v>
      </c>
      <c r="AC1132" t="s">
        <v>7255</v>
      </c>
      <c r="AE1132" t="s">
        <v>664</v>
      </c>
      <c r="AH1132" t="s">
        <v>664</v>
      </c>
      <c r="AI1132" t="s">
        <v>7255</v>
      </c>
      <c r="AO1132" t="s">
        <v>14689</v>
      </c>
    </row>
    <row r="1133" spans="1:41" hidden="1" x14ac:dyDescent="0.35">
      <c r="A1133" t="s">
        <v>14690</v>
      </c>
      <c r="B1133" t="s">
        <v>7246</v>
      </c>
      <c r="C1133" t="s">
        <v>451</v>
      </c>
      <c r="D1133" t="s">
        <v>451</v>
      </c>
      <c r="E1133" t="s">
        <v>451</v>
      </c>
      <c r="G1133" s="13" t="s">
        <v>7909</v>
      </c>
      <c r="H1133" t="s">
        <v>7910</v>
      </c>
      <c r="I1133" t="s">
        <v>14691</v>
      </c>
      <c r="K1133" t="s">
        <v>14692</v>
      </c>
      <c r="L1133" t="s">
        <v>14692</v>
      </c>
      <c r="M1133" t="s">
        <v>7292</v>
      </c>
      <c r="N1133">
        <v>2022</v>
      </c>
      <c r="R1133">
        <v>40</v>
      </c>
      <c r="S1133" t="s">
        <v>7251</v>
      </c>
      <c r="T1133">
        <v>0.41</v>
      </c>
      <c r="U1133">
        <v>192.53</v>
      </c>
      <c r="V1133">
        <v>0</v>
      </c>
      <c r="W1133" t="s">
        <v>6546</v>
      </c>
      <c r="X1133">
        <v>0</v>
      </c>
      <c r="AC1133" t="s">
        <v>7255</v>
      </c>
      <c r="AE1133" t="s">
        <v>479</v>
      </c>
      <c r="AH1133" t="s">
        <v>479</v>
      </c>
      <c r="AI1133" t="s">
        <v>7255</v>
      </c>
      <c r="AO1133" t="s">
        <v>6546</v>
      </c>
    </row>
    <row r="1134" spans="1:41" hidden="1" x14ac:dyDescent="0.35">
      <c r="A1134" t="s">
        <v>14693</v>
      </c>
      <c r="B1134" t="s">
        <v>7246</v>
      </c>
      <c r="C1134" t="s">
        <v>451</v>
      </c>
      <c r="D1134" t="s">
        <v>451</v>
      </c>
      <c r="E1134" t="s">
        <v>451</v>
      </c>
      <c r="G1134" s="13" t="s">
        <v>14694</v>
      </c>
      <c r="H1134" t="s">
        <v>14695</v>
      </c>
      <c r="K1134" t="s">
        <v>14696</v>
      </c>
      <c r="L1134" t="s">
        <v>14697</v>
      </c>
      <c r="M1134" t="s">
        <v>7250</v>
      </c>
      <c r="T1134" t="s">
        <v>6546</v>
      </c>
      <c r="U1134" t="s">
        <v>6546</v>
      </c>
      <c r="V1134">
        <v>423.3</v>
      </c>
      <c r="W1134">
        <v>412.01</v>
      </c>
      <c r="X1134">
        <v>423.3</v>
      </c>
      <c r="AC1134" t="s">
        <v>7255</v>
      </c>
      <c r="AE1134" t="s">
        <v>475</v>
      </c>
      <c r="AH1134" t="s">
        <v>543</v>
      </c>
      <c r="AI1134" t="s">
        <v>7255</v>
      </c>
      <c r="AO1134" t="s">
        <v>14698</v>
      </c>
    </row>
    <row r="1135" spans="1:41" hidden="1" x14ac:dyDescent="0.35">
      <c r="A1135" t="s">
        <v>14699</v>
      </c>
      <c r="B1135" t="s">
        <v>7246</v>
      </c>
      <c r="C1135" t="s">
        <v>451</v>
      </c>
      <c r="D1135" t="s">
        <v>451</v>
      </c>
      <c r="E1135" t="s">
        <v>451</v>
      </c>
      <c r="G1135" s="13" t="s">
        <v>14694</v>
      </c>
      <c r="H1135" t="s">
        <v>14695</v>
      </c>
      <c r="I1135" t="s">
        <v>14700</v>
      </c>
      <c r="K1135" t="s">
        <v>14696</v>
      </c>
      <c r="L1135" t="s">
        <v>14697</v>
      </c>
      <c r="M1135" t="s">
        <v>7292</v>
      </c>
      <c r="N1135">
        <v>2022</v>
      </c>
      <c r="R1135">
        <v>75</v>
      </c>
      <c r="S1135" t="s">
        <v>7251</v>
      </c>
      <c r="T1135">
        <v>0.78</v>
      </c>
      <c r="U1135">
        <v>361</v>
      </c>
      <c r="V1135">
        <v>0</v>
      </c>
      <c r="W1135" t="s">
        <v>6546</v>
      </c>
      <c r="X1135">
        <v>0</v>
      </c>
      <c r="AC1135" t="s">
        <v>7255</v>
      </c>
      <c r="AE1135" t="s">
        <v>543</v>
      </c>
      <c r="AH1135" t="s">
        <v>543</v>
      </c>
      <c r="AI1135" t="s">
        <v>7255</v>
      </c>
      <c r="AO1135" t="s">
        <v>6546</v>
      </c>
    </row>
    <row r="1136" spans="1:41" hidden="1" x14ac:dyDescent="0.35">
      <c r="A1136" t="s">
        <v>14701</v>
      </c>
      <c r="B1136" t="s">
        <v>7246</v>
      </c>
      <c r="C1136" t="s">
        <v>451</v>
      </c>
      <c r="D1136" t="s">
        <v>451</v>
      </c>
      <c r="E1136" t="s">
        <v>451</v>
      </c>
      <c r="G1136" s="13" t="s">
        <v>7727</v>
      </c>
      <c r="H1136" t="s">
        <v>7728</v>
      </c>
      <c r="I1136" t="s">
        <v>14702</v>
      </c>
      <c r="K1136" t="s">
        <v>7729</v>
      </c>
      <c r="L1136" t="s">
        <v>7730</v>
      </c>
      <c r="M1136" t="s">
        <v>7292</v>
      </c>
      <c r="N1136">
        <v>2023</v>
      </c>
      <c r="R1136">
        <v>300</v>
      </c>
      <c r="S1136" t="s">
        <v>7251</v>
      </c>
      <c r="T1136">
        <v>3.1</v>
      </c>
      <c r="U1136">
        <v>1444</v>
      </c>
      <c r="V1136">
        <v>117.48</v>
      </c>
      <c r="W1136">
        <v>117.3</v>
      </c>
      <c r="X1136">
        <v>117.48</v>
      </c>
      <c r="Y1136" t="s">
        <v>11751</v>
      </c>
      <c r="Z1136" t="s">
        <v>7253</v>
      </c>
      <c r="AC1136" t="s">
        <v>7255</v>
      </c>
      <c r="AE1136" t="s">
        <v>6373</v>
      </c>
      <c r="AG1136" t="s">
        <v>14703</v>
      </c>
      <c r="AH1136" t="s">
        <v>14704</v>
      </c>
      <c r="AI1136" t="s">
        <v>7255</v>
      </c>
      <c r="AO1136" t="s">
        <v>14705</v>
      </c>
    </row>
    <row r="1137" spans="1:41" hidden="1" x14ac:dyDescent="0.35">
      <c r="A1137" t="s">
        <v>14706</v>
      </c>
      <c r="B1137" t="s">
        <v>7246</v>
      </c>
      <c r="C1137" t="s">
        <v>451</v>
      </c>
      <c r="D1137" t="s">
        <v>406</v>
      </c>
      <c r="E1137" t="s">
        <v>7701</v>
      </c>
      <c r="G1137" s="13" t="s">
        <v>14707</v>
      </c>
      <c r="H1137" t="s">
        <v>14708</v>
      </c>
      <c r="K1137" t="s">
        <v>8471</v>
      </c>
      <c r="L1137" t="s">
        <v>8471</v>
      </c>
      <c r="M1137" t="s">
        <v>7250</v>
      </c>
      <c r="N1137">
        <v>2013</v>
      </c>
      <c r="R1137">
        <v>366</v>
      </c>
      <c r="S1137" t="s">
        <v>7251</v>
      </c>
      <c r="T1137">
        <v>3.79</v>
      </c>
      <c r="U1137">
        <v>1761.68</v>
      </c>
      <c r="V1137">
        <v>0.5</v>
      </c>
      <c r="W1137">
        <v>1.62</v>
      </c>
      <c r="X1137">
        <v>0.5</v>
      </c>
      <c r="Y1137">
        <v>36</v>
      </c>
      <c r="Z1137" t="s">
        <v>7253</v>
      </c>
      <c r="AC1137" t="s">
        <v>7255</v>
      </c>
      <c r="AI1137" t="s">
        <v>7255</v>
      </c>
      <c r="AL1137" t="s">
        <v>14709</v>
      </c>
      <c r="AN1137" s="13" t="s">
        <v>14710</v>
      </c>
      <c r="AO1137" t="s">
        <v>14711</v>
      </c>
    </row>
    <row r="1138" spans="1:41" hidden="1" x14ac:dyDescent="0.35">
      <c r="A1138" t="s">
        <v>14712</v>
      </c>
      <c r="B1138" t="s">
        <v>7246</v>
      </c>
      <c r="C1138" t="s">
        <v>451</v>
      </c>
      <c r="D1138" t="s">
        <v>451</v>
      </c>
      <c r="E1138" t="s">
        <v>451</v>
      </c>
      <c r="G1138" s="13" t="s">
        <v>7770</v>
      </c>
      <c r="H1138" t="s">
        <v>7771</v>
      </c>
      <c r="I1138" t="s">
        <v>14713</v>
      </c>
      <c r="K1138" t="s">
        <v>7772</v>
      </c>
      <c r="L1138" t="s">
        <v>7320</v>
      </c>
      <c r="M1138" t="s">
        <v>7292</v>
      </c>
      <c r="N1138">
        <v>2022</v>
      </c>
      <c r="R1138">
        <v>450</v>
      </c>
      <c r="S1138" t="s">
        <v>7251</v>
      </c>
      <c r="T1138">
        <v>4.6500000000000004</v>
      </c>
      <c r="U1138">
        <v>2166</v>
      </c>
      <c r="V1138">
        <v>0</v>
      </c>
      <c r="W1138" t="s">
        <v>6546</v>
      </c>
      <c r="X1138">
        <v>0</v>
      </c>
      <c r="AB1138" t="s">
        <v>7773</v>
      </c>
      <c r="AC1138" t="s">
        <v>7255</v>
      </c>
      <c r="AE1138" t="s">
        <v>976</v>
      </c>
      <c r="AF1138" t="s">
        <v>7774</v>
      </c>
      <c r="AH1138" t="s">
        <v>490</v>
      </c>
      <c r="AI1138" t="s">
        <v>7255</v>
      </c>
      <c r="AO1138" t="s">
        <v>6546</v>
      </c>
    </row>
    <row r="1139" spans="1:41" hidden="1" x14ac:dyDescent="0.35">
      <c r="A1139" t="s">
        <v>14714</v>
      </c>
      <c r="B1139" t="s">
        <v>7246</v>
      </c>
      <c r="C1139" t="s">
        <v>451</v>
      </c>
      <c r="D1139" t="s">
        <v>451</v>
      </c>
      <c r="E1139" t="s">
        <v>451</v>
      </c>
      <c r="G1139" s="13" t="s">
        <v>14715</v>
      </c>
      <c r="H1139" t="s">
        <v>14716</v>
      </c>
      <c r="K1139" t="s">
        <v>14717</v>
      </c>
      <c r="L1139" t="s">
        <v>14717</v>
      </c>
      <c r="M1139" t="s">
        <v>7250</v>
      </c>
      <c r="N1139">
        <v>2019</v>
      </c>
      <c r="R1139">
        <v>120</v>
      </c>
      <c r="S1139" t="s">
        <v>7251</v>
      </c>
      <c r="T1139">
        <v>1.24</v>
      </c>
      <c r="U1139">
        <v>577.6</v>
      </c>
      <c r="V1139">
        <v>20.9</v>
      </c>
      <c r="W1139">
        <v>17.760000000000002</v>
      </c>
      <c r="X1139">
        <v>20.9</v>
      </c>
      <c r="Y1139">
        <v>24</v>
      </c>
      <c r="Z1139" t="s">
        <v>7253</v>
      </c>
      <c r="AC1139" t="s">
        <v>7255</v>
      </c>
      <c r="AE1139" t="s">
        <v>6337</v>
      </c>
      <c r="AH1139" t="s">
        <v>6337</v>
      </c>
      <c r="AI1139" t="s">
        <v>7255</v>
      </c>
      <c r="AO1139" t="s">
        <v>14718</v>
      </c>
    </row>
    <row r="1140" spans="1:41" hidden="1" x14ac:dyDescent="0.35">
      <c r="A1140" t="s">
        <v>14719</v>
      </c>
      <c r="B1140" t="s">
        <v>7246</v>
      </c>
      <c r="C1140" t="s">
        <v>451</v>
      </c>
      <c r="D1140" t="s">
        <v>451</v>
      </c>
      <c r="E1140" t="s">
        <v>451</v>
      </c>
      <c r="G1140" s="13" t="s">
        <v>8011</v>
      </c>
      <c r="H1140" t="s">
        <v>8012</v>
      </c>
      <c r="I1140" t="s">
        <v>14720</v>
      </c>
      <c r="J1140" t="s">
        <v>14721</v>
      </c>
      <c r="K1140" t="s">
        <v>8014</v>
      </c>
      <c r="L1140" t="s">
        <v>7346</v>
      </c>
      <c r="M1140" t="s">
        <v>7269</v>
      </c>
      <c r="N1140">
        <v>2020</v>
      </c>
      <c r="R1140">
        <v>400</v>
      </c>
      <c r="S1140" t="s">
        <v>7251</v>
      </c>
      <c r="T1140">
        <v>4.1399999999999997</v>
      </c>
      <c r="U1140">
        <v>1925.33</v>
      </c>
      <c r="V1140">
        <v>60</v>
      </c>
      <c r="W1140">
        <v>40.58</v>
      </c>
      <c r="X1140">
        <v>60</v>
      </c>
      <c r="Y1140">
        <v>42</v>
      </c>
      <c r="Z1140" t="s">
        <v>7253</v>
      </c>
      <c r="AB1140" t="s">
        <v>7348</v>
      </c>
      <c r="AC1140" t="s">
        <v>7255</v>
      </c>
      <c r="AE1140" t="s">
        <v>513</v>
      </c>
      <c r="AF1140" t="s">
        <v>14722</v>
      </c>
      <c r="AH1140" t="s">
        <v>548</v>
      </c>
      <c r="AI1140" t="s">
        <v>7255</v>
      </c>
      <c r="AO1140" t="s">
        <v>14723</v>
      </c>
    </row>
    <row r="1141" spans="1:41" hidden="1" x14ac:dyDescent="0.35">
      <c r="A1141" t="s">
        <v>14724</v>
      </c>
      <c r="B1141" t="s">
        <v>7246</v>
      </c>
      <c r="C1141" t="s">
        <v>451</v>
      </c>
      <c r="D1141" t="s">
        <v>368</v>
      </c>
      <c r="E1141" t="s">
        <v>7281</v>
      </c>
      <c r="G1141" s="13" t="s">
        <v>8111</v>
      </c>
      <c r="H1141" t="s">
        <v>8112</v>
      </c>
      <c r="I1141" t="s">
        <v>14725</v>
      </c>
      <c r="K1141" t="s">
        <v>8113</v>
      </c>
      <c r="L1141" t="s">
        <v>8114</v>
      </c>
      <c r="M1141" t="s">
        <v>7731</v>
      </c>
      <c r="N1141">
        <v>2024</v>
      </c>
      <c r="R1141">
        <v>350</v>
      </c>
      <c r="S1141" t="s">
        <v>7251</v>
      </c>
      <c r="T1141">
        <v>3.62</v>
      </c>
      <c r="U1141">
        <v>1684.67</v>
      </c>
      <c r="V1141">
        <v>3.38</v>
      </c>
      <c r="W1141">
        <v>158.47999999999999</v>
      </c>
      <c r="X1141">
        <v>3.38</v>
      </c>
      <c r="Y1141">
        <v>24</v>
      </c>
      <c r="Z1141" t="s">
        <v>7253</v>
      </c>
      <c r="AC1141" t="s">
        <v>7255</v>
      </c>
      <c r="AE1141" t="s">
        <v>548</v>
      </c>
      <c r="AH1141" t="s">
        <v>983</v>
      </c>
      <c r="AI1141" t="s">
        <v>7255</v>
      </c>
      <c r="AO1141" t="s">
        <v>14726</v>
      </c>
    </row>
    <row r="1142" spans="1:41" hidden="1" x14ac:dyDescent="0.35">
      <c r="A1142" t="s">
        <v>14727</v>
      </c>
      <c r="B1142" t="s">
        <v>7246</v>
      </c>
      <c r="C1142" t="s">
        <v>451</v>
      </c>
      <c r="D1142" t="s">
        <v>451</v>
      </c>
      <c r="E1142" t="s">
        <v>451</v>
      </c>
      <c r="G1142" s="13" t="s">
        <v>8111</v>
      </c>
      <c r="H1142" t="s">
        <v>8112</v>
      </c>
      <c r="I1142" t="s">
        <v>14728</v>
      </c>
      <c r="K1142" t="s">
        <v>8113</v>
      </c>
      <c r="L1142" t="s">
        <v>8114</v>
      </c>
      <c r="M1142" t="s">
        <v>7292</v>
      </c>
      <c r="N1142">
        <v>2024</v>
      </c>
      <c r="R1142">
        <v>497</v>
      </c>
      <c r="S1142" t="s">
        <v>7251</v>
      </c>
      <c r="T1142">
        <v>5.14</v>
      </c>
      <c r="U1142">
        <v>2392.23</v>
      </c>
      <c r="V1142">
        <v>162.54</v>
      </c>
      <c r="W1142">
        <v>160.28</v>
      </c>
      <c r="X1142">
        <v>162.54</v>
      </c>
      <c r="Y1142">
        <v>24</v>
      </c>
      <c r="Z1142" t="s">
        <v>7253</v>
      </c>
      <c r="AB1142" t="s">
        <v>14729</v>
      </c>
      <c r="AC1142" t="s">
        <v>7255</v>
      </c>
      <c r="AE1142" t="s">
        <v>513</v>
      </c>
      <c r="AF1142" t="s">
        <v>14730</v>
      </c>
      <c r="AH1142" t="s">
        <v>548</v>
      </c>
      <c r="AI1142" t="s">
        <v>7255</v>
      </c>
      <c r="AO1142" t="s">
        <v>14731</v>
      </c>
    </row>
    <row r="1143" spans="1:41" hidden="1" x14ac:dyDescent="0.35">
      <c r="A1143" t="s">
        <v>14732</v>
      </c>
      <c r="B1143" t="s">
        <v>7246</v>
      </c>
      <c r="C1143" t="s">
        <v>451</v>
      </c>
      <c r="D1143" t="s">
        <v>451</v>
      </c>
      <c r="E1143" t="s">
        <v>451</v>
      </c>
      <c r="G1143" s="13" t="s">
        <v>7513</v>
      </c>
      <c r="H1143" t="s">
        <v>7514</v>
      </c>
      <c r="I1143" t="s">
        <v>14733</v>
      </c>
      <c r="K1143" t="s">
        <v>8471</v>
      </c>
      <c r="L1143" t="s">
        <v>8471</v>
      </c>
      <c r="M1143" t="s">
        <v>7250</v>
      </c>
      <c r="N1143">
        <v>2020</v>
      </c>
      <c r="R1143">
        <v>320</v>
      </c>
      <c r="S1143" t="s">
        <v>7251</v>
      </c>
      <c r="T1143">
        <v>3.31</v>
      </c>
      <c r="U1143">
        <v>1540.27</v>
      </c>
      <c r="V1143">
        <v>23.3</v>
      </c>
      <c r="W1143" t="s">
        <v>6546</v>
      </c>
      <c r="X1143">
        <v>23.3</v>
      </c>
      <c r="Y1143">
        <v>24</v>
      </c>
      <c r="Z1143" t="s">
        <v>7253</v>
      </c>
      <c r="AC1143" t="s">
        <v>7255</v>
      </c>
      <c r="AE1143" t="s">
        <v>486</v>
      </c>
      <c r="AH1143" t="s">
        <v>486</v>
      </c>
      <c r="AI1143" t="s">
        <v>7255</v>
      </c>
      <c r="AO1143" t="s">
        <v>6546</v>
      </c>
    </row>
    <row r="1144" spans="1:41" hidden="1" x14ac:dyDescent="0.35">
      <c r="A1144" t="s">
        <v>14734</v>
      </c>
      <c r="B1144" t="s">
        <v>7246</v>
      </c>
      <c r="C1144" t="s">
        <v>451</v>
      </c>
      <c r="D1144" t="s">
        <v>451</v>
      </c>
      <c r="E1144" t="s">
        <v>451</v>
      </c>
      <c r="G1144" s="13" t="s">
        <v>14735</v>
      </c>
      <c r="H1144" t="s">
        <v>14736</v>
      </c>
      <c r="I1144" t="s">
        <v>14737</v>
      </c>
      <c r="K1144" t="s">
        <v>14738</v>
      </c>
      <c r="L1144" t="s">
        <v>7652</v>
      </c>
      <c r="M1144" t="s">
        <v>7250</v>
      </c>
      <c r="N1144">
        <v>2019</v>
      </c>
      <c r="R1144">
        <v>101.41</v>
      </c>
      <c r="S1144" t="s">
        <v>7251</v>
      </c>
      <c r="T1144">
        <v>1.05</v>
      </c>
      <c r="U1144">
        <v>488.13</v>
      </c>
      <c r="V1144">
        <v>30.3</v>
      </c>
      <c r="W1144">
        <v>22.28</v>
      </c>
      <c r="X1144">
        <v>30.3</v>
      </c>
      <c r="Y1144" t="s">
        <v>7471</v>
      </c>
      <c r="Z1144" t="s">
        <v>7253</v>
      </c>
      <c r="AC1144" t="s">
        <v>7255</v>
      </c>
      <c r="AE1144" t="s">
        <v>759</v>
      </c>
      <c r="AH1144" t="s">
        <v>759</v>
      </c>
      <c r="AI1144" t="s">
        <v>7255</v>
      </c>
      <c r="AO1144" t="s">
        <v>14739</v>
      </c>
    </row>
    <row r="1145" spans="1:41" hidden="1" x14ac:dyDescent="0.35">
      <c r="A1145" t="s">
        <v>14740</v>
      </c>
      <c r="B1145" t="s">
        <v>7246</v>
      </c>
      <c r="C1145" t="s">
        <v>451</v>
      </c>
      <c r="D1145" t="s">
        <v>451</v>
      </c>
      <c r="E1145" t="s">
        <v>451</v>
      </c>
      <c r="G1145" s="13" t="s">
        <v>14735</v>
      </c>
      <c r="H1145" t="s">
        <v>14736</v>
      </c>
      <c r="K1145" t="s">
        <v>14738</v>
      </c>
      <c r="L1145" t="s">
        <v>7652</v>
      </c>
      <c r="M1145" t="s">
        <v>7250</v>
      </c>
      <c r="N1145">
        <v>1930</v>
      </c>
      <c r="R1145">
        <v>5576</v>
      </c>
      <c r="S1145" t="s">
        <v>7251</v>
      </c>
      <c r="T1145">
        <v>57.67</v>
      </c>
      <c r="U1145">
        <v>26839.15</v>
      </c>
      <c r="V1145">
        <v>23496.42</v>
      </c>
      <c r="W1145">
        <v>5616</v>
      </c>
      <c r="X1145">
        <v>23496.42</v>
      </c>
      <c r="AB1145" t="s">
        <v>8102</v>
      </c>
      <c r="AC1145" t="s">
        <v>7255</v>
      </c>
      <c r="AE1145" t="s">
        <v>486</v>
      </c>
      <c r="AH1145" t="s">
        <v>14741</v>
      </c>
      <c r="AI1145" t="s">
        <v>7255</v>
      </c>
      <c r="AO1145" t="s">
        <v>14742</v>
      </c>
    </row>
    <row r="1146" spans="1:41" hidden="1" x14ac:dyDescent="0.35">
      <c r="A1146" t="s">
        <v>14743</v>
      </c>
      <c r="B1146" t="s">
        <v>7246</v>
      </c>
      <c r="C1146" t="s">
        <v>451</v>
      </c>
      <c r="D1146" t="s">
        <v>451</v>
      </c>
      <c r="E1146" t="s">
        <v>451</v>
      </c>
      <c r="G1146" s="13" t="s">
        <v>14744</v>
      </c>
      <c r="H1146" t="s">
        <v>14745</v>
      </c>
      <c r="K1146" t="s">
        <v>14746</v>
      </c>
      <c r="L1146" t="s">
        <v>7422</v>
      </c>
      <c r="M1146" t="s">
        <v>7731</v>
      </c>
      <c r="N1146">
        <v>2023</v>
      </c>
      <c r="R1146">
        <v>2000</v>
      </c>
      <c r="S1146" t="s">
        <v>7251</v>
      </c>
      <c r="T1146">
        <v>20.69</v>
      </c>
      <c r="U1146">
        <v>9626.67</v>
      </c>
      <c r="V1146" t="s">
        <v>6546</v>
      </c>
      <c r="W1146" t="s">
        <v>6546</v>
      </c>
      <c r="X1146" t="s">
        <v>6546</v>
      </c>
      <c r="AA1146" t="s">
        <v>14747</v>
      </c>
      <c r="AC1146" t="s">
        <v>7255</v>
      </c>
      <c r="AE1146" t="s">
        <v>486</v>
      </c>
      <c r="AH1146" t="s">
        <v>497</v>
      </c>
      <c r="AI1146" t="s">
        <v>7255</v>
      </c>
      <c r="AO1146" t="s">
        <v>6546</v>
      </c>
    </row>
    <row r="1147" spans="1:41" hidden="1" x14ac:dyDescent="0.35">
      <c r="A1147" t="s">
        <v>14748</v>
      </c>
      <c r="B1147" t="s">
        <v>7246</v>
      </c>
      <c r="C1147" t="s">
        <v>451</v>
      </c>
      <c r="D1147" t="s">
        <v>368</v>
      </c>
      <c r="E1147" t="s">
        <v>7281</v>
      </c>
      <c r="G1147" s="13" t="s">
        <v>7850</v>
      </c>
      <c r="H1147" t="s">
        <v>7851</v>
      </c>
      <c r="I1147" t="s">
        <v>14749</v>
      </c>
      <c r="K1147" t="s">
        <v>14750</v>
      </c>
      <c r="L1147" t="s">
        <v>14750</v>
      </c>
      <c r="M1147" t="s">
        <v>7250</v>
      </c>
      <c r="N1147">
        <v>2020</v>
      </c>
      <c r="R1147">
        <v>24</v>
      </c>
      <c r="S1147" t="s">
        <v>7251</v>
      </c>
      <c r="T1147">
        <v>0.25</v>
      </c>
      <c r="U1147">
        <v>115.52</v>
      </c>
      <c r="V1147">
        <v>0</v>
      </c>
      <c r="W1147" t="s">
        <v>6546</v>
      </c>
      <c r="X1147">
        <v>0</v>
      </c>
      <c r="AC1147" t="s">
        <v>7255</v>
      </c>
      <c r="AE1147" t="s">
        <v>7853</v>
      </c>
      <c r="AH1147" t="s">
        <v>986</v>
      </c>
      <c r="AI1147" t="s">
        <v>7255</v>
      </c>
      <c r="AO1147" t="s">
        <v>6546</v>
      </c>
    </row>
    <row r="1148" spans="1:41" hidden="1" x14ac:dyDescent="0.35">
      <c r="A1148" t="s">
        <v>14751</v>
      </c>
      <c r="B1148" t="s">
        <v>7246</v>
      </c>
      <c r="C1148" t="s">
        <v>451</v>
      </c>
      <c r="D1148" t="s">
        <v>451</v>
      </c>
      <c r="E1148" t="s">
        <v>451</v>
      </c>
      <c r="G1148" s="13" t="s">
        <v>7550</v>
      </c>
      <c r="H1148" t="s">
        <v>7551</v>
      </c>
      <c r="I1148" t="s">
        <v>14752</v>
      </c>
      <c r="K1148" t="s">
        <v>7552</v>
      </c>
      <c r="L1148" t="s">
        <v>7553</v>
      </c>
      <c r="M1148" t="s">
        <v>7250</v>
      </c>
      <c r="N1148">
        <v>2022</v>
      </c>
      <c r="R1148">
        <v>169</v>
      </c>
      <c r="S1148" t="s">
        <v>7251</v>
      </c>
      <c r="T1148">
        <v>1.75</v>
      </c>
      <c r="U1148">
        <v>813.45</v>
      </c>
      <c r="V1148">
        <v>30.3</v>
      </c>
      <c r="W1148">
        <v>35.880000000000003</v>
      </c>
      <c r="X1148">
        <v>30.3</v>
      </c>
      <c r="Y1148">
        <v>30</v>
      </c>
      <c r="Z1148" t="s">
        <v>7253</v>
      </c>
      <c r="AC1148" t="s">
        <v>7255</v>
      </c>
      <c r="AE1148" t="s">
        <v>764</v>
      </c>
      <c r="AF1148" t="s">
        <v>14753</v>
      </c>
      <c r="AH1148" t="s">
        <v>764</v>
      </c>
      <c r="AI1148" t="s">
        <v>7255</v>
      </c>
      <c r="AO1148" t="s">
        <v>14754</v>
      </c>
    </row>
    <row r="1149" spans="1:41" hidden="1" x14ac:dyDescent="0.35">
      <c r="A1149" t="s">
        <v>14755</v>
      </c>
      <c r="B1149" t="s">
        <v>7246</v>
      </c>
      <c r="C1149" t="s">
        <v>451</v>
      </c>
      <c r="D1149" t="s">
        <v>451</v>
      </c>
      <c r="E1149" t="s">
        <v>451</v>
      </c>
      <c r="G1149" s="13" t="s">
        <v>14756</v>
      </c>
      <c r="H1149" t="s">
        <v>14757</v>
      </c>
      <c r="K1149" t="s">
        <v>14333</v>
      </c>
      <c r="L1149" t="s">
        <v>14333</v>
      </c>
      <c r="M1149" t="s">
        <v>7250</v>
      </c>
      <c r="N1149">
        <v>2018</v>
      </c>
      <c r="R1149">
        <v>1400</v>
      </c>
      <c r="S1149" t="s">
        <v>7251</v>
      </c>
      <c r="T1149">
        <v>14.48</v>
      </c>
      <c r="U1149">
        <v>6738.67</v>
      </c>
      <c r="V1149">
        <v>128.69999999999999</v>
      </c>
      <c r="W1149">
        <v>126.67</v>
      </c>
      <c r="X1149">
        <v>128.69999999999999</v>
      </c>
      <c r="Y1149" t="s">
        <v>14758</v>
      </c>
      <c r="Z1149" t="s">
        <v>7253</v>
      </c>
      <c r="AC1149" t="s">
        <v>7255</v>
      </c>
      <c r="AE1149" t="s">
        <v>486</v>
      </c>
      <c r="AH1149" t="s">
        <v>486</v>
      </c>
      <c r="AI1149" t="s">
        <v>7255</v>
      </c>
      <c r="AO1149" t="s">
        <v>14759</v>
      </c>
    </row>
    <row r="1150" spans="1:41" hidden="1" x14ac:dyDescent="0.35">
      <c r="A1150" t="s">
        <v>14760</v>
      </c>
      <c r="B1150" t="s">
        <v>7246</v>
      </c>
      <c r="C1150" t="s">
        <v>451</v>
      </c>
      <c r="D1150" t="s">
        <v>451</v>
      </c>
      <c r="E1150" t="s">
        <v>451</v>
      </c>
      <c r="G1150" s="13" t="s">
        <v>8011</v>
      </c>
      <c r="H1150" t="s">
        <v>8012</v>
      </c>
      <c r="I1150" t="s">
        <v>14761</v>
      </c>
      <c r="K1150" t="s">
        <v>8014</v>
      </c>
      <c r="L1150" t="s">
        <v>7346</v>
      </c>
      <c r="M1150" t="s">
        <v>7292</v>
      </c>
      <c r="N1150">
        <v>2023</v>
      </c>
      <c r="R1150">
        <v>1050</v>
      </c>
      <c r="S1150" t="s">
        <v>7251</v>
      </c>
      <c r="T1150">
        <v>10.86</v>
      </c>
      <c r="U1150">
        <v>5054</v>
      </c>
      <c r="V1150">
        <v>54.7</v>
      </c>
      <c r="W1150">
        <v>55.71</v>
      </c>
      <c r="X1150">
        <v>54.7</v>
      </c>
      <c r="Y1150" t="s">
        <v>7252</v>
      </c>
      <c r="Z1150" t="s">
        <v>7253</v>
      </c>
      <c r="AC1150" t="s">
        <v>7255</v>
      </c>
      <c r="AE1150" t="s">
        <v>513</v>
      </c>
      <c r="AH1150" t="s">
        <v>664</v>
      </c>
      <c r="AI1150" t="s">
        <v>7255</v>
      </c>
      <c r="AO1150" t="s">
        <v>14762</v>
      </c>
    </row>
    <row r="1151" spans="1:41" hidden="1" x14ac:dyDescent="0.35">
      <c r="A1151" t="s">
        <v>14763</v>
      </c>
      <c r="B1151" t="s">
        <v>7246</v>
      </c>
      <c r="C1151" t="s">
        <v>451</v>
      </c>
      <c r="D1151" t="s">
        <v>451</v>
      </c>
      <c r="E1151" t="s">
        <v>451</v>
      </c>
      <c r="G1151" s="13" t="s">
        <v>8097</v>
      </c>
      <c r="H1151" t="s">
        <v>8098</v>
      </c>
      <c r="I1151" t="s">
        <v>12786</v>
      </c>
      <c r="K1151" t="s">
        <v>8100</v>
      </c>
      <c r="L1151" t="s">
        <v>8101</v>
      </c>
      <c r="M1151" t="s">
        <v>7250</v>
      </c>
      <c r="T1151" t="s">
        <v>6546</v>
      </c>
      <c r="U1151" t="s">
        <v>6546</v>
      </c>
      <c r="V1151">
        <v>0</v>
      </c>
      <c r="W1151" t="s">
        <v>6546</v>
      </c>
      <c r="X1151">
        <v>0</v>
      </c>
      <c r="AA1151" t="s">
        <v>8102</v>
      </c>
      <c r="AB1151" t="s">
        <v>7257</v>
      </c>
      <c r="AC1151" t="s">
        <v>7255</v>
      </c>
      <c r="AE1151" t="s">
        <v>486</v>
      </c>
      <c r="AF1151" t="s">
        <v>8103</v>
      </c>
      <c r="AH1151" t="s">
        <v>486</v>
      </c>
      <c r="AI1151" t="s">
        <v>7255</v>
      </c>
      <c r="AO1151" t="s">
        <v>6546</v>
      </c>
    </row>
    <row r="1152" spans="1:41" hidden="1" x14ac:dyDescent="0.35">
      <c r="A1152" t="s">
        <v>14764</v>
      </c>
      <c r="B1152" t="s">
        <v>7246</v>
      </c>
      <c r="C1152" t="s">
        <v>451</v>
      </c>
      <c r="D1152" t="s">
        <v>451</v>
      </c>
      <c r="E1152" t="s">
        <v>451</v>
      </c>
      <c r="G1152" s="13" t="s">
        <v>8097</v>
      </c>
      <c r="H1152" t="s">
        <v>8098</v>
      </c>
      <c r="I1152" t="s">
        <v>14765</v>
      </c>
      <c r="K1152" t="s">
        <v>8100</v>
      </c>
      <c r="L1152" t="s">
        <v>8101</v>
      </c>
      <c r="M1152" t="s">
        <v>7731</v>
      </c>
      <c r="R1152">
        <v>70</v>
      </c>
      <c r="S1152" t="s">
        <v>7251</v>
      </c>
      <c r="T1152">
        <v>0.72</v>
      </c>
      <c r="U1152">
        <v>336.93</v>
      </c>
      <c r="V1152">
        <v>0</v>
      </c>
      <c r="W1152" t="s">
        <v>6546</v>
      </c>
      <c r="X1152">
        <v>0</v>
      </c>
      <c r="Y1152">
        <v>30</v>
      </c>
      <c r="Z1152" t="s">
        <v>7253</v>
      </c>
      <c r="AA1152" t="s">
        <v>8102</v>
      </c>
      <c r="AB1152" t="s">
        <v>7257</v>
      </c>
      <c r="AC1152" t="s">
        <v>7255</v>
      </c>
      <c r="AE1152" t="s">
        <v>486</v>
      </c>
      <c r="AF1152" t="s">
        <v>8103</v>
      </c>
      <c r="AH1152" t="s">
        <v>486</v>
      </c>
      <c r="AI1152" t="s">
        <v>7255</v>
      </c>
      <c r="AO1152" t="s">
        <v>6546</v>
      </c>
    </row>
    <row r="1153" spans="1:41" hidden="1" x14ac:dyDescent="0.35">
      <c r="A1153" t="s">
        <v>14766</v>
      </c>
      <c r="B1153" t="s">
        <v>7246</v>
      </c>
      <c r="C1153" t="s">
        <v>451</v>
      </c>
      <c r="D1153" t="s">
        <v>451</v>
      </c>
      <c r="E1153" t="s">
        <v>451</v>
      </c>
      <c r="G1153" s="13" t="s">
        <v>14735</v>
      </c>
      <c r="H1153" t="s">
        <v>14736</v>
      </c>
      <c r="I1153" t="s">
        <v>14767</v>
      </c>
      <c r="K1153" t="s">
        <v>14738</v>
      </c>
      <c r="L1153" t="s">
        <v>7652</v>
      </c>
      <c r="M1153" t="s">
        <v>7250</v>
      </c>
      <c r="N1153">
        <v>2019</v>
      </c>
      <c r="R1153">
        <v>37</v>
      </c>
      <c r="S1153" t="s">
        <v>7251</v>
      </c>
      <c r="T1153">
        <v>0.38</v>
      </c>
      <c r="U1153">
        <v>178.09</v>
      </c>
      <c r="V1153">
        <v>19.8</v>
      </c>
      <c r="W1153">
        <v>30.63</v>
      </c>
      <c r="X1153">
        <v>19.8</v>
      </c>
      <c r="Y1153">
        <v>16</v>
      </c>
      <c r="Z1153" t="s">
        <v>7253</v>
      </c>
      <c r="AC1153" t="s">
        <v>7255</v>
      </c>
      <c r="AE1153" t="s">
        <v>759</v>
      </c>
      <c r="AH1153" t="s">
        <v>759</v>
      </c>
      <c r="AI1153" t="s">
        <v>7255</v>
      </c>
      <c r="AO1153" t="s">
        <v>14768</v>
      </c>
    </row>
    <row r="1154" spans="1:41" hidden="1" x14ac:dyDescent="0.35">
      <c r="A1154" t="s">
        <v>14769</v>
      </c>
      <c r="B1154" t="s">
        <v>7246</v>
      </c>
      <c r="C1154" t="s">
        <v>451</v>
      </c>
      <c r="D1154" t="s">
        <v>451</v>
      </c>
      <c r="E1154" t="s">
        <v>451</v>
      </c>
      <c r="G1154" s="13" t="s">
        <v>8499</v>
      </c>
      <c r="H1154" t="s">
        <v>8500</v>
      </c>
      <c r="I1154" t="s">
        <v>14770</v>
      </c>
      <c r="K1154" t="s">
        <v>14333</v>
      </c>
      <c r="L1154" t="s">
        <v>14333</v>
      </c>
      <c r="M1154" t="s">
        <v>7292</v>
      </c>
      <c r="N1154">
        <v>2022</v>
      </c>
      <c r="R1154">
        <v>475</v>
      </c>
      <c r="S1154" t="s">
        <v>7251</v>
      </c>
      <c r="T1154">
        <v>4.91</v>
      </c>
      <c r="U1154">
        <v>2286.33</v>
      </c>
      <c r="V1154">
        <v>0</v>
      </c>
      <c r="W1154" t="s">
        <v>6546</v>
      </c>
      <c r="X1154">
        <v>0</v>
      </c>
      <c r="AC1154" t="s">
        <v>7255</v>
      </c>
      <c r="AE1154" t="s">
        <v>533</v>
      </c>
      <c r="AH1154" t="s">
        <v>556</v>
      </c>
      <c r="AI1154" t="s">
        <v>7255</v>
      </c>
      <c r="AO1154" t="s">
        <v>6546</v>
      </c>
    </row>
    <row r="1155" spans="1:41" hidden="1" x14ac:dyDescent="0.35">
      <c r="A1155" t="s">
        <v>14771</v>
      </c>
      <c r="B1155" t="s">
        <v>7246</v>
      </c>
      <c r="C1155" t="s">
        <v>451</v>
      </c>
      <c r="D1155" t="s">
        <v>451</v>
      </c>
      <c r="E1155" t="s">
        <v>451</v>
      </c>
      <c r="G1155" s="13" t="s">
        <v>7889</v>
      </c>
      <c r="H1155" t="s">
        <v>7890</v>
      </c>
      <c r="I1155" t="s">
        <v>14772</v>
      </c>
      <c r="J1155" t="s">
        <v>14773</v>
      </c>
      <c r="K1155" t="s">
        <v>14774</v>
      </c>
      <c r="L1155" t="s">
        <v>14774</v>
      </c>
      <c r="M1155" t="s">
        <v>7292</v>
      </c>
      <c r="N1155">
        <v>2023</v>
      </c>
      <c r="R1155">
        <v>75</v>
      </c>
      <c r="S1155" t="s">
        <v>7251</v>
      </c>
      <c r="T1155">
        <v>0.78</v>
      </c>
      <c r="U1155">
        <v>361</v>
      </c>
      <c r="V1155">
        <v>0</v>
      </c>
      <c r="W1155" t="s">
        <v>6546</v>
      </c>
      <c r="X1155">
        <v>0</v>
      </c>
      <c r="AC1155" t="s">
        <v>7255</v>
      </c>
      <c r="AE1155" t="s">
        <v>643</v>
      </c>
      <c r="AH1155" t="s">
        <v>764</v>
      </c>
      <c r="AI1155" t="s">
        <v>7255</v>
      </c>
      <c r="AO1155" t="s">
        <v>6546</v>
      </c>
    </row>
    <row r="1156" spans="1:41" hidden="1" x14ac:dyDescent="0.35">
      <c r="A1156" t="s">
        <v>14775</v>
      </c>
      <c r="B1156" t="s">
        <v>7246</v>
      </c>
      <c r="C1156" t="s">
        <v>451</v>
      </c>
      <c r="D1156" t="s">
        <v>451</v>
      </c>
      <c r="E1156" t="s">
        <v>451</v>
      </c>
      <c r="G1156" s="13" t="s">
        <v>7889</v>
      </c>
      <c r="H1156" t="s">
        <v>7890</v>
      </c>
      <c r="I1156" t="s">
        <v>14776</v>
      </c>
      <c r="K1156" t="s">
        <v>14777</v>
      </c>
      <c r="L1156" t="s">
        <v>14777</v>
      </c>
      <c r="M1156" t="s">
        <v>7250</v>
      </c>
      <c r="N1156">
        <v>2020</v>
      </c>
      <c r="R1156">
        <v>170</v>
      </c>
      <c r="S1156" t="s">
        <v>7251</v>
      </c>
      <c r="T1156">
        <v>1.76</v>
      </c>
      <c r="U1156">
        <v>818.27</v>
      </c>
      <c r="V1156">
        <v>0</v>
      </c>
      <c r="W1156" t="s">
        <v>6546</v>
      </c>
      <c r="X1156">
        <v>0</v>
      </c>
      <c r="AC1156" t="s">
        <v>7255</v>
      </c>
      <c r="AE1156" t="s">
        <v>643</v>
      </c>
      <c r="AH1156" t="s">
        <v>764</v>
      </c>
      <c r="AI1156" t="s">
        <v>7255</v>
      </c>
      <c r="AO1156" t="s">
        <v>6546</v>
      </c>
    </row>
    <row r="1157" spans="1:41" hidden="1" x14ac:dyDescent="0.35">
      <c r="A1157" t="s">
        <v>14778</v>
      </c>
      <c r="B1157" t="s">
        <v>7246</v>
      </c>
      <c r="C1157" t="s">
        <v>451</v>
      </c>
      <c r="D1157" t="s">
        <v>451</v>
      </c>
      <c r="E1157" t="s">
        <v>451</v>
      </c>
      <c r="G1157" s="13" t="s">
        <v>8011</v>
      </c>
      <c r="H1157" t="s">
        <v>8012</v>
      </c>
      <c r="I1157" t="s">
        <v>14779</v>
      </c>
      <c r="K1157" t="s">
        <v>8014</v>
      </c>
      <c r="L1157" t="s">
        <v>7346</v>
      </c>
      <c r="M1157" t="s">
        <v>7250</v>
      </c>
      <c r="N1157">
        <v>2020</v>
      </c>
      <c r="R1157">
        <v>400</v>
      </c>
      <c r="S1157" t="s">
        <v>7251</v>
      </c>
      <c r="T1157">
        <v>4.1399999999999997</v>
      </c>
      <c r="U1157">
        <v>1925.33</v>
      </c>
      <c r="V1157" t="s">
        <v>6546</v>
      </c>
      <c r="W1157">
        <v>83.33</v>
      </c>
      <c r="X1157">
        <v>83.33</v>
      </c>
      <c r="Y1157">
        <v>36</v>
      </c>
      <c r="Z1157" t="s">
        <v>7253</v>
      </c>
      <c r="AC1157" t="s">
        <v>7255</v>
      </c>
      <c r="AE1157" t="s">
        <v>497</v>
      </c>
      <c r="AH1157" t="s">
        <v>497</v>
      </c>
      <c r="AI1157" t="s">
        <v>7255</v>
      </c>
      <c r="AO1157" t="s">
        <v>14780</v>
      </c>
    </row>
    <row r="1158" spans="1:41" hidden="1" x14ac:dyDescent="0.35">
      <c r="A1158" t="s">
        <v>14781</v>
      </c>
      <c r="B1158" t="s">
        <v>7246</v>
      </c>
      <c r="C1158" t="s">
        <v>451</v>
      </c>
      <c r="D1158" t="s">
        <v>406</v>
      </c>
      <c r="E1158" t="s">
        <v>7701</v>
      </c>
      <c r="G1158" s="13" t="s">
        <v>14782</v>
      </c>
      <c r="H1158" t="s">
        <v>14783</v>
      </c>
      <c r="K1158" t="s">
        <v>14784</v>
      </c>
      <c r="L1158" t="s">
        <v>14784</v>
      </c>
      <c r="M1158" t="s">
        <v>7250</v>
      </c>
      <c r="N1158">
        <v>2014</v>
      </c>
      <c r="R1158">
        <v>201</v>
      </c>
      <c r="S1158" t="s">
        <v>7251</v>
      </c>
      <c r="T1158">
        <v>2.08</v>
      </c>
      <c r="U1158">
        <v>967.48</v>
      </c>
      <c r="V1158">
        <v>98</v>
      </c>
      <c r="W1158">
        <v>96.07</v>
      </c>
      <c r="X1158">
        <v>98</v>
      </c>
      <c r="Y1158">
        <v>36</v>
      </c>
      <c r="Z1158" t="s">
        <v>7253</v>
      </c>
      <c r="AB1158" t="s">
        <v>14785</v>
      </c>
      <c r="AC1158" t="s">
        <v>7255</v>
      </c>
      <c r="AD1158" t="s">
        <v>14786</v>
      </c>
      <c r="AE1158" t="s">
        <v>486</v>
      </c>
      <c r="AF1158" t="s">
        <v>8706</v>
      </c>
      <c r="AH1158" t="s">
        <v>8513</v>
      </c>
      <c r="AI1158" t="s">
        <v>7255</v>
      </c>
      <c r="AL1158" t="s">
        <v>14787</v>
      </c>
      <c r="AN1158" s="13" t="s">
        <v>14788</v>
      </c>
      <c r="AO1158" t="s">
        <v>14789</v>
      </c>
    </row>
    <row r="1159" spans="1:41" hidden="1" x14ac:dyDescent="0.35">
      <c r="A1159" t="s">
        <v>14790</v>
      </c>
      <c r="B1159" t="s">
        <v>7246</v>
      </c>
      <c r="C1159" t="s">
        <v>451</v>
      </c>
      <c r="D1159" t="s">
        <v>406</v>
      </c>
      <c r="E1159" t="s">
        <v>7701</v>
      </c>
      <c r="G1159" s="13" t="s">
        <v>14782</v>
      </c>
      <c r="H1159" t="s">
        <v>14783</v>
      </c>
      <c r="I1159" t="s">
        <v>14791</v>
      </c>
      <c r="K1159" t="s">
        <v>14784</v>
      </c>
      <c r="L1159" t="s">
        <v>14784</v>
      </c>
      <c r="M1159" t="s">
        <v>7250</v>
      </c>
      <c r="N1159">
        <v>2020</v>
      </c>
      <c r="R1159">
        <v>427</v>
      </c>
      <c r="S1159" t="s">
        <v>7251</v>
      </c>
      <c r="T1159">
        <v>4.42</v>
      </c>
      <c r="U1159">
        <v>2055.29</v>
      </c>
      <c r="V1159">
        <v>0</v>
      </c>
      <c r="W1159" t="s">
        <v>6546</v>
      </c>
      <c r="X1159">
        <v>0</v>
      </c>
      <c r="AC1159" t="s">
        <v>7255</v>
      </c>
      <c r="AI1159" t="s">
        <v>7255</v>
      </c>
      <c r="AL1159" t="s">
        <v>14787</v>
      </c>
      <c r="AM1159" t="s">
        <v>14792</v>
      </c>
      <c r="AN1159" s="13" t="s">
        <v>14788</v>
      </c>
      <c r="AO1159" t="s">
        <v>6546</v>
      </c>
    </row>
    <row r="1160" spans="1:41" hidden="1" x14ac:dyDescent="0.35">
      <c r="A1160" t="s">
        <v>14793</v>
      </c>
      <c r="B1160" t="s">
        <v>7246</v>
      </c>
      <c r="C1160" t="s">
        <v>451</v>
      </c>
      <c r="D1160" t="s">
        <v>406</v>
      </c>
      <c r="E1160" t="s">
        <v>7701</v>
      </c>
      <c r="G1160" s="13" t="s">
        <v>14782</v>
      </c>
      <c r="H1160" t="s">
        <v>14783</v>
      </c>
      <c r="I1160" t="s">
        <v>14794</v>
      </c>
      <c r="K1160" t="s">
        <v>14784</v>
      </c>
      <c r="L1160" t="s">
        <v>14784</v>
      </c>
      <c r="M1160" t="s">
        <v>7250</v>
      </c>
      <c r="N1160">
        <v>2020</v>
      </c>
      <c r="R1160">
        <v>323</v>
      </c>
      <c r="S1160" t="s">
        <v>7251</v>
      </c>
      <c r="T1160">
        <v>3.34</v>
      </c>
      <c r="U1160">
        <v>1554.71</v>
      </c>
      <c r="V1160">
        <v>0</v>
      </c>
      <c r="W1160" t="s">
        <v>6546</v>
      </c>
      <c r="X1160">
        <v>0</v>
      </c>
      <c r="AC1160" t="s">
        <v>7255</v>
      </c>
      <c r="AE1160" t="s">
        <v>976</v>
      </c>
      <c r="AI1160" t="s">
        <v>7255</v>
      </c>
      <c r="AL1160" t="s">
        <v>14787</v>
      </c>
      <c r="AM1160" t="s">
        <v>14795</v>
      </c>
      <c r="AN1160" s="13" t="s">
        <v>14788</v>
      </c>
      <c r="AO1160" t="s">
        <v>6546</v>
      </c>
    </row>
    <row r="1161" spans="1:41" hidden="1" x14ac:dyDescent="0.35">
      <c r="A1161" t="s">
        <v>14796</v>
      </c>
      <c r="B1161" t="s">
        <v>7246</v>
      </c>
      <c r="C1161" t="s">
        <v>451</v>
      </c>
      <c r="D1161" t="s">
        <v>451</v>
      </c>
      <c r="E1161" t="s">
        <v>451</v>
      </c>
      <c r="G1161" s="13" t="s">
        <v>14797</v>
      </c>
      <c r="H1161" t="s">
        <v>14798</v>
      </c>
      <c r="K1161" t="s">
        <v>8471</v>
      </c>
      <c r="L1161" t="s">
        <v>8471</v>
      </c>
      <c r="M1161" t="s">
        <v>7269</v>
      </c>
      <c r="R1161">
        <v>53</v>
      </c>
      <c r="S1161" t="s">
        <v>7251</v>
      </c>
      <c r="T1161">
        <v>0.55000000000000004</v>
      </c>
      <c r="U1161">
        <v>255.11</v>
      </c>
      <c r="V1161">
        <v>35.4</v>
      </c>
      <c r="W1161">
        <v>33.17</v>
      </c>
      <c r="X1161">
        <v>35.4</v>
      </c>
      <c r="Y1161">
        <v>24</v>
      </c>
      <c r="Z1161" t="s">
        <v>7253</v>
      </c>
      <c r="AC1161" t="s">
        <v>7255</v>
      </c>
      <c r="AE1161" t="s">
        <v>664</v>
      </c>
      <c r="AH1161" t="s">
        <v>664</v>
      </c>
      <c r="AI1161" t="s">
        <v>7255</v>
      </c>
      <c r="AO1161" t="s">
        <v>14799</v>
      </c>
    </row>
    <row r="1162" spans="1:41" hidden="1" x14ac:dyDescent="0.35">
      <c r="A1162" t="s">
        <v>14800</v>
      </c>
      <c r="B1162" t="s">
        <v>7246</v>
      </c>
      <c r="C1162" t="s">
        <v>451</v>
      </c>
      <c r="D1162" t="s">
        <v>451</v>
      </c>
      <c r="E1162" t="s">
        <v>451</v>
      </c>
      <c r="G1162" s="13" t="s">
        <v>7513</v>
      </c>
      <c r="H1162" t="s">
        <v>7514</v>
      </c>
      <c r="I1162" t="s">
        <v>14801</v>
      </c>
      <c r="K1162" t="s">
        <v>12563</v>
      </c>
      <c r="L1162" t="s">
        <v>12563</v>
      </c>
      <c r="M1162" t="s">
        <v>7250</v>
      </c>
      <c r="N1162">
        <v>2020</v>
      </c>
      <c r="R1162">
        <v>321</v>
      </c>
      <c r="S1162" t="s">
        <v>7251</v>
      </c>
      <c r="T1162">
        <v>3.32</v>
      </c>
      <c r="U1162">
        <v>1545.08</v>
      </c>
      <c r="V1162">
        <v>27.4</v>
      </c>
      <c r="W1162">
        <v>933.86</v>
      </c>
      <c r="X1162">
        <v>27.4</v>
      </c>
      <c r="Y1162">
        <v>30</v>
      </c>
      <c r="Z1162" t="s">
        <v>7253</v>
      </c>
      <c r="AC1162" t="s">
        <v>7255</v>
      </c>
      <c r="AI1162" t="s">
        <v>7255</v>
      </c>
      <c r="AO1162" t="s">
        <v>14802</v>
      </c>
    </row>
    <row r="1163" spans="1:41" hidden="1" x14ac:dyDescent="0.35">
      <c r="A1163" t="s">
        <v>14803</v>
      </c>
      <c r="B1163" t="s">
        <v>7246</v>
      </c>
      <c r="C1163" t="s">
        <v>451</v>
      </c>
      <c r="D1163" t="s">
        <v>451</v>
      </c>
      <c r="E1163" t="s">
        <v>451</v>
      </c>
      <c r="G1163" s="13" t="s">
        <v>7334</v>
      </c>
      <c r="H1163" t="s">
        <v>7335</v>
      </c>
      <c r="I1163" t="s">
        <v>14804</v>
      </c>
      <c r="J1163" t="s">
        <v>14805</v>
      </c>
      <c r="K1163" t="s">
        <v>7336</v>
      </c>
      <c r="L1163" t="s">
        <v>7337</v>
      </c>
      <c r="M1163" t="s">
        <v>7269</v>
      </c>
      <c r="N1163">
        <v>2021</v>
      </c>
      <c r="R1163">
        <v>1500</v>
      </c>
      <c r="S1163" t="s">
        <v>7251</v>
      </c>
      <c r="T1163">
        <v>15.51</v>
      </c>
      <c r="U1163">
        <v>7220</v>
      </c>
      <c r="V1163">
        <v>61.2</v>
      </c>
      <c r="W1163">
        <v>53.28</v>
      </c>
      <c r="X1163">
        <v>61.2</v>
      </c>
      <c r="Y1163" t="s">
        <v>11778</v>
      </c>
      <c r="Z1163" t="s">
        <v>7253</v>
      </c>
      <c r="AC1163" t="s">
        <v>7255</v>
      </c>
      <c r="AI1163" t="s">
        <v>7255</v>
      </c>
      <c r="AO1163" t="s">
        <v>14806</v>
      </c>
    </row>
    <row r="1164" spans="1:41" hidden="1" x14ac:dyDescent="0.35">
      <c r="A1164" t="s">
        <v>14807</v>
      </c>
      <c r="B1164" t="s">
        <v>7246</v>
      </c>
      <c r="C1164" t="s">
        <v>451</v>
      </c>
      <c r="D1164" t="s">
        <v>368</v>
      </c>
      <c r="E1164" t="s">
        <v>7281</v>
      </c>
      <c r="G1164" s="13" t="s">
        <v>14808</v>
      </c>
      <c r="H1164" t="s">
        <v>14809</v>
      </c>
      <c r="K1164" t="s">
        <v>14810</v>
      </c>
      <c r="L1164" t="s">
        <v>14810</v>
      </c>
      <c r="M1164" t="s">
        <v>7292</v>
      </c>
      <c r="N1164">
        <v>2023</v>
      </c>
      <c r="R1164">
        <v>600</v>
      </c>
      <c r="S1164" t="s">
        <v>7251</v>
      </c>
      <c r="T1164">
        <v>6.21</v>
      </c>
      <c r="U1164">
        <v>2888</v>
      </c>
      <c r="V1164">
        <v>531.08000000000004</v>
      </c>
      <c r="W1164">
        <v>539.74</v>
      </c>
      <c r="X1164">
        <v>531.08000000000004</v>
      </c>
      <c r="Y1164">
        <v>24</v>
      </c>
      <c r="Z1164" t="s">
        <v>7253</v>
      </c>
      <c r="AA1164" t="s">
        <v>14811</v>
      </c>
      <c r="AB1164" t="s">
        <v>8116</v>
      </c>
      <c r="AC1164" t="s">
        <v>7255</v>
      </c>
      <c r="AE1164" t="s">
        <v>3899</v>
      </c>
      <c r="AF1164" t="s">
        <v>8051</v>
      </c>
      <c r="AH1164" t="s">
        <v>1055</v>
      </c>
      <c r="AI1164" t="s">
        <v>7255</v>
      </c>
      <c r="AO1164" t="s">
        <v>14812</v>
      </c>
    </row>
    <row r="1165" spans="1:41" hidden="1" x14ac:dyDescent="0.35">
      <c r="A1165" t="s">
        <v>14813</v>
      </c>
      <c r="B1165" t="s">
        <v>7246</v>
      </c>
      <c r="C1165" t="s">
        <v>451</v>
      </c>
      <c r="D1165" t="s">
        <v>451</v>
      </c>
      <c r="E1165" t="s">
        <v>451</v>
      </c>
      <c r="G1165" s="13" t="s">
        <v>7777</v>
      </c>
      <c r="H1165" t="s">
        <v>7778</v>
      </c>
      <c r="I1165" t="s">
        <v>14814</v>
      </c>
      <c r="K1165" t="s">
        <v>14664</v>
      </c>
      <c r="L1165" t="s">
        <v>14664</v>
      </c>
      <c r="M1165" t="s">
        <v>7269</v>
      </c>
      <c r="N1165">
        <v>2021</v>
      </c>
      <c r="R1165">
        <v>450</v>
      </c>
      <c r="S1165" t="s">
        <v>7251</v>
      </c>
      <c r="T1165">
        <v>4.6500000000000004</v>
      </c>
      <c r="U1165">
        <v>2166</v>
      </c>
      <c r="V1165">
        <v>170.6</v>
      </c>
      <c r="W1165">
        <v>150.28</v>
      </c>
      <c r="X1165">
        <v>170.6</v>
      </c>
      <c r="Y1165">
        <v>30</v>
      </c>
      <c r="Z1165" t="s">
        <v>7253</v>
      </c>
      <c r="AC1165" t="s">
        <v>7255</v>
      </c>
      <c r="AE1165" t="s">
        <v>6337</v>
      </c>
      <c r="AH1165" t="s">
        <v>6337</v>
      </c>
      <c r="AI1165" t="s">
        <v>7255</v>
      </c>
      <c r="AO1165" t="s">
        <v>14815</v>
      </c>
    </row>
    <row r="1166" spans="1:41" hidden="1" x14ac:dyDescent="0.35">
      <c r="A1166" t="s">
        <v>14816</v>
      </c>
      <c r="B1166" t="s">
        <v>7246</v>
      </c>
      <c r="C1166" t="s">
        <v>451</v>
      </c>
      <c r="D1166" t="s">
        <v>451</v>
      </c>
      <c r="E1166" t="s">
        <v>451</v>
      </c>
      <c r="G1166" s="13" t="s">
        <v>7550</v>
      </c>
      <c r="H1166" t="s">
        <v>7551</v>
      </c>
      <c r="I1166" t="s">
        <v>14817</v>
      </c>
      <c r="K1166" t="s">
        <v>7552</v>
      </c>
      <c r="L1166" t="s">
        <v>7553</v>
      </c>
      <c r="M1166" t="s">
        <v>7250</v>
      </c>
      <c r="N1166">
        <v>2011</v>
      </c>
      <c r="R1166">
        <v>343</v>
      </c>
      <c r="S1166" t="s">
        <v>7251</v>
      </c>
      <c r="T1166">
        <v>3.55</v>
      </c>
      <c r="U1166">
        <v>1650.97</v>
      </c>
      <c r="V1166">
        <v>14.32</v>
      </c>
      <c r="W1166" t="s">
        <v>6546</v>
      </c>
      <c r="X1166">
        <v>14.32</v>
      </c>
      <c r="Y1166">
        <v>24</v>
      </c>
      <c r="Z1166" t="s">
        <v>7253</v>
      </c>
      <c r="AC1166" t="s">
        <v>7255</v>
      </c>
      <c r="AE1166" t="s">
        <v>764</v>
      </c>
      <c r="AH1166" t="s">
        <v>643</v>
      </c>
      <c r="AI1166" t="s">
        <v>7255</v>
      </c>
      <c r="AO1166" t="s">
        <v>6546</v>
      </c>
    </row>
    <row r="1167" spans="1:41" hidden="1" x14ac:dyDescent="0.35">
      <c r="A1167" t="s">
        <v>14818</v>
      </c>
      <c r="B1167" t="s">
        <v>7246</v>
      </c>
      <c r="C1167" t="s">
        <v>451</v>
      </c>
      <c r="D1167" t="s">
        <v>451</v>
      </c>
      <c r="E1167" t="s">
        <v>451</v>
      </c>
      <c r="G1167" s="13" t="s">
        <v>14819</v>
      </c>
      <c r="H1167" t="s">
        <v>14820</v>
      </c>
      <c r="K1167" t="s">
        <v>14821</v>
      </c>
      <c r="L1167" t="s">
        <v>14821</v>
      </c>
      <c r="M1167" t="s">
        <v>7731</v>
      </c>
      <c r="N1167">
        <v>2021</v>
      </c>
      <c r="R1167">
        <v>140</v>
      </c>
      <c r="S1167" t="s">
        <v>7251</v>
      </c>
      <c r="T1167">
        <v>1.45</v>
      </c>
      <c r="U1167">
        <v>673.87</v>
      </c>
      <c r="V1167">
        <v>27.4</v>
      </c>
      <c r="W1167">
        <v>22.57</v>
      </c>
      <c r="X1167">
        <v>27.4</v>
      </c>
      <c r="Y1167">
        <v>16</v>
      </c>
      <c r="Z1167" t="s">
        <v>7253</v>
      </c>
      <c r="AB1167" t="s">
        <v>6248</v>
      </c>
      <c r="AC1167" t="s">
        <v>7255</v>
      </c>
      <c r="AD1167" t="s">
        <v>14822</v>
      </c>
      <c r="AE1167" t="s">
        <v>513</v>
      </c>
      <c r="AF1167" t="s">
        <v>14823</v>
      </c>
      <c r="AG1167" t="s">
        <v>14824</v>
      </c>
      <c r="AH1167" t="s">
        <v>14554</v>
      </c>
      <c r="AI1167" t="s">
        <v>7255</v>
      </c>
      <c r="AO1167" t="s">
        <v>14825</v>
      </c>
    </row>
    <row r="1168" spans="1:41" hidden="1" x14ac:dyDescent="0.35">
      <c r="A1168" t="s">
        <v>14826</v>
      </c>
      <c r="B1168" t="s">
        <v>7246</v>
      </c>
      <c r="C1168" t="s">
        <v>451</v>
      </c>
      <c r="D1168" t="s">
        <v>451</v>
      </c>
      <c r="E1168" t="s">
        <v>451</v>
      </c>
      <c r="G1168" s="13" t="s">
        <v>8055</v>
      </c>
      <c r="H1168" t="s">
        <v>8056</v>
      </c>
      <c r="I1168" t="s">
        <v>14827</v>
      </c>
      <c r="K1168" t="s">
        <v>12932</v>
      </c>
      <c r="L1168" t="s">
        <v>12932</v>
      </c>
      <c r="M1168" t="s">
        <v>7250</v>
      </c>
      <c r="N1168">
        <v>2018</v>
      </c>
      <c r="R1168">
        <v>800</v>
      </c>
      <c r="S1168" t="s">
        <v>7251</v>
      </c>
      <c r="T1168">
        <v>8.27</v>
      </c>
      <c r="U1168">
        <v>3850.67</v>
      </c>
      <c r="V1168">
        <v>46.7</v>
      </c>
      <c r="W1168">
        <v>138.38</v>
      </c>
      <c r="X1168">
        <v>46.7</v>
      </c>
      <c r="AC1168" t="s">
        <v>7255</v>
      </c>
      <c r="AE1168" t="s">
        <v>6373</v>
      </c>
      <c r="AH1168" t="s">
        <v>634</v>
      </c>
      <c r="AI1168" t="s">
        <v>7255</v>
      </c>
      <c r="AO1168" t="s">
        <v>14828</v>
      </c>
    </row>
    <row r="1169" spans="1:41" hidden="1" x14ac:dyDescent="0.35">
      <c r="A1169" t="s">
        <v>14829</v>
      </c>
      <c r="B1169" t="s">
        <v>7246</v>
      </c>
      <c r="C1169" t="s">
        <v>451</v>
      </c>
      <c r="D1169" t="s">
        <v>451</v>
      </c>
      <c r="E1169" t="s">
        <v>451</v>
      </c>
      <c r="G1169" s="13" t="s">
        <v>7475</v>
      </c>
      <c r="H1169" t="s">
        <v>7476</v>
      </c>
      <c r="I1169" t="s">
        <v>14830</v>
      </c>
      <c r="K1169" t="s">
        <v>14551</v>
      </c>
      <c r="L1169" t="s">
        <v>14551</v>
      </c>
      <c r="M1169" t="s">
        <v>7415</v>
      </c>
      <c r="N1169">
        <v>2022</v>
      </c>
      <c r="R1169">
        <v>150</v>
      </c>
      <c r="S1169" t="s">
        <v>7251</v>
      </c>
      <c r="T1169">
        <v>1.55</v>
      </c>
      <c r="U1169">
        <v>722</v>
      </c>
      <c r="V1169">
        <v>8.1999999999999993</v>
      </c>
      <c r="W1169">
        <v>14.78</v>
      </c>
      <c r="X1169">
        <v>8.1999999999999993</v>
      </c>
      <c r="Y1169">
        <v>36</v>
      </c>
      <c r="Z1169" t="s">
        <v>7253</v>
      </c>
      <c r="AC1169" t="s">
        <v>7255</v>
      </c>
      <c r="AE1169" t="s">
        <v>513</v>
      </c>
      <c r="AG1169" t="s">
        <v>7808</v>
      </c>
      <c r="AH1169" t="s">
        <v>533</v>
      </c>
      <c r="AI1169" t="s">
        <v>7255</v>
      </c>
      <c r="AO1169" t="s">
        <v>14831</v>
      </c>
    </row>
    <row r="1170" spans="1:41" hidden="1" x14ac:dyDescent="0.35">
      <c r="A1170" t="s">
        <v>14832</v>
      </c>
      <c r="B1170" t="s">
        <v>7246</v>
      </c>
      <c r="C1170" t="s">
        <v>451</v>
      </c>
      <c r="D1170" t="s">
        <v>368</v>
      </c>
      <c r="E1170" t="s">
        <v>7281</v>
      </c>
      <c r="G1170" s="13" t="s">
        <v>7850</v>
      </c>
      <c r="H1170" t="s">
        <v>7851</v>
      </c>
      <c r="I1170" t="s">
        <v>14833</v>
      </c>
      <c r="K1170" t="s">
        <v>14750</v>
      </c>
      <c r="L1170" t="s">
        <v>14750</v>
      </c>
      <c r="M1170" t="s">
        <v>7415</v>
      </c>
      <c r="N1170">
        <v>2022</v>
      </c>
      <c r="R1170">
        <v>63</v>
      </c>
      <c r="S1170" t="s">
        <v>7251</v>
      </c>
      <c r="T1170">
        <v>0.65</v>
      </c>
      <c r="U1170">
        <v>303.24</v>
      </c>
      <c r="V1170">
        <v>0</v>
      </c>
      <c r="W1170" t="s">
        <v>6546</v>
      </c>
      <c r="X1170">
        <v>0</v>
      </c>
      <c r="AC1170" t="s">
        <v>7255</v>
      </c>
      <c r="AE1170" t="s">
        <v>7853</v>
      </c>
      <c r="AH1170" t="s">
        <v>986</v>
      </c>
      <c r="AI1170" t="s">
        <v>7255</v>
      </c>
      <c r="AO1170" t="s">
        <v>6546</v>
      </c>
    </row>
    <row r="1171" spans="1:41" hidden="1" x14ac:dyDescent="0.35">
      <c r="A1171" t="s">
        <v>14834</v>
      </c>
      <c r="B1171" t="s">
        <v>7246</v>
      </c>
      <c r="C1171" t="s">
        <v>451</v>
      </c>
      <c r="D1171" t="s">
        <v>451</v>
      </c>
      <c r="E1171" t="s">
        <v>451</v>
      </c>
      <c r="G1171" s="13" t="s">
        <v>8499</v>
      </c>
      <c r="H1171" t="s">
        <v>8500</v>
      </c>
      <c r="I1171" t="s">
        <v>14835</v>
      </c>
      <c r="K1171" t="s">
        <v>14333</v>
      </c>
      <c r="L1171" t="s">
        <v>14333</v>
      </c>
      <c r="M1171" t="s">
        <v>7292</v>
      </c>
      <c r="N1171">
        <v>2022</v>
      </c>
      <c r="R1171">
        <v>300</v>
      </c>
      <c r="S1171" t="s">
        <v>7251</v>
      </c>
      <c r="T1171">
        <v>3.1</v>
      </c>
      <c r="U1171">
        <v>1444</v>
      </c>
      <c r="V1171">
        <v>0</v>
      </c>
      <c r="W1171" t="s">
        <v>6546</v>
      </c>
      <c r="X1171">
        <v>0</v>
      </c>
      <c r="AA1171" t="s">
        <v>14836</v>
      </c>
      <c r="AC1171" t="s">
        <v>7255</v>
      </c>
      <c r="AE1171" t="s">
        <v>634</v>
      </c>
      <c r="AH1171" t="s">
        <v>634</v>
      </c>
      <c r="AI1171" t="s">
        <v>7255</v>
      </c>
      <c r="AO1171" t="s">
        <v>6546</v>
      </c>
    </row>
    <row r="1172" spans="1:41" hidden="1" x14ac:dyDescent="0.35">
      <c r="A1172" t="s">
        <v>14837</v>
      </c>
      <c r="B1172" t="s">
        <v>7246</v>
      </c>
      <c r="C1172" t="s">
        <v>451</v>
      </c>
      <c r="D1172" t="s">
        <v>451</v>
      </c>
      <c r="E1172" t="s">
        <v>451</v>
      </c>
      <c r="G1172" s="13" t="s">
        <v>14838</v>
      </c>
      <c r="H1172" t="s">
        <v>14839</v>
      </c>
      <c r="K1172" t="s">
        <v>14840</v>
      </c>
      <c r="L1172" t="s">
        <v>14840</v>
      </c>
      <c r="M1172" t="s">
        <v>7250</v>
      </c>
      <c r="N1172">
        <v>2018</v>
      </c>
      <c r="R1172">
        <v>400</v>
      </c>
      <c r="S1172" t="s">
        <v>7251</v>
      </c>
      <c r="T1172">
        <v>4.1399999999999997</v>
      </c>
      <c r="U1172">
        <v>1925.33</v>
      </c>
      <c r="V1172" t="s">
        <v>6546</v>
      </c>
      <c r="W1172">
        <v>183.37</v>
      </c>
      <c r="X1172">
        <v>183.37</v>
      </c>
      <c r="AA1172" t="s">
        <v>14569</v>
      </c>
      <c r="AC1172" t="s">
        <v>7255</v>
      </c>
      <c r="AE1172" t="s">
        <v>486</v>
      </c>
      <c r="AH1172" t="s">
        <v>486</v>
      </c>
      <c r="AI1172" t="s">
        <v>7255</v>
      </c>
      <c r="AO1172" t="s">
        <v>14841</v>
      </c>
    </row>
    <row r="1173" spans="1:41" hidden="1" x14ac:dyDescent="0.35">
      <c r="A1173" t="s">
        <v>14842</v>
      </c>
      <c r="B1173" t="s">
        <v>7246</v>
      </c>
      <c r="C1173" t="s">
        <v>451</v>
      </c>
      <c r="D1173" t="s">
        <v>451</v>
      </c>
      <c r="E1173" t="s">
        <v>451</v>
      </c>
      <c r="G1173" s="13" t="s">
        <v>7595</v>
      </c>
      <c r="H1173" t="s">
        <v>7596</v>
      </c>
      <c r="I1173" t="s">
        <v>14843</v>
      </c>
      <c r="K1173" t="s">
        <v>7590</v>
      </c>
      <c r="L1173" t="s">
        <v>7590</v>
      </c>
      <c r="M1173" t="s">
        <v>7250</v>
      </c>
      <c r="N1173">
        <v>2020</v>
      </c>
      <c r="R1173">
        <v>200</v>
      </c>
      <c r="S1173" t="s">
        <v>7251</v>
      </c>
      <c r="T1173">
        <v>2.0699999999999998</v>
      </c>
      <c r="U1173">
        <v>962.67</v>
      </c>
      <c r="V1173">
        <v>30.6</v>
      </c>
      <c r="W1173">
        <v>29.59</v>
      </c>
      <c r="X1173">
        <v>30.6</v>
      </c>
      <c r="Y1173">
        <v>24</v>
      </c>
      <c r="Z1173" t="s">
        <v>7253</v>
      </c>
      <c r="AC1173" t="s">
        <v>7255</v>
      </c>
      <c r="AE1173" t="s">
        <v>486</v>
      </c>
      <c r="AF1173" t="s">
        <v>14844</v>
      </c>
      <c r="AH1173" t="s">
        <v>486</v>
      </c>
      <c r="AI1173" t="s">
        <v>7255</v>
      </c>
      <c r="AO1173" t="s">
        <v>14845</v>
      </c>
    </row>
    <row r="1174" spans="1:41" hidden="1" x14ac:dyDescent="0.35">
      <c r="A1174" t="s">
        <v>14846</v>
      </c>
      <c r="B1174" t="s">
        <v>7246</v>
      </c>
      <c r="C1174" t="s">
        <v>368</v>
      </c>
      <c r="D1174" t="s">
        <v>368</v>
      </c>
      <c r="E1174" t="s">
        <v>368</v>
      </c>
      <c r="G1174" s="13" t="s">
        <v>14847</v>
      </c>
      <c r="H1174" t="s">
        <v>14848</v>
      </c>
      <c r="K1174" t="s">
        <v>14849</v>
      </c>
      <c r="L1174" t="s">
        <v>14849</v>
      </c>
      <c r="M1174" t="s">
        <v>7292</v>
      </c>
      <c r="T1174" t="s">
        <v>6546</v>
      </c>
      <c r="U1174" t="s">
        <v>6546</v>
      </c>
      <c r="V1174">
        <v>62.5</v>
      </c>
      <c r="W1174">
        <v>70.2</v>
      </c>
      <c r="X1174">
        <v>62.5</v>
      </c>
      <c r="AB1174" t="s">
        <v>7684</v>
      </c>
      <c r="AC1174" t="s">
        <v>7255</v>
      </c>
      <c r="AE1174" t="s">
        <v>1023</v>
      </c>
      <c r="AF1174" t="s">
        <v>6585</v>
      </c>
      <c r="AH1174" t="s">
        <v>1023</v>
      </c>
      <c r="AI1174" t="s">
        <v>7255</v>
      </c>
      <c r="AO1174" t="s">
        <v>14850</v>
      </c>
    </row>
    <row r="1175" spans="1:41" hidden="1" x14ac:dyDescent="0.35">
      <c r="A1175" t="s">
        <v>14851</v>
      </c>
      <c r="B1175" t="s">
        <v>7246</v>
      </c>
      <c r="C1175" t="s">
        <v>451</v>
      </c>
      <c r="D1175" t="s">
        <v>451</v>
      </c>
      <c r="E1175" t="s">
        <v>451</v>
      </c>
      <c r="G1175" s="13" t="s">
        <v>14852</v>
      </c>
      <c r="H1175" t="s">
        <v>14853</v>
      </c>
      <c r="K1175" t="s">
        <v>14854</v>
      </c>
      <c r="L1175" t="s">
        <v>14854</v>
      </c>
      <c r="M1175" t="s">
        <v>7292</v>
      </c>
      <c r="R1175">
        <v>1200</v>
      </c>
      <c r="S1175" t="s">
        <v>7251</v>
      </c>
      <c r="T1175">
        <v>12.41</v>
      </c>
      <c r="U1175">
        <v>5776</v>
      </c>
      <c r="V1175">
        <v>64.400000000000006</v>
      </c>
      <c r="W1175">
        <v>58.35</v>
      </c>
      <c r="X1175">
        <v>64.400000000000006</v>
      </c>
      <c r="Y1175">
        <v>30</v>
      </c>
      <c r="Z1175" t="s">
        <v>7253</v>
      </c>
      <c r="AA1175" t="s">
        <v>7254</v>
      </c>
      <c r="AC1175" t="s">
        <v>7255</v>
      </c>
      <c r="AD1175" t="s">
        <v>8123</v>
      </c>
      <c r="AE1175" t="s">
        <v>486</v>
      </c>
      <c r="AG1175" t="s">
        <v>8123</v>
      </c>
      <c r="AH1175" t="s">
        <v>486</v>
      </c>
      <c r="AI1175" t="s">
        <v>7255</v>
      </c>
      <c r="AO1175" t="s">
        <v>14855</v>
      </c>
    </row>
    <row r="1176" spans="1:41" hidden="1" x14ac:dyDescent="0.35">
      <c r="A1176" t="s">
        <v>14856</v>
      </c>
      <c r="B1176" t="s">
        <v>7246</v>
      </c>
      <c r="C1176" t="s">
        <v>451</v>
      </c>
      <c r="D1176" t="s">
        <v>451</v>
      </c>
      <c r="E1176" t="s">
        <v>451</v>
      </c>
      <c r="G1176" s="13" t="s">
        <v>14857</v>
      </c>
      <c r="H1176" t="s">
        <v>14858</v>
      </c>
      <c r="K1176" t="s">
        <v>7477</v>
      </c>
      <c r="L1176" t="s">
        <v>7477</v>
      </c>
      <c r="M1176" t="s">
        <v>7731</v>
      </c>
      <c r="T1176" t="s">
        <v>6546</v>
      </c>
      <c r="U1176" t="s">
        <v>6546</v>
      </c>
      <c r="V1176">
        <v>45</v>
      </c>
      <c r="W1176">
        <v>40.56</v>
      </c>
      <c r="X1176">
        <v>45</v>
      </c>
      <c r="Y1176">
        <v>8</v>
      </c>
      <c r="Z1176" t="s">
        <v>7253</v>
      </c>
      <c r="AC1176" t="s">
        <v>7255</v>
      </c>
      <c r="AE1176" t="s">
        <v>941</v>
      </c>
      <c r="AH1176" t="s">
        <v>941</v>
      </c>
      <c r="AI1176" t="s">
        <v>7255</v>
      </c>
      <c r="AO1176" t="s">
        <v>14859</v>
      </c>
    </row>
    <row r="1177" spans="1:41" hidden="1" x14ac:dyDescent="0.35">
      <c r="A1177" t="s">
        <v>14860</v>
      </c>
      <c r="B1177" t="s">
        <v>7246</v>
      </c>
      <c r="C1177" t="s">
        <v>368</v>
      </c>
      <c r="D1177" t="s">
        <v>368</v>
      </c>
      <c r="E1177" t="s">
        <v>368</v>
      </c>
      <c r="G1177" s="13" t="s">
        <v>14861</v>
      </c>
      <c r="H1177" t="s">
        <v>14862</v>
      </c>
      <c r="J1177" t="s">
        <v>14863</v>
      </c>
      <c r="K1177" t="s">
        <v>14864</v>
      </c>
      <c r="L1177" t="s">
        <v>14864</v>
      </c>
      <c r="M1177" t="s">
        <v>7269</v>
      </c>
      <c r="T1177" t="s">
        <v>6546</v>
      </c>
      <c r="U1177" t="s">
        <v>6546</v>
      </c>
      <c r="V1177">
        <v>782</v>
      </c>
      <c r="W1177">
        <v>707.01</v>
      </c>
      <c r="X1177">
        <v>782</v>
      </c>
      <c r="AC1177" t="s">
        <v>7255</v>
      </c>
      <c r="AE1177" t="s">
        <v>983</v>
      </c>
      <c r="AF1177" t="s">
        <v>14865</v>
      </c>
      <c r="AH1177" t="s">
        <v>986</v>
      </c>
      <c r="AI1177" t="s">
        <v>7255</v>
      </c>
      <c r="AO1177" t="s">
        <v>14866</v>
      </c>
    </row>
    <row r="1178" spans="1:41" hidden="1" x14ac:dyDescent="0.35">
      <c r="A1178" t="s">
        <v>14867</v>
      </c>
      <c r="B1178" t="s">
        <v>7246</v>
      </c>
      <c r="C1178" t="s">
        <v>451</v>
      </c>
      <c r="D1178" t="s">
        <v>451</v>
      </c>
      <c r="E1178" t="s">
        <v>451</v>
      </c>
      <c r="G1178" s="13" t="s">
        <v>7640</v>
      </c>
      <c r="H1178" t="s">
        <v>7641</v>
      </c>
      <c r="I1178" t="s">
        <v>14868</v>
      </c>
      <c r="K1178" t="s">
        <v>7642</v>
      </c>
      <c r="L1178" t="s">
        <v>7643</v>
      </c>
      <c r="M1178" t="s">
        <v>7269</v>
      </c>
      <c r="R1178">
        <v>650</v>
      </c>
      <c r="S1178" t="s">
        <v>7251</v>
      </c>
      <c r="T1178">
        <v>6.72</v>
      </c>
      <c r="U1178">
        <v>3128.67</v>
      </c>
      <c r="V1178">
        <v>0</v>
      </c>
      <c r="W1178" t="s">
        <v>6546</v>
      </c>
      <c r="X1178">
        <v>0</v>
      </c>
      <c r="AC1178" t="s">
        <v>7255</v>
      </c>
      <c r="AE1178" t="s">
        <v>548</v>
      </c>
      <c r="AH1178" t="s">
        <v>548</v>
      </c>
      <c r="AI1178" t="s">
        <v>7255</v>
      </c>
      <c r="AO1178" t="s">
        <v>6546</v>
      </c>
    </row>
    <row r="1179" spans="1:41" hidden="1" x14ac:dyDescent="0.35">
      <c r="A1179" t="s">
        <v>14869</v>
      </c>
      <c r="B1179" t="s">
        <v>7246</v>
      </c>
      <c r="C1179" t="s">
        <v>414</v>
      </c>
      <c r="D1179" t="s">
        <v>414</v>
      </c>
      <c r="E1179" t="s">
        <v>414</v>
      </c>
      <c r="G1179" s="13" t="s">
        <v>14870</v>
      </c>
      <c r="H1179" t="s">
        <v>14871</v>
      </c>
      <c r="K1179" t="s">
        <v>14872</v>
      </c>
      <c r="L1179" t="s">
        <v>14872</v>
      </c>
      <c r="M1179" t="s">
        <v>7250</v>
      </c>
      <c r="T1179" t="s">
        <v>6546</v>
      </c>
      <c r="U1179" t="s">
        <v>6546</v>
      </c>
      <c r="V1179">
        <v>37</v>
      </c>
      <c r="W1179">
        <v>25.22</v>
      </c>
      <c r="X1179">
        <v>37</v>
      </c>
      <c r="AB1179" t="s">
        <v>14873</v>
      </c>
      <c r="AC1179" t="s">
        <v>8765</v>
      </c>
      <c r="AF1179" t="s">
        <v>14874</v>
      </c>
      <c r="AI1179" t="s">
        <v>8765</v>
      </c>
      <c r="AO1179" t="s">
        <v>14875</v>
      </c>
    </row>
    <row r="1180" spans="1:41" hidden="1" x14ac:dyDescent="0.35">
      <c r="A1180" t="s">
        <v>14876</v>
      </c>
      <c r="B1180" t="s">
        <v>7246</v>
      </c>
      <c r="C1180" t="s">
        <v>451</v>
      </c>
      <c r="D1180" t="s">
        <v>451</v>
      </c>
      <c r="E1180" t="s">
        <v>451</v>
      </c>
      <c r="G1180" s="13" t="s">
        <v>14877</v>
      </c>
      <c r="H1180" t="s">
        <v>14878</v>
      </c>
      <c r="K1180" t="s">
        <v>14879</v>
      </c>
      <c r="L1180" t="s">
        <v>14879</v>
      </c>
      <c r="M1180" t="s">
        <v>7269</v>
      </c>
      <c r="R1180">
        <v>2800</v>
      </c>
      <c r="S1180" t="s">
        <v>7251</v>
      </c>
      <c r="T1180">
        <v>28.96</v>
      </c>
      <c r="U1180">
        <v>13477.34</v>
      </c>
      <c r="V1180">
        <v>238</v>
      </c>
      <c r="W1180">
        <v>245.37</v>
      </c>
      <c r="X1180">
        <v>238</v>
      </c>
      <c r="AC1180" t="s">
        <v>7255</v>
      </c>
      <c r="AI1180" t="s">
        <v>7255</v>
      </c>
      <c r="AO1180" t="s">
        <v>14880</v>
      </c>
    </row>
    <row r="1181" spans="1:41" hidden="1" x14ac:dyDescent="0.35">
      <c r="A1181" t="s">
        <v>14881</v>
      </c>
      <c r="B1181" t="s">
        <v>7246</v>
      </c>
      <c r="C1181" t="s">
        <v>5541</v>
      </c>
      <c r="D1181" t="s">
        <v>5541</v>
      </c>
      <c r="E1181" t="s">
        <v>5541</v>
      </c>
      <c r="G1181" s="13" t="s">
        <v>14882</v>
      </c>
      <c r="H1181" t="s">
        <v>14883</v>
      </c>
      <c r="K1181" t="s">
        <v>14884</v>
      </c>
      <c r="L1181" t="s">
        <v>14884</v>
      </c>
      <c r="M1181" t="s">
        <v>7250</v>
      </c>
      <c r="N1181">
        <v>2003</v>
      </c>
      <c r="R1181">
        <v>1</v>
      </c>
      <c r="S1181" t="s">
        <v>8257</v>
      </c>
      <c r="T1181">
        <v>1</v>
      </c>
      <c r="U1181">
        <v>465.38</v>
      </c>
      <c r="V1181">
        <v>193</v>
      </c>
      <c r="W1181">
        <v>136.13999999999999</v>
      </c>
      <c r="X1181">
        <v>193</v>
      </c>
      <c r="AA1181" t="s">
        <v>14885</v>
      </c>
      <c r="AB1181" t="s">
        <v>14885</v>
      </c>
      <c r="AC1181" t="s">
        <v>8844</v>
      </c>
      <c r="AF1181" t="s">
        <v>14886</v>
      </c>
      <c r="AI1181" t="s">
        <v>8844</v>
      </c>
      <c r="AL1181" t="s">
        <v>14887</v>
      </c>
      <c r="AO1181" t="s">
        <v>14888</v>
      </c>
    </row>
    <row r="1182" spans="1:41" hidden="1" x14ac:dyDescent="0.35">
      <c r="A1182" t="s">
        <v>14889</v>
      </c>
      <c r="B1182" t="s">
        <v>7246</v>
      </c>
      <c r="C1182" t="s">
        <v>5312</v>
      </c>
      <c r="D1182" t="s">
        <v>5312</v>
      </c>
      <c r="E1182" t="s">
        <v>5312</v>
      </c>
      <c r="G1182" s="13" t="s">
        <v>14890</v>
      </c>
      <c r="H1182" t="s">
        <v>14891</v>
      </c>
      <c r="J1182" t="s">
        <v>14892</v>
      </c>
      <c r="K1182" t="s">
        <v>11190</v>
      </c>
      <c r="L1182" t="s">
        <v>11190</v>
      </c>
      <c r="M1182" t="s">
        <v>7292</v>
      </c>
      <c r="N1182">
        <v>2022</v>
      </c>
      <c r="R1182">
        <v>18.3</v>
      </c>
      <c r="S1182" t="s">
        <v>8257</v>
      </c>
      <c r="T1182">
        <v>18.3</v>
      </c>
      <c r="U1182">
        <v>8516.52</v>
      </c>
      <c r="V1182">
        <v>431</v>
      </c>
      <c r="W1182">
        <v>235.06</v>
      </c>
      <c r="X1182">
        <v>431</v>
      </c>
      <c r="AA1182" t="s">
        <v>14893</v>
      </c>
      <c r="AC1182" t="s">
        <v>10816</v>
      </c>
      <c r="AF1182" t="s">
        <v>14894</v>
      </c>
      <c r="AH1182" t="s">
        <v>14894</v>
      </c>
      <c r="AI1182" t="s">
        <v>10816</v>
      </c>
      <c r="AL1182" t="s">
        <v>14892</v>
      </c>
      <c r="AO1182" t="s">
        <v>14895</v>
      </c>
    </row>
    <row r="1183" spans="1:41" hidden="1" x14ac:dyDescent="0.35">
      <c r="A1183" t="s">
        <v>14896</v>
      </c>
      <c r="B1183" t="s">
        <v>7246</v>
      </c>
      <c r="C1183" t="s">
        <v>5312</v>
      </c>
      <c r="D1183" t="s">
        <v>5312</v>
      </c>
      <c r="E1183" t="s">
        <v>5312</v>
      </c>
      <c r="G1183" s="13" t="s">
        <v>14897</v>
      </c>
      <c r="H1183" t="s">
        <v>14898</v>
      </c>
      <c r="K1183" t="s">
        <v>11190</v>
      </c>
      <c r="L1183" t="s">
        <v>11190</v>
      </c>
      <c r="M1183" t="s">
        <v>7250</v>
      </c>
      <c r="N1183">
        <v>2007</v>
      </c>
      <c r="R1183">
        <v>2</v>
      </c>
      <c r="S1183" t="s">
        <v>8257</v>
      </c>
      <c r="T1183">
        <v>2</v>
      </c>
      <c r="U1183">
        <v>930.77</v>
      </c>
      <c r="V1183">
        <v>330</v>
      </c>
      <c r="W1183">
        <v>366.79</v>
      </c>
      <c r="X1183">
        <v>330</v>
      </c>
      <c r="AA1183" t="s">
        <v>14899</v>
      </c>
      <c r="AC1183" t="s">
        <v>10816</v>
      </c>
      <c r="AF1183" t="s">
        <v>14894</v>
      </c>
      <c r="AH1183" t="s">
        <v>14894</v>
      </c>
      <c r="AI1183" t="s">
        <v>10816</v>
      </c>
      <c r="AO1183" t="s">
        <v>14900</v>
      </c>
    </row>
    <row r="1184" spans="1:41" hidden="1" x14ac:dyDescent="0.35">
      <c r="A1184" t="s">
        <v>14901</v>
      </c>
      <c r="B1184" t="s">
        <v>7246</v>
      </c>
      <c r="C1184" t="s">
        <v>5312</v>
      </c>
      <c r="D1184" t="s">
        <v>5312</v>
      </c>
      <c r="E1184" t="s">
        <v>5312</v>
      </c>
      <c r="G1184" s="13" t="s">
        <v>14902</v>
      </c>
      <c r="H1184" t="s">
        <v>14903</v>
      </c>
      <c r="K1184" t="s">
        <v>11190</v>
      </c>
      <c r="L1184" t="s">
        <v>11190</v>
      </c>
      <c r="M1184" t="s">
        <v>7250</v>
      </c>
      <c r="N1184">
        <v>2008</v>
      </c>
      <c r="R1184">
        <v>2</v>
      </c>
      <c r="S1184" t="s">
        <v>8257</v>
      </c>
      <c r="T1184">
        <v>2</v>
      </c>
      <c r="U1184">
        <v>930.77</v>
      </c>
      <c r="V1184">
        <v>40</v>
      </c>
      <c r="W1184">
        <v>123.16</v>
      </c>
      <c r="X1184">
        <v>40</v>
      </c>
      <c r="AA1184" t="s">
        <v>14904</v>
      </c>
      <c r="AC1184" t="s">
        <v>10816</v>
      </c>
      <c r="AF1184" t="s">
        <v>14905</v>
      </c>
      <c r="AG1184" t="s">
        <v>14906</v>
      </c>
      <c r="AH1184" t="s">
        <v>5311</v>
      </c>
      <c r="AI1184" t="s">
        <v>10816</v>
      </c>
      <c r="AO1184" t="s">
        <v>14907</v>
      </c>
    </row>
    <row r="1185" spans="1:41" hidden="1" x14ac:dyDescent="0.35">
      <c r="A1185" t="s">
        <v>14908</v>
      </c>
      <c r="B1185" t="s">
        <v>7246</v>
      </c>
      <c r="C1185" t="s">
        <v>423</v>
      </c>
      <c r="D1185" t="s">
        <v>423</v>
      </c>
      <c r="E1185" t="s">
        <v>423</v>
      </c>
      <c r="G1185" s="13" t="s">
        <v>14909</v>
      </c>
      <c r="H1185" t="s">
        <v>14910</v>
      </c>
      <c r="K1185" t="s">
        <v>9848</v>
      </c>
      <c r="L1185" t="s">
        <v>9848</v>
      </c>
      <c r="M1185" t="s">
        <v>7269</v>
      </c>
      <c r="T1185" t="s">
        <v>6546</v>
      </c>
      <c r="U1185" t="s">
        <v>6546</v>
      </c>
      <c r="V1185">
        <v>341.18</v>
      </c>
      <c r="W1185">
        <v>288.74</v>
      </c>
      <c r="X1185">
        <v>341.18</v>
      </c>
      <c r="AB1185" t="s">
        <v>14911</v>
      </c>
      <c r="AC1185" t="s">
        <v>8844</v>
      </c>
      <c r="AF1185" t="s">
        <v>14912</v>
      </c>
      <c r="AI1185" t="s">
        <v>8844</v>
      </c>
      <c r="AL1185" t="s">
        <v>14913</v>
      </c>
      <c r="AO1185" t="s">
        <v>14914</v>
      </c>
    </row>
    <row r="1186" spans="1:41" hidden="1" x14ac:dyDescent="0.35">
      <c r="A1186" t="s">
        <v>14915</v>
      </c>
      <c r="B1186" t="s">
        <v>7246</v>
      </c>
      <c r="C1186" t="s">
        <v>423</v>
      </c>
      <c r="D1186" t="s">
        <v>423</v>
      </c>
      <c r="E1186" t="s">
        <v>423</v>
      </c>
      <c r="G1186" s="13" t="s">
        <v>14916</v>
      </c>
      <c r="H1186" t="s">
        <v>14917</v>
      </c>
      <c r="K1186" t="s">
        <v>9848</v>
      </c>
      <c r="L1186" t="s">
        <v>9848</v>
      </c>
      <c r="M1186" t="s">
        <v>7269</v>
      </c>
      <c r="T1186" t="s">
        <v>6546</v>
      </c>
      <c r="U1186" t="s">
        <v>6546</v>
      </c>
      <c r="V1186">
        <v>725.8</v>
      </c>
      <c r="W1186">
        <v>685.27</v>
      </c>
      <c r="X1186">
        <v>725.8</v>
      </c>
      <c r="AA1186" t="s">
        <v>14918</v>
      </c>
      <c r="AB1186" t="s">
        <v>14919</v>
      </c>
      <c r="AC1186" t="s">
        <v>8844</v>
      </c>
      <c r="AF1186" t="s">
        <v>14911</v>
      </c>
      <c r="AI1186" t="s">
        <v>8844</v>
      </c>
      <c r="AL1186" t="s">
        <v>14920</v>
      </c>
      <c r="AO1186" t="s">
        <v>14921</v>
      </c>
    </row>
    <row r="1187" spans="1:41" hidden="1" x14ac:dyDescent="0.35">
      <c r="A1187" t="s">
        <v>14922</v>
      </c>
      <c r="B1187" t="s">
        <v>7246</v>
      </c>
      <c r="C1187" t="s">
        <v>423</v>
      </c>
      <c r="D1187" t="s">
        <v>423</v>
      </c>
      <c r="E1187" t="s">
        <v>423</v>
      </c>
      <c r="G1187" s="13" t="s">
        <v>14923</v>
      </c>
      <c r="H1187" t="s">
        <v>14924</v>
      </c>
      <c r="K1187" t="s">
        <v>9848</v>
      </c>
      <c r="L1187" t="s">
        <v>9848</v>
      </c>
      <c r="M1187" t="s">
        <v>7269</v>
      </c>
      <c r="T1187" t="s">
        <v>6546</v>
      </c>
      <c r="U1187" t="s">
        <v>6546</v>
      </c>
      <c r="V1187">
        <v>466</v>
      </c>
      <c r="W1187">
        <v>452.23</v>
      </c>
      <c r="X1187">
        <v>466</v>
      </c>
      <c r="AB1187" t="s">
        <v>14045</v>
      </c>
      <c r="AC1187" t="s">
        <v>8844</v>
      </c>
      <c r="AF1187" t="s">
        <v>14925</v>
      </c>
      <c r="AI1187" t="s">
        <v>8844</v>
      </c>
      <c r="AL1187" t="s">
        <v>14926</v>
      </c>
      <c r="AO1187" t="s">
        <v>14927</v>
      </c>
    </row>
    <row r="1188" spans="1:41" hidden="1" x14ac:dyDescent="0.35">
      <c r="A1188" t="s">
        <v>14928</v>
      </c>
      <c r="B1188" t="s">
        <v>7246</v>
      </c>
      <c r="C1188" t="s">
        <v>423</v>
      </c>
      <c r="D1188" t="s">
        <v>423</v>
      </c>
      <c r="E1188" t="s">
        <v>423</v>
      </c>
      <c r="G1188" s="13" t="s">
        <v>14929</v>
      </c>
      <c r="H1188" t="s">
        <v>14930</v>
      </c>
      <c r="J1188" t="s">
        <v>10121</v>
      </c>
      <c r="K1188" t="s">
        <v>9848</v>
      </c>
      <c r="L1188" t="s">
        <v>9848</v>
      </c>
      <c r="M1188" t="s">
        <v>7292</v>
      </c>
      <c r="N1188">
        <v>2023</v>
      </c>
      <c r="T1188" t="s">
        <v>6546</v>
      </c>
      <c r="U1188" t="s">
        <v>6546</v>
      </c>
      <c r="V1188" t="s">
        <v>6546</v>
      </c>
      <c r="W1188">
        <v>1331.42</v>
      </c>
      <c r="X1188">
        <v>1331.42</v>
      </c>
      <c r="AB1188" t="s">
        <v>9878</v>
      </c>
      <c r="AC1188" t="s">
        <v>8844</v>
      </c>
      <c r="AE1188" t="s">
        <v>3621</v>
      </c>
      <c r="AF1188" t="s">
        <v>10015</v>
      </c>
      <c r="AH1188" t="s">
        <v>10123</v>
      </c>
      <c r="AI1188" t="s">
        <v>8844</v>
      </c>
      <c r="AL1188" t="s">
        <v>14931</v>
      </c>
      <c r="AO1188" t="s">
        <v>10125</v>
      </c>
    </row>
    <row r="1189" spans="1:41" hidden="1" x14ac:dyDescent="0.35">
      <c r="A1189" t="s">
        <v>14932</v>
      </c>
      <c r="B1189" t="s">
        <v>7246</v>
      </c>
      <c r="C1189" t="s">
        <v>5613</v>
      </c>
      <c r="D1189" t="s">
        <v>5613</v>
      </c>
      <c r="E1189" t="s">
        <v>5613</v>
      </c>
      <c r="G1189" s="13" t="s">
        <v>14933</v>
      </c>
      <c r="H1189" t="s">
        <v>14934</v>
      </c>
      <c r="K1189" t="s">
        <v>11729</v>
      </c>
      <c r="L1189" t="s">
        <v>11729</v>
      </c>
      <c r="M1189" t="s">
        <v>7250</v>
      </c>
      <c r="N1189">
        <v>2015</v>
      </c>
      <c r="R1189">
        <v>15</v>
      </c>
      <c r="S1189" t="s">
        <v>8257</v>
      </c>
      <c r="T1189">
        <v>15</v>
      </c>
      <c r="U1189">
        <v>6980.75</v>
      </c>
      <c r="V1189">
        <v>308</v>
      </c>
      <c r="W1189">
        <v>269.01</v>
      </c>
      <c r="X1189">
        <v>308</v>
      </c>
      <c r="Y1189">
        <v>48</v>
      </c>
      <c r="Z1189" t="s">
        <v>7253</v>
      </c>
      <c r="AB1189" t="s">
        <v>14935</v>
      </c>
      <c r="AC1189" t="s">
        <v>8777</v>
      </c>
      <c r="AE1189" t="s">
        <v>14936</v>
      </c>
      <c r="AF1189" t="s">
        <v>14937</v>
      </c>
      <c r="AH1189" t="s">
        <v>14938</v>
      </c>
      <c r="AI1189" t="s">
        <v>8777</v>
      </c>
      <c r="AO1189" t="s">
        <v>14939</v>
      </c>
    </row>
    <row r="1190" spans="1:41" hidden="1" x14ac:dyDescent="0.35">
      <c r="A1190" t="s">
        <v>14940</v>
      </c>
      <c r="B1190" t="s">
        <v>7246</v>
      </c>
      <c r="C1190" t="s">
        <v>5613</v>
      </c>
      <c r="D1190" t="s">
        <v>5613</v>
      </c>
      <c r="E1190" t="s">
        <v>5613</v>
      </c>
      <c r="G1190" s="13" t="s">
        <v>14941</v>
      </c>
      <c r="H1190" t="s">
        <v>14942</v>
      </c>
      <c r="K1190" t="s">
        <v>11729</v>
      </c>
      <c r="L1190" t="s">
        <v>11729</v>
      </c>
      <c r="M1190" t="s">
        <v>7250</v>
      </c>
      <c r="N1190">
        <v>2014</v>
      </c>
      <c r="R1190">
        <v>13</v>
      </c>
      <c r="S1190" t="s">
        <v>8257</v>
      </c>
      <c r="T1190">
        <v>13</v>
      </c>
      <c r="U1190">
        <v>6049.98</v>
      </c>
      <c r="V1190">
        <v>191</v>
      </c>
      <c r="W1190">
        <v>179.36</v>
      </c>
      <c r="X1190">
        <v>191</v>
      </c>
      <c r="Y1190" t="s">
        <v>14943</v>
      </c>
      <c r="Z1190" t="s">
        <v>7253</v>
      </c>
      <c r="AB1190" t="s">
        <v>11561</v>
      </c>
      <c r="AC1190" t="s">
        <v>8777</v>
      </c>
      <c r="AF1190" t="s">
        <v>14935</v>
      </c>
      <c r="AH1190" t="s">
        <v>14936</v>
      </c>
      <c r="AI1190" t="s">
        <v>8777</v>
      </c>
      <c r="AO1190" t="s">
        <v>14944</v>
      </c>
    </row>
    <row r="1191" spans="1:41" hidden="1" x14ac:dyDescent="0.35">
      <c r="A1191" t="s">
        <v>14945</v>
      </c>
      <c r="B1191" t="s">
        <v>7246</v>
      </c>
      <c r="C1191" t="s">
        <v>351</v>
      </c>
      <c r="D1191" t="s">
        <v>351</v>
      </c>
      <c r="E1191" t="s">
        <v>351</v>
      </c>
      <c r="G1191" s="13" t="s">
        <v>14946</v>
      </c>
      <c r="H1191" t="s">
        <v>14947</v>
      </c>
      <c r="I1191" t="s">
        <v>14948</v>
      </c>
      <c r="J1191" t="s">
        <v>14949</v>
      </c>
      <c r="K1191" t="s">
        <v>10641</v>
      </c>
      <c r="L1191" t="s">
        <v>10642</v>
      </c>
      <c r="M1191" t="s">
        <v>7250</v>
      </c>
      <c r="N1191">
        <v>1986</v>
      </c>
      <c r="R1191">
        <v>0.48</v>
      </c>
      <c r="S1191" t="s">
        <v>8257</v>
      </c>
      <c r="T1191">
        <v>0.48</v>
      </c>
      <c r="U1191">
        <v>225.25</v>
      </c>
      <c r="V1191">
        <v>940</v>
      </c>
      <c r="W1191">
        <v>524.35</v>
      </c>
      <c r="X1191">
        <v>940</v>
      </c>
      <c r="Y1191" t="s">
        <v>14950</v>
      </c>
      <c r="Z1191" t="s">
        <v>7253</v>
      </c>
      <c r="AB1191" t="s">
        <v>14951</v>
      </c>
      <c r="AC1191" t="s">
        <v>8523</v>
      </c>
      <c r="AE1191" t="s">
        <v>14952</v>
      </c>
      <c r="AF1191" t="s">
        <v>14953</v>
      </c>
      <c r="AH1191" t="s">
        <v>14954</v>
      </c>
      <c r="AI1191" t="s">
        <v>8523</v>
      </c>
      <c r="AL1191" t="s">
        <v>14955</v>
      </c>
      <c r="AM1191" t="s">
        <v>12802</v>
      </c>
      <c r="AN1191" s="13" t="s">
        <v>14956</v>
      </c>
      <c r="AO1191" t="s">
        <v>14957</v>
      </c>
    </row>
    <row r="1192" spans="1:41" hidden="1" x14ac:dyDescent="0.35">
      <c r="A1192" t="s">
        <v>14958</v>
      </c>
      <c r="B1192" t="s">
        <v>7246</v>
      </c>
      <c r="C1192" t="s">
        <v>351</v>
      </c>
      <c r="D1192" t="s">
        <v>351</v>
      </c>
      <c r="E1192" t="s">
        <v>351</v>
      </c>
      <c r="G1192" s="13" t="s">
        <v>14946</v>
      </c>
      <c r="H1192" t="s">
        <v>14947</v>
      </c>
      <c r="I1192" t="s">
        <v>14959</v>
      </c>
      <c r="J1192" t="s">
        <v>14960</v>
      </c>
      <c r="K1192" t="s">
        <v>12809</v>
      </c>
      <c r="L1192" t="s">
        <v>8542</v>
      </c>
      <c r="M1192" t="s">
        <v>7250</v>
      </c>
      <c r="N1192">
        <v>2006</v>
      </c>
      <c r="R1192">
        <v>0.37</v>
      </c>
      <c r="S1192" t="s">
        <v>8257</v>
      </c>
      <c r="T1192">
        <v>0.37</v>
      </c>
      <c r="U1192">
        <v>169.86</v>
      </c>
      <c r="V1192">
        <v>600</v>
      </c>
      <c r="W1192">
        <v>528.27</v>
      </c>
      <c r="X1192">
        <v>600</v>
      </c>
      <c r="Y1192" t="s">
        <v>14961</v>
      </c>
      <c r="Z1192" t="s">
        <v>7253</v>
      </c>
      <c r="AB1192" t="s">
        <v>14953</v>
      </c>
      <c r="AC1192" t="s">
        <v>8523</v>
      </c>
      <c r="AE1192" t="s">
        <v>14954</v>
      </c>
      <c r="AF1192" t="s">
        <v>14962</v>
      </c>
      <c r="AH1192" t="s">
        <v>14954</v>
      </c>
      <c r="AI1192" t="s">
        <v>8523</v>
      </c>
      <c r="AL1192" t="s">
        <v>14955</v>
      </c>
      <c r="AM1192" t="s">
        <v>6149</v>
      </c>
      <c r="AN1192" s="13" t="s">
        <v>14956</v>
      </c>
      <c r="AO1192" t="s">
        <v>14963</v>
      </c>
    </row>
    <row r="1193" spans="1:41" hidden="1" x14ac:dyDescent="0.35">
      <c r="A1193" t="s">
        <v>14964</v>
      </c>
      <c r="B1193" t="s">
        <v>7246</v>
      </c>
      <c r="C1193" t="s">
        <v>351</v>
      </c>
      <c r="D1193" t="s">
        <v>364</v>
      </c>
      <c r="E1193" t="s">
        <v>14965</v>
      </c>
      <c r="G1193" s="13" t="s">
        <v>14966</v>
      </c>
      <c r="H1193" t="s">
        <v>14967</v>
      </c>
      <c r="I1193" t="s">
        <v>14968</v>
      </c>
      <c r="J1193" t="s">
        <v>14969</v>
      </c>
      <c r="K1193" t="s">
        <v>6543</v>
      </c>
      <c r="L1193" t="s">
        <v>6543</v>
      </c>
      <c r="M1193" t="s">
        <v>7731</v>
      </c>
      <c r="N1193">
        <v>2024</v>
      </c>
      <c r="R1193">
        <v>10.95</v>
      </c>
      <c r="S1193" t="s">
        <v>8257</v>
      </c>
      <c r="T1193">
        <v>10.95</v>
      </c>
      <c r="U1193">
        <v>5095.95</v>
      </c>
      <c r="V1193">
        <v>450</v>
      </c>
      <c r="W1193">
        <v>499.4</v>
      </c>
      <c r="X1193">
        <v>450</v>
      </c>
      <c r="AA1193" t="s">
        <v>12798</v>
      </c>
      <c r="AB1193" t="s">
        <v>14970</v>
      </c>
      <c r="AC1193" t="s">
        <v>8523</v>
      </c>
      <c r="AE1193" t="s">
        <v>3151</v>
      </c>
      <c r="AF1193" t="s">
        <v>14971</v>
      </c>
      <c r="AH1193" t="s">
        <v>3202</v>
      </c>
      <c r="AI1193" t="s">
        <v>8523</v>
      </c>
      <c r="AL1193" t="s">
        <v>14972</v>
      </c>
      <c r="AN1193" s="13" t="s">
        <v>14973</v>
      </c>
      <c r="AO1193" t="s">
        <v>14974</v>
      </c>
    </row>
    <row r="1194" spans="1:41" hidden="1" x14ac:dyDescent="0.35">
      <c r="A1194" t="s">
        <v>14975</v>
      </c>
      <c r="B1194" t="s">
        <v>7246</v>
      </c>
      <c r="C1194" t="s">
        <v>8566</v>
      </c>
      <c r="D1194" t="s">
        <v>14976</v>
      </c>
      <c r="E1194" t="s">
        <v>14977</v>
      </c>
      <c r="G1194" s="13" t="s">
        <v>14978</v>
      </c>
      <c r="H1194" t="s">
        <v>14979</v>
      </c>
      <c r="K1194" t="s">
        <v>14980</v>
      </c>
      <c r="L1194" t="s">
        <v>14980</v>
      </c>
      <c r="M1194" t="s">
        <v>7292</v>
      </c>
      <c r="N1194">
        <v>2024</v>
      </c>
      <c r="R1194">
        <v>212</v>
      </c>
      <c r="S1194" t="s">
        <v>7251</v>
      </c>
      <c r="T1194">
        <v>2.19</v>
      </c>
      <c r="U1194">
        <v>1020.43</v>
      </c>
      <c r="V1194">
        <v>900</v>
      </c>
      <c r="W1194">
        <v>782.95</v>
      </c>
      <c r="X1194">
        <v>900</v>
      </c>
      <c r="AB1194" t="s">
        <v>14981</v>
      </c>
      <c r="AC1194" t="s">
        <v>8523</v>
      </c>
      <c r="AE1194" t="s">
        <v>8574</v>
      </c>
      <c r="AF1194" t="s">
        <v>14982</v>
      </c>
      <c r="AH1194" t="s">
        <v>14983</v>
      </c>
      <c r="AI1194" t="s">
        <v>8523</v>
      </c>
      <c r="AL1194" t="s">
        <v>14984</v>
      </c>
      <c r="AN1194" s="13" t="s">
        <v>14985</v>
      </c>
      <c r="AO1194" t="s">
        <v>14986</v>
      </c>
    </row>
    <row r="1195" spans="1:41" hidden="1" x14ac:dyDescent="0.35">
      <c r="A1195" t="s">
        <v>14987</v>
      </c>
      <c r="B1195" t="s">
        <v>7246</v>
      </c>
      <c r="C1195" t="s">
        <v>8566</v>
      </c>
      <c r="D1195" t="s">
        <v>5422</v>
      </c>
      <c r="E1195" t="s">
        <v>14988</v>
      </c>
      <c r="G1195" s="13" t="s">
        <v>14989</v>
      </c>
      <c r="H1195" t="s">
        <v>14990</v>
      </c>
      <c r="J1195" t="s">
        <v>14991</v>
      </c>
      <c r="K1195" t="s">
        <v>14992</v>
      </c>
      <c r="L1195" t="s">
        <v>14992</v>
      </c>
      <c r="M1195" t="s">
        <v>7292</v>
      </c>
      <c r="R1195">
        <v>353</v>
      </c>
      <c r="S1195" t="s">
        <v>7251</v>
      </c>
      <c r="T1195">
        <v>3.65</v>
      </c>
      <c r="U1195">
        <v>1699.11</v>
      </c>
      <c r="V1195">
        <v>900</v>
      </c>
      <c r="W1195">
        <v>908.82</v>
      </c>
      <c r="X1195">
        <v>900</v>
      </c>
      <c r="AA1195" t="s">
        <v>14993</v>
      </c>
      <c r="AB1195" t="s">
        <v>14994</v>
      </c>
      <c r="AC1195" t="s">
        <v>8523</v>
      </c>
      <c r="AE1195" t="s">
        <v>3179</v>
      </c>
      <c r="AF1195" t="s">
        <v>14995</v>
      </c>
      <c r="AH1195" t="s">
        <v>14996</v>
      </c>
      <c r="AI1195" t="s">
        <v>8523</v>
      </c>
      <c r="AL1195" t="s">
        <v>14997</v>
      </c>
      <c r="AN1195" s="13" t="s">
        <v>14998</v>
      </c>
      <c r="AO1195" t="s">
        <v>14999</v>
      </c>
    </row>
    <row r="1196" spans="1:41" hidden="1" x14ac:dyDescent="0.35">
      <c r="A1196" t="s">
        <v>15000</v>
      </c>
      <c r="B1196" t="s">
        <v>7246</v>
      </c>
      <c r="C1196" t="s">
        <v>364</v>
      </c>
      <c r="D1196" t="s">
        <v>364</v>
      </c>
      <c r="E1196" t="s">
        <v>364</v>
      </c>
      <c r="G1196" s="13" t="s">
        <v>15001</v>
      </c>
      <c r="H1196" t="s">
        <v>15002</v>
      </c>
      <c r="I1196" t="s">
        <v>15003</v>
      </c>
      <c r="K1196" t="s">
        <v>15004</v>
      </c>
      <c r="L1196" t="s">
        <v>15004</v>
      </c>
      <c r="M1196" t="s">
        <v>7269</v>
      </c>
      <c r="R1196">
        <v>71</v>
      </c>
      <c r="S1196" t="s">
        <v>7251</v>
      </c>
      <c r="T1196">
        <v>0.73</v>
      </c>
      <c r="U1196">
        <v>341.75</v>
      </c>
      <c r="V1196">
        <v>140</v>
      </c>
      <c r="W1196">
        <v>149.66</v>
      </c>
      <c r="X1196">
        <v>140</v>
      </c>
      <c r="AB1196" t="s">
        <v>15005</v>
      </c>
      <c r="AC1196" t="s">
        <v>8523</v>
      </c>
      <c r="AE1196" t="s">
        <v>3182</v>
      </c>
      <c r="AF1196" t="s">
        <v>15006</v>
      </c>
      <c r="AH1196" t="s">
        <v>3182</v>
      </c>
      <c r="AI1196" t="s">
        <v>8523</v>
      </c>
      <c r="AL1196" t="s">
        <v>15007</v>
      </c>
      <c r="AM1196" t="s">
        <v>15008</v>
      </c>
      <c r="AN1196" s="13" t="s">
        <v>15009</v>
      </c>
      <c r="AO1196" t="s">
        <v>15010</v>
      </c>
    </row>
    <row r="1197" spans="1:41" hidden="1" x14ac:dyDescent="0.35">
      <c r="A1197" t="s">
        <v>15011</v>
      </c>
      <c r="B1197" t="s">
        <v>7246</v>
      </c>
      <c r="C1197" t="s">
        <v>364</v>
      </c>
      <c r="D1197" t="s">
        <v>364</v>
      </c>
      <c r="E1197" t="s">
        <v>364</v>
      </c>
      <c r="G1197" s="13" t="s">
        <v>15012</v>
      </c>
      <c r="H1197" t="s">
        <v>15013</v>
      </c>
      <c r="J1197" t="s">
        <v>15014</v>
      </c>
      <c r="K1197" t="s">
        <v>15015</v>
      </c>
      <c r="L1197" t="s">
        <v>15015</v>
      </c>
      <c r="M1197" t="s">
        <v>7292</v>
      </c>
      <c r="N1197">
        <v>2025</v>
      </c>
      <c r="R1197">
        <v>2.7</v>
      </c>
      <c r="S1197" t="s">
        <v>8257</v>
      </c>
      <c r="T1197">
        <v>2.7</v>
      </c>
      <c r="U1197">
        <v>1256.54</v>
      </c>
      <c r="V1197">
        <v>893</v>
      </c>
      <c r="W1197">
        <v>810.31</v>
      </c>
      <c r="X1197">
        <v>893</v>
      </c>
      <c r="Y1197">
        <v>14</v>
      </c>
      <c r="Z1197" t="s">
        <v>7253</v>
      </c>
      <c r="AA1197" t="s">
        <v>14993</v>
      </c>
      <c r="AB1197" t="s">
        <v>15016</v>
      </c>
      <c r="AC1197" t="s">
        <v>8523</v>
      </c>
      <c r="AE1197" t="s">
        <v>5400</v>
      </c>
      <c r="AF1197" t="s">
        <v>15017</v>
      </c>
      <c r="AH1197" t="s">
        <v>15018</v>
      </c>
      <c r="AI1197" t="s">
        <v>8523</v>
      </c>
      <c r="AL1197" t="s">
        <v>15019</v>
      </c>
      <c r="AN1197" s="13" t="s">
        <v>15020</v>
      </c>
      <c r="AO1197" t="s">
        <v>15021</v>
      </c>
    </row>
    <row r="1198" spans="1:41" hidden="1" x14ac:dyDescent="0.35">
      <c r="A1198" t="s">
        <v>15022</v>
      </c>
      <c r="B1198" t="s">
        <v>7246</v>
      </c>
      <c r="C1198" t="s">
        <v>364</v>
      </c>
      <c r="D1198" t="s">
        <v>364</v>
      </c>
      <c r="E1198" t="s">
        <v>364</v>
      </c>
      <c r="G1198" s="13" t="s">
        <v>15001</v>
      </c>
      <c r="H1198" t="s">
        <v>15002</v>
      </c>
      <c r="I1198" t="s">
        <v>15023</v>
      </c>
      <c r="K1198" t="s">
        <v>15004</v>
      </c>
      <c r="L1198" t="s">
        <v>15004</v>
      </c>
      <c r="M1198" t="s">
        <v>7731</v>
      </c>
      <c r="R1198">
        <v>71</v>
      </c>
      <c r="S1198" t="s">
        <v>7251</v>
      </c>
      <c r="T1198">
        <v>0.73</v>
      </c>
      <c r="U1198">
        <v>341.75</v>
      </c>
      <c r="V1198">
        <v>523</v>
      </c>
      <c r="W1198">
        <v>483.97</v>
      </c>
      <c r="X1198">
        <v>523</v>
      </c>
      <c r="AB1198" t="s">
        <v>15005</v>
      </c>
      <c r="AC1198" t="s">
        <v>8523</v>
      </c>
      <c r="AE1198" t="s">
        <v>3182</v>
      </c>
      <c r="AF1198" t="s">
        <v>15024</v>
      </c>
      <c r="AH1198" t="s">
        <v>15025</v>
      </c>
      <c r="AI1198" t="s">
        <v>8523</v>
      </c>
      <c r="AL1198" t="s">
        <v>15007</v>
      </c>
      <c r="AM1198" t="s">
        <v>15026</v>
      </c>
      <c r="AN1198" s="13" t="s">
        <v>15009</v>
      </c>
      <c r="AO1198" t="s">
        <v>15027</v>
      </c>
    </row>
    <row r="1199" spans="1:41" hidden="1" x14ac:dyDescent="0.35">
      <c r="A1199" t="s">
        <v>15028</v>
      </c>
      <c r="B1199" t="s">
        <v>7246</v>
      </c>
      <c r="C1199" t="s">
        <v>5925</v>
      </c>
      <c r="D1199" t="s">
        <v>5445</v>
      </c>
      <c r="E1199" t="s">
        <v>15029</v>
      </c>
      <c r="G1199" s="13" t="s">
        <v>15030</v>
      </c>
      <c r="H1199" t="s">
        <v>15031</v>
      </c>
      <c r="K1199" t="s">
        <v>15032</v>
      </c>
      <c r="L1199" t="s">
        <v>15033</v>
      </c>
      <c r="M1199" t="s">
        <v>7292</v>
      </c>
      <c r="N1199">
        <v>2022</v>
      </c>
      <c r="R1199">
        <v>0.5</v>
      </c>
      <c r="S1199" t="s">
        <v>8257</v>
      </c>
      <c r="T1199">
        <v>0.5</v>
      </c>
      <c r="U1199">
        <v>232.69</v>
      </c>
      <c r="V1199">
        <v>160</v>
      </c>
      <c r="W1199">
        <v>148.31</v>
      </c>
      <c r="X1199">
        <v>160</v>
      </c>
      <c r="Y1199">
        <v>12</v>
      </c>
      <c r="Z1199" t="s">
        <v>7253</v>
      </c>
      <c r="AA1199" t="s">
        <v>10086</v>
      </c>
      <c r="AB1199" t="s">
        <v>15034</v>
      </c>
      <c r="AC1199" t="s">
        <v>8777</v>
      </c>
      <c r="AE1199" t="s">
        <v>15034</v>
      </c>
      <c r="AF1199" t="s">
        <v>15035</v>
      </c>
      <c r="AH1199" t="s">
        <v>15036</v>
      </c>
      <c r="AI1199" t="s">
        <v>8844</v>
      </c>
      <c r="AK1199">
        <v>2022</v>
      </c>
      <c r="AO1199" t="s">
        <v>15037</v>
      </c>
    </row>
    <row r="1200" spans="1:41" hidden="1" x14ac:dyDescent="0.35">
      <c r="A1200" t="s">
        <v>15038</v>
      </c>
      <c r="B1200" t="s">
        <v>7246</v>
      </c>
      <c r="C1200" t="s">
        <v>451</v>
      </c>
      <c r="D1200" t="s">
        <v>451</v>
      </c>
      <c r="E1200" t="s">
        <v>451</v>
      </c>
      <c r="G1200" s="13" t="s">
        <v>15039</v>
      </c>
      <c r="H1200" t="s">
        <v>15040</v>
      </c>
      <c r="K1200" t="s">
        <v>15041</v>
      </c>
      <c r="L1200" t="s">
        <v>15041</v>
      </c>
      <c r="M1200" t="s">
        <v>7250</v>
      </c>
      <c r="T1200" t="s">
        <v>6546</v>
      </c>
      <c r="U1200" t="s">
        <v>6546</v>
      </c>
      <c r="V1200">
        <v>120.7</v>
      </c>
      <c r="W1200">
        <v>82.45</v>
      </c>
      <c r="X1200">
        <v>120.7</v>
      </c>
      <c r="AC1200" t="s">
        <v>7255</v>
      </c>
      <c r="AE1200" t="s">
        <v>486</v>
      </c>
      <c r="AH1200" t="s">
        <v>486</v>
      </c>
      <c r="AI1200" t="s">
        <v>7255</v>
      </c>
      <c r="AO1200" t="s">
        <v>15042</v>
      </c>
    </row>
    <row r="1201" spans="1:41" hidden="1" x14ac:dyDescent="0.35">
      <c r="A1201" t="s">
        <v>15043</v>
      </c>
      <c r="B1201" t="s">
        <v>7246</v>
      </c>
      <c r="C1201" t="s">
        <v>5802</v>
      </c>
      <c r="D1201" t="s">
        <v>5802</v>
      </c>
      <c r="E1201" t="s">
        <v>5802</v>
      </c>
      <c r="G1201" s="13" t="s">
        <v>15044</v>
      </c>
      <c r="H1201" t="s">
        <v>15045</v>
      </c>
      <c r="K1201" t="s">
        <v>11195</v>
      </c>
      <c r="L1201" t="s">
        <v>11195</v>
      </c>
      <c r="M1201" t="s">
        <v>7292</v>
      </c>
      <c r="N1201">
        <v>2024</v>
      </c>
      <c r="T1201" t="s">
        <v>6546</v>
      </c>
      <c r="U1201" t="s">
        <v>6546</v>
      </c>
      <c r="V1201">
        <v>44</v>
      </c>
      <c r="W1201">
        <v>36.85</v>
      </c>
      <c r="X1201">
        <v>44</v>
      </c>
      <c r="Y1201">
        <v>39</v>
      </c>
      <c r="Z1201" t="s">
        <v>7253</v>
      </c>
      <c r="AB1201" t="s">
        <v>13768</v>
      </c>
      <c r="AC1201" t="s">
        <v>8777</v>
      </c>
      <c r="AF1201" t="s">
        <v>15046</v>
      </c>
      <c r="AI1201" t="s">
        <v>8777</v>
      </c>
      <c r="AJ1201" t="s">
        <v>9032</v>
      </c>
      <c r="AO1201" t="s">
        <v>15047</v>
      </c>
    </row>
    <row r="1202" spans="1:41" hidden="1" x14ac:dyDescent="0.35">
      <c r="A1202" t="s">
        <v>15048</v>
      </c>
      <c r="B1202" t="s">
        <v>7246</v>
      </c>
      <c r="C1202" t="s">
        <v>5830</v>
      </c>
      <c r="D1202" t="s">
        <v>5830</v>
      </c>
      <c r="E1202" t="s">
        <v>5830</v>
      </c>
      <c r="G1202" s="13" t="s">
        <v>15049</v>
      </c>
      <c r="H1202" t="s">
        <v>12084</v>
      </c>
      <c r="I1202" t="s">
        <v>15050</v>
      </c>
      <c r="K1202" t="s">
        <v>13798</v>
      </c>
      <c r="L1202" t="s">
        <v>13799</v>
      </c>
      <c r="M1202" t="s">
        <v>7250</v>
      </c>
      <c r="N1202">
        <v>2021</v>
      </c>
      <c r="T1202" t="s">
        <v>6546</v>
      </c>
      <c r="U1202" t="s">
        <v>6546</v>
      </c>
      <c r="V1202">
        <v>165.15</v>
      </c>
      <c r="W1202">
        <v>154.08000000000001</v>
      </c>
      <c r="X1202">
        <v>165.15</v>
      </c>
      <c r="AB1202" t="s">
        <v>15051</v>
      </c>
      <c r="AC1202" t="s">
        <v>8777</v>
      </c>
      <c r="AF1202" t="s">
        <v>15052</v>
      </c>
      <c r="AI1202" t="s">
        <v>8777</v>
      </c>
      <c r="AJ1202" t="s">
        <v>6407</v>
      </c>
      <c r="AO1202" t="s">
        <v>15053</v>
      </c>
    </row>
    <row r="1203" spans="1:41" hidden="1" x14ac:dyDescent="0.35">
      <c r="A1203" t="s">
        <v>15054</v>
      </c>
      <c r="B1203" t="s">
        <v>7246</v>
      </c>
      <c r="C1203" t="s">
        <v>5830</v>
      </c>
      <c r="D1203" t="s">
        <v>5830</v>
      </c>
      <c r="E1203" t="s">
        <v>5830</v>
      </c>
      <c r="G1203" s="13" t="s">
        <v>15055</v>
      </c>
      <c r="H1203" t="s">
        <v>12084</v>
      </c>
      <c r="I1203" t="s">
        <v>15056</v>
      </c>
      <c r="K1203" t="s">
        <v>13798</v>
      </c>
      <c r="L1203" t="s">
        <v>13799</v>
      </c>
      <c r="M1203" t="s">
        <v>7292</v>
      </c>
      <c r="N1203">
        <v>2026</v>
      </c>
      <c r="T1203" t="s">
        <v>6546</v>
      </c>
      <c r="U1203" t="s">
        <v>6546</v>
      </c>
      <c r="V1203">
        <v>146</v>
      </c>
      <c r="W1203">
        <v>129.38</v>
      </c>
      <c r="X1203">
        <v>146</v>
      </c>
      <c r="Y1203">
        <v>28</v>
      </c>
      <c r="Z1203" t="s">
        <v>7253</v>
      </c>
      <c r="AB1203" t="s">
        <v>15057</v>
      </c>
      <c r="AC1203" t="s">
        <v>8777</v>
      </c>
      <c r="AF1203" t="s">
        <v>12087</v>
      </c>
      <c r="AI1203" t="s">
        <v>8777</v>
      </c>
      <c r="AJ1203" t="s">
        <v>9032</v>
      </c>
      <c r="AO1203" t="s">
        <v>15058</v>
      </c>
    </row>
    <row r="1204" spans="1:41" hidden="1" x14ac:dyDescent="0.35">
      <c r="A1204" t="s">
        <v>15059</v>
      </c>
      <c r="B1204" t="s">
        <v>7246</v>
      </c>
      <c r="C1204" t="s">
        <v>5714</v>
      </c>
      <c r="D1204" t="s">
        <v>5714</v>
      </c>
      <c r="E1204" t="s">
        <v>5714</v>
      </c>
      <c r="G1204" s="13" t="s">
        <v>15060</v>
      </c>
      <c r="H1204" t="s">
        <v>15061</v>
      </c>
      <c r="J1204" t="s">
        <v>15062</v>
      </c>
      <c r="K1204" t="s">
        <v>11876</v>
      </c>
      <c r="L1204" t="s">
        <v>7025</v>
      </c>
      <c r="M1204" t="s">
        <v>7292</v>
      </c>
      <c r="N1204">
        <v>2034</v>
      </c>
      <c r="T1204" t="s">
        <v>6546</v>
      </c>
      <c r="U1204" t="s">
        <v>6546</v>
      </c>
      <c r="V1204">
        <v>255</v>
      </c>
      <c r="W1204">
        <v>245.92</v>
      </c>
      <c r="X1204">
        <v>255</v>
      </c>
      <c r="Y1204">
        <v>31</v>
      </c>
      <c r="Z1204" t="s">
        <v>7253</v>
      </c>
      <c r="AB1204" t="s">
        <v>15063</v>
      </c>
      <c r="AC1204" t="s">
        <v>8777</v>
      </c>
      <c r="AF1204" t="s">
        <v>15064</v>
      </c>
      <c r="AI1204" t="s">
        <v>8777</v>
      </c>
      <c r="AJ1204" t="s">
        <v>9032</v>
      </c>
      <c r="AO1204" t="s">
        <v>15065</v>
      </c>
    </row>
    <row r="1205" spans="1:41" hidden="1" x14ac:dyDescent="0.35">
      <c r="A1205" t="s">
        <v>15066</v>
      </c>
      <c r="B1205" t="s">
        <v>7246</v>
      </c>
      <c r="C1205" t="s">
        <v>5830</v>
      </c>
      <c r="D1205" t="s">
        <v>5830</v>
      </c>
      <c r="E1205" t="s">
        <v>5830</v>
      </c>
      <c r="G1205" s="13" t="s">
        <v>13796</v>
      </c>
      <c r="H1205" t="s">
        <v>13797</v>
      </c>
      <c r="I1205" t="s">
        <v>14765</v>
      </c>
      <c r="J1205" t="s">
        <v>15067</v>
      </c>
      <c r="K1205" t="s">
        <v>13798</v>
      </c>
      <c r="L1205" t="s">
        <v>13799</v>
      </c>
      <c r="M1205" t="s">
        <v>7731</v>
      </c>
      <c r="N1205">
        <v>2023</v>
      </c>
      <c r="T1205" t="s">
        <v>6546</v>
      </c>
      <c r="U1205" t="s">
        <v>6546</v>
      </c>
      <c r="V1205">
        <v>843</v>
      </c>
      <c r="W1205">
        <v>576.55999999999995</v>
      </c>
      <c r="X1205">
        <v>843</v>
      </c>
      <c r="AB1205" t="s">
        <v>15068</v>
      </c>
      <c r="AC1205" t="s">
        <v>8777</v>
      </c>
      <c r="AF1205" t="s">
        <v>15069</v>
      </c>
      <c r="AI1205" t="s">
        <v>8777</v>
      </c>
      <c r="AJ1205" t="s">
        <v>9032</v>
      </c>
      <c r="AO1205" t="s">
        <v>15070</v>
      </c>
    </row>
    <row r="1206" spans="1:41" hidden="1" x14ac:dyDescent="0.35">
      <c r="A1206" t="s">
        <v>15071</v>
      </c>
      <c r="B1206" t="s">
        <v>7246</v>
      </c>
      <c r="C1206" t="s">
        <v>449</v>
      </c>
      <c r="D1206" t="s">
        <v>12051</v>
      </c>
      <c r="E1206" t="s">
        <v>12052</v>
      </c>
      <c r="G1206" s="13" t="s">
        <v>15072</v>
      </c>
      <c r="H1206" t="s">
        <v>15073</v>
      </c>
      <c r="J1206" t="s">
        <v>15074</v>
      </c>
      <c r="K1206" t="s">
        <v>15075</v>
      </c>
      <c r="L1206" t="s">
        <v>15076</v>
      </c>
      <c r="M1206" t="s">
        <v>7250</v>
      </c>
      <c r="N1206">
        <v>2002</v>
      </c>
      <c r="T1206" t="s">
        <v>6546</v>
      </c>
      <c r="U1206" t="s">
        <v>6546</v>
      </c>
      <c r="V1206">
        <v>192</v>
      </c>
      <c r="W1206">
        <v>203.46</v>
      </c>
      <c r="X1206">
        <v>192</v>
      </c>
      <c r="AB1206" t="s">
        <v>12058</v>
      </c>
      <c r="AC1206" t="s">
        <v>8777</v>
      </c>
      <c r="AF1206" t="s">
        <v>15077</v>
      </c>
      <c r="AI1206" t="s">
        <v>8777</v>
      </c>
      <c r="AO1206" t="s">
        <v>15078</v>
      </c>
    </row>
    <row r="1207" spans="1:41" hidden="1" x14ac:dyDescent="0.35">
      <c r="A1207" t="s">
        <v>15079</v>
      </c>
      <c r="B1207" t="s">
        <v>7246</v>
      </c>
      <c r="C1207" t="s">
        <v>5823</v>
      </c>
      <c r="D1207" t="s">
        <v>5823</v>
      </c>
      <c r="E1207" t="s">
        <v>5823</v>
      </c>
      <c r="G1207" s="13" t="s">
        <v>15080</v>
      </c>
      <c r="H1207" t="s">
        <v>15081</v>
      </c>
      <c r="K1207" t="s">
        <v>11805</v>
      </c>
      <c r="L1207" t="s">
        <v>11806</v>
      </c>
      <c r="M1207" t="s">
        <v>7250</v>
      </c>
      <c r="T1207" t="s">
        <v>6546</v>
      </c>
      <c r="U1207" t="s">
        <v>6546</v>
      </c>
      <c r="V1207" t="s">
        <v>6546</v>
      </c>
      <c r="W1207">
        <v>297.85000000000002</v>
      </c>
      <c r="X1207">
        <v>297.85000000000002</v>
      </c>
      <c r="AB1207" t="s">
        <v>14432</v>
      </c>
      <c r="AC1207" t="s">
        <v>8777</v>
      </c>
      <c r="AF1207" t="s">
        <v>15082</v>
      </c>
      <c r="AI1207" t="s">
        <v>8777</v>
      </c>
      <c r="AO1207" t="s">
        <v>15083</v>
      </c>
    </row>
    <row r="1208" spans="1:41" hidden="1" x14ac:dyDescent="0.35">
      <c r="A1208" t="s">
        <v>15084</v>
      </c>
      <c r="B1208" t="s">
        <v>7246</v>
      </c>
      <c r="C1208" t="s">
        <v>451</v>
      </c>
      <c r="D1208" t="s">
        <v>451</v>
      </c>
      <c r="E1208" t="s">
        <v>451</v>
      </c>
      <c r="G1208" s="13" t="s">
        <v>8011</v>
      </c>
      <c r="H1208" t="s">
        <v>8012</v>
      </c>
      <c r="I1208" t="s">
        <v>15085</v>
      </c>
      <c r="K1208" t="s">
        <v>8014</v>
      </c>
      <c r="L1208" t="s">
        <v>7346</v>
      </c>
      <c r="M1208" t="s">
        <v>7250</v>
      </c>
      <c r="N1208">
        <v>2017</v>
      </c>
      <c r="R1208">
        <v>818</v>
      </c>
      <c r="S1208" t="s">
        <v>7251</v>
      </c>
      <c r="T1208">
        <v>8.4600000000000009</v>
      </c>
      <c r="U1208">
        <v>3937.31</v>
      </c>
      <c r="V1208">
        <v>35.409999999999997</v>
      </c>
      <c r="W1208">
        <v>34.28</v>
      </c>
      <c r="X1208">
        <v>35.409999999999997</v>
      </c>
      <c r="AC1208" t="s">
        <v>7255</v>
      </c>
      <c r="AE1208" t="s">
        <v>643</v>
      </c>
      <c r="AH1208" t="s">
        <v>643</v>
      </c>
      <c r="AI1208" t="s">
        <v>7255</v>
      </c>
      <c r="AO1208" t="s">
        <v>15086</v>
      </c>
    </row>
    <row r="1209" spans="1:41" hidden="1" x14ac:dyDescent="0.35">
      <c r="A1209" t="s">
        <v>15087</v>
      </c>
      <c r="B1209" t="s">
        <v>7246</v>
      </c>
      <c r="C1209" t="s">
        <v>451</v>
      </c>
      <c r="D1209" t="s">
        <v>451</v>
      </c>
      <c r="E1209" t="s">
        <v>451</v>
      </c>
      <c r="G1209" s="13" t="s">
        <v>14735</v>
      </c>
      <c r="H1209" t="s">
        <v>14736</v>
      </c>
      <c r="I1209" t="s">
        <v>15088</v>
      </c>
      <c r="K1209" t="s">
        <v>14738</v>
      </c>
      <c r="L1209" t="s">
        <v>7652</v>
      </c>
      <c r="M1209" t="s">
        <v>7250</v>
      </c>
      <c r="N1209">
        <v>2017</v>
      </c>
      <c r="R1209">
        <v>76</v>
      </c>
      <c r="S1209" t="s">
        <v>7251</v>
      </c>
      <c r="T1209">
        <v>0.79</v>
      </c>
      <c r="U1209">
        <v>365.81</v>
      </c>
      <c r="V1209">
        <v>8</v>
      </c>
      <c r="W1209">
        <v>7.67</v>
      </c>
      <c r="X1209">
        <v>8</v>
      </c>
      <c r="Y1209" t="s">
        <v>14950</v>
      </c>
      <c r="Z1209" t="s">
        <v>7253</v>
      </c>
      <c r="AC1209" t="s">
        <v>7255</v>
      </c>
      <c r="AE1209" t="s">
        <v>759</v>
      </c>
      <c r="AH1209" t="s">
        <v>759</v>
      </c>
      <c r="AI1209" t="s">
        <v>7255</v>
      </c>
      <c r="AO1209" t="s">
        <v>15089</v>
      </c>
    </row>
    <row r="1210" spans="1:41" hidden="1" x14ac:dyDescent="0.35">
      <c r="A1210" t="s">
        <v>15090</v>
      </c>
      <c r="B1210" t="s">
        <v>7246</v>
      </c>
      <c r="C1210" t="s">
        <v>451</v>
      </c>
      <c r="D1210" t="s">
        <v>451</v>
      </c>
      <c r="E1210" t="s">
        <v>451</v>
      </c>
      <c r="G1210" s="13" t="s">
        <v>15091</v>
      </c>
      <c r="H1210" t="s">
        <v>15092</v>
      </c>
      <c r="K1210" t="s">
        <v>7571</v>
      </c>
      <c r="L1210" t="s">
        <v>7571</v>
      </c>
      <c r="M1210" t="s">
        <v>7292</v>
      </c>
      <c r="N1210">
        <v>2024</v>
      </c>
      <c r="T1210" t="s">
        <v>6546</v>
      </c>
      <c r="U1210" t="s">
        <v>6546</v>
      </c>
      <c r="V1210">
        <v>452.23</v>
      </c>
      <c r="W1210">
        <v>438.68</v>
      </c>
      <c r="X1210">
        <v>452.23</v>
      </c>
      <c r="AB1210" t="s">
        <v>15093</v>
      </c>
      <c r="AC1210" t="s">
        <v>7255</v>
      </c>
      <c r="AE1210" t="s">
        <v>497</v>
      </c>
      <c r="AG1210" t="s">
        <v>15094</v>
      </c>
      <c r="AH1210" t="s">
        <v>497</v>
      </c>
      <c r="AI1210" t="s">
        <v>7255</v>
      </c>
      <c r="AO1210" t="s">
        <v>15095</v>
      </c>
    </row>
    <row r="1211" spans="1:41" hidden="1" x14ac:dyDescent="0.35">
      <c r="A1211" t="s">
        <v>15096</v>
      </c>
      <c r="B1211" t="s">
        <v>7246</v>
      </c>
      <c r="C1211" t="s">
        <v>451</v>
      </c>
      <c r="D1211" t="s">
        <v>451</v>
      </c>
      <c r="E1211" t="s">
        <v>451</v>
      </c>
      <c r="G1211" s="13" t="s">
        <v>7550</v>
      </c>
      <c r="H1211" t="s">
        <v>7551</v>
      </c>
      <c r="I1211" t="s">
        <v>15097</v>
      </c>
      <c r="K1211" t="s">
        <v>7552</v>
      </c>
      <c r="L1211" t="s">
        <v>7553</v>
      </c>
      <c r="M1211" t="s">
        <v>7250</v>
      </c>
      <c r="N1211">
        <v>2018</v>
      </c>
      <c r="R1211">
        <v>60</v>
      </c>
      <c r="S1211" t="s">
        <v>7251</v>
      </c>
      <c r="T1211">
        <v>0.62</v>
      </c>
      <c r="U1211">
        <v>288.8</v>
      </c>
      <c r="V1211">
        <v>0</v>
      </c>
      <c r="W1211">
        <v>144.78</v>
      </c>
      <c r="X1211">
        <v>0</v>
      </c>
      <c r="AC1211" t="s">
        <v>7255</v>
      </c>
      <c r="AE1211" t="s">
        <v>799</v>
      </c>
      <c r="AH1211" t="s">
        <v>643</v>
      </c>
      <c r="AI1211" t="s">
        <v>7255</v>
      </c>
      <c r="AO1211" t="s">
        <v>15098</v>
      </c>
    </row>
    <row r="1212" spans="1:41" hidden="1" x14ac:dyDescent="0.35">
      <c r="A1212" t="s">
        <v>15099</v>
      </c>
      <c r="B1212" t="s">
        <v>7246</v>
      </c>
      <c r="C1212" t="s">
        <v>451</v>
      </c>
      <c r="D1212" t="s">
        <v>451</v>
      </c>
      <c r="E1212" t="s">
        <v>451</v>
      </c>
      <c r="G1212" s="13" t="s">
        <v>15100</v>
      </c>
      <c r="H1212" t="s">
        <v>15101</v>
      </c>
      <c r="K1212" t="s">
        <v>7320</v>
      </c>
      <c r="L1212" t="s">
        <v>7320</v>
      </c>
      <c r="M1212" t="s">
        <v>7292</v>
      </c>
      <c r="N1212">
        <v>2023</v>
      </c>
      <c r="R1212">
        <v>500</v>
      </c>
      <c r="S1212" t="s">
        <v>7251</v>
      </c>
      <c r="T1212">
        <v>5.17</v>
      </c>
      <c r="U1212">
        <v>2406.67</v>
      </c>
      <c r="V1212">
        <v>152.9</v>
      </c>
      <c r="W1212">
        <v>149.9</v>
      </c>
      <c r="X1212">
        <v>152.9</v>
      </c>
      <c r="Y1212">
        <v>30</v>
      </c>
      <c r="Z1212" t="s">
        <v>7253</v>
      </c>
      <c r="AC1212" t="s">
        <v>7255</v>
      </c>
      <c r="AE1212" t="s">
        <v>6337</v>
      </c>
      <c r="AH1212" t="s">
        <v>6337</v>
      </c>
      <c r="AI1212" t="s">
        <v>7255</v>
      </c>
      <c r="AO1212" t="s">
        <v>15102</v>
      </c>
    </row>
    <row r="1213" spans="1:41" hidden="1" x14ac:dyDescent="0.35">
      <c r="A1213" t="s">
        <v>15103</v>
      </c>
      <c r="B1213" t="s">
        <v>7246</v>
      </c>
      <c r="C1213" t="s">
        <v>5902</v>
      </c>
      <c r="D1213" t="s">
        <v>5902</v>
      </c>
      <c r="E1213" t="s">
        <v>5902</v>
      </c>
      <c r="G1213" s="13" t="s">
        <v>15104</v>
      </c>
      <c r="H1213" t="s">
        <v>15105</v>
      </c>
      <c r="K1213" t="s">
        <v>15106</v>
      </c>
      <c r="L1213" t="s">
        <v>15106</v>
      </c>
      <c r="M1213" t="s">
        <v>7250</v>
      </c>
      <c r="T1213" t="s">
        <v>6546</v>
      </c>
      <c r="U1213" t="s">
        <v>6546</v>
      </c>
      <c r="V1213">
        <v>600</v>
      </c>
      <c r="W1213">
        <v>329.18</v>
      </c>
      <c r="X1213">
        <v>600</v>
      </c>
      <c r="AB1213" t="s">
        <v>15107</v>
      </c>
      <c r="AC1213" t="s">
        <v>8777</v>
      </c>
      <c r="AF1213" t="s">
        <v>1641</v>
      </c>
      <c r="AI1213" t="s">
        <v>8777</v>
      </c>
      <c r="AO1213" t="s">
        <v>15108</v>
      </c>
    </row>
    <row r="1214" spans="1:41" hidden="1" x14ac:dyDescent="0.35">
      <c r="A1214" t="s">
        <v>15109</v>
      </c>
      <c r="B1214" t="s">
        <v>7246</v>
      </c>
      <c r="C1214" t="s">
        <v>5902</v>
      </c>
      <c r="D1214" t="s">
        <v>5902</v>
      </c>
      <c r="E1214" t="s">
        <v>5902</v>
      </c>
      <c r="G1214" s="13" t="s">
        <v>15110</v>
      </c>
      <c r="H1214" t="s">
        <v>15111</v>
      </c>
      <c r="K1214" t="s">
        <v>15106</v>
      </c>
      <c r="L1214" t="s">
        <v>15106</v>
      </c>
      <c r="M1214" t="s">
        <v>7250</v>
      </c>
      <c r="T1214" t="s">
        <v>6546</v>
      </c>
      <c r="U1214" t="s">
        <v>6546</v>
      </c>
      <c r="V1214" t="s">
        <v>6546</v>
      </c>
      <c r="W1214">
        <v>80.849999999999994</v>
      </c>
      <c r="X1214">
        <v>80.849999999999994</v>
      </c>
      <c r="AB1214" t="s">
        <v>2009</v>
      </c>
      <c r="AC1214" t="s">
        <v>8777</v>
      </c>
      <c r="AF1214" t="s">
        <v>15112</v>
      </c>
      <c r="AI1214" t="s">
        <v>8777</v>
      </c>
      <c r="AO1214" t="s">
        <v>15113</v>
      </c>
    </row>
    <row r="1215" spans="1:41" hidden="1" x14ac:dyDescent="0.35">
      <c r="A1215" t="s">
        <v>15114</v>
      </c>
      <c r="B1215" t="s">
        <v>7246</v>
      </c>
      <c r="C1215" t="s">
        <v>383</v>
      </c>
      <c r="D1215" t="s">
        <v>383</v>
      </c>
      <c r="E1215" t="s">
        <v>383</v>
      </c>
      <c r="G1215" s="13" t="s">
        <v>15115</v>
      </c>
      <c r="H1215" t="s">
        <v>15116</v>
      </c>
      <c r="I1215" t="s">
        <v>11023</v>
      </c>
      <c r="J1215" t="s">
        <v>15117</v>
      </c>
      <c r="K1215" t="s">
        <v>10763</v>
      </c>
      <c r="L1215" t="s">
        <v>10763</v>
      </c>
      <c r="M1215" t="s">
        <v>7415</v>
      </c>
      <c r="N1215">
        <v>2022</v>
      </c>
      <c r="R1215">
        <v>16</v>
      </c>
      <c r="S1215" t="s">
        <v>8792</v>
      </c>
      <c r="T1215">
        <v>5.84</v>
      </c>
      <c r="U1215">
        <v>2719.7</v>
      </c>
      <c r="V1215">
        <v>1060</v>
      </c>
      <c r="W1215">
        <v>451.55</v>
      </c>
      <c r="X1215">
        <v>1060</v>
      </c>
      <c r="AB1215" t="s">
        <v>15118</v>
      </c>
      <c r="AC1215" t="s">
        <v>8859</v>
      </c>
      <c r="AF1215" t="s">
        <v>2722</v>
      </c>
      <c r="AH1215" t="s">
        <v>3099</v>
      </c>
      <c r="AI1215" t="s">
        <v>8859</v>
      </c>
      <c r="AO1215" t="s">
        <v>15119</v>
      </c>
    </row>
    <row r="1216" spans="1:41" hidden="1" x14ac:dyDescent="0.35">
      <c r="A1216" t="s">
        <v>15120</v>
      </c>
      <c r="B1216" t="s">
        <v>7246</v>
      </c>
      <c r="C1216" t="s">
        <v>5830</v>
      </c>
      <c r="D1216" t="s">
        <v>5784</v>
      </c>
      <c r="E1216" t="s">
        <v>15121</v>
      </c>
      <c r="G1216" s="13" t="s">
        <v>13804</v>
      </c>
      <c r="H1216" t="s">
        <v>13805</v>
      </c>
      <c r="I1216" t="s">
        <v>11023</v>
      </c>
      <c r="J1216" t="s">
        <v>15122</v>
      </c>
      <c r="K1216" t="s">
        <v>13807</v>
      </c>
      <c r="L1216" t="s">
        <v>13808</v>
      </c>
      <c r="M1216" t="s">
        <v>7250</v>
      </c>
      <c r="N1216">
        <v>2021</v>
      </c>
      <c r="R1216">
        <v>1.5</v>
      </c>
      <c r="S1216" t="s">
        <v>8257</v>
      </c>
      <c r="T1216">
        <v>1.5</v>
      </c>
      <c r="U1216">
        <v>698.08</v>
      </c>
      <c r="V1216">
        <v>120</v>
      </c>
      <c r="W1216">
        <v>83.28</v>
      </c>
      <c r="X1216">
        <v>120</v>
      </c>
      <c r="AB1216" t="s">
        <v>13810</v>
      </c>
      <c r="AC1216" t="s">
        <v>8777</v>
      </c>
      <c r="AF1216" t="s">
        <v>15123</v>
      </c>
      <c r="AI1216" t="s">
        <v>8777</v>
      </c>
      <c r="AJ1216" t="s">
        <v>6407</v>
      </c>
      <c r="AO1216" t="s">
        <v>15124</v>
      </c>
    </row>
    <row r="1217" spans="1:41" hidden="1" x14ac:dyDescent="0.35">
      <c r="A1217" t="s">
        <v>15125</v>
      </c>
      <c r="B1217" t="s">
        <v>7246</v>
      </c>
      <c r="C1217" t="s">
        <v>383</v>
      </c>
      <c r="D1217" t="s">
        <v>383</v>
      </c>
      <c r="E1217" t="s">
        <v>383</v>
      </c>
      <c r="G1217" s="13" t="s">
        <v>15126</v>
      </c>
      <c r="H1217" t="s">
        <v>15127</v>
      </c>
      <c r="K1217" t="s">
        <v>15128</v>
      </c>
      <c r="L1217" t="s">
        <v>15128</v>
      </c>
      <c r="M1217" t="s">
        <v>7292</v>
      </c>
      <c r="R1217">
        <v>4</v>
      </c>
      <c r="S1217" t="s">
        <v>8792</v>
      </c>
      <c r="T1217">
        <v>1.46</v>
      </c>
      <c r="U1217">
        <v>679.93</v>
      </c>
      <c r="V1217">
        <v>290</v>
      </c>
      <c r="W1217">
        <v>289.54000000000002</v>
      </c>
      <c r="X1217">
        <v>290</v>
      </c>
      <c r="AB1217" t="s">
        <v>13533</v>
      </c>
      <c r="AC1217" t="s">
        <v>8859</v>
      </c>
      <c r="AD1217" t="s">
        <v>15129</v>
      </c>
      <c r="AE1217" t="s">
        <v>10998</v>
      </c>
      <c r="AF1217" t="s">
        <v>15130</v>
      </c>
      <c r="AG1217" t="s">
        <v>15131</v>
      </c>
      <c r="AH1217" t="s">
        <v>10998</v>
      </c>
      <c r="AI1217" t="s">
        <v>8859</v>
      </c>
      <c r="AO1217" t="s">
        <v>15132</v>
      </c>
    </row>
    <row r="1218" spans="1:41" hidden="1" x14ac:dyDescent="0.35">
      <c r="A1218" t="s">
        <v>15133</v>
      </c>
      <c r="B1218" t="s">
        <v>7246</v>
      </c>
      <c r="C1218" t="s">
        <v>5830</v>
      </c>
      <c r="D1218" t="s">
        <v>5830</v>
      </c>
      <c r="E1218" t="s">
        <v>5830</v>
      </c>
      <c r="G1218" s="13" t="s">
        <v>15134</v>
      </c>
      <c r="H1218" t="s">
        <v>15135</v>
      </c>
      <c r="K1218" t="s">
        <v>15136</v>
      </c>
      <c r="L1218" t="s">
        <v>15137</v>
      </c>
      <c r="M1218" t="s">
        <v>7250</v>
      </c>
      <c r="N1218">
        <v>2022</v>
      </c>
      <c r="R1218">
        <v>1</v>
      </c>
      <c r="S1218" t="s">
        <v>8257</v>
      </c>
      <c r="T1218">
        <v>1</v>
      </c>
      <c r="U1218">
        <v>465.38</v>
      </c>
      <c r="V1218">
        <v>126</v>
      </c>
      <c r="W1218">
        <v>165.8</v>
      </c>
      <c r="X1218">
        <v>126</v>
      </c>
      <c r="AA1218" t="s">
        <v>15138</v>
      </c>
      <c r="AC1218" t="s">
        <v>8777</v>
      </c>
      <c r="AI1218" t="s">
        <v>8777</v>
      </c>
      <c r="AJ1218" t="s">
        <v>6407</v>
      </c>
      <c r="AO1218" t="s">
        <v>15139</v>
      </c>
    </row>
    <row r="1219" spans="1:41" hidden="1" x14ac:dyDescent="0.35">
      <c r="A1219" t="s">
        <v>15140</v>
      </c>
      <c r="B1219" t="s">
        <v>7246</v>
      </c>
      <c r="C1219" t="s">
        <v>447</v>
      </c>
      <c r="D1219" t="s">
        <v>447</v>
      </c>
      <c r="E1219" t="s">
        <v>447</v>
      </c>
      <c r="G1219" s="13" t="s">
        <v>15141</v>
      </c>
      <c r="H1219" t="s">
        <v>9329</v>
      </c>
      <c r="I1219" t="s">
        <v>8683</v>
      </c>
      <c r="K1219" t="s">
        <v>9330</v>
      </c>
      <c r="L1219" t="s">
        <v>9330</v>
      </c>
      <c r="M1219" t="s">
        <v>7292</v>
      </c>
      <c r="N1219">
        <v>2023</v>
      </c>
      <c r="T1219" t="s">
        <v>6546</v>
      </c>
      <c r="U1219" t="s">
        <v>6546</v>
      </c>
      <c r="V1219">
        <v>0</v>
      </c>
      <c r="W1219" t="s">
        <v>6546</v>
      </c>
      <c r="X1219">
        <v>0</v>
      </c>
      <c r="AB1219" t="s">
        <v>9324</v>
      </c>
      <c r="AC1219" t="s">
        <v>8747</v>
      </c>
      <c r="AE1219" t="s">
        <v>3786</v>
      </c>
      <c r="AF1219" t="s">
        <v>9311</v>
      </c>
      <c r="AH1219" t="s">
        <v>9312</v>
      </c>
      <c r="AI1219" t="s">
        <v>8747</v>
      </c>
      <c r="AO1219" t="s">
        <v>6546</v>
      </c>
    </row>
    <row r="1220" spans="1:41" hidden="1" x14ac:dyDescent="0.35">
      <c r="A1220" t="s">
        <v>15142</v>
      </c>
      <c r="B1220" t="s">
        <v>7246</v>
      </c>
      <c r="C1220" t="s">
        <v>383</v>
      </c>
      <c r="D1220" t="s">
        <v>383</v>
      </c>
      <c r="E1220" t="s">
        <v>383</v>
      </c>
      <c r="G1220" s="13" t="s">
        <v>15143</v>
      </c>
      <c r="H1220" t="s">
        <v>15144</v>
      </c>
      <c r="K1220" t="s">
        <v>13509</v>
      </c>
      <c r="L1220" t="s">
        <v>13509</v>
      </c>
      <c r="M1220" t="s">
        <v>7292</v>
      </c>
      <c r="R1220">
        <v>4</v>
      </c>
      <c r="S1220" t="s">
        <v>8792</v>
      </c>
      <c r="T1220">
        <v>1.46</v>
      </c>
      <c r="U1220">
        <v>679.93</v>
      </c>
      <c r="V1220">
        <v>450</v>
      </c>
      <c r="W1220">
        <v>389.92</v>
      </c>
      <c r="X1220">
        <v>450</v>
      </c>
      <c r="AB1220" t="s">
        <v>15145</v>
      </c>
      <c r="AC1220" t="s">
        <v>8859</v>
      </c>
      <c r="AD1220" t="s">
        <v>15146</v>
      </c>
      <c r="AE1220" t="s">
        <v>3075</v>
      </c>
      <c r="AF1220" t="s">
        <v>15147</v>
      </c>
      <c r="AH1220" t="s">
        <v>3075</v>
      </c>
      <c r="AI1220" t="s">
        <v>8859</v>
      </c>
      <c r="AO1220" t="s">
        <v>15148</v>
      </c>
    </row>
    <row r="1221" spans="1:41" hidden="1" x14ac:dyDescent="0.35">
      <c r="A1221" t="s">
        <v>15149</v>
      </c>
      <c r="B1221" t="s">
        <v>7246</v>
      </c>
      <c r="C1221" t="s">
        <v>5714</v>
      </c>
      <c r="D1221" t="s">
        <v>5714</v>
      </c>
      <c r="E1221" t="s">
        <v>5714</v>
      </c>
      <c r="G1221" s="13" t="s">
        <v>15150</v>
      </c>
      <c r="H1221" t="s">
        <v>15151</v>
      </c>
      <c r="J1221" t="s">
        <v>15152</v>
      </c>
      <c r="K1221" t="s">
        <v>13601</v>
      </c>
      <c r="L1221" t="s">
        <v>13602</v>
      </c>
      <c r="M1221" t="s">
        <v>7250</v>
      </c>
      <c r="N1221">
        <v>1986</v>
      </c>
      <c r="T1221" t="s">
        <v>6546</v>
      </c>
      <c r="U1221" t="s">
        <v>6546</v>
      </c>
      <c r="V1221">
        <v>117.5</v>
      </c>
      <c r="W1221">
        <v>115.62</v>
      </c>
      <c r="X1221">
        <v>117.5</v>
      </c>
      <c r="Y1221">
        <v>36</v>
      </c>
      <c r="Z1221" t="s">
        <v>7253</v>
      </c>
      <c r="AB1221" t="s">
        <v>15153</v>
      </c>
      <c r="AC1221" t="s">
        <v>8777</v>
      </c>
      <c r="AF1221" t="s">
        <v>15154</v>
      </c>
      <c r="AI1221" t="s">
        <v>8777</v>
      </c>
      <c r="AO1221" t="s">
        <v>15155</v>
      </c>
    </row>
    <row r="1222" spans="1:41" hidden="1" x14ac:dyDescent="0.35">
      <c r="A1222" t="s">
        <v>15156</v>
      </c>
      <c r="B1222" t="s">
        <v>7246</v>
      </c>
      <c r="C1222" t="s">
        <v>5714</v>
      </c>
      <c r="D1222" t="s">
        <v>5714</v>
      </c>
      <c r="E1222" t="s">
        <v>5714</v>
      </c>
      <c r="G1222" s="13" t="s">
        <v>15157</v>
      </c>
      <c r="H1222" t="s">
        <v>15158</v>
      </c>
      <c r="J1222" t="s">
        <v>15159</v>
      </c>
      <c r="K1222" t="s">
        <v>13601</v>
      </c>
      <c r="L1222" t="s">
        <v>13602</v>
      </c>
      <c r="M1222" t="s">
        <v>7250</v>
      </c>
      <c r="N1222">
        <v>1967</v>
      </c>
      <c r="O1222">
        <v>1991</v>
      </c>
      <c r="T1222" t="s">
        <v>6546</v>
      </c>
      <c r="U1222" t="s">
        <v>6546</v>
      </c>
      <c r="V1222">
        <v>110.4</v>
      </c>
      <c r="W1222">
        <v>95.73</v>
      </c>
      <c r="X1222">
        <v>110.4</v>
      </c>
      <c r="Y1222">
        <v>47.99</v>
      </c>
      <c r="Z1222" t="s">
        <v>7253</v>
      </c>
      <c r="AB1222" t="s">
        <v>15160</v>
      </c>
      <c r="AC1222" t="s">
        <v>8777</v>
      </c>
      <c r="AF1222" t="s">
        <v>15161</v>
      </c>
      <c r="AI1222" t="s">
        <v>8777</v>
      </c>
      <c r="AO1222" t="s">
        <v>15162</v>
      </c>
    </row>
    <row r="1223" spans="1:41" hidden="1" x14ac:dyDescent="0.35">
      <c r="A1223" t="s">
        <v>15163</v>
      </c>
      <c r="B1223" t="s">
        <v>7246</v>
      </c>
      <c r="C1223" t="s">
        <v>5714</v>
      </c>
      <c r="D1223" t="s">
        <v>5714</v>
      </c>
      <c r="E1223" t="s">
        <v>5714</v>
      </c>
      <c r="G1223" s="13" t="s">
        <v>15164</v>
      </c>
      <c r="H1223" t="s">
        <v>15165</v>
      </c>
      <c r="I1223" t="s">
        <v>15166</v>
      </c>
      <c r="J1223" t="s">
        <v>15167</v>
      </c>
      <c r="K1223" t="s">
        <v>13601</v>
      </c>
      <c r="L1223" t="s">
        <v>13602</v>
      </c>
      <c r="M1223" t="s">
        <v>7250</v>
      </c>
      <c r="N1223">
        <v>1990</v>
      </c>
      <c r="O1223">
        <v>1996</v>
      </c>
      <c r="T1223" t="s">
        <v>6546</v>
      </c>
      <c r="U1223" t="s">
        <v>6546</v>
      </c>
      <c r="V1223">
        <v>143.9</v>
      </c>
      <c r="W1223">
        <v>39.42</v>
      </c>
      <c r="X1223">
        <v>143.9</v>
      </c>
      <c r="Y1223">
        <v>20</v>
      </c>
      <c r="Z1223" t="s">
        <v>7253</v>
      </c>
      <c r="AB1223" t="s">
        <v>15168</v>
      </c>
      <c r="AC1223" t="s">
        <v>8777</v>
      </c>
      <c r="AF1223" t="s">
        <v>15161</v>
      </c>
      <c r="AI1223" t="s">
        <v>8777</v>
      </c>
      <c r="AO1223" t="s">
        <v>15169</v>
      </c>
    </row>
    <row r="1224" spans="1:41" hidden="1" x14ac:dyDescent="0.35">
      <c r="A1224" t="s">
        <v>15170</v>
      </c>
      <c r="B1224" t="s">
        <v>7246</v>
      </c>
      <c r="C1224" t="s">
        <v>5714</v>
      </c>
      <c r="D1224" t="s">
        <v>5714</v>
      </c>
      <c r="E1224" t="s">
        <v>5714</v>
      </c>
      <c r="G1224" s="13" t="s">
        <v>15171</v>
      </c>
      <c r="H1224" t="s">
        <v>15172</v>
      </c>
      <c r="J1224" t="s">
        <v>15173</v>
      </c>
      <c r="K1224" t="s">
        <v>13601</v>
      </c>
      <c r="L1224" t="s">
        <v>13602</v>
      </c>
      <c r="M1224" t="s">
        <v>7250</v>
      </c>
      <c r="N1224">
        <v>1987</v>
      </c>
      <c r="T1224" t="s">
        <v>6546</v>
      </c>
      <c r="U1224" t="s">
        <v>6546</v>
      </c>
      <c r="V1224">
        <v>29.5</v>
      </c>
      <c r="W1224">
        <v>28.97</v>
      </c>
      <c r="X1224">
        <v>29.5</v>
      </c>
      <c r="Y1224">
        <v>20</v>
      </c>
      <c r="Z1224" t="s">
        <v>7253</v>
      </c>
      <c r="AB1224" t="s">
        <v>1871</v>
      </c>
      <c r="AC1224" t="s">
        <v>8777</v>
      </c>
      <c r="AF1224" t="s">
        <v>15161</v>
      </c>
      <c r="AI1224" t="s">
        <v>8777</v>
      </c>
      <c r="AO1224" t="s">
        <v>15174</v>
      </c>
    </row>
    <row r="1225" spans="1:41" hidden="1" x14ac:dyDescent="0.35">
      <c r="A1225" t="s">
        <v>15175</v>
      </c>
      <c r="B1225" t="s">
        <v>7246</v>
      </c>
      <c r="C1225" t="s">
        <v>5714</v>
      </c>
      <c r="D1225" t="s">
        <v>5714</v>
      </c>
      <c r="E1225" t="s">
        <v>5714</v>
      </c>
      <c r="G1225" s="13" t="s">
        <v>15176</v>
      </c>
      <c r="H1225" t="s">
        <v>15177</v>
      </c>
      <c r="K1225" t="s">
        <v>13601</v>
      </c>
      <c r="L1225" t="s">
        <v>13602</v>
      </c>
      <c r="M1225" t="s">
        <v>7250</v>
      </c>
      <c r="N1225">
        <v>2011</v>
      </c>
      <c r="O1225">
        <v>2012</v>
      </c>
      <c r="T1225" t="s">
        <v>6546</v>
      </c>
      <c r="U1225" t="s">
        <v>6546</v>
      </c>
      <c r="V1225">
        <v>194.7</v>
      </c>
      <c r="W1225">
        <v>186.54</v>
      </c>
      <c r="X1225">
        <v>194.7</v>
      </c>
      <c r="Y1225">
        <v>47.99</v>
      </c>
      <c r="Z1225" t="s">
        <v>7253</v>
      </c>
      <c r="AB1225" t="s">
        <v>15178</v>
      </c>
      <c r="AC1225" t="s">
        <v>8777</v>
      </c>
      <c r="AF1225" t="s">
        <v>11877</v>
      </c>
      <c r="AI1225" t="s">
        <v>8777</v>
      </c>
      <c r="AO1225" t="s">
        <v>15179</v>
      </c>
    </row>
    <row r="1226" spans="1:41" hidden="1" x14ac:dyDescent="0.35">
      <c r="A1226" t="s">
        <v>15180</v>
      </c>
      <c r="B1226" t="s">
        <v>7246</v>
      </c>
      <c r="C1226" t="s">
        <v>5694</v>
      </c>
      <c r="D1226" t="s">
        <v>5694</v>
      </c>
      <c r="E1226" t="s">
        <v>5694</v>
      </c>
      <c r="G1226" s="13" t="s">
        <v>15181</v>
      </c>
      <c r="H1226" t="s">
        <v>15182</v>
      </c>
      <c r="J1226" t="s">
        <v>15183</v>
      </c>
      <c r="K1226" t="s">
        <v>11736</v>
      </c>
      <c r="L1226" t="s">
        <v>11737</v>
      </c>
      <c r="M1226" t="s">
        <v>7250</v>
      </c>
      <c r="T1226" t="s">
        <v>6546</v>
      </c>
      <c r="U1226" t="s">
        <v>6546</v>
      </c>
      <c r="V1226" t="s">
        <v>6546</v>
      </c>
      <c r="W1226">
        <v>74.27</v>
      </c>
      <c r="X1226">
        <v>74.27</v>
      </c>
      <c r="AB1226" t="s">
        <v>15184</v>
      </c>
      <c r="AC1226" t="s">
        <v>8777</v>
      </c>
      <c r="AF1226" t="s">
        <v>15185</v>
      </c>
      <c r="AI1226" t="s">
        <v>8777</v>
      </c>
      <c r="AO1226" t="s">
        <v>15186</v>
      </c>
    </row>
    <row r="1227" spans="1:41" hidden="1" x14ac:dyDescent="0.35">
      <c r="A1227" t="s">
        <v>15187</v>
      </c>
      <c r="B1227" t="s">
        <v>7246</v>
      </c>
      <c r="C1227" t="s">
        <v>5694</v>
      </c>
      <c r="D1227" t="s">
        <v>5694</v>
      </c>
      <c r="E1227" t="s">
        <v>5694</v>
      </c>
      <c r="G1227" s="13" t="s">
        <v>15188</v>
      </c>
      <c r="H1227" t="s">
        <v>15189</v>
      </c>
      <c r="J1227" t="s">
        <v>15190</v>
      </c>
      <c r="K1227" t="s">
        <v>11736</v>
      </c>
      <c r="L1227" t="s">
        <v>11737</v>
      </c>
      <c r="M1227" t="s">
        <v>7250</v>
      </c>
      <c r="T1227" t="s">
        <v>6546</v>
      </c>
      <c r="U1227" t="s">
        <v>6546</v>
      </c>
      <c r="V1227" t="s">
        <v>6546</v>
      </c>
      <c r="W1227">
        <v>49.8</v>
      </c>
      <c r="X1227">
        <v>49.8</v>
      </c>
      <c r="AB1227" t="s">
        <v>15184</v>
      </c>
      <c r="AC1227" t="s">
        <v>8777</v>
      </c>
      <c r="AF1227" t="s">
        <v>15191</v>
      </c>
      <c r="AI1227" t="s">
        <v>8777</v>
      </c>
      <c r="AO1227" t="s">
        <v>15192</v>
      </c>
    </row>
    <row r="1228" spans="1:41" hidden="1" x14ac:dyDescent="0.35">
      <c r="A1228" t="s">
        <v>15193</v>
      </c>
      <c r="B1228" t="s">
        <v>7246</v>
      </c>
      <c r="C1228" t="s">
        <v>5787</v>
      </c>
      <c r="D1228" t="s">
        <v>5787</v>
      </c>
      <c r="E1228" t="s">
        <v>5787</v>
      </c>
      <c r="G1228" s="13" t="s">
        <v>15194</v>
      </c>
      <c r="H1228" t="s">
        <v>15195</v>
      </c>
      <c r="J1228" t="s">
        <v>15196</v>
      </c>
      <c r="K1228" t="s">
        <v>11716</v>
      </c>
      <c r="L1228" t="s">
        <v>11717</v>
      </c>
      <c r="M1228" t="s">
        <v>7250</v>
      </c>
      <c r="T1228" t="s">
        <v>6546</v>
      </c>
      <c r="U1228" t="s">
        <v>6546</v>
      </c>
      <c r="V1228" t="s">
        <v>6546</v>
      </c>
      <c r="W1228">
        <v>53.4</v>
      </c>
      <c r="X1228">
        <v>53.4</v>
      </c>
      <c r="AB1228" t="s">
        <v>15197</v>
      </c>
      <c r="AC1228" t="s">
        <v>8777</v>
      </c>
      <c r="AF1228" t="s">
        <v>15197</v>
      </c>
      <c r="AI1228" t="s">
        <v>8777</v>
      </c>
      <c r="AO1228" t="s">
        <v>15198</v>
      </c>
    </row>
    <row r="1229" spans="1:41" hidden="1" x14ac:dyDescent="0.35">
      <c r="A1229" t="s">
        <v>15199</v>
      </c>
      <c r="B1229" t="s">
        <v>7246</v>
      </c>
      <c r="C1229" t="s">
        <v>5613</v>
      </c>
      <c r="D1229" t="s">
        <v>5613</v>
      </c>
      <c r="E1229" t="s">
        <v>5613</v>
      </c>
      <c r="G1229" s="13" t="s">
        <v>15200</v>
      </c>
      <c r="H1229" t="s">
        <v>15201</v>
      </c>
      <c r="J1229" t="s">
        <v>15202</v>
      </c>
      <c r="K1229" t="s">
        <v>15203</v>
      </c>
      <c r="L1229" t="s">
        <v>15204</v>
      </c>
      <c r="M1229" t="s">
        <v>7250</v>
      </c>
      <c r="T1229" t="s">
        <v>6546</v>
      </c>
      <c r="U1229" t="s">
        <v>6546</v>
      </c>
      <c r="V1229" t="s">
        <v>6546</v>
      </c>
      <c r="W1229">
        <v>61.67</v>
      </c>
      <c r="X1229">
        <v>61.67</v>
      </c>
      <c r="AB1229" t="s">
        <v>15205</v>
      </c>
      <c r="AC1229" t="s">
        <v>8777</v>
      </c>
      <c r="AF1229" t="s">
        <v>15206</v>
      </c>
      <c r="AI1229" t="s">
        <v>8777</v>
      </c>
      <c r="AO1229" t="s">
        <v>15207</v>
      </c>
    </row>
    <row r="1230" spans="1:41" hidden="1" x14ac:dyDescent="0.35">
      <c r="A1230" t="s">
        <v>15208</v>
      </c>
      <c r="B1230" t="s">
        <v>7246</v>
      </c>
      <c r="C1230" t="s">
        <v>5861</v>
      </c>
      <c r="D1230" t="s">
        <v>5861</v>
      </c>
      <c r="E1230" t="s">
        <v>5861</v>
      </c>
      <c r="G1230" s="13" t="s">
        <v>15209</v>
      </c>
      <c r="H1230" t="s">
        <v>15210</v>
      </c>
      <c r="J1230" t="s">
        <v>15211</v>
      </c>
      <c r="K1230" t="s">
        <v>8694</v>
      </c>
      <c r="L1230" t="s">
        <v>8694</v>
      </c>
      <c r="M1230" t="s">
        <v>7250</v>
      </c>
      <c r="N1230">
        <v>2001</v>
      </c>
      <c r="O1230">
        <v>2009</v>
      </c>
      <c r="T1230" t="s">
        <v>6546</v>
      </c>
      <c r="U1230" t="s">
        <v>6546</v>
      </c>
      <c r="V1230">
        <v>125.95</v>
      </c>
      <c r="W1230">
        <v>110.37</v>
      </c>
      <c r="X1230">
        <v>125.95</v>
      </c>
      <c r="Y1230" t="s">
        <v>15212</v>
      </c>
      <c r="Z1230" t="s">
        <v>7253</v>
      </c>
      <c r="AB1230" t="s">
        <v>15213</v>
      </c>
      <c r="AC1230" t="s">
        <v>8777</v>
      </c>
      <c r="AF1230" t="s">
        <v>15214</v>
      </c>
      <c r="AI1230" t="s">
        <v>8777</v>
      </c>
      <c r="AO1230" t="s">
        <v>15215</v>
      </c>
    </row>
    <row r="1231" spans="1:41" hidden="1" x14ac:dyDescent="0.35">
      <c r="A1231" t="s">
        <v>15216</v>
      </c>
      <c r="B1231" t="s">
        <v>7246</v>
      </c>
      <c r="C1231" t="s">
        <v>5613</v>
      </c>
      <c r="D1231" t="s">
        <v>5613</v>
      </c>
      <c r="E1231" t="s">
        <v>5613</v>
      </c>
      <c r="G1231" s="13" t="s">
        <v>15217</v>
      </c>
      <c r="H1231" t="s">
        <v>15218</v>
      </c>
      <c r="J1231" t="s">
        <v>15219</v>
      </c>
      <c r="K1231" t="s">
        <v>15203</v>
      </c>
      <c r="L1231" t="s">
        <v>15204</v>
      </c>
      <c r="M1231" t="s">
        <v>7250</v>
      </c>
      <c r="T1231" t="s">
        <v>6546</v>
      </c>
      <c r="U1231" t="s">
        <v>6546</v>
      </c>
      <c r="V1231" t="s">
        <v>6546</v>
      </c>
      <c r="W1231">
        <v>94.68</v>
      </c>
      <c r="X1231">
        <v>94.68</v>
      </c>
      <c r="AB1231" t="s">
        <v>15220</v>
      </c>
      <c r="AC1231" t="s">
        <v>8777</v>
      </c>
      <c r="AF1231" t="s">
        <v>15221</v>
      </c>
      <c r="AI1231" t="s">
        <v>8777</v>
      </c>
      <c r="AO1231" t="s">
        <v>15222</v>
      </c>
    </row>
    <row r="1232" spans="1:41" hidden="1" x14ac:dyDescent="0.35">
      <c r="A1232" t="s">
        <v>15223</v>
      </c>
      <c r="B1232" t="s">
        <v>7246</v>
      </c>
      <c r="C1232" t="s">
        <v>12051</v>
      </c>
      <c r="D1232" t="s">
        <v>12051</v>
      </c>
      <c r="E1232" t="s">
        <v>12051</v>
      </c>
      <c r="G1232" s="13" t="s">
        <v>15224</v>
      </c>
      <c r="H1232" t="s">
        <v>15225</v>
      </c>
      <c r="J1232" t="s">
        <v>15226</v>
      </c>
      <c r="K1232" t="s">
        <v>12056</v>
      </c>
      <c r="L1232" t="s">
        <v>12057</v>
      </c>
      <c r="M1232" t="s">
        <v>7250</v>
      </c>
      <c r="T1232" t="s">
        <v>6546</v>
      </c>
      <c r="U1232" t="s">
        <v>6546</v>
      </c>
      <c r="V1232" t="s">
        <v>6546</v>
      </c>
      <c r="W1232">
        <v>90.96</v>
      </c>
      <c r="X1232">
        <v>90.96</v>
      </c>
      <c r="AB1232" t="s">
        <v>15227</v>
      </c>
      <c r="AC1232" t="s">
        <v>8777</v>
      </c>
      <c r="AF1232" t="s">
        <v>15228</v>
      </c>
      <c r="AI1232" t="s">
        <v>8777</v>
      </c>
      <c r="AO1232" t="s">
        <v>15229</v>
      </c>
    </row>
    <row r="1233" spans="1:41" hidden="1" x14ac:dyDescent="0.35">
      <c r="A1233" t="s">
        <v>15230</v>
      </c>
      <c r="B1233" t="s">
        <v>7246</v>
      </c>
      <c r="C1233" t="s">
        <v>12051</v>
      </c>
      <c r="D1233" t="s">
        <v>12051</v>
      </c>
      <c r="E1233" t="s">
        <v>12051</v>
      </c>
      <c r="G1233" s="13" t="s">
        <v>15231</v>
      </c>
      <c r="H1233" t="s">
        <v>15232</v>
      </c>
      <c r="J1233" t="s">
        <v>15233</v>
      </c>
      <c r="K1233" t="s">
        <v>12056</v>
      </c>
      <c r="L1233" t="s">
        <v>12057</v>
      </c>
      <c r="M1233" t="s">
        <v>7250</v>
      </c>
      <c r="T1233" t="s">
        <v>6546</v>
      </c>
      <c r="U1233" t="s">
        <v>6546</v>
      </c>
      <c r="V1233" t="s">
        <v>6546</v>
      </c>
      <c r="W1233">
        <v>82.88</v>
      </c>
      <c r="X1233">
        <v>82.88</v>
      </c>
      <c r="AB1233" t="s">
        <v>15227</v>
      </c>
      <c r="AC1233" t="s">
        <v>8777</v>
      </c>
      <c r="AF1233" t="s">
        <v>15234</v>
      </c>
      <c r="AI1233" t="s">
        <v>8777</v>
      </c>
      <c r="AO1233" t="s">
        <v>15235</v>
      </c>
    </row>
    <row r="1234" spans="1:41" hidden="1" x14ac:dyDescent="0.35">
      <c r="A1234" t="s">
        <v>15236</v>
      </c>
      <c r="B1234" t="s">
        <v>7246</v>
      </c>
      <c r="C1234" t="s">
        <v>5613</v>
      </c>
      <c r="D1234" t="s">
        <v>5613</v>
      </c>
      <c r="E1234" t="s">
        <v>5613</v>
      </c>
      <c r="G1234" s="13" t="s">
        <v>15237</v>
      </c>
      <c r="H1234" t="s">
        <v>15238</v>
      </c>
      <c r="J1234" t="s">
        <v>15239</v>
      </c>
      <c r="K1234" t="s">
        <v>15240</v>
      </c>
      <c r="L1234" t="s">
        <v>15241</v>
      </c>
      <c r="M1234" t="s">
        <v>7250</v>
      </c>
      <c r="T1234" t="s">
        <v>6546</v>
      </c>
      <c r="U1234" t="s">
        <v>6546</v>
      </c>
      <c r="V1234" t="s">
        <v>6546</v>
      </c>
      <c r="W1234">
        <v>207.16</v>
      </c>
      <c r="X1234">
        <v>207.16</v>
      </c>
      <c r="AB1234" t="s">
        <v>15242</v>
      </c>
      <c r="AC1234" t="s">
        <v>8777</v>
      </c>
      <c r="AF1234" t="s">
        <v>15243</v>
      </c>
      <c r="AI1234" t="s">
        <v>8777</v>
      </c>
      <c r="AO1234" t="s">
        <v>15244</v>
      </c>
    </row>
    <row r="1235" spans="1:41" hidden="1" x14ac:dyDescent="0.35">
      <c r="A1235" t="s">
        <v>15245</v>
      </c>
      <c r="B1235" t="s">
        <v>7246</v>
      </c>
      <c r="C1235" t="s">
        <v>5844</v>
      </c>
      <c r="D1235" t="s">
        <v>5844</v>
      </c>
      <c r="E1235" t="s">
        <v>5844</v>
      </c>
      <c r="G1235" s="13" t="s">
        <v>15246</v>
      </c>
      <c r="H1235" t="s">
        <v>15247</v>
      </c>
      <c r="J1235" t="s">
        <v>15248</v>
      </c>
      <c r="K1235" t="s">
        <v>14374</v>
      </c>
      <c r="L1235" t="s">
        <v>14374</v>
      </c>
      <c r="M1235" t="s">
        <v>7250</v>
      </c>
      <c r="T1235" t="s">
        <v>6546</v>
      </c>
      <c r="U1235" t="s">
        <v>6546</v>
      </c>
      <c r="V1235" t="s">
        <v>6546</v>
      </c>
      <c r="W1235">
        <v>83.24</v>
      </c>
      <c r="X1235">
        <v>83.24</v>
      </c>
      <c r="AB1235" t="s">
        <v>15249</v>
      </c>
      <c r="AC1235" t="s">
        <v>8777</v>
      </c>
      <c r="AF1235" t="s">
        <v>15250</v>
      </c>
      <c r="AI1235" t="s">
        <v>8777</v>
      </c>
      <c r="AO1235" t="s">
        <v>15251</v>
      </c>
    </row>
    <row r="1236" spans="1:41" hidden="1" x14ac:dyDescent="0.35">
      <c r="A1236" t="s">
        <v>15252</v>
      </c>
      <c r="B1236" t="s">
        <v>7246</v>
      </c>
      <c r="C1236" t="s">
        <v>5861</v>
      </c>
      <c r="D1236" t="s">
        <v>5861</v>
      </c>
      <c r="E1236" t="s">
        <v>5861</v>
      </c>
      <c r="G1236" s="13" t="s">
        <v>15253</v>
      </c>
      <c r="H1236" t="s">
        <v>15254</v>
      </c>
      <c r="J1236" t="s">
        <v>15255</v>
      </c>
      <c r="K1236" t="s">
        <v>8694</v>
      </c>
      <c r="L1236" t="s">
        <v>8694</v>
      </c>
      <c r="M1236" t="s">
        <v>7250</v>
      </c>
      <c r="T1236" t="s">
        <v>6546</v>
      </c>
      <c r="U1236" t="s">
        <v>6546</v>
      </c>
      <c r="V1236" t="s">
        <v>6546</v>
      </c>
      <c r="W1236">
        <v>130.03</v>
      </c>
      <c r="X1236">
        <v>130.03</v>
      </c>
      <c r="AB1236" t="s">
        <v>15256</v>
      </c>
      <c r="AC1236" t="s">
        <v>8777</v>
      </c>
      <c r="AF1236" t="s">
        <v>15257</v>
      </c>
      <c r="AI1236" t="s">
        <v>8777</v>
      </c>
      <c r="AO1236" t="s">
        <v>15258</v>
      </c>
    </row>
    <row r="1237" spans="1:41" hidden="1" x14ac:dyDescent="0.35">
      <c r="A1237" t="s">
        <v>15259</v>
      </c>
      <c r="B1237" t="s">
        <v>7246</v>
      </c>
      <c r="C1237" t="s">
        <v>5861</v>
      </c>
      <c r="D1237" t="s">
        <v>5861</v>
      </c>
      <c r="E1237" t="s">
        <v>5861</v>
      </c>
      <c r="G1237" s="13" t="s">
        <v>15260</v>
      </c>
      <c r="H1237" t="s">
        <v>15261</v>
      </c>
      <c r="J1237" t="s">
        <v>15262</v>
      </c>
      <c r="K1237" t="s">
        <v>8694</v>
      </c>
      <c r="L1237" t="s">
        <v>8694</v>
      </c>
      <c r="M1237" t="s">
        <v>7250</v>
      </c>
      <c r="N1237">
        <v>2012</v>
      </c>
      <c r="T1237" t="s">
        <v>6546</v>
      </c>
      <c r="U1237" t="s">
        <v>6546</v>
      </c>
      <c r="V1237">
        <v>93.93</v>
      </c>
      <c r="W1237">
        <v>137.26</v>
      </c>
      <c r="X1237">
        <v>93.93</v>
      </c>
      <c r="Y1237">
        <v>26</v>
      </c>
      <c r="Z1237" t="s">
        <v>7253</v>
      </c>
      <c r="AB1237" t="s">
        <v>5870</v>
      </c>
      <c r="AC1237" t="s">
        <v>8777</v>
      </c>
      <c r="AF1237" t="s">
        <v>15263</v>
      </c>
      <c r="AI1237" t="s">
        <v>8777</v>
      </c>
      <c r="AO1237" t="s">
        <v>15264</v>
      </c>
    </row>
    <row r="1238" spans="1:41" hidden="1" x14ac:dyDescent="0.35">
      <c r="A1238" t="s">
        <v>15265</v>
      </c>
      <c r="B1238" t="s">
        <v>7246</v>
      </c>
      <c r="C1238" t="s">
        <v>5844</v>
      </c>
      <c r="D1238" t="s">
        <v>5844</v>
      </c>
      <c r="E1238" t="s">
        <v>5844</v>
      </c>
      <c r="G1238" s="13" t="s">
        <v>15266</v>
      </c>
      <c r="H1238" t="s">
        <v>15267</v>
      </c>
      <c r="J1238" t="s">
        <v>15268</v>
      </c>
      <c r="K1238" t="s">
        <v>14374</v>
      </c>
      <c r="L1238" t="s">
        <v>14374</v>
      </c>
      <c r="M1238" t="s">
        <v>7250</v>
      </c>
      <c r="T1238" t="s">
        <v>6546</v>
      </c>
      <c r="U1238" t="s">
        <v>6546</v>
      </c>
      <c r="V1238" t="s">
        <v>6546</v>
      </c>
      <c r="W1238">
        <v>222.33</v>
      </c>
      <c r="X1238">
        <v>222.33</v>
      </c>
      <c r="AB1238" t="s">
        <v>15269</v>
      </c>
      <c r="AC1238" t="s">
        <v>8777</v>
      </c>
      <c r="AF1238" t="s">
        <v>15270</v>
      </c>
      <c r="AI1238" t="s">
        <v>8777</v>
      </c>
      <c r="AO1238" t="s">
        <v>15271</v>
      </c>
    </row>
    <row r="1239" spans="1:41" hidden="1" x14ac:dyDescent="0.35">
      <c r="A1239" t="s">
        <v>15272</v>
      </c>
      <c r="B1239" t="s">
        <v>7246</v>
      </c>
      <c r="C1239" t="s">
        <v>5851</v>
      </c>
      <c r="D1239" t="s">
        <v>5851</v>
      </c>
      <c r="E1239" t="s">
        <v>5851</v>
      </c>
      <c r="G1239" s="13" t="s">
        <v>15273</v>
      </c>
      <c r="H1239" t="s">
        <v>15274</v>
      </c>
      <c r="J1239" t="s">
        <v>15275</v>
      </c>
      <c r="K1239" t="s">
        <v>15276</v>
      </c>
      <c r="L1239" t="s">
        <v>15276</v>
      </c>
      <c r="M1239" t="s">
        <v>7250</v>
      </c>
      <c r="T1239" t="s">
        <v>6546</v>
      </c>
      <c r="U1239" t="s">
        <v>6546</v>
      </c>
      <c r="V1239" t="s">
        <v>6546</v>
      </c>
      <c r="W1239">
        <v>45.42</v>
      </c>
      <c r="X1239">
        <v>45.42</v>
      </c>
      <c r="Y1239">
        <v>35.43</v>
      </c>
      <c r="Z1239" t="s">
        <v>7253</v>
      </c>
      <c r="AB1239" t="s">
        <v>11892</v>
      </c>
      <c r="AC1239" t="s">
        <v>8777</v>
      </c>
      <c r="AF1239" t="s">
        <v>15277</v>
      </c>
      <c r="AI1239" t="s">
        <v>8777</v>
      </c>
      <c r="AO1239" t="s">
        <v>15278</v>
      </c>
    </row>
    <row r="1240" spans="1:41" hidden="1" x14ac:dyDescent="0.35">
      <c r="A1240" t="s">
        <v>15279</v>
      </c>
      <c r="B1240" t="s">
        <v>7246</v>
      </c>
      <c r="C1240" t="s">
        <v>449</v>
      </c>
      <c r="D1240" t="s">
        <v>12051</v>
      </c>
      <c r="E1240" t="s">
        <v>12052</v>
      </c>
      <c r="G1240" s="13" t="s">
        <v>15280</v>
      </c>
      <c r="H1240" t="s">
        <v>15281</v>
      </c>
      <c r="J1240" t="s">
        <v>15282</v>
      </c>
      <c r="K1240" t="s">
        <v>12056</v>
      </c>
      <c r="L1240" t="s">
        <v>12057</v>
      </c>
      <c r="M1240" t="s">
        <v>7250</v>
      </c>
      <c r="T1240" t="s">
        <v>6546</v>
      </c>
      <c r="U1240" t="s">
        <v>6546</v>
      </c>
      <c r="V1240" t="s">
        <v>6546</v>
      </c>
      <c r="W1240">
        <v>176.89</v>
      </c>
      <c r="X1240">
        <v>176.89</v>
      </c>
      <c r="AB1240" t="s">
        <v>15283</v>
      </c>
      <c r="AC1240" t="s">
        <v>8777</v>
      </c>
      <c r="AF1240" t="s">
        <v>15284</v>
      </c>
      <c r="AI1240" t="s">
        <v>8777</v>
      </c>
      <c r="AO1240" t="s">
        <v>15285</v>
      </c>
    </row>
    <row r="1241" spans="1:41" hidden="1" x14ac:dyDescent="0.35">
      <c r="A1241" t="s">
        <v>15286</v>
      </c>
      <c r="B1241" t="s">
        <v>7246</v>
      </c>
      <c r="C1241" t="s">
        <v>5714</v>
      </c>
      <c r="D1241" t="s">
        <v>5714</v>
      </c>
      <c r="E1241" t="s">
        <v>5714</v>
      </c>
      <c r="G1241" s="13" t="s">
        <v>15287</v>
      </c>
      <c r="H1241" t="s">
        <v>15288</v>
      </c>
      <c r="J1241" t="s">
        <v>15289</v>
      </c>
      <c r="K1241" t="s">
        <v>13601</v>
      </c>
      <c r="L1241" t="s">
        <v>13602</v>
      </c>
      <c r="M1241" t="s">
        <v>7250</v>
      </c>
      <c r="N1241">
        <v>1965</v>
      </c>
      <c r="O1241">
        <v>1966</v>
      </c>
      <c r="T1241" t="s">
        <v>6546</v>
      </c>
      <c r="U1241" t="s">
        <v>6546</v>
      </c>
      <c r="V1241">
        <v>53.2</v>
      </c>
      <c r="W1241">
        <v>38.380000000000003</v>
      </c>
      <c r="X1241">
        <v>53.2</v>
      </c>
      <c r="Y1241">
        <v>23.98</v>
      </c>
      <c r="Z1241" t="s">
        <v>7253</v>
      </c>
      <c r="AB1241" t="s">
        <v>15178</v>
      </c>
      <c r="AC1241" t="s">
        <v>8777</v>
      </c>
      <c r="AF1241" t="s">
        <v>15290</v>
      </c>
      <c r="AI1241" t="s">
        <v>8777</v>
      </c>
      <c r="AO1241" t="s">
        <v>15291</v>
      </c>
    </row>
    <row r="1242" spans="1:41" hidden="1" x14ac:dyDescent="0.35">
      <c r="A1242" t="s">
        <v>15292</v>
      </c>
      <c r="B1242" t="s">
        <v>7246</v>
      </c>
      <c r="C1242" t="s">
        <v>5705</v>
      </c>
      <c r="D1242" t="s">
        <v>5705</v>
      </c>
      <c r="E1242" t="s">
        <v>5705</v>
      </c>
      <c r="G1242" s="13" t="s">
        <v>15293</v>
      </c>
      <c r="H1242" t="s">
        <v>15294</v>
      </c>
      <c r="J1242" t="s">
        <v>15295</v>
      </c>
      <c r="K1242" t="s">
        <v>13491</v>
      </c>
      <c r="L1242" t="s">
        <v>13492</v>
      </c>
      <c r="M1242" t="s">
        <v>7250</v>
      </c>
      <c r="T1242" t="s">
        <v>6546</v>
      </c>
      <c r="U1242" t="s">
        <v>6546</v>
      </c>
      <c r="V1242" t="s">
        <v>6546</v>
      </c>
      <c r="W1242">
        <v>119.21</v>
      </c>
      <c r="X1242">
        <v>119.21</v>
      </c>
      <c r="AB1242" t="s">
        <v>15296</v>
      </c>
      <c r="AC1242" t="s">
        <v>8777</v>
      </c>
      <c r="AF1242" t="s">
        <v>15297</v>
      </c>
      <c r="AI1242" t="s">
        <v>8777</v>
      </c>
      <c r="AO1242" t="s">
        <v>15298</v>
      </c>
    </row>
    <row r="1243" spans="1:41" hidden="1" x14ac:dyDescent="0.35">
      <c r="A1243" t="s">
        <v>15299</v>
      </c>
      <c r="B1243" t="s">
        <v>7246</v>
      </c>
      <c r="C1243" t="s">
        <v>5705</v>
      </c>
      <c r="D1243" t="s">
        <v>5705</v>
      </c>
      <c r="E1243" t="s">
        <v>5705</v>
      </c>
      <c r="G1243" s="13" t="s">
        <v>15300</v>
      </c>
      <c r="H1243" t="s">
        <v>15301</v>
      </c>
      <c r="J1243" t="s">
        <v>15302</v>
      </c>
      <c r="K1243" t="s">
        <v>13491</v>
      </c>
      <c r="L1243" t="s">
        <v>13492</v>
      </c>
      <c r="M1243" t="s">
        <v>7250</v>
      </c>
      <c r="T1243" t="s">
        <v>6546</v>
      </c>
      <c r="U1243" t="s">
        <v>6546</v>
      </c>
      <c r="V1243" t="s">
        <v>6546</v>
      </c>
      <c r="W1243">
        <v>124.46</v>
      </c>
      <c r="X1243">
        <v>124.46</v>
      </c>
      <c r="AB1243" t="s">
        <v>15296</v>
      </c>
      <c r="AC1243" t="s">
        <v>8777</v>
      </c>
      <c r="AF1243" t="s">
        <v>15303</v>
      </c>
      <c r="AI1243" t="s">
        <v>8777</v>
      </c>
      <c r="AO1243" t="s">
        <v>15304</v>
      </c>
    </row>
    <row r="1244" spans="1:41" hidden="1" x14ac:dyDescent="0.35">
      <c r="A1244" t="s">
        <v>15305</v>
      </c>
      <c r="B1244" t="s">
        <v>7246</v>
      </c>
      <c r="C1244" t="s">
        <v>5714</v>
      </c>
      <c r="D1244" t="s">
        <v>5714</v>
      </c>
      <c r="E1244" t="s">
        <v>5714</v>
      </c>
      <c r="G1244" s="13" t="s">
        <v>15306</v>
      </c>
      <c r="H1244" t="s">
        <v>15307</v>
      </c>
      <c r="J1244" t="s">
        <v>15308</v>
      </c>
      <c r="K1244" t="s">
        <v>13601</v>
      </c>
      <c r="L1244" t="s">
        <v>13602</v>
      </c>
      <c r="M1244" t="s">
        <v>7250</v>
      </c>
      <c r="N1244">
        <v>1993</v>
      </c>
      <c r="O1244">
        <v>1995</v>
      </c>
      <c r="T1244" t="s">
        <v>6546</v>
      </c>
      <c r="U1244" t="s">
        <v>6546</v>
      </c>
      <c r="V1244">
        <v>91.1</v>
      </c>
      <c r="W1244">
        <v>84.63</v>
      </c>
      <c r="X1244">
        <v>91.1</v>
      </c>
      <c r="Y1244">
        <v>42</v>
      </c>
      <c r="Z1244" t="s">
        <v>7253</v>
      </c>
      <c r="AB1244" t="s">
        <v>15309</v>
      </c>
      <c r="AC1244" t="s">
        <v>8777</v>
      </c>
      <c r="AF1244" t="s">
        <v>15310</v>
      </c>
      <c r="AI1244" t="s">
        <v>8777</v>
      </c>
      <c r="AO1244" t="s">
        <v>15311</v>
      </c>
    </row>
    <row r="1245" spans="1:41" hidden="1" x14ac:dyDescent="0.35">
      <c r="A1245" t="s">
        <v>15312</v>
      </c>
      <c r="B1245" t="s">
        <v>7246</v>
      </c>
      <c r="C1245" t="s">
        <v>5566</v>
      </c>
      <c r="D1245" t="s">
        <v>5566</v>
      </c>
      <c r="E1245" t="s">
        <v>5566</v>
      </c>
      <c r="G1245" s="13" t="s">
        <v>15313</v>
      </c>
      <c r="H1245" t="s">
        <v>15314</v>
      </c>
      <c r="J1245" t="s">
        <v>15315</v>
      </c>
      <c r="K1245" t="s">
        <v>11559</v>
      </c>
      <c r="L1245" t="s">
        <v>11560</v>
      </c>
      <c r="M1245" t="s">
        <v>7250</v>
      </c>
      <c r="T1245" t="s">
        <v>6546</v>
      </c>
      <c r="U1245" t="s">
        <v>6546</v>
      </c>
      <c r="V1245" t="s">
        <v>6546</v>
      </c>
      <c r="W1245">
        <v>29.05</v>
      </c>
      <c r="X1245">
        <v>29.05</v>
      </c>
      <c r="AB1245" t="s">
        <v>15316</v>
      </c>
      <c r="AC1245" t="s">
        <v>8777</v>
      </c>
      <c r="AF1245" t="s">
        <v>15317</v>
      </c>
      <c r="AI1245" t="s">
        <v>8777</v>
      </c>
      <c r="AO1245" t="s">
        <v>15318</v>
      </c>
    </row>
    <row r="1246" spans="1:41" hidden="1" x14ac:dyDescent="0.35">
      <c r="A1246" t="s">
        <v>15319</v>
      </c>
      <c r="B1246" t="s">
        <v>7246</v>
      </c>
      <c r="C1246" t="s">
        <v>5566</v>
      </c>
      <c r="D1246" t="s">
        <v>5566</v>
      </c>
      <c r="E1246" t="s">
        <v>5566</v>
      </c>
      <c r="G1246" s="13" t="s">
        <v>15320</v>
      </c>
      <c r="H1246" t="s">
        <v>15321</v>
      </c>
      <c r="J1246" t="s">
        <v>15322</v>
      </c>
      <c r="K1246" t="s">
        <v>11559</v>
      </c>
      <c r="L1246" t="s">
        <v>11560</v>
      </c>
      <c r="M1246" t="s">
        <v>7250</v>
      </c>
      <c r="T1246" t="s">
        <v>6546</v>
      </c>
      <c r="U1246" t="s">
        <v>6546</v>
      </c>
      <c r="V1246" t="s">
        <v>6546</v>
      </c>
      <c r="W1246">
        <v>1.64</v>
      </c>
      <c r="X1246">
        <v>1.64</v>
      </c>
      <c r="AB1246" t="s">
        <v>15316</v>
      </c>
      <c r="AC1246" t="s">
        <v>8777</v>
      </c>
      <c r="AF1246" t="s">
        <v>15323</v>
      </c>
      <c r="AI1246" t="s">
        <v>8777</v>
      </c>
      <c r="AO1246" t="s">
        <v>15324</v>
      </c>
    </row>
    <row r="1247" spans="1:41" hidden="1" x14ac:dyDescent="0.35">
      <c r="A1247" t="s">
        <v>15325</v>
      </c>
      <c r="B1247" t="s">
        <v>7246</v>
      </c>
      <c r="C1247" t="s">
        <v>5613</v>
      </c>
      <c r="D1247" t="s">
        <v>5613</v>
      </c>
      <c r="E1247" t="s">
        <v>5613</v>
      </c>
      <c r="G1247" s="13" t="s">
        <v>15326</v>
      </c>
      <c r="H1247" t="s">
        <v>15327</v>
      </c>
      <c r="J1247" t="s">
        <v>15328</v>
      </c>
      <c r="K1247" t="s">
        <v>15203</v>
      </c>
      <c r="L1247" t="s">
        <v>15204</v>
      </c>
      <c r="M1247" t="s">
        <v>7250</v>
      </c>
      <c r="T1247" t="s">
        <v>6546</v>
      </c>
      <c r="U1247" t="s">
        <v>6546</v>
      </c>
      <c r="V1247" t="s">
        <v>6546</v>
      </c>
      <c r="W1247">
        <v>61.34</v>
      </c>
      <c r="X1247">
        <v>61.34</v>
      </c>
      <c r="AB1247" t="s">
        <v>15329</v>
      </c>
      <c r="AC1247" t="s">
        <v>8777</v>
      </c>
      <c r="AF1247" t="s">
        <v>15330</v>
      </c>
      <c r="AI1247" t="s">
        <v>8777</v>
      </c>
      <c r="AO1247" t="s">
        <v>15331</v>
      </c>
    </row>
    <row r="1248" spans="1:41" hidden="1" x14ac:dyDescent="0.35">
      <c r="A1248" t="s">
        <v>15332</v>
      </c>
      <c r="B1248" t="s">
        <v>7246</v>
      </c>
      <c r="C1248" t="s">
        <v>5613</v>
      </c>
      <c r="D1248" t="s">
        <v>5613</v>
      </c>
      <c r="E1248" t="s">
        <v>5613</v>
      </c>
      <c r="G1248" s="13" t="s">
        <v>15333</v>
      </c>
      <c r="H1248" t="s">
        <v>15334</v>
      </c>
      <c r="J1248" t="s">
        <v>15335</v>
      </c>
      <c r="K1248" t="s">
        <v>15203</v>
      </c>
      <c r="L1248" t="s">
        <v>15204</v>
      </c>
      <c r="M1248" t="s">
        <v>7250</v>
      </c>
      <c r="T1248" t="s">
        <v>6546</v>
      </c>
      <c r="U1248" t="s">
        <v>6546</v>
      </c>
      <c r="V1248" t="s">
        <v>6546</v>
      </c>
      <c r="W1248">
        <v>149.83000000000001</v>
      </c>
      <c r="X1248">
        <v>149.83000000000001</v>
      </c>
      <c r="AB1248" t="s">
        <v>15329</v>
      </c>
      <c r="AC1248" t="s">
        <v>8777</v>
      </c>
      <c r="AF1248" t="s">
        <v>15336</v>
      </c>
      <c r="AI1248" t="s">
        <v>8777</v>
      </c>
      <c r="AO1248" t="s">
        <v>15337</v>
      </c>
    </row>
    <row r="1249" spans="1:41" hidden="1" x14ac:dyDescent="0.35">
      <c r="A1249" t="s">
        <v>15338</v>
      </c>
      <c r="B1249" t="s">
        <v>7246</v>
      </c>
      <c r="C1249" t="s">
        <v>449</v>
      </c>
      <c r="D1249" t="s">
        <v>449</v>
      </c>
      <c r="E1249" t="s">
        <v>449</v>
      </c>
      <c r="G1249" s="13" t="s">
        <v>15339</v>
      </c>
      <c r="H1249" t="s">
        <v>15340</v>
      </c>
      <c r="J1249" t="s">
        <v>15341</v>
      </c>
      <c r="K1249" t="s">
        <v>15342</v>
      </c>
      <c r="L1249" t="s">
        <v>15343</v>
      </c>
      <c r="M1249" t="s">
        <v>7250</v>
      </c>
      <c r="N1249">
        <v>1998</v>
      </c>
      <c r="T1249" t="s">
        <v>6546</v>
      </c>
      <c r="U1249" t="s">
        <v>6546</v>
      </c>
      <c r="V1249">
        <v>38</v>
      </c>
      <c r="W1249">
        <v>35.659999999999997</v>
      </c>
      <c r="X1249">
        <v>38</v>
      </c>
      <c r="Y1249">
        <v>23.62</v>
      </c>
      <c r="Z1249" t="s">
        <v>7253</v>
      </c>
      <c r="AB1249" t="s">
        <v>15344</v>
      </c>
      <c r="AC1249" t="s">
        <v>8777</v>
      </c>
      <c r="AF1249" t="s">
        <v>15345</v>
      </c>
      <c r="AI1249" t="s">
        <v>8777</v>
      </c>
      <c r="AO1249" t="s">
        <v>15346</v>
      </c>
    </row>
    <row r="1250" spans="1:41" hidden="1" x14ac:dyDescent="0.35">
      <c r="A1250" t="s">
        <v>15347</v>
      </c>
      <c r="B1250" t="s">
        <v>7246</v>
      </c>
      <c r="C1250" t="s">
        <v>5714</v>
      </c>
      <c r="D1250" t="s">
        <v>5714</v>
      </c>
      <c r="E1250" t="s">
        <v>5714</v>
      </c>
      <c r="G1250" s="13" t="s">
        <v>15348</v>
      </c>
      <c r="H1250" t="s">
        <v>15349</v>
      </c>
      <c r="J1250" t="s">
        <v>15350</v>
      </c>
      <c r="K1250" t="s">
        <v>13601</v>
      </c>
      <c r="L1250" t="s">
        <v>13602</v>
      </c>
      <c r="M1250" t="s">
        <v>7250</v>
      </c>
      <c r="N1250">
        <v>1965</v>
      </c>
      <c r="O1250">
        <v>1971</v>
      </c>
      <c r="T1250" t="s">
        <v>6546</v>
      </c>
      <c r="U1250" t="s">
        <v>6546</v>
      </c>
      <c r="V1250">
        <v>35.5</v>
      </c>
      <c r="W1250">
        <v>33.630000000000003</v>
      </c>
      <c r="X1250">
        <v>35.5</v>
      </c>
      <c r="Y1250">
        <v>47.99</v>
      </c>
      <c r="Z1250" t="s">
        <v>7253</v>
      </c>
      <c r="AB1250" t="s">
        <v>15160</v>
      </c>
      <c r="AC1250" t="s">
        <v>8777</v>
      </c>
      <c r="AF1250" t="s">
        <v>15178</v>
      </c>
      <c r="AI1250" t="s">
        <v>8777</v>
      </c>
      <c r="AO1250" t="s">
        <v>15351</v>
      </c>
    </row>
    <row r="1251" spans="1:41" hidden="1" x14ac:dyDescent="0.35">
      <c r="A1251" t="s">
        <v>15352</v>
      </c>
      <c r="B1251" t="s">
        <v>7246</v>
      </c>
      <c r="C1251" t="s">
        <v>5861</v>
      </c>
      <c r="D1251" t="s">
        <v>5861</v>
      </c>
      <c r="E1251" t="s">
        <v>5861</v>
      </c>
      <c r="G1251" s="13" t="s">
        <v>15353</v>
      </c>
      <c r="H1251" t="s">
        <v>15354</v>
      </c>
      <c r="J1251" t="s">
        <v>15355</v>
      </c>
      <c r="K1251" t="s">
        <v>8694</v>
      </c>
      <c r="L1251" t="s">
        <v>8694</v>
      </c>
      <c r="M1251" t="s">
        <v>7250</v>
      </c>
      <c r="N1251">
        <v>1988</v>
      </c>
      <c r="O1251">
        <v>2003</v>
      </c>
      <c r="T1251" t="s">
        <v>6546</v>
      </c>
      <c r="U1251" t="s">
        <v>6546</v>
      </c>
      <c r="V1251" t="s">
        <v>6546</v>
      </c>
      <c r="W1251">
        <v>102.97</v>
      </c>
      <c r="X1251">
        <v>102.97</v>
      </c>
      <c r="Y1251">
        <v>12</v>
      </c>
      <c r="Z1251" t="s">
        <v>7253</v>
      </c>
      <c r="AB1251" t="s">
        <v>1582</v>
      </c>
      <c r="AC1251" t="s">
        <v>8777</v>
      </c>
      <c r="AF1251" t="s">
        <v>15356</v>
      </c>
      <c r="AI1251" t="s">
        <v>8777</v>
      </c>
      <c r="AO1251" t="s">
        <v>15357</v>
      </c>
    </row>
    <row r="1252" spans="1:41" hidden="1" x14ac:dyDescent="0.35">
      <c r="A1252" t="s">
        <v>15358</v>
      </c>
      <c r="B1252" t="s">
        <v>7246</v>
      </c>
      <c r="C1252" t="s">
        <v>5613</v>
      </c>
      <c r="D1252" t="s">
        <v>5613</v>
      </c>
      <c r="E1252" t="s">
        <v>5613</v>
      </c>
      <c r="G1252" s="13" t="s">
        <v>15359</v>
      </c>
      <c r="H1252" t="s">
        <v>15360</v>
      </c>
      <c r="J1252" t="s">
        <v>15361</v>
      </c>
      <c r="K1252" t="s">
        <v>15240</v>
      </c>
      <c r="L1252" t="s">
        <v>15241</v>
      </c>
      <c r="M1252" t="s">
        <v>7250</v>
      </c>
      <c r="T1252" t="s">
        <v>6546</v>
      </c>
      <c r="U1252" t="s">
        <v>6546</v>
      </c>
      <c r="V1252" t="s">
        <v>6546</v>
      </c>
      <c r="W1252">
        <v>28.86</v>
      </c>
      <c r="X1252">
        <v>28.86</v>
      </c>
      <c r="AB1252" t="s">
        <v>15362</v>
      </c>
      <c r="AC1252" t="s">
        <v>8777</v>
      </c>
      <c r="AF1252" t="s">
        <v>15363</v>
      </c>
      <c r="AI1252" t="s">
        <v>8777</v>
      </c>
      <c r="AO1252" t="s">
        <v>15364</v>
      </c>
    </row>
    <row r="1253" spans="1:41" hidden="1" x14ac:dyDescent="0.35">
      <c r="A1253" t="s">
        <v>15365</v>
      </c>
      <c r="B1253" t="s">
        <v>7246</v>
      </c>
      <c r="C1253" t="s">
        <v>5787</v>
      </c>
      <c r="D1253" t="s">
        <v>5787</v>
      </c>
      <c r="E1253" t="s">
        <v>5787</v>
      </c>
      <c r="G1253" s="13" t="s">
        <v>15366</v>
      </c>
      <c r="H1253" t="s">
        <v>15367</v>
      </c>
      <c r="J1253" t="s">
        <v>15368</v>
      </c>
      <c r="K1253" t="s">
        <v>11716</v>
      </c>
      <c r="L1253" t="s">
        <v>11717</v>
      </c>
      <c r="M1253" t="s">
        <v>7250</v>
      </c>
      <c r="T1253" t="s">
        <v>6546</v>
      </c>
      <c r="U1253" t="s">
        <v>6546</v>
      </c>
      <c r="V1253" t="s">
        <v>6546</v>
      </c>
      <c r="W1253">
        <v>18.690000000000001</v>
      </c>
      <c r="X1253">
        <v>18.690000000000001</v>
      </c>
      <c r="AB1253" t="s">
        <v>15369</v>
      </c>
      <c r="AC1253" t="s">
        <v>8777</v>
      </c>
      <c r="AF1253" t="s">
        <v>15370</v>
      </c>
      <c r="AI1253" t="s">
        <v>8777</v>
      </c>
      <c r="AO1253" t="s">
        <v>15371</v>
      </c>
    </row>
    <row r="1254" spans="1:41" hidden="1" x14ac:dyDescent="0.35">
      <c r="A1254" t="s">
        <v>15372</v>
      </c>
      <c r="B1254" t="s">
        <v>7246</v>
      </c>
      <c r="C1254" t="s">
        <v>5586</v>
      </c>
      <c r="D1254" t="s">
        <v>5586</v>
      </c>
      <c r="E1254" t="s">
        <v>5586</v>
      </c>
      <c r="G1254" s="13" t="s">
        <v>15373</v>
      </c>
      <c r="H1254" t="s">
        <v>15374</v>
      </c>
      <c r="J1254" t="s">
        <v>15375</v>
      </c>
      <c r="K1254" t="s">
        <v>12016</v>
      </c>
      <c r="L1254" t="s">
        <v>12016</v>
      </c>
      <c r="M1254" t="s">
        <v>7250</v>
      </c>
      <c r="T1254" t="s">
        <v>6546</v>
      </c>
      <c r="U1254" t="s">
        <v>6546</v>
      </c>
      <c r="V1254" t="s">
        <v>6546</v>
      </c>
      <c r="W1254">
        <v>81.06</v>
      </c>
      <c r="X1254">
        <v>81.06</v>
      </c>
      <c r="Y1254">
        <v>800</v>
      </c>
      <c r="Z1254" t="s">
        <v>8842</v>
      </c>
      <c r="AB1254" t="s">
        <v>15376</v>
      </c>
      <c r="AC1254" t="s">
        <v>8777</v>
      </c>
      <c r="AF1254" t="s">
        <v>15377</v>
      </c>
      <c r="AI1254" t="s">
        <v>8777</v>
      </c>
      <c r="AO1254" t="s">
        <v>15378</v>
      </c>
    </row>
    <row r="1255" spans="1:41" hidden="1" x14ac:dyDescent="0.35">
      <c r="A1255" t="s">
        <v>15379</v>
      </c>
      <c r="B1255" t="s">
        <v>7246</v>
      </c>
      <c r="C1255" t="s">
        <v>5586</v>
      </c>
      <c r="D1255" t="s">
        <v>5586</v>
      </c>
      <c r="E1255" t="s">
        <v>5586</v>
      </c>
      <c r="G1255" s="13" t="s">
        <v>15380</v>
      </c>
      <c r="H1255" t="s">
        <v>15381</v>
      </c>
      <c r="I1255" t="s">
        <v>15382</v>
      </c>
      <c r="J1255" t="s">
        <v>15383</v>
      </c>
      <c r="K1255" t="s">
        <v>12016</v>
      </c>
      <c r="L1255" t="s">
        <v>12016</v>
      </c>
      <c r="M1255" t="s">
        <v>7250</v>
      </c>
      <c r="T1255" t="s">
        <v>6546</v>
      </c>
      <c r="U1255" t="s">
        <v>6546</v>
      </c>
      <c r="V1255" t="s">
        <v>6546</v>
      </c>
      <c r="W1255">
        <v>183.05</v>
      </c>
      <c r="X1255">
        <v>183.05</v>
      </c>
      <c r="Y1255">
        <v>800</v>
      </c>
      <c r="Z1255" t="s">
        <v>8842</v>
      </c>
      <c r="AB1255" t="s">
        <v>15376</v>
      </c>
      <c r="AC1255" t="s">
        <v>8777</v>
      </c>
      <c r="AF1255" t="s">
        <v>15384</v>
      </c>
      <c r="AI1255" t="s">
        <v>8777</v>
      </c>
      <c r="AO1255" t="s">
        <v>15385</v>
      </c>
    </row>
    <row r="1256" spans="1:41" hidden="1" x14ac:dyDescent="0.35">
      <c r="A1256" t="s">
        <v>15386</v>
      </c>
      <c r="B1256" t="s">
        <v>7246</v>
      </c>
      <c r="C1256" t="s">
        <v>5694</v>
      </c>
      <c r="D1256" t="s">
        <v>5694</v>
      </c>
      <c r="E1256" t="s">
        <v>5694</v>
      </c>
      <c r="G1256" s="13" t="s">
        <v>15387</v>
      </c>
      <c r="H1256" t="s">
        <v>15388</v>
      </c>
      <c r="J1256" t="s">
        <v>15389</v>
      </c>
      <c r="K1256" t="s">
        <v>11736</v>
      </c>
      <c r="L1256" t="s">
        <v>11737</v>
      </c>
      <c r="M1256" t="s">
        <v>7250</v>
      </c>
      <c r="T1256" t="s">
        <v>6546</v>
      </c>
      <c r="U1256" t="s">
        <v>6546</v>
      </c>
      <c r="V1256" t="s">
        <v>6546</v>
      </c>
      <c r="W1256">
        <v>95.39</v>
      </c>
      <c r="X1256">
        <v>95.39</v>
      </c>
      <c r="AB1256" t="s">
        <v>15185</v>
      </c>
      <c r="AC1256" t="s">
        <v>8777</v>
      </c>
      <c r="AF1256" t="s">
        <v>15390</v>
      </c>
      <c r="AI1256" t="s">
        <v>8777</v>
      </c>
      <c r="AO1256" t="s">
        <v>15391</v>
      </c>
    </row>
    <row r="1257" spans="1:41" hidden="1" x14ac:dyDescent="0.35">
      <c r="A1257" t="s">
        <v>15392</v>
      </c>
      <c r="B1257" t="s">
        <v>7246</v>
      </c>
      <c r="C1257" t="s">
        <v>5613</v>
      </c>
      <c r="D1257" t="s">
        <v>5613</v>
      </c>
      <c r="E1257" t="s">
        <v>5613</v>
      </c>
      <c r="G1257" s="13" t="s">
        <v>15393</v>
      </c>
      <c r="H1257" t="s">
        <v>15394</v>
      </c>
      <c r="J1257" t="s">
        <v>15395</v>
      </c>
      <c r="K1257" t="s">
        <v>15203</v>
      </c>
      <c r="L1257" t="s">
        <v>15204</v>
      </c>
      <c r="M1257" t="s">
        <v>7250</v>
      </c>
      <c r="T1257" t="s">
        <v>6546</v>
      </c>
      <c r="U1257" t="s">
        <v>6546</v>
      </c>
      <c r="V1257" t="s">
        <v>6546</v>
      </c>
      <c r="W1257">
        <v>87.71</v>
      </c>
      <c r="X1257">
        <v>87.71</v>
      </c>
      <c r="AB1257" t="s">
        <v>15396</v>
      </c>
      <c r="AC1257" t="s">
        <v>8777</v>
      </c>
      <c r="AF1257" t="s">
        <v>15397</v>
      </c>
      <c r="AI1257" t="s">
        <v>8777</v>
      </c>
      <c r="AO1257" t="s">
        <v>15398</v>
      </c>
    </row>
    <row r="1258" spans="1:41" hidden="1" x14ac:dyDescent="0.35">
      <c r="A1258" t="s">
        <v>15399</v>
      </c>
      <c r="B1258" t="s">
        <v>7246</v>
      </c>
      <c r="C1258" t="s">
        <v>5613</v>
      </c>
      <c r="D1258" t="s">
        <v>5613</v>
      </c>
      <c r="E1258" t="s">
        <v>5613</v>
      </c>
      <c r="G1258" s="13" t="s">
        <v>15400</v>
      </c>
      <c r="H1258" t="s">
        <v>15401</v>
      </c>
      <c r="J1258" t="s">
        <v>15402</v>
      </c>
      <c r="K1258" t="s">
        <v>15203</v>
      </c>
      <c r="L1258" t="s">
        <v>15204</v>
      </c>
      <c r="M1258" t="s">
        <v>7250</v>
      </c>
      <c r="T1258" t="s">
        <v>6546</v>
      </c>
      <c r="U1258" t="s">
        <v>6546</v>
      </c>
      <c r="V1258" t="s">
        <v>6546</v>
      </c>
      <c r="W1258">
        <v>102.35</v>
      </c>
      <c r="X1258">
        <v>102.35</v>
      </c>
      <c r="AB1258" t="s">
        <v>15396</v>
      </c>
      <c r="AC1258" t="s">
        <v>8777</v>
      </c>
      <c r="AF1258" t="s">
        <v>15403</v>
      </c>
      <c r="AI1258" t="s">
        <v>8777</v>
      </c>
      <c r="AO1258" t="s">
        <v>15404</v>
      </c>
    </row>
    <row r="1259" spans="1:41" hidden="1" x14ac:dyDescent="0.35">
      <c r="A1259" t="s">
        <v>15405</v>
      </c>
      <c r="B1259" t="s">
        <v>7246</v>
      </c>
      <c r="C1259" t="s">
        <v>5613</v>
      </c>
      <c r="D1259" t="s">
        <v>5613</v>
      </c>
      <c r="E1259" t="s">
        <v>5613</v>
      </c>
      <c r="G1259" s="13" t="s">
        <v>15406</v>
      </c>
      <c r="H1259" t="s">
        <v>15407</v>
      </c>
      <c r="J1259" t="s">
        <v>15408</v>
      </c>
      <c r="K1259" t="s">
        <v>15203</v>
      </c>
      <c r="L1259" t="s">
        <v>15204</v>
      </c>
      <c r="M1259" t="s">
        <v>7250</v>
      </c>
      <c r="T1259" t="s">
        <v>6546</v>
      </c>
      <c r="U1259" t="s">
        <v>6546</v>
      </c>
      <c r="V1259" t="s">
        <v>6546</v>
      </c>
      <c r="W1259">
        <v>224.07</v>
      </c>
      <c r="X1259">
        <v>224.07</v>
      </c>
      <c r="AB1259" t="s">
        <v>1281</v>
      </c>
      <c r="AC1259" t="s">
        <v>8777</v>
      </c>
      <c r="AF1259" t="s">
        <v>3165</v>
      </c>
      <c r="AI1259" t="s">
        <v>8777</v>
      </c>
      <c r="AO1259" t="s">
        <v>15409</v>
      </c>
    </row>
    <row r="1260" spans="1:41" hidden="1" x14ac:dyDescent="0.35">
      <c r="A1260" t="s">
        <v>15410</v>
      </c>
      <c r="B1260" t="s">
        <v>7246</v>
      </c>
      <c r="C1260" t="s">
        <v>356</v>
      </c>
      <c r="D1260" t="s">
        <v>5851</v>
      </c>
      <c r="E1260" t="s">
        <v>15411</v>
      </c>
      <c r="G1260" s="13" t="s">
        <v>15412</v>
      </c>
      <c r="H1260" t="s">
        <v>15413</v>
      </c>
      <c r="J1260" t="s">
        <v>15414</v>
      </c>
      <c r="K1260" t="s">
        <v>15276</v>
      </c>
      <c r="L1260" t="s">
        <v>15276</v>
      </c>
      <c r="M1260" t="s">
        <v>7250</v>
      </c>
      <c r="T1260" t="s">
        <v>6546</v>
      </c>
      <c r="U1260" t="s">
        <v>6546</v>
      </c>
      <c r="V1260" t="s">
        <v>6546</v>
      </c>
      <c r="W1260">
        <v>33.72</v>
      </c>
      <c r="X1260">
        <v>33.72</v>
      </c>
      <c r="Y1260">
        <v>35.43</v>
      </c>
      <c r="Z1260" t="s">
        <v>7253</v>
      </c>
      <c r="AB1260" t="s">
        <v>15415</v>
      </c>
      <c r="AC1260" t="s">
        <v>8777</v>
      </c>
      <c r="AF1260" t="s">
        <v>15277</v>
      </c>
      <c r="AI1260" t="s">
        <v>8777</v>
      </c>
      <c r="AO1260" t="s">
        <v>15416</v>
      </c>
    </row>
    <row r="1261" spans="1:41" hidden="1" x14ac:dyDescent="0.35">
      <c r="A1261" t="s">
        <v>15417</v>
      </c>
      <c r="B1261" t="s">
        <v>7246</v>
      </c>
      <c r="C1261" t="s">
        <v>5830</v>
      </c>
      <c r="D1261" t="s">
        <v>5830</v>
      </c>
      <c r="E1261" t="s">
        <v>5830</v>
      </c>
      <c r="G1261" s="13" t="s">
        <v>15418</v>
      </c>
      <c r="H1261" t="s">
        <v>15419</v>
      </c>
      <c r="J1261" t="s">
        <v>15420</v>
      </c>
      <c r="K1261" t="s">
        <v>11952</v>
      </c>
      <c r="L1261" t="s">
        <v>11953</v>
      </c>
      <c r="M1261" t="s">
        <v>7250</v>
      </c>
      <c r="R1261">
        <v>1523.47</v>
      </c>
      <c r="S1261" t="s">
        <v>7251</v>
      </c>
      <c r="T1261">
        <v>15.76</v>
      </c>
      <c r="U1261">
        <v>7332.99</v>
      </c>
      <c r="V1261" t="s">
        <v>6546</v>
      </c>
      <c r="W1261">
        <v>44.9</v>
      </c>
      <c r="X1261">
        <v>44.9</v>
      </c>
      <c r="Y1261">
        <v>38.700000000000003</v>
      </c>
      <c r="Z1261" t="s">
        <v>7253</v>
      </c>
      <c r="AB1261" t="s">
        <v>9353</v>
      </c>
      <c r="AC1261" t="s">
        <v>8777</v>
      </c>
      <c r="AF1261" t="s">
        <v>15421</v>
      </c>
      <c r="AI1261" t="s">
        <v>8777</v>
      </c>
      <c r="AO1261" t="s">
        <v>15422</v>
      </c>
    </row>
    <row r="1262" spans="1:41" hidden="1" x14ac:dyDescent="0.35">
      <c r="A1262" t="s">
        <v>15423</v>
      </c>
      <c r="B1262" t="s">
        <v>7246</v>
      </c>
      <c r="C1262" t="s">
        <v>5861</v>
      </c>
      <c r="D1262" t="s">
        <v>5861</v>
      </c>
      <c r="E1262" t="s">
        <v>5861</v>
      </c>
      <c r="G1262" s="13" t="s">
        <v>15424</v>
      </c>
      <c r="H1262" t="s">
        <v>15425</v>
      </c>
      <c r="J1262" t="s">
        <v>15426</v>
      </c>
      <c r="K1262" t="s">
        <v>8694</v>
      </c>
      <c r="L1262" t="s">
        <v>8694</v>
      </c>
      <c r="M1262" t="s">
        <v>7250</v>
      </c>
      <c r="N1262">
        <v>1987</v>
      </c>
      <c r="O1262">
        <v>2003</v>
      </c>
      <c r="T1262" t="s">
        <v>6546</v>
      </c>
      <c r="U1262" t="s">
        <v>6546</v>
      </c>
      <c r="V1262">
        <v>96.26</v>
      </c>
      <c r="W1262">
        <v>95.63</v>
      </c>
      <c r="X1262">
        <v>96.26</v>
      </c>
      <c r="Y1262" t="s">
        <v>15427</v>
      </c>
      <c r="Z1262" t="s">
        <v>7253</v>
      </c>
      <c r="AB1262" t="s">
        <v>8389</v>
      </c>
      <c r="AC1262" t="s">
        <v>8777</v>
      </c>
      <c r="AF1262" t="s">
        <v>15428</v>
      </c>
      <c r="AI1262" t="s">
        <v>8777</v>
      </c>
      <c r="AO1262" t="s">
        <v>15429</v>
      </c>
    </row>
    <row r="1263" spans="1:41" hidden="1" x14ac:dyDescent="0.35">
      <c r="A1263" t="s">
        <v>15430</v>
      </c>
      <c r="B1263" t="s">
        <v>7246</v>
      </c>
      <c r="C1263" t="s">
        <v>5714</v>
      </c>
      <c r="D1263" t="s">
        <v>5714</v>
      </c>
      <c r="E1263" t="s">
        <v>5714</v>
      </c>
      <c r="G1263" s="13" t="s">
        <v>15431</v>
      </c>
      <c r="H1263" t="s">
        <v>15432</v>
      </c>
      <c r="J1263" t="s">
        <v>15433</v>
      </c>
      <c r="K1263" t="s">
        <v>13601</v>
      </c>
      <c r="L1263" t="s">
        <v>13602</v>
      </c>
      <c r="M1263" t="s">
        <v>7250</v>
      </c>
      <c r="N1263">
        <v>2004</v>
      </c>
      <c r="T1263" t="s">
        <v>6546</v>
      </c>
      <c r="U1263" t="s">
        <v>6546</v>
      </c>
      <c r="V1263">
        <v>67.3</v>
      </c>
      <c r="W1263">
        <v>62.9</v>
      </c>
      <c r="X1263">
        <v>67.3</v>
      </c>
      <c r="Y1263">
        <v>35.979999999999997</v>
      </c>
      <c r="Z1263" t="s">
        <v>7253</v>
      </c>
      <c r="AB1263" t="s">
        <v>1437</v>
      </c>
      <c r="AC1263" t="s">
        <v>8777</v>
      </c>
      <c r="AF1263" t="s">
        <v>15434</v>
      </c>
      <c r="AI1263" t="s">
        <v>8777</v>
      </c>
      <c r="AO1263" t="s">
        <v>15435</v>
      </c>
    </row>
    <row r="1264" spans="1:41" hidden="1" x14ac:dyDescent="0.35">
      <c r="A1264" t="s">
        <v>15436</v>
      </c>
      <c r="B1264" t="s">
        <v>7246</v>
      </c>
      <c r="C1264" t="s">
        <v>5714</v>
      </c>
      <c r="D1264" t="s">
        <v>5714</v>
      </c>
      <c r="E1264" t="s">
        <v>5714</v>
      </c>
      <c r="G1264" s="13" t="s">
        <v>15437</v>
      </c>
      <c r="H1264" t="s">
        <v>15438</v>
      </c>
      <c r="J1264" t="s">
        <v>15439</v>
      </c>
      <c r="K1264" t="s">
        <v>13601</v>
      </c>
      <c r="L1264" t="s">
        <v>13602</v>
      </c>
      <c r="M1264" t="s">
        <v>7250</v>
      </c>
      <c r="N1264">
        <v>1995</v>
      </c>
      <c r="T1264" t="s">
        <v>6546</v>
      </c>
      <c r="U1264" t="s">
        <v>6546</v>
      </c>
      <c r="V1264">
        <v>60.1</v>
      </c>
      <c r="W1264">
        <v>51.46</v>
      </c>
      <c r="X1264">
        <v>60.1</v>
      </c>
      <c r="Y1264">
        <v>47.99</v>
      </c>
      <c r="Z1264" t="s">
        <v>7253</v>
      </c>
      <c r="AB1264" t="s">
        <v>15440</v>
      </c>
      <c r="AC1264" t="s">
        <v>8777</v>
      </c>
      <c r="AF1264" t="s">
        <v>15434</v>
      </c>
      <c r="AI1264" t="s">
        <v>8777</v>
      </c>
      <c r="AO1264" t="s">
        <v>15441</v>
      </c>
    </row>
    <row r="1265" spans="1:41" hidden="1" x14ac:dyDescent="0.35">
      <c r="A1265" t="s">
        <v>15442</v>
      </c>
      <c r="B1265" t="s">
        <v>7246</v>
      </c>
      <c r="C1265" t="s">
        <v>5714</v>
      </c>
      <c r="D1265" t="s">
        <v>5714</v>
      </c>
      <c r="E1265" t="s">
        <v>5714</v>
      </c>
      <c r="G1265" s="13" t="s">
        <v>15443</v>
      </c>
      <c r="H1265" t="s">
        <v>15444</v>
      </c>
      <c r="J1265" t="s">
        <v>15445</v>
      </c>
      <c r="K1265" t="s">
        <v>13601</v>
      </c>
      <c r="L1265" t="s">
        <v>13602</v>
      </c>
      <c r="M1265" t="s">
        <v>7250</v>
      </c>
      <c r="N1265">
        <v>1969</v>
      </c>
      <c r="T1265" t="s">
        <v>6546</v>
      </c>
      <c r="U1265" t="s">
        <v>6546</v>
      </c>
      <c r="V1265">
        <v>108.6</v>
      </c>
      <c r="W1265">
        <v>98.82</v>
      </c>
      <c r="X1265">
        <v>108.6</v>
      </c>
      <c r="Y1265">
        <v>22</v>
      </c>
      <c r="Z1265" t="s">
        <v>7253</v>
      </c>
      <c r="AB1265" t="s">
        <v>1860</v>
      </c>
      <c r="AC1265" t="s">
        <v>8777</v>
      </c>
      <c r="AF1265" t="s">
        <v>15446</v>
      </c>
      <c r="AI1265" t="s">
        <v>8777</v>
      </c>
      <c r="AO1265" t="s">
        <v>15447</v>
      </c>
    </row>
    <row r="1266" spans="1:41" hidden="1" x14ac:dyDescent="0.35">
      <c r="A1266" t="s">
        <v>15448</v>
      </c>
      <c r="B1266" t="s">
        <v>7246</v>
      </c>
      <c r="C1266" t="s">
        <v>5714</v>
      </c>
      <c r="D1266" t="s">
        <v>5714</v>
      </c>
      <c r="E1266" t="s">
        <v>5714</v>
      </c>
      <c r="G1266" s="13" t="s">
        <v>15449</v>
      </c>
      <c r="H1266" t="s">
        <v>15450</v>
      </c>
      <c r="I1266" t="s">
        <v>15451</v>
      </c>
      <c r="J1266" t="s">
        <v>15452</v>
      </c>
      <c r="K1266" t="s">
        <v>13601</v>
      </c>
      <c r="L1266" t="s">
        <v>13602</v>
      </c>
      <c r="M1266" t="s">
        <v>7250</v>
      </c>
      <c r="N1266">
        <v>1993</v>
      </c>
      <c r="O1266">
        <v>1997</v>
      </c>
      <c r="T1266" t="s">
        <v>6546</v>
      </c>
      <c r="U1266" t="s">
        <v>6546</v>
      </c>
      <c r="V1266">
        <v>89</v>
      </c>
      <c r="W1266">
        <v>37.92</v>
      </c>
      <c r="X1266">
        <v>89</v>
      </c>
      <c r="Y1266">
        <v>47.99</v>
      </c>
      <c r="Z1266" t="s">
        <v>7253</v>
      </c>
      <c r="AB1266" t="s">
        <v>15453</v>
      </c>
      <c r="AC1266" t="s">
        <v>8777</v>
      </c>
      <c r="AF1266" t="s">
        <v>15454</v>
      </c>
      <c r="AI1266" t="s">
        <v>8777</v>
      </c>
      <c r="AO1266" t="s">
        <v>15455</v>
      </c>
    </row>
    <row r="1267" spans="1:41" hidden="1" x14ac:dyDescent="0.35">
      <c r="A1267" t="s">
        <v>15456</v>
      </c>
      <c r="B1267" t="s">
        <v>7246</v>
      </c>
      <c r="C1267" t="s">
        <v>5613</v>
      </c>
      <c r="D1267" t="s">
        <v>5613</v>
      </c>
      <c r="E1267" t="s">
        <v>5613</v>
      </c>
      <c r="G1267" s="13" t="s">
        <v>15457</v>
      </c>
      <c r="H1267" t="s">
        <v>15458</v>
      </c>
      <c r="J1267" t="s">
        <v>15459</v>
      </c>
      <c r="K1267" t="s">
        <v>15240</v>
      </c>
      <c r="L1267" t="s">
        <v>15241</v>
      </c>
      <c r="M1267" t="s">
        <v>7250</v>
      </c>
      <c r="T1267" t="s">
        <v>6546</v>
      </c>
      <c r="U1267" t="s">
        <v>6546</v>
      </c>
      <c r="V1267" t="s">
        <v>6546</v>
      </c>
      <c r="W1267">
        <v>68.19</v>
      </c>
      <c r="X1267">
        <v>68.19</v>
      </c>
      <c r="AB1267" t="s">
        <v>15460</v>
      </c>
      <c r="AC1267" t="s">
        <v>8777</v>
      </c>
      <c r="AF1267" t="s">
        <v>15461</v>
      </c>
      <c r="AI1267" t="s">
        <v>8777</v>
      </c>
      <c r="AO1267" t="s">
        <v>15462</v>
      </c>
    </row>
    <row r="1268" spans="1:41" hidden="1" x14ac:dyDescent="0.35">
      <c r="A1268" t="s">
        <v>15463</v>
      </c>
      <c r="B1268" t="s">
        <v>7246</v>
      </c>
      <c r="C1268" t="s">
        <v>12051</v>
      </c>
      <c r="D1268" t="s">
        <v>12051</v>
      </c>
      <c r="E1268" t="s">
        <v>12051</v>
      </c>
      <c r="G1268" s="13" t="s">
        <v>15464</v>
      </c>
      <c r="H1268" t="s">
        <v>15465</v>
      </c>
      <c r="J1268" t="s">
        <v>15466</v>
      </c>
      <c r="K1268" t="s">
        <v>12056</v>
      </c>
      <c r="L1268" t="s">
        <v>12057</v>
      </c>
      <c r="M1268" t="s">
        <v>7250</v>
      </c>
      <c r="T1268" t="s">
        <v>6546</v>
      </c>
      <c r="U1268" t="s">
        <v>6546</v>
      </c>
      <c r="V1268" t="s">
        <v>6546</v>
      </c>
      <c r="W1268">
        <v>97.89</v>
      </c>
      <c r="X1268">
        <v>97.89</v>
      </c>
      <c r="AB1268" t="s">
        <v>15467</v>
      </c>
      <c r="AC1268" t="s">
        <v>8777</v>
      </c>
      <c r="AF1268" t="s">
        <v>15468</v>
      </c>
      <c r="AI1268" t="s">
        <v>8777</v>
      </c>
      <c r="AO1268" t="s">
        <v>15469</v>
      </c>
    </row>
    <row r="1269" spans="1:41" hidden="1" x14ac:dyDescent="0.35">
      <c r="A1269" t="s">
        <v>15470</v>
      </c>
      <c r="B1269" t="s">
        <v>7246</v>
      </c>
      <c r="C1269" t="s">
        <v>5861</v>
      </c>
      <c r="D1269" t="s">
        <v>5861</v>
      </c>
      <c r="E1269" t="s">
        <v>5861</v>
      </c>
      <c r="G1269" s="13" t="s">
        <v>15471</v>
      </c>
      <c r="H1269" t="s">
        <v>15472</v>
      </c>
      <c r="J1269" t="s">
        <v>15473</v>
      </c>
      <c r="K1269" t="s">
        <v>8694</v>
      </c>
      <c r="L1269" t="s">
        <v>8694</v>
      </c>
      <c r="M1269" t="s">
        <v>7250</v>
      </c>
      <c r="N1269">
        <v>2005</v>
      </c>
      <c r="T1269" t="s">
        <v>6546</v>
      </c>
      <c r="U1269" t="s">
        <v>6546</v>
      </c>
      <c r="V1269">
        <v>107.69</v>
      </c>
      <c r="W1269">
        <v>107.82</v>
      </c>
      <c r="X1269">
        <v>107.69</v>
      </c>
      <c r="Y1269">
        <v>20</v>
      </c>
      <c r="Z1269" t="s">
        <v>7253</v>
      </c>
      <c r="AB1269" t="s">
        <v>15474</v>
      </c>
      <c r="AC1269" t="s">
        <v>8777</v>
      </c>
      <c r="AF1269" t="s">
        <v>15257</v>
      </c>
      <c r="AI1269" t="s">
        <v>8777</v>
      </c>
      <c r="AO1269" t="s">
        <v>15475</v>
      </c>
    </row>
    <row r="1270" spans="1:41" hidden="1" x14ac:dyDescent="0.35">
      <c r="A1270" t="s">
        <v>15476</v>
      </c>
      <c r="B1270" t="s">
        <v>7246</v>
      </c>
      <c r="C1270" t="s">
        <v>5714</v>
      </c>
      <c r="D1270" t="s">
        <v>5714</v>
      </c>
      <c r="E1270" t="s">
        <v>5714</v>
      </c>
      <c r="G1270" s="13" t="s">
        <v>15477</v>
      </c>
      <c r="H1270" t="s">
        <v>15478</v>
      </c>
      <c r="J1270" t="s">
        <v>15479</v>
      </c>
      <c r="K1270" t="s">
        <v>13601</v>
      </c>
      <c r="L1270" t="s">
        <v>13602</v>
      </c>
      <c r="M1270" t="s">
        <v>7250</v>
      </c>
      <c r="N1270">
        <v>1996</v>
      </c>
      <c r="T1270" t="s">
        <v>6546</v>
      </c>
      <c r="U1270" t="s">
        <v>6546</v>
      </c>
      <c r="V1270">
        <v>22.4</v>
      </c>
      <c r="W1270">
        <v>45.87</v>
      </c>
      <c r="X1270">
        <v>22.4</v>
      </c>
      <c r="Y1270">
        <v>47.99</v>
      </c>
      <c r="Z1270" t="s">
        <v>7253</v>
      </c>
      <c r="AB1270" t="s">
        <v>15480</v>
      </c>
      <c r="AC1270" t="s">
        <v>8777</v>
      </c>
      <c r="AF1270" t="s">
        <v>15481</v>
      </c>
      <c r="AI1270" t="s">
        <v>8777</v>
      </c>
      <c r="AO1270" t="s">
        <v>15482</v>
      </c>
    </row>
    <row r="1271" spans="1:41" hidden="1" x14ac:dyDescent="0.35">
      <c r="A1271" t="s">
        <v>15483</v>
      </c>
      <c r="B1271" t="s">
        <v>7246</v>
      </c>
      <c r="C1271" t="s">
        <v>5714</v>
      </c>
      <c r="D1271" t="s">
        <v>5714</v>
      </c>
      <c r="E1271" t="s">
        <v>5714</v>
      </c>
      <c r="G1271" s="13" t="s">
        <v>15484</v>
      </c>
      <c r="H1271" t="s">
        <v>15485</v>
      </c>
      <c r="J1271" t="s">
        <v>15486</v>
      </c>
      <c r="K1271" t="s">
        <v>13601</v>
      </c>
      <c r="L1271" t="s">
        <v>13602</v>
      </c>
      <c r="M1271" t="s">
        <v>7250</v>
      </c>
      <c r="N1271">
        <v>1980</v>
      </c>
      <c r="T1271" t="s">
        <v>6546</v>
      </c>
      <c r="U1271" t="s">
        <v>6546</v>
      </c>
      <c r="V1271">
        <v>15.6</v>
      </c>
      <c r="W1271">
        <v>14.78</v>
      </c>
      <c r="X1271">
        <v>15.6</v>
      </c>
      <c r="Y1271">
        <v>30</v>
      </c>
      <c r="Z1271" t="s">
        <v>7253</v>
      </c>
      <c r="AB1271" t="s">
        <v>15480</v>
      </c>
      <c r="AC1271" t="s">
        <v>8777</v>
      </c>
      <c r="AF1271" t="s">
        <v>15487</v>
      </c>
      <c r="AI1271" t="s">
        <v>8777</v>
      </c>
      <c r="AO1271" t="s">
        <v>15488</v>
      </c>
    </row>
    <row r="1272" spans="1:41" hidden="1" x14ac:dyDescent="0.35">
      <c r="A1272" t="s">
        <v>15489</v>
      </c>
      <c r="B1272" t="s">
        <v>7246</v>
      </c>
      <c r="C1272" t="s">
        <v>5613</v>
      </c>
      <c r="D1272" t="s">
        <v>5613</v>
      </c>
      <c r="E1272" t="s">
        <v>5613</v>
      </c>
      <c r="G1272" s="13" t="s">
        <v>15490</v>
      </c>
      <c r="H1272" t="s">
        <v>15491</v>
      </c>
      <c r="J1272" t="s">
        <v>15492</v>
      </c>
      <c r="K1272" t="s">
        <v>15203</v>
      </c>
      <c r="L1272" t="s">
        <v>15204</v>
      </c>
      <c r="M1272" t="s">
        <v>7250</v>
      </c>
      <c r="T1272" t="s">
        <v>6546</v>
      </c>
      <c r="U1272" t="s">
        <v>6546</v>
      </c>
      <c r="V1272" t="s">
        <v>6546</v>
      </c>
      <c r="W1272">
        <v>71.91</v>
      </c>
      <c r="X1272">
        <v>71.91</v>
      </c>
      <c r="AB1272" t="s">
        <v>15493</v>
      </c>
      <c r="AC1272" t="s">
        <v>8777</v>
      </c>
      <c r="AF1272" t="s">
        <v>15494</v>
      </c>
      <c r="AI1272" t="s">
        <v>8777</v>
      </c>
      <c r="AO1272" t="s">
        <v>15495</v>
      </c>
    </row>
    <row r="1273" spans="1:41" hidden="1" x14ac:dyDescent="0.35">
      <c r="A1273" t="s">
        <v>15496</v>
      </c>
      <c r="B1273" t="s">
        <v>7246</v>
      </c>
      <c r="C1273" t="s">
        <v>5613</v>
      </c>
      <c r="D1273" t="s">
        <v>5613</v>
      </c>
      <c r="E1273" t="s">
        <v>5613</v>
      </c>
      <c r="G1273" s="13" t="s">
        <v>15497</v>
      </c>
      <c r="H1273" t="s">
        <v>15498</v>
      </c>
      <c r="J1273" t="s">
        <v>15499</v>
      </c>
      <c r="K1273" t="s">
        <v>15203</v>
      </c>
      <c r="L1273" t="s">
        <v>15204</v>
      </c>
      <c r="M1273" t="s">
        <v>7250</v>
      </c>
      <c r="T1273" t="s">
        <v>6546</v>
      </c>
      <c r="U1273" t="s">
        <v>6546</v>
      </c>
      <c r="V1273" t="s">
        <v>6546</v>
      </c>
      <c r="W1273">
        <v>121.68</v>
      </c>
      <c r="X1273">
        <v>121.68</v>
      </c>
      <c r="AB1273" t="s">
        <v>15493</v>
      </c>
      <c r="AC1273" t="s">
        <v>8777</v>
      </c>
      <c r="AF1273" t="s">
        <v>15500</v>
      </c>
      <c r="AI1273" t="s">
        <v>8777</v>
      </c>
      <c r="AO1273" t="s">
        <v>15501</v>
      </c>
    </row>
    <row r="1274" spans="1:41" hidden="1" x14ac:dyDescent="0.35">
      <c r="A1274" t="s">
        <v>15502</v>
      </c>
      <c r="B1274" t="s">
        <v>7246</v>
      </c>
      <c r="C1274" t="s">
        <v>5613</v>
      </c>
      <c r="D1274" t="s">
        <v>5613</v>
      </c>
      <c r="E1274" t="s">
        <v>5613</v>
      </c>
      <c r="G1274" s="13" t="s">
        <v>15503</v>
      </c>
      <c r="H1274" t="s">
        <v>15504</v>
      </c>
      <c r="J1274" t="s">
        <v>15505</v>
      </c>
      <c r="K1274" t="s">
        <v>15203</v>
      </c>
      <c r="L1274" t="s">
        <v>15204</v>
      </c>
      <c r="M1274" t="s">
        <v>7250</v>
      </c>
      <c r="T1274" t="s">
        <v>6546</v>
      </c>
      <c r="U1274" t="s">
        <v>6546</v>
      </c>
      <c r="V1274" t="s">
        <v>6546</v>
      </c>
      <c r="W1274">
        <v>239.11</v>
      </c>
      <c r="X1274">
        <v>239.11</v>
      </c>
      <c r="AB1274" t="s">
        <v>15506</v>
      </c>
      <c r="AC1274" t="s">
        <v>8777</v>
      </c>
      <c r="AF1274" t="s">
        <v>15507</v>
      </c>
      <c r="AI1274" t="s">
        <v>8777</v>
      </c>
      <c r="AO1274" t="s">
        <v>15508</v>
      </c>
    </row>
    <row r="1275" spans="1:41" hidden="1" x14ac:dyDescent="0.35">
      <c r="A1275" t="s">
        <v>15509</v>
      </c>
      <c r="B1275" t="s">
        <v>7246</v>
      </c>
      <c r="C1275" t="s">
        <v>5714</v>
      </c>
      <c r="D1275" t="s">
        <v>5714</v>
      </c>
      <c r="E1275" t="s">
        <v>5714</v>
      </c>
      <c r="G1275" s="13" t="s">
        <v>15510</v>
      </c>
      <c r="H1275" t="s">
        <v>15511</v>
      </c>
      <c r="J1275" t="s">
        <v>15512</v>
      </c>
      <c r="K1275" t="s">
        <v>13601</v>
      </c>
      <c r="L1275" t="s">
        <v>13602</v>
      </c>
      <c r="M1275" t="s">
        <v>7250</v>
      </c>
      <c r="N1275">
        <v>1981</v>
      </c>
      <c r="T1275" t="s">
        <v>6546</v>
      </c>
      <c r="U1275" t="s">
        <v>6546</v>
      </c>
      <c r="V1275">
        <v>94</v>
      </c>
      <c r="W1275">
        <v>57.22</v>
      </c>
      <c r="X1275">
        <v>94</v>
      </c>
      <c r="Y1275">
        <v>22</v>
      </c>
      <c r="Z1275" t="s">
        <v>7253</v>
      </c>
      <c r="AB1275" t="s">
        <v>11861</v>
      </c>
      <c r="AC1275" t="s">
        <v>8777</v>
      </c>
      <c r="AF1275" t="s">
        <v>1864</v>
      </c>
      <c r="AI1275" t="s">
        <v>8777</v>
      </c>
      <c r="AO1275" t="s">
        <v>15513</v>
      </c>
    </row>
    <row r="1276" spans="1:41" hidden="1" x14ac:dyDescent="0.35">
      <c r="A1276" t="s">
        <v>15514</v>
      </c>
      <c r="B1276" t="s">
        <v>7246</v>
      </c>
      <c r="C1276" t="s">
        <v>5714</v>
      </c>
      <c r="D1276" t="s">
        <v>5714</v>
      </c>
      <c r="E1276" t="s">
        <v>5714</v>
      </c>
      <c r="G1276" s="13" t="s">
        <v>15515</v>
      </c>
      <c r="H1276" t="s">
        <v>15516</v>
      </c>
      <c r="J1276" t="s">
        <v>15517</v>
      </c>
      <c r="K1276" t="s">
        <v>11857</v>
      </c>
      <c r="L1276" t="s">
        <v>11858</v>
      </c>
      <c r="M1276" t="s">
        <v>7250</v>
      </c>
      <c r="T1276" t="s">
        <v>6546</v>
      </c>
      <c r="U1276" t="s">
        <v>6546</v>
      </c>
      <c r="V1276" t="s">
        <v>6546</v>
      </c>
      <c r="W1276">
        <v>28.46</v>
      </c>
      <c r="X1276">
        <v>28.46</v>
      </c>
      <c r="Y1276">
        <v>26</v>
      </c>
      <c r="Z1276" t="s">
        <v>7253</v>
      </c>
      <c r="AB1276" t="s">
        <v>11861</v>
      </c>
      <c r="AC1276" t="s">
        <v>8777</v>
      </c>
      <c r="AF1276" t="s">
        <v>15518</v>
      </c>
      <c r="AI1276" t="s">
        <v>8777</v>
      </c>
      <c r="AO1276" t="s">
        <v>15519</v>
      </c>
    </row>
    <row r="1277" spans="1:41" hidden="1" x14ac:dyDescent="0.35">
      <c r="A1277" t="s">
        <v>15520</v>
      </c>
      <c r="B1277" t="s">
        <v>7246</v>
      </c>
      <c r="C1277" t="s">
        <v>5714</v>
      </c>
      <c r="D1277" t="s">
        <v>5714</v>
      </c>
      <c r="E1277" t="s">
        <v>5714</v>
      </c>
      <c r="G1277" s="13" t="s">
        <v>15521</v>
      </c>
      <c r="H1277" t="s">
        <v>15522</v>
      </c>
      <c r="K1277" t="s">
        <v>13601</v>
      </c>
      <c r="L1277" t="s">
        <v>13602</v>
      </c>
      <c r="M1277" t="s">
        <v>7250</v>
      </c>
      <c r="N1277">
        <v>1994</v>
      </c>
      <c r="T1277" t="s">
        <v>6546</v>
      </c>
      <c r="U1277" t="s">
        <v>6546</v>
      </c>
      <c r="V1277">
        <v>67.900000000000006</v>
      </c>
      <c r="W1277">
        <v>61.71</v>
      </c>
      <c r="X1277">
        <v>67.900000000000006</v>
      </c>
      <c r="Y1277">
        <v>42.01</v>
      </c>
      <c r="Z1277" t="s">
        <v>7253</v>
      </c>
      <c r="AB1277" t="s">
        <v>15523</v>
      </c>
      <c r="AC1277" t="s">
        <v>8777</v>
      </c>
      <c r="AF1277" t="s">
        <v>15524</v>
      </c>
      <c r="AI1277" t="s">
        <v>8777</v>
      </c>
      <c r="AO1277" t="s">
        <v>15525</v>
      </c>
    </row>
    <row r="1278" spans="1:41" hidden="1" x14ac:dyDescent="0.35">
      <c r="A1278" t="s">
        <v>15526</v>
      </c>
      <c r="B1278" t="s">
        <v>7246</v>
      </c>
      <c r="C1278" t="s">
        <v>5714</v>
      </c>
      <c r="D1278" t="s">
        <v>5714</v>
      </c>
      <c r="E1278" t="s">
        <v>5714</v>
      </c>
      <c r="G1278" s="13" t="s">
        <v>15527</v>
      </c>
      <c r="H1278" t="s">
        <v>15528</v>
      </c>
      <c r="J1278" t="s">
        <v>15529</v>
      </c>
      <c r="K1278" t="s">
        <v>13601</v>
      </c>
      <c r="L1278" t="s">
        <v>13602</v>
      </c>
      <c r="M1278" t="s">
        <v>7250</v>
      </c>
      <c r="N1278">
        <v>1987</v>
      </c>
      <c r="T1278" t="s">
        <v>6546</v>
      </c>
      <c r="U1278" t="s">
        <v>6546</v>
      </c>
      <c r="V1278">
        <v>31.8</v>
      </c>
      <c r="W1278">
        <v>29.93</v>
      </c>
      <c r="X1278">
        <v>31.8</v>
      </c>
      <c r="Y1278">
        <v>25.98</v>
      </c>
      <c r="Z1278" t="s">
        <v>7253</v>
      </c>
      <c r="AB1278" t="s">
        <v>15530</v>
      </c>
      <c r="AC1278" t="s">
        <v>8777</v>
      </c>
      <c r="AF1278" t="s">
        <v>15524</v>
      </c>
      <c r="AI1278" t="s">
        <v>8777</v>
      </c>
      <c r="AO1278" t="s">
        <v>15531</v>
      </c>
    </row>
    <row r="1279" spans="1:41" hidden="1" x14ac:dyDescent="0.35">
      <c r="A1279" t="s">
        <v>15532</v>
      </c>
      <c r="B1279" t="s">
        <v>7246</v>
      </c>
      <c r="C1279" t="s">
        <v>5714</v>
      </c>
      <c r="D1279" t="s">
        <v>5714</v>
      </c>
      <c r="E1279" t="s">
        <v>5714</v>
      </c>
      <c r="G1279" s="13" t="s">
        <v>15533</v>
      </c>
      <c r="H1279" t="s">
        <v>15534</v>
      </c>
      <c r="J1279" t="s">
        <v>15535</v>
      </c>
      <c r="K1279" t="s">
        <v>13601</v>
      </c>
      <c r="L1279" t="s">
        <v>13602</v>
      </c>
      <c r="M1279" t="s">
        <v>7250</v>
      </c>
      <c r="N1279">
        <v>1982</v>
      </c>
      <c r="O1279">
        <v>1983</v>
      </c>
      <c r="T1279" t="s">
        <v>6546</v>
      </c>
      <c r="U1279" t="s">
        <v>6546</v>
      </c>
      <c r="V1279">
        <v>133.30000000000001</v>
      </c>
      <c r="W1279">
        <v>121.54</v>
      </c>
      <c r="X1279">
        <v>133.30000000000001</v>
      </c>
      <c r="Y1279">
        <v>47.99</v>
      </c>
      <c r="Z1279" t="s">
        <v>7253</v>
      </c>
      <c r="AB1279" t="s">
        <v>15536</v>
      </c>
      <c r="AC1279" t="s">
        <v>8777</v>
      </c>
      <c r="AF1279" t="s">
        <v>15453</v>
      </c>
      <c r="AI1279" t="s">
        <v>8777</v>
      </c>
      <c r="AO1279" t="s">
        <v>15537</v>
      </c>
    </row>
    <row r="1280" spans="1:41" hidden="1" x14ac:dyDescent="0.35">
      <c r="A1280" t="s">
        <v>15538</v>
      </c>
      <c r="B1280" t="s">
        <v>7246</v>
      </c>
      <c r="C1280" t="s">
        <v>12051</v>
      </c>
      <c r="D1280" t="s">
        <v>12051</v>
      </c>
      <c r="E1280" t="s">
        <v>12051</v>
      </c>
      <c r="G1280" s="13" t="s">
        <v>15539</v>
      </c>
      <c r="H1280" t="s">
        <v>15540</v>
      </c>
      <c r="J1280" t="s">
        <v>15541</v>
      </c>
      <c r="K1280" t="s">
        <v>12056</v>
      </c>
      <c r="L1280" t="s">
        <v>12057</v>
      </c>
      <c r="M1280" t="s">
        <v>7250</v>
      </c>
      <c r="T1280" t="s">
        <v>6546</v>
      </c>
      <c r="U1280" t="s">
        <v>6546</v>
      </c>
      <c r="V1280" t="s">
        <v>6546</v>
      </c>
      <c r="W1280">
        <v>187.49</v>
      </c>
      <c r="X1280">
        <v>187.49</v>
      </c>
      <c r="AB1280" t="s">
        <v>15542</v>
      </c>
      <c r="AC1280" t="s">
        <v>8777</v>
      </c>
      <c r="AF1280" t="s">
        <v>15284</v>
      </c>
      <c r="AI1280" t="s">
        <v>8777</v>
      </c>
      <c r="AO1280" t="s">
        <v>15543</v>
      </c>
    </row>
    <row r="1281" spans="1:41" hidden="1" x14ac:dyDescent="0.35">
      <c r="A1281" t="s">
        <v>15544</v>
      </c>
      <c r="B1281" t="s">
        <v>7246</v>
      </c>
      <c r="C1281" t="s">
        <v>12051</v>
      </c>
      <c r="D1281" t="s">
        <v>12051</v>
      </c>
      <c r="E1281" t="s">
        <v>12051</v>
      </c>
      <c r="G1281" s="13" t="s">
        <v>15545</v>
      </c>
      <c r="H1281" t="s">
        <v>15546</v>
      </c>
      <c r="J1281" t="s">
        <v>15547</v>
      </c>
      <c r="K1281" t="s">
        <v>12056</v>
      </c>
      <c r="L1281" t="s">
        <v>12057</v>
      </c>
      <c r="M1281" t="s">
        <v>7250</v>
      </c>
      <c r="T1281" t="s">
        <v>6546</v>
      </c>
      <c r="U1281" t="s">
        <v>6546</v>
      </c>
      <c r="V1281" t="s">
        <v>6546</v>
      </c>
      <c r="W1281">
        <v>50.24</v>
      </c>
      <c r="X1281">
        <v>50.24</v>
      </c>
      <c r="AB1281" t="s">
        <v>15542</v>
      </c>
      <c r="AC1281" t="s">
        <v>8777</v>
      </c>
      <c r="AF1281" t="s">
        <v>15548</v>
      </c>
      <c r="AI1281" t="s">
        <v>8777</v>
      </c>
      <c r="AO1281" t="s">
        <v>15549</v>
      </c>
    </row>
    <row r="1282" spans="1:41" hidden="1" x14ac:dyDescent="0.35">
      <c r="A1282" t="s">
        <v>15550</v>
      </c>
      <c r="B1282" t="s">
        <v>7246</v>
      </c>
      <c r="C1282" t="s">
        <v>5861</v>
      </c>
      <c r="D1282" t="s">
        <v>5861</v>
      </c>
      <c r="E1282" t="s">
        <v>5861</v>
      </c>
      <c r="G1282" s="13" t="s">
        <v>15551</v>
      </c>
      <c r="H1282" t="s">
        <v>15552</v>
      </c>
      <c r="J1282" t="s">
        <v>15553</v>
      </c>
      <c r="K1282" t="s">
        <v>8694</v>
      </c>
      <c r="L1282" t="s">
        <v>8694</v>
      </c>
      <c r="M1282" t="s">
        <v>7250</v>
      </c>
      <c r="N1282">
        <v>2004</v>
      </c>
      <c r="T1282" t="s">
        <v>6546</v>
      </c>
      <c r="U1282" t="s">
        <v>6546</v>
      </c>
      <c r="V1282">
        <v>255.33</v>
      </c>
      <c r="W1282">
        <v>252.91</v>
      </c>
      <c r="X1282">
        <v>255.33</v>
      </c>
      <c r="Y1282">
        <v>32</v>
      </c>
      <c r="Z1282" t="s">
        <v>7253</v>
      </c>
      <c r="AB1282" t="s">
        <v>8877</v>
      </c>
      <c r="AC1282" t="s">
        <v>8777</v>
      </c>
      <c r="AF1282" t="s">
        <v>11611</v>
      </c>
      <c r="AI1282" t="s">
        <v>8777</v>
      </c>
      <c r="AO1282" t="s">
        <v>15554</v>
      </c>
    </row>
    <row r="1283" spans="1:41" hidden="1" x14ac:dyDescent="0.35">
      <c r="A1283" t="s">
        <v>15555</v>
      </c>
      <c r="B1283" t="s">
        <v>7246</v>
      </c>
      <c r="C1283" t="s">
        <v>5861</v>
      </c>
      <c r="D1283" t="s">
        <v>5861</v>
      </c>
      <c r="E1283" t="s">
        <v>5861</v>
      </c>
      <c r="G1283" s="13" t="s">
        <v>15556</v>
      </c>
      <c r="H1283" t="s">
        <v>15557</v>
      </c>
      <c r="J1283" t="s">
        <v>15558</v>
      </c>
      <c r="K1283" t="s">
        <v>8694</v>
      </c>
      <c r="L1283" t="s">
        <v>8694</v>
      </c>
      <c r="M1283" t="s">
        <v>7250</v>
      </c>
      <c r="T1283" t="s">
        <v>6546</v>
      </c>
      <c r="U1283" t="s">
        <v>6546</v>
      </c>
      <c r="V1283" t="s">
        <v>6546</v>
      </c>
      <c r="W1283">
        <v>104.11</v>
      </c>
      <c r="X1283">
        <v>104.11</v>
      </c>
      <c r="Y1283">
        <v>26</v>
      </c>
      <c r="Z1283" t="s">
        <v>7253</v>
      </c>
      <c r="AB1283" t="s">
        <v>8877</v>
      </c>
      <c r="AC1283" t="s">
        <v>8777</v>
      </c>
      <c r="AF1283" t="s">
        <v>1591</v>
      </c>
      <c r="AI1283" t="s">
        <v>8777</v>
      </c>
      <c r="AO1283" t="s">
        <v>15559</v>
      </c>
    </row>
    <row r="1284" spans="1:41" hidden="1" x14ac:dyDescent="0.35">
      <c r="A1284" t="s">
        <v>15560</v>
      </c>
      <c r="B1284" t="s">
        <v>7246</v>
      </c>
      <c r="C1284" t="s">
        <v>5714</v>
      </c>
      <c r="D1284" t="s">
        <v>5714</v>
      </c>
      <c r="E1284" t="s">
        <v>5714</v>
      </c>
      <c r="G1284" s="13" t="s">
        <v>15561</v>
      </c>
      <c r="H1284" t="s">
        <v>15562</v>
      </c>
      <c r="J1284" t="s">
        <v>15563</v>
      </c>
      <c r="K1284" t="s">
        <v>13601</v>
      </c>
      <c r="L1284" t="s">
        <v>13602</v>
      </c>
      <c r="M1284" t="s">
        <v>7250</v>
      </c>
      <c r="N1284">
        <v>1981</v>
      </c>
      <c r="T1284" t="s">
        <v>6546</v>
      </c>
      <c r="U1284" t="s">
        <v>6546</v>
      </c>
      <c r="V1284">
        <v>42.6</v>
      </c>
      <c r="W1284">
        <v>41.88</v>
      </c>
      <c r="X1284">
        <v>42.6</v>
      </c>
      <c r="Y1284">
        <v>750</v>
      </c>
      <c r="Z1284" t="s">
        <v>8842</v>
      </c>
      <c r="AB1284" t="s">
        <v>15153</v>
      </c>
      <c r="AC1284" t="s">
        <v>8777</v>
      </c>
      <c r="AF1284" t="s">
        <v>15480</v>
      </c>
      <c r="AI1284" t="s">
        <v>8777</v>
      </c>
      <c r="AO1284" t="s">
        <v>15564</v>
      </c>
    </row>
    <row r="1285" spans="1:41" hidden="1" x14ac:dyDescent="0.35">
      <c r="A1285" t="s">
        <v>15565</v>
      </c>
      <c r="B1285" t="s">
        <v>7246</v>
      </c>
      <c r="C1285" t="s">
        <v>12051</v>
      </c>
      <c r="D1285" t="s">
        <v>12051</v>
      </c>
      <c r="E1285" t="s">
        <v>12051</v>
      </c>
      <c r="G1285" s="13" t="s">
        <v>15566</v>
      </c>
      <c r="H1285" t="s">
        <v>15567</v>
      </c>
      <c r="J1285" t="s">
        <v>15568</v>
      </c>
      <c r="K1285" t="s">
        <v>12056</v>
      </c>
      <c r="L1285" t="s">
        <v>12057</v>
      </c>
      <c r="M1285" t="s">
        <v>7250</v>
      </c>
      <c r="T1285" t="s">
        <v>6546</v>
      </c>
      <c r="U1285" t="s">
        <v>6546</v>
      </c>
      <c r="V1285" t="s">
        <v>6546</v>
      </c>
      <c r="W1285">
        <v>192.14</v>
      </c>
      <c r="X1285">
        <v>192.14</v>
      </c>
      <c r="AB1285" t="s">
        <v>15228</v>
      </c>
      <c r="AC1285" t="s">
        <v>8777</v>
      </c>
      <c r="AF1285" t="s">
        <v>15468</v>
      </c>
      <c r="AI1285" t="s">
        <v>8777</v>
      </c>
      <c r="AO1285" t="s">
        <v>15569</v>
      </c>
    </row>
    <row r="1286" spans="1:41" hidden="1" x14ac:dyDescent="0.35">
      <c r="A1286" t="s">
        <v>15570</v>
      </c>
      <c r="B1286" t="s">
        <v>7246</v>
      </c>
      <c r="C1286" t="s">
        <v>12051</v>
      </c>
      <c r="D1286" t="s">
        <v>12051</v>
      </c>
      <c r="E1286" t="s">
        <v>12051</v>
      </c>
      <c r="G1286" s="13" t="s">
        <v>15571</v>
      </c>
      <c r="H1286" t="s">
        <v>15572</v>
      </c>
      <c r="J1286" t="s">
        <v>15573</v>
      </c>
      <c r="K1286" t="s">
        <v>12056</v>
      </c>
      <c r="L1286" t="s">
        <v>12057</v>
      </c>
      <c r="M1286" t="s">
        <v>7250</v>
      </c>
      <c r="T1286" t="s">
        <v>6546</v>
      </c>
      <c r="U1286" t="s">
        <v>6546</v>
      </c>
      <c r="V1286" t="s">
        <v>6546</v>
      </c>
      <c r="W1286">
        <v>149.94999999999999</v>
      </c>
      <c r="X1286">
        <v>149.94999999999999</v>
      </c>
      <c r="AB1286" t="s">
        <v>15228</v>
      </c>
      <c r="AC1286" t="s">
        <v>8777</v>
      </c>
      <c r="AF1286" t="s">
        <v>15574</v>
      </c>
      <c r="AI1286" t="s">
        <v>8777</v>
      </c>
      <c r="AO1286" t="s">
        <v>15575</v>
      </c>
    </row>
    <row r="1287" spans="1:41" hidden="1" x14ac:dyDescent="0.35">
      <c r="A1287" t="s">
        <v>15576</v>
      </c>
      <c r="B1287" t="s">
        <v>7246</v>
      </c>
      <c r="C1287" t="s">
        <v>5714</v>
      </c>
      <c r="D1287" t="s">
        <v>5714</v>
      </c>
      <c r="E1287" t="s">
        <v>5714</v>
      </c>
      <c r="G1287" s="13" t="s">
        <v>15577</v>
      </c>
      <c r="H1287" t="s">
        <v>15578</v>
      </c>
      <c r="J1287" t="s">
        <v>15579</v>
      </c>
      <c r="K1287" t="s">
        <v>13601</v>
      </c>
      <c r="L1287" t="s">
        <v>13602</v>
      </c>
      <c r="M1287" t="s">
        <v>7250</v>
      </c>
      <c r="N1287">
        <v>1975</v>
      </c>
      <c r="T1287" t="s">
        <v>6546</v>
      </c>
      <c r="U1287" t="s">
        <v>6546</v>
      </c>
      <c r="V1287">
        <v>97.8</v>
      </c>
      <c r="W1287">
        <v>77.14</v>
      </c>
      <c r="X1287">
        <v>97.8</v>
      </c>
      <c r="Y1287" t="s">
        <v>15580</v>
      </c>
      <c r="Z1287" t="s">
        <v>8842</v>
      </c>
      <c r="AB1287" t="s">
        <v>15581</v>
      </c>
      <c r="AC1287" t="s">
        <v>8777</v>
      </c>
      <c r="AF1287" t="s">
        <v>15582</v>
      </c>
      <c r="AI1287" t="s">
        <v>8777</v>
      </c>
      <c r="AO1287" t="s">
        <v>15583</v>
      </c>
    </row>
    <row r="1288" spans="1:41" hidden="1" x14ac:dyDescent="0.35">
      <c r="A1288" t="s">
        <v>15584</v>
      </c>
      <c r="B1288" t="s">
        <v>7246</v>
      </c>
      <c r="C1288" t="s">
        <v>5714</v>
      </c>
      <c r="D1288" t="s">
        <v>5714</v>
      </c>
      <c r="E1288" t="s">
        <v>5714</v>
      </c>
      <c r="G1288" s="13" t="s">
        <v>15585</v>
      </c>
      <c r="H1288" t="s">
        <v>15586</v>
      </c>
      <c r="J1288" t="s">
        <v>15587</v>
      </c>
      <c r="K1288" t="s">
        <v>13601</v>
      </c>
      <c r="L1288" t="s">
        <v>13602</v>
      </c>
      <c r="M1288" t="s">
        <v>7250</v>
      </c>
      <c r="N1288">
        <v>1981</v>
      </c>
      <c r="T1288" t="s">
        <v>6546</v>
      </c>
      <c r="U1288" t="s">
        <v>6546</v>
      </c>
      <c r="V1288">
        <v>94</v>
      </c>
      <c r="W1288">
        <v>111.26</v>
      </c>
      <c r="X1288">
        <v>94</v>
      </c>
      <c r="Y1288">
        <v>20</v>
      </c>
      <c r="Z1288" t="s">
        <v>7253</v>
      </c>
      <c r="AB1288" t="s">
        <v>15178</v>
      </c>
      <c r="AC1288" t="s">
        <v>8777</v>
      </c>
      <c r="AF1288" t="s">
        <v>1864</v>
      </c>
      <c r="AI1288" t="s">
        <v>8777</v>
      </c>
      <c r="AO1288" t="s">
        <v>15588</v>
      </c>
    </row>
    <row r="1289" spans="1:41" hidden="1" x14ac:dyDescent="0.35">
      <c r="A1289" t="s">
        <v>15589</v>
      </c>
      <c r="B1289" t="s">
        <v>7246</v>
      </c>
      <c r="C1289" t="s">
        <v>5714</v>
      </c>
      <c r="D1289" t="s">
        <v>5714</v>
      </c>
      <c r="E1289" t="s">
        <v>5714</v>
      </c>
      <c r="G1289" s="13" t="s">
        <v>15590</v>
      </c>
      <c r="H1289" t="s">
        <v>15591</v>
      </c>
      <c r="J1289" t="s">
        <v>15592</v>
      </c>
      <c r="K1289" t="s">
        <v>13601</v>
      </c>
      <c r="L1289" t="s">
        <v>13602</v>
      </c>
      <c r="M1289" t="s">
        <v>7250</v>
      </c>
      <c r="T1289" t="s">
        <v>6546</v>
      </c>
      <c r="U1289" t="s">
        <v>6546</v>
      </c>
      <c r="V1289">
        <v>58.4</v>
      </c>
      <c r="W1289">
        <v>44.65</v>
      </c>
      <c r="X1289">
        <v>58.4</v>
      </c>
      <c r="Y1289">
        <v>42</v>
      </c>
      <c r="Z1289" t="s">
        <v>7253</v>
      </c>
      <c r="AB1289" t="s">
        <v>15454</v>
      </c>
      <c r="AC1289" t="s">
        <v>8777</v>
      </c>
      <c r="AF1289" t="s">
        <v>1864</v>
      </c>
      <c r="AI1289" t="s">
        <v>8777</v>
      </c>
      <c r="AO1289" t="s">
        <v>15593</v>
      </c>
    </row>
    <row r="1290" spans="1:41" hidden="1" x14ac:dyDescent="0.35">
      <c r="A1290" t="s">
        <v>15594</v>
      </c>
      <c r="B1290" t="s">
        <v>7246</v>
      </c>
      <c r="C1290" t="s">
        <v>5591</v>
      </c>
      <c r="D1290" t="s">
        <v>5591</v>
      </c>
      <c r="E1290" t="s">
        <v>5591</v>
      </c>
      <c r="G1290" s="13" t="s">
        <v>15595</v>
      </c>
      <c r="H1290" t="s">
        <v>15596</v>
      </c>
      <c r="J1290" t="s">
        <v>15597</v>
      </c>
      <c r="K1290" t="s">
        <v>11924</v>
      </c>
      <c r="L1290" t="s">
        <v>11925</v>
      </c>
      <c r="M1290" t="s">
        <v>7250</v>
      </c>
      <c r="T1290" t="s">
        <v>6546</v>
      </c>
      <c r="U1290" t="s">
        <v>6546</v>
      </c>
      <c r="V1290" t="s">
        <v>6546</v>
      </c>
      <c r="W1290">
        <v>134.16</v>
      </c>
      <c r="X1290">
        <v>134.16</v>
      </c>
      <c r="Y1290">
        <v>35.43</v>
      </c>
      <c r="Z1290" t="s">
        <v>7253</v>
      </c>
      <c r="AB1290" t="s">
        <v>15598</v>
      </c>
      <c r="AC1290" t="s">
        <v>8777</v>
      </c>
      <c r="AF1290" t="s">
        <v>15599</v>
      </c>
      <c r="AI1290" t="s">
        <v>8777</v>
      </c>
      <c r="AO1290" t="s">
        <v>15600</v>
      </c>
    </row>
    <row r="1291" spans="1:41" hidden="1" x14ac:dyDescent="0.35">
      <c r="A1291" t="s">
        <v>15601</v>
      </c>
      <c r="B1291" t="s">
        <v>7246</v>
      </c>
      <c r="C1291" t="s">
        <v>5613</v>
      </c>
      <c r="D1291" t="s">
        <v>5613</v>
      </c>
      <c r="E1291" t="s">
        <v>5613</v>
      </c>
      <c r="G1291" s="13" t="s">
        <v>15602</v>
      </c>
      <c r="H1291" t="s">
        <v>15603</v>
      </c>
      <c r="J1291" t="s">
        <v>15604</v>
      </c>
      <c r="K1291" t="s">
        <v>15203</v>
      </c>
      <c r="L1291" t="s">
        <v>15204</v>
      </c>
      <c r="M1291" t="s">
        <v>7250</v>
      </c>
      <c r="T1291" t="s">
        <v>6546</v>
      </c>
      <c r="U1291" t="s">
        <v>6546</v>
      </c>
      <c r="V1291" t="s">
        <v>6546</v>
      </c>
      <c r="W1291">
        <v>274.27999999999997</v>
      </c>
      <c r="X1291">
        <v>274.27999999999997</v>
      </c>
      <c r="AB1291" t="s">
        <v>15493</v>
      </c>
      <c r="AC1291" t="s">
        <v>8777</v>
      </c>
      <c r="AF1291" t="s">
        <v>1281</v>
      </c>
      <c r="AI1291" t="s">
        <v>8777</v>
      </c>
      <c r="AO1291" t="s">
        <v>15605</v>
      </c>
    </row>
    <row r="1292" spans="1:41" hidden="1" x14ac:dyDescent="0.35">
      <c r="A1292" t="s">
        <v>15606</v>
      </c>
      <c r="B1292" t="s">
        <v>7246</v>
      </c>
      <c r="C1292" t="s">
        <v>5613</v>
      </c>
      <c r="D1292" t="s">
        <v>5613</v>
      </c>
      <c r="E1292" t="s">
        <v>5613</v>
      </c>
      <c r="G1292" s="13" t="s">
        <v>15607</v>
      </c>
      <c r="H1292" t="s">
        <v>15608</v>
      </c>
      <c r="J1292" t="s">
        <v>15609</v>
      </c>
      <c r="K1292" t="s">
        <v>15203</v>
      </c>
      <c r="L1292" t="s">
        <v>15204</v>
      </c>
      <c r="M1292" t="s">
        <v>7250</v>
      </c>
      <c r="T1292" t="s">
        <v>6546</v>
      </c>
      <c r="U1292" t="s">
        <v>6546</v>
      </c>
      <c r="V1292" t="s">
        <v>6546</v>
      </c>
      <c r="W1292">
        <v>383.67</v>
      </c>
      <c r="X1292">
        <v>383.67</v>
      </c>
      <c r="AB1292" t="s">
        <v>11731</v>
      </c>
      <c r="AC1292" t="s">
        <v>8777</v>
      </c>
      <c r="AF1292" t="s">
        <v>1281</v>
      </c>
      <c r="AI1292" t="s">
        <v>8777</v>
      </c>
      <c r="AO1292" t="s">
        <v>15610</v>
      </c>
    </row>
    <row r="1293" spans="1:41" hidden="1" x14ac:dyDescent="0.35">
      <c r="A1293" t="s">
        <v>15611</v>
      </c>
      <c r="B1293" t="s">
        <v>7246</v>
      </c>
      <c r="C1293" t="s">
        <v>5583</v>
      </c>
      <c r="D1293" t="s">
        <v>5583</v>
      </c>
      <c r="E1293" t="s">
        <v>5583</v>
      </c>
      <c r="G1293" s="13" t="s">
        <v>15612</v>
      </c>
      <c r="H1293" t="s">
        <v>15613</v>
      </c>
      <c r="J1293" t="s">
        <v>15614</v>
      </c>
      <c r="K1293" t="s">
        <v>11898</v>
      </c>
      <c r="L1293" t="s">
        <v>11899</v>
      </c>
      <c r="M1293" t="s">
        <v>7250</v>
      </c>
      <c r="T1293" t="s">
        <v>6546</v>
      </c>
      <c r="U1293" t="s">
        <v>6546</v>
      </c>
      <c r="V1293" t="s">
        <v>6546</v>
      </c>
      <c r="W1293">
        <v>34.4</v>
      </c>
      <c r="X1293">
        <v>34.4</v>
      </c>
      <c r="AB1293" t="s">
        <v>15615</v>
      </c>
      <c r="AC1293" t="s">
        <v>8777</v>
      </c>
      <c r="AF1293" t="s">
        <v>15616</v>
      </c>
      <c r="AI1293" t="s">
        <v>8777</v>
      </c>
      <c r="AO1293" t="s">
        <v>15617</v>
      </c>
    </row>
    <row r="1294" spans="1:41" hidden="1" x14ac:dyDescent="0.35">
      <c r="A1294" t="s">
        <v>15618</v>
      </c>
      <c r="B1294" t="s">
        <v>7246</v>
      </c>
      <c r="C1294" t="s">
        <v>5787</v>
      </c>
      <c r="D1294" t="s">
        <v>5643</v>
      </c>
      <c r="E1294" t="s">
        <v>15619</v>
      </c>
      <c r="G1294" s="13" t="s">
        <v>15620</v>
      </c>
      <c r="H1294" t="s">
        <v>15621</v>
      </c>
      <c r="J1294" t="s">
        <v>15622</v>
      </c>
      <c r="K1294" t="s">
        <v>11716</v>
      </c>
      <c r="L1294" t="s">
        <v>11717</v>
      </c>
      <c r="M1294" t="s">
        <v>7250</v>
      </c>
      <c r="T1294" t="s">
        <v>6546</v>
      </c>
      <c r="U1294" t="s">
        <v>6546</v>
      </c>
      <c r="V1294" t="s">
        <v>6546</v>
      </c>
      <c r="W1294">
        <v>96.71</v>
      </c>
      <c r="X1294">
        <v>96.71</v>
      </c>
      <c r="AB1294" t="s">
        <v>15623</v>
      </c>
      <c r="AC1294" t="s">
        <v>8777</v>
      </c>
      <c r="AF1294" t="s">
        <v>15624</v>
      </c>
      <c r="AI1294" t="s">
        <v>8777</v>
      </c>
      <c r="AO1294" t="s">
        <v>15625</v>
      </c>
    </row>
    <row r="1295" spans="1:41" hidden="1" x14ac:dyDescent="0.35">
      <c r="A1295" t="s">
        <v>15626</v>
      </c>
      <c r="B1295" t="s">
        <v>7246</v>
      </c>
      <c r="C1295" t="s">
        <v>5787</v>
      </c>
      <c r="D1295" t="s">
        <v>5787</v>
      </c>
      <c r="E1295" t="s">
        <v>5787</v>
      </c>
      <c r="G1295" s="13" t="s">
        <v>15627</v>
      </c>
      <c r="H1295" t="s">
        <v>15628</v>
      </c>
      <c r="J1295" t="s">
        <v>15629</v>
      </c>
      <c r="K1295" t="s">
        <v>11716</v>
      </c>
      <c r="L1295" t="s">
        <v>11717</v>
      </c>
      <c r="M1295" t="s">
        <v>7250</v>
      </c>
      <c r="T1295" t="s">
        <v>6546</v>
      </c>
      <c r="U1295" t="s">
        <v>6546</v>
      </c>
      <c r="V1295" t="s">
        <v>6546</v>
      </c>
      <c r="W1295">
        <v>15.06</v>
      </c>
      <c r="X1295">
        <v>15.06</v>
      </c>
      <c r="AB1295" t="s">
        <v>15624</v>
      </c>
      <c r="AC1295" t="s">
        <v>8777</v>
      </c>
      <c r="AF1295" t="s">
        <v>15630</v>
      </c>
      <c r="AI1295" t="s">
        <v>8777</v>
      </c>
      <c r="AO1295" t="s">
        <v>15631</v>
      </c>
    </row>
    <row r="1296" spans="1:41" hidden="1" x14ac:dyDescent="0.35">
      <c r="A1296" t="s">
        <v>15632</v>
      </c>
      <c r="B1296" t="s">
        <v>7246</v>
      </c>
      <c r="C1296" t="s">
        <v>5613</v>
      </c>
      <c r="D1296" t="s">
        <v>5613</v>
      </c>
      <c r="E1296" t="s">
        <v>5613</v>
      </c>
      <c r="G1296" s="13" t="s">
        <v>15633</v>
      </c>
      <c r="H1296" t="s">
        <v>15634</v>
      </c>
      <c r="J1296" t="s">
        <v>15635</v>
      </c>
      <c r="K1296" t="s">
        <v>15203</v>
      </c>
      <c r="L1296" t="s">
        <v>15204</v>
      </c>
      <c r="M1296" t="s">
        <v>7250</v>
      </c>
      <c r="T1296" t="s">
        <v>6546</v>
      </c>
      <c r="U1296" t="s">
        <v>6546</v>
      </c>
      <c r="V1296" t="s">
        <v>6546</v>
      </c>
      <c r="W1296">
        <v>65.08</v>
      </c>
      <c r="X1296">
        <v>65.08</v>
      </c>
      <c r="AB1296" t="s">
        <v>15206</v>
      </c>
      <c r="AC1296" t="s">
        <v>8777</v>
      </c>
      <c r="AF1296" t="s">
        <v>15636</v>
      </c>
      <c r="AI1296" t="s">
        <v>8777</v>
      </c>
      <c r="AO1296" t="s">
        <v>15637</v>
      </c>
    </row>
    <row r="1297" spans="1:41" hidden="1" x14ac:dyDescent="0.35">
      <c r="A1297" t="s">
        <v>15638</v>
      </c>
      <c r="B1297" t="s">
        <v>7246</v>
      </c>
      <c r="C1297" t="s">
        <v>5802</v>
      </c>
      <c r="D1297" t="s">
        <v>5802</v>
      </c>
      <c r="E1297" t="s">
        <v>5802</v>
      </c>
      <c r="G1297" s="13" t="s">
        <v>15639</v>
      </c>
      <c r="H1297" t="s">
        <v>15640</v>
      </c>
      <c r="J1297" t="s">
        <v>15641</v>
      </c>
      <c r="K1297" t="s">
        <v>11195</v>
      </c>
      <c r="L1297" t="s">
        <v>11195</v>
      </c>
      <c r="M1297" t="s">
        <v>7250</v>
      </c>
      <c r="T1297" t="s">
        <v>6546</v>
      </c>
      <c r="U1297" t="s">
        <v>6546</v>
      </c>
      <c r="V1297" t="s">
        <v>6546</v>
      </c>
      <c r="W1297">
        <v>234.92</v>
      </c>
      <c r="X1297">
        <v>234.92</v>
      </c>
      <c r="AB1297" t="s">
        <v>15642</v>
      </c>
      <c r="AC1297" t="s">
        <v>8777</v>
      </c>
      <c r="AF1297" t="s">
        <v>15643</v>
      </c>
      <c r="AI1297" t="s">
        <v>8777</v>
      </c>
      <c r="AO1297" t="s">
        <v>15644</v>
      </c>
    </row>
    <row r="1298" spans="1:41" hidden="1" x14ac:dyDescent="0.35">
      <c r="A1298" t="s">
        <v>15645</v>
      </c>
      <c r="B1298" t="s">
        <v>7246</v>
      </c>
      <c r="C1298" t="s">
        <v>5802</v>
      </c>
      <c r="D1298" t="s">
        <v>5802</v>
      </c>
      <c r="E1298" t="s">
        <v>5802</v>
      </c>
      <c r="G1298" s="13" t="s">
        <v>15646</v>
      </c>
      <c r="H1298" t="s">
        <v>15647</v>
      </c>
      <c r="J1298" t="s">
        <v>15648</v>
      </c>
      <c r="K1298" t="s">
        <v>11195</v>
      </c>
      <c r="L1298" t="s">
        <v>11195</v>
      </c>
      <c r="M1298" t="s">
        <v>7250</v>
      </c>
      <c r="T1298" t="s">
        <v>6546</v>
      </c>
      <c r="U1298" t="s">
        <v>6546</v>
      </c>
      <c r="V1298" t="s">
        <v>6546</v>
      </c>
      <c r="W1298">
        <v>410.5</v>
      </c>
      <c r="X1298">
        <v>410.5</v>
      </c>
      <c r="AB1298" t="s">
        <v>15643</v>
      </c>
      <c r="AC1298" t="s">
        <v>8777</v>
      </c>
      <c r="AF1298" t="s">
        <v>15649</v>
      </c>
      <c r="AI1298" t="s">
        <v>8777</v>
      </c>
      <c r="AO1298" t="s">
        <v>15650</v>
      </c>
    </row>
    <row r="1299" spans="1:41" hidden="1" x14ac:dyDescent="0.35">
      <c r="A1299" t="s">
        <v>15651</v>
      </c>
      <c r="B1299" t="s">
        <v>7246</v>
      </c>
      <c r="C1299" t="s">
        <v>5802</v>
      </c>
      <c r="D1299" t="s">
        <v>5802</v>
      </c>
      <c r="E1299" t="s">
        <v>5802</v>
      </c>
      <c r="G1299" s="13" t="s">
        <v>15652</v>
      </c>
      <c r="H1299" t="s">
        <v>15653</v>
      </c>
      <c r="J1299" t="s">
        <v>15654</v>
      </c>
      <c r="K1299" t="s">
        <v>11195</v>
      </c>
      <c r="L1299" t="s">
        <v>11195</v>
      </c>
      <c r="M1299" t="s">
        <v>7250</v>
      </c>
      <c r="T1299" t="s">
        <v>6546</v>
      </c>
      <c r="U1299" t="s">
        <v>6546</v>
      </c>
      <c r="V1299" t="s">
        <v>6546</v>
      </c>
      <c r="W1299">
        <v>92.05</v>
      </c>
      <c r="X1299">
        <v>92.05</v>
      </c>
      <c r="AB1299" t="s">
        <v>15046</v>
      </c>
      <c r="AC1299" t="s">
        <v>8777</v>
      </c>
      <c r="AF1299" t="s">
        <v>15655</v>
      </c>
      <c r="AI1299" t="s">
        <v>8777</v>
      </c>
      <c r="AO1299" t="s">
        <v>15656</v>
      </c>
    </row>
    <row r="1300" spans="1:41" hidden="1" x14ac:dyDescent="0.35">
      <c r="A1300" t="s">
        <v>15657</v>
      </c>
      <c r="B1300" t="s">
        <v>7246</v>
      </c>
      <c r="C1300" t="s">
        <v>5802</v>
      </c>
      <c r="D1300" t="s">
        <v>5802</v>
      </c>
      <c r="E1300" t="s">
        <v>5802</v>
      </c>
      <c r="G1300" s="13" t="s">
        <v>15658</v>
      </c>
      <c r="H1300" t="s">
        <v>15659</v>
      </c>
      <c r="J1300" t="s">
        <v>15660</v>
      </c>
      <c r="K1300" t="s">
        <v>11195</v>
      </c>
      <c r="L1300" t="s">
        <v>11195</v>
      </c>
      <c r="M1300" t="s">
        <v>7250</v>
      </c>
      <c r="T1300" t="s">
        <v>6546</v>
      </c>
      <c r="U1300" t="s">
        <v>6546</v>
      </c>
      <c r="V1300" t="s">
        <v>6546</v>
      </c>
      <c r="W1300">
        <v>146.93</v>
      </c>
      <c r="X1300">
        <v>146.93</v>
      </c>
      <c r="AB1300" t="s">
        <v>15661</v>
      </c>
      <c r="AC1300" t="s">
        <v>8777</v>
      </c>
      <c r="AF1300" t="s">
        <v>15662</v>
      </c>
      <c r="AI1300" t="s">
        <v>8777</v>
      </c>
      <c r="AO1300" t="s">
        <v>15663</v>
      </c>
    </row>
    <row r="1301" spans="1:41" hidden="1" x14ac:dyDescent="0.35">
      <c r="A1301" t="s">
        <v>15664</v>
      </c>
      <c r="B1301" t="s">
        <v>7246</v>
      </c>
      <c r="C1301" t="s">
        <v>5802</v>
      </c>
      <c r="D1301" t="s">
        <v>5802</v>
      </c>
      <c r="E1301" t="s">
        <v>5802</v>
      </c>
      <c r="G1301" s="13" t="s">
        <v>15665</v>
      </c>
      <c r="H1301" t="s">
        <v>15666</v>
      </c>
      <c r="J1301" t="s">
        <v>15667</v>
      </c>
      <c r="K1301" t="s">
        <v>11195</v>
      </c>
      <c r="L1301" t="s">
        <v>11195</v>
      </c>
      <c r="M1301" t="s">
        <v>7250</v>
      </c>
      <c r="T1301" t="s">
        <v>6546</v>
      </c>
      <c r="U1301" t="s">
        <v>6546</v>
      </c>
      <c r="V1301" t="s">
        <v>6546</v>
      </c>
      <c r="W1301">
        <v>155.61000000000001</v>
      </c>
      <c r="X1301">
        <v>155.61000000000001</v>
      </c>
      <c r="AB1301" t="s">
        <v>15668</v>
      </c>
      <c r="AC1301" t="s">
        <v>8777</v>
      </c>
      <c r="AF1301" t="s">
        <v>15669</v>
      </c>
      <c r="AI1301" t="s">
        <v>8777</v>
      </c>
      <c r="AO1301" t="s">
        <v>15670</v>
      </c>
    </row>
    <row r="1302" spans="1:41" hidden="1" x14ac:dyDescent="0.35">
      <c r="A1302" t="s">
        <v>15671</v>
      </c>
      <c r="B1302" t="s">
        <v>7246</v>
      </c>
      <c r="C1302" t="s">
        <v>5802</v>
      </c>
      <c r="D1302" t="s">
        <v>5802</v>
      </c>
      <c r="E1302" t="s">
        <v>5802</v>
      </c>
      <c r="G1302" s="13" t="s">
        <v>15672</v>
      </c>
      <c r="H1302" t="s">
        <v>15673</v>
      </c>
      <c r="J1302" t="s">
        <v>15674</v>
      </c>
      <c r="K1302" t="s">
        <v>11195</v>
      </c>
      <c r="L1302" t="s">
        <v>11195</v>
      </c>
      <c r="M1302" t="s">
        <v>7250</v>
      </c>
      <c r="T1302" t="s">
        <v>6546</v>
      </c>
      <c r="U1302" t="s">
        <v>6546</v>
      </c>
      <c r="V1302" t="s">
        <v>6546</v>
      </c>
      <c r="W1302">
        <v>149.97999999999999</v>
      </c>
      <c r="X1302">
        <v>149.97999999999999</v>
      </c>
      <c r="AB1302" t="s">
        <v>15675</v>
      </c>
      <c r="AC1302" t="s">
        <v>8777</v>
      </c>
      <c r="AF1302" t="s">
        <v>13761</v>
      </c>
      <c r="AI1302" t="s">
        <v>8777</v>
      </c>
      <c r="AO1302" t="s">
        <v>15676</v>
      </c>
    </row>
    <row r="1303" spans="1:41" hidden="1" x14ac:dyDescent="0.35">
      <c r="A1303" t="s">
        <v>15677</v>
      </c>
      <c r="B1303" t="s">
        <v>7246</v>
      </c>
      <c r="C1303" t="s">
        <v>5802</v>
      </c>
      <c r="D1303" t="s">
        <v>5802</v>
      </c>
      <c r="E1303" t="s">
        <v>5802</v>
      </c>
      <c r="G1303" s="13" t="s">
        <v>15678</v>
      </c>
      <c r="H1303" t="s">
        <v>15679</v>
      </c>
      <c r="J1303" t="s">
        <v>15680</v>
      </c>
      <c r="K1303" t="s">
        <v>11195</v>
      </c>
      <c r="L1303" t="s">
        <v>11195</v>
      </c>
      <c r="M1303" t="s">
        <v>7250</v>
      </c>
      <c r="T1303" t="s">
        <v>6546</v>
      </c>
      <c r="U1303" t="s">
        <v>6546</v>
      </c>
      <c r="V1303" t="s">
        <v>6546</v>
      </c>
      <c r="W1303">
        <v>181.41</v>
      </c>
      <c r="X1303">
        <v>181.41</v>
      </c>
      <c r="AB1303" t="s">
        <v>15681</v>
      </c>
      <c r="AC1303" t="s">
        <v>8777</v>
      </c>
      <c r="AF1303" t="s">
        <v>15649</v>
      </c>
      <c r="AI1303" t="s">
        <v>8777</v>
      </c>
      <c r="AO1303" t="s">
        <v>15682</v>
      </c>
    </row>
    <row r="1304" spans="1:41" hidden="1" x14ac:dyDescent="0.35">
      <c r="A1304" t="s">
        <v>15683</v>
      </c>
      <c r="B1304" t="s">
        <v>7246</v>
      </c>
      <c r="C1304" t="s">
        <v>5802</v>
      </c>
      <c r="D1304" t="s">
        <v>5802</v>
      </c>
      <c r="E1304" t="s">
        <v>5802</v>
      </c>
      <c r="G1304" s="13" t="s">
        <v>15684</v>
      </c>
      <c r="H1304" t="s">
        <v>15685</v>
      </c>
      <c r="J1304" t="s">
        <v>15686</v>
      </c>
      <c r="K1304" t="s">
        <v>11195</v>
      </c>
      <c r="L1304" t="s">
        <v>11195</v>
      </c>
      <c r="M1304" t="s">
        <v>7250</v>
      </c>
      <c r="T1304" t="s">
        <v>6546</v>
      </c>
      <c r="U1304" t="s">
        <v>6546</v>
      </c>
      <c r="V1304" t="s">
        <v>6546</v>
      </c>
      <c r="W1304">
        <v>29.66</v>
      </c>
      <c r="X1304">
        <v>29.66</v>
      </c>
      <c r="AB1304" t="s">
        <v>15681</v>
      </c>
      <c r="AC1304" t="s">
        <v>8777</v>
      </c>
      <c r="AF1304" t="s">
        <v>15687</v>
      </c>
      <c r="AI1304" t="s">
        <v>8777</v>
      </c>
      <c r="AO1304" t="s">
        <v>15688</v>
      </c>
    </row>
    <row r="1305" spans="1:41" hidden="1" x14ac:dyDescent="0.35">
      <c r="A1305" t="s">
        <v>15689</v>
      </c>
      <c r="B1305" t="s">
        <v>7246</v>
      </c>
      <c r="C1305" t="s">
        <v>5643</v>
      </c>
      <c r="D1305" t="s">
        <v>5643</v>
      </c>
      <c r="E1305" t="s">
        <v>5643</v>
      </c>
      <c r="G1305" s="13" t="s">
        <v>15690</v>
      </c>
      <c r="H1305" t="s">
        <v>15691</v>
      </c>
      <c r="J1305" t="s">
        <v>15692</v>
      </c>
      <c r="K1305" t="s">
        <v>15693</v>
      </c>
      <c r="L1305" t="s">
        <v>15694</v>
      </c>
      <c r="M1305" t="s">
        <v>7250</v>
      </c>
      <c r="N1305">
        <v>1993</v>
      </c>
      <c r="T1305" t="s">
        <v>6546</v>
      </c>
      <c r="U1305" t="s">
        <v>6546</v>
      </c>
      <c r="V1305" t="s">
        <v>6546</v>
      </c>
      <c r="W1305">
        <v>142.58000000000001</v>
      </c>
      <c r="X1305">
        <v>142.58000000000001</v>
      </c>
      <c r="Y1305">
        <v>43.31</v>
      </c>
      <c r="Z1305" t="s">
        <v>7253</v>
      </c>
      <c r="AB1305" t="s">
        <v>11851</v>
      </c>
      <c r="AC1305" t="s">
        <v>8777</v>
      </c>
      <c r="AF1305" t="s">
        <v>15695</v>
      </c>
      <c r="AI1305" t="s">
        <v>8777</v>
      </c>
      <c r="AO1305" t="s">
        <v>15696</v>
      </c>
    </row>
    <row r="1306" spans="1:41" hidden="1" x14ac:dyDescent="0.35">
      <c r="A1306" t="s">
        <v>15697</v>
      </c>
      <c r="B1306" t="s">
        <v>7246</v>
      </c>
      <c r="C1306" t="s">
        <v>5643</v>
      </c>
      <c r="D1306" t="s">
        <v>5643</v>
      </c>
      <c r="E1306" t="s">
        <v>5643</v>
      </c>
      <c r="G1306" s="13" t="s">
        <v>15698</v>
      </c>
      <c r="H1306" t="s">
        <v>15699</v>
      </c>
      <c r="J1306" t="s">
        <v>15700</v>
      </c>
      <c r="K1306" t="s">
        <v>13452</v>
      </c>
      <c r="L1306" t="s">
        <v>13453</v>
      </c>
      <c r="M1306" t="s">
        <v>7250</v>
      </c>
      <c r="T1306" t="s">
        <v>6546</v>
      </c>
      <c r="U1306" t="s">
        <v>6546</v>
      </c>
      <c r="V1306" t="s">
        <v>6546</v>
      </c>
      <c r="W1306">
        <v>8.1300000000000008</v>
      </c>
      <c r="X1306">
        <v>8.1300000000000008</v>
      </c>
      <c r="AB1306" t="s">
        <v>3327</v>
      </c>
      <c r="AC1306" t="s">
        <v>8777</v>
      </c>
      <c r="AF1306" t="s">
        <v>15701</v>
      </c>
      <c r="AI1306" t="s">
        <v>8777</v>
      </c>
      <c r="AO1306" t="s">
        <v>15702</v>
      </c>
    </row>
    <row r="1307" spans="1:41" hidden="1" x14ac:dyDescent="0.35">
      <c r="A1307" t="s">
        <v>15703</v>
      </c>
      <c r="B1307" t="s">
        <v>7246</v>
      </c>
      <c r="C1307" t="s">
        <v>5643</v>
      </c>
      <c r="D1307" t="s">
        <v>5643</v>
      </c>
      <c r="E1307" t="s">
        <v>5643</v>
      </c>
      <c r="G1307" s="13" t="s">
        <v>15704</v>
      </c>
      <c r="H1307" t="s">
        <v>15705</v>
      </c>
      <c r="J1307" t="s">
        <v>15706</v>
      </c>
      <c r="K1307" t="s">
        <v>9565</v>
      </c>
      <c r="L1307" t="s">
        <v>9566</v>
      </c>
      <c r="M1307" t="s">
        <v>7250</v>
      </c>
      <c r="T1307" t="s">
        <v>6546</v>
      </c>
      <c r="U1307" t="s">
        <v>6546</v>
      </c>
      <c r="V1307" t="s">
        <v>6546</v>
      </c>
      <c r="W1307">
        <v>50.59</v>
      </c>
      <c r="X1307">
        <v>50.59</v>
      </c>
      <c r="Y1307">
        <v>15.75</v>
      </c>
      <c r="Z1307" t="s">
        <v>7253</v>
      </c>
      <c r="AB1307" t="s">
        <v>1315</v>
      </c>
      <c r="AC1307" t="s">
        <v>8777</v>
      </c>
      <c r="AF1307" t="s">
        <v>3327</v>
      </c>
      <c r="AI1307" t="s">
        <v>8777</v>
      </c>
      <c r="AO1307" t="s">
        <v>15707</v>
      </c>
    </row>
    <row r="1308" spans="1:41" hidden="1" x14ac:dyDescent="0.35">
      <c r="A1308" t="s">
        <v>15708</v>
      </c>
      <c r="B1308" t="s">
        <v>7246</v>
      </c>
      <c r="C1308" t="s">
        <v>5613</v>
      </c>
      <c r="D1308" t="s">
        <v>5613</v>
      </c>
      <c r="E1308" t="s">
        <v>5613</v>
      </c>
      <c r="G1308" s="13" t="s">
        <v>15709</v>
      </c>
      <c r="H1308" t="s">
        <v>15710</v>
      </c>
      <c r="J1308" t="s">
        <v>15711</v>
      </c>
      <c r="K1308" t="s">
        <v>15203</v>
      </c>
      <c r="L1308" t="s">
        <v>15204</v>
      </c>
      <c r="M1308" t="s">
        <v>7250</v>
      </c>
      <c r="T1308" t="s">
        <v>6546</v>
      </c>
      <c r="U1308" t="s">
        <v>6546</v>
      </c>
      <c r="V1308" t="s">
        <v>6546</v>
      </c>
      <c r="W1308">
        <v>90.38</v>
      </c>
      <c r="X1308">
        <v>90.38</v>
      </c>
      <c r="AB1308" t="s">
        <v>15712</v>
      </c>
      <c r="AC1308" t="s">
        <v>8777</v>
      </c>
      <c r="AF1308" t="s">
        <v>15205</v>
      </c>
      <c r="AI1308" t="s">
        <v>8777</v>
      </c>
      <c r="AO1308" t="s">
        <v>15713</v>
      </c>
    </row>
    <row r="1309" spans="1:41" hidden="1" x14ac:dyDescent="0.35">
      <c r="A1309" t="s">
        <v>15714</v>
      </c>
      <c r="B1309" t="s">
        <v>7246</v>
      </c>
      <c r="C1309" t="s">
        <v>5787</v>
      </c>
      <c r="D1309" t="s">
        <v>5787</v>
      </c>
      <c r="E1309" t="s">
        <v>5787</v>
      </c>
      <c r="G1309" s="13" t="s">
        <v>15715</v>
      </c>
      <c r="H1309" t="s">
        <v>15716</v>
      </c>
      <c r="J1309" t="s">
        <v>15717</v>
      </c>
      <c r="K1309" t="s">
        <v>11716</v>
      </c>
      <c r="L1309" t="s">
        <v>11717</v>
      </c>
      <c r="M1309" t="s">
        <v>7250</v>
      </c>
      <c r="T1309" t="s">
        <v>6546</v>
      </c>
      <c r="U1309" t="s">
        <v>6546</v>
      </c>
      <c r="V1309" t="s">
        <v>6546</v>
      </c>
      <c r="W1309">
        <v>110.22</v>
      </c>
      <c r="X1309">
        <v>110.22</v>
      </c>
      <c r="AB1309" t="s">
        <v>15718</v>
      </c>
      <c r="AC1309" t="s">
        <v>8777</v>
      </c>
      <c r="AF1309" t="s">
        <v>15719</v>
      </c>
      <c r="AI1309" t="s">
        <v>8777</v>
      </c>
      <c r="AO1309" t="s">
        <v>15720</v>
      </c>
    </row>
    <row r="1310" spans="1:41" hidden="1" x14ac:dyDescent="0.35">
      <c r="A1310" t="s">
        <v>15721</v>
      </c>
      <c r="B1310" t="s">
        <v>7246</v>
      </c>
      <c r="C1310" t="s">
        <v>5643</v>
      </c>
      <c r="D1310" t="s">
        <v>5643</v>
      </c>
      <c r="E1310" t="s">
        <v>5643</v>
      </c>
      <c r="G1310" s="13" t="s">
        <v>15722</v>
      </c>
      <c r="H1310" t="s">
        <v>15723</v>
      </c>
      <c r="J1310" t="s">
        <v>15724</v>
      </c>
      <c r="K1310" t="s">
        <v>15725</v>
      </c>
      <c r="L1310" t="s">
        <v>15726</v>
      </c>
      <c r="M1310" t="s">
        <v>7250</v>
      </c>
      <c r="T1310" t="s">
        <v>6546</v>
      </c>
      <c r="U1310" t="s">
        <v>6546</v>
      </c>
      <c r="V1310" t="s">
        <v>6546</v>
      </c>
      <c r="W1310">
        <v>160.37</v>
      </c>
      <c r="X1310">
        <v>160.37</v>
      </c>
      <c r="Y1310">
        <v>600</v>
      </c>
      <c r="Z1310" t="s">
        <v>8842</v>
      </c>
      <c r="AB1310" t="s">
        <v>13447</v>
      </c>
      <c r="AC1310" t="s">
        <v>8777</v>
      </c>
      <c r="AF1310" t="s">
        <v>15727</v>
      </c>
      <c r="AI1310" t="s">
        <v>8777</v>
      </c>
      <c r="AO1310" t="s">
        <v>15728</v>
      </c>
    </row>
    <row r="1311" spans="1:41" hidden="1" x14ac:dyDescent="0.35">
      <c r="A1311" t="s">
        <v>15729</v>
      </c>
      <c r="B1311" t="s">
        <v>7246</v>
      </c>
      <c r="C1311" t="s">
        <v>5566</v>
      </c>
      <c r="D1311" t="s">
        <v>5566</v>
      </c>
      <c r="E1311" t="s">
        <v>5566</v>
      </c>
      <c r="G1311" s="13" t="s">
        <v>15730</v>
      </c>
      <c r="H1311" t="s">
        <v>15731</v>
      </c>
      <c r="J1311" t="s">
        <v>15732</v>
      </c>
      <c r="K1311" t="s">
        <v>11559</v>
      </c>
      <c r="L1311" t="s">
        <v>11560</v>
      </c>
      <c r="M1311" t="s">
        <v>7250</v>
      </c>
      <c r="T1311" t="s">
        <v>6546</v>
      </c>
      <c r="U1311" t="s">
        <v>6546</v>
      </c>
      <c r="V1311" t="s">
        <v>6546</v>
      </c>
      <c r="W1311">
        <v>115.26</v>
      </c>
      <c r="X1311">
        <v>115.26</v>
      </c>
      <c r="AB1311" t="s">
        <v>1703</v>
      </c>
      <c r="AC1311" t="s">
        <v>8777</v>
      </c>
      <c r="AF1311" t="s">
        <v>15733</v>
      </c>
      <c r="AI1311" t="s">
        <v>8777</v>
      </c>
      <c r="AO1311" t="s">
        <v>15734</v>
      </c>
    </row>
    <row r="1312" spans="1:41" hidden="1" x14ac:dyDescent="0.35">
      <c r="A1312" t="s">
        <v>15735</v>
      </c>
      <c r="B1312" t="s">
        <v>7246</v>
      </c>
      <c r="C1312" t="s">
        <v>5566</v>
      </c>
      <c r="D1312" t="s">
        <v>5566</v>
      </c>
      <c r="E1312" t="s">
        <v>5566</v>
      </c>
      <c r="G1312" s="13" t="s">
        <v>15736</v>
      </c>
      <c r="H1312" t="s">
        <v>15737</v>
      </c>
      <c r="J1312" t="s">
        <v>15738</v>
      </c>
      <c r="K1312" t="s">
        <v>11559</v>
      </c>
      <c r="L1312" t="s">
        <v>11560</v>
      </c>
      <c r="M1312" t="s">
        <v>7250</v>
      </c>
      <c r="T1312" t="s">
        <v>6546</v>
      </c>
      <c r="U1312" t="s">
        <v>6546</v>
      </c>
      <c r="V1312" t="s">
        <v>6546</v>
      </c>
      <c r="W1312">
        <v>198.44</v>
      </c>
      <c r="X1312">
        <v>198.44</v>
      </c>
      <c r="AB1312" t="s">
        <v>1703</v>
      </c>
      <c r="AC1312" t="s">
        <v>8777</v>
      </c>
      <c r="AF1312" t="s">
        <v>15316</v>
      </c>
      <c r="AI1312" t="s">
        <v>8777</v>
      </c>
      <c r="AO1312" t="s">
        <v>15739</v>
      </c>
    </row>
    <row r="1313" spans="1:41" hidden="1" x14ac:dyDescent="0.35">
      <c r="A1313" t="s">
        <v>15740</v>
      </c>
      <c r="B1313" t="s">
        <v>7246</v>
      </c>
      <c r="C1313" t="s">
        <v>5714</v>
      </c>
      <c r="D1313" t="s">
        <v>5714</v>
      </c>
      <c r="E1313" t="s">
        <v>5714</v>
      </c>
      <c r="G1313" s="13" t="s">
        <v>15741</v>
      </c>
      <c r="H1313" t="s">
        <v>15742</v>
      </c>
      <c r="J1313" t="s">
        <v>15743</v>
      </c>
      <c r="K1313" t="s">
        <v>13601</v>
      </c>
      <c r="L1313" t="s">
        <v>13602</v>
      </c>
      <c r="M1313" t="s">
        <v>7250</v>
      </c>
      <c r="N1313">
        <v>1972</v>
      </c>
      <c r="T1313" t="s">
        <v>6546</v>
      </c>
      <c r="U1313" t="s">
        <v>6546</v>
      </c>
      <c r="V1313">
        <v>61.9</v>
      </c>
      <c r="W1313">
        <v>73.67</v>
      </c>
      <c r="X1313">
        <v>61.9</v>
      </c>
      <c r="Y1313">
        <v>22</v>
      </c>
      <c r="Z1313" t="s">
        <v>7253</v>
      </c>
      <c r="AB1313" t="s">
        <v>15744</v>
      </c>
      <c r="AC1313" t="s">
        <v>8777</v>
      </c>
      <c r="AF1313" t="s">
        <v>15745</v>
      </c>
      <c r="AI1313" t="s">
        <v>8777</v>
      </c>
      <c r="AO1313" t="s">
        <v>15746</v>
      </c>
    </row>
    <row r="1314" spans="1:41" hidden="1" x14ac:dyDescent="0.35">
      <c r="A1314" t="s">
        <v>15747</v>
      </c>
      <c r="B1314" t="s">
        <v>7246</v>
      </c>
      <c r="C1314" t="s">
        <v>5643</v>
      </c>
      <c r="D1314" t="s">
        <v>5643</v>
      </c>
      <c r="E1314" t="s">
        <v>5643</v>
      </c>
      <c r="G1314" s="13" t="s">
        <v>15748</v>
      </c>
      <c r="H1314" t="s">
        <v>15749</v>
      </c>
      <c r="J1314" t="s">
        <v>15750</v>
      </c>
      <c r="K1314" t="s">
        <v>13452</v>
      </c>
      <c r="L1314" t="s">
        <v>13453</v>
      </c>
      <c r="M1314" t="s">
        <v>7250</v>
      </c>
      <c r="N1314">
        <v>1993</v>
      </c>
      <c r="T1314" t="s">
        <v>6546</v>
      </c>
      <c r="U1314" t="s">
        <v>6546</v>
      </c>
      <c r="V1314">
        <v>77</v>
      </c>
      <c r="W1314">
        <v>70.27</v>
      </c>
      <c r="X1314">
        <v>77</v>
      </c>
      <c r="Y1314">
        <v>39.369999999999997</v>
      </c>
      <c r="Z1314" t="s">
        <v>7253</v>
      </c>
      <c r="AB1314" t="s">
        <v>13447</v>
      </c>
      <c r="AC1314" t="s">
        <v>8777</v>
      </c>
      <c r="AF1314" t="s">
        <v>15751</v>
      </c>
      <c r="AI1314" t="s">
        <v>8777</v>
      </c>
      <c r="AO1314" t="s">
        <v>15752</v>
      </c>
    </row>
    <row r="1315" spans="1:41" hidden="1" x14ac:dyDescent="0.35">
      <c r="A1315" t="s">
        <v>15753</v>
      </c>
      <c r="B1315" t="s">
        <v>7246</v>
      </c>
      <c r="C1315" t="s">
        <v>5613</v>
      </c>
      <c r="D1315" t="s">
        <v>5613</v>
      </c>
      <c r="E1315" t="s">
        <v>5613</v>
      </c>
      <c r="G1315" s="13" t="s">
        <v>15754</v>
      </c>
      <c r="H1315" t="s">
        <v>15755</v>
      </c>
      <c r="J1315" t="s">
        <v>15756</v>
      </c>
      <c r="K1315" t="s">
        <v>15203</v>
      </c>
      <c r="L1315" t="s">
        <v>15204</v>
      </c>
      <c r="M1315" t="s">
        <v>7250</v>
      </c>
      <c r="T1315" t="s">
        <v>6546</v>
      </c>
      <c r="U1315" t="s">
        <v>6546</v>
      </c>
      <c r="V1315" t="s">
        <v>6546</v>
      </c>
      <c r="W1315">
        <v>202.95</v>
      </c>
      <c r="X1315">
        <v>202.95</v>
      </c>
      <c r="Y1315">
        <v>24.02</v>
      </c>
      <c r="Z1315" t="s">
        <v>7253</v>
      </c>
      <c r="AB1315" t="s">
        <v>15757</v>
      </c>
      <c r="AC1315" t="s">
        <v>8777</v>
      </c>
      <c r="AF1315" t="s">
        <v>15636</v>
      </c>
      <c r="AI1315" t="s">
        <v>8777</v>
      </c>
      <c r="AO1315" t="s">
        <v>15758</v>
      </c>
    </row>
    <row r="1316" spans="1:41" hidden="1" x14ac:dyDescent="0.35">
      <c r="A1316" t="s">
        <v>15759</v>
      </c>
      <c r="B1316" t="s">
        <v>7246</v>
      </c>
      <c r="C1316" t="s">
        <v>5714</v>
      </c>
      <c r="D1316" t="s">
        <v>5714</v>
      </c>
      <c r="E1316" t="s">
        <v>5714</v>
      </c>
      <c r="G1316" s="13" t="s">
        <v>15760</v>
      </c>
      <c r="H1316" t="s">
        <v>15761</v>
      </c>
      <c r="J1316" t="s">
        <v>15762</v>
      </c>
      <c r="K1316" t="s">
        <v>13601</v>
      </c>
      <c r="L1316" t="s">
        <v>13602</v>
      </c>
      <c r="M1316" t="s">
        <v>7250</v>
      </c>
      <c r="N1316">
        <v>1993</v>
      </c>
      <c r="T1316" t="s">
        <v>6546</v>
      </c>
      <c r="U1316" t="s">
        <v>6546</v>
      </c>
      <c r="V1316">
        <v>65.7</v>
      </c>
      <c r="W1316">
        <v>88.84</v>
      </c>
      <c r="X1316">
        <v>65.7</v>
      </c>
      <c r="Y1316">
        <v>47.99</v>
      </c>
      <c r="Z1316" t="s">
        <v>7253</v>
      </c>
      <c r="AB1316" t="s">
        <v>15434</v>
      </c>
      <c r="AC1316" t="s">
        <v>8777</v>
      </c>
      <c r="AF1316" t="s">
        <v>15763</v>
      </c>
      <c r="AI1316" t="s">
        <v>8777</v>
      </c>
      <c r="AO1316" t="s">
        <v>15764</v>
      </c>
    </row>
    <row r="1317" spans="1:41" hidden="1" x14ac:dyDescent="0.35">
      <c r="A1317" t="s">
        <v>15765</v>
      </c>
      <c r="B1317" t="s">
        <v>7246</v>
      </c>
      <c r="C1317" t="s">
        <v>5714</v>
      </c>
      <c r="D1317" t="s">
        <v>5714</v>
      </c>
      <c r="E1317" t="s">
        <v>5714</v>
      </c>
      <c r="G1317" s="13" t="s">
        <v>15766</v>
      </c>
      <c r="H1317" t="s">
        <v>15767</v>
      </c>
      <c r="J1317" t="s">
        <v>15768</v>
      </c>
      <c r="K1317" t="s">
        <v>13601</v>
      </c>
      <c r="L1317" t="s">
        <v>13602</v>
      </c>
      <c r="M1317" t="s">
        <v>7250</v>
      </c>
      <c r="N1317">
        <v>1994</v>
      </c>
      <c r="T1317" t="s">
        <v>6546</v>
      </c>
      <c r="U1317" t="s">
        <v>6546</v>
      </c>
      <c r="V1317">
        <v>82.4</v>
      </c>
      <c r="W1317">
        <v>71.17</v>
      </c>
      <c r="X1317">
        <v>82.4</v>
      </c>
      <c r="Y1317">
        <v>47.99</v>
      </c>
      <c r="Z1317" t="s">
        <v>7253</v>
      </c>
      <c r="AB1317" t="s">
        <v>15769</v>
      </c>
      <c r="AC1317" t="s">
        <v>8777</v>
      </c>
      <c r="AF1317" t="s">
        <v>15770</v>
      </c>
      <c r="AI1317" t="s">
        <v>8777</v>
      </c>
      <c r="AO1317" t="s">
        <v>15771</v>
      </c>
    </row>
    <row r="1318" spans="1:41" hidden="1" x14ac:dyDescent="0.35">
      <c r="A1318" t="s">
        <v>15772</v>
      </c>
      <c r="B1318" t="s">
        <v>7246</v>
      </c>
      <c r="C1318" t="s">
        <v>5802</v>
      </c>
      <c r="D1318" t="s">
        <v>5802</v>
      </c>
      <c r="E1318" t="s">
        <v>5802</v>
      </c>
      <c r="G1318" s="13" t="s">
        <v>15773</v>
      </c>
      <c r="H1318" t="s">
        <v>15774</v>
      </c>
      <c r="J1318" t="s">
        <v>15775</v>
      </c>
      <c r="K1318" t="s">
        <v>11195</v>
      </c>
      <c r="L1318" t="s">
        <v>11195</v>
      </c>
      <c r="M1318" t="s">
        <v>7250</v>
      </c>
      <c r="T1318" t="s">
        <v>6546</v>
      </c>
      <c r="U1318" t="s">
        <v>6546</v>
      </c>
      <c r="V1318" t="s">
        <v>6546</v>
      </c>
      <c r="W1318">
        <v>278.33</v>
      </c>
      <c r="X1318">
        <v>278.33</v>
      </c>
      <c r="AB1318" t="s">
        <v>15776</v>
      </c>
      <c r="AC1318" t="s">
        <v>8777</v>
      </c>
      <c r="AF1318" t="s">
        <v>9385</v>
      </c>
      <c r="AI1318" t="s">
        <v>8777</v>
      </c>
      <c r="AO1318" t="s">
        <v>15777</v>
      </c>
    </row>
    <row r="1319" spans="1:41" hidden="1" x14ac:dyDescent="0.35">
      <c r="A1319" t="s">
        <v>15778</v>
      </c>
      <c r="B1319" t="s">
        <v>7246</v>
      </c>
      <c r="C1319" t="s">
        <v>12051</v>
      </c>
      <c r="D1319" t="s">
        <v>12051</v>
      </c>
      <c r="E1319" t="s">
        <v>12051</v>
      </c>
      <c r="G1319" s="13" t="s">
        <v>15779</v>
      </c>
      <c r="H1319" t="s">
        <v>15780</v>
      </c>
      <c r="J1319" t="s">
        <v>15781</v>
      </c>
      <c r="K1319" t="s">
        <v>12056</v>
      </c>
      <c r="L1319" t="s">
        <v>12057</v>
      </c>
      <c r="M1319" t="s">
        <v>7250</v>
      </c>
      <c r="T1319" t="s">
        <v>6546</v>
      </c>
      <c r="U1319" t="s">
        <v>6546</v>
      </c>
      <c r="V1319" t="s">
        <v>6546</v>
      </c>
      <c r="W1319">
        <v>66.11</v>
      </c>
      <c r="X1319">
        <v>66.11</v>
      </c>
      <c r="AB1319" t="s">
        <v>15284</v>
      </c>
      <c r="AC1319" t="s">
        <v>8777</v>
      </c>
      <c r="AF1319" t="s">
        <v>6373</v>
      </c>
      <c r="AI1319" t="s">
        <v>8777</v>
      </c>
      <c r="AO1319" t="s">
        <v>15782</v>
      </c>
    </row>
    <row r="1320" spans="1:41" hidden="1" x14ac:dyDescent="0.35">
      <c r="A1320" t="s">
        <v>15783</v>
      </c>
      <c r="B1320" t="s">
        <v>7246</v>
      </c>
      <c r="C1320" t="s">
        <v>5566</v>
      </c>
      <c r="D1320" t="s">
        <v>5787</v>
      </c>
      <c r="E1320" t="s">
        <v>15784</v>
      </c>
      <c r="G1320" s="13" t="s">
        <v>15785</v>
      </c>
      <c r="H1320" t="s">
        <v>15786</v>
      </c>
      <c r="J1320" t="s">
        <v>15787</v>
      </c>
      <c r="K1320" t="s">
        <v>15788</v>
      </c>
      <c r="L1320" t="s">
        <v>15789</v>
      </c>
      <c r="M1320" t="s">
        <v>7250</v>
      </c>
      <c r="T1320" t="s">
        <v>6546</v>
      </c>
      <c r="U1320" t="s">
        <v>6546</v>
      </c>
      <c r="V1320" t="s">
        <v>6546</v>
      </c>
      <c r="W1320">
        <v>9.0399999999999991</v>
      </c>
      <c r="X1320">
        <v>9.0399999999999991</v>
      </c>
      <c r="AB1320" t="s">
        <v>15323</v>
      </c>
      <c r="AC1320" t="s">
        <v>8777</v>
      </c>
      <c r="AF1320" t="s">
        <v>15790</v>
      </c>
      <c r="AI1320" t="s">
        <v>8777</v>
      </c>
      <c r="AO1320" t="s">
        <v>15791</v>
      </c>
    </row>
    <row r="1321" spans="1:41" hidden="1" x14ac:dyDescent="0.35">
      <c r="A1321" t="s">
        <v>15792</v>
      </c>
      <c r="B1321" t="s">
        <v>7246</v>
      </c>
      <c r="C1321" t="s">
        <v>5787</v>
      </c>
      <c r="D1321" t="s">
        <v>5787</v>
      </c>
      <c r="E1321" t="s">
        <v>5787</v>
      </c>
      <c r="G1321" s="13" t="s">
        <v>15793</v>
      </c>
      <c r="H1321" t="s">
        <v>15794</v>
      </c>
      <c r="I1321" t="s">
        <v>15795</v>
      </c>
      <c r="J1321" t="s">
        <v>15796</v>
      </c>
      <c r="K1321" t="s">
        <v>11716</v>
      </c>
      <c r="L1321" t="s">
        <v>11717</v>
      </c>
      <c r="M1321" t="s">
        <v>7250</v>
      </c>
      <c r="T1321" t="s">
        <v>6546</v>
      </c>
      <c r="U1321" t="s">
        <v>6546</v>
      </c>
      <c r="V1321" t="s">
        <v>6546</v>
      </c>
      <c r="W1321">
        <v>88.24</v>
      </c>
      <c r="X1321">
        <v>88.24</v>
      </c>
      <c r="AB1321" t="s">
        <v>15797</v>
      </c>
      <c r="AC1321" t="s">
        <v>8777</v>
      </c>
      <c r="AF1321" t="s">
        <v>15197</v>
      </c>
      <c r="AI1321" t="s">
        <v>8777</v>
      </c>
      <c r="AO1321" t="s">
        <v>15798</v>
      </c>
    </row>
    <row r="1322" spans="1:41" hidden="1" x14ac:dyDescent="0.35">
      <c r="A1322" t="s">
        <v>15799</v>
      </c>
      <c r="B1322" t="s">
        <v>7246</v>
      </c>
      <c r="C1322" t="s">
        <v>5714</v>
      </c>
      <c r="D1322" t="s">
        <v>5714</v>
      </c>
      <c r="E1322" t="s">
        <v>5714</v>
      </c>
      <c r="G1322" s="13" t="s">
        <v>15800</v>
      </c>
      <c r="H1322" t="s">
        <v>15801</v>
      </c>
      <c r="J1322" t="s">
        <v>15802</v>
      </c>
      <c r="K1322" t="s">
        <v>13601</v>
      </c>
      <c r="L1322" t="s">
        <v>13602</v>
      </c>
      <c r="M1322" t="s">
        <v>7250</v>
      </c>
      <c r="N1322">
        <v>1984</v>
      </c>
      <c r="T1322" t="s">
        <v>6546</v>
      </c>
      <c r="U1322" t="s">
        <v>6546</v>
      </c>
      <c r="V1322">
        <v>83</v>
      </c>
      <c r="W1322">
        <v>67.48</v>
      </c>
      <c r="X1322">
        <v>83</v>
      </c>
      <c r="Y1322" t="s">
        <v>15803</v>
      </c>
      <c r="Z1322" t="s">
        <v>7253</v>
      </c>
      <c r="AB1322" t="s">
        <v>15804</v>
      </c>
      <c r="AC1322" t="s">
        <v>8777</v>
      </c>
      <c r="AF1322" t="s">
        <v>1871</v>
      </c>
      <c r="AI1322" t="s">
        <v>8777</v>
      </c>
      <c r="AO1322" t="s">
        <v>15805</v>
      </c>
    </row>
    <row r="1323" spans="1:41" hidden="1" x14ac:dyDescent="0.35">
      <c r="A1323" t="s">
        <v>15806</v>
      </c>
      <c r="B1323" t="s">
        <v>7246</v>
      </c>
      <c r="C1323" t="s">
        <v>5705</v>
      </c>
      <c r="D1323" t="s">
        <v>5705</v>
      </c>
      <c r="E1323" t="s">
        <v>5705</v>
      </c>
      <c r="G1323" s="13" t="s">
        <v>15807</v>
      </c>
      <c r="H1323" t="s">
        <v>15808</v>
      </c>
      <c r="J1323" t="s">
        <v>15809</v>
      </c>
      <c r="K1323" t="s">
        <v>13491</v>
      </c>
      <c r="L1323" t="s">
        <v>13492</v>
      </c>
      <c r="M1323" t="s">
        <v>7250</v>
      </c>
      <c r="T1323" t="s">
        <v>6546</v>
      </c>
      <c r="U1323" t="s">
        <v>6546</v>
      </c>
      <c r="V1323" t="s">
        <v>6546</v>
      </c>
      <c r="W1323">
        <v>57.54</v>
      </c>
      <c r="X1323">
        <v>57.54</v>
      </c>
      <c r="AB1323" t="s">
        <v>15297</v>
      </c>
      <c r="AC1323" t="s">
        <v>8777</v>
      </c>
      <c r="AF1323" t="s">
        <v>15303</v>
      </c>
      <c r="AI1323" t="s">
        <v>8777</v>
      </c>
      <c r="AO1323" t="s">
        <v>15810</v>
      </c>
    </row>
    <row r="1324" spans="1:41" hidden="1" x14ac:dyDescent="0.35">
      <c r="A1324" t="s">
        <v>15811</v>
      </c>
      <c r="B1324" t="s">
        <v>7246</v>
      </c>
      <c r="C1324" t="s">
        <v>5705</v>
      </c>
      <c r="D1324" t="s">
        <v>5705</v>
      </c>
      <c r="E1324" t="s">
        <v>5705</v>
      </c>
      <c r="G1324" s="13" t="s">
        <v>15812</v>
      </c>
      <c r="H1324" t="s">
        <v>15813</v>
      </c>
      <c r="J1324" t="s">
        <v>15814</v>
      </c>
      <c r="K1324" t="s">
        <v>13491</v>
      </c>
      <c r="L1324" t="s">
        <v>13492</v>
      </c>
      <c r="M1324" t="s">
        <v>7250</v>
      </c>
      <c r="T1324" t="s">
        <v>6546</v>
      </c>
      <c r="U1324" t="s">
        <v>6546</v>
      </c>
      <c r="V1324" t="s">
        <v>6546</v>
      </c>
      <c r="W1324">
        <v>154.88</v>
      </c>
      <c r="X1324">
        <v>154.88</v>
      </c>
      <c r="AB1324" t="s">
        <v>15297</v>
      </c>
      <c r="AC1324" t="s">
        <v>8777</v>
      </c>
      <c r="AF1324" t="s">
        <v>15815</v>
      </c>
      <c r="AI1324" t="s">
        <v>8777</v>
      </c>
      <c r="AO1324" t="s">
        <v>15816</v>
      </c>
    </row>
    <row r="1325" spans="1:41" hidden="1" x14ac:dyDescent="0.35">
      <c r="A1325" t="s">
        <v>15817</v>
      </c>
      <c r="B1325" t="s">
        <v>7246</v>
      </c>
      <c r="C1325" t="s">
        <v>5902</v>
      </c>
      <c r="D1325" t="s">
        <v>5902</v>
      </c>
      <c r="E1325" t="s">
        <v>5902</v>
      </c>
      <c r="G1325" s="13" t="s">
        <v>15818</v>
      </c>
      <c r="H1325" t="s">
        <v>15819</v>
      </c>
      <c r="J1325" t="s">
        <v>15820</v>
      </c>
      <c r="K1325" t="s">
        <v>6543</v>
      </c>
      <c r="L1325" t="s">
        <v>6543</v>
      </c>
      <c r="M1325" t="s">
        <v>7250</v>
      </c>
      <c r="T1325" t="s">
        <v>6546</v>
      </c>
      <c r="U1325" t="s">
        <v>6546</v>
      </c>
      <c r="V1325" t="s">
        <v>6546</v>
      </c>
      <c r="W1325">
        <v>41.38</v>
      </c>
      <c r="X1325">
        <v>41.38</v>
      </c>
      <c r="AB1325" t="s">
        <v>2009</v>
      </c>
      <c r="AC1325" t="s">
        <v>8777</v>
      </c>
      <c r="AF1325" t="s">
        <v>15821</v>
      </c>
      <c r="AI1325" t="s">
        <v>8777</v>
      </c>
      <c r="AO1325" t="s">
        <v>15822</v>
      </c>
    </row>
    <row r="1326" spans="1:41" hidden="1" x14ac:dyDescent="0.35">
      <c r="A1326" t="s">
        <v>15823</v>
      </c>
      <c r="B1326" t="s">
        <v>7246</v>
      </c>
      <c r="C1326" t="s">
        <v>5802</v>
      </c>
      <c r="D1326" t="s">
        <v>5802</v>
      </c>
      <c r="E1326" t="s">
        <v>5802</v>
      </c>
      <c r="G1326" s="13" t="s">
        <v>15824</v>
      </c>
      <c r="H1326" t="s">
        <v>15825</v>
      </c>
      <c r="J1326" t="s">
        <v>15826</v>
      </c>
      <c r="K1326" t="s">
        <v>11195</v>
      </c>
      <c r="L1326" t="s">
        <v>11195</v>
      </c>
      <c r="M1326" t="s">
        <v>7250</v>
      </c>
      <c r="T1326" t="s">
        <v>6546</v>
      </c>
      <c r="U1326" t="s">
        <v>6546</v>
      </c>
      <c r="V1326" t="s">
        <v>6546</v>
      </c>
      <c r="W1326">
        <v>60.12</v>
      </c>
      <c r="X1326">
        <v>60.12</v>
      </c>
      <c r="AB1326" t="s">
        <v>15827</v>
      </c>
      <c r="AC1326" t="s">
        <v>8777</v>
      </c>
      <c r="AF1326" t="s">
        <v>15828</v>
      </c>
      <c r="AI1326" t="s">
        <v>8777</v>
      </c>
      <c r="AO1326" t="s">
        <v>15829</v>
      </c>
    </row>
    <row r="1327" spans="1:41" hidden="1" x14ac:dyDescent="0.35">
      <c r="A1327" t="s">
        <v>15830</v>
      </c>
      <c r="B1327" t="s">
        <v>7246</v>
      </c>
      <c r="C1327" t="s">
        <v>5802</v>
      </c>
      <c r="D1327" t="s">
        <v>5802</v>
      </c>
      <c r="E1327" t="s">
        <v>5802</v>
      </c>
      <c r="G1327" s="13" t="s">
        <v>15831</v>
      </c>
      <c r="H1327" t="s">
        <v>15832</v>
      </c>
      <c r="J1327" t="s">
        <v>15833</v>
      </c>
      <c r="K1327" t="s">
        <v>11195</v>
      </c>
      <c r="L1327" t="s">
        <v>11195</v>
      </c>
      <c r="M1327" t="s">
        <v>7250</v>
      </c>
      <c r="T1327" t="s">
        <v>6546</v>
      </c>
      <c r="U1327" t="s">
        <v>6546</v>
      </c>
      <c r="V1327" t="s">
        <v>6546</v>
      </c>
      <c r="W1327">
        <v>30.9</v>
      </c>
      <c r="X1327">
        <v>30.9</v>
      </c>
      <c r="AB1327" t="s">
        <v>15828</v>
      </c>
      <c r="AC1327" t="s">
        <v>8777</v>
      </c>
      <c r="AF1327" t="s">
        <v>15834</v>
      </c>
      <c r="AI1327" t="s">
        <v>8777</v>
      </c>
      <c r="AO1327" t="s">
        <v>15835</v>
      </c>
    </row>
    <row r="1328" spans="1:41" hidden="1" x14ac:dyDescent="0.35">
      <c r="A1328" t="s">
        <v>15836</v>
      </c>
      <c r="B1328" t="s">
        <v>7246</v>
      </c>
      <c r="C1328" t="s">
        <v>5599</v>
      </c>
      <c r="D1328" t="s">
        <v>5599</v>
      </c>
      <c r="E1328" t="s">
        <v>5599</v>
      </c>
      <c r="G1328" s="13" t="s">
        <v>15837</v>
      </c>
      <c r="H1328" t="s">
        <v>15838</v>
      </c>
      <c r="J1328" t="s">
        <v>15839</v>
      </c>
      <c r="K1328" t="s">
        <v>15840</v>
      </c>
      <c r="L1328" t="s">
        <v>15840</v>
      </c>
      <c r="M1328" t="s">
        <v>7250</v>
      </c>
      <c r="T1328" t="s">
        <v>6546</v>
      </c>
      <c r="U1328" t="s">
        <v>6546</v>
      </c>
      <c r="V1328" t="s">
        <v>6546</v>
      </c>
      <c r="W1328">
        <v>40.950000000000003</v>
      </c>
      <c r="X1328">
        <v>40.950000000000003</v>
      </c>
      <c r="AB1328" t="s">
        <v>1721</v>
      </c>
      <c r="AC1328" t="s">
        <v>8777</v>
      </c>
      <c r="AF1328" t="s">
        <v>9393</v>
      </c>
      <c r="AI1328" t="s">
        <v>8777</v>
      </c>
      <c r="AO1328" t="s">
        <v>15841</v>
      </c>
    </row>
    <row r="1329" spans="1:41" hidden="1" x14ac:dyDescent="0.35">
      <c r="A1329" t="s">
        <v>15842</v>
      </c>
      <c r="B1329" t="s">
        <v>7246</v>
      </c>
      <c r="C1329" t="s">
        <v>5802</v>
      </c>
      <c r="D1329" t="s">
        <v>5802</v>
      </c>
      <c r="E1329" t="s">
        <v>5802</v>
      </c>
      <c r="G1329" s="13" t="s">
        <v>15843</v>
      </c>
      <c r="H1329" t="s">
        <v>15844</v>
      </c>
      <c r="J1329" t="s">
        <v>15845</v>
      </c>
      <c r="K1329" t="s">
        <v>11195</v>
      </c>
      <c r="L1329" t="s">
        <v>11195</v>
      </c>
      <c r="M1329" t="s">
        <v>7250</v>
      </c>
      <c r="T1329" t="s">
        <v>6546</v>
      </c>
      <c r="U1329" t="s">
        <v>6546</v>
      </c>
      <c r="V1329" t="s">
        <v>6546</v>
      </c>
      <c r="W1329">
        <v>132.94</v>
      </c>
      <c r="X1329">
        <v>132.94</v>
      </c>
      <c r="AB1329" t="s">
        <v>15681</v>
      </c>
      <c r="AC1329" t="s">
        <v>8777</v>
      </c>
      <c r="AF1329" t="s">
        <v>15846</v>
      </c>
      <c r="AI1329" t="s">
        <v>8777</v>
      </c>
      <c r="AO1329" t="s">
        <v>15847</v>
      </c>
    </row>
    <row r="1330" spans="1:41" hidden="1" x14ac:dyDescent="0.35">
      <c r="A1330" t="s">
        <v>15848</v>
      </c>
      <c r="B1330" t="s">
        <v>7246</v>
      </c>
      <c r="C1330" t="s">
        <v>5591</v>
      </c>
      <c r="D1330" t="s">
        <v>5591</v>
      </c>
      <c r="E1330" t="s">
        <v>5591</v>
      </c>
      <c r="G1330" s="13" t="s">
        <v>15849</v>
      </c>
      <c r="H1330" t="s">
        <v>15850</v>
      </c>
      <c r="J1330" t="s">
        <v>15851</v>
      </c>
      <c r="K1330" t="s">
        <v>11924</v>
      </c>
      <c r="L1330" t="s">
        <v>11925</v>
      </c>
      <c r="M1330" t="s">
        <v>7250</v>
      </c>
      <c r="T1330" t="s">
        <v>6546</v>
      </c>
      <c r="U1330" t="s">
        <v>6546</v>
      </c>
      <c r="V1330" t="s">
        <v>6546</v>
      </c>
      <c r="W1330">
        <v>65.849999999999994</v>
      </c>
      <c r="X1330">
        <v>65.849999999999994</v>
      </c>
      <c r="Y1330">
        <v>35.43</v>
      </c>
      <c r="Z1330" t="s">
        <v>7253</v>
      </c>
      <c r="AB1330" t="s">
        <v>15599</v>
      </c>
      <c r="AC1330" t="s">
        <v>8777</v>
      </c>
      <c r="AF1330" t="s">
        <v>15852</v>
      </c>
      <c r="AI1330" t="s">
        <v>8777</v>
      </c>
      <c r="AO1330" t="s">
        <v>15853</v>
      </c>
    </row>
    <row r="1331" spans="1:41" hidden="1" x14ac:dyDescent="0.35">
      <c r="A1331" t="s">
        <v>15854</v>
      </c>
      <c r="B1331" t="s">
        <v>7246</v>
      </c>
      <c r="C1331" t="s">
        <v>5591</v>
      </c>
      <c r="D1331" t="s">
        <v>5591</v>
      </c>
      <c r="E1331" t="s">
        <v>5591</v>
      </c>
      <c r="G1331" s="13" t="s">
        <v>15855</v>
      </c>
      <c r="H1331" t="s">
        <v>15856</v>
      </c>
      <c r="J1331" t="s">
        <v>15857</v>
      </c>
      <c r="K1331" t="s">
        <v>11924</v>
      </c>
      <c r="L1331" t="s">
        <v>11925</v>
      </c>
      <c r="M1331" t="s">
        <v>7250</v>
      </c>
      <c r="T1331" t="s">
        <v>6546</v>
      </c>
      <c r="U1331" t="s">
        <v>6546</v>
      </c>
      <c r="V1331" t="s">
        <v>6546</v>
      </c>
      <c r="W1331">
        <v>142.58000000000001</v>
      </c>
      <c r="X1331">
        <v>142.58000000000001</v>
      </c>
      <c r="Y1331">
        <v>35.43</v>
      </c>
      <c r="Z1331" t="s">
        <v>7253</v>
      </c>
      <c r="AB1331" t="s">
        <v>15852</v>
      </c>
      <c r="AC1331" t="s">
        <v>8777</v>
      </c>
      <c r="AF1331" t="s">
        <v>15858</v>
      </c>
      <c r="AI1331" t="s">
        <v>8777</v>
      </c>
      <c r="AO1331" t="s">
        <v>15859</v>
      </c>
    </row>
    <row r="1332" spans="1:41" hidden="1" x14ac:dyDescent="0.35">
      <c r="A1332" t="s">
        <v>15860</v>
      </c>
      <c r="B1332" t="s">
        <v>7246</v>
      </c>
      <c r="C1332" t="s">
        <v>5591</v>
      </c>
      <c r="D1332" t="s">
        <v>5591</v>
      </c>
      <c r="E1332" t="s">
        <v>5591</v>
      </c>
      <c r="G1332" s="13" t="s">
        <v>15861</v>
      </c>
      <c r="H1332" t="s">
        <v>15862</v>
      </c>
      <c r="J1332" t="s">
        <v>15863</v>
      </c>
      <c r="K1332" t="s">
        <v>11924</v>
      </c>
      <c r="L1332" t="s">
        <v>11925</v>
      </c>
      <c r="M1332" t="s">
        <v>7250</v>
      </c>
      <c r="T1332" t="s">
        <v>6546</v>
      </c>
      <c r="U1332" t="s">
        <v>6546</v>
      </c>
      <c r="V1332" t="s">
        <v>6546</v>
      </c>
      <c r="W1332">
        <v>44.63</v>
      </c>
      <c r="X1332">
        <v>44.63</v>
      </c>
      <c r="Y1332">
        <v>35.43</v>
      </c>
      <c r="Z1332" t="s">
        <v>7253</v>
      </c>
      <c r="AB1332" t="s">
        <v>15864</v>
      </c>
      <c r="AC1332" t="s">
        <v>8777</v>
      </c>
      <c r="AF1332" t="s">
        <v>15865</v>
      </c>
      <c r="AI1332" t="s">
        <v>8777</v>
      </c>
      <c r="AO1332" t="s">
        <v>15866</v>
      </c>
    </row>
    <row r="1333" spans="1:41" hidden="1" x14ac:dyDescent="0.35">
      <c r="A1333" t="s">
        <v>15867</v>
      </c>
      <c r="B1333" t="s">
        <v>7246</v>
      </c>
      <c r="C1333" t="s">
        <v>5861</v>
      </c>
      <c r="D1333" t="s">
        <v>5861</v>
      </c>
      <c r="E1333" t="s">
        <v>5861</v>
      </c>
      <c r="G1333" s="13" t="s">
        <v>15868</v>
      </c>
      <c r="H1333" t="s">
        <v>15869</v>
      </c>
      <c r="J1333" t="s">
        <v>15870</v>
      </c>
      <c r="K1333" t="s">
        <v>8694</v>
      </c>
      <c r="L1333" t="s">
        <v>8694</v>
      </c>
      <c r="M1333" t="s">
        <v>7250</v>
      </c>
      <c r="T1333" t="s">
        <v>6546</v>
      </c>
      <c r="U1333" t="s">
        <v>6546</v>
      </c>
      <c r="V1333" t="s">
        <v>6546</v>
      </c>
      <c r="W1333">
        <v>118.73</v>
      </c>
      <c r="X1333">
        <v>118.73</v>
      </c>
      <c r="AB1333" t="s">
        <v>15257</v>
      </c>
      <c r="AC1333" t="s">
        <v>8777</v>
      </c>
      <c r="AF1333" t="s">
        <v>15871</v>
      </c>
      <c r="AI1333" t="s">
        <v>8777</v>
      </c>
      <c r="AO1333" t="s">
        <v>15872</v>
      </c>
    </row>
    <row r="1334" spans="1:41" hidden="1" x14ac:dyDescent="0.35">
      <c r="A1334" t="s">
        <v>15873</v>
      </c>
      <c r="B1334" t="s">
        <v>7246</v>
      </c>
      <c r="C1334" t="s">
        <v>5583</v>
      </c>
      <c r="D1334" t="s">
        <v>5583</v>
      </c>
      <c r="E1334" t="s">
        <v>5583</v>
      </c>
      <c r="G1334" s="13" t="s">
        <v>15874</v>
      </c>
      <c r="H1334" t="s">
        <v>15875</v>
      </c>
      <c r="J1334" t="s">
        <v>15876</v>
      </c>
      <c r="K1334" t="s">
        <v>11898</v>
      </c>
      <c r="L1334" t="s">
        <v>11899</v>
      </c>
      <c r="M1334" t="s">
        <v>7250</v>
      </c>
      <c r="T1334" t="s">
        <v>6546</v>
      </c>
      <c r="U1334" t="s">
        <v>6546</v>
      </c>
      <c r="V1334" t="s">
        <v>6546</v>
      </c>
      <c r="W1334">
        <v>63.91</v>
      </c>
      <c r="X1334">
        <v>63.91</v>
      </c>
      <c r="AB1334" t="s">
        <v>15877</v>
      </c>
      <c r="AC1334" t="s">
        <v>8777</v>
      </c>
      <c r="AF1334" t="s">
        <v>15615</v>
      </c>
      <c r="AI1334" t="s">
        <v>8777</v>
      </c>
      <c r="AO1334" t="s">
        <v>15878</v>
      </c>
    </row>
    <row r="1335" spans="1:41" hidden="1" x14ac:dyDescent="0.35">
      <c r="A1335" t="s">
        <v>15879</v>
      </c>
      <c r="B1335" t="s">
        <v>7246</v>
      </c>
      <c r="C1335" t="s">
        <v>5599</v>
      </c>
      <c r="D1335" t="s">
        <v>5599</v>
      </c>
      <c r="E1335" t="s">
        <v>5599</v>
      </c>
      <c r="G1335" s="13" t="s">
        <v>15880</v>
      </c>
      <c r="H1335" t="s">
        <v>15881</v>
      </c>
      <c r="J1335" t="s">
        <v>15882</v>
      </c>
      <c r="K1335" t="s">
        <v>15840</v>
      </c>
      <c r="L1335" t="s">
        <v>15840</v>
      </c>
      <c r="M1335" t="s">
        <v>7250</v>
      </c>
      <c r="T1335" t="s">
        <v>6546</v>
      </c>
      <c r="U1335" t="s">
        <v>6546</v>
      </c>
      <c r="V1335" t="s">
        <v>6546</v>
      </c>
      <c r="W1335">
        <v>207.45</v>
      </c>
      <c r="X1335">
        <v>207.45</v>
      </c>
      <c r="AB1335" t="s">
        <v>1303</v>
      </c>
      <c r="AC1335" t="s">
        <v>8777</v>
      </c>
      <c r="AF1335" t="s">
        <v>15883</v>
      </c>
      <c r="AI1335" t="s">
        <v>8777</v>
      </c>
      <c r="AO1335" t="s">
        <v>15884</v>
      </c>
    </row>
    <row r="1336" spans="1:41" hidden="1" x14ac:dyDescent="0.35">
      <c r="A1336" t="s">
        <v>15885</v>
      </c>
      <c r="B1336" t="s">
        <v>7246</v>
      </c>
      <c r="C1336" t="s">
        <v>5599</v>
      </c>
      <c r="D1336" t="s">
        <v>5599</v>
      </c>
      <c r="E1336" t="s">
        <v>5599</v>
      </c>
      <c r="G1336" s="13" t="s">
        <v>15886</v>
      </c>
      <c r="H1336" t="s">
        <v>15887</v>
      </c>
      <c r="J1336" t="s">
        <v>15888</v>
      </c>
      <c r="K1336" t="s">
        <v>15889</v>
      </c>
      <c r="L1336" t="s">
        <v>15889</v>
      </c>
      <c r="M1336" t="s">
        <v>7250</v>
      </c>
      <c r="T1336" t="s">
        <v>6546</v>
      </c>
      <c r="U1336" t="s">
        <v>6546</v>
      </c>
      <c r="V1336" t="s">
        <v>6546</v>
      </c>
      <c r="W1336">
        <v>107.5</v>
      </c>
      <c r="X1336">
        <v>107.5</v>
      </c>
      <c r="AB1336" t="s">
        <v>5608</v>
      </c>
      <c r="AC1336" t="s">
        <v>8777</v>
      </c>
      <c r="AF1336" t="s">
        <v>15883</v>
      </c>
      <c r="AI1336" t="s">
        <v>8777</v>
      </c>
      <c r="AO1336" t="s">
        <v>15890</v>
      </c>
    </row>
    <row r="1337" spans="1:41" hidden="1" x14ac:dyDescent="0.35">
      <c r="A1337" t="s">
        <v>15891</v>
      </c>
      <c r="B1337" t="s">
        <v>7246</v>
      </c>
      <c r="C1337" t="s">
        <v>5714</v>
      </c>
      <c r="D1337" t="s">
        <v>5714</v>
      </c>
      <c r="E1337" t="s">
        <v>5714</v>
      </c>
      <c r="G1337" s="13" t="s">
        <v>15892</v>
      </c>
      <c r="H1337" t="s">
        <v>15893</v>
      </c>
      <c r="J1337" t="s">
        <v>15894</v>
      </c>
      <c r="K1337" t="s">
        <v>13601</v>
      </c>
      <c r="L1337" t="s">
        <v>13602</v>
      </c>
      <c r="M1337" t="s">
        <v>7250</v>
      </c>
      <c r="N1337">
        <v>1978</v>
      </c>
      <c r="T1337" t="s">
        <v>6546</v>
      </c>
      <c r="U1337" t="s">
        <v>6546</v>
      </c>
      <c r="V1337">
        <v>29.8</v>
      </c>
      <c r="W1337">
        <v>28.27</v>
      </c>
      <c r="X1337">
        <v>29.8</v>
      </c>
      <c r="Y1337">
        <v>30</v>
      </c>
      <c r="Z1337" t="s">
        <v>7253</v>
      </c>
      <c r="AB1337" t="s">
        <v>15895</v>
      </c>
      <c r="AC1337" t="s">
        <v>8777</v>
      </c>
      <c r="AF1337" t="s">
        <v>15896</v>
      </c>
      <c r="AI1337" t="s">
        <v>8777</v>
      </c>
      <c r="AO1337" t="s">
        <v>15897</v>
      </c>
    </row>
    <row r="1338" spans="1:41" hidden="1" x14ac:dyDescent="0.35">
      <c r="A1338" t="s">
        <v>15898</v>
      </c>
      <c r="B1338" t="s">
        <v>7246</v>
      </c>
      <c r="C1338" t="s">
        <v>5851</v>
      </c>
      <c r="D1338" t="s">
        <v>5851</v>
      </c>
      <c r="E1338" t="s">
        <v>5851</v>
      </c>
      <c r="G1338" s="13" t="s">
        <v>15899</v>
      </c>
      <c r="H1338" t="s">
        <v>15900</v>
      </c>
      <c r="J1338" t="s">
        <v>15901</v>
      </c>
      <c r="K1338" t="s">
        <v>15276</v>
      </c>
      <c r="L1338" t="s">
        <v>15276</v>
      </c>
      <c r="M1338" t="s">
        <v>7250</v>
      </c>
      <c r="T1338" t="s">
        <v>6546</v>
      </c>
      <c r="U1338" t="s">
        <v>6546</v>
      </c>
      <c r="V1338" t="s">
        <v>6546</v>
      </c>
      <c r="W1338">
        <v>182.15</v>
      </c>
      <c r="X1338">
        <v>182.15</v>
      </c>
      <c r="Y1338">
        <v>35.43</v>
      </c>
      <c r="Z1338" t="s">
        <v>7253</v>
      </c>
      <c r="AB1338" t="s">
        <v>15902</v>
      </c>
      <c r="AC1338" t="s">
        <v>8777</v>
      </c>
      <c r="AF1338" t="s">
        <v>15903</v>
      </c>
      <c r="AI1338" t="s">
        <v>8777</v>
      </c>
      <c r="AO1338" t="s">
        <v>15904</v>
      </c>
    </row>
    <row r="1339" spans="1:41" hidden="1" x14ac:dyDescent="0.35">
      <c r="A1339" t="s">
        <v>15905</v>
      </c>
      <c r="B1339" t="s">
        <v>7246</v>
      </c>
      <c r="C1339" t="s">
        <v>5851</v>
      </c>
      <c r="D1339" t="s">
        <v>5705</v>
      </c>
      <c r="E1339" t="s">
        <v>15906</v>
      </c>
      <c r="G1339" s="13" t="s">
        <v>15907</v>
      </c>
      <c r="H1339" t="s">
        <v>15908</v>
      </c>
      <c r="J1339" t="s">
        <v>15909</v>
      </c>
      <c r="K1339" t="s">
        <v>15910</v>
      </c>
      <c r="L1339" t="s">
        <v>15911</v>
      </c>
      <c r="M1339" t="s">
        <v>7250</v>
      </c>
      <c r="T1339" t="s">
        <v>6546</v>
      </c>
      <c r="U1339" t="s">
        <v>6546</v>
      </c>
      <c r="V1339" t="s">
        <v>6546</v>
      </c>
      <c r="W1339">
        <v>103.67</v>
      </c>
      <c r="X1339">
        <v>103.67</v>
      </c>
      <c r="AB1339" t="s">
        <v>15912</v>
      </c>
      <c r="AC1339" t="s">
        <v>8777</v>
      </c>
      <c r="AF1339" t="s">
        <v>15303</v>
      </c>
      <c r="AI1339" t="s">
        <v>8777</v>
      </c>
      <c r="AO1339" t="s">
        <v>15913</v>
      </c>
    </row>
    <row r="1340" spans="1:41" hidden="1" x14ac:dyDescent="0.35">
      <c r="A1340" t="s">
        <v>15914</v>
      </c>
      <c r="B1340" t="s">
        <v>7246</v>
      </c>
      <c r="C1340" t="s">
        <v>5591</v>
      </c>
      <c r="D1340" t="s">
        <v>5591</v>
      </c>
      <c r="E1340" t="s">
        <v>5591</v>
      </c>
      <c r="G1340" s="13" t="s">
        <v>15915</v>
      </c>
      <c r="H1340" t="s">
        <v>15916</v>
      </c>
      <c r="J1340" t="s">
        <v>15917</v>
      </c>
      <c r="K1340" t="s">
        <v>11924</v>
      </c>
      <c r="L1340" t="s">
        <v>11925</v>
      </c>
      <c r="M1340" t="s">
        <v>7250</v>
      </c>
      <c r="T1340" t="s">
        <v>6546</v>
      </c>
      <c r="U1340" t="s">
        <v>6546</v>
      </c>
      <c r="V1340" t="s">
        <v>6546</v>
      </c>
      <c r="W1340">
        <v>60.08</v>
      </c>
      <c r="X1340">
        <v>60.08</v>
      </c>
      <c r="Y1340">
        <v>35.43</v>
      </c>
      <c r="Z1340" t="s">
        <v>7253</v>
      </c>
      <c r="AB1340" t="s">
        <v>15918</v>
      </c>
      <c r="AC1340" t="s">
        <v>8777</v>
      </c>
      <c r="AF1340" t="s">
        <v>15852</v>
      </c>
      <c r="AI1340" t="s">
        <v>8777</v>
      </c>
      <c r="AO1340" t="s">
        <v>15919</v>
      </c>
    </row>
    <row r="1341" spans="1:41" hidden="1" x14ac:dyDescent="0.35">
      <c r="A1341" t="s">
        <v>15920</v>
      </c>
      <c r="B1341" t="s">
        <v>7246</v>
      </c>
      <c r="C1341" t="s">
        <v>5583</v>
      </c>
      <c r="D1341" t="s">
        <v>5583</v>
      </c>
      <c r="E1341" t="s">
        <v>5583</v>
      </c>
      <c r="G1341" s="13" t="s">
        <v>15921</v>
      </c>
      <c r="H1341" t="s">
        <v>15922</v>
      </c>
      <c r="J1341" t="s">
        <v>15923</v>
      </c>
      <c r="K1341" t="s">
        <v>11898</v>
      </c>
      <c r="L1341" t="s">
        <v>11899</v>
      </c>
      <c r="M1341" t="s">
        <v>7250</v>
      </c>
      <c r="R1341">
        <v>1.8</v>
      </c>
      <c r="S1341" t="s">
        <v>8257</v>
      </c>
      <c r="T1341">
        <v>1.8</v>
      </c>
      <c r="U1341">
        <v>837.69</v>
      </c>
      <c r="V1341" t="s">
        <v>6546</v>
      </c>
      <c r="W1341">
        <v>11.78</v>
      </c>
      <c r="X1341">
        <v>11.78</v>
      </c>
      <c r="AB1341" t="s">
        <v>15924</v>
      </c>
      <c r="AC1341" t="s">
        <v>8777</v>
      </c>
      <c r="AF1341" t="s">
        <v>15925</v>
      </c>
      <c r="AI1341" t="s">
        <v>8777</v>
      </c>
      <c r="AO1341" t="s">
        <v>15926</v>
      </c>
    </row>
    <row r="1342" spans="1:41" hidden="1" x14ac:dyDescent="0.35">
      <c r="A1342" t="s">
        <v>15927</v>
      </c>
      <c r="B1342" t="s">
        <v>7246</v>
      </c>
      <c r="C1342" t="s">
        <v>5694</v>
      </c>
      <c r="D1342" t="s">
        <v>5694</v>
      </c>
      <c r="E1342" t="s">
        <v>5694</v>
      </c>
      <c r="G1342" s="13" t="s">
        <v>15928</v>
      </c>
      <c r="H1342" t="s">
        <v>15929</v>
      </c>
      <c r="J1342" t="s">
        <v>15930</v>
      </c>
      <c r="K1342" t="s">
        <v>11736</v>
      </c>
      <c r="L1342" t="s">
        <v>11737</v>
      </c>
      <c r="M1342" t="s">
        <v>7250</v>
      </c>
      <c r="T1342" t="s">
        <v>6546</v>
      </c>
      <c r="U1342" t="s">
        <v>6546</v>
      </c>
      <c r="V1342" t="s">
        <v>6546</v>
      </c>
      <c r="W1342">
        <v>180.62</v>
      </c>
      <c r="X1342">
        <v>180.62</v>
      </c>
      <c r="AB1342" t="s">
        <v>11965</v>
      </c>
      <c r="AC1342" t="s">
        <v>8777</v>
      </c>
      <c r="AF1342" t="s">
        <v>15184</v>
      </c>
      <c r="AI1342" t="s">
        <v>8777</v>
      </c>
      <c r="AO1342" t="s">
        <v>15931</v>
      </c>
    </row>
    <row r="1343" spans="1:41" hidden="1" x14ac:dyDescent="0.35">
      <c r="A1343" t="s">
        <v>15932</v>
      </c>
      <c r="B1343" t="s">
        <v>7246</v>
      </c>
      <c r="C1343" t="s">
        <v>5643</v>
      </c>
      <c r="D1343" t="s">
        <v>5643</v>
      </c>
      <c r="E1343" t="s">
        <v>5643</v>
      </c>
      <c r="G1343" s="13" t="s">
        <v>15933</v>
      </c>
      <c r="H1343" t="s">
        <v>15934</v>
      </c>
      <c r="J1343" t="s">
        <v>15935</v>
      </c>
      <c r="K1343" t="s">
        <v>15725</v>
      </c>
      <c r="L1343" t="s">
        <v>15726</v>
      </c>
      <c r="M1343" t="s">
        <v>7250</v>
      </c>
      <c r="T1343" t="s">
        <v>6546</v>
      </c>
      <c r="U1343" t="s">
        <v>6546</v>
      </c>
      <c r="V1343" t="s">
        <v>6546</v>
      </c>
      <c r="W1343">
        <v>74.849999999999994</v>
      </c>
      <c r="X1343">
        <v>74.849999999999994</v>
      </c>
      <c r="Y1343">
        <v>600</v>
      </c>
      <c r="Z1343" t="s">
        <v>8842</v>
      </c>
      <c r="AB1343" t="s">
        <v>15936</v>
      </c>
      <c r="AC1343" t="s">
        <v>8777</v>
      </c>
      <c r="AF1343" t="s">
        <v>13447</v>
      </c>
      <c r="AI1343" t="s">
        <v>8777</v>
      </c>
      <c r="AO1343" t="s">
        <v>15937</v>
      </c>
    </row>
    <row r="1344" spans="1:41" hidden="1" x14ac:dyDescent="0.35">
      <c r="A1344" t="s">
        <v>15938</v>
      </c>
      <c r="B1344" t="s">
        <v>7246</v>
      </c>
      <c r="C1344" t="s">
        <v>9388</v>
      </c>
      <c r="D1344" t="s">
        <v>9388</v>
      </c>
      <c r="E1344" t="s">
        <v>9388</v>
      </c>
      <c r="G1344" s="13" t="s">
        <v>15939</v>
      </c>
      <c r="H1344" t="s">
        <v>15940</v>
      </c>
      <c r="J1344" t="s">
        <v>15941</v>
      </c>
      <c r="K1344" t="s">
        <v>15942</v>
      </c>
      <c r="L1344" t="s">
        <v>15942</v>
      </c>
      <c r="M1344" t="s">
        <v>7250</v>
      </c>
      <c r="T1344" t="s">
        <v>6546</v>
      </c>
      <c r="U1344" t="s">
        <v>6546</v>
      </c>
      <c r="V1344" t="s">
        <v>6546</v>
      </c>
      <c r="W1344">
        <v>16.61</v>
      </c>
      <c r="X1344">
        <v>16.61</v>
      </c>
      <c r="AB1344" t="s">
        <v>9394</v>
      </c>
      <c r="AC1344" t="s">
        <v>8777</v>
      </c>
      <c r="AF1344" t="s">
        <v>9414</v>
      </c>
      <c r="AI1344" t="s">
        <v>8777</v>
      </c>
      <c r="AO1344" t="s">
        <v>15943</v>
      </c>
    </row>
    <row r="1345" spans="1:41" hidden="1" x14ac:dyDescent="0.35">
      <c r="A1345" t="s">
        <v>15944</v>
      </c>
      <c r="B1345" t="s">
        <v>7246</v>
      </c>
      <c r="C1345" t="s">
        <v>5583</v>
      </c>
      <c r="D1345" t="s">
        <v>5583</v>
      </c>
      <c r="E1345" t="s">
        <v>5583</v>
      </c>
      <c r="G1345" s="13" t="s">
        <v>15945</v>
      </c>
      <c r="H1345" t="s">
        <v>15946</v>
      </c>
      <c r="J1345" t="s">
        <v>15947</v>
      </c>
      <c r="K1345" t="s">
        <v>11898</v>
      </c>
      <c r="L1345" t="s">
        <v>11899</v>
      </c>
      <c r="M1345" t="s">
        <v>7250</v>
      </c>
      <c r="T1345" t="s">
        <v>6546</v>
      </c>
      <c r="U1345" t="s">
        <v>6546</v>
      </c>
      <c r="V1345" t="s">
        <v>6546</v>
      </c>
      <c r="W1345">
        <v>23.01</v>
      </c>
      <c r="X1345">
        <v>23.01</v>
      </c>
      <c r="AB1345" t="s">
        <v>15948</v>
      </c>
      <c r="AC1345" t="s">
        <v>8777</v>
      </c>
      <c r="AF1345" t="s">
        <v>15949</v>
      </c>
      <c r="AI1345" t="s">
        <v>8777</v>
      </c>
      <c r="AO1345" t="s">
        <v>15950</v>
      </c>
    </row>
    <row r="1346" spans="1:41" hidden="1" x14ac:dyDescent="0.35">
      <c r="A1346" t="s">
        <v>15951</v>
      </c>
      <c r="B1346" t="s">
        <v>7246</v>
      </c>
      <c r="C1346" t="s">
        <v>5583</v>
      </c>
      <c r="D1346" t="s">
        <v>5583</v>
      </c>
      <c r="E1346" t="s">
        <v>5583</v>
      </c>
      <c r="G1346" s="13" t="s">
        <v>15952</v>
      </c>
      <c r="H1346" t="s">
        <v>15953</v>
      </c>
      <c r="J1346" t="s">
        <v>15954</v>
      </c>
      <c r="K1346" t="s">
        <v>11898</v>
      </c>
      <c r="L1346" t="s">
        <v>11899</v>
      </c>
      <c r="M1346" t="s">
        <v>7250</v>
      </c>
      <c r="T1346" t="s">
        <v>6546</v>
      </c>
      <c r="U1346" t="s">
        <v>6546</v>
      </c>
      <c r="V1346" t="s">
        <v>6546</v>
      </c>
      <c r="W1346">
        <v>25.34</v>
      </c>
      <c r="X1346">
        <v>25.34</v>
      </c>
      <c r="AB1346" t="s">
        <v>15616</v>
      </c>
      <c r="AC1346" t="s">
        <v>8777</v>
      </c>
      <c r="AF1346" t="s">
        <v>15955</v>
      </c>
      <c r="AI1346" t="s">
        <v>8777</v>
      </c>
      <c r="AO1346" t="s">
        <v>15956</v>
      </c>
    </row>
    <row r="1347" spans="1:41" hidden="1" x14ac:dyDescent="0.35">
      <c r="A1347" t="s">
        <v>15957</v>
      </c>
      <c r="B1347" t="s">
        <v>7246</v>
      </c>
      <c r="C1347" t="s">
        <v>5861</v>
      </c>
      <c r="D1347" t="s">
        <v>5613</v>
      </c>
      <c r="E1347" t="s">
        <v>5861</v>
      </c>
      <c r="G1347" s="13" t="s">
        <v>15958</v>
      </c>
      <c r="H1347" t="s">
        <v>15959</v>
      </c>
      <c r="J1347" t="s">
        <v>15960</v>
      </c>
      <c r="K1347" t="s">
        <v>15961</v>
      </c>
      <c r="L1347" t="s">
        <v>15962</v>
      </c>
      <c r="M1347" t="s">
        <v>7250</v>
      </c>
      <c r="N1347">
        <v>2013</v>
      </c>
      <c r="O1347">
        <v>2015</v>
      </c>
      <c r="R1347">
        <v>165</v>
      </c>
      <c r="S1347" t="s">
        <v>12003</v>
      </c>
      <c r="T1347">
        <v>6.07</v>
      </c>
      <c r="U1347">
        <v>2827.13</v>
      </c>
      <c r="V1347" t="s">
        <v>6546</v>
      </c>
      <c r="W1347">
        <v>108.28</v>
      </c>
      <c r="X1347">
        <v>108.28</v>
      </c>
      <c r="AB1347" t="s">
        <v>15963</v>
      </c>
      <c r="AC1347" t="s">
        <v>8777</v>
      </c>
      <c r="AF1347" t="s">
        <v>15964</v>
      </c>
      <c r="AI1347" t="s">
        <v>8777</v>
      </c>
      <c r="AO1347" t="s">
        <v>15965</v>
      </c>
    </row>
    <row r="1348" spans="1:41" hidden="1" x14ac:dyDescent="0.35">
      <c r="A1348" t="s">
        <v>15966</v>
      </c>
      <c r="B1348" t="s">
        <v>7246</v>
      </c>
      <c r="C1348" t="s">
        <v>5613</v>
      </c>
      <c r="D1348" t="s">
        <v>5613</v>
      </c>
      <c r="E1348" t="s">
        <v>5613</v>
      </c>
      <c r="G1348" s="13" t="s">
        <v>15967</v>
      </c>
      <c r="H1348" t="s">
        <v>15968</v>
      </c>
      <c r="J1348" t="s">
        <v>15969</v>
      </c>
      <c r="K1348" t="s">
        <v>15203</v>
      </c>
      <c r="L1348" t="s">
        <v>15204</v>
      </c>
      <c r="M1348" t="s">
        <v>7250</v>
      </c>
      <c r="T1348" t="s">
        <v>6546</v>
      </c>
      <c r="U1348" t="s">
        <v>6546</v>
      </c>
      <c r="V1348" t="s">
        <v>6546</v>
      </c>
      <c r="W1348">
        <v>48.36</v>
      </c>
      <c r="X1348">
        <v>48.36</v>
      </c>
      <c r="AB1348" t="s">
        <v>15970</v>
      </c>
      <c r="AC1348" t="s">
        <v>8777</v>
      </c>
      <c r="AF1348" t="s">
        <v>15403</v>
      </c>
      <c r="AI1348" t="s">
        <v>8777</v>
      </c>
      <c r="AO1348" t="s">
        <v>15971</v>
      </c>
    </row>
    <row r="1349" spans="1:41" hidden="1" x14ac:dyDescent="0.35">
      <c r="A1349" t="s">
        <v>15972</v>
      </c>
      <c r="B1349" t="s">
        <v>7246</v>
      </c>
      <c r="C1349" t="s">
        <v>5714</v>
      </c>
      <c r="D1349" t="s">
        <v>5714</v>
      </c>
      <c r="E1349" t="s">
        <v>5714</v>
      </c>
      <c r="G1349" s="13" t="s">
        <v>15973</v>
      </c>
      <c r="H1349" t="s">
        <v>15974</v>
      </c>
      <c r="I1349" t="s">
        <v>15975</v>
      </c>
      <c r="J1349" t="s">
        <v>15976</v>
      </c>
      <c r="K1349" t="s">
        <v>13601</v>
      </c>
      <c r="L1349" t="s">
        <v>13602</v>
      </c>
      <c r="M1349" t="s">
        <v>7250</v>
      </c>
      <c r="N1349">
        <v>1984</v>
      </c>
      <c r="O1349">
        <v>1985</v>
      </c>
      <c r="T1349" t="s">
        <v>6546</v>
      </c>
      <c r="U1349" t="s">
        <v>6546</v>
      </c>
      <c r="V1349">
        <v>77.3</v>
      </c>
      <c r="W1349">
        <v>24.48</v>
      </c>
      <c r="X1349">
        <v>77.3</v>
      </c>
      <c r="Y1349">
        <v>42</v>
      </c>
      <c r="Z1349" t="s">
        <v>7253</v>
      </c>
      <c r="AB1349" t="s">
        <v>1865</v>
      </c>
      <c r="AC1349" t="s">
        <v>8777</v>
      </c>
      <c r="AF1349" t="s">
        <v>15977</v>
      </c>
      <c r="AI1349" t="s">
        <v>8777</v>
      </c>
      <c r="AO1349" t="s">
        <v>15978</v>
      </c>
    </row>
    <row r="1350" spans="1:41" hidden="1" x14ac:dyDescent="0.35">
      <c r="A1350" t="s">
        <v>15979</v>
      </c>
      <c r="B1350" t="s">
        <v>7246</v>
      </c>
      <c r="C1350" t="s">
        <v>5714</v>
      </c>
      <c r="D1350" t="s">
        <v>5714</v>
      </c>
      <c r="E1350" t="s">
        <v>5714</v>
      </c>
      <c r="G1350" s="13" t="s">
        <v>15980</v>
      </c>
      <c r="H1350" t="s">
        <v>15981</v>
      </c>
      <c r="J1350" t="s">
        <v>15982</v>
      </c>
      <c r="K1350" t="s">
        <v>13601</v>
      </c>
      <c r="L1350" t="s">
        <v>13602</v>
      </c>
      <c r="M1350" t="s">
        <v>7250</v>
      </c>
      <c r="N1350">
        <v>1995</v>
      </c>
      <c r="T1350" t="s">
        <v>6546</v>
      </c>
      <c r="U1350" t="s">
        <v>6546</v>
      </c>
      <c r="V1350">
        <v>37.700000000000003</v>
      </c>
      <c r="W1350">
        <v>28.92</v>
      </c>
      <c r="X1350">
        <v>37.700000000000003</v>
      </c>
      <c r="Y1350">
        <v>47.99</v>
      </c>
      <c r="Z1350" t="s">
        <v>7253</v>
      </c>
      <c r="AB1350" t="s">
        <v>15983</v>
      </c>
      <c r="AC1350" t="s">
        <v>8777</v>
      </c>
      <c r="AF1350" t="s">
        <v>15984</v>
      </c>
      <c r="AI1350" t="s">
        <v>8777</v>
      </c>
      <c r="AO1350" t="s">
        <v>15985</v>
      </c>
    </row>
    <row r="1351" spans="1:41" hidden="1" x14ac:dyDescent="0.35">
      <c r="A1351" t="s">
        <v>15986</v>
      </c>
      <c r="B1351" t="s">
        <v>7246</v>
      </c>
      <c r="C1351" t="s">
        <v>5613</v>
      </c>
      <c r="D1351" t="s">
        <v>5613</v>
      </c>
      <c r="E1351" t="s">
        <v>5613</v>
      </c>
      <c r="G1351" s="13" t="s">
        <v>15987</v>
      </c>
      <c r="H1351" t="s">
        <v>15988</v>
      </c>
      <c r="J1351" t="s">
        <v>15989</v>
      </c>
      <c r="K1351" t="s">
        <v>15203</v>
      </c>
      <c r="L1351" t="s">
        <v>15204</v>
      </c>
      <c r="M1351" t="s">
        <v>7250</v>
      </c>
      <c r="T1351" t="s">
        <v>6546</v>
      </c>
      <c r="U1351" t="s">
        <v>6546</v>
      </c>
      <c r="V1351" t="s">
        <v>6546</v>
      </c>
      <c r="W1351">
        <v>180.87</v>
      </c>
      <c r="X1351">
        <v>180.87</v>
      </c>
      <c r="Y1351">
        <v>20</v>
      </c>
      <c r="Z1351" t="s">
        <v>7253</v>
      </c>
      <c r="AB1351" t="s">
        <v>11731</v>
      </c>
      <c r="AC1351" t="s">
        <v>8777</v>
      </c>
      <c r="AF1351" t="s">
        <v>15990</v>
      </c>
      <c r="AI1351" t="s">
        <v>8777</v>
      </c>
      <c r="AO1351" t="s">
        <v>15991</v>
      </c>
    </row>
    <row r="1352" spans="1:41" hidden="1" x14ac:dyDescent="0.35">
      <c r="A1352" t="s">
        <v>15992</v>
      </c>
      <c r="B1352" t="s">
        <v>7246</v>
      </c>
      <c r="C1352" t="s">
        <v>5775</v>
      </c>
      <c r="D1352" t="s">
        <v>5775</v>
      </c>
      <c r="E1352" t="s">
        <v>5775</v>
      </c>
      <c r="G1352" s="13" t="s">
        <v>15993</v>
      </c>
      <c r="H1352" t="s">
        <v>15994</v>
      </c>
      <c r="J1352" t="s">
        <v>15995</v>
      </c>
      <c r="K1352" t="s">
        <v>15996</v>
      </c>
      <c r="L1352" t="s">
        <v>15997</v>
      </c>
      <c r="M1352" t="s">
        <v>7250</v>
      </c>
      <c r="N1352">
        <v>2005</v>
      </c>
      <c r="T1352" t="s">
        <v>6546</v>
      </c>
      <c r="U1352" t="s">
        <v>6546</v>
      </c>
      <c r="V1352" t="s">
        <v>6546</v>
      </c>
      <c r="W1352">
        <v>206.78</v>
      </c>
      <c r="X1352">
        <v>206.78</v>
      </c>
      <c r="Y1352" t="s">
        <v>15998</v>
      </c>
      <c r="Z1352" t="s">
        <v>8842</v>
      </c>
      <c r="AB1352" t="s">
        <v>5773</v>
      </c>
      <c r="AC1352" t="s">
        <v>8777</v>
      </c>
      <c r="AF1352" t="s">
        <v>15999</v>
      </c>
      <c r="AI1352" t="s">
        <v>8777</v>
      </c>
      <c r="AO1352" t="s">
        <v>16000</v>
      </c>
    </row>
    <row r="1353" spans="1:41" hidden="1" x14ac:dyDescent="0.35">
      <c r="A1353" t="s">
        <v>16001</v>
      </c>
      <c r="B1353" t="s">
        <v>7246</v>
      </c>
      <c r="C1353" t="s">
        <v>5787</v>
      </c>
      <c r="D1353" t="s">
        <v>5787</v>
      </c>
      <c r="E1353" t="s">
        <v>5787</v>
      </c>
      <c r="G1353" s="13" t="s">
        <v>15793</v>
      </c>
      <c r="H1353" t="s">
        <v>15794</v>
      </c>
      <c r="I1353" t="s">
        <v>16002</v>
      </c>
      <c r="J1353" t="s">
        <v>16003</v>
      </c>
      <c r="K1353" t="s">
        <v>11716</v>
      </c>
      <c r="L1353" t="s">
        <v>11717</v>
      </c>
      <c r="M1353" t="s">
        <v>7250</v>
      </c>
      <c r="T1353" t="s">
        <v>6546</v>
      </c>
      <c r="U1353" t="s">
        <v>6546</v>
      </c>
      <c r="V1353" t="s">
        <v>6546</v>
      </c>
      <c r="W1353">
        <v>194.83</v>
      </c>
      <c r="X1353">
        <v>194.83</v>
      </c>
      <c r="AB1353" t="s">
        <v>15197</v>
      </c>
      <c r="AC1353" t="s">
        <v>8777</v>
      </c>
      <c r="AF1353" t="s">
        <v>16004</v>
      </c>
      <c r="AI1353" t="s">
        <v>8777</v>
      </c>
      <c r="AO1353" t="s">
        <v>16005</v>
      </c>
    </row>
    <row r="1354" spans="1:41" hidden="1" x14ac:dyDescent="0.35">
      <c r="A1354" t="s">
        <v>16006</v>
      </c>
      <c r="B1354" t="s">
        <v>7246</v>
      </c>
      <c r="C1354" t="s">
        <v>5643</v>
      </c>
      <c r="D1354" t="s">
        <v>5643</v>
      </c>
      <c r="E1354" t="s">
        <v>5643</v>
      </c>
      <c r="G1354" s="13" t="s">
        <v>16007</v>
      </c>
      <c r="H1354" t="s">
        <v>16008</v>
      </c>
      <c r="J1354" t="s">
        <v>16009</v>
      </c>
      <c r="K1354" t="s">
        <v>13452</v>
      </c>
      <c r="L1354" t="s">
        <v>13453</v>
      </c>
      <c r="M1354" t="s">
        <v>7250</v>
      </c>
      <c r="T1354" t="s">
        <v>6546</v>
      </c>
      <c r="U1354" t="s">
        <v>6546</v>
      </c>
      <c r="V1354" t="s">
        <v>6546</v>
      </c>
      <c r="W1354">
        <v>63.09</v>
      </c>
      <c r="X1354">
        <v>63.09</v>
      </c>
      <c r="AB1354" t="s">
        <v>16010</v>
      </c>
      <c r="AC1354" t="s">
        <v>8777</v>
      </c>
      <c r="AF1354" t="s">
        <v>15751</v>
      </c>
      <c r="AI1354" t="s">
        <v>8777</v>
      </c>
      <c r="AO1354" t="s">
        <v>16011</v>
      </c>
    </row>
    <row r="1355" spans="1:41" hidden="1" x14ac:dyDescent="0.35">
      <c r="A1355" t="s">
        <v>16012</v>
      </c>
      <c r="B1355" t="s">
        <v>7246</v>
      </c>
      <c r="C1355" t="s">
        <v>5643</v>
      </c>
      <c r="D1355" t="s">
        <v>5643</v>
      </c>
      <c r="E1355" t="s">
        <v>5643</v>
      </c>
      <c r="G1355" s="13" t="s">
        <v>16013</v>
      </c>
      <c r="H1355" t="s">
        <v>16014</v>
      </c>
      <c r="J1355" t="s">
        <v>16015</v>
      </c>
      <c r="K1355" t="s">
        <v>15725</v>
      </c>
      <c r="L1355" t="s">
        <v>15726</v>
      </c>
      <c r="M1355" t="s">
        <v>7250</v>
      </c>
      <c r="T1355" t="s">
        <v>6546</v>
      </c>
      <c r="U1355" t="s">
        <v>6546</v>
      </c>
      <c r="V1355" t="s">
        <v>6546</v>
      </c>
      <c r="W1355">
        <v>90.54</v>
      </c>
      <c r="X1355">
        <v>90.54</v>
      </c>
      <c r="AB1355" t="s">
        <v>13447</v>
      </c>
      <c r="AC1355" t="s">
        <v>8777</v>
      </c>
      <c r="AF1355" t="s">
        <v>1377</v>
      </c>
      <c r="AI1355" t="s">
        <v>8777</v>
      </c>
      <c r="AO1355" t="s">
        <v>16016</v>
      </c>
    </row>
    <row r="1356" spans="1:41" hidden="1" x14ac:dyDescent="0.35">
      <c r="A1356" t="s">
        <v>16017</v>
      </c>
      <c r="B1356" t="s">
        <v>7246</v>
      </c>
      <c r="C1356" t="s">
        <v>5586</v>
      </c>
      <c r="D1356" t="s">
        <v>5586</v>
      </c>
      <c r="E1356" t="s">
        <v>5586</v>
      </c>
      <c r="G1356" s="13" t="s">
        <v>16018</v>
      </c>
      <c r="H1356" t="s">
        <v>16019</v>
      </c>
      <c r="J1356" t="s">
        <v>16020</v>
      </c>
      <c r="K1356" t="s">
        <v>12016</v>
      </c>
      <c r="L1356" t="s">
        <v>12016</v>
      </c>
      <c r="M1356" t="s">
        <v>7250</v>
      </c>
      <c r="T1356" t="s">
        <v>6546</v>
      </c>
      <c r="U1356" t="s">
        <v>6546</v>
      </c>
      <c r="V1356" t="s">
        <v>6546</v>
      </c>
      <c r="W1356">
        <v>65.209999999999994</v>
      </c>
      <c r="X1356">
        <v>65.209999999999994</v>
      </c>
      <c r="Y1356">
        <v>800</v>
      </c>
      <c r="Z1356" t="s">
        <v>8842</v>
      </c>
      <c r="AB1356" t="s">
        <v>16021</v>
      </c>
      <c r="AC1356" t="s">
        <v>8777</v>
      </c>
      <c r="AF1356" t="s">
        <v>15376</v>
      </c>
      <c r="AI1356" t="s">
        <v>8777</v>
      </c>
      <c r="AO1356" t="s">
        <v>16022</v>
      </c>
    </row>
    <row r="1357" spans="1:41" hidden="1" x14ac:dyDescent="0.35">
      <c r="A1357" t="s">
        <v>16023</v>
      </c>
      <c r="B1357" t="s">
        <v>7246</v>
      </c>
      <c r="C1357" t="s">
        <v>5613</v>
      </c>
      <c r="D1357" t="s">
        <v>5613</v>
      </c>
      <c r="E1357" t="s">
        <v>5613</v>
      </c>
      <c r="G1357" s="13" t="s">
        <v>16024</v>
      </c>
      <c r="H1357" t="s">
        <v>16025</v>
      </c>
      <c r="J1357" t="s">
        <v>16026</v>
      </c>
      <c r="K1357" t="s">
        <v>15240</v>
      </c>
      <c r="L1357" t="s">
        <v>15241</v>
      </c>
      <c r="M1357" t="s">
        <v>7250</v>
      </c>
      <c r="T1357" t="s">
        <v>6546</v>
      </c>
      <c r="U1357" t="s">
        <v>6546</v>
      </c>
      <c r="V1357" t="s">
        <v>6546</v>
      </c>
      <c r="W1357">
        <v>105.18</v>
      </c>
      <c r="X1357">
        <v>105.18</v>
      </c>
      <c r="AB1357" t="s">
        <v>16027</v>
      </c>
      <c r="AC1357" t="s">
        <v>8777</v>
      </c>
      <c r="AF1357" t="s">
        <v>15363</v>
      </c>
      <c r="AI1357" t="s">
        <v>8777</v>
      </c>
      <c r="AO1357" t="s">
        <v>16028</v>
      </c>
    </row>
    <row r="1358" spans="1:41" hidden="1" x14ac:dyDescent="0.35">
      <c r="A1358" t="s">
        <v>16029</v>
      </c>
      <c r="B1358" t="s">
        <v>7246</v>
      </c>
      <c r="C1358" t="s">
        <v>5613</v>
      </c>
      <c r="D1358" t="s">
        <v>5613</v>
      </c>
      <c r="E1358" t="s">
        <v>5613</v>
      </c>
      <c r="G1358" s="13" t="s">
        <v>16030</v>
      </c>
      <c r="H1358" t="s">
        <v>16031</v>
      </c>
      <c r="J1358" t="s">
        <v>16032</v>
      </c>
      <c r="K1358" t="s">
        <v>15240</v>
      </c>
      <c r="L1358" t="s">
        <v>15241</v>
      </c>
      <c r="M1358" t="s">
        <v>7250</v>
      </c>
      <c r="T1358" t="s">
        <v>6546</v>
      </c>
      <c r="U1358" t="s">
        <v>6546</v>
      </c>
      <c r="V1358">
        <v>70</v>
      </c>
      <c r="W1358">
        <v>56.88</v>
      </c>
      <c r="X1358">
        <v>70</v>
      </c>
      <c r="Y1358">
        <v>36</v>
      </c>
      <c r="Z1358" t="s">
        <v>7253</v>
      </c>
      <c r="AB1358" t="s">
        <v>16027</v>
      </c>
      <c r="AC1358" t="s">
        <v>8777</v>
      </c>
      <c r="AF1358" t="s">
        <v>15460</v>
      </c>
      <c r="AI1358" t="s">
        <v>8777</v>
      </c>
      <c r="AO1358" t="s">
        <v>16033</v>
      </c>
    </row>
    <row r="1359" spans="1:41" hidden="1" x14ac:dyDescent="0.35">
      <c r="A1359" t="s">
        <v>16034</v>
      </c>
      <c r="B1359" t="s">
        <v>7246</v>
      </c>
      <c r="C1359" t="s">
        <v>5613</v>
      </c>
      <c r="D1359" t="s">
        <v>5613</v>
      </c>
      <c r="E1359" t="s">
        <v>5613</v>
      </c>
      <c r="G1359" s="13" t="s">
        <v>16035</v>
      </c>
      <c r="H1359" t="s">
        <v>16036</v>
      </c>
      <c r="J1359" t="s">
        <v>16037</v>
      </c>
      <c r="K1359" t="s">
        <v>15240</v>
      </c>
      <c r="L1359" t="s">
        <v>15241</v>
      </c>
      <c r="M1359" t="s">
        <v>7250</v>
      </c>
      <c r="T1359" t="s">
        <v>6546</v>
      </c>
      <c r="U1359" t="s">
        <v>6546</v>
      </c>
      <c r="V1359">
        <v>60</v>
      </c>
      <c r="W1359">
        <v>51.05</v>
      </c>
      <c r="X1359">
        <v>60</v>
      </c>
      <c r="Y1359">
        <v>32</v>
      </c>
      <c r="Z1359" t="s">
        <v>7253</v>
      </c>
      <c r="AB1359" t="s">
        <v>16027</v>
      </c>
      <c r="AC1359" t="s">
        <v>8777</v>
      </c>
      <c r="AF1359" t="s">
        <v>15964</v>
      </c>
      <c r="AI1359" t="s">
        <v>8777</v>
      </c>
      <c r="AO1359" t="s">
        <v>16038</v>
      </c>
    </row>
    <row r="1360" spans="1:41" hidden="1" x14ac:dyDescent="0.35">
      <c r="A1360" t="s">
        <v>16039</v>
      </c>
      <c r="B1360" t="s">
        <v>7246</v>
      </c>
      <c r="C1360" t="s">
        <v>5613</v>
      </c>
      <c r="D1360" t="s">
        <v>5613</v>
      </c>
      <c r="E1360" t="s">
        <v>5613</v>
      </c>
      <c r="G1360" s="13" t="s">
        <v>16040</v>
      </c>
      <c r="H1360" t="s">
        <v>16041</v>
      </c>
      <c r="J1360" t="s">
        <v>16042</v>
      </c>
      <c r="K1360" t="s">
        <v>15240</v>
      </c>
      <c r="L1360" t="s">
        <v>15241</v>
      </c>
      <c r="M1360" t="s">
        <v>7250</v>
      </c>
      <c r="T1360" t="s">
        <v>6546</v>
      </c>
      <c r="U1360" t="s">
        <v>6546</v>
      </c>
      <c r="V1360" t="s">
        <v>6546</v>
      </c>
      <c r="W1360">
        <v>135.59</v>
      </c>
      <c r="X1360">
        <v>135.59</v>
      </c>
      <c r="AB1360" t="s">
        <v>16027</v>
      </c>
      <c r="AC1360" t="s">
        <v>8777</v>
      </c>
      <c r="AF1360" t="s">
        <v>15243</v>
      </c>
      <c r="AI1360" t="s">
        <v>8777</v>
      </c>
      <c r="AO1360" t="s">
        <v>16043</v>
      </c>
    </row>
    <row r="1361" spans="1:41" hidden="1" x14ac:dyDescent="0.35">
      <c r="A1361" t="s">
        <v>16044</v>
      </c>
      <c r="B1361" t="s">
        <v>7246</v>
      </c>
      <c r="C1361" t="s">
        <v>5613</v>
      </c>
      <c r="D1361" t="s">
        <v>5613</v>
      </c>
      <c r="E1361" t="s">
        <v>5613</v>
      </c>
      <c r="G1361" s="13" t="s">
        <v>16045</v>
      </c>
      <c r="H1361" t="s">
        <v>16046</v>
      </c>
      <c r="J1361" t="s">
        <v>16047</v>
      </c>
      <c r="K1361" t="s">
        <v>15203</v>
      </c>
      <c r="L1361" t="s">
        <v>15204</v>
      </c>
      <c r="M1361" t="s">
        <v>7250</v>
      </c>
      <c r="T1361" t="s">
        <v>6546</v>
      </c>
      <c r="U1361" t="s">
        <v>6546</v>
      </c>
      <c r="V1361" t="s">
        <v>6546</v>
      </c>
      <c r="W1361">
        <v>63.01</v>
      </c>
      <c r="X1361">
        <v>63.01</v>
      </c>
      <c r="AB1361" t="s">
        <v>16048</v>
      </c>
      <c r="AC1361" t="s">
        <v>8777</v>
      </c>
      <c r="AF1361" t="s">
        <v>15636</v>
      </c>
      <c r="AI1361" t="s">
        <v>8777</v>
      </c>
      <c r="AO1361" t="s">
        <v>16049</v>
      </c>
    </row>
    <row r="1362" spans="1:41" hidden="1" x14ac:dyDescent="0.35">
      <c r="A1362" t="s">
        <v>16050</v>
      </c>
      <c r="B1362" t="s">
        <v>7246</v>
      </c>
      <c r="C1362" t="s">
        <v>5861</v>
      </c>
      <c r="D1362" t="s">
        <v>5861</v>
      </c>
      <c r="E1362" t="s">
        <v>5861</v>
      </c>
      <c r="G1362" s="13" t="s">
        <v>16051</v>
      </c>
      <c r="H1362" t="s">
        <v>16052</v>
      </c>
      <c r="J1362" t="s">
        <v>16053</v>
      </c>
      <c r="K1362" t="s">
        <v>8694</v>
      </c>
      <c r="L1362" t="s">
        <v>8694</v>
      </c>
      <c r="M1362" t="s">
        <v>7250</v>
      </c>
      <c r="T1362" t="s">
        <v>6546</v>
      </c>
      <c r="U1362" t="s">
        <v>6546</v>
      </c>
      <c r="V1362" t="s">
        <v>6546</v>
      </c>
      <c r="W1362">
        <v>44.19</v>
      </c>
      <c r="X1362">
        <v>44.19</v>
      </c>
      <c r="AB1362" t="s">
        <v>5890</v>
      </c>
      <c r="AC1362" t="s">
        <v>8777</v>
      </c>
      <c r="AF1362" t="s">
        <v>11585</v>
      </c>
      <c r="AI1362" t="s">
        <v>8777</v>
      </c>
      <c r="AO1362" t="s">
        <v>16054</v>
      </c>
    </row>
    <row r="1363" spans="1:41" hidden="1" x14ac:dyDescent="0.35">
      <c r="A1363" t="s">
        <v>16055</v>
      </c>
      <c r="B1363" t="s">
        <v>7246</v>
      </c>
      <c r="C1363" t="s">
        <v>5643</v>
      </c>
      <c r="D1363" t="s">
        <v>5613</v>
      </c>
      <c r="E1363" t="s">
        <v>16056</v>
      </c>
      <c r="G1363" s="13" t="s">
        <v>16057</v>
      </c>
      <c r="H1363" t="s">
        <v>16058</v>
      </c>
      <c r="J1363" t="s">
        <v>16059</v>
      </c>
      <c r="K1363" t="s">
        <v>16060</v>
      </c>
      <c r="L1363" t="s">
        <v>16061</v>
      </c>
      <c r="M1363" t="s">
        <v>7250</v>
      </c>
      <c r="T1363" t="s">
        <v>6546</v>
      </c>
      <c r="U1363" t="s">
        <v>6546</v>
      </c>
      <c r="V1363" t="s">
        <v>6546</v>
      </c>
      <c r="W1363">
        <v>86.2</v>
      </c>
      <c r="X1363">
        <v>86.2</v>
      </c>
      <c r="AB1363" t="s">
        <v>9602</v>
      </c>
      <c r="AC1363" t="s">
        <v>8777</v>
      </c>
      <c r="AF1363" t="s">
        <v>15403</v>
      </c>
      <c r="AI1363" t="s">
        <v>8777</v>
      </c>
      <c r="AO1363" t="s">
        <v>16062</v>
      </c>
    </row>
    <row r="1364" spans="1:41" hidden="1" x14ac:dyDescent="0.35">
      <c r="A1364" t="s">
        <v>16063</v>
      </c>
      <c r="B1364" t="s">
        <v>7246</v>
      </c>
      <c r="C1364" t="s">
        <v>5714</v>
      </c>
      <c r="D1364" t="s">
        <v>5714</v>
      </c>
      <c r="E1364" t="s">
        <v>5714</v>
      </c>
      <c r="G1364" s="13" t="s">
        <v>16064</v>
      </c>
      <c r="H1364" t="s">
        <v>16065</v>
      </c>
      <c r="J1364" t="s">
        <v>16066</v>
      </c>
      <c r="K1364" t="s">
        <v>13601</v>
      </c>
      <c r="L1364" t="s">
        <v>13602</v>
      </c>
      <c r="M1364" t="s">
        <v>7250</v>
      </c>
      <c r="N1364">
        <v>1980</v>
      </c>
      <c r="T1364" t="s">
        <v>6546</v>
      </c>
      <c r="U1364" t="s">
        <v>6546</v>
      </c>
      <c r="V1364">
        <v>96.2</v>
      </c>
      <c r="W1364">
        <v>98.95</v>
      </c>
      <c r="X1364">
        <v>96.2</v>
      </c>
      <c r="Y1364">
        <v>47.99</v>
      </c>
      <c r="Z1364" t="s">
        <v>7253</v>
      </c>
      <c r="AB1364" t="s">
        <v>16067</v>
      </c>
      <c r="AC1364" t="s">
        <v>8777</v>
      </c>
      <c r="AF1364" t="s">
        <v>16068</v>
      </c>
      <c r="AI1364" t="s">
        <v>8777</v>
      </c>
      <c r="AO1364" t="s">
        <v>16069</v>
      </c>
    </row>
    <row r="1365" spans="1:41" hidden="1" x14ac:dyDescent="0.35">
      <c r="A1365" t="s">
        <v>16070</v>
      </c>
      <c r="B1365" t="s">
        <v>7246</v>
      </c>
      <c r="C1365" t="s">
        <v>5566</v>
      </c>
      <c r="D1365" t="s">
        <v>5566</v>
      </c>
      <c r="E1365" t="s">
        <v>5566</v>
      </c>
      <c r="G1365" s="13" t="s">
        <v>16071</v>
      </c>
      <c r="H1365" t="s">
        <v>16072</v>
      </c>
      <c r="J1365" t="s">
        <v>16073</v>
      </c>
      <c r="K1365" t="s">
        <v>11559</v>
      </c>
      <c r="L1365" t="s">
        <v>11560</v>
      </c>
      <c r="M1365" t="s">
        <v>7250</v>
      </c>
      <c r="T1365" t="s">
        <v>6546</v>
      </c>
      <c r="U1365" t="s">
        <v>6546</v>
      </c>
      <c r="V1365" t="s">
        <v>6546</v>
      </c>
      <c r="W1365">
        <v>21.52</v>
      </c>
      <c r="X1365">
        <v>21.52</v>
      </c>
      <c r="AB1365" t="s">
        <v>1703</v>
      </c>
      <c r="AC1365" t="s">
        <v>8777</v>
      </c>
      <c r="AF1365" t="s">
        <v>16074</v>
      </c>
      <c r="AI1365" t="s">
        <v>8777</v>
      </c>
      <c r="AO1365" t="s">
        <v>16075</v>
      </c>
    </row>
    <row r="1366" spans="1:41" hidden="1" x14ac:dyDescent="0.35">
      <c r="A1366" t="s">
        <v>16076</v>
      </c>
      <c r="B1366" t="s">
        <v>7246</v>
      </c>
      <c r="C1366" t="s">
        <v>5566</v>
      </c>
      <c r="D1366" t="s">
        <v>5566</v>
      </c>
      <c r="E1366" t="s">
        <v>5566</v>
      </c>
      <c r="G1366" s="13" t="s">
        <v>16077</v>
      </c>
      <c r="H1366" t="s">
        <v>16078</v>
      </c>
      <c r="J1366" t="s">
        <v>16079</v>
      </c>
      <c r="K1366" t="s">
        <v>11559</v>
      </c>
      <c r="L1366" t="s">
        <v>11560</v>
      </c>
      <c r="M1366" t="s">
        <v>7250</v>
      </c>
      <c r="T1366" t="s">
        <v>6546</v>
      </c>
      <c r="U1366" t="s">
        <v>6546</v>
      </c>
      <c r="V1366" t="s">
        <v>6546</v>
      </c>
      <c r="W1366">
        <v>82.1</v>
      </c>
      <c r="X1366">
        <v>82.1</v>
      </c>
      <c r="AB1366" t="s">
        <v>16074</v>
      </c>
      <c r="AC1366" t="s">
        <v>8777</v>
      </c>
      <c r="AF1366" t="s">
        <v>16080</v>
      </c>
      <c r="AI1366" t="s">
        <v>8777</v>
      </c>
      <c r="AO1366" t="s">
        <v>16081</v>
      </c>
    </row>
    <row r="1367" spans="1:41" hidden="1" x14ac:dyDescent="0.35">
      <c r="A1367" t="s">
        <v>16082</v>
      </c>
      <c r="B1367" t="s">
        <v>7246</v>
      </c>
      <c r="C1367" t="s">
        <v>5591</v>
      </c>
      <c r="D1367" t="s">
        <v>5591</v>
      </c>
      <c r="E1367" t="s">
        <v>5591</v>
      </c>
      <c r="G1367" s="13" t="s">
        <v>16083</v>
      </c>
      <c r="H1367" t="s">
        <v>16084</v>
      </c>
      <c r="J1367" t="s">
        <v>16085</v>
      </c>
      <c r="K1367" t="s">
        <v>11924</v>
      </c>
      <c r="L1367" t="s">
        <v>11925</v>
      </c>
      <c r="M1367" t="s">
        <v>7250</v>
      </c>
      <c r="T1367" t="s">
        <v>6546</v>
      </c>
      <c r="U1367" t="s">
        <v>6546</v>
      </c>
      <c r="V1367" t="s">
        <v>6546</v>
      </c>
      <c r="W1367">
        <v>54.13</v>
      </c>
      <c r="X1367">
        <v>54.13</v>
      </c>
      <c r="Y1367">
        <v>35.43</v>
      </c>
      <c r="Z1367" t="s">
        <v>7253</v>
      </c>
      <c r="AB1367" t="s">
        <v>15865</v>
      </c>
      <c r="AC1367" t="s">
        <v>8777</v>
      </c>
      <c r="AF1367" t="s">
        <v>16086</v>
      </c>
      <c r="AI1367" t="s">
        <v>8777</v>
      </c>
      <c r="AO1367" t="s">
        <v>16087</v>
      </c>
    </row>
    <row r="1368" spans="1:41" hidden="1" x14ac:dyDescent="0.35">
      <c r="A1368" t="s">
        <v>16088</v>
      </c>
      <c r="B1368" t="s">
        <v>7246</v>
      </c>
      <c r="C1368" t="s">
        <v>5591</v>
      </c>
      <c r="D1368" t="s">
        <v>5591</v>
      </c>
      <c r="E1368" t="s">
        <v>5591</v>
      </c>
      <c r="G1368" s="13" t="s">
        <v>16089</v>
      </c>
      <c r="H1368" t="s">
        <v>16090</v>
      </c>
      <c r="J1368" t="s">
        <v>16091</v>
      </c>
      <c r="K1368" t="s">
        <v>11924</v>
      </c>
      <c r="L1368" t="s">
        <v>11925</v>
      </c>
      <c r="M1368" t="s">
        <v>7250</v>
      </c>
      <c r="T1368" t="s">
        <v>6546</v>
      </c>
      <c r="U1368" t="s">
        <v>6546</v>
      </c>
      <c r="V1368" t="s">
        <v>6546</v>
      </c>
      <c r="W1368">
        <v>32.520000000000003</v>
      </c>
      <c r="X1368">
        <v>32.520000000000003</v>
      </c>
      <c r="Y1368">
        <v>35.43</v>
      </c>
      <c r="Z1368" t="s">
        <v>7253</v>
      </c>
      <c r="AB1368" t="s">
        <v>15865</v>
      </c>
      <c r="AC1368" t="s">
        <v>8777</v>
      </c>
      <c r="AF1368" t="s">
        <v>15598</v>
      </c>
      <c r="AI1368" t="s">
        <v>8777</v>
      </c>
      <c r="AO1368" t="s">
        <v>16092</v>
      </c>
    </row>
    <row r="1369" spans="1:41" hidden="1" x14ac:dyDescent="0.35">
      <c r="A1369" t="s">
        <v>16093</v>
      </c>
      <c r="B1369" t="s">
        <v>7246</v>
      </c>
      <c r="C1369" t="s">
        <v>5902</v>
      </c>
      <c r="D1369" t="s">
        <v>5902</v>
      </c>
      <c r="E1369" t="s">
        <v>5902</v>
      </c>
      <c r="G1369" s="13" t="s">
        <v>16094</v>
      </c>
      <c r="H1369" t="s">
        <v>16095</v>
      </c>
      <c r="J1369" t="s">
        <v>16096</v>
      </c>
      <c r="K1369" t="s">
        <v>15840</v>
      </c>
      <c r="L1369" t="s">
        <v>15840</v>
      </c>
      <c r="M1369" t="s">
        <v>7250</v>
      </c>
      <c r="T1369" t="s">
        <v>6546</v>
      </c>
      <c r="U1369" t="s">
        <v>6546</v>
      </c>
      <c r="V1369" t="s">
        <v>6546</v>
      </c>
      <c r="W1369">
        <v>27.13</v>
      </c>
      <c r="X1369">
        <v>27.13</v>
      </c>
      <c r="AB1369" t="s">
        <v>15107</v>
      </c>
      <c r="AC1369" t="s">
        <v>8777</v>
      </c>
      <c r="AF1369" t="s">
        <v>9374</v>
      </c>
      <c r="AI1369" t="s">
        <v>8777</v>
      </c>
      <c r="AO1369" t="s">
        <v>16097</v>
      </c>
    </row>
    <row r="1370" spans="1:41" hidden="1" x14ac:dyDescent="0.35">
      <c r="A1370" t="s">
        <v>16098</v>
      </c>
      <c r="B1370" t="s">
        <v>7246</v>
      </c>
      <c r="C1370" t="s">
        <v>5599</v>
      </c>
      <c r="D1370" t="s">
        <v>5599</v>
      </c>
      <c r="E1370" t="s">
        <v>5599</v>
      </c>
      <c r="G1370" s="13" t="s">
        <v>16099</v>
      </c>
      <c r="H1370" t="s">
        <v>16100</v>
      </c>
      <c r="J1370" t="s">
        <v>16101</v>
      </c>
      <c r="K1370" t="s">
        <v>15840</v>
      </c>
      <c r="L1370" t="s">
        <v>15840</v>
      </c>
      <c r="M1370" t="s">
        <v>7250</v>
      </c>
      <c r="T1370" t="s">
        <v>6546</v>
      </c>
      <c r="U1370" t="s">
        <v>6546</v>
      </c>
      <c r="V1370" t="s">
        <v>6546</v>
      </c>
      <c r="W1370">
        <v>57.38</v>
      </c>
      <c r="X1370">
        <v>57.38</v>
      </c>
      <c r="AB1370" t="s">
        <v>15883</v>
      </c>
      <c r="AC1370" t="s">
        <v>8777</v>
      </c>
      <c r="AF1370" t="s">
        <v>16102</v>
      </c>
      <c r="AI1370" t="s">
        <v>8777</v>
      </c>
      <c r="AO1370" t="s">
        <v>16103</v>
      </c>
    </row>
    <row r="1371" spans="1:41" hidden="1" x14ac:dyDescent="0.35">
      <c r="A1371" t="s">
        <v>16104</v>
      </c>
      <c r="B1371" t="s">
        <v>7246</v>
      </c>
      <c r="C1371" t="s">
        <v>5599</v>
      </c>
      <c r="D1371" t="s">
        <v>5599</v>
      </c>
      <c r="E1371" t="s">
        <v>5599</v>
      </c>
      <c r="G1371" s="13" t="s">
        <v>16105</v>
      </c>
      <c r="H1371" t="s">
        <v>16106</v>
      </c>
      <c r="J1371" t="s">
        <v>16107</v>
      </c>
      <c r="K1371" t="s">
        <v>15840</v>
      </c>
      <c r="L1371" t="s">
        <v>15840</v>
      </c>
      <c r="M1371" t="s">
        <v>7250</v>
      </c>
      <c r="T1371" t="s">
        <v>6546</v>
      </c>
      <c r="U1371" t="s">
        <v>6546</v>
      </c>
      <c r="V1371" t="s">
        <v>6546</v>
      </c>
      <c r="W1371">
        <v>60.09</v>
      </c>
      <c r="X1371">
        <v>60.09</v>
      </c>
      <c r="AB1371" t="s">
        <v>15883</v>
      </c>
      <c r="AC1371" t="s">
        <v>8777</v>
      </c>
      <c r="AF1371" t="s">
        <v>1721</v>
      </c>
      <c r="AI1371" t="s">
        <v>8777</v>
      </c>
      <c r="AO1371" t="s">
        <v>16108</v>
      </c>
    </row>
    <row r="1372" spans="1:41" hidden="1" x14ac:dyDescent="0.35">
      <c r="A1372" t="s">
        <v>16109</v>
      </c>
      <c r="B1372" t="s">
        <v>7246</v>
      </c>
      <c r="C1372" t="s">
        <v>5599</v>
      </c>
      <c r="D1372" t="s">
        <v>5599</v>
      </c>
      <c r="E1372" t="s">
        <v>5599</v>
      </c>
      <c r="G1372" s="13" t="s">
        <v>16110</v>
      </c>
      <c r="H1372" t="s">
        <v>16111</v>
      </c>
      <c r="J1372" t="s">
        <v>16112</v>
      </c>
      <c r="K1372" t="s">
        <v>15840</v>
      </c>
      <c r="L1372" t="s">
        <v>15840</v>
      </c>
      <c r="M1372" t="s">
        <v>7250</v>
      </c>
      <c r="T1372" t="s">
        <v>6546</v>
      </c>
      <c r="U1372" t="s">
        <v>6546</v>
      </c>
      <c r="V1372" t="s">
        <v>6546</v>
      </c>
      <c r="W1372">
        <v>200.74</v>
      </c>
      <c r="X1372">
        <v>200.74</v>
      </c>
      <c r="AB1372" t="s">
        <v>15883</v>
      </c>
      <c r="AC1372" t="s">
        <v>8777</v>
      </c>
      <c r="AF1372" t="s">
        <v>16113</v>
      </c>
      <c r="AI1372" t="s">
        <v>8777</v>
      </c>
      <c r="AO1372" t="s">
        <v>16114</v>
      </c>
    </row>
    <row r="1373" spans="1:41" hidden="1" x14ac:dyDescent="0.35">
      <c r="A1373" t="s">
        <v>16115</v>
      </c>
      <c r="B1373" t="s">
        <v>7246</v>
      </c>
      <c r="C1373" t="s">
        <v>5613</v>
      </c>
      <c r="D1373" t="s">
        <v>5613</v>
      </c>
      <c r="E1373" t="s">
        <v>5613</v>
      </c>
      <c r="G1373" s="13" t="s">
        <v>16116</v>
      </c>
      <c r="H1373" t="s">
        <v>16117</v>
      </c>
      <c r="J1373" t="s">
        <v>16118</v>
      </c>
      <c r="K1373" t="s">
        <v>15203</v>
      </c>
      <c r="L1373" t="s">
        <v>15204</v>
      </c>
      <c r="M1373" t="s">
        <v>7250</v>
      </c>
      <c r="T1373" t="s">
        <v>6546</v>
      </c>
      <c r="U1373" t="s">
        <v>6546</v>
      </c>
      <c r="V1373" t="s">
        <v>6546</v>
      </c>
      <c r="W1373">
        <v>202.87</v>
      </c>
      <c r="X1373">
        <v>202.87</v>
      </c>
      <c r="AB1373" t="s">
        <v>16119</v>
      </c>
      <c r="AC1373" t="s">
        <v>8777</v>
      </c>
      <c r="AF1373" t="s">
        <v>16120</v>
      </c>
      <c r="AI1373" t="s">
        <v>8777</v>
      </c>
      <c r="AO1373" t="s">
        <v>16121</v>
      </c>
    </row>
    <row r="1374" spans="1:41" hidden="1" x14ac:dyDescent="0.35">
      <c r="A1374" t="s">
        <v>16122</v>
      </c>
      <c r="B1374" t="s">
        <v>7246</v>
      </c>
      <c r="C1374" t="s">
        <v>5830</v>
      </c>
      <c r="D1374" t="s">
        <v>5830</v>
      </c>
      <c r="E1374" t="s">
        <v>5830</v>
      </c>
      <c r="G1374" s="13" t="s">
        <v>16123</v>
      </c>
      <c r="H1374" t="s">
        <v>16124</v>
      </c>
      <c r="J1374" t="s">
        <v>16125</v>
      </c>
      <c r="K1374" t="s">
        <v>11952</v>
      </c>
      <c r="L1374" t="s">
        <v>11953</v>
      </c>
      <c r="M1374" t="s">
        <v>7250</v>
      </c>
      <c r="T1374" t="s">
        <v>6546</v>
      </c>
      <c r="U1374" t="s">
        <v>6546</v>
      </c>
      <c r="V1374" t="s">
        <v>6546</v>
      </c>
      <c r="W1374">
        <v>44.63</v>
      </c>
      <c r="X1374">
        <v>44.63</v>
      </c>
      <c r="AB1374" t="s">
        <v>12025</v>
      </c>
      <c r="AC1374" t="s">
        <v>8777</v>
      </c>
      <c r="AF1374" t="s">
        <v>16126</v>
      </c>
      <c r="AI1374" t="s">
        <v>8777</v>
      </c>
      <c r="AO1374" t="s">
        <v>16127</v>
      </c>
    </row>
    <row r="1375" spans="1:41" hidden="1" x14ac:dyDescent="0.35">
      <c r="A1375" t="s">
        <v>16128</v>
      </c>
      <c r="B1375" t="s">
        <v>7246</v>
      </c>
      <c r="C1375" t="s">
        <v>5787</v>
      </c>
      <c r="D1375" t="s">
        <v>5787</v>
      </c>
      <c r="E1375" t="s">
        <v>5787</v>
      </c>
      <c r="G1375" s="13" t="s">
        <v>16129</v>
      </c>
      <c r="H1375" t="s">
        <v>16130</v>
      </c>
      <c r="J1375" t="s">
        <v>16131</v>
      </c>
      <c r="K1375" t="s">
        <v>11716</v>
      </c>
      <c r="L1375" t="s">
        <v>11717</v>
      </c>
      <c r="M1375" t="s">
        <v>7250</v>
      </c>
      <c r="T1375" t="s">
        <v>6546</v>
      </c>
      <c r="U1375" t="s">
        <v>6546</v>
      </c>
      <c r="V1375" t="s">
        <v>6546</v>
      </c>
      <c r="W1375">
        <v>96.71</v>
      </c>
      <c r="X1375">
        <v>96.71</v>
      </c>
      <c r="AB1375" t="s">
        <v>15624</v>
      </c>
      <c r="AC1375" t="s">
        <v>8777</v>
      </c>
      <c r="AF1375" t="s">
        <v>15623</v>
      </c>
      <c r="AI1375" t="s">
        <v>8777</v>
      </c>
      <c r="AO1375" t="s">
        <v>15625</v>
      </c>
    </row>
    <row r="1376" spans="1:41" hidden="1" x14ac:dyDescent="0.35">
      <c r="A1376" t="s">
        <v>16132</v>
      </c>
      <c r="B1376" t="s">
        <v>7246</v>
      </c>
      <c r="C1376" t="s">
        <v>5714</v>
      </c>
      <c r="D1376" t="s">
        <v>5714</v>
      </c>
      <c r="E1376" t="s">
        <v>5714</v>
      </c>
      <c r="G1376" s="13" t="s">
        <v>16133</v>
      </c>
      <c r="H1376" t="s">
        <v>16134</v>
      </c>
      <c r="J1376" t="s">
        <v>16135</v>
      </c>
      <c r="K1376" t="s">
        <v>13601</v>
      </c>
      <c r="L1376" t="s">
        <v>13602</v>
      </c>
      <c r="M1376" t="s">
        <v>7250</v>
      </c>
      <c r="N1376">
        <v>1968</v>
      </c>
      <c r="T1376" t="s">
        <v>6546</v>
      </c>
      <c r="U1376" t="s">
        <v>6546</v>
      </c>
      <c r="V1376">
        <v>36.6</v>
      </c>
      <c r="W1376">
        <v>30.74</v>
      </c>
      <c r="X1376">
        <v>36.6</v>
      </c>
      <c r="Y1376">
        <v>20</v>
      </c>
      <c r="Z1376" t="s">
        <v>7253</v>
      </c>
      <c r="AB1376" t="s">
        <v>15290</v>
      </c>
      <c r="AC1376" t="s">
        <v>8777</v>
      </c>
      <c r="AF1376" t="s">
        <v>15453</v>
      </c>
      <c r="AI1376" t="s">
        <v>8777</v>
      </c>
      <c r="AO1376" t="s">
        <v>16136</v>
      </c>
    </row>
    <row r="1377" spans="1:41" hidden="1" x14ac:dyDescent="0.35">
      <c r="A1377" t="s">
        <v>16137</v>
      </c>
      <c r="B1377" t="s">
        <v>7246</v>
      </c>
      <c r="C1377" t="s">
        <v>5714</v>
      </c>
      <c r="D1377" t="s">
        <v>5714</v>
      </c>
      <c r="E1377" t="s">
        <v>5714</v>
      </c>
      <c r="G1377" s="13" t="s">
        <v>16138</v>
      </c>
      <c r="H1377" t="s">
        <v>16139</v>
      </c>
      <c r="J1377" t="s">
        <v>16140</v>
      </c>
      <c r="K1377" t="s">
        <v>13601</v>
      </c>
      <c r="L1377" t="s">
        <v>13602</v>
      </c>
      <c r="M1377" t="s">
        <v>7250</v>
      </c>
      <c r="N1377">
        <v>1980</v>
      </c>
      <c r="T1377" t="s">
        <v>6546</v>
      </c>
      <c r="U1377" t="s">
        <v>6546</v>
      </c>
      <c r="V1377">
        <v>49.8</v>
      </c>
      <c r="W1377">
        <v>43.24</v>
      </c>
      <c r="X1377">
        <v>49.8</v>
      </c>
      <c r="Y1377">
        <v>47.99</v>
      </c>
      <c r="Z1377" t="s">
        <v>7253</v>
      </c>
      <c r="AB1377" t="s">
        <v>16141</v>
      </c>
      <c r="AC1377" t="s">
        <v>8777</v>
      </c>
      <c r="AF1377" t="s">
        <v>16142</v>
      </c>
      <c r="AI1377" t="s">
        <v>8777</v>
      </c>
      <c r="AO1377" t="s">
        <v>16143</v>
      </c>
    </row>
    <row r="1378" spans="1:41" hidden="1" x14ac:dyDescent="0.35">
      <c r="A1378" t="s">
        <v>16144</v>
      </c>
      <c r="B1378" t="s">
        <v>7246</v>
      </c>
      <c r="C1378" t="s">
        <v>5613</v>
      </c>
      <c r="D1378" t="s">
        <v>5613</v>
      </c>
      <c r="E1378" t="s">
        <v>5613</v>
      </c>
      <c r="G1378" s="13" t="s">
        <v>16145</v>
      </c>
      <c r="H1378" t="s">
        <v>16146</v>
      </c>
      <c r="J1378" t="s">
        <v>16147</v>
      </c>
      <c r="K1378" t="s">
        <v>15203</v>
      </c>
      <c r="L1378" t="s">
        <v>15204</v>
      </c>
      <c r="M1378" t="s">
        <v>7250</v>
      </c>
      <c r="T1378" t="s">
        <v>6546</v>
      </c>
      <c r="U1378" t="s">
        <v>6546</v>
      </c>
      <c r="V1378" t="s">
        <v>6546</v>
      </c>
      <c r="W1378">
        <v>113.23</v>
      </c>
      <c r="X1378">
        <v>113.23</v>
      </c>
      <c r="AB1378" t="s">
        <v>15506</v>
      </c>
      <c r="AC1378" t="s">
        <v>8777</v>
      </c>
      <c r="AF1378" t="s">
        <v>16148</v>
      </c>
      <c r="AI1378" t="s">
        <v>8777</v>
      </c>
      <c r="AO1378" t="s">
        <v>16149</v>
      </c>
    </row>
    <row r="1379" spans="1:41" hidden="1" x14ac:dyDescent="0.35">
      <c r="A1379" t="s">
        <v>16150</v>
      </c>
      <c r="B1379" t="s">
        <v>7246</v>
      </c>
      <c r="C1379" t="s">
        <v>5714</v>
      </c>
      <c r="D1379" t="s">
        <v>5714</v>
      </c>
      <c r="E1379" t="s">
        <v>5714</v>
      </c>
      <c r="G1379" s="13" t="s">
        <v>16151</v>
      </c>
      <c r="H1379" t="s">
        <v>16152</v>
      </c>
      <c r="J1379" t="s">
        <v>16153</v>
      </c>
      <c r="K1379" t="s">
        <v>13601</v>
      </c>
      <c r="L1379" t="s">
        <v>13602</v>
      </c>
      <c r="M1379" t="s">
        <v>7250</v>
      </c>
      <c r="N1379">
        <v>1996</v>
      </c>
      <c r="T1379" t="s">
        <v>6546</v>
      </c>
      <c r="U1379" t="s">
        <v>6546</v>
      </c>
      <c r="V1379">
        <v>76.900000000000006</v>
      </c>
      <c r="W1379">
        <v>60.19</v>
      </c>
      <c r="X1379">
        <v>76.900000000000006</v>
      </c>
      <c r="Y1379">
        <v>47.99</v>
      </c>
      <c r="Z1379" t="s">
        <v>7253</v>
      </c>
      <c r="AB1379" t="s">
        <v>16154</v>
      </c>
      <c r="AC1379" t="s">
        <v>8777</v>
      </c>
      <c r="AF1379" t="s">
        <v>3441</v>
      </c>
      <c r="AI1379" t="s">
        <v>8777</v>
      </c>
      <c r="AO1379" t="s">
        <v>16155</v>
      </c>
    </row>
    <row r="1380" spans="1:41" hidden="1" x14ac:dyDescent="0.35">
      <c r="A1380" t="s">
        <v>16156</v>
      </c>
      <c r="B1380" t="s">
        <v>7246</v>
      </c>
      <c r="C1380" t="s">
        <v>5787</v>
      </c>
      <c r="D1380" t="s">
        <v>5787</v>
      </c>
      <c r="E1380" t="s">
        <v>5787</v>
      </c>
      <c r="G1380" s="13" t="s">
        <v>16157</v>
      </c>
      <c r="H1380" t="s">
        <v>16158</v>
      </c>
      <c r="I1380" t="s">
        <v>16159</v>
      </c>
      <c r="J1380" t="s">
        <v>16160</v>
      </c>
      <c r="K1380" t="s">
        <v>11716</v>
      </c>
      <c r="L1380" t="s">
        <v>11717</v>
      </c>
      <c r="M1380" t="s">
        <v>7250</v>
      </c>
      <c r="T1380" t="s">
        <v>6546</v>
      </c>
      <c r="U1380" t="s">
        <v>6546</v>
      </c>
      <c r="V1380" t="s">
        <v>6546</v>
      </c>
      <c r="W1380">
        <v>91.92</v>
      </c>
      <c r="X1380">
        <v>91.92</v>
      </c>
      <c r="AB1380" t="s">
        <v>15624</v>
      </c>
      <c r="AC1380" t="s">
        <v>8777</v>
      </c>
      <c r="AF1380" t="s">
        <v>15623</v>
      </c>
      <c r="AI1380" t="s">
        <v>8777</v>
      </c>
      <c r="AO1380" t="s">
        <v>16161</v>
      </c>
    </row>
    <row r="1381" spans="1:41" hidden="1" x14ac:dyDescent="0.35">
      <c r="A1381" t="s">
        <v>16162</v>
      </c>
      <c r="B1381" t="s">
        <v>7246</v>
      </c>
      <c r="C1381" t="s">
        <v>5714</v>
      </c>
      <c r="D1381" t="s">
        <v>5714</v>
      </c>
      <c r="E1381" t="s">
        <v>5714</v>
      </c>
      <c r="G1381" s="13" t="s">
        <v>16163</v>
      </c>
      <c r="H1381" t="s">
        <v>16164</v>
      </c>
      <c r="I1381" t="s">
        <v>16165</v>
      </c>
      <c r="J1381" t="s">
        <v>16166</v>
      </c>
      <c r="K1381" t="s">
        <v>13601</v>
      </c>
      <c r="L1381" t="s">
        <v>13602</v>
      </c>
      <c r="M1381" t="s">
        <v>7250</v>
      </c>
      <c r="N1381">
        <v>1992</v>
      </c>
      <c r="T1381" t="s">
        <v>6546</v>
      </c>
      <c r="U1381" t="s">
        <v>6546</v>
      </c>
      <c r="V1381">
        <v>38.700000000000003</v>
      </c>
      <c r="W1381">
        <v>49.45</v>
      </c>
      <c r="X1381">
        <v>38.700000000000003</v>
      </c>
      <c r="Y1381">
        <v>47.99</v>
      </c>
      <c r="Z1381" t="s">
        <v>7253</v>
      </c>
      <c r="AB1381" t="s">
        <v>16167</v>
      </c>
      <c r="AC1381" t="s">
        <v>8777</v>
      </c>
      <c r="AF1381" t="s">
        <v>9774</v>
      </c>
      <c r="AI1381" t="s">
        <v>8777</v>
      </c>
      <c r="AO1381" t="s">
        <v>16168</v>
      </c>
    </row>
    <row r="1382" spans="1:41" hidden="1" x14ac:dyDescent="0.35">
      <c r="A1382" t="s">
        <v>16169</v>
      </c>
      <c r="B1382" t="s">
        <v>7246</v>
      </c>
      <c r="C1382" t="s">
        <v>5714</v>
      </c>
      <c r="D1382" t="s">
        <v>5714</v>
      </c>
      <c r="E1382" t="s">
        <v>5714</v>
      </c>
      <c r="G1382" s="13" t="s">
        <v>16170</v>
      </c>
      <c r="H1382" t="s">
        <v>16171</v>
      </c>
      <c r="J1382" t="s">
        <v>16172</v>
      </c>
      <c r="K1382" t="s">
        <v>13601</v>
      </c>
      <c r="L1382" t="s">
        <v>13602</v>
      </c>
      <c r="M1382" t="s">
        <v>7250</v>
      </c>
      <c r="N1382">
        <v>1969</v>
      </c>
      <c r="T1382" t="s">
        <v>6546</v>
      </c>
      <c r="U1382" t="s">
        <v>6546</v>
      </c>
      <c r="V1382">
        <v>58.5</v>
      </c>
      <c r="W1382">
        <v>57.72</v>
      </c>
      <c r="X1382">
        <v>58.5</v>
      </c>
      <c r="Y1382">
        <v>30</v>
      </c>
      <c r="Z1382" t="s">
        <v>7253</v>
      </c>
      <c r="AB1382" t="s">
        <v>16173</v>
      </c>
      <c r="AC1382" t="s">
        <v>8777</v>
      </c>
      <c r="AF1382" t="s">
        <v>9774</v>
      </c>
      <c r="AI1382" t="s">
        <v>8777</v>
      </c>
      <c r="AO1382" t="s">
        <v>16174</v>
      </c>
    </row>
    <row r="1383" spans="1:41" hidden="1" x14ac:dyDescent="0.35">
      <c r="A1383" t="s">
        <v>16175</v>
      </c>
      <c r="B1383" t="s">
        <v>7246</v>
      </c>
      <c r="C1383" t="s">
        <v>5714</v>
      </c>
      <c r="D1383" t="s">
        <v>5714</v>
      </c>
      <c r="E1383" t="s">
        <v>5714</v>
      </c>
      <c r="G1383" s="13" t="s">
        <v>16176</v>
      </c>
      <c r="H1383" t="s">
        <v>16177</v>
      </c>
      <c r="J1383" t="s">
        <v>16178</v>
      </c>
      <c r="K1383" t="s">
        <v>13601</v>
      </c>
      <c r="L1383" t="s">
        <v>13602</v>
      </c>
      <c r="M1383" t="s">
        <v>7250</v>
      </c>
      <c r="N1383">
        <v>1992</v>
      </c>
      <c r="T1383" t="s">
        <v>6546</v>
      </c>
      <c r="U1383" t="s">
        <v>6546</v>
      </c>
      <c r="V1383">
        <v>14.1</v>
      </c>
      <c r="W1383">
        <v>16.350000000000001</v>
      </c>
      <c r="X1383">
        <v>14.1</v>
      </c>
      <c r="Y1383">
        <v>30</v>
      </c>
      <c r="Z1383" t="s">
        <v>7253</v>
      </c>
      <c r="AB1383" t="s">
        <v>15446</v>
      </c>
      <c r="AC1383" t="s">
        <v>8777</v>
      </c>
      <c r="AF1383" t="s">
        <v>15895</v>
      </c>
      <c r="AI1383" t="s">
        <v>8777</v>
      </c>
      <c r="AO1383" t="s">
        <v>16179</v>
      </c>
    </row>
    <row r="1384" spans="1:41" hidden="1" x14ac:dyDescent="0.35">
      <c r="A1384" t="s">
        <v>16180</v>
      </c>
      <c r="B1384" t="s">
        <v>7246</v>
      </c>
      <c r="C1384" t="s">
        <v>12051</v>
      </c>
      <c r="D1384" t="s">
        <v>12051</v>
      </c>
      <c r="E1384" t="s">
        <v>12051</v>
      </c>
      <c r="G1384" s="13" t="s">
        <v>16181</v>
      </c>
      <c r="H1384" t="s">
        <v>16182</v>
      </c>
      <c r="J1384" t="s">
        <v>16183</v>
      </c>
      <c r="K1384" t="s">
        <v>12056</v>
      </c>
      <c r="L1384" t="s">
        <v>12057</v>
      </c>
      <c r="M1384" t="s">
        <v>7250</v>
      </c>
      <c r="T1384" t="s">
        <v>6546</v>
      </c>
      <c r="U1384" t="s">
        <v>6546</v>
      </c>
      <c r="V1384" t="s">
        <v>6546</v>
      </c>
      <c r="W1384">
        <v>33.340000000000003</v>
      </c>
      <c r="X1384">
        <v>33.340000000000003</v>
      </c>
      <c r="AB1384" t="s">
        <v>15234</v>
      </c>
      <c r="AC1384" t="s">
        <v>8777</v>
      </c>
      <c r="AF1384" t="s">
        <v>15542</v>
      </c>
      <c r="AI1384" t="s">
        <v>8777</v>
      </c>
      <c r="AO1384" t="s">
        <v>16184</v>
      </c>
    </row>
    <row r="1385" spans="1:41" hidden="1" x14ac:dyDescent="0.35">
      <c r="A1385" t="s">
        <v>16185</v>
      </c>
      <c r="B1385" t="s">
        <v>7246</v>
      </c>
      <c r="C1385" t="s">
        <v>12051</v>
      </c>
      <c r="D1385" t="s">
        <v>12051</v>
      </c>
      <c r="E1385" t="s">
        <v>12051</v>
      </c>
      <c r="G1385" s="13" t="s">
        <v>16186</v>
      </c>
      <c r="H1385" t="s">
        <v>16187</v>
      </c>
      <c r="J1385" t="s">
        <v>16188</v>
      </c>
      <c r="K1385" t="s">
        <v>12056</v>
      </c>
      <c r="L1385" t="s">
        <v>12057</v>
      </c>
      <c r="M1385" t="s">
        <v>7250</v>
      </c>
      <c r="T1385" t="s">
        <v>6546</v>
      </c>
      <c r="U1385" t="s">
        <v>6546</v>
      </c>
      <c r="V1385" t="s">
        <v>6546</v>
      </c>
      <c r="W1385">
        <v>43.6</v>
      </c>
      <c r="X1385">
        <v>43.6</v>
      </c>
      <c r="AB1385" t="s">
        <v>15234</v>
      </c>
      <c r="AC1385" t="s">
        <v>8777</v>
      </c>
      <c r="AF1385" t="s">
        <v>3407</v>
      </c>
      <c r="AI1385" t="s">
        <v>8777</v>
      </c>
      <c r="AO1385" t="s">
        <v>16189</v>
      </c>
    </row>
    <row r="1386" spans="1:41" hidden="1" x14ac:dyDescent="0.35">
      <c r="A1386" t="s">
        <v>16190</v>
      </c>
      <c r="B1386" t="s">
        <v>7246</v>
      </c>
      <c r="C1386" t="s">
        <v>5643</v>
      </c>
      <c r="D1386" t="s">
        <v>5643</v>
      </c>
      <c r="E1386" t="s">
        <v>5643</v>
      </c>
      <c r="G1386" s="13" t="s">
        <v>16191</v>
      </c>
      <c r="H1386" t="s">
        <v>16192</v>
      </c>
      <c r="J1386" t="s">
        <v>16193</v>
      </c>
      <c r="K1386" t="s">
        <v>15203</v>
      </c>
      <c r="L1386" t="s">
        <v>15204</v>
      </c>
      <c r="M1386" t="s">
        <v>7250</v>
      </c>
      <c r="T1386" t="s">
        <v>6546</v>
      </c>
      <c r="U1386" t="s">
        <v>6546</v>
      </c>
      <c r="V1386" t="s">
        <v>6546</v>
      </c>
      <c r="W1386">
        <v>65.42</v>
      </c>
      <c r="X1386">
        <v>65.42</v>
      </c>
      <c r="AB1386" t="s">
        <v>16194</v>
      </c>
      <c r="AC1386" t="s">
        <v>8777</v>
      </c>
      <c r="AF1386" t="s">
        <v>16195</v>
      </c>
      <c r="AI1386" t="s">
        <v>8777</v>
      </c>
      <c r="AO1386" t="s">
        <v>16196</v>
      </c>
    </row>
    <row r="1387" spans="1:41" hidden="1" x14ac:dyDescent="0.35">
      <c r="A1387" t="s">
        <v>16197</v>
      </c>
      <c r="B1387" t="s">
        <v>7246</v>
      </c>
      <c r="C1387" t="s">
        <v>5714</v>
      </c>
      <c r="D1387" t="s">
        <v>5714</v>
      </c>
      <c r="E1387" t="s">
        <v>5714</v>
      </c>
      <c r="G1387" s="13" t="s">
        <v>16198</v>
      </c>
      <c r="H1387" t="s">
        <v>16199</v>
      </c>
      <c r="J1387" t="s">
        <v>16200</v>
      </c>
      <c r="K1387" t="s">
        <v>13601</v>
      </c>
      <c r="L1387" t="s">
        <v>13602</v>
      </c>
      <c r="M1387" t="s">
        <v>7250</v>
      </c>
      <c r="T1387" t="s">
        <v>6546</v>
      </c>
      <c r="U1387" t="s">
        <v>6546</v>
      </c>
      <c r="V1387" t="s">
        <v>6546</v>
      </c>
      <c r="W1387">
        <v>5.0599999999999996</v>
      </c>
      <c r="X1387">
        <v>5.0599999999999996</v>
      </c>
      <c r="Y1387">
        <v>47.99</v>
      </c>
      <c r="Z1387" t="s">
        <v>7253</v>
      </c>
      <c r="AB1387" t="s">
        <v>15984</v>
      </c>
      <c r="AC1387" t="s">
        <v>8777</v>
      </c>
      <c r="AF1387" t="s">
        <v>15804</v>
      </c>
      <c r="AI1387" t="s">
        <v>8777</v>
      </c>
      <c r="AO1387" t="s">
        <v>16201</v>
      </c>
    </row>
    <row r="1388" spans="1:41" hidden="1" x14ac:dyDescent="0.35">
      <c r="A1388" t="s">
        <v>16202</v>
      </c>
      <c r="B1388" t="s">
        <v>7246</v>
      </c>
      <c r="C1388" t="s">
        <v>5566</v>
      </c>
      <c r="D1388" t="s">
        <v>5566</v>
      </c>
      <c r="E1388" t="s">
        <v>5566</v>
      </c>
      <c r="G1388" s="13" t="s">
        <v>16203</v>
      </c>
      <c r="H1388" t="s">
        <v>16204</v>
      </c>
      <c r="J1388" t="s">
        <v>16205</v>
      </c>
      <c r="K1388" t="s">
        <v>11559</v>
      </c>
      <c r="L1388" t="s">
        <v>11560</v>
      </c>
      <c r="M1388" t="s">
        <v>7250</v>
      </c>
      <c r="T1388" t="s">
        <v>6546</v>
      </c>
      <c r="U1388" t="s">
        <v>6546</v>
      </c>
      <c r="V1388" t="s">
        <v>6546</v>
      </c>
      <c r="W1388">
        <v>142.6</v>
      </c>
      <c r="X1388">
        <v>142.6</v>
      </c>
      <c r="AB1388" t="s">
        <v>15733</v>
      </c>
      <c r="AC1388" t="s">
        <v>8777</v>
      </c>
      <c r="AF1388" t="s">
        <v>16206</v>
      </c>
      <c r="AI1388" t="s">
        <v>8777</v>
      </c>
      <c r="AO1388" t="s">
        <v>16207</v>
      </c>
    </row>
    <row r="1389" spans="1:41" hidden="1" x14ac:dyDescent="0.35">
      <c r="A1389" t="s">
        <v>16208</v>
      </c>
      <c r="B1389" t="s">
        <v>7246</v>
      </c>
      <c r="C1389" t="s">
        <v>5714</v>
      </c>
      <c r="D1389" t="s">
        <v>5714</v>
      </c>
      <c r="E1389" t="s">
        <v>5714</v>
      </c>
      <c r="G1389" s="13" t="s">
        <v>16209</v>
      </c>
      <c r="H1389" t="s">
        <v>16210</v>
      </c>
      <c r="J1389" t="s">
        <v>16211</v>
      </c>
      <c r="K1389" t="s">
        <v>13601</v>
      </c>
      <c r="L1389" t="s">
        <v>13602</v>
      </c>
      <c r="M1389" t="s">
        <v>7250</v>
      </c>
      <c r="N1389">
        <v>1995</v>
      </c>
      <c r="T1389" t="s">
        <v>6546</v>
      </c>
      <c r="U1389" t="s">
        <v>6546</v>
      </c>
      <c r="V1389">
        <v>60.1</v>
      </c>
      <c r="W1389">
        <v>62.94</v>
      </c>
      <c r="X1389">
        <v>60.1</v>
      </c>
      <c r="Y1389">
        <v>47.99</v>
      </c>
      <c r="Z1389" t="s">
        <v>7253</v>
      </c>
      <c r="AB1389" t="s">
        <v>16154</v>
      </c>
      <c r="AC1389" t="s">
        <v>8777</v>
      </c>
      <c r="AF1389" t="s">
        <v>15763</v>
      </c>
      <c r="AI1389" t="s">
        <v>8777</v>
      </c>
      <c r="AO1389" t="s">
        <v>16212</v>
      </c>
    </row>
    <row r="1390" spans="1:41" hidden="1" x14ac:dyDescent="0.35">
      <c r="A1390" t="s">
        <v>16213</v>
      </c>
      <c r="B1390" t="s">
        <v>7246</v>
      </c>
      <c r="C1390" t="s">
        <v>5613</v>
      </c>
      <c r="D1390" t="s">
        <v>5613</v>
      </c>
      <c r="E1390" t="s">
        <v>5613</v>
      </c>
      <c r="G1390" s="13" t="s">
        <v>16214</v>
      </c>
      <c r="H1390" t="s">
        <v>16215</v>
      </c>
      <c r="J1390" t="s">
        <v>16216</v>
      </c>
      <c r="K1390" t="s">
        <v>15203</v>
      </c>
      <c r="L1390" t="s">
        <v>15204</v>
      </c>
      <c r="M1390" t="s">
        <v>7250</v>
      </c>
      <c r="T1390" t="s">
        <v>6546</v>
      </c>
      <c r="U1390" t="s">
        <v>6546</v>
      </c>
      <c r="V1390" t="s">
        <v>6546</v>
      </c>
      <c r="W1390">
        <v>6.74</v>
      </c>
      <c r="X1390">
        <v>6.74</v>
      </c>
      <c r="AB1390" t="s">
        <v>16217</v>
      </c>
      <c r="AC1390" t="s">
        <v>8777</v>
      </c>
      <c r="AF1390" t="s">
        <v>1281</v>
      </c>
      <c r="AI1390" t="s">
        <v>8777</v>
      </c>
      <c r="AO1390" t="s">
        <v>16218</v>
      </c>
    </row>
    <row r="1391" spans="1:41" hidden="1" x14ac:dyDescent="0.35">
      <c r="A1391" t="s">
        <v>16219</v>
      </c>
      <c r="B1391" t="s">
        <v>7246</v>
      </c>
      <c r="C1391" t="s">
        <v>5714</v>
      </c>
      <c r="D1391" t="s">
        <v>5714</v>
      </c>
      <c r="E1391" t="s">
        <v>5714</v>
      </c>
      <c r="G1391" s="13" t="s">
        <v>16220</v>
      </c>
      <c r="H1391" t="s">
        <v>16221</v>
      </c>
      <c r="J1391" t="s">
        <v>16222</v>
      </c>
      <c r="K1391" t="s">
        <v>13601</v>
      </c>
      <c r="L1391" t="s">
        <v>13602</v>
      </c>
      <c r="M1391" t="s">
        <v>7250</v>
      </c>
      <c r="N1391">
        <v>2008</v>
      </c>
      <c r="T1391" t="s">
        <v>6546</v>
      </c>
      <c r="U1391" t="s">
        <v>6546</v>
      </c>
      <c r="V1391">
        <v>41.8</v>
      </c>
      <c r="W1391">
        <v>40.06</v>
      </c>
      <c r="X1391">
        <v>41.8</v>
      </c>
      <c r="Y1391">
        <v>47.99</v>
      </c>
      <c r="Z1391" t="s">
        <v>7253</v>
      </c>
      <c r="AB1391" t="s">
        <v>16223</v>
      </c>
      <c r="AC1391" t="s">
        <v>8777</v>
      </c>
      <c r="AF1391" t="s">
        <v>16224</v>
      </c>
      <c r="AI1391" t="s">
        <v>8777</v>
      </c>
      <c r="AO1391" t="s">
        <v>16225</v>
      </c>
    </row>
    <row r="1392" spans="1:41" hidden="1" x14ac:dyDescent="0.35">
      <c r="A1392" t="s">
        <v>16226</v>
      </c>
      <c r="B1392" t="s">
        <v>7246</v>
      </c>
      <c r="C1392" t="s">
        <v>5613</v>
      </c>
      <c r="D1392" t="s">
        <v>5613</v>
      </c>
      <c r="E1392" t="s">
        <v>5613</v>
      </c>
      <c r="G1392" s="13" t="s">
        <v>16227</v>
      </c>
      <c r="H1392" t="s">
        <v>16228</v>
      </c>
      <c r="J1392" t="s">
        <v>16229</v>
      </c>
      <c r="K1392" t="s">
        <v>15203</v>
      </c>
      <c r="L1392" t="s">
        <v>15204</v>
      </c>
      <c r="M1392" t="s">
        <v>7250</v>
      </c>
      <c r="T1392" t="s">
        <v>6546</v>
      </c>
      <c r="U1392" t="s">
        <v>6546</v>
      </c>
      <c r="V1392" t="s">
        <v>6546</v>
      </c>
      <c r="W1392">
        <v>74.47</v>
      </c>
      <c r="X1392">
        <v>74.47</v>
      </c>
      <c r="Y1392">
        <v>23.62</v>
      </c>
      <c r="Z1392" t="s">
        <v>7253</v>
      </c>
      <c r="AB1392" t="s">
        <v>14937</v>
      </c>
      <c r="AC1392" t="s">
        <v>8777</v>
      </c>
      <c r="AF1392" t="s">
        <v>15970</v>
      </c>
      <c r="AI1392" t="s">
        <v>8777</v>
      </c>
      <c r="AO1392" t="s">
        <v>16230</v>
      </c>
    </row>
    <row r="1393" spans="1:41" hidden="1" x14ac:dyDescent="0.35">
      <c r="A1393" t="s">
        <v>16231</v>
      </c>
      <c r="B1393" t="s">
        <v>7246</v>
      </c>
      <c r="C1393" t="s">
        <v>5714</v>
      </c>
      <c r="D1393" t="s">
        <v>5714</v>
      </c>
      <c r="E1393" t="s">
        <v>5714</v>
      </c>
      <c r="G1393" s="13" t="s">
        <v>16232</v>
      </c>
      <c r="H1393" t="s">
        <v>16233</v>
      </c>
      <c r="J1393" t="s">
        <v>16234</v>
      </c>
      <c r="K1393" t="s">
        <v>13601</v>
      </c>
      <c r="L1393" t="s">
        <v>13602</v>
      </c>
      <c r="M1393" t="s">
        <v>7250</v>
      </c>
      <c r="N1393">
        <v>2008</v>
      </c>
      <c r="T1393" t="s">
        <v>6546</v>
      </c>
      <c r="U1393" t="s">
        <v>6546</v>
      </c>
      <c r="V1393">
        <v>44.1</v>
      </c>
      <c r="W1393">
        <v>43.18</v>
      </c>
      <c r="X1393">
        <v>44.1</v>
      </c>
      <c r="Y1393">
        <v>30</v>
      </c>
      <c r="Z1393" t="s">
        <v>7253</v>
      </c>
      <c r="AB1393" t="s">
        <v>15154</v>
      </c>
      <c r="AC1393" t="s">
        <v>8777</v>
      </c>
      <c r="AF1393" t="s">
        <v>15523</v>
      </c>
      <c r="AI1393" t="s">
        <v>8777</v>
      </c>
      <c r="AO1393" t="s">
        <v>16235</v>
      </c>
    </row>
    <row r="1394" spans="1:41" hidden="1" x14ac:dyDescent="0.35">
      <c r="A1394" t="s">
        <v>16236</v>
      </c>
      <c r="B1394" t="s">
        <v>7246</v>
      </c>
      <c r="C1394" t="s">
        <v>5705</v>
      </c>
      <c r="D1394" t="s">
        <v>5705</v>
      </c>
      <c r="E1394" t="s">
        <v>5705</v>
      </c>
      <c r="G1394" s="13" t="s">
        <v>16237</v>
      </c>
      <c r="H1394" t="s">
        <v>16238</v>
      </c>
      <c r="J1394" t="s">
        <v>16239</v>
      </c>
      <c r="K1394" t="s">
        <v>13491</v>
      </c>
      <c r="L1394" t="s">
        <v>13492</v>
      </c>
      <c r="M1394" t="s">
        <v>7250</v>
      </c>
      <c r="T1394" t="s">
        <v>6546</v>
      </c>
      <c r="U1394" t="s">
        <v>6546</v>
      </c>
      <c r="V1394" t="s">
        <v>6546</v>
      </c>
      <c r="W1394">
        <v>139.13</v>
      </c>
      <c r="X1394">
        <v>139.13</v>
      </c>
      <c r="AB1394" t="s">
        <v>15303</v>
      </c>
      <c r="AC1394" t="s">
        <v>8777</v>
      </c>
      <c r="AF1394" t="s">
        <v>16240</v>
      </c>
      <c r="AI1394" t="s">
        <v>8777</v>
      </c>
      <c r="AO1394" t="s">
        <v>16241</v>
      </c>
    </row>
    <row r="1395" spans="1:41" hidden="1" x14ac:dyDescent="0.35">
      <c r="A1395" t="s">
        <v>16242</v>
      </c>
      <c r="B1395" t="s">
        <v>7246</v>
      </c>
      <c r="C1395" t="s">
        <v>5643</v>
      </c>
      <c r="D1395" t="s">
        <v>5643</v>
      </c>
      <c r="E1395" t="s">
        <v>5643</v>
      </c>
      <c r="G1395" s="13" t="s">
        <v>16243</v>
      </c>
      <c r="H1395" t="s">
        <v>16244</v>
      </c>
      <c r="K1395" t="s">
        <v>16245</v>
      </c>
      <c r="L1395" t="s">
        <v>16246</v>
      </c>
      <c r="M1395" t="s">
        <v>7250</v>
      </c>
      <c r="N1395">
        <v>1993</v>
      </c>
      <c r="T1395" t="s">
        <v>6546</v>
      </c>
      <c r="U1395" t="s">
        <v>6546</v>
      </c>
      <c r="V1395" t="s">
        <v>6546</v>
      </c>
      <c r="W1395">
        <v>178.94</v>
      </c>
      <c r="X1395">
        <v>178.94</v>
      </c>
      <c r="Y1395">
        <v>23.62</v>
      </c>
      <c r="Z1395" t="s">
        <v>7253</v>
      </c>
      <c r="AB1395" t="s">
        <v>16247</v>
      </c>
      <c r="AC1395" t="s">
        <v>8777</v>
      </c>
      <c r="AF1395" t="s">
        <v>16248</v>
      </c>
      <c r="AI1395" t="s">
        <v>8777</v>
      </c>
      <c r="AO1395" t="s">
        <v>16249</v>
      </c>
    </row>
    <row r="1396" spans="1:41" hidden="1" x14ac:dyDescent="0.35">
      <c r="A1396" t="s">
        <v>16250</v>
      </c>
      <c r="B1396" t="s">
        <v>7246</v>
      </c>
      <c r="C1396" t="s">
        <v>5851</v>
      </c>
      <c r="D1396" t="s">
        <v>5851</v>
      </c>
      <c r="E1396" t="s">
        <v>5851</v>
      </c>
      <c r="G1396" s="13" t="s">
        <v>16251</v>
      </c>
      <c r="H1396" t="s">
        <v>16252</v>
      </c>
      <c r="J1396" t="s">
        <v>16253</v>
      </c>
      <c r="K1396" t="s">
        <v>15276</v>
      </c>
      <c r="L1396" t="s">
        <v>15276</v>
      </c>
      <c r="M1396" t="s">
        <v>7250</v>
      </c>
      <c r="T1396" t="s">
        <v>6546</v>
      </c>
      <c r="U1396" t="s">
        <v>6546</v>
      </c>
      <c r="V1396" t="s">
        <v>6546</v>
      </c>
      <c r="W1396">
        <v>118.54</v>
      </c>
      <c r="X1396">
        <v>118.54</v>
      </c>
      <c r="Y1396">
        <v>35.43</v>
      </c>
      <c r="Z1396" t="s">
        <v>7253</v>
      </c>
      <c r="AB1396" t="s">
        <v>16254</v>
      </c>
      <c r="AC1396" t="s">
        <v>8777</v>
      </c>
      <c r="AF1396" t="s">
        <v>16255</v>
      </c>
      <c r="AI1396" t="s">
        <v>8777</v>
      </c>
      <c r="AO1396" t="s">
        <v>16256</v>
      </c>
    </row>
    <row r="1397" spans="1:41" hidden="1" x14ac:dyDescent="0.35">
      <c r="A1397" t="s">
        <v>16257</v>
      </c>
      <c r="B1397" t="s">
        <v>7246</v>
      </c>
      <c r="C1397" t="s">
        <v>5643</v>
      </c>
      <c r="D1397" t="s">
        <v>5643</v>
      </c>
      <c r="E1397" t="s">
        <v>5643</v>
      </c>
      <c r="G1397" s="13" t="s">
        <v>16258</v>
      </c>
      <c r="H1397" t="s">
        <v>16259</v>
      </c>
      <c r="J1397" t="s">
        <v>16260</v>
      </c>
      <c r="K1397" t="s">
        <v>16261</v>
      </c>
      <c r="L1397" t="s">
        <v>16262</v>
      </c>
      <c r="M1397" t="s">
        <v>7250</v>
      </c>
      <c r="T1397" t="s">
        <v>6546</v>
      </c>
      <c r="U1397" t="s">
        <v>6546</v>
      </c>
      <c r="V1397" t="s">
        <v>6546</v>
      </c>
      <c r="W1397">
        <v>107.32</v>
      </c>
      <c r="X1397">
        <v>107.32</v>
      </c>
      <c r="AB1397" t="s">
        <v>16263</v>
      </c>
      <c r="AC1397" t="s">
        <v>8777</v>
      </c>
      <c r="AF1397" t="s">
        <v>16264</v>
      </c>
      <c r="AI1397" t="s">
        <v>8777</v>
      </c>
      <c r="AO1397" t="s">
        <v>16265</v>
      </c>
    </row>
    <row r="1398" spans="1:41" hidden="1" x14ac:dyDescent="0.35">
      <c r="A1398" t="s">
        <v>16266</v>
      </c>
      <c r="B1398" t="s">
        <v>7246</v>
      </c>
      <c r="C1398" t="s">
        <v>5643</v>
      </c>
      <c r="D1398" t="s">
        <v>5643</v>
      </c>
      <c r="E1398" t="s">
        <v>5643</v>
      </c>
      <c r="G1398" s="13" t="s">
        <v>16267</v>
      </c>
      <c r="H1398" t="s">
        <v>16268</v>
      </c>
      <c r="J1398" t="s">
        <v>16269</v>
      </c>
      <c r="K1398" t="s">
        <v>15203</v>
      </c>
      <c r="L1398" t="s">
        <v>15204</v>
      </c>
      <c r="M1398" t="s">
        <v>7250</v>
      </c>
      <c r="T1398" t="s">
        <v>6546</v>
      </c>
      <c r="U1398" t="s">
        <v>6546</v>
      </c>
      <c r="V1398">
        <v>70</v>
      </c>
      <c r="W1398">
        <v>59.02</v>
      </c>
      <c r="X1398">
        <v>70</v>
      </c>
      <c r="Y1398">
        <v>23.62</v>
      </c>
      <c r="Z1398" t="s">
        <v>7253</v>
      </c>
      <c r="AB1398" t="s">
        <v>16270</v>
      </c>
      <c r="AC1398" t="s">
        <v>8777</v>
      </c>
      <c r="AF1398" t="s">
        <v>15701</v>
      </c>
      <c r="AI1398" t="s">
        <v>8777</v>
      </c>
      <c r="AO1398" t="s">
        <v>16271</v>
      </c>
    </row>
    <row r="1399" spans="1:41" hidden="1" x14ac:dyDescent="0.35">
      <c r="A1399" t="s">
        <v>16272</v>
      </c>
      <c r="B1399" t="s">
        <v>7246</v>
      </c>
      <c r="C1399" t="s">
        <v>5613</v>
      </c>
      <c r="D1399" t="s">
        <v>5613</v>
      </c>
      <c r="E1399" t="s">
        <v>5613</v>
      </c>
      <c r="G1399" s="13" t="s">
        <v>16273</v>
      </c>
      <c r="H1399" t="s">
        <v>16274</v>
      </c>
      <c r="J1399" t="s">
        <v>16275</v>
      </c>
      <c r="K1399" t="s">
        <v>15203</v>
      </c>
      <c r="L1399" t="s">
        <v>15204</v>
      </c>
      <c r="M1399" t="s">
        <v>7250</v>
      </c>
      <c r="T1399" t="s">
        <v>6546</v>
      </c>
      <c r="U1399" t="s">
        <v>6546</v>
      </c>
      <c r="V1399" t="s">
        <v>6546</v>
      </c>
      <c r="W1399">
        <v>209.79</v>
      </c>
      <c r="X1399">
        <v>209.79</v>
      </c>
      <c r="AB1399" t="s">
        <v>15507</v>
      </c>
      <c r="AC1399" t="s">
        <v>8777</v>
      </c>
      <c r="AF1399" t="s">
        <v>16276</v>
      </c>
      <c r="AI1399" t="s">
        <v>8777</v>
      </c>
      <c r="AO1399" t="s">
        <v>16277</v>
      </c>
    </row>
    <row r="1400" spans="1:41" hidden="1" x14ac:dyDescent="0.35">
      <c r="A1400" t="s">
        <v>16278</v>
      </c>
      <c r="B1400" t="s">
        <v>7246</v>
      </c>
      <c r="C1400" t="s">
        <v>449</v>
      </c>
      <c r="D1400" t="s">
        <v>449</v>
      </c>
      <c r="E1400" t="s">
        <v>449</v>
      </c>
      <c r="G1400" s="13" t="s">
        <v>16279</v>
      </c>
      <c r="H1400" t="s">
        <v>16280</v>
      </c>
      <c r="K1400" t="s">
        <v>16281</v>
      </c>
      <c r="L1400" t="s">
        <v>16282</v>
      </c>
      <c r="M1400" t="s">
        <v>7250</v>
      </c>
      <c r="T1400" t="s">
        <v>6546</v>
      </c>
      <c r="U1400" t="s">
        <v>6546</v>
      </c>
      <c r="V1400" t="s">
        <v>6546</v>
      </c>
      <c r="W1400">
        <v>113.32</v>
      </c>
      <c r="X1400">
        <v>113.32</v>
      </c>
      <c r="AB1400" t="s">
        <v>16283</v>
      </c>
      <c r="AC1400" t="s">
        <v>8777</v>
      </c>
      <c r="AF1400" t="s">
        <v>9689</v>
      </c>
      <c r="AI1400" t="s">
        <v>8777</v>
      </c>
      <c r="AO1400" t="s">
        <v>16284</v>
      </c>
    </row>
    <row r="1401" spans="1:41" hidden="1" x14ac:dyDescent="0.35">
      <c r="A1401" t="s">
        <v>16285</v>
      </c>
      <c r="B1401" t="s">
        <v>7246</v>
      </c>
      <c r="C1401" t="s">
        <v>5787</v>
      </c>
      <c r="D1401" t="s">
        <v>5787</v>
      </c>
      <c r="E1401" t="s">
        <v>5787</v>
      </c>
      <c r="G1401" s="13" t="s">
        <v>16286</v>
      </c>
      <c r="H1401" t="s">
        <v>16287</v>
      </c>
      <c r="J1401" t="s">
        <v>16288</v>
      </c>
      <c r="K1401" t="s">
        <v>11716</v>
      </c>
      <c r="L1401" t="s">
        <v>11717</v>
      </c>
      <c r="M1401" t="s">
        <v>7250</v>
      </c>
      <c r="T1401" t="s">
        <v>6546</v>
      </c>
      <c r="U1401" t="s">
        <v>6546</v>
      </c>
      <c r="V1401" t="s">
        <v>6546</v>
      </c>
      <c r="W1401">
        <v>84.58</v>
      </c>
      <c r="X1401">
        <v>84.58</v>
      </c>
      <c r="AB1401" t="s">
        <v>15719</v>
      </c>
      <c r="AC1401" t="s">
        <v>8777</v>
      </c>
      <c r="AF1401" t="s">
        <v>16289</v>
      </c>
      <c r="AI1401" t="s">
        <v>8777</v>
      </c>
      <c r="AO1401" t="s">
        <v>16290</v>
      </c>
    </row>
    <row r="1402" spans="1:41" hidden="1" x14ac:dyDescent="0.35">
      <c r="A1402" t="s">
        <v>16291</v>
      </c>
      <c r="B1402" t="s">
        <v>7246</v>
      </c>
      <c r="C1402" t="s">
        <v>5714</v>
      </c>
      <c r="D1402" t="s">
        <v>5714</v>
      </c>
      <c r="E1402" t="s">
        <v>5714</v>
      </c>
      <c r="G1402" s="13" t="s">
        <v>16292</v>
      </c>
      <c r="H1402" t="s">
        <v>16293</v>
      </c>
      <c r="J1402" t="s">
        <v>16294</v>
      </c>
      <c r="K1402" t="s">
        <v>13601</v>
      </c>
      <c r="L1402" t="s">
        <v>13602</v>
      </c>
      <c r="M1402" t="s">
        <v>7250</v>
      </c>
      <c r="N1402">
        <v>1984</v>
      </c>
      <c r="T1402" t="s">
        <v>6546</v>
      </c>
      <c r="U1402" t="s">
        <v>6546</v>
      </c>
      <c r="V1402">
        <v>18</v>
      </c>
      <c r="W1402">
        <v>14.46</v>
      </c>
      <c r="X1402">
        <v>18</v>
      </c>
      <c r="Y1402">
        <v>25.98</v>
      </c>
      <c r="Z1402" t="s">
        <v>7253</v>
      </c>
      <c r="AB1402" t="s">
        <v>16295</v>
      </c>
      <c r="AC1402" t="s">
        <v>8777</v>
      </c>
      <c r="AF1402" t="s">
        <v>15769</v>
      </c>
      <c r="AI1402" t="s">
        <v>8777</v>
      </c>
      <c r="AO1402" t="s">
        <v>16296</v>
      </c>
    </row>
    <row r="1403" spans="1:41" hidden="1" x14ac:dyDescent="0.35">
      <c r="A1403" t="s">
        <v>16297</v>
      </c>
      <c r="B1403" t="s">
        <v>7246</v>
      </c>
      <c r="C1403" t="s">
        <v>5714</v>
      </c>
      <c r="D1403" t="s">
        <v>5714</v>
      </c>
      <c r="E1403" t="s">
        <v>5714</v>
      </c>
      <c r="G1403" s="13" t="s">
        <v>16298</v>
      </c>
      <c r="H1403" t="s">
        <v>16299</v>
      </c>
      <c r="I1403" t="s">
        <v>16300</v>
      </c>
      <c r="J1403" t="s">
        <v>16301</v>
      </c>
      <c r="K1403" t="s">
        <v>13601</v>
      </c>
      <c r="L1403" t="s">
        <v>13602</v>
      </c>
      <c r="M1403" t="s">
        <v>7250</v>
      </c>
      <c r="N1403">
        <v>1993</v>
      </c>
      <c r="T1403" t="s">
        <v>6546</v>
      </c>
      <c r="U1403" t="s">
        <v>6546</v>
      </c>
      <c r="V1403">
        <v>139.4</v>
      </c>
      <c r="W1403">
        <v>83.15</v>
      </c>
      <c r="X1403">
        <v>139.4</v>
      </c>
      <c r="Y1403">
        <v>47.99</v>
      </c>
      <c r="Z1403" t="s">
        <v>7253</v>
      </c>
      <c r="AB1403" t="s">
        <v>15454</v>
      </c>
      <c r="AC1403" t="s">
        <v>8777</v>
      </c>
      <c r="AF1403" t="s">
        <v>15769</v>
      </c>
      <c r="AI1403" t="s">
        <v>8777</v>
      </c>
      <c r="AO1403" t="s">
        <v>16302</v>
      </c>
    </row>
    <row r="1404" spans="1:41" hidden="1" x14ac:dyDescent="0.35">
      <c r="A1404" t="s">
        <v>16303</v>
      </c>
      <c r="B1404" t="s">
        <v>7246</v>
      </c>
      <c r="C1404" t="s">
        <v>5861</v>
      </c>
      <c r="D1404" t="s">
        <v>5861</v>
      </c>
      <c r="E1404" t="s">
        <v>5861</v>
      </c>
      <c r="G1404" s="13" t="s">
        <v>16304</v>
      </c>
      <c r="H1404" t="s">
        <v>16305</v>
      </c>
      <c r="J1404" t="s">
        <v>16306</v>
      </c>
      <c r="K1404" t="s">
        <v>8694</v>
      </c>
      <c r="L1404" t="s">
        <v>8694</v>
      </c>
      <c r="M1404" t="s">
        <v>7250</v>
      </c>
      <c r="N1404">
        <v>1998</v>
      </c>
      <c r="O1404">
        <v>2001</v>
      </c>
      <c r="T1404" t="s">
        <v>6546</v>
      </c>
      <c r="U1404" t="s">
        <v>6546</v>
      </c>
      <c r="V1404" t="s">
        <v>6546</v>
      </c>
      <c r="W1404">
        <v>373.49</v>
      </c>
      <c r="X1404">
        <v>373.49</v>
      </c>
      <c r="Y1404" t="s">
        <v>16307</v>
      </c>
      <c r="Z1404" t="s">
        <v>7253</v>
      </c>
      <c r="AB1404" t="s">
        <v>11637</v>
      </c>
      <c r="AC1404" t="s">
        <v>8777</v>
      </c>
      <c r="AF1404" t="s">
        <v>16308</v>
      </c>
      <c r="AI1404" t="s">
        <v>8777</v>
      </c>
      <c r="AO1404" t="s">
        <v>16309</v>
      </c>
    </row>
    <row r="1405" spans="1:41" hidden="1" x14ac:dyDescent="0.35">
      <c r="A1405" t="s">
        <v>16310</v>
      </c>
      <c r="B1405" t="s">
        <v>7246</v>
      </c>
      <c r="C1405" t="s">
        <v>5714</v>
      </c>
      <c r="D1405" t="s">
        <v>5714</v>
      </c>
      <c r="E1405" t="s">
        <v>5714</v>
      </c>
      <c r="G1405" s="13" t="s">
        <v>16311</v>
      </c>
      <c r="H1405" t="s">
        <v>16312</v>
      </c>
      <c r="J1405" t="s">
        <v>16313</v>
      </c>
      <c r="K1405" t="s">
        <v>13601</v>
      </c>
      <c r="L1405" t="s">
        <v>13602</v>
      </c>
      <c r="M1405" t="s">
        <v>7250</v>
      </c>
      <c r="N1405">
        <v>1975</v>
      </c>
      <c r="T1405" t="s">
        <v>6546</v>
      </c>
      <c r="U1405" t="s">
        <v>6546</v>
      </c>
      <c r="V1405">
        <v>32.5</v>
      </c>
      <c r="W1405">
        <v>30.4</v>
      </c>
      <c r="X1405">
        <v>32.5</v>
      </c>
      <c r="Y1405">
        <v>20</v>
      </c>
      <c r="Z1405" t="s">
        <v>7253</v>
      </c>
      <c r="AB1405" t="s">
        <v>15310</v>
      </c>
      <c r="AC1405" t="s">
        <v>8777</v>
      </c>
      <c r="AF1405" t="s">
        <v>15977</v>
      </c>
      <c r="AI1405" t="s">
        <v>8777</v>
      </c>
      <c r="AO1405" t="s">
        <v>16314</v>
      </c>
    </row>
    <row r="1406" spans="1:41" hidden="1" x14ac:dyDescent="0.35">
      <c r="A1406" t="s">
        <v>16315</v>
      </c>
      <c r="B1406" t="s">
        <v>7246</v>
      </c>
      <c r="C1406" t="s">
        <v>5714</v>
      </c>
      <c r="D1406" t="s">
        <v>5714</v>
      </c>
      <c r="E1406" t="s">
        <v>5714</v>
      </c>
      <c r="G1406" s="13" t="s">
        <v>16316</v>
      </c>
      <c r="H1406" t="s">
        <v>15974</v>
      </c>
      <c r="I1406" t="s">
        <v>16317</v>
      </c>
      <c r="J1406" t="s">
        <v>16318</v>
      </c>
      <c r="K1406" t="s">
        <v>13601</v>
      </c>
      <c r="L1406" t="s">
        <v>13602</v>
      </c>
      <c r="M1406" t="s">
        <v>7250</v>
      </c>
      <c r="N1406">
        <v>1985</v>
      </c>
      <c r="T1406" t="s">
        <v>6546</v>
      </c>
      <c r="U1406" t="s">
        <v>6546</v>
      </c>
      <c r="V1406">
        <v>77.3</v>
      </c>
      <c r="W1406">
        <v>60.92</v>
      </c>
      <c r="X1406">
        <v>77.3</v>
      </c>
      <c r="Y1406">
        <v>17.989999999999998</v>
      </c>
      <c r="Z1406" t="s">
        <v>7253</v>
      </c>
      <c r="AB1406" t="s">
        <v>15168</v>
      </c>
      <c r="AC1406" t="s">
        <v>8777</v>
      </c>
      <c r="AF1406" t="s">
        <v>15977</v>
      </c>
      <c r="AI1406" t="s">
        <v>8777</v>
      </c>
      <c r="AO1406" t="s">
        <v>16319</v>
      </c>
    </row>
    <row r="1407" spans="1:41" hidden="1" x14ac:dyDescent="0.35">
      <c r="A1407" t="s">
        <v>16320</v>
      </c>
      <c r="B1407" t="s">
        <v>7246</v>
      </c>
      <c r="C1407" t="s">
        <v>5714</v>
      </c>
      <c r="D1407" t="s">
        <v>5714</v>
      </c>
      <c r="E1407" t="s">
        <v>5714</v>
      </c>
      <c r="G1407" s="13" t="s">
        <v>16321</v>
      </c>
      <c r="H1407" t="s">
        <v>16322</v>
      </c>
      <c r="J1407" t="s">
        <v>16323</v>
      </c>
      <c r="K1407" t="s">
        <v>13601</v>
      </c>
      <c r="L1407" t="s">
        <v>13602</v>
      </c>
      <c r="M1407" t="s">
        <v>7250</v>
      </c>
      <c r="T1407" t="s">
        <v>6546</v>
      </c>
      <c r="U1407" t="s">
        <v>6546</v>
      </c>
      <c r="V1407" t="s">
        <v>6546</v>
      </c>
      <c r="W1407">
        <v>32.49</v>
      </c>
      <c r="X1407">
        <v>32.49</v>
      </c>
      <c r="Y1407">
        <v>26</v>
      </c>
      <c r="Z1407" t="s">
        <v>7253</v>
      </c>
      <c r="AB1407" t="s">
        <v>3441</v>
      </c>
      <c r="AC1407" t="s">
        <v>8777</v>
      </c>
      <c r="AF1407" t="s">
        <v>16324</v>
      </c>
      <c r="AI1407" t="s">
        <v>8777</v>
      </c>
      <c r="AO1407" t="s">
        <v>16325</v>
      </c>
    </row>
    <row r="1408" spans="1:41" hidden="1" x14ac:dyDescent="0.35">
      <c r="A1408" t="s">
        <v>16326</v>
      </c>
      <c r="B1408" t="s">
        <v>7246</v>
      </c>
      <c r="C1408" t="s">
        <v>5714</v>
      </c>
      <c r="D1408" t="s">
        <v>5714</v>
      </c>
      <c r="E1408" t="s">
        <v>5714</v>
      </c>
      <c r="G1408" s="13" t="s">
        <v>16327</v>
      </c>
      <c r="H1408" t="s">
        <v>16328</v>
      </c>
      <c r="J1408" t="s">
        <v>16329</v>
      </c>
      <c r="K1408" t="s">
        <v>13601</v>
      </c>
      <c r="L1408" t="s">
        <v>13602</v>
      </c>
      <c r="M1408" t="s">
        <v>7250</v>
      </c>
      <c r="N1408">
        <v>2002</v>
      </c>
      <c r="O1408">
        <v>2004</v>
      </c>
      <c r="T1408" t="s">
        <v>6546</v>
      </c>
      <c r="U1408" t="s">
        <v>6546</v>
      </c>
      <c r="V1408">
        <v>70.5</v>
      </c>
      <c r="W1408">
        <v>56.23</v>
      </c>
      <c r="X1408">
        <v>70.5</v>
      </c>
      <c r="Y1408">
        <v>30</v>
      </c>
      <c r="Z1408" t="s">
        <v>7253</v>
      </c>
      <c r="AB1408" t="s">
        <v>16330</v>
      </c>
      <c r="AC1408" t="s">
        <v>8777</v>
      </c>
      <c r="AF1408" t="s">
        <v>16167</v>
      </c>
      <c r="AI1408" t="s">
        <v>8777</v>
      </c>
      <c r="AO1408" t="s">
        <v>16331</v>
      </c>
    </row>
    <row r="1409" spans="1:41" hidden="1" x14ac:dyDescent="0.35">
      <c r="A1409" t="s">
        <v>16332</v>
      </c>
      <c r="B1409" t="s">
        <v>7246</v>
      </c>
      <c r="C1409" t="s">
        <v>356</v>
      </c>
      <c r="D1409" t="s">
        <v>356</v>
      </c>
      <c r="E1409" t="s">
        <v>356</v>
      </c>
      <c r="G1409" s="13" t="s">
        <v>16333</v>
      </c>
      <c r="H1409" t="s">
        <v>16334</v>
      </c>
      <c r="J1409" t="s">
        <v>16335</v>
      </c>
      <c r="K1409" t="s">
        <v>10272</v>
      </c>
      <c r="L1409" t="s">
        <v>10273</v>
      </c>
      <c r="M1409" t="s">
        <v>7250</v>
      </c>
      <c r="N1409">
        <v>1999</v>
      </c>
      <c r="T1409" t="s">
        <v>6546</v>
      </c>
      <c r="U1409" t="s">
        <v>6546</v>
      </c>
      <c r="V1409">
        <v>95</v>
      </c>
      <c r="W1409">
        <v>92.45</v>
      </c>
      <c r="X1409">
        <v>95</v>
      </c>
      <c r="Y1409">
        <v>700</v>
      </c>
      <c r="Z1409" t="s">
        <v>8842</v>
      </c>
      <c r="AB1409" t="s">
        <v>16336</v>
      </c>
      <c r="AC1409" t="s">
        <v>8777</v>
      </c>
      <c r="AF1409" t="s">
        <v>10276</v>
      </c>
      <c r="AI1409" t="s">
        <v>8777</v>
      </c>
      <c r="AO1409" t="s">
        <v>16337</v>
      </c>
    </row>
    <row r="1410" spans="1:41" hidden="1" x14ac:dyDescent="0.35">
      <c r="A1410" t="s">
        <v>16338</v>
      </c>
      <c r="B1410" t="s">
        <v>7246</v>
      </c>
      <c r="C1410" t="s">
        <v>5583</v>
      </c>
      <c r="D1410" t="s">
        <v>5583</v>
      </c>
      <c r="E1410" t="s">
        <v>5583</v>
      </c>
      <c r="G1410" s="13" t="s">
        <v>16339</v>
      </c>
      <c r="H1410" t="s">
        <v>16340</v>
      </c>
      <c r="J1410" t="s">
        <v>16341</v>
      </c>
      <c r="K1410" t="s">
        <v>11898</v>
      </c>
      <c r="L1410" t="s">
        <v>11899</v>
      </c>
      <c r="M1410" t="s">
        <v>7250</v>
      </c>
      <c r="T1410" t="s">
        <v>6546</v>
      </c>
      <c r="U1410" t="s">
        <v>6546</v>
      </c>
      <c r="V1410" t="s">
        <v>6546</v>
      </c>
      <c r="W1410">
        <v>98.88</v>
      </c>
      <c r="X1410">
        <v>98.88</v>
      </c>
      <c r="AB1410" t="s">
        <v>15949</v>
      </c>
      <c r="AC1410" t="s">
        <v>8777</v>
      </c>
      <c r="AF1410" t="s">
        <v>15615</v>
      </c>
      <c r="AI1410" t="s">
        <v>8777</v>
      </c>
      <c r="AO1410" t="s">
        <v>16342</v>
      </c>
    </row>
    <row r="1411" spans="1:41" hidden="1" x14ac:dyDescent="0.35">
      <c r="A1411" t="s">
        <v>16343</v>
      </c>
      <c r="B1411" t="s">
        <v>7246</v>
      </c>
      <c r="C1411" t="s">
        <v>5566</v>
      </c>
      <c r="D1411" t="s">
        <v>5613</v>
      </c>
      <c r="E1411" t="s">
        <v>16344</v>
      </c>
      <c r="G1411" s="13" t="s">
        <v>16345</v>
      </c>
      <c r="H1411" t="s">
        <v>16346</v>
      </c>
      <c r="I1411" t="s">
        <v>16347</v>
      </c>
      <c r="J1411" t="s">
        <v>16348</v>
      </c>
      <c r="K1411" t="s">
        <v>11559</v>
      </c>
      <c r="L1411" t="s">
        <v>11560</v>
      </c>
      <c r="M1411" t="s">
        <v>7250</v>
      </c>
      <c r="N1411">
        <v>1993</v>
      </c>
      <c r="R1411">
        <v>774.02</v>
      </c>
      <c r="S1411" t="s">
        <v>7251</v>
      </c>
      <c r="T1411">
        <v>8.01</v>
      </c>
      <c r="U1411">
        <v>3725.62</v>
      </c>
      <c r="V1411">
        <v>75.5</v>
      </c>
      <c r="W1411">
        <v>75.06</v>
      </c>
      <c r="X1411">
        <v>75.5</v>
      </c>
      <c r="Y1411">
        <v>35.43</v>
      </c>
      <c r="Z1411" t="s">
        <v>7253</v>
      </c>
      <c r="AB1411" t="s">
        <v>16074</v>
      </c>
      <c r="AC1411" t="s">
        <v>8777</v>
      </c>
      <c r="AF1411" t="s">
        <v>16349</v>
      </c>
      <c r="AI1411" t="s">
        <v>8777</v>
      </c>
      <c r="AO1411" t="s">
        <v>16350</v>
      </c>
    </row>
    <row r="1412" spans="1:41" hidden="1" x14ac:dyDescent="0.35">
      <c r="A1412" t="s">
        <v>16351</v>
      </c>
      <c r="B1412" t="s">
        <v>7246</v>
      </c>
      <c r="C1412" t="s">
        <v>5851</v>
      </c>
      <c r="D1412" t="s">
        <v>5851</v>
      </c>
      <c r="E1412" t="s">
        <v>5851</v>
      </c>
      <c r="G1412" s="13" t="s">
        <v>16352</v>
      </c>
      <c r="H1412" t="s">
        <v>16353</v>
      </c>
      <c r="J1412" t="s">
        <v>16354</v>
      </c>
      <c r="K1412" t="s">
        <v>15276</v>
      </c>
      <c r="L1412" t="s">
        <v>15276</v>
      </c>
      <c r="M1412" t="s">
        <v>7250</v>
      </c>
      <c r="T1412" t="s">
        <v>6546</v>
      </c>
      <c r="U1412" t="s">
        <v>6546</v>
      </c>
      <c r="V1412" t="s">
        <v>6546</v>
      </c>
      <c r="W1412">
        <v>65.38</v>
      </c>
      <c r="X1412">
        <v>65.38</v>
      </c>
      <c r="Y1412">
        <v>35.43</v>
      </c>
      <c r="Z1412" t="s">
        <v>7253</v>
      </c>
      <c r="AB1412" t="s">
        <v>15277</v>
      </c>
      <c r="AC1412" t="s">
        <v>8777</v>
      </c>
      <c r="AF1412" t="s">
        <v>16254</v>
      </c>
      <c r="AI1412" t="s">
        <v>8777</v>
      </c>
      <c r="AO1412" t="s">
        <v>16355</v>
      </c>
    </row>
    <row r="1413" spans="1:41" hidden="1" x14ac:dyDescent="0.35">
      <c r="A1413" t="s">
        <v>16356</v>
      </c>
      <c r="B1413" t="s">
        <v>7246</v>
      </c>
      <c r="C1413" t="s">
        <v>5830</v>
      </c>
      <c r="D1413" t="s">
        <v>5830</v>
      </c>
      <c r="E1413" t="s">
        <v>5830</v>
      </c>
      <c r="G1413" s="13" t="s">
        <v>16357</v>
      </c>
      <c r="H1413" t="s">
        <v>16358</v>
      </c>
      <c r="J1413" t="s">
        <v>16359</v>
      </c>
      <c r="K1413" t="s">
        <v>11952</v>
      </c>
      <c r="L1413" t="s">
        <v>11953</v>
      </c>
      <c r="M1413" t="s">
        <v>7250</v>
      </c>
      <c r="T1413" t="s">
        <v>6546</v>
      </c>
      <c r="U1413" t="s">
        <v>6546</v>
      </c>
      <c r="V1413" t="s">
        <v>6546</v>
      </c>
      <c r="W1413">
        <v>57.9</v>
      </c>
      <c r="X1413">
        <v>57.9</v>
      </c>
      <c r="AB1413" t="s">
        <v>11956</v>
      </c>
      <c r="AC1413" t="s">
        <v>8777</v>
      </c>
      <c r="AF1413" t="s">
        <v>9525</v>
      </c>
      <c r="AI1413" t="s">
        <v>8777</v>
      </c>
      <c r="AO1413" t="s">
        <v>16360</v>
      </c>
    </row>
    <row r="1414" spans="1:41" hidden="1" x14ac:dyDescent="0.35">
      <c r="A1414" t="s">
        <v>16361</v>
      </c>
      <c r="B1414" t="s">
        <v>7246</v>
      </c>
      <c r="C1414" t="s">
        <v>5714</v>
      </c>
      <c r="D1414" t="s">
        <v>5714</v>
      </c>
      <c r="E1414" t="s">
        <v>5714</v>
      </c>
      <c r="G1414" s="13" t="s">
        <v>16362</v>
      </c>
      <c r="H1414" t="s">
        <v>16363</v>
      </c>
      <c r="J1414" t="s">
        <v>16364</v>
      </c>
      <c r="K1414" t="s">
        <v>13601</v>
      </c>
      <c r="L1414" t="s">
        <v>13602</v>
      </c>
      <c r="M1414" t="s">
        <v>7250</v>
      </c>
      <c r="N1414">
        <v>1988</v>
      </c>
      <c r="T1414" t="s">
        <v>6546</v>
      </c>
      <c r="U1414" t="s">
        <v>6546</v>
      </c>
      <c r="V1414">
        <v>19</v>
      </c>
      <c r="W1414">
        <v>22.74</v>
      </c>
      <c r="X1414">
        <v>19</v>
      </c>
      <c r="Y1414">
        <v>34</v>
      </c>
      <c r="Z1414" t="s">
        <v>7253</v>
      </c>
      <c r="AB1414" t="s">
        <v>9774</v>
      </c>
      <c r="AC1414" t="s">
        <v>8777</v>
      </c>
      <c r="AF1414" t="s">
        <v>16365</v>
      </c>
      <c r="AI1414" t="s">
        <v>8777</v>
      </c>
      <c r="AO1414" t="s">
        <v>16366</v>
      </c>
    </row>
    <row r="1415" spans="1:41" hidden="1" x14ac:dyDescent="0.35">
      <c r="A1415" t="s">
        <v>16367</v>
      </c>
      <c r="B1415" t="s">
        <v>7246</v>
      </c>
      <c r="C1415" t="s">
        <v>5714</v>
      </c>
      <c r="D1415" t="s">
        <v>5714</v>
      </c>
      <c r="E1415" t="s">
        <v>5714</v>
      </c>
      <c r="G1415" s="13" t="s">
        <v>16368</v>
      </c>
      <c r="H1415" t="s">
        <v>16369</v>
      </c>
      <c r="J1415" t="s">
        <v>16370</v>
      </c>
      <c r="K1415" t="s">
        <v>13601</v>
      </c>
      <c r="L1415" t="s">
        <v>13602</v>
      </c>
      <c r="M1415" t="s">
        <v>7250</v>
      </c>
      <c r="N1415">
        <v>1971</v>
      </c>
      <c r="T1415" t="s">
        <v>6546</v>
      </c>
      <c r="U1415" t="s">
        <v>6546</v>
      </c>
      <c r="V1415">
        <v>65.900000000000006</v>
      </c>
      <c r="W1415">
        <v>60.97</v>
      </c>
      <c r="X1415">
        <v>65.900000000000006</v>
      </c>
      <c r="Y1415">
        <v>22</v>
      </c>
      <c r="Z1415" t="s">
        <v>7253</v>
      </c>
      <c r="AB1415" t="s">
        <v>15154</v>
      </c>
      <c r="AC1415" t="s">
        <v>8777</v>
      </c>
      <c r="AF1415" t="s">
        <v>15530</v>
      </c>
      <c r="AI1415" t="s">
        <v>8777</v>
      </c>
      <c r="AO1415" t="s">
        <v>16371</v>
      </c>
    </row>
    <row r="1416" spans="1:41" hidden="1" x14ac:dyDescent="0.35">
      <c r="A1416" t="s">
        <v>16372</v>
      </c>
      <c r="B1416" t="s">
        <v>7246</v>
      </c>
      <c r="C1416" t="s">
        <v>5714</v>
      </c>
      <c r="D1416" t="s">
        <v>5714</v>
      </c>
      <c r="E1416" t="s">
        <v>5714</v>
      </c>
      <c r="G1416" s="13" t="s">
        <v>16373</v>
      </c>
      <c r="H1416" t="s">
        <v>16374</v>
      </c>
      <c r="J1416" t="s">
        <v>16375</v>
      </c>
      <c r="K1416" t="s">
        <v>13601</v>
      </c>
      <c r="L1416" t="s">
        <v>13602</v>
      </c>
      <c r="M1416" t="s">
        <v>7250</v>
      </c>
      <c r="N1416">
        <v>1969</v>
      </c>
      <c r="T1416" t="s">
        <v>6546</v>
      </c>
      <c r="U1416" t="s">
        <v>6546</v>
      </c>
      <c r="V1416">
        <v>18.8</v>
      </c>
      <c r="W1416">
        <v>15.41</v>
      </c>
      <c r="X1416">
        <v>18.8</v>
      </c>
      <c r="Y1416">
        <v>30</v>
      </c>
      <c r="Z1416" t="s">
        <v>7253</v>
      </c>
      <c r="AB1416" t="s">
        <v>16376</v>
      </c>
      <c r="AC1416" t="s">
        <v>8777</v>
      </c>
      <c r="AF1416" t="s">
        <v>16330</v>
      </c>
      <c r="AI1416" t="s">
        <v>8777</v>
      </c>
      <c r="AO1416" t="s">
        <v>16377</v>
      </c>
    </row>
    <row r="1417" spans="1:41" hidden="1" x14ac:dyDescent="0.35">
      <c r="A1417" t="s">
        <v>16378</v>
      </c>
      <c r="B1417" t="s">
        <v>7246</v>
      </c>
      <c r="C1417" t="s">
        <v>5861</v>
      </c>
      <c r="D1417" t="s">
        <v>5861</v>
      </c>
      <c r="E1417" t="s">
        <v>5861</v>
      </c>
      <c r="G1417" s="13" t="s">
        <v>16379</v>
      </c>
      <c r="H1417" t="s">
        <v>16380</v>
      </c>
      <c r="J1417" t="s">
        <v>16381</v>
      </c>
      <c r="K1417" t="s">
        <v>8694</v>
      </c>
      <c r="L1417" t="s">
        <v>8694</v>
      </c>
      <c r="M1417" t="s">
        <v>7250</v>
      </c>
      <c r="T1417" t="s">
        <v>6546</v>
      </c>
      <c r="U1417" t="s">
        <v>6546</v>
      </c>
      <c r="V1417">
        <v>240</v>
      </c>
      <c r="W1417">
        <v>191.68</v>
      </c>
      <c r="X1417">
        <v>240</v>
      </c>
      <c r="Y1417">
        <v>26</v>
      </c>
      <c r="Z1417" t="s">
        <v>7253</v>
      </c>
      <c r="AB1417" t="s">
        <v>1591</v>
      </c>
      <c r="AC1417" t="s">
        <v>8777</v>
      </c>
      <c r="AF1417" t="s">
        <v>5890</v>
      </c>
      <c r="AI1417" t="s">
        <v>8777</v>
      </c>
      <c r="AO1417" t="s">
        <v>16382</v>
      </c>
    </row>
    <row r="1418" spans="1:41" hidden="1" x14ac:dyDescent="0.35">
      <c r="A1418" t="s">
        <v>16383</v>
      </c>
      <c r="B1418" t="s">
        <v>7246</v>
      </c>
      <c r="C1418" t="s">
        <v>5787</v>
      </c>
      <c r="D1418" t="s">
        <v>5787</v>
      </c>
      <c r="E1418" t="s">
        <v>5787</v>
      </c>
      <c r="G1418" s="13" t="s">
        <v>16384</v>
      </c>
      <c r="H1418" t="s">
        <v>16385</v>
      </c>
      <c r="J1418" t="s">
        <v>16386</v>
      </c>
      <c r="K1418" t="s">
        <v>11716</v>
      </c>
      <c r="L1418" t="s">
        <v>11717</v>
      </c>
      <c r="M1418" t="s">
        <v>7250</v>
      </c>
      <c r="T1418" t="s">
        <v>6546</v>
      </c>
      <c r="U1418" t="s">
        <v>6546</v>
      </c>
      <c r="V1418" t="s">
        <v>6546</v>
      </c>
      <c r="W1418">
        <v>15.09</v>
      </c>
      <c r="X1418">
        <v>15.09</v>
      </c>
      <c r="AB1418" t="s">
        <v>15370</v>
      </c>
      <c r="AC1418" t="s">
        <v>8777</v>
      </c>
      <c r="AF1418" t="s">
        <v>15790</v>
      </c>
      <c r="AI1418" t="s">
        <v>8777</v>
      </c>
      <c r="AO1418" t="s">
        <v>16387</v>
      </c>
    </row>
    <row r="1419" spans="1:41" hidden="1" x14ac:dyDescent="0.35">
      <c r="A1419" t="s">
        <v>16388</v>
      </c>
      <c r="B1419" t="s">
        <v>7246</v>
      </c>
      <c r="C1419" t="s">
        <v>5775</v>
      </c>
      <c r="D1419" t="s">
        <v>5775</v>
      </c>
      <c r="E1419" t="s">
        <v>5775</v>
      </c>
      <c r="G1419" s="13" t="s">
        <v>16389</v>
      </c>
      <c r="H1419" t="s">
        <v>16390</v>
      </c>
      <c r="J1419" t="s">
        <v>16391</v>
      </c>
      <c r="K1419" t="s">
        <v>15996</v>
      </c>
      <c r="L1419" t="s">
        <v>15997</v>
      </c>
      <c r="M1419" t="s">
        <v>7250</v>
      </c>
      <c r="N1419">
        <v>2005</v>
      </c>
      <c r="T1419" t="s">
        <v>6546</v>
      </c>
      <c r="U1419" t="s">
        <v>6546</v>
      </c>
      <c r="V1419" t="s">
        <v>6546</v>
      </c>
      <c r="W1419">
        <v>22.31</v>
      </c>
      <c r="X1419">
        <v>22.31</v>
      </c>
      <c r="Y1419" t="s">
        <v>15998</v>
      </c>
      <c r="Z1419" t="s">
        <v>8842</v>
      </c>
      <c r="AB1419" t="s">
        <v>16392</v>
      </c>
      <c r="AC1419" t="s">
        <v>8777</v>
      </c>
      <c r="AF1419" t="s">
        <v>16393</v>
      </c>
      <c r="AI1419" t="s">
        <v>8777</v>
      </c>
      <c r="AO1419" t="s">
        <v>16394</v>
      </c>
    </row>
    <row r="1420" spans="1:41" hidden="1" x14ac:dyDescent="0.35">
      <c r="A1420" t="s">
        <v>16395</v>
      </c>
      <c r="B1420" t="s">
        <v>7246</v>
      </c>
      <c r="C1420" t="s">
        <v>5714</v>
      </c>
      <c r="D1420" t="s">
        <v>5714</v>
      </c>
      <c r="E1420" t="s">
        <v>5714</v>
      </c>
      <c r="G1420" s="13" t="s">
        <v>16396</v>
      </c>
      <c r="H1420" t="s">
        <v>16397</v>
      </c>
      <c r="K1420" t="s">
        <v>13601</v>
      </c>
      <c r="L1420" t="s">
        <v>13602</v>
      </c>
      <c r="M1420" t="s">
        <v>7250</v>
      </c>
      <c r="N1420">
        <v>1996</v>
      </c>
      <c r="T1420" t="s">
        <v>6546</v>
      </c>
      <c r="U1420" t="s">
        <v>6546</v>
      </c>
      <c r="V1420">
        <v>111.5</v>
      </c>
      <c r="W1420">
        <v>91.95</v>
      </c>
      <c r="X1420">
        <v>111.5</v>
      </c>
      <c r="Y1420">
        <v>25.98</v>
      </c>
      <c r="Z1420" t="s">
        <v>7253</v>
      </c>
      <c r="AB1420" t="s">
        <v>16398</v>
      </c>
      <c r="AC1420" t="s">
        <v>8777</v>
      </c>
      <c r="AF1420" t="s">
        <v>16399</v>
      </c>
      <c r="AI1420" t="s">
        <v>8777</v>
      </c>
      <c r="AO1420" t="s">
        <v>16400</v>
      </c>
    </row>
    <row r="1421" spans="1:41" hidden="1" x14ac:dyDescent="0.35">
      <c r="A1421" t="s">
        <v>16401</v>
      </c>
      <c r="B1421" t="s">
        <v>7246</v>
      </c>
      <c r="C1421" t="s">
        <v>5714</v>
      </c>
      <c r="D1421" t="s">
        <v>5714</v>
      </c>
      <c r="E1421" t="s">
        <v>5714</v>
      </c>
      <c r="G1421" s="13" t="s">
        <v>16402</v>
      </c>
      <c r="H1421" t="s">
        <v>16403</v>
      </c>
      <c r="J1421" t="s">
        <v>16404</v>
      </c>
      <c r="K1421" t="s">
        <v>13601</v>
      </c>
      <c r="L1421" t="s">
        <v>13602</v>
      </c>
      <c r="M1421" t="s">
        <v>7250</v>
      </c>
      <c r="N1421">
        <v>1960</v>
      </c>
      <c r="T1421" t="s">
        <v>6546</v>
      </c>
      <c r="U1421" t="s">
        <v>6546</v>
      </c>
      <c r="V1421">
        <v>172</v>
      </c>
      <c r="W1421">
        <v>168.05</v>
      </c>
      <c r="X1421">
        <v>172</v>
      </c>
      <c r="Y1421">
        <v>650</v>
      </c>
      <c r="Z1421" t="s">
        <v>8842</v>
      </c>
      <c r="AB1421" t="s">
        <v>1860</v>
      </c>
      <c r="AC1421" t="s">
        <v>8777</v>
      </c>
      <c r="AF1421" t="s">
        <v>16405</v>
      </c>
      <c r="AI1421" t="s">
        <v>8777</v>
      </c>
      <c r="AO1421" t="s">
        <v>16406</v>
      </c>
    </row>
    <row r="1422" spans="1:41" hidden="1" x14ac:dyDescent="0.35">
      <c r="A1422" t="s">
        <v>16407</v>
      </c>
      <c r="B1422" t="s">
        <v>7246</v>
      </c>
      <c r="C1422" t="s">
        <v>5787</v>
      </c>
      <c r="D1422" t="s">
        <v>5787</v>
      </c>
      <c r="E1422" t="s">
        <v>5787</v>
      </c>
      <c r="G1422" s="13" t="s">
        <v>16408</v>
      </c>
      <c r="H1422" t="s">
        <v>16409</v>
      </c>
      <c r="J1422" t="s">
        <v>16410</v>
      </c>
      <c r="K1422" t="s">
        <v>11716</v>
      </c>
      <c r="L1422" t="s">
        <v>11717</v>
      </c>
      <c r="M1422" t="s">
        <v>7250</v>
      </c>
      <c r="T1422" t="s">
        <v>6546</v>
      </c>
      <c r="U1422" t="s">
        <v>6546</v>
      </c>
      <c r="V1422" t="s">
        <v>6546</v>
      </c>
      <c r="W1422">
        <v>5.66</v>
      </c>
      <c r="X1422">
        <v>5.66</v>
      </c>
      <c r="AB1422" t="s">
        <v>15623</v>
      </c>
      <c r="AC1422" t="s">
        <v>8777</v>
      </c>
      <c r="AF1422" t="s">
        <v>15718</v>
      </c>
      <c r="AI1422" t="s">
        <v>8777</v>
      </c>
      <c r="AO1422" t="s">
        <v>16411</v>
      </c>
    </row>
    <row r="1423" spans="1:41" hidden="1" x14ac:dyDescent="0.35">
      <c r="A1423" t="s">
        <v>16412</v>
      </c>
      <c r="B1423" t="s">
        <v>7246</v>
      </c>
      <c r="C1423" t="s">
        <v>5787</v>
      </c>
      <c r="D1423" t="s">
        <v>5787</v>
      </c>
      <c r="E1423" t="s">
        <v>5787</v>
      </c>
      <c r="G1423" s="13" t="s">
        <v>16413</v>
      </c>
      <c r="H1423" t="s">
        <v>16414</v>
      </c>
      <c r="J1423" t="s">
        <v>16415</v>
      </c>
      <c r="K1423" t="s">
        <v>11716</v>
      </c>
      <c r="L1423" t="s">
        <v>11717</v>
      </c>
      <c r="M1423" t="s">
        <v>7250</v>
      </c>
      <c r="T1423" t="s">
        <v>6546</v>
      </c>
      <c r="U1423" t="s">
        <v>6546</v>
      </c>
      <c r="V1423" t="s">
        <v>6546</v>
      </c>
      <c r="W1423">
        <v>114.49</v>
      </c>
      <c r="X1423">
        <v>114.49</v>
      </c>
      <c r="AB1423" t="s">
        <v>15623</v>
      </c>
      <c r="AC1423" t="s">
        <v>8777</v>
      </c>
      <c r="AF1423" t="s">
        <v>16416</v>
      </c>
      <c r="AI1423" t="s">
        <v>8777</v>
      </c>
      <c r="AO1423" t="s">
        <v>16417</v>
      </c>
    </row>
    <row r="1424" spans="1:41" hidden="1" x14ac:dyDescent="0.35">
      <c r="A1424" t="s">
        <v>16418</v>
      </c>
      <c r="B1424" t="s">
        <v>7246</v>
      </c>
      <c r="C1424" t="s">
        <v>5714</v>
      </c>
      <c r="D1424" t="s">
        <v>5714</v>
      </c>
      <c r="E1424" t="s">
        <v>5714</v>
      </c>
      <c r="G1424" s="13" t="s">
        <v>16419</v>
      </c>
      <c r="H1424" t="s">
        <v>16420</v>
      </c>
      <c r="J1424" t="s">
        <v>16421</v>
      </c>
      <c r="K1424" t="s">
        <v>13601</v>
      </c>
      <c r="L1424" t="s">
        <v>13602</v>
      </c>
      <c r="M1424" t="s">
        <v>7250</v>
      </c>
      <c r="N1424">
        <v>1960</v>
      </c>
      <c r="O1424">
        <v>1960</v>
      </c>
      <c r="T1424" t="s">
        <v>6546</v>
      </c>
      <c r="U1424" t="s">
        <v>6546</v>
      </c>
      <c r="V1424">
        <v>150.1</v>
      </c>
      <c r="W1424">
        <v>132.96</v>
      </c>
      <c r="X1424">
        <v>150.1</v>
      </c>
      <c r="Y1424">
        <v>26</v>
      </c>
      <c r="Z1424" t="s">
        <v>7253</v>
      </c>
      <c r="AB1424" t="s">
        <v>16405</v>
      </c>
      <c r="AC1424" t="s">
        <v>8777</v>
      </c>
      <c r="AF1424" t="s">
        <v>11861</v>
      </c>
      <c r="AI1424" t="s">
        <v>8777</v>
      </c>
      <c r="AO1424" t="s">
        <v>16422</v>
      </c>
    </row>
    <row r="1425" spans="1:41" hidden="1" x14ac:dyDescent="0.35">
      <c r="A1425" t="s">
        <v>16423</v>
      </c>
      <c r="B1425" t="s">
        <v>7246</v>
      </c>
      <c r="C1425" t="s">
        <v>5714</v>
      </c>
      <c r="D1425" t="s">
        <v>5714</v>
      </c>
      <c r="E1425" t="s">
        <v>5714</v>
      </c>
      <c r="G1425" s="13" t="s">
        <v>16424</v>
      </c>
      <c r="H1425" t="s">
        <v>16425</v>
      </c>
      <c r="J1425" t="s">
        <v>16426</v>
      </c>
      <c r="K1425" t="s">
        <v>13601</v>
      </c>
      <c r="L1425" t="s">
        <v>13602</v>
      </c>
      <c r="M1425" t="s">
        <v>7250</v>
      </c>
      <c r="N1425">
        <v>1971</v>
      </c>
      <c r="T1425" t="s">
        <v>6546</v>
      </c>
      <c r="U1425" t="s">
        <v>6546</v>
      </c>
      <c r="V1425">
        <v>100.3</v>
      </c>
      <c r="W1425">
        <v>87.92</v>
      </c>
      <c r="X1425">
        <v>100.3</v>
      </c>
      <c r="Y1425">
        <v>24</v>
      </c>
      <c r="Z1425" t="s">
        <v>7253</v>
      </c>
      <c r="AB1425" t="s">
        <v>15745</v>
      </c>
      <c r="AC1425" t="s">
        <v>8777</v>
      </c>
      <c r="AF1425" t="s">
        <v>16405</v>
      </c>
      <c r="AI1425" t="s">
        <v>8777</v>
      </c>
      <c r="AO1425" t="s">
        <v>16427</v>
      </c>
    </row>
    <row r="1426" spans="1:41" hidden="1" x14ac:dyDescent="0.35">
      <c r="A1426" t="s">
        <v>16428</v>
      </c>
      <c r="B1426" t="s">
        <v>7246</v>
      </c>
      <c r="C1426" t="s">
        <v>5714</v>
      </c>
      <c r="D1426" t="s">
        <v>5714</v>
      </c>
      <c r="E1426" t="s">
        <v>5714</v>
      </c>
      <c r="G1426" s="13" t="s">
        <v>16429</v>
      </c>
      <c r="H1426" t="s">
        <v>16430</v>
      </c>
      <c r="J1426" t="s">
        <v>16431</v>
      </c>
      <c r="K1426" t="s">
        <v>13601</v>
      </c>
      <c r="L1426" t="s">
        <v>13602</v>
      </c>
      <c r="M1426" t="s">
        <v>7250</v>
      </c>
      <c r="T1426" t="s">
        <v>6546</v>
      </c>
      <c r="U1426" t="s">
        <v>6546</v>
      </c>
      <c r="V1426" t="s">
        <v>6546</v>
      </c>
      <c r="W1426">
        <v>19.05</v>
      </c>
      <c r="X1426">
        <v>19.05</v>
      </c>
      <c r="Y1426">
        <v>20</v>
      </c>
      <c r="Z1426" t="s">
        <v>7253</v>
      </c>
      <c r="AB1426" t="s">
        <v>3441</v>
      </c>
      <c r="AC1426" t="s">
        <v>8777</v>
      </c>
      <c r="AF1426" t="s">
        <v>16432</v>
      </c>
      <c r="AI1426" t="s">
        <v>8777</v>
      </c>
      <c r="AO1426" t="s">
        <v>16433</v>
      </c>
    </row>
    <row r="1427" spans="1:41" hidden="1" x14ac:dyDescent="0.35">
      <c r="A1427" t="s">
        <v>16434</v>
      </c>
      <c r="B1427" t="s">
        <v>7246</v>
      </c>
      <c r="C1427" t="s">
        <v>5714</v>
      </c>
      <c r="D1427" t="s">
        <v>5714</v>
      </c>
      <c r="E1427" t="s">
        <v>5714</v>
      </c>
      <c r="G1427" s="13" t="s">
        <v>16435</v>
      </c>
      <c r="H1427" t="s">
        <v>16436</v>
      </c>
      <c r="J1427" t="s">
        <v>16437</v>
      </c>
      <c r="K1427" t="s">
        <v>13601</v>
      </c>
      <c r="L1427" t="s">
        <v>13602</v>
      </c>
      <c r="M1427" t="s">
        <v>7250</v>
      </c>
      <c r="N1427">
        <v>1993</v>
      </c>
      <c r="T1427" t="s">
        <v>6546</v>
      </c>
      <c r="U1427" t="s">
        <v>6546</v>
      </c>
      <c r="V1427">
        <v>34.1</v>
      </c>
      <c r="W1427">
        <v>33.369999999999997</v>
      </c>
      <c r="X1427">
        <v>34.1</v>
      </c>
      <c r="Y1427">
        <v>47.99</v>
      </c>
      <c r="Z1427" t="s">
        <v>7253</v>
      </c>
      <c r="AB1427" t="s">
        <v>16068</v>
      </c>
      <c r="AC1427" t="s">
        <v>8777</v>
      </c>
      <c r="AF1427" t="s">
        <v>16438</v>
      </c>
      <c r="AI1427" t="s">
        <v>8777</v>
      </c>
      <c r="AO1427" t="s">
        <v>16439</v>
      </c>
    </row>
    <row r="1428" spans="1:41" hidden="1" x14ac:dyDescent="0.35">
      <c r="A1428" t="s">
        <v>16440</v>
      </c>
      <c r="B1428" t="s">
        <v>7246</v>
      </c>
      <c r="C1428" t="s">
        <v>5775</v>
      </c>
      <c r="D1428" t="s">
        <v>5775</v>
      </c>
      <c r="E1428" t="s">
        <v>5775</v>
      </c>
      <c r="G1428" s="13" t="s">
        <v>16441</v>
      </c>
      <c r="H1428" t="s">
        <v>16442</v>
      </c>
      <c r="J1428" t="s">
        <v>16443</v>
      </c>
      <c r="K1428" t="s">
        <v>15996</v>
      </c>
      <c r="L1428" t="s">
        <v>15997</v>
      </c>
      <c r="M1428" t="s">
        <v>7250</v>
      </c>
      <c r="N1428">
        <v>2005</v>
      </c>
      <c r="T1428" t="s">
        <v>6546</v>
      </c>
      <c r="U1428" t="s">
        <v>6546</v>
      </c>
      <c r="V1428" t="s">
        <v>6546</v>
      </c>
      <c r="W1428">
        <v>218.82</v>
      </c>
      <c r="X1428">
        <v>218.82</v>
      </c>
      <c r="Y1428" t="s">
        <v>15998</v>
      </c>
      <c r="Z1428" t="s">
        <v>8842</v>
      </c>
      <c r="AB1428" t="s">
        <v>7152</v>
      </c>
      <c r="AC1428" t="s">
        <v>8777</v>
      </c>
      <c r="AF1428" t="s">
        <v>16444</v>
      </c>
      <c r="AI1428" t="s">
        <v>8777</v>
      </c>
      <c r="AO1428" t="s">
        <v>16445</v>
      </c>
    </row>
    <row r="1429" spans="1:41" hidden="1" x14ac:dyDescent="0.35">
      <c r="A1429" t="s">
        <v>16446</v>
      </c>
      <c r="B1429" t="s">
        <v>7246</v>
      </c>
      <c r="C1429" t="s">
        <v>5586</v>
      </c>
      <c r="D1429" t="s">
        <v>5586</v>
      </c>
      <c r="E1429" t="s">
        <v>5586</v>
      </c>
      <c r="G1429" s="13" t="s">
        <v>16447</v>
      </c>
      <c r="H1429" t="s">
        <v>16448</v>
      </c>
      <c r="J1429" t="s">
        <v>16449</v>
      </c>
      <c r="K1429" t="s">
        <v>12016</v>
      </c>
      <c r="L1429" t="s">
        <v>12016</v>
      </c>
      <c r="M1429" t="s">
        <v>7250</v>
      </c>
      <c r="T1429" t="s">
        <v>6546</v>
      </c>
      <c r="U1429" t="s">
        <v>6546</v>
      </c>
      <c r="V1429" t="s">
        <v>6546</v>
      </c>
      <c r="W1429">
        <v>95.32</v>
      </c>
      <c r="X1429">
        <v>95.32</v>
      </c>
      <c r="Y1429">
        <v>800</v>
      </c>
      <c r="Z1429" t="s">
        <v>8842</v>
      </c>
      <c r="AB1429" t="s">
        <v>15377</v>
      </c>
      <c r="AC1429" t="s">
        <v>8777</v>
      </c>
      <c r="AF1429" t="s">
        <v>16450</v>
      </c>
      <c r="AI1429" t="s">
        <v>8777</v>
      </c>
      <c r="AO1429" t="s">
        <v>16451</v>
      </c>
    </row>
    <row r="1430" spans="1:41" hidden="1" x14ac:dyDescent="0.35">
      <c r="A1430" t="s">
        <v>16452</v>
      </c>
      <c r="B1430" t="s">
        <v>7246</v>
      </c>
      <c r="C1430" t="s">
        <v>5714</v>
      </c>
      <c r="D1430" t="s">
        <v>5714</v>
      </c>
      <c r="E1430" t="s">
        <v>5714</v>
      </c>
      <c r="G1430" s="13" t="s">
        <v>16453</v>
      </c>
      <c r="H1430" t="s">
        <v>16454</v>
      </c>
      <c r="J1430" t="s">
        <v>16455</v>
      </c>
      <c r="K1430" t="s">
        <v>13601</v>
      </c>
      <c r="L1430" t="s">
        <v>13602</v>
      </c>
      <c r="M1430" t="s">
        <v>7250</v>
      </c>
      <c r="N1430">
        <v>1970</v>
      </c>
      <c r="T1430" t="s">
        <v>6546</v>
      </c>
      <c r="U1430" t="s">
        <v>6546</v>
      </c>
      <c r="V1430">
        <v>45.9</v>
      </c>
      <c r="W1430">
        <v>65.569999999999993</v>
      </c>
      <c r="X1430">
        <v>45.9</v>
      </c>
      <c r="Y1430">
        <v>25.98</v>
      </c>
      <c r="Z1430" t="s">
        <v>7253</v>
      </c>
      <c r="AB1430" t="s">
        <v>16456</v>
      </c>
      <c r="AC1430" t="s">
        <v>8777</v>
      </c>
      <c r="AF1430" t="s">
        <v>16457</v>
      </c>
      <c r="AI1430" t="s">
        <v>8777</v>
      </c>
      <c r="AO1430" t="s">
        <v>16458</v>
      </c>
    </row>
    <row r="1431" spans="1:41" hidden="1" x14ac:dyDescent="0.35">
      <c r="A1431" t="s">
        <v>16459</v>
      </c>
      <c r="B1431" t="s">
        <v>7246</v>
      </c>
      <c r="C1431" t="s">
        <v>5714</v>
      </c>
      <c r="D1431" t="s">
        <v>5714</v>
      </c>
      <c r="E1431" t="s">
        <v>5714</v>
      </c>
      <c r="G1431" s="13" t="s">
        <v>16460</v>
      </c>
      <c r="H1431" t="s">
        <v>15562</v>
      </c>
      <c r="I1431" t="s">
        <v>16461</v>
      </c>
      <c r="J1431" t="s">
        <v>16462</v>
      </c>
      <c r="K1431" t="s">
        <v>13601</v>
      </c>
      <c r="L1431" t="s">
        <v>13602</v>
      </c>
      <c r="M1431" t="s">
        <v>7250</v>
      </c>
      <c r="N1431">
        <v>1981</v>
      </c>
      <c r="T1431" t="s">
        <v>6546</v>
      </c>
      <c r="U1431" t="s">
        <v>6546</v>
      </c>
      <c r="V1431">
        <v>42.6</v>
      </c>
      <c r="W1431" t="s">
        <v>6546</v>
      </c>
      <c r="X1431">
        <v>42.6</v>
      </c>
      <c r="Y1431">
        <v>47.99</v>
      </c>
      <c r="Z1431" t="s">
        <v>7253</v>
      </c>
      <c r="AB1431" t="s">
        <v>15153</v>
      </c>
      <c r="AC1431" t="s">
        <v>8777</v>
      </c>
      <c r="AF1431" t="s">
        <v>15480</v>
      </c>
      <c r="AI1431" t="s">
        <v>8777</v>
      </c>
      <c r="AO1431" t="s">
        <v>6546</v>
      </c>
    </row>
    <row r="1432" spans="1:41" hidden="1" x14ac:dyDescent="0.35">
      <c r="A1432" t="s">
        <v>16463</v>
      </c>
      <c r="B1432" t="s">
        <v>7246</v>
      </c>
      <c r="C1432" t="s">
        <v>5858</v>
      </c>
      <c r="D1432" t="s">
        <v>5714</v>
      </c>
      <c r="E1432" t="s">
        <v>16464</v>
      </c>
      <c r="G1432" s="13" t="s">
        <v>16465</v>
      </c>
      <c r="H1432" t="s">
        <v>16466</v>
      </c>
      <c r="I1432" t="s">
        <v>16467</v>
      </c>
      <c r="J1432" t="s">
        <v>16468</v>
      </c>
      <c r="K1432" t="s">
        <v>16469</v>
      </c>
      <c r="L1432" t="s">
        <v>16470</v>
      </c>
      <c r="M1432" t="s">
        <v>7250</v>
      </c>
      <c r="R1432">
        <v>75</v>
      </c>
      <c r="S1432" t="s">
        <v>12003</v>
      </c>
      <c r="T1432">
        <v>2.76</v>
      </c>
      <c r="U1432">
        <v>1285.06</v>
      </c>
      <c r="V1432" t="s">
        <v>6546</v>
      </c>
      <c r="W1432">
        <v>100.72</v>
      </c>
      <c r="X1432">
        <v>100.72</v>
      </c>
      <c r="AB1432" t="s">
        <v>16471</v>
      </c>
      <c r="AC1432" t="s">
        <v>8777</v>
      </c>
      <c r="AF1432" t="s">
        <v>16472</v>
      </c>
      <c r="AI1432" t="s">
        <v>8777</v>
      </c>
      <c r="AO1432" t="s">
        <v>16473</v>
      </c>
    </row>
    <row r="1433" spans="1:41" hidden="1" x14ac:dyDescent="0.35">
      <c r="A1433" t="s">
        <v>16474</v>
      </c>
      <c r="B1433" t="s">
        <v>7246</v>
      </c>
      <c r="C1433" t="s">
        <v>5613</v>
      </c>
      <c r="D1433" t="s">
        <v>5613</v>
      </c>
      <c r="E1433" t="s">
        <v>5613</v>
      </c>
      <c r="G1433" s="13" t="s">
        <v>16475</v>
      </c>
      <c r="H1433" t="s">
        <v>16476</v>
      </c>
      <c r="J1433" t="s">
        <v>16477</v>
      </c>
      <c r="K1433" t="s">
        <v>15203</v>
      </c>
      <c r="L1433" t="s">
        <v>15204</v>
      </c>
      <c r="M1433" t="s">
        <v>7250</v>
      </c>
      <c r="T1433" t="s">
        <v>6546</v>
      </c>
      <c r="U1433" t="s">
        <v>6546</v>
      </c>
      <c r="V1433" t="s">
        <v>6546</v>
      </c>
      <c r="W1433">
        <v>107.7</v>
      </c>
      <c r="X1433">
        <v>107.7</v>
      </c>
      <c r="AB1433" t="s">
        <v>15500</v>
      </c>
      <c r="AC1433" t="s">
        <v>8777</v>
      </c>
      <c r="AF1433" t="s">
        <v>15506</v>
      </c>
      <c r="AI1433" t="s">
        <v>8777</v>
      </c>
      <c r="AO1433" t="s">
        <v>16478</v>
      </c>
    </row>
    <row r="1434" spans="1:41" hidden="1" x14ac:dyDescent="0.35">
      <c r="A1434" t="s">
        <v>16479</v>
      </c>
      <c r="B1434" t="s">
        <v>7246</v>
      </c>
      <c r="C1434" t="s">
        <v>5613</v>
      </c>
      <c r="D1434" t="s">
        <v>5613</v>
      </c>
      <c r="E1434" t="s">
        <v>5613</v>
      </c>
      <c r="G1434" s="13" t="s">
        <v>16480</v>
      </c>
      <c r="H1434" t="s">
        <v>16481</v>
      </c>
      <c r="J1434" t="s">
        <v>16482</v>
      </c>
      <c r="K1434" t="s">
        <v>15203</v>
      </c>
      <c r="L1434" t="s">
        <v>15204</v>
      </c>
      <c r="M1434" t="s">
        <v>7250</v>
      </c>
      <c r="T1434" t="s">
        <v>6546</v>
      </c>
      <c r="U1434" t="s">
        <v>6546</v>
      </c>
      <c r="V1434" t="s">
        <v>6546</v>
      </c>
      <c r="W1434">
        <v>316.39</v>
      </c>
      <c r="X1434">
        <v>316.39</v>
      </c>
      <c r="AB1434" t="s">
        <v>15500</v>
      </c>
      <c r="AC1434" t="s">
        <v>8777</v>
      </c>
      <c r="AF1434" t="s">
        <v>15712</v>
      </c>
      <c r="AI1434" t="s">
        <v>8777</v>
      </c>
      <c r="AO1434" t="s">
        <v>16483</v>
      </c>
    </row>
    <row r="1435" spans="1:41" hidden="1" x14ac:dyDescent="0.35">
      <c r="A1435" t="s">
        <v>16484</v>
      </c>
      <c r="B1435" t="s">
        <v>7246</v>
      </c>
      <c r="C1435" t="s">
        <v>5613</v>
      </c>
      <c r="D1435" t="s">
        <v>5613</v>
      </c>
      <c r="E1435" t="s">
        <v>5613</v>
      </c>
      <c r="G1435" s="13" t="s">
        <v>16485</v>
      </c>
      <c r="H1435" t="s">
        <v>16486</v>
      </c>
      <c r="J1435" t="s">
        <v>16487</v>
      </c>
      <c r="K1435" t="s">
        <v>15203</v>
      </c>
      <c r="L1435" t="s">
        <v>15204</v>
      </c>
      <c r="M1435" t="s">
        <v>7250</v>
      </c>
      <c r="T1435" t="s">
        <v>6546</v>
      </c>
      <c r="U1435" t="s">
        <v>6546</v>
      </c>
      <c r="V1435" t="s">
        <v>6546</v>
      </c>
      <c r="W1435">
        <v>275.37</v>
      </c>
      <c r="X1435">
        <v>275.37</v>
      </c>
      <c r="AB1435" t="s">
        <v>15500</v>
      </c>
      <c r="AC1435" t="s">
        <v>8777</v>
      </c>
      <c r="AF1435" t="s">
        <v>16488</v>
      </c>
      <c r="AI1435" t="s">
        <v>8777</v>
      </c>
      <c r="AO1435" t="s">
        <v>16489</v>
      </c>
    </row>
    <row r="1436" spans="1:41" hidden="1" x14ac:dyDescent="0.35">
      <c r="A1436" t="s">
        <v>16490</v>
      </c>
      <c r="B1436" t="s">
        <v>7246</v>
      </c>
      <c r="C1436" t="s">
        <v>5591</v>
      </c>
      <c r="D1436" t="s">
        <v>5591</v>
      </c>
      <c r="E1436" t="s">
        <v>5591</v>
      </c>
      <c r="G1436" s="13" t="s">
        <v>16491</v>
      </c>
      <c r="H1436" t="s">
        <v>16492</v>
      </c>
      <c r="J1436" t="s">
        <v>16493</v>
      </c>
      <c r="K1436" t="s">
        <v>11924</v>
      </c>
      <c r="L1436" t="s">
        <v>11925</v>
      </c>
      <c r="M1436" t="s">
        <v>7250</v>
      </c>
      <c r="T1436" t="s">
        <v>6546</v>
      </c>
      <c r="U1436" t="s">
        <v>6546</v>
      </c>
      <c r="V1436" t="s">
        <v>6546</v>
      </c>
      <c r="W1436">
        <v>172.83</v>
      </c>
      <c r="X1436">
        <v>172.83</v>
      </c>
      <c r="Y1436">
        <v>35.43</v>
      </c>
      <c r="Z1436" t="s">
        <v>7253</v>
      </c>
      <c r="AB1436" t="s">
        <v>15858</v>
      </c>
      <c r="AC1436" t="s">
        <v>8777</v>
      </c>
      <c r="AF1436" t="s">
        <v>16494</v>
      </c>
      <c r="AI1436" t="s">
        <v>8777</v>
      </c>
      <c r="AO1436" t="s">
        <v>16495</v>
      </c>
    </row>
    <row r="1437" spans="1:41" hidden="1" x14ac:dyDescent="0.35">
      <c r="A1437" t="s">
        <v>16496</v>
      </c>
      <c r="B1437" t="s">
        <v>7246</v>
      </c>
      <c r="C1437" t="s">
        <v>5714</v>
      </c>
      <c r="D1437" t="s">
        <v>5714</v>
      </c>
      <c r="E1437" t="s">
        <v>5714</v>
      </c>
      <c r="G1437" s="13" t="s">
        <v>16292</v>
      </c>
      <c r="H1437" t="s">
        <v>16293</v>
      </c>
      <c r="K1437" t="s">
        <v>13601</v>
      </c>
      <c r="L1437" t="s">
        <v>13602</v>
      </c>
      <c r="M1437" t="s">
        <v>7250</v>
      </c>
      <c r="N1437">
        <v>1993</v>
      </c>
      <c r="T1437" t="s">
        <v>6546</v>
      </c>
      <c r="U1437" t="s">
        <v>6546</v>
      </c>
      <c r="V1437">
        <v>18</v>
      </c>
      <c r="W1437" t="s">
        <v>6546</v>
      </c>
      <c r="X1437">
        <v>18</v>
      </c>
      <c r="Y1437">
        <v>24</v>
      </c>
      <c r="Z1437" t="s">
        <v>7253</v>
      </c>
      <c r="AB1437" t="s">
        <v>15769</v>
      </c>
      <c r="AC1437" t="s">
        <v>8777</v>
      </c>
      <c r="AF1437" t="s">
        <v>16295</v>
      </c>
      <c r="AI1437" t="s">
        <v>8777</v>
      </c>
      <c r="AO1437" t="s">
        <v>6546</v>
      </c>
    </row>
    <row r="1438" spans="1:41" hidden="1" x14ac:dyDescent="0.35">
      <c r="A1438" t="s">
        <v>16497</v>
      </c>
      <c r="B1438" t="s">
        <v>7246</v>
      </c>
      <c r="C1438" t="s">
        <v>5861</v>
      </c>
      <c r="D1438" t="s">
        <v>5861</v>
      </c>
      <c r="E1438" t="s">
        <v>5861</v>
      </c>
      <c r="G1438" s="13" t="s">
        <v>16498</v>
      </c>
      <c r="H1438" t="s">
        <v>16499</v>
      </c>
      <c r="J1438" t="s">
        <v>16500</v>
      </c>
      <c r="K1438" t="s">
        <v>8694</v>
      </c>
      <c r="L1438" t="s">
        <v>8694</v>
      </c>
      <c r="M1438" t="s">
        <v>7250</v>
      </c>
      <c r="T1438" t="s">
        <v>6546</v>
      </c>
      <c r="U1438" t="s">
        <v>6546</v>
      </c>
      <c r="V1438" t="s">
        <v>6546</v>
      </c>
      <c r="W1438">
        <v>145.11000000000001</v>
      </c>
      <c r="X1438">
        <v>145.11000000000001</v>
      </c>
      <c r="AB1438" t="s">
        <v>11637</v>
      </c>
      <c r="AC1438" t="s">
        <v>8777</v>
      </c>
      <c r="AF1438" t="s">
        <v>3236</v>
      </c>
      <c r="AI1438" t="s">
        <v>8777</v>
      </c>
      <c r="AO1438" t="s">
        <v>16501</v>
      </c>
    </row>
    <row r="1439" spans="1:41" hidden="1" x14ac:dyDescent="0.35">
      <c r="A1439" t="s">
        <v>16502</v>
      </c>
      <c r="B1439" t="s">
        <v>7246</v>
      </c>
      <c r="C1439" t="s">
        <v>5643</v>
      </c>
      <c r="D1439" t="s">
        <v>5643</v>
      </c>
      <c r="E1439" t="s">
        <v>5643</v>
      </c>
      <c r="G1439" s="13" t="s">
        <v>16503</v>
      </c>
      <c r="H1439" t="s">
        <v>16504</v>
      </c>
      <c r="J1439" t="s">
        <v>16505</v>
      </c>
      <c r="K1439" t="s">
        <v>15725</v>
      </c>
      <c r="L1439" t="s">
        <v>15726</v>
      </c>
      <c r="M1439" t="s">
        <v>7250</v>
      </c>
      <c r="T1439" t="s">
        <v>6546</v>
      </c>
      <c r="U1439" t="s">
        <v>6546</v>
      </c>
      <c r="V1439" t="s">
        <v>6546</v>
      </c>
      <c r="W1439">
        <v>120.77</v>
      </c>
      <c r="X1439">
        <v>120.77</v>
      </c>
      <c r="Y1439">
        <v>600</v>
      </c>
      <c r="Z1439" t="s">
        <v>8842</v>
      </c>
      <c r="AB1439" t="s">
        <v>16506</v>
      </c>
      <c r="AC1439" t="s">
        <v>8777</v>
      </c>
      <c r="AF1439" t="s">
        <v>16507</v>
      </c>
      <c r="AI1439" t="s">
        <v>8777</v>
      </c>
      <c r="AO1439" t="s">
        <v>16508</v>
      </c>
    </row>
    <row r="1440" spans="1:41" hidden="1" x14ac:dyDescent="0.35">
      <c r="A1440" t="s">
        <v>16509</v>
      </c>
      <c r="B1440" t="s">
        <v>7246</v>
      </c>
      <c r="C1440" t="s">
        <v>5787</v>
      </c>
      <c r="D1440" t="s">
        <v>5787</v>
      </c>
      <c r="E1440" t="s">
        <v>15619</v>
      </c>
      <c r="G1440" s="13" t="s">
        <v>16510</v>
      </c>
      <c r="H1440" t="s">
        <v>16511</v>
      </c>
      <c r="J1440" t="s">
        <v>16512</v>
      </c>
      <c r="K1440" t="s">
        <v>11716</v>
      </c>
      <c r="L1440" t="s">
        <v>11717</v>
      </c>
      <c r="M1440" t="s">
        <v>7250</v>
      </c>
      <c r="T1440" t="s">
        <v>6546</v>
      </c>
      <c r="U1440" t="s">
        <v>6546</v>
      </c>
      <c r="V1440" t="s">
        <v>6546</v>
      </c>
      <c r="W1440">
        <v>15.81</v>
      </c>
      <c r="X1440">
        <v>15.81</v>
      </c>
      <c r="AB1440" t="s">
        <v>16289</v>
      </c>
      <c r="AC1440" t="s">
        <v>8777</v>
      </c>
      <c r="AF1440" t="s">
        <v>9609</v>
      </c>
      <c r="AI1440" t="s">
        <v>8777</v>
      </c>
      <c r="AO1440" t="s">
        <v>16513</v>
      </c>
    </row>
    <row r="1441" spans="1:41" hidden="1" x14ac:dyDescent="0.35">
      <c r="A1441" t="s">
        <v>16514</v>
      </c>
      <c r="B1441" t="s">
        <v>7246</v>
      </c>
      <c r="C1441" t="s">
        <v>5787</v>
      </c>
      <c r="D1441" t="s">
        <v>5787</v>
      </c>
      <c r="E1441" t="s">
        <v>5787</v>
      </c>
      <c r="G1441" s="13" t="s">
        <v>16515</v>
      </c>
      <c r="H1441" t="s">
        <v>16516</v>
      </c>
      <c r="J1441" t="s">
        <v>16517</v>
      </c>
      <c r="K1441" t="s">
        <v>11716</v>
      </c>
      <c r="L1441" t="s">
        <v>11717</v>
      </c>
      <c r="M1441" t="s">
        <v>7250</v>
      </c>
      <c r="T1441" t="s">
        <v>6546</v>
      </c>
      <c r="U1441" t="s">
        <v>6546</v>
      </c>
      <c r="V1441" t="s">
        <v>6546</v>
      </c>
      <c r="W1441">
        <v>26.62</v>
      </c>
      <c r="X1441">
        <v>26.62</v>
      </c>
      <c r="AB1441" t="s">
        <v>16289</v>
      </c>
      <c r="AC1441" t="s">
        <v>8777</v>
      </c>
      <c r="AF1441" t="s">
        <v>16518</v>
      </c>
      <c r="AI1441" t="s">
        <v>8777</v>
      </c>
      <c r="AO1441" t="s">
        <v>16519</v>
      </c>
    </row>
    <row r="1442" spans="1:41" hidden="1" x14ac:dyDescent="0.35">
      <c r="A1442" t="s">
        <v>16520</v>
      </c>
      <c r="B1442" t="s">
        <v>7246</v>
      </c>
      <c r="C1442" t="s">
        <v>5787</v>
      </c>
      <c r="D1442" t="s">
        <v>5787</v>
      </c>
      <c r="E1442" t="s">
        <v>5787</v>
      </c>
      <c r="G1442" s="13" t="s">
        <v>16521</v>
      </c>
      <c r="H1442" t="s">
        <v>16522</v>
      </c>
      <c r="J1442" t="s">
        <v>16523</v>
      </c>
      <c r="K1442" t="s">
        <v>11716</v>
      </c>
      <c r="L1442" t="s">
        <v>11717</v>
      </c>
      <c r="M1442" t="s">
        <v>7250</v>
      </c>
      <c r="T1442" t="s">
        <v>6546</v>
      </c>
      <c r="U1442" t="s">
        <v>6546</v>
      </c>
      <c r="V1442" t="s">
        <v>6546</v>
      </c>
      <c r="W1442">
        <v>39.909999999999997</v>
      </c>
      <c r="X1442">
        <v>39.909999999999997</v>
      </c>
      <c r="AB1442" t="s">
        <v>16289</v>
      </c>
      <c r="AC1442" t="s">
        <v>8777</v>
      </c>
      <c r="AF1442" t="s">
        <v>1498</v>
      </c>
      <c r="AI1442" t="s">
        <v>8777</v>
      </c>
      <c r="AO1442" t="s">
        <v>16524</v>
      </c>
    </row>
    <row r="1443" spans="1:41" hidden="1" x14ac:dyDescent="0.35">
      <c r="A1443" t="s">
        <v>16525</v>
      </c>
      <c r="B1443" t="s">
        <v>7246</v>
      </c>
      <c r="C1443" t="s">
        <v>5714</v>
      </c>
      <c r="D1443" t="s">
        <v>5714</v>
      </c>
      <c r="E1443" t="s">
        <v>5714</v>
      </c>
      <c r="G1443" s="13" t="s">
        <v>16526</v>
      </c>
      <c r="H1443" t="s">
        <v>16527</v>
      </c>
      <c r="J1443" t="s">
        <v>16528</v>
      </c>
      <c r="K1443" t="s">
        <v>13601</v>
      </c>
      <c r="L1443" t="s">
        <v>13602</v>
      </c>
      <c r="M1443" t="s">
        <v>7250</v>
      </c>
      <c r="T1443" t="s">
        <v>6546</v>
      </c>
      <c r="U1443" t="s">
        <v>6546</v>
      </c>
      <c r="V1443" t="s">
        <v>6546</v>
      </c>
      <c r="W1443">
        <v>80.89</v>
      </c>
      <c r="X1443">
        <v>80.89</v>
      </c>
      <c r="Y1443">
        <v>34</v>
      </c>
      <c r="Z1443" t="s">
        <v>7253</v>
      </c>
      <c r="AB1443" t="s">
        <v>16529</v>
      </c>
      <c r="AC1443" t="s">
        <v>8777</v>
      </c>
      <c r="AF1443" t="s">
        <v>15487</v>
      </c>
      <c r="AI1443" t="s">
        <v>8777</v>
      </c>
      <c r="AO1443" t="s">
        <v>16530</v>
      </c>
    </row>
    <row r="1444" spans="1:41" hidden="1" x14ac:dyDescent="0.35">
      <c r="A1444" t="s">
        <v>16531</v>
      </c>
      <c r="B1444" t="s">
        <v>7246</v>
      </c>
      <c r="C1444" t="s">
        <v>5586</v>
      </c>
      <c r="D1444" t="s">
        <v>5586</v>
      </c>
      <c r="E1444" t="s">
        <v>5586</v>
      </c>
      <c r="G1444" s="13" t="s">
        <v>16532</v>
      </c>
      <c r="H1444" t="s">
        <v>16533</v>
      </c>
      <c r="J1444" t="s">
        <v>16534</v>
      </c>
      <c r="K1444" t="s">
        <v>12016</v>
      </c>
      <c r="L1444" t="s">
        <v>12016</v>
      </c>
      <c r="M1444" t="s">
        <v>7250</v>
      </c>
      <c r="T1444" t="s">
        <v>6546</v>
      </c>
      <c r="U1444" t="s">
        <v>6546</v>
      </c>
      <c r="V1444" t="s">
        <v>6546</v>
      </c>
      <c r="W1444">
        <v>193.22</v>
      </c>
      <c r="X1444">
        <v>193.22</v>
      </c>
      <c r="Y1444">
        <v>800</v>
      </c>
      <c r="Z1444" t="s">
        <v>8842</v>
      </c>
      <c r="AB1444" t="s">
        <v>9803</v>
      </c>
      <c r="AC1444" t="s">
        <v>8777</v>
      </c>
      <c r="AF1444" t="s">
        <v>16021</v>
      </c>
      <c r="AI1444" t="s">
        <v>8777</v>
      </c>
      <c r="AO1444" t="s">
        <v>16535</v>
      </c>
    </row>
    <row r="1445" spans="1:41" hidden="1" x14ac:dyDescent="0.35">
      <c r="A1445" t="s">
        <v>16536</v>
      </c>
      <c r="B1445" t="s">
        <v>7246</v>
      </c>
      <c r="C1445" t="s">
        <v>5844</v>
      </c>
      <c r="D1445" t="s">
        <v>5844</v>
      </c>
      <c r="E1445" t="s">
        <v>5844</v>
      </c>
      <c r="G1445" s="13" t="s">
        <v>16537</v>
      </c>
      <c r="H1445" t="s">
        <v>16538</v>
      </c>
      <c r="I1445" t="s">
        <v>16539</v>
      </c>
      <c r="J1445" t="s">
        <v>16540</v>
      </c>
      <c r="K1445" t="s">
        <v>14374</v>
      </c>
      <c r="L1445" t="s">
        <v>14374</v>
      </c>
      <c r="M1445" t="s">
        <v>7250</v>
      </c>
      <c r="T1445" t="s">
        <v>6546</v>
      </c>
      <c r="U1445" t="s">
        <v>6546</v>
      </c>
      <c r="V1445" t="s">
        <v>6546</v>
      </c>
      <c r="W1445">
        <v>93.04</v>
      </c>
      <c r="X1445">
        <v>93.04</v>
      </c>
      <c r="AB1445" t="s">
        <v>16541</v>
      </c>
      <c r="AC1445" t="s">
        <v>8777</v>
      </c>
      <c r="AF1445" t="s">
        <v>16542</v>
      </c>
      <c r="AI1445" t="s">
        <v>8777</v>
      </c>
      <c r="AO1445" t="s">
        <v>16543</v>
      </c>
    </row>
    <row r="1446" spans="1:41" hidden="1" x14ac:dyDescent="0.35">
      <c r="A1446" t="s">
        <v>16544</v>
      </c>
      <c r="B1446" t="s">
        <v>7246</v>
      </c>
      <c r="C1446" t="s">
        <v>5643</v>
      </c>
      <c r="D1446" t="s">
        <v>5643</v>
      </c>
      <c r="E1446" t="s">
        <v>5643</v>
      </c>
      <c r="G1446" s="13" t="s">
        <v>16545</v>
      </c>
      <c r="H1446" t="s">
        <v>16546</v>
      </c>
      <c r="J1446" t="s">
        <v>16547</v>
      </c>
      <c r="K1446" t="s">
        <v>11717</v>
      </c>
      <c r="L1446" t="s">
        <v>11717</v>
      </c>
      <c r="M1446" t="s">
        <v>7250</v>
      </c>
      <c r="T1446" t="s">
        <v>6546</v>
      </c>
      <c r="U1446" t="s">
        <v>6546</v>
      </c>
      <c r="V1446" t="s">
        <v>6546</v>
      </c>
      <c r="W1446">
        <v>25.54</v>
      </c>
      <c r="X1446">
        <v>25.54</v>
      </c>
      <c r="AB1446" t="s">
        <v>16548</v>
      </c>
      <c r="AC1446" t="s">
        <v>8777</v>
      </c>
      <c r="AF1446" t="s">
        <v>9437</v>
      </c>
      <c r="AI1446" t="s">
        <v>8777</v>
      </c>
      <c r="AO1446" t="s">
        <v>16549</v>
      </c>
    </row>
    <row r="1447" spans="1:41" hidden="1" x14ac:dyDescent="0.35">
      <c r="A1447" t="s">
        <v>16550</v>
      </c>
      <c r="B1447" t="s">
        <v>7246</v>
      </c>
      <c r="C1447" t="s">
        <v>5643</v>
      </c>
      <c r="D1447" t="s">
        <v>5643</v>
      </c>
      <c r="E1447" t="s">
        <v>5643</v>
      </c>
      <c r="G1447" s="13" t="s">
        <v>16551</v>
      </c>
      <c r="H1447" t="s">
        <v>16552</v>
      </c>
      <c r="J1447" t="s">
        <v>16553</v>
      </c>
      <c r="K1447" t="s">
        <v>11717</v>
      </c>
      <c r="L1447" t="s">
        <v>11717</v>
      </c>
      <c r="M1447" t="s">
        <v>7250</v>
      </c>
      <c r="N1447">
        <v>1965</v>
      </c>
      <c r="T1447" t="s">
        <v>6546</v>
      </c>
      <c r="U1447" t="s">
        <v>6546</v>
      </c>
      <c r="V1447" t="s">
        <v>6546</v>
      </c>
      <c r="W1447">
        <v>61.8</v>
      </c>
      <c r="X1447">
        <v>61.8</v>
      </c>
      <c r="Y1447">
        <v>39.369999999999997</v>
      </c>
      <c r="Z1447" t="s">
        <v>7253</v>
      </c>
      <c r="AB1447" t="s">
        <v>16554</v>
      </c>
      <c r="AC1447" t="s">
        <v>8777</v>
      </c>
      <c r="AF1447" t="s">
        <v>16555</v>
      </c>
      <c r="AI1447" t="s">
        <v>8777</v>
      </c>
      <c r="AO1447" t="s">
        <v>16556</v>
      </c>
    </row>
    <row r="1448" spans="1:41" hidden="1" x14ac:dyDescent="0.35">
      <c r="A1448" t="s">
        <v>16557</v>
      </c>
      <c r="B1448" t="s">
        <v>7246</v>
      </c>
      <c r="C1448" t="s">
        <v>5643</v>
      </c>
      <c r="D1448" t="s">
        <v>5643</v>
      </c>
      <c r="E1448" t="s">
        <v>5643</v>
      </c>
      <c r="G1448" s="13" t="s">
        <v>16558</v>
      </c>
      <c r="H1448" t="s">
        <v>16559</v>
      </c>
      <c r="J1448" t="s">
        <v>16560</v>
      </c>
      <c r="K1448" t="s">
        <v>15693</v>
      </c>
      <c r="L1448" t="s">
        <v>15694</v>
      </c>
      <c r="M1448" t="s">
        <v>7250</v>
      </c>
      <c r="N1448">
        <v>1993</v>
      </c>
      <c r="T1448" t="s">
        <v>6546</v>
      </c>
      <c r="U1448" t="s">
        <v>6546</v>
      </c>
      <c r="V1448" t="s">
        <v>6546</v>
      </c>
      <c r="W1448">
        <v>11.37</v>
      </c>
      <c r="X1448">
        <v>11.37</v>
      </c>
      <c r="Y1448">
        <v>700</v>
      </c>
      <c r="Z1448" t="s">
        <v>8842</v>
      </c>
      <c r="AB1448" t="s">
        <v>15317</v>
      </c>
      <c r="AC1448" t="s">
        <v>8777</v>
      </c>
      <c r="AF1448" t="s">
        <v>11852</v>
      </c>
      <c r="AI1448" t="s">
        <v>8777</v>
      </c>
      <c r="AO1448" t="s">
        <v>16561</v>
      </c>
    </row>
    <row r="1449" spans="1:41" hidden="1" x14ac:dyDescent="0.35">
      <c r="A1449" t="s">
        <v>16562</v>
      </c>
      <c r="B1449" t="s">
        <v>7246</v>
      </c>
      <c r="C1449" t="s">
        <v>5583</v>
      </c>
      <c r="D1449" t="s">
        <v>5583</v>
      </c>
      <c r="E1449" t="s">
        <v>5583</v>
      </c>
      <c r="G1449" s="13" t="s">
        <v>16563</v>
      </c>
      <c r="H1449" t="s">
        <v>16564</v>
      </c>
      <c r="J1449" t="s">
        <v>16565</v>
      </c>
      <c r="K1449" t="s">
        <v>6543</v>
      </c>
      <c r="L1449" t="s">
        <v>6543</v>
      </c>
      <c r="M1449" t="s">
        <v>7250</v>
      </c>
      <c r="T1449" t="s">
        <v>6546</v>
      </c>
      <c r="U1449" t="s">
        <v>6546</v>
      </c>
      <c r="V1449" t="s">
        <v>6546</v>
      </c>
      <c r="W1449">
        <v>55.57</v>
      </c>
      <c r="X1449">
        <v>55.57</v>
      </c>
      <c r="AB1449" t="s">
        <v>16566</v>
      </c>
      <c r="AC1449" t="s">
        <v>8777</v>
      </c>
      <c r="AF1449" t="s">
        <v>11912</v>
      </c>
      <c r="AI1449" t="s">
        <v>8777</v>
      </c>
      <c r="AO1449" t="s">
        <v>16567</v>
      </c>
    </row>
    <row r="1450" spans="1:41" hidden="1" x14ac:dyDescent="0.35">
      <c r="A1450" t="s">
        <v>16568</v>
      </c>
      <c r="B1450" t="s">
        <v>7246</v>
      </c>
      <c r="C1450" t="s">
        <v>5583</v>
      </c>
      <c r="D1450" t="s">
        <v>5925</v>
      </c>
      <c r="E1450" t="s">
        <v>16569</v>
      </c>
      <c r="G1450" s="13" t="s">
        <v>16570</v>
      </c>
      <c r="H1450" t="s">
        <v>16571</v>
      </c>
      <c r="J1450" t="s">
        <v>16572</v>
      </c>
      <c r="K1450" t="s">
        <v>11898</v>
      </c>
      <c r="L1450" t="s">
        <v>11899</v>
      </c>
      <c r="M1450" t="s">
        <v>7250</v>
      </c>
      <c r="T1450" t="s">
        <v>6546</v>
      </c>
      <c r="U1450" t="s">
        <v>6546</v>
      </c>
      <c r="V1450" t="s">
        <v>6546</v>
      </c>
      <c r="W1450">
        <v>15.74</v>
      </c>
      <c r="X1450">
        <v>15.74</v>
      </c>
      <c r="AB1450" t="s">
        <v>16566</v>
      </c>
      <c r="AC1450" t="s">
        <v>8777</v>
      </c>
      <c r="AF1450" t="s">
        <v>13567</v>
      </c>
      <c r="AI1450" t="s">
        <v>8777</v>
      </c>
      <c r="AO1450" t="s">
        <v>16573</v>
      </c>
    </row>
    <row r="1451" spans="1:41" hidden="1" x14ac:dyDescent="0.35">
      <c r="A1451" t="s">
        <v>16574</v>
      </c>
      <c r="B1451" t="s">
        <v>7246</v>
      </c>
      <c r="C1451" t="s">
        <v>5613</v>
      </c>
      <c r="D1451" t="s">
        <v>5613</v>
      </c>
      <c r="E1451" t="s">
        <v>5613</v>
      </c>
      <c r="G1451" s="13" t="s">
        <v>16575</v>
      </c>
      <c r="H1451" t="s">
        <v>16576</v>
      </c>
      <c r="J1451" t="s">
        <v>16577</v>
      </c>
      <c r="K1451" t="s">
        <v>15203</v>
      </c>
      <c r="L1451" t="s">
        <v>15204</v>
      </c>
      <c r="M1451" t="s">
        <v>7250</v>
      </c>
      <c r="T1451" t="s">
        <v>6546</v>
      </c>
      <c r="U1451" t="s">
        <v>6546</v>
      </c>
      <c r="V1451" t="s">
        <v>6546</v>
      </c>
      <c r="W1451">
        <v>269.83999999999997</v>
      </c>
      <c r="X1451">
        <v>269.83999999999997</v>
      </c>
      <c r="AB1451" t="s">
        <v>11730</v>
      </c>
      <c r="AC1451" t="s">
        <v>8777</v>
      </c>
      <c r="AF1451" t="s">
        <v>15970</v>
      </c>
      <c r="AI1451" t="s">
        <v>8777</v>
      </c>
      <c r="AO1451" t="s">
        <v>16578</v>
      </c>
    </row>
    <row r="1452" spans="1:41" hidden="1" x14ac:dyDescent="0.35">
      <c r="A1452" t="s">
        <v>16579</v>
      </c>
      <c r="B1452" t="s">
        <v>7246</v>
      </c>
      <c r="C1452" t="s">
        <v>5613</v>
      </c>
      <c r="D1452" t="s">
        <v>5613</v>
      </c>
      <c r="E1452" t="s">
        <v>5613</v>
      </c>
      <c r="G1452" s="13" t="s">
        <v>16580</v>
      </c>
      <c r="H1452" t="s">
        <v>16581</v>
      </c>
      <c r="J1452" t="s">
        <v>16582</v>
      </c>
      <c r="K1452" t="s">
        <v>15203</v>
      </c>
      <c r="L1452" t="s">
        <v>15204</v>
      </c>
      <c r="M1452" t="s">
        <v>7250</v>
      </c>
      <c r="T1452" t="s">
        <v>6546</v>
      </c>
      <c r="U1452" t="s">
        <v>6546</v>
      </c>
      <c r="V1452" t="s">
        <v>6546</v>
      </c>
      <c r="W1452">
        <v>69.16</v>
      </c>
      <c r="X1452">
        <v>69.16</v>
      </c>
      <c r="AB1452" t="s">
        <v>11730</v>
      </c>
      <c r="AC1452" t="s">
        <v>8777</v>
      </c>
      <c r="AF1452" t="s">
        <v>15220</v>
      </c>
      <c r="AI1452" t="s">
        <v>8777</v>
      </c>
      <c r="AO1452" t="s">
        <v>16583</v>
      </c>
    </row>
    <row r="1453" spans="1:41" hidden="1" x14ac:dyDescent="0.35">
      <c r="A1453" t="s">
        <v>16584</v>
      </c>
      <c r="B1453" t="s">
        <v>7246</v>
      </c>
      <c r="C1453" t="s">
        <v>9388</v>
      </c>
      <c r="D1453" t="s">
        <v>9388</v>
      </c>
      <c r="E1453" t="s">
        <v>9388</v>
      </c>
      <c r="G1453" s="13" t="s">
        <v>16585</v>
      </c>
      <c r="H1453" t="s">
        <v>16586</v>
      </c>
      <c r="J1453" t="s">
        <v>16587</v>
      </c>
      <c r="K1453" t="s">
        <v>15942</v>
      </c>
      <c r="L1453" t="s">
        <v>15942</v>
      </c>
      <c r="M1453" t="s">
        <v>7250</v>
      </c>
      <c r="T1453" t="s">
        <v>6546</v>
      </c>
      <c r="U1453" t="s">
        <v>6546</v>
      </c>
      <c r="V1453" t="s">
        <v>6546</v>
      </c>
      <c r="W1453">
        <v>80.22</v>
      </c>
      <c r="X1453">
        <v>80.22</v>
      </c>
      <c r="AB1453" t="s">
        <v>9414</v>
      </c>
      <c r="AC1453" t="s">
        <v>8777</v>
      </c>
      <c r="AF1453" t="s">
        <v>16588</v>
      </c>
      <c r="AI1453" t="s">
        <v>8777</v>
      </c>
      <c r="AO1453" t="s">
        <v>16589</v>
      </c>
    </row>
    <row r="1454" spans="1:41" hidden="1" x14ac:dyDescent="0.35">
      <c r="A1454" t="s">
        <v>16590</v>
      </c>
      <c r="B1454" t="s">
        <v>7246</v>
      </c>
      <c r="C1454" t="s">
        <v>5714</v>
      </c>
      <c r="D1454" t="s">
        <v>5714</v>
      </c>
      <c r="E1454" t="s">
        <v>5714</v>
      </c>
      <c r="G1454" s="13" t="s">
        <v>16591</v>
      </c>
      <c r="H1454" t="s">
        <v>16592</v>
      </c>
      <c r="J1454" t="s">
        <v>16593</v>
      </c>
      <c r="K1454" t="s">
        <v>13601</v>
      </c>
      <c r="L1454" t="s">
        <v>13602</v>
      </c>
      <c r="M1454" t="s">
        <v>7250</v>
      </c>
      <c r="N1454">
        <v>1976</v>
      </c>
      <c r="O1454">
        <v>1980</v>
      </c>
      <c r="T1454" t="s">
        <v>6546</v>
      </c>
      <c r="U1454" t="s">
        <v>6546</v>
      </c>
      <c r="V1454">
        <v>128.5</v>
      </c>
      <c r="W1454">
        <v>116.01</v>
      </c>
      <c r="X1454">
        <v>128.5</v>
      </c>
      <c r="Y1454">
        <v>20</v>
      </c>
      <c r="Z1454" t="s">
        <v>7253</v>
      </c>
      <c r="AB1454" t="s">
        <v>15582</v>
      </c>
      <c r="AC1454" t="s">
        <v>8777</v>
      </c>
      <c r="AF1454" t="s">
        <v>16223</v>
      </c>
      <c r="AI1454" t="s">
        <v>8777</v>
      </c>
      <c r="AO1454" t="s">
        <v>16594</v>
      </c>
    </row>
    <row r="1455" spans="1:41" hidden="1" x14ac:dyDescent="0.35">
      <c r="A1455" t="s">
        <v>16595</v>
      </c>
      <c r="B1455" t="s">
        <v>7246</v>
      </c>
      <c r="C1455" t="s">
        <v>5714</v>
      </c>
      <c r="D1455" t="s">
        <v>5714</v>
      </c>
      <c r="E1455" t="s">
        <v>5714</v>
      </c>
      <c r="G1455" s="13" t="s">
        <v>16596</v>
      </c>
      <c r="H1455" t="s">
        <v>16597</v>
      </c>
      <c r="J1455" t="s">
        <v>16598</v>
      </c>
      <c r="K1455" t="s">
        <v>13601</v>
      </c>
      <c r="L1455" t="s">
        <v>13602</v>
      </c>
      <c r="M1455" t="s">
        <v>7250</v>
      </c>
      <c r="N1455">
        <v>2009</v>
      </c>
      <c r="T1455" t="s">
        <v>6546</v>
      </c>
      <c r="U1455" t="s">
        <v>6546</v>
      </c>
      <c r="V1455">
        <v>33.4</v>
      </c>
      <c r="W1455">
        <v>36.450000000000003</v>
      </c>
      <c r="X1455">
        <v>33.4</v>
      </c>
      <c r="Y1455">
        <v>47.99</v>
      </c>
      <c r="Z1455" t="s">
        <v>7253</v>
      </c>
      <c r="AB1455" t="s">
        <v>16599</v>
      </c>
      <c r="AC1455" t="s">
        <v>8777</v>
      </c>
      <c r="AF1455" t="s">
        <v>16223</v>
      </c>
      <c r="AI1455" t="s">
        <v>8777</v>
      </c>
      <c r="AO1455" t="s">
        <v>16600</v>
      </c>
    </row>
    <row r="1456" spans="1:41" hidden="1" x14ac:dyDescent="0.35">
      <c r="A1456" t="s">
        <v>16601</v>
      </c>
      <c r="B1456" t="s">
        <v>7246</v>
      </c>
      <c r="C1456" t="s">
        <v>5714</v>
      </c>
      <c r="D1456" t="s">
        <v>5714</v>
      </c>
      <c r="E1456" t="s">
        <v>5714</v>
      </c>
      <c r="G1456" s="13" t="s">
        <v>16602</v>
      </c>
      <c r="H1456" t="s">
        <v>16603</v>
      </c>
      <c r="J1456" t="s">
        <v>16604</v>
      </c>
      <c r="K1456" t="s">
        <v>13601</v>
      </c>
      <c r="L1456" t="s">
        <v>13602</v>
      </c>
      <c r="M1456" t="s">
        <v>7250</v>
      </c>
      <c r="N1456">
        <v>1993</v>
      </c>
      <c r="T1456" t="s">
        <v>6546</v>
      </c>
      <c r="U1456" t="s">
        <v>6546</v>
      </c>
      <c r="V1456">
        <v>169.2</v>
      </c>
      <c r="W1456">
        <v>165.76</v>
      </c>
      <c r="X1456">
        <v>169.2</v>
      </c>
      <c r="Y1456">
        <v>47.99</v>
      </c>
      <c r="Z1456" t="s">
        <v>7253</v>
      </c>
      <c r="AB1456" t="s">
        <v>15770</v>
      </c>
      <c r="AC1456" t="s">
        <v>8777</v>
      </c>
      <c r="AF1456" t="s">
        <v>16605</v>
      </c>
      <c r="AI1456" t="s">
        <v>8777</v>
      </c>
      <c r="AO1456" t="s">
        <v>16606</v>
      </c>
    </row>
    <row r="1457" spans="1:41" hidden="1" x14ac:dyDescent="0.35">
      <c r="A1457" t="s">
        <v>16607</v>
      </c>
      <c r="B1457" t="s">
        <v>7246</v>
      </c>
      <c r="C1457" t="s">
        <v>5714</v>
      </c>
      <c r="D1457" t="s">
        <v>5714</v>
      </c>
      <c r="E1457" t="s">
        <v>5714</v>
      </c>
      <c r="G1457" s="13" t="s">
        <v>16608</v>
      </c>
      <c r="H1457" t="s">
        <v>16609</v>
      </c>
      <c r="J1457" t="s">
        <v>16610</v>
      </c>
      <c r="K1457" t="s">
        <v>13601</v>
      </c>
      <c r="L1457" t="s">
        <v>13602</v>
      </c>
      <c r="M1457" t="s">
        <v>7250</v>
      </c>
      <c r="T1457" t="s">
        <v>6546</v>
      </c>
      <c r="U1457" t="s">
        <v>6546</v>
      </c>
      <c r="V1457" t="s">
        <v>6546</v>
      </c>
      <c r="W1457">
        <v>114.14</v>
      </c>
      <c r="X1457">
        <v>114.14</v>
      </c>
      <c r="Y1457">
        <v>20</v>
      </c>
      <c r="Z1457" t="s">
        <v>7253</v>
      </c>
      <c r="AB1457" t="s">
        <v>3435</v>
      </c>
      <c r="AC1457" t="s">
        <v>8777</v>
      </c>
      <c r="AF1457" t="s">
        <v>16605</v>
      </c>
      <c r="AI1457" t="s">
        <v>8777</v>
      </c>
      <c r="AO1457" t="s">
        <v>16611</v>
      </c>
    </row>
    <row r="1458" spans="1:41" hidden="1" x14ac:dyDescent="0.35">
      <c r="A1458" t="s">
        <v>16612</v>
      </c>
      <c r="B1458" t="s">
        <v>7246</v>
      </c>
      <c r="C1458" t="s">
        <v>5861</v>
      </c>
      <c r="D1458" t="s">
        <v>5861</v>
      </c>
      <c r="E1458" t="s">
        <v>5861</v>
      </c>
      <c r="G1458" s="13" t="s">
        <v>16613</v>
      </c>
      <c r="H1458" t="s">
        <v>16614</v>
      </c>
      <c r="J1458" t="s">
        <v>16615</v>
      </c>
      <c r="K1458" t="s">
        <v>8694</v>
      </c>
      <c r="L1458" t="s">
        <v>8694</v>
      </c>
      <c r="M1458" t="s">
        <v>7250</v>
      </c>
      <c r="N1458">
        <v>1979</v>
      </c>
      <c r="O1458">
        <v>2005</v>
      </c>
      <c r="T1458" t="s">
        <v>6546</v>
      </c>
      <c r="U1458" t="s">
        <v>6546</v>
      </c>
      <c r="V1458">
        <v>91.28</v>
      </c>
      <c r="W1458">
        <v>95.59</v>
      </c>
      <c r="X1458">
        <v>91.28</v>
      </c>
      <c r="Y1458" t="s">
        <v>16616</v>
      </c>
      <c r="Z1458" t="s">
        <v>7253</v>
      </c>
      <c r="AB1458" t="s">
        <v>11642</v>
      </c>
      <c r="AC1458" t="s">
        <v>8777</v>
      </c>
      <c r="AF1458" t="s">
        <v>15474</v>
      </c>
      <c r="AI1458" t="s">
        <v>8777</v>
      </c>
      <c r="AO1458" t="s">
        <v>16617</v>
      </c>
    </row>
    <row r="1459" spans="1:41" hidden="1" x14ac:dyDescent="0.35">
      <c r="A1459" t="s">
        <v>16618</v>
      </c>
      <c r="B1459" t="s">
        <v>7246</v>
      </c>
      <c r="C1459" t="s">
        <v>5613</v>
      </c>
      <c r="D1459" t="s">
        <v>5613</v>
      </c>
      <c r="E1459" t="s">
        <v>5613</v>
      </c>
      <c r="G1459" s="13" t="s">
        <v>16619</v>
      </c>
      <c r="H1459" t="s">
        <v>16620</v>
      </c>
      <c r="J1459" t="s">
        <v>16621</v>
      </c>
      <c r="K1459" t="s">
        <v>15240</v>
      </c>
      <c r="L1459" t="s">
        <v>15241</v>
      </c>
      <c r="M1459" t="s">
        <v>7250</v>
      </c>
      <c r="T1459" t="s">
        <v>6546</v>
      </c>
      <c r="U1459" t="s">
        <v>6546</v>
      </c>
      <c r="V1459" t="s">
        <v>6546</v>
      </c>
      <c r="W1459">
        <v>102.98</v>
      </c>
      <c r="X1459">
        <v>102.98</v>
      </c>
      <c r="AB1459" t="s">
        <v>15330</v>
      </c>
      <c r="AC1459" t="s">
        <v>8777</v>
      </c>
      <c r="AF1459" t="s">
        <v>15243</v>
      </c>
      <c r="AI1459" t="s">
        <v>8777</v>
      </c>
      <c r="AO1459" t="s">
        <v>16622</v>
      </c>
    </row>
    <row r="1460" spans="1:41" hidden="1" x14ac:dyDescent="0.35">
      <c r="A1460" t="s">
        <v>16623</v>
      </c>
      <c r="B1460" t="s">
        <v>7246</v>
      </c>
      <c r="C1460" t="s">
        <v>437</v>
      </c>
      <c r="D1460" t="s">
        <v>5613</v>
      </c>
      <c r="E1460" t="s">
        <v>16624</v>
      </c>
      <c r="G1460" s="13" t="s">
        <v>16625</v>
      </c>
      <c r="H1460" t="s">
        <v>16626</v>
      </c>
      <c r="J1460" t="s">
        <v>16627</v>
      </c>
      <c r="K1460" t="s">
        <v>16060</v>
      </c>
      <c r="L1460" t="s">
        <v>16061</v>
      </c>
      <c r="M1460" t="s">
        <v>7250</v>
      </c>
      <c r="N1460">
        <v>2006</v>
      </c>
      <c r="T1460" t="s">
        <v>6546</v>
      </c>
      <c r="U1460" t="s">
        <v>6546</v>
      </c>
      <c r="V1460" t="s">
        <v>6546</v>
      </c>
      <c r="W1460">
        <v>326.95999999999998</v>
      </c>
      <c r="X1460">
        <v>326.95999999999998</v>
      </c>
      <c r="Y1460">
        <v>35.43</v>
      </c>
      <c r="Z1460" t="s">
        <v>7253</v>
      </c>
      <c r="AB1460" t="s">
        <v>16628</v>
      </c>
      <c r="AC1460" t="s">
        <v>8777</v>
      </c>
      <c r="AF1460" t="s">
        <v>16629</v>
      </c>
      <c r="AI1460" t="s">
        <v>8777</v>
      </c>
      <c r="AO1460" t="s">
        <v>16630</v>
      </c>
    </row>
    <row r="1461" spans="1:41" hidden="1" x14ac:dyDescent="0.35">
      <c r="A1461" t="s">
        <v>16631</v>
      </c>
      <c r="B1461" t="s">
        <v>7246</v>
      </c>
      <c r="C1461" t="s">
        <v>5978</v>
      </c>
      <c r="D1461" t="s">
        <v>5851</v>
      </c>
      <c r="E1461" t="s">
        <v>16632</v>
      </c>
      <c r="G1461" s="13" t="s">
        <v>16633</v>
      </c>
      <c r="H1461" t="s">
        <v>16634</v>
      </c>
      <c r="J1461" t="s">
        <v>16635</v>
      </c>
      <c r="K1461" t="s">
        <v>16636</v>
      </c>
      <c r="L1461" t="s">
        <v>16637</v>
      </c>
      <c r="M1461" t="s">
        <v>7250</v>
      </c>
      <c r="R1461">
        <v>7062.93</v>
      </c>
      <c r="S1461" t="s">
        <v>7251</v>
      </c>
      <c r="T1461">
        <v>73.05</v>
      </c>
      <c r="U1461">
        <v>33996.239999999998</v>
      </c>
      <c r="V1461">
        <v>14.5</v>
      </c>
      <c r="W1461">
        <v>14.46</v>
      </c>
      <c r="X1461">
        <v>14.5</v>
      </c>
      <c r="Y1461">
        <v>1400</v>
      </c>
      <c r="Z1461" t="s">
        <v>8842</v>
      </c>
      <c r="AB1461" t="s">
        <v>10070</v>
      </c>
      <c r="AC1461" t="s">
        <v>8777</v>
      </c>
      <c r="AF1461" t="s">
        <v>15903</v>
      </c>
      <c r="AI1461" t="s">
        <v>8777</v>
      </c>
      <c r="AO1461" t="s">
        <v>16638</v>
      </c>
    </row>
    <row r="1462" spans="1:41" hidden="1" x14ac:dyDescent="0.35">
      <c r="A1462" t="s">
        <v>16639</v>
      </c>
      <c r="B1462" t="s">
        <v>7246</v>
      </c>
      <c r="C1462" t="s">
        <v>5823</v>
      </c>
      <c r="D1462" t="s">
        <v>5823</v>
      </c>
      <c r="E1462" t="s">
        <v>5823</v>
      </c>
      <c r="G1462" s="13" t="s">
        <v>16640</v>
      </c>
      <c r="H1462" t="s">
        <v>16641</v>
      </c>
      <c r="J1462" t="s">
        <v>16642</v>
      </c>
      <c r="K1462" t="s">
        <v>11805</v>
      </c>
      <c r="L1462" t="s">
        <v>11806</v>
      </c>
      <c r="M1462" t="s">
        <v>7250</v>
      </c>
      <c r="T1462" t="s">
        <v>6546</v>
      </c>
      <c r="U1462" t="s">
        <v>6546</v>
      </c>
      <c r="V1462" t="s">
        <v>6546</v>
      </c>
      <c r="W1462">
        <v>55.07</v>
      </c>
      <c r="X1462">
        <v>55.07</v>
      </c>
      <c r="Y1462">
        <v>20.079999999999998</v>
      </c>
      <c r="Z1462" t="s">
        <v>7253</v>
      </c>
      <c r="AB1462" t="s">
        <v>16643</v>
      </c>
      <c r="AC1462" t="s">
        <v>8777</v>
      </c>
      <c r="AF1462" t="s">
        <v>11815</v>
      </c>
      <c r="AI1462" t="s">
        <v>8777</v>
      </c>
      <c r="AO1462" t="s">
        <v>11816</v>
      </c>
    </row>
    <row r="1463" spans="1:41" hidden="1" x14ac:dyDescent="0.35">
      <c r="A1463" t="s">
        <v>16644</v>
      </c>
      <c r="B1463" t="s">
        <v>7246</v>
      </c>
      <c r="C1463" t="s">
        <v>5861</v>
      </c>
      <c r="D1463" t="s">
        <v>5861</v>
      </c>
      <c r="E1463" t="s">
        <v>5861</v>
      </c>
      <c r="G1463" s="13" t="s">
        <v>16645</v>
      </c>
      <c r="H1463" t="s">
        <v>16646</v>
      </c>
      <c r="J1463" t="s">
        <v>16647</v>
      </c>
      <c r="K1463" t="s">
        <v>8694</v>
      </c>
      <c r="L1463" t="s">
        <v>8694</v>
      </c>
      <c r="M1463" t="s">
        <v>7250</v>
      </c>
      <c r="N1463">
        <v>1990</v>
      </c>
      <c r="O1463">
        <v>1998</v>
      </c>
      <c r="T1463" t="s">
        <v>6546</v>
      </c>
      <c r="U1463" t="s">
        <v>6546</v>
      </c>
      <c r="V1463" t="s">
        <v>6546</v>
      </c>
      <c r="W1463">
        <v>86.77</v>
      </c>
      <c r="X1463">
        <v>86.77</v>
      </c>
      <c r="Y1463">
        <v>20</v>
      </c>
      <c r="Z1463" t="s">
        <v>7253</v>
      </c>
      <c r="AB1463" t="s">
        <v>15213</v>
      </c>
      <c r="AC1463" t="s">
        <v>8777</v>
      </c>
      <c r="AF1463" t="s">
        <v>8389</v>
      </c>
      <c r="AI1463" t="s">
        <v>8777</v>
      </c>
      <c r="AO1463" t="s">
        <v>16648</v>
      </c>
    </row>
    <row r="1464" spans="1:41" hidden="1" x14ac:dyDescent="0.35">
      <c r="A1464" t="s">
        <v>16649</v>
      </c>
      <c r="B1464" t="s">
        <v>7246</v>
      </c>
      <c r="C1464" t="s">
        <v>5705</v>
      </c>
      <c r="D1464" t="s">
        <v>5705</v>
      </c>
      <c r="E1464" t="s">
        <v>5705</v>
      </c>
      <c r="G1464" s="13" t="s">
        <v>16650</v>
      </c>
      <c r="H1464" t="s">
        <v>16651</v>
      </c>
      <c r="J1464" t="s">
        <v>16652</v>
      </c>
      <c r="K1464" t="s">
        <v>13491</v>
      </c>
      <c r="L1464" t="s">
        <v>13492</v>
      </c>
      <c r="M1464" t="s">
        <v>7250</v>
      </c>
      <c r="T1464" t="s">
        <v>6546</v>
      </c>
      <c r="U1464" t="s">
        <v>6546</v>
      </c>
      <c r="V1464" t="s">
        <v>6546</v>
      </c>
      <c r="W1464">
        <v>150.5</v>
      </c>
      <c r="X1464">
        <v>150.5</v>
      </c>
      <c r="Y1464">
        <v>31.5</v>
      </c>
      <c r="Z1464" t="s">
        <v>7253</v>
      </c>
      <c r="AB1464" t="s">
        <v>15815</v>
      </c>
      <c r="AC1464" t="s">
        <v>8777</v>
      </c>
      <c r="AF1464" t="s">
        <v>16653</v>
      </c>
      <c r="AI1464" t="s">
        <v>8777</v>
      </c>
      <c r="AO1464" t="s">
        <v>16654</v>
      </c>
    </row>
    <row r="1465" spans="1:41" hidden="1" x14ac:dyDescent="0.35">
      <c r="A1465" t="s">
        <v>16655</v>
      </c>
      <c r="B1465" t="s">
        <v>7246</v>
      </c>
      <c r="C1465" t="s">
        <v>9388</v>
      </c>
      <c r="D1465" t="s">
        <v>9388</v>
      </c>
      <c r="E1465" t="s">
        <v>9388</v>
      </c>
      <c r="G1465" s="13" t="s">
        <v>16656</v>
      </c>
      <c r="H1465" t="s">
        <v>16657</v>
      </c>
      <c r="J1465" t="s">
        <v>16658</v>
      </c>
      <c r="K1465" t="s">
        <v>15942</v>
      </c>
      <c r="L1465" t="s">
        <v>15942</v>
      </c>
      <c r="M1465" t="s">
        <v>7250</v>
      </c>
      <c r="T1465" t="s">
        <v>6546</v>
      </c>
      <c r="U1465" t="s">
        <v>6546</v>
      </c>
      <c r="V1465" t="s">
        <v>6546</v>
      </c>
      <c r="W1465">
        <v>197.65</v>
      </c>
      <c r="X1465">
        <v>197.65</v>
      </c>
      <c r="AB1465" t="s">
        <v>16659</v>
      </c>
      <c r="AC1465" t="s">
        <v>8777</v>
      </c>
      <c r="AF1465" t="s">
        <v>16660</v>
      </c>
      <c r="AI1465" t="s">
        <v>8777</v>
      </c>
      <c r="AO1465" t="s">
        <v>16661</v>
      </c>
    </row>
    <row r="1466" spans="1:41" hidden="1" x14ac:dyDescent="0.35">
      <c r="A1466" t="s">
        <v>16662</v>
      </c>
      <c r="B1466" t="s">
        <v>7246</v>
      </c>
      <c r="C1466" t="s">
        <v>5714</v>
      </c>
      <c r="D1466" t="s">
        <v>5714</v>
      </c>
      <c r="E1466" t="s">
        <v>5714</v>
      </c>
      <c r="G1466" s="13" t="s">
        <v>16663</v>
      </c>
      <c r="H1466" t="s">
        <v>15450</v>
      </c>
      <c r="I1466" t="s">
        <v>16664</v>
      </c>
      <c r="J1466" t="s">
        <v>16665</v>
      </c>
      <c r="K1466" t="s">
        <v>13601</v>
      </c>
      <c r="L1466" t="s">
        <v>13602</v>
      </c>
      <c r="M1466" t="s">
        <v>7250</v>
      </c>
      <c r="N1466">
        <v>1993</v>
      </c>
      <c r="O1466">
        <v>1997</v>
      </c>
      <c r="T1466" t="s">
        <v>6546</v>
      </c>
      <c r="U1466" t="s">
        <v>6546</v>
      </c>
      <c r="V1466">
        <v>89</v>
      </c>
      <c r="W1466">
        <v>41.94</v>
      </c>
      <c r="X1466">
        <v>89</v>
      </c>
      <c r="Y1466">
        <v>47.99</v>
      </c>
      <c r="Z1466" t="s">
        <v>7253</v>
      </c>
      <c r="AB1466" t="s">
        <v>15453</v>
      </c>
      <c r="AC1466" t="s">
        <v>8777</v>
      </c>
      <c r="AF1466" t="s">
        <v>15454</v>
      </c>
      <c r="AI1466" t="s">
        <v>8777</v>
      </c>
      <c r="AO1466" t="s">
        <v>16666</v>
      </c>
    </row>
    <row r="1467" spans="1:41" hidden="1" x14ac:dyDescent="0.35">
      <c r="A1467" t="s">
        <v>16667</v>
      </c>
      <c r="B1467" t="s">
        <v>7246</v>
      </c>
      <c r="C1467" t="s">
        <v>5714</v>
      </c>
      <c r="D1467" t="s">
        <v>5714</v>
      </c>
      <c r="E1467" t="s">
        <v>5714</v>
      </c>
      <c r="G1467" s="13" t="s">
        <v>16668</v>
      </c>
      <c r="H1467" t="s">
        <v>16299</v>
      </c>
      <c r="I1467" t="s">
        <v>16669</v>
      </c>
      <c r="J1467" t="s">
        <v>16670</v>
      </c>
      <c r="K1467" t="s">
        <v>13601</v>
      </c>
      <c r="L1467" t="s">
        <v>13602</v>
      </c>
      <c r="M1467" t="s">
        <v>7250</v>
      </c>
      <c r="T1467" t="s">
        <v>6546</v>
      </c>
      <c r="U1467" t="s">
        <v>6546</v>
      </c>
      <c r="V1467">
        <v>139.4</v>
      </c>
      <c r="W1467">
        <v>40.68</v>
      </c>
      <c r="X1467">
        <v>139.4</v>
      </c>
      <c r="Y1467">
        <v>47.99</v>
      </c>
      <c r="Z1467" t="s">
        <v>7253</v>
      </c>
      <c r="AB1467" t="s">
        <v>15769</v>
      </c>
      <c r="AC1467" t="s">
        <v>8777</v>
      </c>
      <c r="AF1467" t="s">
        <v>15454</v>
      </c>
      <c r="AI1467" t="s">
        <v>8777</v>
      </c>
      <c r="AO1467" t="s">
        <v>16671</v>
      </c>
    </row>
    <row r="1468" spans="1:41" hidden="1" x14ac:dyDescent="0.35">
      <c r="A1468" t="s">
        <v>16672</v>
      </c>
      <c r="B1468" t="s">
        <v>7246</v>
      </c>
      <c r="C1468" t="s">
        <v>5851</v>
      </c>
      <c r="D1468" t="s">
        <v>5851</v>
      </c>
      <c r="E1468" t="s">
        <v>5851</v>
      </c>
      <c r="G1468" s="13" t="s">
        <v>16673</v>
      </c>
      <c r="H1468" t="s">
        <v>16674</v>
      </c>
      <c r="J1468" t="s">
        <v>16675</v>
      </c>
      <c r="K1468" t="s">
        <v>15276</v>
      </c>
      <c r="L1468" t="s">
        <v>15276</v>
      </c>
      <c r="M1468" t="s">
        <v>7250</v>
      </c>
      <c r="T1468" t="s">
        <v>6546</v>
      </c>
      <c r="U1468" t="s">
        <v>6546</v>
      </c>
      <c r="V1468" t="s">
        <v>6546</v>
      </c>
      <c r="W1468">
        <v>47.7</v>
      </c>
      <c r="X1468">
        <v>47.7</v>
      </c>
      <c r="Y1468">
        <v>35.43</v>
      </c>
      <c r="Z1468" t="s">
        <v>7253</v>
      </c>
      <c r="AB1468" t="s">
        <v>16255</v>
      </c>
      <c r="AC1468" t="s">
        <v>8777</v>
      </c>
      <c r="AF1468" t="s">
        <v>15902</v>
      </c>
      <c r="AI1468" t="s">
        <v>8777</v>
      </c>
      <c r="AO1468" t="s">
        <v>16676</v>
      </c>
    </row>
    <row r="1469" spans="1:41" hidden="1" x14ac:dyDescent="0.35">
      <c r="A1469" t="s">
        <v>16677</v>
      </c>
      <c r="B1469" t="s">
        <v>7246</v>
      </c>
      <c r="C1469" t="s">
        <v>5714</v>
      </c>
      <c r="D1469" t="s">
        <v>5714</v>
      </c>
      <c r="E1469" t="s">
        <v>5714</v>
      </c>
      <c r="G1469" s="13" t="s">
        <v>16678</v>
      </c>
      <c r="H1469" t="s">
        <v>16679</v>
      </c>
      <c r="J1469" t="s">
        <v>16680</v>
      </c>
      <c r="K1469" t="s">
        <v>13601</v>
      </c>
      <c r="L1469" t="s">
        <v>13602</v>
      </c>
      <c r="M1469" t="s">
        <v>7250</v>
      </c>
      <c r="N1469">
        <v>1972</v>
      </c>
      <c r="T1469" t="s">
        <v>6546</v>
      </c>
      <c r="U1469" t="s">
        <v>6546</v>
      </c>
      <c r="V1469">
        <v>124.7</v>
      </c>
      <c r="W1469">
        <v>121.11</v>
      </c>
      <c r="X1469">
        <v>124.7</v>
      </c>
      <c r="Y1469">
        <v>33.86</v>
      </c>
      <c r="Z1469" t="s">
        <v>7253</v>
      </c>
      <c r="AB1469" t="s">
        <v>15523</v>
      </c>
      <c r="AC1469" t="s">
        <v>8777</v>
      </c>
      <c r="AF1469" t="s">
        <v>16681</v>
      </c>
      <c r="AI1469" t="s">
        <v>8777</v>
      </c>
      <c r="AO1469" t="s">
        <v>16682</v>
      </c>
    </row>
    <row r="1470" spans="1:41" hidden="1" x14ac:dyDescent="0.35">
      <c r="A1470" t="s">
        <v>16683</v>
      </c>
      <c r="B1470" t="s">
        <v>7246</v>
      </c>
      <c r="C1470" t="s">
        <v>5591</v>
      </c>
      <c r="D1470" t="s">
        <v>5591</v>
      </c>
      <c r="E1470" t="s">
        <v>5591</v>
      </c>
      <c r="G1470" s="13" t="s">
        <v>16684</v>
      </c>
      <c r="H1470" t="s">
        <v>16685</v>
      </c>
      <c r="J1470" t="s">
        <v>16686</v>
      </c>
      <c r="K1470" t="s">
        <v>11924</v>
      </c>
      <c r="L1470" t="s">
        <v>11925</v>
      </c>
      <c r="M1470" t="s">
        <v>7250</v>
      </c>
      <c r="T1470" t="s">
        <v>6546</v>
      </c>
      <c r="U1470" t="s">
        <v>6546</v>
      </c>
      <c r="V1470" t="s">
        <v>6546</v>
      </c>
      <c r="W1470">
        <v>92.32</v>
      </c>
      <c r="X1470">
        <v>92.32</v>
      </c>
      <c r="Y1470">
        <v>35.43</v>
      </c>
      <c r="Z1470" t="s">
        <v>7253</v>
      </c>
      <c r="AB1470" t="s">
        <v>16494</v>
      </c>
      <c r="AC1470" t="s">
        <v>8777</v>
      </c>
      <c r="AF1470" t="s">
        <v>15864</v>
      </c>
      <c r="AI1470" t="s">
        <v>8777</v>
      </c>
      <c r="AO1470" t="s">
        <v>16687</v>
      </c>
    </row>
    <row r="1471" spans="1:41" hidden="1" x14ac:dyDescent="0.35">
      <c r="A1471" t="s">
        <v>16688</v>
      </c>
      <c r="B1471" t="s">
        <v>7246</v>
      </c>
      <c r="C1471" t="s">
        <v>5714</v>
      </c>
      <c r="D1471" t="s">
        <v>5714</v>
      </c>
      <c r="E1471" t="s">
        <v>5714</v>
      </c>
      <c r="G1471" s="13" t="s">
        <v>16689</v>
      </c>
      <c r="H1471" t="s">
        <v>16690</v>
      </c>
      <c r="J1471" t="s">
        <v>16691</v>
      </c>
      <c r="K1471" t="s">
        <v>13601</v>
      </c>
      <c r="L1471" t="s">
        <v>13602</v>
      </c>
      <c r="M1471" t="s">
        <v>7250</v>
      </c>
      <c r="N1471">
        <v>1973</v>
      </c>
      <c r="T1471" t="s">
        <v>6546</v>
      </c>
      <c r="U1471" t="s">
        <v>6546</v>
      </c>
      <c r="V1471">
        <v>93.9</v>
      </c>
      <c r="W1471">
        <v>91.58</v>
      </c>
      <c r="X1471">
        <v>93.9</v>
      </c>
      <c r="Y1471">
        <v>12</v>
      </c>
      <c r="Z1471" t="s">
        <v>7253</v>
      </c>
      <c r="AB1471" t="s">
        <v>16692</v>
      </c>
      <c r="AC1471" t="s">
        <v>8777</v>
      </c>
      <c r="AF1471" t="s">
        <v>16529</v>
      </c>
      <c r="AI1471" t="s">
        <v>8777</v>
      </c>
      <c r="AO1471" t="s">
        <v>16693</v>
      </c>
    </row>
    <row r="1472" spans="1:41" hidden="1" x14ac:dyDescent="0.35">
      <c r="A1472" t="s">
        <v>16694</v>
      </c>
      <c r="B1472" t="s">
        <v>7246</v>
      </c>
      <c r="C1472" t="s">
        <v>5861</v>
      </c>
      <c r="D1472" t="s">
        <v>5861</v>
      </c>
      <c r="E1472" t="s">
        <v>5861</v>
      </c>
      <c r="G1472" s="13" t="s">
        <v>16695</v>
      </c>
      <c r="H1472" t="s">
        <v>16696</v>
      </c>
      <c r="J1472" t="s">
        <v>16697</v>
      </c>
      <c r="K1472" t="s">
        <v>8694</v>
      </c>
      <c r="L1472" t="s">
        <v>8694</v>
      </c>
      <c r="M1472" t="s">
        <v>7250</v>
      </c>
      <c r="N1472">
        <v>1979</v>
      </c>
      <c r="O1472">
        <v>2005</v>
      </c>
      <c r="T1472" t="s">
        <v>6546</v>
      </c>
      <c r="U1472" t="s">
        <v>6546</v>
      </c>
      <c r="V1472">
        <v>75.91</v>
      </c>
      <c r="W1472">
        <v>71.98</v>
      </c>
      <c r="X1472">
        <v>75.91</v>
      </c>
      <c r="Y1472" t="s">
        <v>16616</v>
      </c>
      <c r="Z1472" t="s">
        <v>7253</v>
      </c>
      <c r="AB1472" t="s">
        <v>16698</v>
      </c>
      <c r="AC1472" t="s">
        <v>8777</v>
      </c>
      <c r="AF1472" t="s">
        <v>11628</v>
      </c>
      <c r="AI1472" t="s">
        <v>8777</v>
      </c>
      <c r="AO1472" t="s">
        <v>16699</v>
      </c>
    </row>
    <row r="1473" spans="1:41" hidden="1" x14ac:dyDescent="0.35">
      <c r="A1473" t="s">
        <v>16700</v>
      </c>
      <c r="B1473" t="s">
        <v>7246</v>
      </c>
      <c r="C1473" t="s">
        <v>5613</v>
      </c>
      <c r="D1473" t="s">
        <v>5613</v>
      </c>
      <c r="E1473" t="s">
        <v>5613</v>
      </c>
      <c r="G1473" s="13" t="s">
        <v>16701</v>
      </c>
      <c r="H1473" t="s">
        <v>16702</v>
      </c>
      <c r="J1473" t="s">
        <v>16703</v>
      </c>
      <c r="K1473" t="s">
        <v>15203</v>
      </c>
      <c r="L1473" t="s">
        <v>15204</v>
      </c>
      <c r="M1473" t="s">
        <v>7250</v>
      </c>
      <c r="T1473" t="s">
        <v>6546</v>
      </c>
      <c r="U1473" t="s">
        <v>6546</v>
      </c>
      <c r="V1473" t="s">
        <v>6546</v>
      </c>
      <c r="W1473">
        <v>94.68</v>
      </c>
      <c r="X1473">
        <v>94.68</v>
      </c>
      <c r="AB1473" t="s">
        <v>16704</v>
      </c>
      <c r="AC1473" t="s">
        <v>8777</v>
      </c>
      <c r="AF1473" t="s">
        <v>16048</v>
      </c>
      <c r="AI1473" t="s">
        <v>8777</v>
      </c>
      <c r="AO1473" t="s">
        <v>16705</v>
      </c>
    </row>
    <row r="1474" spans="1:41" hidden="1" x14ac:dyDescent="0.35">
      <c r="A1474" t="s">
        <v>16706</v>
      </c>
      <c r="B1474" t="s">
        <v>7246</v>
      </c>
      <c r="C1474" t="s">
        <v>5613</v>
      </c>
      <c r="D1474" t="s">
        <v>5613</v>
      </c>
      <c r="E1474" t="s">
        <v>5613</v>
      </c>
      <c r="G1474" s="13" t="s">
        <v>16707</v>
      </c>
      <c r="H1474" t="s">
        <v>16708</v>
      </c>
      <c r="J1474" t="s">
        <v>16709</v>
      </c>
      <c r="K1474" t="s">
        <v>15203</v>
      </c>
      <c r="L1474" t="s">
        <v>15204</v>
      </c>
      <c r="M1474" t="s">
        <v>7250</v>
      </c>
      <c r="T1474" t="s">
        <v>6546</v>
      </c>
      <c r="U1474" t="s">
        <v>6546</v>
      </c>
      <c r="V1474" t="s">
        <v>6546</v>
      </c>
      <c r="W1474">
        <v>262.95999999999998</v>
      </c>
      <c r="X1474">
        <v>262.95999999999998</v>
      </c>
      <c r="Y1474">
        <v>47.99</v>
      </c>
      <c r="Z1474" t="s">
        <v>7253</v>
      </c>
      <c r="AB1474" t="s">
        <v>16048</v>
      </c>
      <c r="AC1474" t="s">
        <v>8777</v>
      </c>
      <c r="AF1474" t="s">
        <v>14937</v>
      </c>
      <c r="AI1474" t="s">
        <v>8777</v>
      </c>
      <c r="AO1474" t="s">
        <v>16710</v>
      </c>
    </row>
    <row r="1475" spans="1:41" hidden="1" x14ac:dyDescent="0.35">
      <c r="A1475" t="s">
        <v>16711</v>
      </c>
      <c r="B1475" t="s">
        <v>7246</v>
      </c>
      <c r="C1475" t="s">
        <v>5787</v>
      </c>
      <c r="D1475" t="s">
        <v>5787</v>
      </c>
      <c r="E1475" t="s">
        <v>5787</v>
      </c>
      <c r="G1475" s="13" t="s">
        <v>16712</v>
      </c>
      <c r="H1475" t="s">
        <v>16713</v>
      </c>
      <c r="J1475" t="s">
        <v>16714</v>
      </c>
      <c r="K1475" t="s">
        <v>11716</v>
      </c>
      <c r="L1475" t="s">
        <v>11717</v>
      </c>
      <c r="M1475" t="s">
        <v>7250</v>
      </c>
      <c r="T1475" t="s">
        <v>6546</v>
      </c>
      <c r="U1475" t="s">
        <v>6546</v>
      </c>
      <c r="V1475" t="s">
        <v>6546</v>
      </c>
      <c r="W1475">
        <v>63.93</v>
      </c>
      <c r="X1475">
        <v>63.93</v>
      </c>
      <c r="AB1475" t="s">
        <v>16416</v>
      </c>
      <c r="AC1475" t="s">
        <v>8777</v>
      </c>
      <c r="AF1475" t="s">
        <v>16715</v>
      </c>
      <c r="AI1475" t="s">
        <v>8777</v>
      </c>
      <c r="AO1475" t="s">
        <v>16716</v>
      </c>
    </row>
    <row r="1476" spans="1:41" hidden="1" x14ac:dyDescent="0.35">
      <c r="A1476" t="s">
        <v>16717</v>
      </c>
      <c r="B1476" t="s">
        <v>7246</v>
      </c>
      <c r="C1476" t="s">
        <v>5787</v>
      </c>
      <c r="D1476" t="s">
        <v>5566</v>
      </c>
      <c r="E1476" t="s">
        <v>16718</v>
      </c>
      <c r="G1476" s="13" t="s">
        <v>16719</v>
      </c>
      <c r="H1476" t="s">
        <v>16720</v>
      </c>
      <c r="J1476" t="s">
        <v>16721</v>
      </c>
      <c r="K1476" t="s">
        <v>11716</v>
      </c>
      <c r="L1476" t="s">
        <v>11717</v>
      </c>
      <c r="M1476" t="s">
        <v>7250</v>
      </c>
      <c r="T1476" t="s">
        <v>6546</v>
      </c>
      <c r="U1476" t="s">
        <v>6546</v>
      </c>
      <c r="V1476" t="s">
        <v>6546</v>
      </c>
      <c r="W1476">
        <v>44.85</v>
      </c>
      <c r="X1476">
        <v>44.85</v>
      </c>
      <c r="AB1476" t="s">
        <v>16416</v>
      </c>
      <c r="AC1476" t="s">
        <v>8777</v>
      </c>
      <c r="AF1476" t="s">
        <v>16722</v>
      </c>
      <c r="AI1476" t="s">
        <v>8777</v>
      </c>
      <c r="AO1476" t="s">
        <v>16723</v>
      </c>
    </row>
    <row r="1477" spans="1:41" hidden="1" x14ac:dyDescent="0.35">
      <c r="A1477" t="s">
        <v>16724</v>
      </c>
      <c r="B1477" t="s">
        <v>7246</v>
      </c>
      <c r="C1477" t="s">
        <v>12051</v>
      </c>
      <c r="D1477" t="s">
        <v>12051</v>
      </c>
      <c r="E1477" t="s">
        <v>12051</v>
      </c>
      <c r="G1477" s="13" t="s">
        <v>16725</v>
      </c>
      <c r="H1477" t="s">
        <v>16726</v>
      </c>
      <c r="J1477" t="s">
        <v>16727</v>
      </c>
      <c r="K1477" t="s">
        <v>12056</v>
      </c>
      <c r="L1477" t="s">
        <v>12057</v>
      </c>
      <c r="M1477" t="s">
        <v>7250</v>
      </c>
      <c r="T1477" t="s">
        <v>6546</v>
      </c>
      <c r="U1477" t="s">
        <v>6546</v>
      </c>
      <c r="V1477" t="s">
        <v>6546</v>
      </c>
      <c r="W1477">
        <v>77.819999999999993</v>
      </c>
      <c r="X1477">
        <v>77.819999999999993</v>
      </c>
      <c r="AB1477" t="s">
        <v>3407</v>
      </c>
      <c r="AC1477" t="s">
        <v>8777</v>
      </c>
      <c r="AF1477" t="s">
        <v>16728</v>
      </c>
      <c r="AI1477" t="s">
        <v>8777</v>
      </c>
      <c r="AO1477" t="s">
        <v>16729</v>
      </c>
    </row>
    <row r="1478" spans="1:41" hidden="1" x14ac:dyDescent="0.35">
      <c r="A1478" t="s">
        <v>16730</v>
      </c>
      <c r="B1478" t="s">
        <v>7246</v>
      </c>
      <c r="C1478" t="s">
        <v>5787</v>
      </c>
      <c r="D1478" t="s">
        <v>5787</v>
      </c>
      <c r="E1478" t="s">
        <v>5787</v>
      </c>
      <c r="G1478" s="13" t="s">
        <v>16731</v>
      </c>
      <c r="H1478" t="s">
        <v>16732</v>
      </c>
      <c r="J1478" t="s">
        <v>16733</v>
      </c>
      <c r="K1478" t="s">
        <v>11716</v>
      </c>
      <c r="L1478" t="s">
        <v>11717</v>
      </c>
      <c r="M1478" t="s">
        <v>7250</v>
      </c>
      <c r="T1478" t="s">
        <v>6546</v>
      </c>
      <c r="U1478" t="s">
        <v>6546</v>
      </c>
      <c r="V1478" t="s">
        <v>6546</v>
      </c>
      <c r="W1478">
        <v>34.57</v>
      </c>
      <c r="X1478">
        <v>34.57</v>
      </c>
      <c r="AB1478" t="s">
        <v>16734</v>
      </c>
      <c r="AC1478" t="s">
        <v>8777</v>
      </c>
      <c r="AF1478" t="s">
        <v>9653</v>
      </c>
      <c r="AI1478" t="s">
        <v>8777</v>
      </c>
      <c r="AO1478" t="s">
        <v>16735</v>
      </c>
    </row>
    <row r="1479" spans="1:41" hidden="1" x14ac:dyDescent="0.35">
      <c r="A1479" t="s">
        <v>16736</v>
      </c>
      <c r="B1479" t="s">
        <v>7246</v>
      </c>
      <c r="C1479" t="s">
        <v>5787</v>
      </c>
      <c r="D1479" t="s">
        <v>5787</v>
      </c>
      <c r="E1479" t="s">
        <v>5787</v>
      </c>
      <c r="G1479" s="13" t="s">
        <v>16737</v>
      </c>
      <c r="H1479" t="s">
        <v>16738</v>
      </c>
      <c r="I1479" t="s">
        <v>9381</v>
      </c>
      <c r="J1479" t="s">
        <v>16739</v>
      </c>
      <c r="K1479" t="s">
        <v>11716</v>
      </c>
      <c r="L1479" t="s">
        <v>11717</v>
      </c>
      <c r="M1479" t="s">
        <v>7250</v>
      </c>
      <c r="T1479" t="s">
        <v>6546</v>
      </c>
      <c r="U1479" t="s">
        <v>6546</v>
      </c>
      <c r="V1479" t="s">
        <v>6546</v>
      </c>
      <c r="W1479">
        <v>70.17</v>
      </c>
      <c r="X1479">
        <v>70.17</v>
      </c>
      <c r="AB1479" t="s">
        <v>16715</v>
      </c>
      <c r="AC1479" t="s">
        <v>8777</v>
      </c>
      <c r="AF1479" t="s">
        <v>15718</v>
      </c>
      <c r="AI1479" t="s">
        <v>8777</v>
      </c>
      <c r="AO1479" t="s">
        <v>16740</v>
      </c>
    </row>
    <row r="1480" spans="1:41" hidden="1" x14ac:dyDescent="0.35">
      <c r="A1480" t="s">
        <v>16741</v>
      </c>
      <c r="B1480" t="s">
        <v>7246</v>
      </c>
      <c r="C1480" t="s">
        <v>5787</v>
      </c>
      <c r="D1480" t="s">
        <v>5787</v>
      </c>
      <c r="E1480" t="s">
        <v>5787</v>
      </c>
      <c r="G1480" s="13" t="s">
        <v>16742</v>
      </c>
      <c r="H1480" t="s">
        <v>16743</v>
      </c>
      <c r="I1480" t="s">
        <v>9381</v>
      </c>
      <c r="J1480" t="s">
        <v>16744</v>
      </c>
      <c r="K1480" t="s">
        <v>11716</v>
      </c>
      <c r="L1480" t="s">
        <v>11717</v>
      </c>
      <c r="M1480" t="s">
        <v>7250</v>
      </c>
      <c r="T1480" t="s">
        <v>6546</v>
      </c>
      <c r="U1480" t="s">
        <v>6546</v>
      </c>
      <c r="V1480" t="s">
        <v>6546</v>
      </c>
      <c r="W1480">
        <v>61.95</v>
      </c>
      <c r="X1480">
        <v>61.95</v>
      </c>
      <c r="AB1480" t="s">
        <v>16715</v>
      </c>
      <c r="AC1480" t="s">
        <v>8777</v>
      </c>
      <c r="AF1480" t="s">
        <v>16745</v>
      </c>
      <c r="AI1480" t="s">
        <v>8777</v>
      </c>
      <c r="AO1480" t="s">
        <v>16746</v>
      </c>
    </row>
    <row r="1481" spans="1:41" hidden="1" x14ac:dyDescent="0.35">
      <c r="A1481" t="s">
        <v>16747</v>
      </c>
      <c r="B1481" t="s">
        <v>7246</v>
      </c>
      <c r="C1481" t="s">
        <v>5802</v>
      </c>
      <c r="D1481" t="s">
        <v>5802</v>
      </c>
      <c r="E1481" t="s">
        <v>5802</v>
      </c>
      <c r="G1481" s="13" t="s">
        <v>16748</v>
      </c>
      <c r="H1481" t="s">
        <v>16749</v>
      </c>
      <c r="J1481" t="s">
        <v>16750</v>
      </c>
      <c r="K1481" t="s">
        <v>11195</v>
      </c>
      <c r="L1481" t="s">
        <v>11195</v>
      </c>
      <c r="M1481" t="s">
        <v>7250</v>
      </c>
      <c r="T1481" t="s">
        <v>6546</v>
      </c>
      <c r="U1481" t="s">
        <v>6546</v>
      </c>
      <c r="V1481" t="s">
        <v>6546</v>
      </c>
      <c r="W1481">
        <v>199.74</v>
      </c>
      <c r="X1481">
        <v>199.74</v>
      </c>
      <c r="AB1481" t="s">
        <v>15675</v>
      </c>
      <c r="AC1481" t="s">
        <v>8777</v>
      </c>
      <c r="AF1481" t="s">
        <v>15776</v>
      </c>
      <c r="AI1481" t="s">
        <v>8777</v>
      </c>
      <c r="AO1481" t="s">
        <v>16751</v>
      </c>
    </row>
    <row r="1482" spans="1:41" hidden="1" x14ac:dyDescent="0.35">
      <c r="A1482" t="s">
        <v>16752</v>
      </c>
      <c r="B1482" t="s">
        <v>7246</v>
      </c>
      <c r="C1482" t="s">
        <v>5802</v>
      </c>
      <c r="D1482" t="s">
        <v>5802</v>
      </c>
      <c r="E1482" t="s">
        <v>5802</v>
      </c>
      <c r="G1482" s="13" t="s">
        <v>16753</v>
      </c>
      <c r="H1482" t="s">
        <v>16754</v>
      </c>
      <c r="J1482" t="s">
        <v>16755</v>
      </c>
      <c r="K1482" t="s">
        <v>11195</v>
      </c>
      <c r="L1482" t="s">
        <v>11195</v>
      </c>
      <c r="M1482" t="s">
        <v>7250</v>
      </c>
      <c r="T1482" t="s">
        <v>6546</v>
      </c>
      <c r="U1482" t="s">
        <v>6546</v>
      </c>
      <c r="V1482" t="s">
        <v>6546</v>
      </c>
      <c r="W1482">
        <v>166.05</v>
      </c>
      <c r="X1482">
        <v>166.05</v>
      </c>
      <c r="AB1482" t="s">
        <v>15643</v>
      </c>
      <c r="AC1482" t="s">
        <v>8777</v>
      </c>
      <c r="AF1482" t="s">
        <v>15675</v>
      </c>
      <c r="AI1482" t="s">
        <v>8777</v>
      </c>
      <c r="AO1482" t="s">
        <v>16756</v>
      </c>
    </row>
    <row r="1483" spans="1:41" hidden="1" x14ac:dyDescent="0.35">
      <c r="A1483" t="s">
        <v>16757</v>
      </c>
      <c r="B1483" t="s">
        <v>7246</v>
      </c>
      <c r="C1483" t="s">
        <v>5861</v>
      </c>
      <c r="D1483" t="s">
        <v>5861</v>
      </c>
      <c r="E1483" t="s">
        <v>5861</v>
      </c>
      <c r="G1483" s="13" t="s">
        <v>16758</v>
      </c>
      <c r="H1483" t="s">
        <v>16759</v>
      </c>
      <c r="J1483" t="s">
        <v>16760</v>
      </c>
      <c r="K1483" t="s">
        <v>8694</v>
      </c>
      <c r="L1483" t="s">
        <v>8694</v>
      </c>
      <c r="M1483" t="s">
        <v>7250</v>
      </c>
      <c r="N1483">
        <v>1990</v>
      </c>
      <c r="O1483">
        <v>1998</v>
      </c>
      <c r="T1483" t="s">
        <v>6546</v>
      </c>
      <c r="U1483" t="s">
        <v>6546</v>
      </c>
      <c r="V1483" t="s">
        <v>6546</v>
      </c>
      <c r="W1483">
        <v>78.510000000000005</v>
      </c>
      <c r="X1483">
        <v>78.510000000000005</v>
      </c>
      <c r="Y1483">
        <v>20</v>
      </c>
      <c r="Z1483" t="s">
        <v>7253</v>
      </c>
      <c r="AB1483" t="s">
        <v>8389</v>
      </c>
      <c r="AC1483" t="s">
        <v>8777</v>
      </c>
      <c r="AF1483" t="s">
        <v>11994</v>
      </c>
      <c r="AI1483" t="s">
        <v>8777</v>
      </c>
      <c r="AO1483" t="s">
        <v>16761</v>
      </c>
    </row>
    <row r="1484" spans="1:41" hidden="1" x14ac:dyDescent="0.35">
      <c r="A1484" t="s">
        <v>16762</v>
      </c>
      <c r="B1484" t="s">
        <v>7246</v>
      </c>
      <c r="C1484" t="s">
        <v>5861</v>
      </c>
      <c r="D1484" t="s">
        <v>5861</v>
      </c>
      <c r="E1484" t="s">
        <v>5861</v>
      </c>
      <c r="G1484" s="13" t="s">
        <v>16763</v>
      </c>
      <c r="H1484" t="s">
        <v>16764</v>
      </c>
      <c r="J1484" t="s">
        <v>16765</v>
      </c>
      <c r="K1484" t="s">
        <v>8694</v>
      </c>
      <c r="L1484" t="s">
        <v>8694</v>
      </c>
      <c r="M1484" t="s">
        <v>7250</v>
      </c>
      <c r="N1484">
        <v>1983</v>
      </c>
      <c r="T1484" t="s">
        <v>6546</v>
      </c>
      <c r="U1484" t="s">
        <v>6546</v>
      </c>
      <c r="V1484">
        <v>246.97</v>
      </c>
      <c r="W1484">
        <v>110.13</v>
      </c>
      <c r="X1484">
        <v>246.97</v>
      </c>
      <c r="AB1484" t="s">
        <v>1951</v>
      </c>
      <c r="AC1484" t="s">
        <v>8777</v>
      </c>
      <c r="AF1484" t="s">
        <v>16766</v>
      </c>
      <c r="AI1484" t="s">
        <v>8777</v>
      </c>
      <c r="AO1484" t="s">
        <v>16767</v>
      </c>
    </row>
    <row r="1485" spans="1:41" hidden="1" x14ac:dyDescent="0.35">
      <c r="A1485" t="s">
        <v>16768</v>
      </c>
      <c r="B1485" t="s">
        <v>7246</v>
      </c>
      <c r="C1485" t="s">
        <v>5566</v>
      </c>
      <c r="D1485" t="s">
        <v>449</v>
      </c>
      <c r="E1485" t="s">
        <v>16769</v>
      </c>
      <c r="G1485" s="13" t="s">
        <v>9541</v>
      </c>
      <c r="H1485" t="s">
        <v>9542</v>
      </c>
      <c r="I1485" t="s">
        <v>16461</v>
      </c>
      <c r="J1485" t="s">
        <v>16770</v>
      </c>
      <c r="K1485" t="s">
        <v>9544</v>
      </c>
      <c r="L1485" t="s">
        <v>9545</v>
      </c>
      <c r="M1485" t="s">
        <v>7250</v>
      </c>
      <c r="N1485">
        <v>2010</v>
      </c>
      <c r="R1485">
        <v>2467.19</v>
      </c>
      <c r="S1485" t="s">
        <v>7251</v>
      </c>
      <c r="T1485">
        <v>25.52</v>
      </c>
      <c r="U1485">
        <v>11875.4</v>
      </c>
      <c r="V1485">
        <v>0</v>
      </c>
      <c r="W1485" t="s">
        <v>6546</v>
      </c>
      <c r="X1485">
        <v>0</v>
      </c>
      <c r="Y1485">
        <v>40</v>
      </c>
      <c r="Z1485" t="s">
        <v>7253</v>
      </c>
      <c r="AB1485" t="s">
        <v>1703</v>
      </c>
      <c r="AC1485" t="s">
        <v>8777</v>
      </c>
      <c r="AF1485" t="s">
        <v>11691</v>
      </c>
      <c r="AI1485" t="s">
        <v>8777</v>
      </c>
      <c r="AO1485" t="s">
        <v>6546</v>
      </c>
    </row>
    <row r="1486" spans="1:41" hidden="1" x14ac:dyDescent="0.35">
      <c r="A1486" t="s">
        <v>16771</v>
      </c>
      <c r="B1486" t="s">
        <v>7246</v>
      </c>
      <c r="C1486" t="s">
        <v>5714</v>
      </c>
      <c r="D1486" t="s">
        <v>5714</v>
      </c>
      <c r="E1486" t="s">
        <v>5714</v>
      </c>
      <c r="G1486" s="13" t="s">
        <v>16772</v>
      </c>
      <c r="H1486" t="s">
        <v>16773</v>
      </c>
      <c r="J1486" t="s">
        <v>16774</v>
      </c>
      <c r="K1486" t="s">
        <v>13601</v>
      </c>
      <c r="L1486" t="s">
        <v>13602</v>
      </c>
      <c r="M1486" t="s">
        <v>7250</v>
      </c>
      <c r="T1486" t="s">
        <v>6546</v>
      </c>
      <c r="U1486" t="s">
        <v>6546</v>
      </c>
      <c r="V1486" t="s">
        <v>6546</v>
      </c>
      <c r="W1486">
        <v>69.95</v>
      </c>
      <c r="X1486">
        <v>69.95</v>
      </c>
      <c r="Y1486">
        <v>34</v>
      </c>
      <c r="Z1486" t="s">
        <v>7253</v>
      </c>
      <c r="AB1486" t="s">
        <v>15896</v>
      </c>
      <c r="AC1486" t="s">
        <v>8777</v>
      </c>
      <c r="AF1486" t="s">
        <v>16775</v>
      </c>
      <c r="AI1486" t="s">
        <v>8777</v>
      </c>
      <c r="AO1486" t="s">
        <v>16776</v>
      </c>
    </row>
    <row r="1487" spans="1:41" hidden="1" x14ac:dyDescent="0.35">
      <c r="A1487" t="s">
        <v>16777</v>
      </c>
      <c r="B1487" t="s">
        <v>7246</v>
      </c>
      <c r="C1487" t="s">
        <v>5714</v>
      </c>
      <c r="D1487" t="s">
        <v>5714</v>
      </c>
      <c r="E1487" t="s">
        <v>5714</v>
      </c>
      <c r="G1487" s="13" t="s">
        <v>16778</v>
      </c>
      <c r="H1487" t="s">
        <v>16779</v>
      </c>
      <c r="J1487" t="s">
        <v>16780</v>
      </c>
      <c r="K1487" t="s">
        <v>13601</v>
      </c>
      <c r="L1487" t="s">
        <v>13602</v>
      </c>
      <c r="M1487" t="s">
        <v>7250</v>
      </c>
      <c r="N1487">
        <v>2000</v>
      </c>
      <c r="T1487" t="s">
        <v>6546</v>
      </c>
      <c r="U1487" t="s">
        <v>6546</v>
      </c>
      <c r="V1487">
        <v>66.400000000000006</v>
      </c>
      <c r="W1487">
        <v>60.88</v>
      </c>
      <c r="X1487">
        <v>66.400000000000006</v>
      </c>
      <c r="Y1487">
        <v>47.99</v>
      </c>
      <c r="Z1487" t="s">
        <v>7253</v>
      </c>
      <c r="AB1487" t="s">
        <v>16365</v>
      </c>
      <c r="AC1487" t="s">
        <v>8777</v>
      </c>
      <c r="AF1487" t="s">
        <v>16775</v>
      </c>
      <c r="AI1487" t="s">
        <v>8777</v>
      </c>
      <c r="AO1487" t="s">
        <v>16781</v>
      </c>
    </row>
    <row r="1488" spans="1:41" hidden="1" x14ac:dyDescent="0.35">
      <c r="A1488" t="s">
        <v>16782</v>
      </c>
      <c r="B1488" t="s">
        <v>7246</v>
      </c>
      <c r="C1488" t="s">
        <v>5787</v>
      </c>
      <c r="D1488" t="s">
        <v>5787</v>
      </c>
      <c r="E1488" t="s">
        <v>5787</v>
      </c>
      <c r="G1488" s="13" t="s">
        <v>16783</v>
      </c>
      <c r="H1488" t="s">
        <v>16784</v>
      </c>
      <c r="J1488" t="s">
        <v>16785</v>
      </c>
      <c r="K1488" t="s">
        <v>11716</v>
      </c>
      <c r="L1488" t="s">
        <v>11717</v>
      </c>
      <c r="M1488" t="s">
        <v>7250</v>
      </c>
      <c r="T1488" t="s">
        <v>6546</v>
      </c>
      <c r="U1488" t="s">
        <v>6546</v>
      </c>
      <c r="V1488" t="s">
        <v>6546</v>
      </c>
      <c r="W1488">
        <v>52.27</v>
      </c>
      <c r="X1488">
        <v>52.27</v>
      </c>
      <c r="AB1488" t="s">
        <v>16786</v>
      </c>
      <c r="AC1488" t="s">
        <v>8777</v>
      </c>
      <c r="AF1488" t="s">
        <v>16787</v>
      </c>
      <c r="AI1488" t="s">
        <v>8777</v>
      </c>
      <c r="AO1488" t="s">
        <v>16788</v>
      </c>
    </row>
    <row r="1489" spans="1:41" hidden="1" x14ac:dyDescent="0.35">
      <c r="A1489" t="s">
        <v>16789</v>
      </c>
      <c r="B1489" t="s">
        <v>7246</v>
      </c>
      <c r="C1489" t="s">
        <v>5787</v>
      </c>
      <c r="D1489" t="s">
        <v>5643</v>
      </c>
      <c r="E1489" t="s">
        <v>15619</v>
      </c>
      <c r="G1489" s="13" t="s">
        <v>16790</v>
      </c>
      <c r="H1489" t="s">
        <v>16791</v>
      </c>
      <c r="J1489" t="s">
        <v>16792</v>
      </c>
      <c r="K1489" t="s">
        <v>11716</v>
      </c>
      <c r="L1489" t="s">
        <v>11717</v>
      </c>
      <c r="M1489" t="s">
        <v>7250</v>
      </c>
      <c r="T1489" t="s">
        <v>6546</v>
      </c>
      <c r="U1489" t="s">
        <v>6546</v>
      </c>
      <c r="V1489" t="s">
        <v>6546</v>
      </c>
      <c r="W1489">
        <v>19.510000000000002</v>
      </c>
      <c r="X1489">
        <v>19.510000000000002</v>
      </c>
      <c r="AB1489" t="s">
        <v>16793</v>
      </c>
      <c r="AC1489" t="s">
        <v>8777</v>
      </c>
      <c r="AF1489" t="s">
        <v>16794</v>
      </c>
      <c r="AI1489" t="s">
        <v>8777</v>
      </c>
      <c r="AO1489" t="s">
        <v>16795</v>
      </c>
    </row>
    <row r="1490" spans="1:41" hidden="1" x14ac:dyDescent="0.35">
      <c r="A1490" t="s">
        <v>16796</v>
      </c>
      <c r="B1490" t="s">
        <v>7246</v>
      </c>
      <c r="C1490" t="s">
        <v>5643</v>
      </c>
      <c r="D1490" t="s">
        <v>5643</v>
      </c>
      <c r="E1490" t="s">
        <v>5643</v>
      </c>
      <c r="G1490" s="13" t="s">
        <v>16797</v>
      </c>
      <c r="H1490" t="s">
        <v>16798</v>
      </c>
      <c r="J1490" t="s">
        <v>16799</v>
      </c>
      <c r="K1490" t="s">
        <v>6543</v>
      </c>
      <c r="L1490" t="s">
        <v>6543</v>
      </c>
      <c r="M1490" t="s">
        <v>7250</v>
      </c>
      <c r="T1490" t="s">
        <v>6546</v>
      </c>
      <c r="U1490" t="s">
        <v>6546</v>
      </c>
      <c r="V1490" t="s">
        <v>6546</v>
      </c>
      <c r="W1490">
        <v>119.25</v>
      </c>
      <c r="X1490">
        <v>119.25</v>
      </c>
      <c r="AB1490" t="s">
        <v>16800</v>
      </c>
      <c r="AC1490" t="s">
        <v>8777</v>
      </c>
      <c r="AF1490" t="s">
        <v>16801</v>
      </c>
      <c r="AI1490" t="s">
        <v>8777</v>
      </c>
      <c r="AO1490" t="s">
        <v>16802</v>
      </c>
    </row>
    <row r="1491" spans="1:41" hidden="1" x14ac:dyDescent="0.35">
      <c r="A1491" t="s">
        <v>16803</v>
      </c>
      <c r="B1491" t="s">
        <v>7246</v>
      </c>
      <c r="C1491" t="s">
        <v>5205</v>
      </c>
      <c r="D1491" t="s">
        <v>5205</v>
      </c>
      <c r="E1491" t="s">
        <v>5205</v>
      </c>
      <c r="G1491" s="13" t="s">
        <v>16804</v>
      </c>
      <c r="H1491" t="s">
        <v>16805</v>
      </c>
      <c r="K1491" t="s">
        <v>16806</v>
      </c>
      <c r="L1491" t="s">
        <v>16806</v>
      </c>
      <c r="M1491" t="s">
        <v>7292</v>
      </c>
      <c r="N1491">
        <v>2023</v>
      </c>
      <c r="R1491">
        <v>12.4</v>
      </c>
      <c r="S1491" t="s">
        <v>8257</v>
      </c>
      <c r="T1491">
        <v>12.4</v>
      </c>
      <c r="U1491">
        <v>5770.75</v>
      </c>
      <c r="V1491">
        <v>1100</v>
      </c>
      <c r="W1491">
        <v>1108.57</v>
      </c>
      <c r="X1491">
        <v>1100</v>
      </c>
      <c r="AB1491" t="s">
        <v>3543</v>
      </c>
      <c r="AC1491" t="s">
        <v>8859</v>
      </c>
      <c r="AF1491" t="s">
        <v>16807</v>
      </c>
      <c r="AI1491" t="s">
        <v>8859</v>
      </c>
      <c r="AO1491" t="s">
        <v>16808</v>
      </c>
    </row>
    <row r="1492" spans="1:41" hidden="1" x14ac:dyDescent="0.35">
      <c r="A1492" t="s">
        <v>16809</v>
      </c>
      <c r="B1492" t="s">
        <v>7246</v>
      </c>
      <c r="C1492" t="s">
        <v>5714</v>
      </c>
      <c r="D1492" t="s">
        <v>5714</v>
      </c>
      <c r="E1492" t="s">
        <v>5714</v>
      </c>
      <c r="G1492" s="13" t="s">
        <v>16810</v>
      </c>
      <c r="H1492" t="s">
        <v>16811</v>
      </c>
      <c r="I1492" t="s">
        <v>16812</v>
      </c>
      <c r="K1492" t="s">
        <v>13601</v>
      </c>
      <c r="L1492" t="s">
        <v>13602</v>
      </c>
      <c r="M1492" t="s">
        <v>7292</v>
      </c>
      <c r="N1492">
        <v>2027</v>
      </c>
      <c r="R1492">
        <v>8.8000000000000007</v>
      </c>
      <c r="S1492" t="s">
        <v>8257</v>
      </c>
      <c r="T1492">
        <v>8.8000000000000007</v>
      </c>
      <c r="U1492">
        <v>4095.37</v>
      </c>
      <c r="V1492">
        <v>141</v>
      </c>
      <c r="W1492">
        <v>111.47</v>
      </c>
      <c r="X1492">
        <v>141</v>
      </c>
      <c r="Y1492">
        <v>48</v>
      </c>
      <c r="Z1492" t="s">
        <v>7253</v>
      </c>
      <c r="AB1492" t="s">
        <v>16813</v>
      </c>
      <c r="AC1492" t="s">
        <v>8777</v>
      </c>
      <c r="AF1492" t="s">
        <v>9774</v>
      </c>
      <c r="AH1492" t="s">
        <v>16814</v>
      </c>
      <c r="AI1492" t="s">
        <v>8777</v>
      </c>
      <c r="AJ1492" t="s">
        <v>9032</v>
      </c>
      <c r="AO1492" t="s">
        <v>16815</v>
      </c>
    </row>
    <row r="1493" spans="1:41" hidden="1" x14ac:dyDescent="0.35">
      <c r="A1493" t="s">
        <v>16816</v>
      </c>
      <c r="B1493" t="s">
        <v>7246</v>
      </c>
      <c r="C1493" t="s">
        <v>5714</v>
      </c>
      <c r="D1493" t="s">
        <v>5714</v>
      </c>
      <c r="E1493" t="s">
        <v>5714</v>
      </c>
      <c r="G1493" s="13" t="s">
        <v>16810</v>
      </c>
      <c r="H1493" t="s">
        <v>16811</v>
      </c>
      <c r="I1493" t="s">
        <v>8099</v>
      </c>
      <c r="K1493" t="s">
        <v>13601</v>
      </c>
      <c r="L1493" t="s">
        <v>13602</v>
      </c>
      <c r="M1493" t="s">
        <v>7250</v>
      </c>
      <c r="N1493">
        <v>2012</v>
      </c>
      <c r="R1493">
        <v>8.8000000000000007</v>
      </c>
      <c r="S1493" t="s">
        <v>8257</v>
      </c>
      <c r="T1493">
        <v>8.8000000000000007</v>
      </c>
      <c r="U1493">
        <v>4095.37</v>
      </c>
      <c r="V1493">
        <v>195</v>
      </c>
      <c r="W1493">
        <v>187.48</v>
      </c>
      <c r="X1493">
        <v>195</v>
      </c>
      <c r="Y1493">
        <v>48</v>
      </c>
      <c r="Z1493" t="s">
        <v>7253</v>
      </c>
      <c r="AB1493" t="s">
        <v>11877</v>
      </c>
      <c r="AC1493" t="s">
        <v>8777</v>
      </c>
      <c r="AE1493" t="s">
        <v>9766</v>
      </c>
      <c r="AF1493" t="s">
        <v>15178</v>
      </c>
      <c r="AH1493" t="s">
        <v>9766</v>
      </c>
      <c r="AI1493" t="s">
        <v>8777</v>
      </c>
      <c r="AO1493" t="s">
        <v>16817</v>
      </c>
    </row>
    <row r="1494" spans="1:41" hidden="1" x14ac:dyDescent="0.35">
      <c r="A1494" t="s">
        <v>16818</v>
      </c>
      <c r="B1494" t="s">
        <v>7246</v>
      </c>
      <c r="C1494" t="s">
        <v>5714</v>
      </c>
      <c r="D1494" t="s">
        <v>5714</v>
      </c>
      <c r="E1494" t="s">
        <v>5714</v>
      </c>
      <c r="G1494" s="13" t="s">
        <v>16810</v>
      </c>
      <c r="H1494" t="s">
        <v>16811</v>
      </c>
      <c r="I1494" t="s">
        <v>12786</v>
      </c>
      <c r="K1494" t="s">
        <v>13601</v>
      </c>
      <c r="L1494" t="s">
        <v>13602</v>
      </c>
      <c r="M1494" t="s">
        <v>7250</v>
      </c>
      <c r="N1494">
        <v>2016</v>
      </c>
      <c r="R1494">
        <v>8.8000000000000007</v>
      </c>
      <c r="S1494" t="s">
        <v>8257</v>
      </c>
      <c r="T1494">
        <v>8.8000000000000007</v>
      </c>
      <c r="U1494">
        <v>4095.37</v>
      </c>
      <c r="V1494">
        <v>73</v>
      </c>
      <c r="W1494">
        <v>61.28</v>
      </c>
      <c r="X1494">
        <v>73</v>
      </c>
      <c r="Y1494">
        <v>48</v>
      </c>
      <c r="Z1494" t="s">
        <v>7253</v>
      </c>
      <c r="AB1494" t="s">
        <v>15178</v>
      </c>
      <c r="AC1494" t="s">
        <v>8777</v>
      </c>
      <c r="AE1494" t="s">
        <v>9766</v>
      </c>
      <c r="AF1494" t="s">
        <v>2229</v>
      </c>
      <c r="AH1494" t="s">
        <v>16819</v>
      </c>
      <c r="AI1494" t="s">
        <v>8777</v>
      </c>
      <c r="AO1494" t="s">
        <v>16820</v>
      </c>
    </row>
    <row r="1495" spans="1:41" hidden="1" x14ac:dyDescent="0.35">
      <c r="A1495" t="s">
        <v>16821</v>
      </c>
      <c r="B1495" t="s">
        <v>7246</v>
      </c>
      <c r="C1495" t="s">
        <v>5714</v>
      </c>
      <c r="D1495" t="s">
        <v>5714</v>
      </c>
      <c r="E1495" t="s">
        <v>5714</v>
      </c>
      <c r="G1495" s="13" t="s">
        <v>16810</v>
      </c>
      <c r="H1495" t="s">
        <v>16811</v>
      </c>
      <c r="I1495" t="s">
        <v>14765</v>
      </c>
      <c r="K1495" t="s">
        <v>13601</v>
      </c>
      <c r="L1495" t="s">
        <v>13602</v>
      </c>
      <c r="M1495" t="s">
        <v>7292</v>
      </c>
      <c r="N1495">
        <v>2027</v>
      </c>
      <c r="R1495">
        <v>8.8000000000000007</v>
      </c>
      <c r="S1495" t="s">
        <v>8257</v>
      </c>
      <c r="T1495">
        <v>8.8000000000000007</v>
      </c>
      <c r="U1495">
        <v>4095.37</v>
      </c>
      <c r="V1495">
        <v>170</v>
      </c>
      <c r="W1495">
        <v>227.98</v>
      </c>
      <c r="X1495">
        <v>170</v>
      </c>
      <c r="Y1495">
        <v>48</v>
      </c>
      <c r="Z1495" t="s">
        <v>7253</v>
      </c>
      <c r="AB1495" t="s">
        <v>16822</v>
      </c>
      <c r="AC1495" t="s">
        <v>8777</v>
      </c>
      <c r="AE1495" t="s">
        <v>16823</v>
      </c>
      <c r="AF1495" t="s">
        <v>15745</v>
      </c>
      <c r="AH1495" t="s">
        <v>16824</v>
      </c>
      <c r="AI1495" t="s">
        <v>8777</v>
      </c>
      <c r="AJ1495" t="s">
        <v>9032</v>
      </c>
      <c r="AO1495" t="s">
        <v>16825</v>
      </c>
    </row>
    <row r="1496" spans="1:41" hidden="1" x14ac:dyDescent="0.35">
      <c r="A1496" t="s">
        <v>16826</v>
      </c>
      <c r="B1496" t="s">
        <v>7246</v>
      </c>
      <c r="C1496" t="s">
        <v>5714</v>
      </c>
      <c r="D1496" t="s">
        <v>5714</v>
      </c>
      <c r="E1496" t="s">
        <v>5714</v>
      </c>
      <c r="G1496" s="13" t="s">
        <v>16810</v>
      </c>
      <c r="H1496" t="s">
        <v>16811</v>
      </c>
      <c r="I1496" t="s">
        <v>16827</v>
      </c>
      <c r="K1496" t="s">
        <v>13601</v>
      </c>
      <c r="L1496" t="s">
        <v>13602</v>
      </c>
      <c r="M1496" t="s">
        <v>7292</v>
      </c>
      <c r="N1496">
        <v>2027</v>
      </c>
      <c r="R1496">
        <v>8.8000000000000007</v>
      </c>
      <c r="S1496" t="s">
        <v>8257</v>
      </c>
      <c r="T1496">
        <v>8.8000000000000007</v>
      </c>
      <c r="U1496">
        <v>4095.37</v>
      </c>
      <c r="V1496">
        <v>114</v>
      </c>
      <c r="W1496">
        <v>109.57</v>
      </c>
      <c r="X1496">
        <v>114</v>
      </c>
      <c r="Y1496">
        <v>48</v>
      </c>
      <c r="Z1496" t="s">
        <v>7253</v>
      </c>
      <c r="AB1496" t="s">
        <v>15745</v>
      </c>
      <c r="AC1496" t="s">
        <v>8777</v>
      </c>
      <c r="AE1496" t="s">
        <v>16824</v>
      </c>
      <c r="AF1496" t="s">
        <v>16813</v>
      </c>
      <c r="AI1496" t="s">
        <v>8777</v>
      </c>
      <c r="AJ1496" t="s">
        <v>9032</v>
      </c>
      <c r="AO1496" t="s">
        <v>16828</v>
      </c>
    </row>
    <row r="1497" spans="1:41" hidden="1" x14ac:dyDescent="0.35">
      <c r="A1497" t="s">
        <v>16829</v>
      </c>
      <c r="B1497" t="s">
        <v>7246</v>
      </c>
      <c r="C1497" t="s">
        <v>5583</v>
      </c>
      <c r="D1497" t="s">
        <v>5583</v>
      </c>
      <c r="E1497" t="s">
        <v>5583</v>
      </c>
      <c r="G1497" s="13" t="s">
        <v>11904</v>
      </c>
      <c r="H1497" t="s">
        <v>11905</v>
      </c>
      <c r="I1497" t="s">
        <v>12888</v>
      </c>
      <c r="K1497" t="s">
        <v>11898</v>
      </c>
      <c r="L1497" t="s">
        <v>11899</v>
      </c>
      <c r="M1497" t="s">
        <v>7415</v>
      </c>
      <c r="N1497">
        <v>2022</v>
      </c>
      <c r="T1497" t="s">
        <v>6546</v>
      </c>
      <c r="U1497" t="s">
        <v>6546</v>
      </c>
      <c r="V1497">
        <v>23</v>
      </c>
      <c r="W1497">
        <v>21.24</v>
      </c>
      <c r="X1497">
        <v>23</v>
      </c>
      <c r="Y1497">
        <v>27.5</v>
      </c>
      <c r="Z1497" t="s">
        <v>7253</v>
      </c>
      <c r="AB1497" t="s">
        <v>11906</v>
      </c>
      <c r="AC1497" t="s">
        <v>8777</v>
      </c>
      <c r="AF1497" t="s">
        <v>11907</v>
      </c>
      <c r="AI1497" t="s">
        <v>8777</v>
      </c>
      <c r="AJ1497" t="s">
        <v>9032</v>
      </c>
      <c r="AO1497" t="s">
        <v>11908</v>
      </c>
    </row>
    <row r="1498" spans="1:41" hidden="1" x14ac:dyDescent="0.35">
      <c r="A1498" t="s">
        <v>16830</v>
      </c>
      <c r="B1498" t="s">
        <v>7246</v>
      </c>
      <c r="C1498" t="s">
        <v>5583</v>
      </c>
      <c r="D1498" t="s">
        <v>5583</v>
      </c>
      <c r="E1498" t="s">
        <v>5583</v>
      </c>
      <c r="G1498" s="13" t="s">
        <v>11916</v>
      </c>
      <c r="H1498" t="s">
        <v>11917</v>
      </c>
      <c r="K1498" t="s">
        <v>11898</v>
      </c>
      <c r="L1498" t="s">
        <v>11899</v>
      </c>
      <c r="M1498" t="s">
        <v>7250</v>
      </c>
      <c r="R1498">
        <v>1.8</v>
      </c>
      <c r="S1498" t="s">
        <v>8257</v>
      </c>
      <c r="T1498">
        <v>1.8</v>
      </c>
      <c r="U1498">
        <v>837.69</v>
      </c>
      <c r="V1498">
        <v>19</v>
      </c>
      <c r="W1498">
        <v>17.100000000000001</v>
      </c>
      <c r="X1498">
        <v>19</v>
      </c>
      <c r="Y1498">
        <v>27.5</v>
      </c>
      <c r="Z1498" t="s">
        <v>7253</v>
      </c>
      <c r="AB1498" t="s">
        <v>11918</v>
      </c>
      <c r="AC1498" t="s">
        <v>8777</v>
      </c>
      <c r="AF1498" t="s">
        <v>11919</v>
      </c>
      <c r="AI1498" t="s">
        <v>8777</v>
      </c>
      <c r="AO1498" t="s">
        <v>16831</v>
      </c>
    </row>
    <row r="1499" spans="1:41" hidden="1" x14ac:dyDescent="0.35">
      <c r="A1499" t="s">
        <v>16832</v>
      </c>
      <c r="B1499" t="s">
        <v>7246</v>
      </c>
      <c r="C1499" t="s">
        <v>4136</v>
      </c>
      <c r="D1499" t="s">
        <v>4136</v>
      </c>
      <c r="E1499" t="s">
        <v>4136</v>
      </c>
      <c r="G1499" s="13" t="s">
        <v>16833</v>
      </c>
      <c r="H1499" t="s">
        <v>16834</v>
      </c>
      <c r="K1499" t="s">
        <v>10372</v>
      </c>
      <c r="L1499" t="s">
        <v>6511</v>
      </c>
      <c r="M1499" t="s">
        <v>7250</v>
      </c>
      <c r="N1499">
        <v>2022</v>
      </c>
      <c r="T1499" t="s">
        <v>6546</v>
      </c>
      <c r="U1499" t="s">
        <v>6546</v>
      </c>
      <c r="V1499">
        <v>67</v>
      </c>
      <c r="W1499">
        <v>81.52</v>
      </c>
      <c r="X1499">
        <v>67</v>
      </c>
      <c r="Y1499">
        <v>30</v>
      </c>
      <c r="Z1499" t="s">
        <v>7253</v>
      </c>
      <c r="AB1499" t="s">
        <v>10459</v>
      </c>
      <c r="AC1499" t="s">
        <v>8859</v>
      </c>
      <c r="AF1499" t="s">
        <v>10516</v>
      </c>
      <c r="AI1499" t="s">
        <v>8859</v>
      </c>
      <c r="AO1499" t="s">
        <v>16835</v>
      </c>
    </row>
    <row r="1500" spans="1:41" hidden="1" x14ac:dyDescent="0.35">
      <c r="A1500" t="s">
        <v>16836</v>
      </c>
      <c r="B1500" t="s">
        <v>7246</v>
      </c>
      <c r="C1500" t="s">
        <v>4136</v>
      </c>
      <c r="D1500" t="s">
        <v>4136</v>
      </c>
      <c r="E1500" t="s">
        <v>4136</v>
      </c>
      <c r="G1500" s="13" t="s">
        <v>16837</v>
      </c>
      <c r="H1500" t="s">
        <v>16838</v>
      </c>
      <c r="K1500" t="s">
        <v>10372</v>
      </c>
      <c r="L1500" t="s">
        <v>6511</v>
      </c>
      <c r="M1500" t="s">
        <v>7250</v>
      </c>
      <c r="N1500">
        <v>2021</v>
      </c>
      <c r="R1500">
        <v>1200</v>
      </c>
      <c r="S1500" t="s">
        <v>7251</v>
      </c>
      <c r="T1500">
        <v>12.41</v>
      </c>
      <c r="U1500">
        <v>5776</v>
      </c>
      <c r="V1500">
        <v>79</v>
      </c>
      <c r="W1500">
        <v>112.7</v>
      </c>
      <c r="X1500">
        <v>79</v>
      </c>
      <c r="Y1500">
        <v>42</v>
      </c>
      <c r="Z1500" t="s">
        <v>7253</v>
      </c>
      <c r="AB1500" t="s">
        <v>10575</v>
      </c>
      <c r="AC1500" t="s">
        <v>8859</v>
      </c>
      <c r="AF1500" t="s">
        <v>16839</v>
      </c>
      <c r="AI1500" t="s">
        <v>8859</v>
      </c>
      <c r="AO1500" t="s">
        <v>10576</v>
      </c>
    </row>
    <row r="1501" spans="1:41" hidden="1" x14ac:dyDescent="0.35">
      <c r="A1501" t="s">
        <v>16840</v>
      </c>
      <c r="B1501" t="s">
        <v>7246</v>
      </c>
      <c r="C1501" t="s">
        <v>8566</v>
      </c>
      <c r="D1501" t="s">
        <v>8566</v>
      </c>
      <c r="E1501" t="s">
        <v>8566</v>
      </c>
      <c r="G1501" s="13" t="s">
        <v>16841</v>
      </c>
      <c r="H1501" t="s">
        <v>16842</v>
      </c>
      <c r="J1501" t="s">
        <v>16843</v>
      </c>
      <c r="K1501" t="s">
        <v>16844</v>
      </c>
      <c r="L1501" t="s">
        <v>16845</v>
      </c>
      <c r="M1501" t="s">
        <v>7250</v>
      </c>
      <c r="N1501">
        <v>2008</v>
      </c>
      <c r="R1501">
        <v>120</v>
      </c>
      <c r="S1501" t="s">
        <v>7251</v>
      </c>
      <c r="T1501">
        <v>1.24</v>
      </c>
      <c r="U1501">
        <v>577.6</v>
      </c>
      <c r="V1501">
        <v>250</v>
      </c>
      <c r="W1501">
        <v>245.06</v>
      </c>
      <c r="X1501">
        <v>250</v>
      </c>
      <c r="Y1501">
        <v>16</v>
      </c>
      <c r="Z1501" t="s">
        <v>7253</v>
      </c>
      <c r="AB1501" t="s">
        <v>16846</v>
      </c>
      <c r="AC1501" t="s">
        <v>8523</v>
      </c>
      <c r="AF1501" t="s">
        <v>3176</v>
      </c>
      <c r="AI1501" t="s">
        <v>8523</v>
      </c>
      <c r="AL1501" t="s">
        <v>16847</v>
      </c>
      <c r="AN1501" s="13" t="s">
        <v>16848</v>
      </c>
      <c r="AO1501" t="s">
        <v>16849</v>
      </c>
    </row>
    <row r="1502" spans="1:41" hidden="1" x14ac:dyDescent="0.35">
      <c r="A1502" t="s">
        <v>16850</v>
      </c>
      <c r="B1502" t="s">
        <v>7246</v>
      </c>
      <c r="C1502" t="s">
        <v>8566</v>
      </c>
      <c r="D1502" t="s">
        <v>8566</v>
      </c>
      <c r="E1502" t="s">
        <v>8566</v>
      </c>
      <c r="G1502" s="13" t="s">
        <v>16851</v>
      </c>
      <c r="H1502" t="s">
        <v>16852</v>
      </c>
      <c r="J1502" t="s">
        <v>16853</v>
      </c>
      <c r="K1502" t="s">
        <v>16844</v>
      </c>
      <c r="L1502" t="s">
        <v>16845</v>
      </c>
      <c r="M1502" t="s">
        <v>7250</v>
      </c>
      <c r="N1502">
        <v>1972</v>
      </c>
      <c r="R1502">
        <v>245</v>
      </c>
      <c r="S1502" t="s">
        <v>7251</v>
      </c>
      <c r="T1502">
        <v>2.5299999999999998</v>
      </c>
      <c r="U1502">
        <v>1179.27</v>
      </c>
      <c r="V1502">
        <v>88.28</v>
      </c>
      <c r="W1502">
        <v>81.08</v>
      </c>
      <c r="X1502">
        <v>88.28</v>
      </c>
      <c r="Y1502">
        <v>24</v>
      </c>
      <c r="Z1502" t="s">
        <v>7253</v>
      </c>
      <c r="AB1502" t="s">
        <v>16854</v>
      </c>
      <c r="AC1502" t="s">
        <v>8523</v>
      </c>
      <c r="AF1502" t="s">
        <v>6570</v>
      </c>
      <c r="AI1502" t="s">
        <v>8523</v>
      </c>
      <c r="AL1502" t="s">
        <v>16855</v>
      </c>
      <c r="AN1502" s="13" t="s">
        <v>16856</v>
      </c>
      <c r="AO1502" t="s">
        <v>16857</v>
      </c>
    </row>
    <row r="1503" spans="1:41" hidden="1" x14ac:dyDescent="0.35">
      <c r="A1503" t="s">
        <v>16858</v>
      </c>
      <c r="B1503" t="s">
        <v>7246</v>
      </c>
      <c r="C1503" t="s">
        <v>8566</v>
      </c>
      <c r="D1503" t="s">
        <v>8566</v>
      </c>
      <c r="E1503" t="s">
        <v>8566</v>
      </c>
      <c r="G1503" s="13" t="s">
        <v>16859</v>
      </c>
      <c r="H1503" t="s">
        <v>16860</v>
      </c>
      <c r="J1503" t="s">
        <v>16861</v>
      </c>
      <c r="K1503" t="s">
        <v>16844</v>
      </c>
      <c r="L1503" t="s">
        <v>16845</v>
      </c>
      <c r="M1503" t="s">
        <v>7250</v>
      </c>
      <c r="N1503">
        <v>1995</v>
      </c>
      <c r="R1503">
        <v>133</v>
      </c>
      <c r="S1503" t="s">
        <v>7251</v>
      </c>
      <c r="T1503">
        <v>1.38</v>
      </c>
      <c r="U1503">
        <v>640.16999999999996</v>
      </c>
      <c r="V1503">
        <v>76</v>
      </c>
      <c r="W1503">
        <v>72.41</v>
      </c>
      <c r="X1503">
        <v>76</v>
      </c>
      <c r="Y1503">
        <v>12</v>
      </c>
      <c r="Z1503" t="s">
        <v>7253</v>
      </c>
      <c r="AB1503" t="s">
        <v>16846</v>
      </c>
      <c r="AC1503" t="s">
        <v>8523</v>
      </c>
      <c r="AF1503" t="s">
        <v>16862</v>
      </c>
      <c r="AI1503" t="s">
        <v>8523</v>
      </c>
      <c r="AL1503" t="s">
        <v>16863</v>
      </c>
      <c r="AN1503" s="13" t="s">
        <v>16864</v>
      </c>
      <c r="AO1503" t="s">
        <v>16865</v>
      </c>
    </row>
    <row r="1504" spans="1:41" hidden="1" x14ac:dyDescent="0.35">
      <c r="A1504" t="s">
        <v>16866</v>
      </c>
      <c r="B1504" t="s">
        <v>7246</v>
      </c>
      <c r="C1504" t="s">
        <v>8566</v>
      </c>
      <c r="D1504" t="s">
        <v>8566</v>
      </c>
      <c r="E1504" t="s">
        <v>8566</v>
      </c>
      <c r="G1504" s="13" t="s">
        <v>16867</v>
      </c>
      <c r="H1504" t="s">
        <v>16868</v>
      </c>
      <c r="J1504" t="s">
        <v>16869</v>
      </c>
      <c r="K1504" t="s">
        <v>16844</v>
      </c>
      <c r="L1504" t="s">
        <v>16845</v>
      </c>
      <c r="M1504" t="s">
        <v>7250</v>
      </c>
      <c r="N1504">
        <v>2016</v>
      </c>
      <c r="R1504">
        <v>115.3</v>
      </c>
      <c r="S1504" t="s">
        <v>7251</v>
      </c>
      <c r="T1504">
        <v>1.19</v>
      </c>
      <c r="U1504">
        <v>554.98</v>
      </c>
      <c r="V1504">
        <v>16</v>
      </c>
      <c r="W1504">
        <v>8.41</v>
      </c>
      <c r="X1504">
        <v>16</v>
      </c>
      <c r="Y1504">
        <v>16</v>
      </c>
      <c r="Z1504" t="s">
        <v>7253</v>
      </c>
      <c r="AB1504" t="s">
        <v>16854</v>
      </c>
      <c r="AC1504" t="s">
        <v>8523</v>
      </c>
      <c r="AF1504" t="s">
        <v>16870</v>
      </c>
      <c r="AI1504" t="s">
        <v>8523</v>
      </c>
      <c r="AL1504" t="s">
        <v>16871</v>
      </c>
      <c r="AN1504" s="13" t="s">
        <v>16872</v>
      </c>
      <c r="AO1504" t="s">
        <v>16873</v>
      </c>
    </row>
    <row r="1505" spans="1:41" hidden="1" x14ac:dyDescent="0.35">
      <c r="A1505" t="s">
        <v>16874</v>
      </c>
      <c r="B1505" t="s">
        <v>7246</v>
      </c>
      <c r="C1505" t="s">
        <v>8566</v>
      </c>
      <c r="D1505" t="s">
        <v>8566</v>
      </c>
      <c r="E1505" t="s">
        <v>8566</v>
      </c>
      <c r="G1505" s="13" t="s">
        <v>16875</v>
      </c>
      <c r="H1505" t="s">
        <v>16876</v>
      </c>
      <c r="J1505" t="s">
        <v>16877</v>
      </c>
      <c r="K1505" t="s">
        <v>16844</v>
      </c>
      <c r="L1505" t="s">
        <v>16845</v>
      </c>
      <c r="M1505" t="s">
        <v>7250</v>
      </c>
      <c r="N1505">
        <v>1994</v>
      </c>
      <c r="R1505">
        <v>188</v>
      </c>
      <c r="S1505" t="s">
        <v>7251</v>
      </c>
      <c r="T1505">
        <v>1.94</v>
      </c>
      <c r="U1505">
        <v>904.91</v>
      </c>
      <c r="V1505">
        <v>120</v>
      </c>
      <c r="W1505">
        <v>112.72</v>
      </c>
      <c r="X1505">
        <v>120</v>
      </c>
      <c r="Y1505">
        <v>16</v>
      </c>
      <c r="Z1505" t="s">
        <v>7253</v>
      </c>
      <c r="AB1505" t="s">
        <v>16878</v>
      </c>
      <c r="AC1505" t="s">
        <v>8523</v>
      </c>
      <c r="AF1505" t="s">
        <v>16854</v>
      </c>
      <c r="AI1505" t="s">
        <v>8523</v>
      </c>
      <c r="AL1505" t="s">
        <v>16879</v>
      </c>
      <c r="AN1505" s="13" t="s">
        <v>16880</v>
      </c>
      <c r="AO1505" t="s">
        <v>16881</v>
      </c>
    </row>
    <row r="1506" spans="1:41" hidden="1" x14ac:dyDescent="0.35">
      <c r="A1506" t="s">
        <v>16882</v>
      </c>
      <c r="B1506" t="s">
        <v>7246</v>
      </c>
      <c r="C1506" t="s">
        <v>364</v>
      </c>
      <c r="D1506" t="s">
        <v>364</v>
      </c>
      <c r="E1506" t="s">
        <v>364</v>
      </c>
      <c r="G1506" s="13" t="s">
        <v>16883</v>
      </c>
      <c r="H1506" t="s">
        <v>16884</v>
      </c>
      <c r="K1506" t="s">
        <v>15004</v>
      </c>
      <c r="L1506" t="s">
        <v>15004</v>
      </c>
      <c r="M1506" t="s">
        <v>7250</v>
      </c>
      <c r="N1506">
        <v>2007</v>
      </c>
      <c r="R1506">
        <v>3.3</v>
      </c>
      <c r="S1506" t="s">
        <v>8257</v>
      </c>
      <c r="T1506">
        <v>3.3</v>
      </c>
      <c r="U1506">
        <v>1535.77</v>
      </c>
      <c r="V1506">
        <v>196</v>
      </c>
      <c r="W1506">
        <v>191.48</v>
      </c>
      <c r="X1506">
        <v>196</v>
      </c>
      <c r="Y1506">
        <v>26</v>
      </c>
      <c r="Z1506" t="s">
        <v>7253</v>
      </c>
      <c r="AB1506" t="s">
        <v>16885</v>
      </c>
      <c r="AC1506" t="s">
        <v>8523</v>
      </c>
      <c r="AF1506" t="s">
        <v>16886</v>
      </c>
      <c r="AI1506" t="s">
        <v>8523</v>
      </c>
      <c r="AL1506" t="s">
        <v>16887</v>
      </c>
      <c r="AN1506" s="13" t="s">
        <v>16888</v>
      </c>
      <c r="AO1506" t="s">
        <v>16889</v>
      </c>
    </row>
    <row r="1507" spans="1:41" hidden="1" x14ac:dyDescent="0.35">
      <c r="A1507" t="s">
        <v>16890</v>
      </c>
      <c r="B1507" t="s">
        <v>7246</v>
      </c>
      <c r="C1507" t="s">
        <v>364</v>
      </c>
      <c r="D1507" t="s">
        <v>364</v>
      </c>
      <c r="E1507" t="s">
        <v>364</v>
      </c>
      <c r="G1507" s="13" t="s">
        <v>16891</v>
      </c>
      <c r="H1507" t="s">
        <v>16892</v>
      </c>
      <c r="K1507" t="s">
        <v>15004</v>
      </c>
      <c r="L1507" t="s">
        <v>15004</v>
      </c>
      <c r="M1507" t="s">
        <v>7250</v>
      </c>
      <c r="N1507">
        <v>2006</v>
      </c>
      <c r="R1507">
        <v>5.48</v>
      </c>
      <c r="S1507" t="s">
        <v>8257</v>
      </c>
      <c r="T1507">
        <v>5.48</v>
      </c>
      <c r="U1507">
        <v>2550.3000000000002</v>
      </c>
      <c r="V1507">
        <v>176.8</v>
      </c>
      <c r="W1507">
        <v>163.94</v>
      </c>
      <c r="X1507">
        <v>176.8</v>
      </c>
      <c r="Y1507">
        <v>26</v>
      </c>
      <c r="Z1507" t="s">
        <v>7253</v>
      </c>
      <c r="AB1507" t="s">
        <v>16893</v>
      </c>
      <c r="AC1507" t="s">
        <v>8523</v>
      </c>
      <c r="AF1507" t="s">
        <v>16894</v>
      </c>
      <c r="AI1507" t="s">
        <v>8523</v>
      </c>
      <c r="AL1507" t="s">
        <v>16895</v>
      </c>
      <c r="AN1507" s="13" t="s">
        <v>16896</v>
      </c>
      <c r="AO1507" t="s">
        <v>16897</v>
      </c>
    </row>
    <row r="1508" spans="1:41" hidden="1" x14ac:dyDescent="0.35">
      <c r="A1508" t="s">
        <v>16898</v>
      </c>
      <c r="B1508" t="s">
        <v>7246</v>
      </c>
      <c r="C1508" t="s">
        <v>364</v>
      </c>
      <c r="D1508" t="s">
        <v>364</v>
      </c>
      <c r="E1508" t="s">
        <v>364</v>
      </c>
      <c r="G1508" s="13" t="s">
        <v>16899</v>
      </c>
      <c r="H1508" t="s">
        <v>16900</v>
      </c>
      <c r="J1508" t="s">
        <v>16901</v>
      </c>
      <c r="K1508" t="s">
        <v>15004</v>
      </c>
      <c r="L1508" t="s">
        <v>15004</v>
      </c>
      <c r="M1508" t="s">
        <v>7250</v>
      </c>
      <c r="N1508">
        <v>1998</v>
      </c>
      <c r="R1508">
        <v>0.74</v>
      </c>
      <c r="S1508" t="s">
        <v>8257</v>
      </c>
      <c r="T1508">
        <v>0.74</v>
      </c>
      <c r="U1508">
        <v>344.38</v>
      </c>
      <c r="V1508">
        <v>383</v>
      </c>
      <c r="W1508">
        <v>358.29</v>
      </c>
      <c r="X1508">
        <v>383</v>
      </c>
      <c r="Y1508" t="s">
        <v>14961</v>
      </c>
      <c r="Z1508" t="s">
        <v>7253</v>
      </c>
      <c r="AB1508" t="s">
        <v>16902</v>
      </c>
      <c r="AC1508" t="s">
        <v>8523</v>
      </c>
      <c r="AF1508" t="s">
        <v>16903</v>
      </c>
      <c r="AI1508" t="s">
        <v>8523</v>
      </c>
      <c r="AL1508" t="s">
        <v>16904</v>
      </c>
      <c r="AN1508" s="13" t="s">
        <v>16905</v>
      </c>
      <c r="AO1508" t="s">
        <v>16906</v>
      </c>
    </row>
    <row r="1509" spans="1:41" hidden="1" x14ac:dyDescent="0.35">
      <c r="A1509" t="s">
        <v>16907</v>
      </c>
      <c r="B1509" t="s">
        <v>7246</v>
      </c>
      <c r="C1509" t="s">
        <v>364</v>
      </c>
      <c r="D1509" t="s">
        <v>364</v>
      </c>
      <c r="E1509" t="s">
        <v>364</v>
      </c>
      <c r="G1509" s="13" t="s">
        <v>16908</v>
      </c>
      <c r="H1509" t="s">
        <v>16909</v>
      </c>
      <c r="J1509" t="s">
        <v>16910</v>
      </c>
      <c r="K1509" t="s">
        <v>15004</v>
      </c>
      <c r="L1509" t="s">
        <v>15004</v>
      </c>
      <c r="M1509" t="s">
        <v>7250</v>
      </c>
      <c r="N1509">
        <v>2001</v>
      </c>
      <c r="R1509">
        <v>0.91</v>
      </c>
      <c r="S1509" t="s">
        <v>8257</v>
      </c>
      <c r="T1509">
        <v>0.91</v>
      </c>
      <c r="U1509">
        <v>423.5</v>
      </c>
      <c r="V1509">
        <v>204</v>
      </c>
      <c r="W1509">
        <v>170.05</v>
      </c>
      <c r="X1509">
        <v>204</v>
      </c>
      <c r="Y1509">
        <v>12</v>
      </c>
      <c r="Z1509" t="s">
        <v>7253</v>
      </c>
      <c r="AB1509" t="s">
        <v>16911</v>
      </c>
      <c r="AC1509" t="s">
        <v>8523</v>
      </c>
      <c r="AE1509" t="s">
        <v>16894</v>
      </c>
      <c r="AF1509" t="s">
        <v>16912</v>
      </c>
      <c r="AI1509" t="s">
        <v>8523</v>
      </c>
      <c r="AL1509" t="s">
        <v>16913</v>
      </c>
      <c r="AN1509" s="13" t="s">
        <v>16914</v>
      </c>
      <c r="AO1509" t="s">
        <v>16915</v>
      </c>
    </row>
    <row r="1510" spans="1:41" hidden="1" x14ac:dyDescent="0.35">
      <c r="A1510" t="s">
        <v>16916</v>
      </c>
      <c r="B1510" t="s">
        <v>7246</v>
      </c>
      <c r="C1510" t="s">
        <v>364</v>
      </c>
      <c r="D1510" t="s">
        <v>364</v>
      </c>
      <c r="E1510" t="s">
        <v>364</v>
      </c>
      <c r="G1510" s="13" t="s">
        <v>16917</v>
      </c>
      <c r="H1510" t="s">
        <v>16918</v>
      </c>
      <c r="K1510" t="s">
        <v>15004</v>
      </c>
      <c r="L1510" t="s">
        <v>15004</v>
      </c>
      <c r="M1510" t="s">
        <v>7250</v>
      </c>
      <c r="N1510">
        <v>2006</v>
      </c>
      <c r="R1510">
        <v>4.5999999999999996</v>
      </c>
      <c r="S1510" t="s">
        <v>8257</v>
      </c>
      <c r="T1510">
        <v>4.5999999999999996</v>
      </c>
      <c r="U1510">
        <v>2140.7600000000002</v>
      </c>
      <c r="V1510">
        <v>68.5</v>
      </c>
      <c r="W1510">
        <v>53.62</v>
      </c>
      <c r="X1510">
        <v>68.5</v>
      </c>
      <c r="Y1510">
        <v>26</v>
      </c>
      <c r="Z1510" t="s">
        <v>7253</v>
      </c>
      <c r="AB1510" t="s">
        <v>16886</v>
      </c>
      <c r="AC1510" t="s">
        <v>8523</v>
      </c>
      <c r="AF1510" t="s">
        <v>16893</v>
      </c>
      <c r="AI1510" t="s">
        <v>8523</v>
      </c>
      <c r="AL1510" t="s">
        <v>16919</v>
      </c>
      <c r="AN1510" s="13" t="s">
        <v>16920</v>
      </c>
      <c r="AO1510" t="s">
        <v>16921</v>
      </c>
    </row>
    <row r="1511" spans="1:41" hidden="1" x14ac:dyDescent="0.35">
      <c r="A1511" t="s">
        <v>16922</v>
      </c>
      <c r="B1511" t="s">
        <v>7246</v>
      </c>
      <c r="C1511" t="s">
        <v>364</v>
      </c>
      <c r="D1511" t="s">
        <v>364</v>
      </c>
      <c r="E1511" t="s">
        <v>364</v>
      </c>
      <c r="G1511" s="13" t="s">
        <v>16923</v>
      </c>
      <c r="H1511" t="s">
        <v>16924</v>
      </c>
      <c r="J1511" t="s">
        <v>16925</v>
      </c>
      <c r="K1511" t="s">
        <v>15004</v>
      </c>
      <c r="L1511" t="s">
        <v>15004</v>
      </c>
      <c r="M1511" t="s">
        <v>7250</v>
      </c>
      <c r="N1511">
        <v>1986</v>
      </c>
      <c r="R1511">
        <v>0.83</v>
      </c>
      <c r="S1511" t="s">
        <v>8257</v>
      </c>
      <c r="T1511">
        <v>0.83</v>
      </c>
      <c r="U1511">
        <v>386.27</v>
      </c>
      <c r="V1511">
        <v>426.8</v>
      </c>
      <c r="W1511">
        <v>512.41999999999996</v>
      </c>
      <c r="X1511">
        <v>426.8</v>
      </c>
      <c r="Y1511">
        <v>12</v>
      </c>
      <c r="Z1511" t="s">
        <v>7253</v>
      </c>
      <c r="AB1511" t="s">
        <v>16902</v>
      </c>
      <c r="AC1511" t="s">
        <v>8523</v>
      </c>
      <c r="AE1511" t="s">
        <v>16926</v>
      </c>
      <c r="AF1511" t="s">
        <v>16912</v>
      </c>
      <c r="AI1511" t="s">
        <v>8523</v>
      </c>
      <c r="AL1511" t="s">
        <v>16927</v>
      </c>
      <c r="AN1511" s="13" t="s">
        <v>16928</v>
      </c>
      <c r="AO1511" t="s">
        <v>16929</v>
      </c>
    </row>
    <row r="1512" spans="1:41" hidden="1" x14ac:dyDescent="0.35">
      <c r="A1512" t="s">
        <v>16930</v>
      </c>
      <c r="B1512" t="s">
        <v>7246</v>
      </c>
      <c r="C1512" t="s">
        <v>364</v>
      </c>
      <c r="D1512" t="s">
        <v>364</v>
      </c>
      <c r="E1512" t="s">
        <v>364</v>
      </c>
      <c r="G1512" s="13" t="s">
        <v>16931</v>
      </c>
      <c r="H1512" t="s">
        <v>16932</v>
      </c>
      <c r="J1512" t="s">
        <v>16933</v>
      </c>
      <c r="K1512" t="s">
        <v>15004</v>
      </c>
      <c r="L1512" t="s">
        <v>15004</v>
      </c>
      <c r="M1512" t="s">
        <v>7250</v>
      </c>
      <c r="N1512">
        <v>1974</v>
      </c>
      <c r="R1512">
        <v>0.51</v>
      </c>
      <c r="S1512" t="s">
        <v>8257</v>
      </c>
      <c r="T1512">
        <v>0.51</v>
      </c>
      <c r="U1512">
        <v>237.35</v>
      </c>
      <c r="V1512">
        <v>225</v>
      </c>
      <c r="W1512">
        <v>212.49</v>
      </c>
      <c r="X1512">
        <v>225</v>
      </c>
      <c r="Y1512">
        <v>14</v>
      </c>
      <c r="Z1512" t="s">
        <v>7253</v>
      </c>
      <c r="AB1512" t="s">
        <v>16934</v>
      </c>
      <c r="AC1512" t="s">
        <v>8523</v>
      </c>
      <c r="AD1512" t="s">
        <v>16885</v>
      </c>
      <c r="AF1512" t="s">
        <v>16935</v>
      </c>
      <c r="AG1512" t="s">
        <v>16936</v>
      </c>
      <c r="AI1512" t="s">
        <v>8523</v>
      </c>
      <c r="AL1512" t="s">
        <v>16937</v>
      </c>
      <c r="AN1512" s="13" t="s">
        <v>16938</v>
      </c>
      <c r="AO1512" t="s">
        <v>16939</v>
      </c>
    </row>
    <row r="1513" spans="1:41" hidden="1" x14ac:dyDescent="0.35">
      <c r="A1513" t="s">
        <v>16940</v>
      </c>
      <c r="B1513" t="s">
        <v>7246</v>
      </c>
      <c r="C1513" t="s">
        <v>5694</v>
      </c>
      <c r="D1513" t="s">
        <v>5694</v>
      </c>
      <c r="E1513" t="s">
        <v>5694</v>
      </c>
      <c r="G1513" s="13" t="s">
        <v>16941</v>
      </c>
      <c r="H1513" t="s">
        <v>16942</v>
      </c>
      <c r="K1513" t="s">
        <v>16943</v>
      </c>
      <c r="L1513" t="s">
        <v>16944</v>
      </c>
      <c r="M1513" t="s">
        <v>7415</v>
      </c>
      <c r="N1513">
        <v>2022</v>
      </c>
      <c r="O1513">
        <v>2023</v>
      </c>
      <c r="R1513">
        <v>8.3000000000000007</v>
      </c>
      <c r="S1513" t="s">
        <v>8257</v>
      </c>
      <c r="T1513">
        <v>8.3000000000000007</v>
      </c>
      <c r="U1513">
        <v>3862.68</v>
      </c>
      <c r="V1513">
        <v>28</v>
      </c>
      <c r="W1513">
        <v>27.75</v>
      </c>
      <c r="X1513">
        <v>28</v>
      </c>
      <c r="Y1513">
        <v>30</v>
      </c>
      <c r="Z1513" t="s">
        <v>7253</v>
      </c>
      <c r="AA1513" t="s">
        <v>16945</v>
      </c>
      <c r="AB1513" t="s">
        <v>16946</v>
      </c>
      <c r="AC1513" t="s">
        <v>8777</v>
      </c>
      <c r="AF1513" t="s">
        <v>16947</v>
      </c>
      <c r="AI1513" t="s">
        <v>8777</v>
      </c>
      <c r="AJ1513" t="s">
        <v>6407</v>
      </c>
      <c r="AO1513" t="s">
        <v>16948</v>
      </c>
    </row>
    <row r="1514" spans="1:41" hidden="1" x14ac:dyDescent="0.35">
      <c r="A1514" t="s">
        <v>16949</v>
      </c>
      <c r="B1514" t="s">
        <v>7246</v>
      </c>
      <c r="C1514" t="s">
        <v>5775</v>
      </c>
      <c r="D1514" t="s">
        <v>5775</v>
      </c>
      <c r="E1514" t="s">
        <v>5775</v>
      </c>
      <c r="G1514" s="13" t="s">
        <v>16950</v>
      </c>
      <c r="H1514" t="s">
        <v>16951</v>
      </c>
      <c r="K1514" t="s">
        <v>15996</v>
      </c>
      <c r="L1514" t="s">
        <v>15997</v>
      </c>
      <c r="M1514" t="s">
        <v>7292</v>
      </c>
      <c r="T1514" t="s">
        <v>6546</v>
      </c>
      <c r="U1514" t="s">
        <v>6546</v>
      </c>
      <c r="V1514">
        <v>31.5</v>
      </c>
      <c r="W1514">
        <v>37.869999999999997</v>
      </c>
      <c r="X1514">
        <v>31.5</v>
      </c>
      <c r="Y1514">
        <v>27.8</v>
      </c>
      <c r="Z1514" t="s">
        <v>7253</v>
      </c>
      <c r="AB1514" t="s">
        <v>7154</v>
      </c>
      <c r="AC1514" t="s">
        <v>8777</v>
      </c>
      <c r="AF1514" t="s">
        <v>16952</v>
      </c>
      <c r="AI1514" t="s">
        <v>8777</v>
      </c>
      <c r="AJ1514" t="s">
        <v>9032</v>
      </c>
      <c r="AO1514" t="s">
        <v>16953</v>
      </c>
    </row>
    <row r="1515" spans="1:41" hidden="1" x14ac:dyDescent="0.35">
      <c r="A1515" t="s">
        <v>16954</v>
      </c>
      <c r="B1515" t="s">
        <v>7246</v>
      </c>
      <c r="C1515" t="s">
        <v>406</v>
      </c>
      <c r="D1515" t="s">
        <v>406</v>
      </c>
      <c r="E1515" t="s">
        <v>406</v>
      </c>
      <c r="G1515" s="13" t="s">
        <v>16955</v>
      </c>
      <c r="H1515" t="s">
        <v>16956</v>
      </c>
      <c r="K1515" t="s">
        <v>8552</v>
      </c>
      <c r="L1515" t="s">
        <v>8552</v>
      </c>
      <c r="M1515" t="s">
        <v>7292</v>
      </c>
      <c r="R1515">
        <v>145</v>
      </c>
      <c r="S1515" t="s">
        <v>7251</v>
      </c>
      <c r="T1515">
        <v>1.5</v>
      </c>
      <c r="U1515">
        <v>697.93</v>
      </c>
      <c r="V1515">
        <v>355</v>
      </c>
      <c r="W1515">
        <v>362.22</v>
      </c>
      <c r="X1515">
        <v>355</v>
      </c>
      <c r="Y1515" t="s">
        <v>8456</v>
      </c>
      <c r="Z1515" t="s">
        <v>7253</v>
      </c>
      <c r="AB1515" t="s">
        <v>16957</v>
      </c>
      <c r="AC1515" t="s">
        <v>7255</v>
      </c>
      <c r="AE1515" t="s">
        <v>8554</v>
      </c>
      <c r="AF1515" t="s">
        <v>8695</v>
      </c>
      <c r="AH1515" t="s">
        <v>8696</v>
      </c>
      <c r="AI1515" t="s">
        <v>7255</v>
      </c>
      <c r="AL1515" t="s">
        <v>16958</v>
      </c>
      <c r="AN1515" s="13" t="s">
        <v>16959</v>
      </c>
      <c r="AO1515" t="s">
        <v>16960</v>
      </c>
    </row>
    <row r="1516" spans="1:41" hidden="1" x14ac:dyDescent="0.35">
      <c r="A1516" t="s">
        <v>16961</v>
      </c>
      <c r="B1516" t="s">
        <v>7246</v>
      </c>
      <c r="C1516" t="s">
        <v>441</v>
      </c>
      <c r="D1516" t="s">
        <v>441</v>
      </c>
      <c r="E1516" t="s">
        <v>441</v>
      </c>
      <c r="G1516" s="13" t="s">
        <v>16962</v>
      </c>
      <c r="H1516" t="s">
        <v>16963</v>
      </c>
      <c r="K1516" t="s">
        <v>6543</v>
      </c>
      <c r="L1516" t="s">
        <v>6543</v>
      </c>
      <c r="M1516" t="s">
        <v>7292</v>
      </c>
      <c r="T1516" t="s">
        <v>6546</v>
      </c>
      <c r="U1516" t="s">
        <v>6546</v>
      </c>
      <c r="V1516">
        <v>138</v>
      </c>
      <c r="W1516">
        <v>133.84</v>
      </c>
      <c r="X1516">
        <v>138</v>
      </c>
      <c r="Y1516">
        <v>36</v>
      </c>
      <c r="Z1516" t="s">
        <v>7253</v>
      </c>
      <c r="AB1516" t="s">
        <v>5286</v>
      </c>
      <c r="AC1516" t="s">
        <v>9852</v>
      </c>
      <c r="AF1516" t="s">
        <v>16964</v>
      </c>
      <c r="AI1516" t="s">
        <v>9852</v>
      </c>
      <c r="AO1516" t="s">
        <v>16965</v>
      </c>
    </row>
    <row r="1517" spans="1:41" hidden="1" x14ac:dyDescent="0.35">
      <c r="A1517" t="s">
        <v>16966</v>
      </c>
      <c r="B1517" t="s">
        <v>7246</v>
      </c>
      <c r="C1517" t="s">
        <v>441</v>
      </c>
      <c r="D1517" t="s">
        <v>441</v>
      </c>
      <c r="E1517" t="s">
        <v>441</v>
      </c>
      <c r="G1517" s="13" t="s">
        <v>16967</v>
      </c>
      <c r="H1517" t="s">
        <v>16968</v>
      </c>
      <c r="K1517" t="s">
        <v>6543</v>
      </c>
      <c r="L1517" t="s">
        <v>6543</v>
      </c>
      <c r="M1517" t="s">
        <v>7292</v>
      </c>
      <c r="T1517" t="s">
        <v>6546</v>
      </c>
      <c r="U1517" t="s">
        <v>6546</v>
      </c>
      <c r="V1517">
        <v>238</v>
      </c>
      <c r="W1517">
        <v>239.84</v>
      </c>
      <c r="X1517">
        <v>238</v>
      </c>
      <c r="Y1517">
        <v>36</v>
      </c>
      <c r="Z1517" t="s">
        <v>7253</v>
      </c>
      <c r="AB1517" t="s">
        <v>14440</v>
      </c>
      <c r="AC1517" t="s">
        <v>9852</v>
      </c>
      <c r="AF1517" t="s">
        <v>16969</v>
      </c>
      <c r="AI1517" t="s">
        <v>9852</v>
      </c>
      <c r="AO1517" t="s">
        <v>16970</v>
      </c>
    </row>
    <row r="1518" spans="1:41" hidden="1" x14ac:dyDescent="0.35">
      <c r="A1518" t="s">
        <v>16971</v>
      </c>
      <c r="B1518" t="s">
        <v>7246</v>
      </c>
      <c r="C1518" t="s">
        <v>5435</v>
      </c>
      <c r="D1518" t="s">
        <v>5435</v>
      </c>
      <c r="E1518" t="s">
        <v>5435</v>
      </c>
      <c r="G1518" s="13" t="s">
        <v>16972</v>
      </c>
      <c r="H1518" t="s">
        <v>16973</v>
      </c>
      <c r="K1518" t="s">
        <v>12539</v>
      </c>
      <c r="L1518" t="s">
        <v>12539</v>
      </c>
      <c r="M1518" t="s">
        <v>7250</v>
      </c>
      <c r="N1518">
        <v>1950</v>
      </c>
      <c r="R1518">
        <v>970</v>
      </c>
      <c r="S1518" t="s">
        <v>7251</v>
      </c>
      <c r="T1518">
        <v>10.029999999999999</v>
      </c>
      <c r="U1518">
        <v>4668.93</v>
      </c>
      <c r="V1518">
        <v>1535</v>
      </c>
      <c r="W1518">
        <v>571.13</v>
      </c>
      <c r="X1518">
        <v>1535</v>
      </c>
      <c r="Y1518" t="s">
        <v>16974</v>
      </c>
      <c r="Z1518" t="s">
        <v>7253</v>
      </c>
      <c r="AB1518" t="s">
        <v>16975</v>
      </c>
      <c r="AC1518" t="s">
        <v>8523</v>
      </c>
      <c r="AE1518" t="s">
        <v>12543</v>
      </c>
      <c r="AF1518" t="s">
        <v>16976</v>
      </c>
      <c r="AI1518" t="s">
        <v>8523</v>
      </c>
      <c r="AL1518" t="s">
        <v>16977</v>
      </c>
      <c r="AN1518" s="13" t="s">
        <v>16978</v>
      </c>
      <c r="AO1518" t="s">
        <v>16979</v>
      </c>
    </row>
    <row r="1519" spans="1:41" hidden="1" x14ac:dyDescent="0.35">
      <c r="A1519" t="s">
        <v>16980</v>
      </c>
      <c r="B1519" t="s">
        <v>7246</v>
      </c>
      <c r="C1519" t="s">
        <v>5435</v>
      </c>
      <c r="D1519" t="s">
        <v>5435</v>
      </c>
      <c r="E1519" t="s">
        <v>5435</v>
      </c>
      <c r="G1519" s="13" t="s">
        <v>16981</v>
      </c>
      <c r="H1519" t="s">
        <v>16982</v>
      </c>
      <c r="K1519" t="s">
        <v>12539</v>
      </c>
      <c r="L1519" t="s">
        <v>12539</v>
      </c>
      <c r="M1519" t="s">
        <v>7250</v>
      </c>
      <c r="N1519">
        <v>1951</v>
      </c>
      <c r="R1519">
        <v>600</v>
      </c>
      <c r="S1519" t="s">
        <v>7251</v>
      </c>
      <c r="T1519">
        <v>6.21</v>
      </c>
      <c r="U1519">
        <v>2888</v>
      </c>
      <c r="V1519">
        <v>480</v>
      </c>
      <c r="W1519">
        <v>89.99</v>
      </c>
      <c r="X1519">
        <v>480</v>
      </c>
      <c r="Y1519" t="s">
        <v>16983</v>
      </c>
      <c r="Z1519" t="s">
        <v>7253</v>
      </c>
      <c r="AB1519" t="s">
        <v>16975</v>
      </c>
      <c r="AC1519" t="s">
        <v>8523</v>
      </c>
      <c r="AE1519" t="s">
        <v>12543</v>
      </c>
      <c r="AF1519" t="s">
        <v>16984</v>
      </c>
      <c r="AI1519" t="s">
        <v>8523</v>
      </c>
      <c r="AL1519" t="s">
        <v>16985</v>
      </c>
      <c r="AN1519" s="13" t="s">
        <v>16986</v>
      </c>
      <c r="AO1519" t="s">
        <v>16987</v>
      </c>
    </row>
    <row r="1520" spans="1:41" hidden="1" x14ac:dyDescent="0.35">
      <c r="A1520" t="s">
        <v>16988</v>
      </c>
      <c r="B1520" t="s">
        <v>7246</v>
      </c>
      <c r="C1520" t="s">
        <v>5435</v>
      </c>
      <c r="D1520" t="s">
        <v>5435</v>
      </c>
      <c r="E1520" t="s">
        <v>5435</v>
      </c>
      <c r="G1520" s="13" t="s">
        <v>16989</v>
      </c>
      <c r="H1520" t="s">
        <v>16990</v>
      </c>
      <c r="K1520" t="s">
        <v>12539</v>
      </c>
      <c r="L1520" t="s">
        <v>12539</v>
      </c>
      <c r="M1520" t="s">
        <v>7250</v>
      </c>
      <c r="N1520">
        <v>1970</v>
      </c>
      <c r="R1520">
        <v>615</v>
      </c>
      <c r="S1520" t="s">
        <v>7251</v>
      </c>
      <c r="T1520">
        <v>6.36</v>
      </c>
      <c r="U1520">
        <v>2960.2</v>
      </c>
      <c r="V1520">
        <v>484</v>
      </c>
      <c r="W1520">
        <v>233.49</v>
      </c>
      <c r="X1520">
        <v>484</v>
      </c>
      <c r="Y1520" t="s">
        <v>16991</v>
      </c>
      <c r="Z1520" t="s">
        <v>7253</v>
      </c>
      <c r="AB1520" t="s">
        <v>16975</v>
      </c>
      <c r="AC1520" t="s">
        <v>8523</v>
      </c>
      <c r="AE1520" t="s">
        <v>12543</v>
      </c>
      <c r="AF1520" t="s">
        <v>16992</v>
      </c>
      <c r="AI1520" t="s">
        <v>8523</v>
      </c>
      <c r="AL1520" t="s">
        <v>16993</v>
      </c>
      <c r="AN1520" s="13" t="s">
        <v>16994</v>
      </c>
      <c r="AO1520" t="s">
        <v>16995</v>
      </c>
    </row>
    <row r="1521" spans="1:41" hidden="1" x14ac:dyDescent="0.35">
      <c r="A1521" t="s">
        <v>16996</v>
      </c>
      <c r="B1521" t="s">
        <v>7246</v>
      </c>
      <c r="C1521" t="s">
        <v>5435</v>
      </c>
      <c r="D1521" t="s">
        <v>5435</v>
      </c>
      <c r="E1521" t="s">
        <v>5435</v>
      </c>
      <c r="G1521" s="13" t="s">
        <v>16997</v>
      </c>
      <c r="H1521" t="s">
        <v>16998</v>
      </c>
      <c r="K1521" t="s">
        <v>12539</v>
      </c>
      <c r="L1521" t="s">
        <v>12539</v>
      </c>
      <c r="M1521" t="s">
        <v>7250</v>
      </c>
      <c r="N1521">
        <v>1969</v>
      </c>
      <c r="R1521">
        <v>250</v>
      </c>
      <c r="S1521" t="s">
        <v>7251</v>
      </c>
      <c r="T1521">
        <v>2.59</v>
      </c>
      <c r="U1521">
        <v>1203.33</v>
      </c>
      <c r="V1521">
        <v>222</v>
      </c>
      <c r="W1521">
        <v>230.41</v>
      </c>
      <c r="X1521">
        <v>222</v>
      </c>
      <c r="Y1521" t="s">
        <v>8657</v>
      </c>
      <c r="Z1521" t="s">
        <v>7253</v>
      </c>
      <c r="AB1521" t="s">
        <v>16999</v>
      </c>
      <c r="AC1521" t="s">
        <v>8523</v>
      </c>
      <c r="AF1521" t="s">
        <v>17000</v>
      </c>
      <c r="AI1521" t="s">
        <v>8523</v>
      </c>
      <c r="AL1521" t="s">
        <v>17001</v>
      </c>
      <c r="AN1521" s="13" t="s">
        <v>17002</v>
      </c>
      <c r="AO1521" t="s">
        <v>17003</v>
      </c>
    </row>
    <row r="1522" spans="1:41" hidden="1" x14ac:dyDescent="0.35">
      <c r="A1522" t="s">
        <v>17004</v>
      </c>
      <c r="B1522" t="s">
        <v>7246</v>
      </c>
      <c r="C1522" t="s">
        <v>5312</v>
      </c>
      <c r="D1522" t="s">
        <v>5312</v>
      </c>
      <c r="E1522" t="s">
        <v>5312</v>
      </c>
      <c r="G1522" s="13" t="s">
        <v>17005</v>
      </c>
      <c r="H1522" t="s">
        <v>17006</v>
      </c>
      <c r="K1522" t="s">
        <v>6543</v>
      </c>
      <c r="L1522" t="s">
        <v>6543</v>
      </c>
      <c r="M1522" t="s">
        <v>7415</v>
      </c>
      <c r="N1522">
        <v>2022</v>
      </c>
      <c r="R1522">
        <v>4.5</v>
      </c>
      <c r="S1522" t="s">
        <v>8257</v>
      </c>
      <c r="T1522">
        <v>4.5</v>
      </c>
      <c r="U1522">
        <v>2094.23</v>
      </c>
      <c r="V1522">
        <v>12</v>
      </c>
      <c r="W1522">
        <v>23.14</v>
      </c>
      <c r="X1522">
        <v>12</v>
      </c>
      <c r="Y1522">
        <v>18</v>
      </c>
      <c r="Z1522" t="s">
        <v>7253</v>
      </c>
      <c r="AB1522" t="s">
        <v>17007</v>
      </c>
      <c r="AC1522" t="s">
        <v>10816</v>
      </c>
      <c r="AI1522" t="s">
        <v>10816</v>
      </c>
      <c r="AO1522" t="s">
        <v>17008</v>
      </c>
    </row>
    <row r="1523" spans="1:41" hidden="1" x14ac:dyDescent="0.35">
      <c r="A1523" t="s">
        <v>17009</v>
      </c>
      <c r="B1523" t="s">
        <v>7246</v>
      </c>
      <c r="C1523" t="s">
        <v>5312</v>
      </c>
      <c r="D1523" t="s">
        <v>5312</v>
      </c>
      <c r="E1523" t="s">
        <v>5312</v>
      </c>
      <c r="G1523" s="13" t="s">
        <v>17010</v>
      </c>
      <c r="H1523" t="s">
        <v>17011</v>
      </c>
      <c r="K1523" t="s">
        <v>6543</v>
      </c>
      <c r="L1523" t="s">
        <v>6543</v>
      </c>
      <c r="M1523" t="s">
        <v>7292</v>
      </c>
      <c r="N1523">
        <v>2022</v>
      </c>
      <c r="R1523">
        <v>5</v>
      </c>
      <c r="S1523" t="s">
        <v>8257</v>
      </c>
      <c r="T1523">
        <v>5</v>
      </c>
      <c r="U1523">
        <v>2326.92</v>
      </c>
      <c r="V1523">
        <v>85</v>
      </c>
      <c r="W1523">
        <v>35.049999999999997</v>
      </c>
      <c r="X1523">
        <v>85</v>
      </c>
      <c r="Y1523" t="s">
        <v>17012</v>
      </c>
      <c r="Z1523" t="s">
        <v>7253</v>
      </c>
      <c r="AB1523" t="s">
        <v>17013</v>
      </c>
      <c r="AC1523" t="s">
        <v>10816</v>
      </c>
      <c r="AF1523" t="s">
        <v>14894</v>
      </c>
      <c r="AI1523" t="s">
        <v>10816</v>
      </c>
      <c r="AO1523" t="s">
        <v>17014</v>
      </c>
    </row>
    <row r="1524" spans="1:41" hidden="1" x14ac:dyDescent="0.35">
      <c r="A1524" t="s">
        <v>17015</v>
      </c>
      <c r="B1524" t="s">
        <v>7246</v>
      </c>
      <c r="C1524" t="s">
        <v>5312</v>
      </c>
      <c r="D1524" t="s">
        <v>5312</v>
      </c>
      <c r="E1524" t="s">
        <v>5312</v>
      </c>
      <c r="G1524" s="13" t="s">
        <v>17016</v>
      </c>
      <c r="H1524" t="s">
        <v>17017</v>
      </c>
      <c r="K1524" t="s">
        <v>6543</v>
      </c>
      <c r="L1524" t="s">
        <v>6543</v>
      </c>
      <c r="M1524" t="s">
        <v>7292</v>
      </c>
      <c r="N1524">
        <v>2023</v>
      </c>
      <c r="R1524">
        <v>9</v>
      </c>
      <c r="S1524" t="s">
        <v>8257</v>
      </c>
      <c r="T1524">
        <v>9</v>
      </c>
      <c r="U1524">
        <v>4188.45</v>
      </c>
      <c r="V1524">
        <v>85</v>
      </c>
      <c r="W1524">
        <v>70.010000000000005</v>
      </c>
      <c r="X1524">
        <v>85</v>
      </c>
      <c r="Y1524">
        <v>26</v>
      </c>
      <c r="Z1524" t="s">
        <v>7253</v>
      </c>
      <c r="AB1524" t="s">
        <v>17018</v>
      </c>
      <c r="AC1524" t="s">
        <v>10816</v>
      </c>
      <c r="AF1524" t="s">
        <v>2961</v>
      </c>
      <c r="AI1524" t="s">
        <v>10816</v>
      </c>
      <c r="AO1524" t="s">
        <v>17019</v>
      </c>
    </row>
    <row r="1525" spans="1:41" hidden="1" x14ac:dyDescent="0.35">
      <c r="A1525" t="s">
        <v>17020</v>
      </c>
      <c r="B1525" t="s">
        <v>7246</v>
      </c>
      <c r="C1525" t="s">
        <v>5312</v>
      </c>
      <c r="D1525" t="s">
        <v>5312</v>
      </c>
      <c r="E1525" t="s">
        <v>5312</v>
      </c>
      <c r="G1525" s="13" t="s">
        <v>17021</v>
      </c>
      <c r="H1525" t="s">
        <v>17022</v>
      </c>
      <c r="K1525" t="s">
        <v>6543</v>
      </c>
      <c r="L1525" t="s">
        <v>6543</v>
      </c>
      <c r="M1525" t="s">
        <v>7292</v>
      </c>
      <c r="N1525">
        <v>2025</v>
      </c>
      <c r="R1525">
        <v>4</v>
      </c>
      <c r="S1525" t="s">
        <v>8257</v>
      </c>
      <c r="T1525">
        <v>4</v>
      </c>
      <c r="U1525">
        <v>1861.53</v>
      </c>
      <c r="V1525">
        <v>100</v>
      </c>
      <c r="W1525">
        <v>89.72</v>
      </c>
      <c r="X1525">
        <v>100</v>
      </c>
      <c r="Y1525" t="s">
        <v>17023</v>
      </c>
      <c r="Z1525" t="s">
        <v>7253</v>
      </c>
      <c r="AB1525" t="s">
        <v>17018</v>
      </c>
      <c r="AC1525" t="s">
        <v>10816</v>
      </c>
      <c r="AF1525" t="s">
        <v>17024</v>
      </c>
      <c r="AI1525" t="s">
        <v>10816</v>
      </c>
      <c r="AO1525" t="s">
        <v>17025</v>
      </c>
    </row>
    <row r="1526" spans="1:41" hidden="1" x14ac:dyDescent="0.35">
      <c r="A1526" t="s">
        <v>17026</v>
      </c>
      <c r="B1526" t="s">
        <v>7246</v>
      </c>
      <c r="C1526" t="s">
        <v>5312</v>
      </c>
      <c r="D1526" t="s">
        <v>5312</v>
      </c>
      <c r="E1526" t="s">
        <v>5312</v>
      </c>
      <c r="G1526" s="13" t="s">
        <v>17027</v>
      </c>
      <c r="H1526" t="s">
        <v>17028</v>
      </c>
      <c r="K1526" t="s">
        <v>6543</v>
      </c>
      <c r="L1526" t="s">
        <v>6543</v>
      </c>
      <c r="M1526" t="s">
        <v>7292</v>
      </c>
      <c r="N1526">
        <v>2026</v>
      </c>
      <c r="R1526">
        <v>0.5</v>
      </c>
      <c r="S1526" t="s">
        <v>8257</v>
      </c>
      <c r="T1526">
        <v>0.5</v>
      </c>
      <c r="U1526">
        <v>232.69</v>
      </c>
      <c r="V1526">
        <v>50</v>
      </c>
      <c r="W1526" t="s">
        <v>6546</v>
      </c>
      <c r="X1526">
        <v>50</v>
      </c>
      <c r="Y1526" t="s">
        <v>17029</v>
      </c>
      <c r="Z1526" t="s">
        <v>7253</v>
      </c>
      <c r="AB1526" t="s">
        <v>17030</v>
      </c>
      <c r="AC1526" t="s">
        <v>10816</v>
      </c>
      <c r="AF1526" t="s">
        <v>17031</v>
      </c>
      <c r="AI1526" t="s">
        <v>10816</v>
      </c>
      <c r="AO1526" t="s">
        <v>6546</v>
      </c>
    </row>
    <row r="1527" spans="1:41" hidden="1" x14ac:dyDescent="0.35">
      <c r="A1527" t="s">
        <v>17032</v>
      </c>
      <c r="B1527" t="s">
        <v>7246</v>
      </c>
      <c r="C1527" t="s">
        <v>5312</v>
      </c>
      <c r="D1527" t="s">
        <v>5312</v>
      </c>
      <c r="E1527" t="s">
        <v>5312</v>
      </c>
      <c r="G1527" s="13" t="s">
        <v>17033</v>
      </c>
      <c r="H1527" t="s">
        <v>17034</v>
      </c>
      <c r="K1527" t="s">
        <v>6543</v>
      </c>
      <c r="L1527" t="s">
        <v>6543</v>
      </c>
      <c r="M1527" t="s">
        <v>7292</v>
      </c>
      <c r="N1527">
        <v>2026</v>
      </c>
      <c r="R1527">
        <v>5</v>
      </c>
      <c r="S1527" t="s">
        <v>8257</v>
      </c>
      <c r="T1527">
        <v>5</v>
      </c>
      <c r="U1527">
        <v>2326.92</v>
      </c>
      <c r="V1527" t="s">
        <v>6546</v>
      </c>
      <c r="W1527" t="s">
        <v>6546</v>
      </c>
      <c r="X1527" t="s">
        <v>6546</v>
      </c>
      <c r="AC1527" t="s">
        <v>10816</v>
      </c>
      <c r="AI1527" t="s">
        <v>10816</v>
      </c>
      <c r="AO1527" t="s">
        <v>6546</v>
      </c>
    </row>
    <row r="1528" spans="1:41" hidden="1" x14ac:dyDescent="0.35">
      <c r="A1528" t="s">
        <v>17035</v>
      </c>
      <c r="B1528" t="s">
        <v>7246</v>
      </c>
      <c r="C1528" t="s">
        <v>5312</v>
      </c>
      <c r="D1528" t="s">
        <v>5312</v>
      </c>
      <c r="E1528" t="s">
        <v>5312</v>
      </c>
      <c r="G1528" s="13" t="s">
        <v>17036</v>
      </c>
      <c r="H1528" t="s">
        <v>17037</v>
      </c>
      <c r="K1528" t="s">
        <v>6543</v>
      </c>
      <c r="L1528" t="s">
        <v>6543</v>
      </c>
      <c r="M1528" t="s">
        <v>7292</v>
      </c>
      <c r="N1528">
        <v>2026</v>
      </c>
      <c r="R1528">
        <v>10</v>
      </c>
      <c r="S1528" t="s">
        <v>8257</v>
      </c>
      <c r="T1528">
        <v>10</v>
      </c>
      <c r="U1528">
        <v>4653.83</v>
      </c>
      <c r="V1528" t="s">
        <v>6546</v>
      </c>
      <c r="W1528" t="s">
        <v>6546</v>
      </c>
      <c r="X1528" t="s">
        <v>6546</v>
      </c>
      <c r="AC1528" t="s">
        <v>10816</v>
      </c>
      <c r="AI1528" t="s">
        <v>10816</v>
      </c>
      <c r="AO1528" t="s">
        <v>6546</v>
      </c>
    </row>
    <row r="1529" spans="1:41" hidden="1" x14ac:dyDescent="0.35">
      <c r="A1529" t="s">
        <v>17038</v>
      </c>
      <c r="B1529" t="s">
        <v>7246</v>
      </c>
      <c r="C1529" t="s">
        <v>451</v>
      </c>
      <c r="D1529" t="s">
        <v>451</v>
      </c>
      <c r="E1529" t="s">
        <v>451</v>
      </c>
      <c r="G1529" s="13" t="s">
        <v>17039</v>
      </c>
      <c r="H1529" t="s">
        <v>17040</v>
      </c>
      <c r="K1529" t="s">
        <v>17041</v>
      </c>
      <c r="L1529" t="s">
        <v>17041</v>
      </c>
      <c r="M1529" t="s">
        <v>7415</v>
      </c>
      <c r="N1529">
        <v>2022</v>
      </c>
      <c r="T1529" t="s">
        <v>6546</v>
      </c>
      <c r="U1529" t="s">
        <v>6546</v>
      </c>
      <c r="V1529">
        <v>56.33</v>
      </c>
      <c r="W1529">
        <v>35.36</v>
      </c>
      <c r="X1529">
        <v>56.33</v>
      </c>
      <c r="AA1529" t="s">
        <v>17042</v>
      </c>
      <c r="AC1529" t="s">
        <v>7255</v>
      </c>
      <c r="AE1529" t="s">
        <v>759</v>
      </c>
      <c r="AH1529" t="s">
        <v>3899</v>
      </c>
      <c r="AI1529" t="s">
        <v>7255</v>
      </c>
      <c r="AO1529" t="s">
        <v>17043</v>
      </c>
    </row>
    <row r="1530" spans="1:41" hidden="1" x14ac:dyDescent="0.35">
      <c r="A1530" t="s">
        <v>17044</v>
      </c>
      <c r="B1530" t="s">
        <v>7246</v>
      </c>
      <c r="C1530" t="s">
        <v>451</v>
      </c>
      <c r="D1530" t="s">
        <v>406</v>
      </c>
      <c r="E1530" t="s">
        <v>7701</v>
      </c>
      <c r="G1530" s="13" t="s">
        <v>17045</v>
      </c>
      <c r="H1530" t="s">
        <v>17046</v>
      </c>
      <c r="K1530" t="s">
        <v>17047</v>
      </c>
      <c r="L1530" t="s">
        <v>17047</v>
      </c>
      <c r="M1530" t="s">
        <v>7292</v>
      </c>
      <c r="T1530" t="s">
        <v>6546</v>
      </c>
      <c r="U1530" t="s">
        <v>6546</v>
      </c>
      <c r="V1530">
        <v>402</v>
      </c>
      <c r="W1530">
        <v>368.22</v>
      </c>
      <c r="X1530">
        <v>402</v>
      </c>
      <c r="Y1530">
        <v>42</v>
      </c>
      <c r="Z1530" t="s">
        <v>7253</v>
      </c>
      <c r="AB1530" t="s">
        <v>17048</v>
      </c>
      <c r="AC1530" t="s">
        <v>7255</v>
      </c>
      <c r="AE1530" t="s">
        <v>486</v>
      </c>
      <c r="AF1530" t="s">
        <v>13633</v>
      </c>
      <c r="AH1530" t="s">
        <v>4009</v>
      </c>
      <c r="AI1530" t="s">
        <v>7255</v>
      </c>
      <c r="AL1530" t="s">
        <v>17049</v>
      </c>
      <c r="AN1530" s="13" t="s">
        <v>17050</v>
      </c>
      <c r="AO1530" t="s">
        <v>17051</v>
      </c>
    </row>
    <row r="1531" spans="1:41" hidden="1" x14ac:dyDescent="0.35">
      <c r="A1531" t="s">
        <v>17052</v>
      </c>
      <c r="B1531" t="s">
        <v>7246</v>
      </c>
      <c r="C1531" t="s">
        <v>364</v>
      </c>
      <c r="D1531" t="s">
        <v>364</v>
      </c>
      <c r="E1531" t="s">
        <v>364</v>
      </c>
      <c r="G1531" s="13" t="s">
        <v>17053</v>
      </c>
      <c r="H1531" t="s">
        <v>17054</v>
      </c>
      <c r="K1531" t="s">
        <v>17055</v>
      </c>
      <c r="L1531" t="s">
        <v>17056</v>
      </c>
      <c r="M1531" t="s">
        <v>7250</v>
      </c>
      <c r="R1531">
        <v>57.74</v>
      </c>
      <c r="S1531" t="s">
        <v>8257</v>
      </c>
      <c r="T1531">
        <v>57.74</v>
      </c>
      <c r="U1531">
        <v>26871.24</v>
      </c>
      <c r="V1531">
        <v>2000</v>
      </c>
      <c r="W1531">
        <v>1283.43</v>
      </c>
      <c r="X1531">
        <v>2000</v>
      </c>
      <c r="AB1531" t="s">
        <v>17057</v>
      </c>
      <c r="AC1531" t="s">
        <v>8523</v>
      </c>
      <c r="AE1531" t="s">
        <v>5400</v>
      </c>
      <c r="AF1531" t="s">
        <v>17058</v>
      </c>
      <c r="AH1531" t="s">
        <v>3197</v>
      </c>
      <c r="AI1531" t="s">
        <v>8523</v>
      </c>
      <c r="AL1531" t="s">
        <v>17059</v>
      </c>
      <c r="AN1531" s="13" t="s">
        <v>17060</v>
      </c>
      <c r="AO1531" t="s">
        <v>17061</v>
      </c>
    </row>
    <row r="1532" spans="1:41" hidden="1" x14ac:dyDescent="0.35">
      <c r="A1532" t="s">
        <v>17062</v>
      </c>
      <c r="B1532" t="s">
        <v>7246</v>
      </c>
      <c r="C1532" t="s">
        <v>451</v>
      </c>
      <c r="D1532" t="s">
        <v>451</v>
      </c>
      <c r="E1532" t="s">
        <v>451</v>
      </c>
      <c r="G1532" s="13" t="s">
        <v>17063</v>
      </c>
      <c r="H1532" t="s">
        <v>17064</v>
      </c>
      <c r="I1532" t="s">
        <v>17065</v>
      </c>
      <c r="J1532" t="s">
        <v>17066</v>
      </c>
      <c r="K1532" t="s">
        <v>17067</v>
      </c>
      <c r="L1532" t="s">
        <v>17068</v>
      </c>
      <c r="M1532" t="s">
        <v>7269</v>
      </c>
      <c r="N1532">
        <v>2022</v>
      </c>
      <c r="R1532">
        <v>25</v>
      </c>
      <c r="S1532" t="s">
        <v>7251</v>
      </c>
      <c r="T1532">
        <v>0.26</v>
      </c>
      <c r="U1532">
        <v>120.33</v>
      </c>
      <c r="V1532">
        <v>0</v>
      </c>
      <c r="W1532" t="s">
        <v>6546</v>
      </c>
      <c r="X1532">
        <v>0</v>
      </c>
      <c r="AB1532" t="s">
        <v>17069</v>
      </c>
      <c r="AC1532" t="s">
        <v>7255</v>
      </c>
      <c r="AE1532" t="s">
        <v>513</v>
      </c>
      <c r="AF1532" t="s">
        <v>6273</v>
      </c>
      <c r="AH1532" t="s">
        <v>6373</v>
      </c>
      <c r="AI1532" t="s">
        <v>7255</v>
      </c>
      <c r="AO1532" t="s">
        <v>6546</v>
      </c>
    </row>
    <row r="1533" spans="1:41" hidden="1" x14ac:dyDescent="0.35">
      <c r="A1533" t="s">
        <v>17070</v>
      </c>
      <c r="B1533" t="s">
        <v>7246</v>
      </c>
      <c r="C1533" t="s">
        <v>451</v>
      </c>
      <c r="D1533" t="s">
        <v>451</v>
      </c>
      <c r="E1533" t="s">
        <v>451</v>
      </c>
      <c r="G1533" s="13" t="s">
        <v>17071</v>
      </c>
      <c r="H1533" t="s">
        <v>17072</v>
      </c>
      <c r="K1533" t="s">
        <v>17073</v>
      </c>
      <c r="L1533" t="s">
        <v>17073</v>
      </c>
      <c r="M1533" t="s">
        <v>7250</v>
      </c>
      <c r="N1533">
        <v>2021</v>
      </c>
      <c r="T1533" t="s">
        <v>6546</v>
      </c>
      <c r="U1533" t="s">
        <v>6546</v>
      </c>
      <c r="V1533">
        <v>56.33</v>
      </c>
      <c r="W1533">
        <v>72.83</v>
      </c>
      <c r="X1533">
        <v>56.33</v>
      </c>
      <c r="Y1533">
        <v>20</v>
      </c>
      <c r="Z1533" t="s">
        <v>7253</v>
      </c>
      <c r="AC1533" t="s">
        <v>7255</v>
      </c>
      <c r="AE1533" t="s">
        <v>837</v>
      </c>
      <c r="AH1533" t="s">
        <v>837</v>
      </c>
      <c r="AI1533" t="s">
        <v>7255</v>
      </c>
      <c r="AO1533" t="s">
        <v>17074</v>
      </c>
    </row>
    <row r="1534" spans="1:41" hidden="1" x14ac:dyDescent="0.35">
      <c r="A1534" t="s">
        <v>17075</v>
      </c>
      <c r="B1534" t="s">
        <v>7246</v>
      </c>
      <c r="C1534" t="s">
        <v>368</v>
      </c>
      <c r="D1534" t="s">
        <v>451</v>
      </c>
      <c r="E1534" t="s">
        <v>7309</v>
      </c>
      <c r="G1534" s="13" t="s">
        <v>7782</v>
      </c>
      <c r="H1534" t="s">
        <v>7783</v>
      </c>
      <c r="I1534" t="s">
        <v>17076</v>
      </c>
      <c r="J1534" t="s">
        <v>17077</v>
      </c>
      <c r="K1534" t="s">
        <v>6543</v>
      </c>
      <c r="L1534" t="s">
        <v>6543</v>
      </c>
      <c r="M1534" t="s">
        <v>7292</v>
      </c>
      <c r="N1534">
        <v>2023</v>
      </c>
      <c r="R1534">
        <v>250</v>
      </c>
      <c r="S1534" t="s">
        <v>7251</v>
      </c>
      <c r="T1534">
        <v>2.59</v>
      </c>
      <c r="U1534">
        <v>1203.33</v>
      </c>
      <c r="V1534">
        <v>0</v>
      </c>
      <c r="W1534" t="s">
        <v>6546</v>
      </c>
      <c r="X1534">
        <v>0</v>
      </c>
      <c r="AC1534" t="s">
        <v>7255</v>
      </c>
      <c r="AE1534" t="s">
        <v>1020</v>
      </c>
      <c r="AH1534" t="s">
        <v>6337</v>
      </c>
      <c r="AI1534" t="s">
        <v>7255</v>
      </c>
      <c r="AO1534" t="s">
        <v>6546</v>
      </c>
    </row>
    <row r="1535" spans="1:41" hidden="1" x14ac:dyDescent="0.35">
      <c r="A1535" t="s">
        <v>17078</v>
      </c>
      <c r="B1535" t="s">
        <v>7246</v>
      </c>
      <c r="C1535" t="s">
        <v>5205</v>
      </c>
      <c r="D1535" t="s">
        <v>5205</v>
      </c>
      <c r="E1535" t="s">
        <v>5205</v>
      </c>
      <c r="G1535" s="13" t="s">
        <v>17079</v>
      </c>
      <c r="H1535" t="s">
        <v>17080</v>
      </c>
      <c r="K1535" t="s">
        <v>17081</v>
      </c>
      <c r="L1535" t="s">
        <v>17081</v>
      </c>
      <c r="M1535" t="s">
        <v>7731</v>
      </c>
      <c r="R1535">
        <v>1200</v>
      </c>
      <c r="S1535" t="s">
        <v>7251</v>
      </c>
      <c r="T1535">
        <v>12.41</v>
      </c>
      <c r="U1535">
        <v>5776</v>
      </c>
      <c r="V1535">
        <v>310</v>
      </c>
      <c r="W1535">
        <v>247.46</v>
      </c>
      <c r="X1535">
        <v>310</v>
      </c>
      <c r="AB1535" t="s">
        <v>17082</v>
      </c>
      <c r="AC1535" t="s">
        <v>8859</v>
      </c>
      <c r="AE1535" t="s">
        <v>17083</v>
      </c>
      <c r="AF1535" t="s">
        <v>8866</v>
      </c>
      <c r="AH1535" t="s">
        <v>3542</v>
      </c>
      <c r="AI1535" t="s">
        <v>8859</v>
      </c>
      <c r="AO1535" t="s">
        <v>17084</v>
      </c>
    </row>
    <row r="1536" spans="1:41" hidden="1" x14ac:dyDescent="0.35">
      <c r="A1536" t="s">
        <v>17085</v>
      </c>
      <c r="B1536" t="s">
        <v>7246</v>
      </c>
      <c r="C1536" t="s">
        <v>5205</v>
      </c>
      <c r="D1536" t="s">
        <v>387</v>
      </c>
      <c r="E1536" t="s">
        <v>17086</v>
      </c>
      <c r="G1536" s="13" t="s">
        <v>17087</v>
      </c>
      <c r="H1536" t="s">
        <v>17088</v>
      </c>
      <c r="K1536" t="s">
        <v>9976</v>
      </c>
      <c r="L1536" t="s">
        <v>9976</v>
      </c>
      <c r="M1536" t="s">
        <v>7292</v>
      </c>
      <c r="R1536">
        <v>1000</v>
      </c>
      <c r="S1536" t="s">
        <v>7251</v>
      </c>
      <c r="T1536">
        <v>10.34</v>
      </c>
      <c r="U1536">
        <v>4813.33</v>
      </c>
      <c r="V1536">
        <v>1500</v>
      </c>
      <c r="W1536">
        <v>1191.4000000000001</v>
      </c>
      <c r="X1536">
        <v>1500</v>
      </c>
      <c r="AC1536" t="s">
        <v>8859</v>
      </c>
      <c r="AI1536" t="s">
        <v>8747</v>
      </c>
      <c r="AO1536" t="s">
        <v>17089</v>
      </c>
    </row>
    <row r="1537" spans="1:41" hidden="1" x14ac:dyDescent="0.35">
      <c r="A1537" t="s">
        <v>17090</v>
      </c>
      <c r="B1537" t="s">
        <v>7246</v>
      </c>
      <c r="C1537" t="s">
        <v>423</v>
      </c>
      <c r="D1537" t="s">
        <v>423</v>
      </c>
      <c r="E1537" t="s">
        <v>423</v>
      </c>
      <c r="G1537" s="13" t="s">
        <v>14296</v>
      </c>
      <c r="H1537" t="s">
        <v>14297</v>
      </c>
      <c r="I1537" t="s">
        <v>8683</v>
      </c>
      <c r="J1537" t="s">
        <v>17091</v>
      </c>
      <c r="K1537" t="s">
        <v>14299</v>
      </c>
      <c r="L1537" t="s">
        <v>14299</v>
      </c>
      <c r="M1537" t="s">
        <v>7292</v>
      </c>
      <c r="N1537">
        <v>2023</v>
      </c>
      <c r="R1537">
        <v>1</v>
      </c>
      <c r="S1537" t="s">
        <v>8257</v>
      </c>
      <c r="T1537">
        <v>1</v>
      </c>
      <c r="U1537">
        <v>465.38</v>
      </c>
      <c r="V1537">
        <v>57</v>
      </c>
      <c r="W1537">
        <v>59.55</v>
      </c>
      <c r="X1537">
        <v>57</v>
      </c>
      <c r="AA1537" t="s">
        <v>14300</v>
      </c>
      <c r="AB1537" t="s">
        <v>14303</v>
      </c>
      <c r="AC1537" t="s">
        <v>8844</v>
      </c>
      <c r="AE1537" t="s">
        <v>14302</v>
      </c>
      <c r="AF1537" t="s">
        <v>17092</v>
      </c>
      <c r="AH1537" t="s">
        <v>14302</v>
      </c>
      <c r="AI1537" t="s">
        <v>8844</v>
      </c>
      <c r="AL1537" t="s">
        <v>17093</v>
      </c>
      <c r="AO1537" t="s">
        <v>17094</v>
      </c>
    </row>
    <row r="1538" spans="1:41" hidden="1" x14ac:dyDescent="0.35">
      <c r="A1538" t="s">
        <v>17095</v>
      </c>
      <c r="B1538" t="s">
        <v>7246</v>
      </c>
      <c r="C1538" t="s">
        <v>423</v>
      </c>
      <c r="D1538" t="s">
        <v>423</v>
      </c>
      <c r="E1538" t="s">
        <v>423</v>
      </c>
      <c r="G1538" s="13" t="s">
        <v>17096</v>
      </c>
      <c r="H1538" t="s">
        <v>17097</v>
      </c>
      <c r="J1538" t="s">
        <v>17098</v>
      </c>
      <c r="K1538" t="s">
        <v>9848</v>
      </c>
      <c r="L1538" t="s">
        <v>9848</v>
      </c>
      <c r="M1538" t="s">
        <v>7415</v>
      </c>
      <c r="R1538">
        <v>84.2</v>
      </c>
      <c r="S1538" t="s">
        <v>8257</v>
      </c>
      <c r="T1538">
        <v>84.2</v>
      </c>
      <c r="U1538">
        <v>39185.29</v>
      </c>
      <c r="V1538">
        <v>880</v>
      </c>
      <c r="W1538">
        <v>857.06</v>
      </c>
      <c r="X1538">
        <v>880</v>
      </c>
      <c r="Y1538">
        <v>55.91</v>
      </c>
      <c r="Z1538" t="s">
        <v>7253</v>
      </c>
      <c r="AB1538" t="s">
        <v>9934</v>
      </c>
      <c r="AC1538" t="s">
        <v>8844</v>
      </c>
      <c r="AD1538" t="s">
        <v>17099</v>
      </c>
      <c r="AE1538" t="s">
        <v>9935</v>
      </c>
      <c r="AF1538" t="s">
        <v>17100</v>
      </c>
      <c r="AH1538" t="s">
        <v>9996</v>
      </c>
      <c r="AI1538" t="s">
        <v>8844</v>
      </c>
      <c r="AL1538" t="s">
        <v>17101</v>
      </c>
      <c r="AO1538" t="s">
        <v>17102</v>
      </c>
    </row>
    <row r="1539" spans="1:41" hidden="1" x14ac:dyDescent="0.35">
      <c r="A1539" t="s">
        <v>17103</v>
      </c>
      <c r="B1539" t="s">
        <v>7246</v>
      </c>
      <c r="C1539" t="s">
        <v>5205</v>
      </c>
      <c r="D1539" t="s">
        <v>5205</v>
      </c>
      <c r="E1539" t="s">
        <v>5205</v>
      </c>
      <c r="G1539" s="13" t="s">
        <v>17104</v>
      </c>
      <c r="H1539" t="s">
        <v>17105</v>
      </c>
      <c r="K1539" t="s">
        <v>17106</v>
      </c>
      <c r="L1539" t="s">
        <v>17107</v>
      </c>
      <c r="M1539" t="s">
        <v>7250</v>
      </c>
      <c r="N1539">
        <v>2018</v>
      </c>
      <c r="R1539">
        <v>1200</v>
      </c>
      <c r="S1539" t="s">
        <v>7251</v>
      </c>
      <c r="T1539">
        <v>12.41</v>
      </c>
      <c r="U1539">
        <v>5776</v>
      </c>
      <c r="V1539">
        <v>371</v>
      </c>
      <c r="W1539">
        <v>289.61</v>
      </c>
      <c r="X1539">
        <v>371</v>
      </c>
      <c r="Y1539">
        <v>42</v>
      </c>
      <c r="Z1539" t="s">
        <v>7253</v>
      </c>
      <c r="AB1539" t="s">
        <v>3543</v>
      </c>
      <c r="AC1539" t="s">
        <v>8859</v>
      </c>
      <c r="AE1539" t="s">
        <v>3542</v>
      </c>
      <c r="AF1539" t="s">
        <v>17108</v>
      </c>
      <c r="AH1539" t="s">
        <v>3542</v>
      </c>
      <c r="AI1539" t="s">
        <v>8859</v>
      </c>
      <c r="AO1539" t="s">
        <v>17109</v>
      </c>
    </row>
    <row r="1540" spans="1:41" hidden="1" x14ac:dyDescent="0.35">
      <c r="A1540" t="s">
        <v>17110</v>
      </c>
      <c r="B1540" t="s">
        <v>7246</v>
      </c>
      <c r="C1540" t="s">
        <v>5205</v>
      </c>
      <c r="D1540" t="s">
        <v>5205</v>
      </c>
      <c r="E1540" t="s">
        <v>5205</v>
      </c>
      <c r="G1540" s="13" t="s">
        <v>17111</v>
      </c>
      <c r="H1540" t="s">
        <v>17112</v>
      </c>
      <c r="K1540" t="s">
        <v>17113</v>
      </c>
      <c r="L1540" t="s">
        <v>17107</v>
      </c>
      <c r="M1540" t="s">
        <v>7415</v>
      </c>
      <c r="N1540">
        <v>2018</v>
      </c>
      <c r="R1540">
        <v>1200</v>
      </c>
      <c r="S1540" t="s">
        <v>7251</v>
      </c>
      <c r="T1540">
        <v>12.41</v>
      </c>
      <c r="U1540">
        <v>5776</v>
      </c>
      <c r="V1540">
        <v>873</v>
      </c>
      <c r="W1540">
        <v>760.52</v>
      </c>
      <c r="X1540">
        <v>873</v>
      </c>
      <c r="AB1540" t="s">
        <v>17108</v>
      </c>
      <c r="AC1540" t="s">
        <v>8859</v>
      </c>
      <c r="AE1540" t="s">
        <v>3542</v>
      </c>
      <c r="AF1540" t="s">
        <v>16807</v>
      </c>
      <c r="AH1540" t="s">
        <v>3539</v>
      </c>
      <c r="AI1540" t="s">
        <v>8859</v>
      </c>
      <c r="AO1540" t="s">
        <v>17114</v>
      </c>
    </row>
    <row r="1541" spans="1:41" hidden="1" x14ac:dyDescent="0.35">
      <c r="A1541" t="s">
        <v>17115</v>
      </c>
      <c r="B1541" t="s">
        <v>7246</v>
      </c>
      <c r="C1541" t="s">
        <v>368</v>
      </c>
      <c r="D1541" t="s">
        <v>451</v>
      </c>
      <c r="E1541" t="s">
        <v>7309</v>
      </c>
      <c r="G1541" s="13" t="s">
        <v>7310</v>
      </c>
      <c r="H1541" t="s">
        <v>7311</v>
      </c>
      <c r="I1541" t="s">
        <v>16461</v>
      </c>
      <c r="K1541" t="s">
        <v>17116</v>
      </c>
      <c r="L1541" t="s">
        <v>17117</v>
      </c>
      <c r="M1541" t="s">
        <v>7292</v>
      </c>
      <c r="N1541">
        <v>2021</v>
      </c>
      <c r="R1541">
        <v>400</v>
      </c>
      <c r="S1541" t="s">
        <v>7251</v>
      </c>
      <c r="T1541">
        <v>4.1399999999999997</v>
      </c>
      <c r="U1541">
        <v>1925.33</v>
      </c>
      <c r="V1541">
        <v>0</v>
      </c>
      <c r="W1541" t="s">
        <v>6546</v>
      </c>
      <c r="X1541">
        <v>0</v>
      </c>
      <c r="AA1541" t="s">
        <v>7314</v>
      </c>
      <c r="AC1541" t="s">
        <v>7255</v>
      </c>
      <c r="AE1541" t="s">
        <v>475</v>
      </c>
      <c r="AF1541" t="s">
        <v>6273</v>
      </c>
      <c r="AH1541" t="s">
        <v>475</v>
      </c>
      <c r="AI1541" t="s">
        <v>7255</v>
      </c>
      <c r="AO1541" t="s">
        <v>6546</v>
      </c>
    </row>
    <row r="1542" spans="1:41" hidden="1" x14ac:dyDescent="0.35">
      <c r="A1542" t="s">
        <v>17118</v>
      </c>
      <c r="B1542" t="s">
        <v>7246</v>
      </c>
      <c r="C1542" t="s">
        <v>368</v>
      </c>
      <c r="D1542" t="s">
        <v>451</v>
      </c>
      <c r="E1542" t="s">
        <v>7309</v>
      </c>
      <c r="G1542" s="13" t="s">
        <v>7310</v>
      </c>
      <c r="H1542" t="s">
        <v>7311</v>
      </c>
      <c r="I1542" t="s">
        <v>17119</v>
      </c>
      <c r="K1542" t="s">
        <v>17116</v>
      </c>
      <c r="L1542" t="s">
        <v>17117</v>
      </c>
      <c r="M1542" t="s">
        <v>7292</v>
      </c>
      <c r="N1542">
        <v>2022</v>
      </c>
      <c r="R1542">
        <v>210</v>
      </c>
      <c r="S1542" t="s">
        <v>7251</v>
      </c>
      <c r="T1542">
        <v>2.17</v>
      </c>
      <c r="U1542">
        <v>1010.8</v>
      </c>
      <c r="V1542">
        <v>4.83</v>
      </c>
      <c r="W1542" t="s">
        <v>6546</v>
      </c>
      <c r="X1542">
        <v>4.83</v>
      </c>
      <c r="AA1542" t="s">
        <v>7314</v>
      </c>
      <c r="AC1542" t="s">
        <v>7255</v>
      </c>
      <c r="AE1542" t="s">
        <v>475</v>
      </c>
      <c r="AF1542" t="s">
        <v>6273</v>
      </c>
      <c r="AH1542" t="s">
        <v>475</v>
      </c>
      <c r="AI1542" t="s">
        <v>7255</v>
      </c>
      <c r="AO1542" t="s">
        <v>6546</v>
      </c>
    </row>
    <row r="1543" spans="1:41" hidden="1" x14ac:dyDescent="0.35">
      <c r="A1543" t="s">
        <v>17120</v>
      </c>
      <c r="B1543" t="s">
        <v>7246</v>
      </c>
      <c r="C1543" t="s">
        <v>451</v>
      </c>
      <c r="D1543" t="s">
        <v>451</v>
      </c>
      <c r="E1543" t="s">
        <v>451</v>
      </c>
      <c r="G1543" s="13" t="s">
        <v>7317</v>
      </c>
      <c r="H1543" t="s">
        <v>7318</v>
      </c>
      <c r="I1543" t="s">
        <v>17121</v>
      </c>
      <c r="K1543" t="s">
        <v>7319</v>
      </c>
      <c r="L1543" t="s">
        <v>7320</v>
      </c>
      <c r="M1543" t="s">
        <v>7415</v>
      </c>
      <c r="N1543">
        <v>2022</v>
      </c>
      <c r="R1543">
        <v>420</v>
      </c>
      <c r="S1543" t="s">
        <v>7251</v>
      </c>
      <c r="T1543">
        <v>4.34</v>
      </c>
      <c r="U1543">
        <v>2021.6</v>
      </c>
      <c r="V1543">
        <v>0</v>
      </c>
      <c r="W1543" t="s">
        <v>6546</v>
      </c>
      <c r="X1543">
        <v>0</v>
      </c>
      <c r="AC1543" t="s">
        <v>7255</v>
      </c>
      <c r="AE1543" t="s">
        <v>497</v>
      </c>
      <c r="AH1543" t="s">
        <v>497</v>
      </c>
      <c r="AI1543" t="s">
        <v>7255</v>
      </c>
      <c r="AO1543" t="s">
        <v>6546</v>
      </c>
    </row>
    <row r="1544" spans="1:41" hidden="1" x14ac:dyDescent="0.35">
      <c r="A1544" t="s">
        <v>17122</v>
      </c>
      <c r="B1544" t="s">
        <v>7246</v>
      </c>
      <c r="C1544" t="s">
        <v>451</v>
      </c>
      <c r="D1544" t="s">
        <v>451</v>
      </c>
      <c r="E1544" t="s">
        <v>451</v>
      </c>
      <c r="G1544" s="13" t="s">
        <v>7317</v>
      </c>
      <c r="H1544" t="s">
        <v>7318</v>
      </c>
      <c r="I1544" t="s">
        <v>17123</v>
      </c>
      <c r="K1544" t="s">
        <v>7319</v>
      </c>
      <c r="L1544" t="s">
        <v>7320</v>
      </c>
      <c r="M1544" t="s">
        <v>7292</v>
      </c>
      <c r="N1544">
        <v>2022</v>
      </c>
      <c r="R1544">
        <v>72</v>
      </c>
      <c r="S1544" t="s">
        <v>7251</v>
      </c>
      <c r="T1544">
        <v>0.74</v>
      </c>
      <c r="U1544">
        <v>346.56</v>
      </c>
      <c r="V1544">
        <v>0</v>
      </c>
      <c r="W1544" t="s">
        <v>6546</v>
      </c>
      <c r="X1544">
        <v>0</v>
      </c>
      <c r="AC1544" t="s">
        <v>7255</v>
      </c>
      <c r="AE1544" t="s">
        <v>475</v>
      </c>
      <c r="AH1544" t="s">
        <v>931</v>
      </c>
      <c r="AI1544" t="s">
        <v>7255</v>
      </c>
      <c r="AO1544" t="s">
        <v>6546</v>
      </c>
    </row>
    <row r="1545" spans="1:41" hidden="1" x14ac:dyDescent="0.35">
      <c r="A1545" t="s">
        <v>17124</v>
      </c>
      <c r="B1545" t="s">
        <v>7246</v>
      </c>
      <c r="C1545" t="s">
        <v>451</v>
      </c>
      <c r="D1545" t="s">
        <v>451</v>
      </c>
      <c r="E1545" t="s">
        <v>451</v>
      </c>
      <c r="G1545" s="13" t="s">
        <v>7426</v>
      </c>
      <c r="H1545" t="s">
        <v>7427</v>
      </c>
      <c r="I1545" t="s">
        <v>17125</v>
      </c>
      <c r="K1545" t="s">
        <v>7429</v>
      </c>
      <c r="L1545" t="s">
        <v>7320</v>
      </c>
      <c r="M1545" t="s">
        <v>7292</v>
      </c>
      <c r="N1545">
        <v>2023</v>
      </c>
      <c r="R1545">
        <v>183</v>
      </c>
      <c r="S1545" t="s">
        <v>7251</v>
      </c>
      <c r="T1545">
        <v>1.89</v>
      </c>
      <c r="U1545">
        <v>880.84</v>
      </c>
      <c r="V1545">
        <v>12.87</v>
      </c>
      <c r="W1545" t="s">
        <v>6546</v>
      </c>
      <c r="X1545">
        <v>12.87</v>
      </c>
      <c r="Y1545">
        <v>30</v>
      </c>
      <c r="Z1545" t="s">
        <v>7253</v>
      </c>
      <c r="AC1545" t="s">
        <v>7255</v>
      </c>
      <c r="AE1545" t="s">
        <v>497</v>
      </c>
      <c r="AH1545" t="s">
        <v>497</v>
      </c>
      <c r="AI1545" t="s">
        <v>7255</v>
      </c>
      <c r="AO1545" t="s">
        <v>6546</v>
      </c>
    </row>
    <row r="1546" spans="1:41" hidden="1" x14ac:dyDescent="0.35">
      <c r="A1546" t="s">
        <v>17126</v>
      </c>
      <c r="B1546" t="s">
        <v>7246</v>
      </c>
      <c r="C1546" t="s">
        <v>451</v>
      </c>
      <c r="D1546" t="s">
        <v>451</v>
      </c>
      <c r="E1546" t="s">
        <v>451</v>
      </c>
      <c r="G1546" s="13" t="s">
        <v>7426</v>
      </c>
      <c r="H1546" t="s">
        <v>7427</v>
      </c>
      <c r="I1546" t="s">
        <v>17127</v>
      </c>
      <c r="K1546" t="s">
        <v>7429</v>
      </c>
      <c r="L1546" t="s">
        <v>7320</v>
      </c>
      <c r="M1546" t="s">
        <v>7292</v>
      </c>
      <c r="N1546">
        <v>2023</v>
      </c>
      <c r="T1546" t="s">
        <v>6546</v>
      </c>
      <c r="U1546" t="s">
        <v>6546</v>
      </c>
      <c r="V1546">
        <v>3.51</v>
      </c>
      <c r="W1546" t="s">
        <v>6546</v>
      </c>
      <c r="X1546">
        <v>3.51</v>
      </c>
      <c r="Y1546">
        <v>12</v>
      </c>
      <c r="Z1546" t="s">
        <v>7253</v>
      </c>
      <c r="AB1546" t="s">
        <v>1842</v>
      </c>
      <c r="AC1546" t="s">
        <v>7255</v>
      </c>
      <c r="AE1546" t="s">
        <v>533</v>
      </c>
      <c r="AF1546" t="s">
        <v>17128</v>
      </c>
      <c r="AH1546" t="s">
        <v>533</v>
      </c>
      <c r="AI1546" t="s">
        <v>7255</v>
      </c>
      <c r="AO1546" t="s">
        <v>6546</v>
      </c>
    </row>
    <row r="1547" spans="1:41" hidden="1" x14ac:dyDescent="0.35">
      <c r="A1547" t="s">
        <v>17129</v>
      </c>
      <c r="B1547" t="s">
        <v>7246</v>
      </c>
      <c r="C1547" t="s">
        <v>451</v>
      </c>
      <c r="D1547" t="s">
        <v>451</v>
      </c>
      <c r="E1547" t="s">
        <v>451</v>
      </c>
      <c r="G1547" s="13" t="s">
        <v>7513</v>
      </c>
      <c r="H1547" t="s">
        <v>7514</v>
      </c>
      <c r="I1547" t="s">
        <v>17130</v>
      </c>
      <c r="K1547" t="s">
        <v>7422</v>
      </c>
      <c r="L1547" t="s">
        <v>7422</v>
      </c>
      <c r="M1547" t="s">
        <v>7250</v>
      </c>
      <c r="N1547">
        <v>2021</v>
      </c>
      <c r="T1547" t="s">
        <v>6546</v>
      </c>
      <c r="U1547" t="s">
        <v>6546</v>
      </c>
      <c r="V1547">
        <v>27.52</v>
      </c>
      <c r="W1547" t="s">
        <v>6546</v>
      </c>
      <c r="X1547">
        <v>27.52</v>
      </c>
      <c r="Y1547">
        <v>16</v>
      </c>
      <c r="Z1547" t="s">
        <v>7253</v>
      </c>
      <c r="AB1547" t="s">
        <v>14575</v>
      </c>
      <c r="AC1547" t="s">
        <v>7255</v>
      </c>
      <c r="AE1547" t="s">
        <v>837</v>
      </c>
      <c r="AF1547" t="s">
        <v>17131</v>
      </c>
      <c r="AH1547" t="s">
        <v>837</v>
      </c>
      <c r="AI1547" t="s">
        <v>7255</v>
      </c>
      <c r="AO1547" t="s">
        <v>6546</v>
      </c>
    </row>
    <row r="1548" spans="1:41" hidden="1" x14ac:dyDescent="0.35">
      <c r="A1548" t="s">
        <v>17132</v>
      </c>
      <c r="B1548" t="s">
        <v>7246</v>
      </c>
      <c r="C1548" t="s">
        <v>451</v>
      </c>
      <c r="D1548" t="s">
        <v>451</v>
      </c>
      <c r="E1548" t="s">
        <v>451</v>
      </c>
      <c r="G1548" s="13" t="s">
        <v>7550</v>
      </c>
      <c r="H1548" t="s">
        <v>7551</v>
      </c>
      <c r="I1548" t="s">
        <v>17133</v>
      </c>
      <c r="K1548" t="s">
        <v>7552</v>
      </c>
      <c r="L1548" t="s">
        <v>7553</v>
      </c>
      <c r="M1548" t="s">
        <v>7269</v>
      </c>
      <c r="N1548">
        <v>2023</v>
      </c>
      <c r="R1548">
        <v>29</v>
      </c>
      <c r="S1548" t="s">
        <v>7251</v>
      </c>
      <c r="T1548">
        <v>0.3</v>
      </c>
      <c r="U1548">
        <v>139.59</v>
      </c>
      <c r="V1548">
        <v>5.0999999999999996</v>
      </c>
      <c r="W1548" t="s">
        <v>6546</v>
      </c>
      <c r="X1548">
        <v>5.0999999999999996</v>
      </c>
      <c r="Y1548">
        <v>36</v>
      </c>
      <c r="Z1548" t="s">
        <v>7253</v>
      </c>
      <c r="AC1548" t="s">
        <v>7255</v>
      </c>
      <c r="AE1548" t="s">
        <v>764</v>
      </c>
      <c r="AH1548" t="s">
        <v>764</v>
      </c>
      <c r="AI1548" t="s">
        <v>7255</v>
      </c>
      <c r="AO1548" t="s">
        <v>6546</v>
      </c>
    </row>
    <row r="1549" spans="1:41" hidden="1" x14ac:dyDescent="0.35">
      <c r="A1549" t="s">
        <v>17134</v>
      </c>
      <c r="B1549" t="s">
        <v>7246</v>
      </c>
      <c r="C1549" t="s">
        <v>451</v>
      </c>
      <c r="D1549" t="s">
        <v>451</v>
      </c>
      <c r="E1549" t="s">
        <v>451</v>
      </c>
      <c r="G1549" s="13" t="s">
        <v>7569</v>
      </c>
      <c r="H1549" t="s">
        <v>7570</v>
      </c>
      <c r="I1549" t="s">
        <v>12786</v>
      </c>
      <c r="K1549" t="s">
        <v>7571</v>
      </c>
      <c r="L1549" t="s">
        <v>7571</v>
      </c>
      <c r="M1549" t="s">
        <v>7292</v>
      </c>
      <c r="N1549">
        <v>2023</v>
      </c>
      <c r="R1549">
        <v>1970</v>
      </c>
      <c r="S1549" t="s">
        <v>7251</v>
      </c>
      <c r="T1549">
        <v>20.38</v>
      </c>
      <c r="U1549">
        <v>9482.27</v>
      </c>
      <c r="V1549">
        <v>19.309999999999999</v>
      </c>
      <c r="W1549">
        <v>40.65</v>
      </c>
      <c r="X1549">
        <v>19.309999999999999</v>
      </c>
      <c r="Y1549">
        <v>42</v>
      </c>
      <c r="Z1549" t="s">
        <v>7253</v>
      </c>
      <c r="AA1549" t="s">
        <v>7572</v>
      </c>
      <c r="AC1549" t="s">
        <v>7255</v>
      </c>
      <c r="AF1549" t="s">
        <v>7573</v>
      </c>
      <c r="AH1549" t="s">
        <v>497</v>
      </c>
      <c r="AI1549" t="s">
        <v>7255</v>
      </c>
      <c r="AO1549" t="s">
        <v>7574</v>
      </c>
    </row>
    <row r="1550" spans="1:41" hidden="1" x14ac:dyDescent="0.35">
      <c r="A1550" t="s">
        <v>17135</v>
      </c>
      <c r="B1550" t="s">
        <v>7246</v>
      </c>
      <c r="C1550" t="s">
        <v>451</v>
      </c>
      <c r="D1550" t="s">
        <v>451</v>
      </c>
      <c r="E1550" t="s">
        <v>451</v>
      </c>
      <c r="G1550" s="13" t="s">
        <v>7595</v>
      </c>
      <c r="H1550" t="s">
        <v>7596</v>
      </c>
      <c r="I1550" t="s">
        <v>17136</v>
      </c>
      <c r="K1550" t="s">
        <v>7590</v>
      </c>
      <c r="L1550" t="s">
        <v>7590</v>
      </c>
      <c r="M1550" t="s">
        <v>7415</v>
      </c>
      <c r="N1550">
        <v>2022</v>
      </c>
      <c r="R1550">
        <v>200</v>
      </c>
      <c r="S1550" t="s">
        <v>7251</v>
      </c>
      <c r="T1550">
        <v>2.0699999999999998</v>
      </c>
      <c r="U1550">
        <v>962.67</v>
      </c>
      <c r="V1550">
        <v>5.5</v>
      </c>
      <c r="W1550" t="s">
        <v>6546</v>
      </c>
      <c r="X1550">
        <v>5.5</v>
      </c>
      <c r="Y1550">
        <v>20</v>
      </c>
      <c r="Z1550" t="s">
        <v>7253</v>
      </c>
      <c r="AC1550" t="s">
        <v>7255</v>
      </c>
      <c r="AE1550" t="s">
        <v>799</v>
      </c>
      <c r="AH1550" t="s">
        <v>799</v>
      </c>
      <c r="AI1550" t="s">
        <v>7255</v>
      </c>
      <c r="AO1550" t="s">
        <v>6546</v>
      </c>
    </row>
    <row r="1551" spans="1:41" hidden="1" x14ac:dyDescent="0.35">
      <c r="A1551" t="s">
        <v>17137</v>
      </c>
      <c r="B1551" t="s">
        <v>7246</v>
      </c>
      <c r="C1551" t="s">
        <v>368</v>
      </c>
      <c r="D1551" t="s">
        <v>368</v>
      </c>
      <c r="E1551" t="s">
        <v>368</v>
      </c>
      <c r="G1551" s="13" t="s">
        <v>7788</v>
      </c>
      <c r="H1551" t="s">
        <v>7789</v>
      </c>
      <c r="I1551" t="s">
        <v>17138</v>
      </c>
      <c r="K1551" t="s">
        <v>7320</v>
      </c>
      <c r="L1551" t="s">
        <v>7320</v>
      </c>
      <c r="M1551" t="s">
        <v>7250</v>
      </c>
      <c r="N1551">
        <v>2018</v>
      </c>
      <c r="S1551" t="s">
        <v>7251</v>
      </c>
      <c r="T1551">
        <v>0</v>
      </c>
      <c r="U1551">
        <v>0</v>
      </c>
      <c r="V1551">
        <v>230</v>
      </c>
      <c r="W1551" t="s">
        <v>6546</v>
      </c>
      <c r="X1551">
        <v>230</v>
      </c>
      <c r="AA1551" t="s">
        <v>12591</v>
      </c>
      <c r="AC1551" t="s">
        <v>7255</v>
      </c>
      <c r="AE1551" t="s">
        <v>989</v>
      </c>
      <c r="AH1551" t="s">
        <v>1020</v>
      </c>
      <c r="AI1551" t="s">
        <v>7255</v>
      </c>
      <c r="AO1551" t="s">
        <v>6546</v>
      </c>
    </row>
    <row r="1552" spans="1:41" hidden="1" x14ac:dyDescent="0.35">
      <c r="A1552" t="s">
        <v>17139</v>
      </c>
      <c r="B1552" t="s">
        <v>7246</v>
      </c>
      <c r="C1552" t="s">
        <v>451</v>
      </c>
      <c r="D1552" t="s">
        <v>451</v>
      </c>
      <c r="E1552" t="s">
        <v>451</v>
      </c>
      <c r="G1552" s="13" t="s">
        <v>7834</v>
      </c>
      <c r="H1552" t="s">
        <v>7835</v>
      </c>
      <c r="I1552" t="s">
        <v>11023</v>
      </c>
      <c r="K1552" t="s">
        <v>7836</v>
      </c>
      <c r="L1552" t="s">
        <v>7837</v>
      </c>
      <c r="M1552" t="s">
        <v>7269</v>
      </c>
      <c r="N1552">
        <v>2023</v>
      </c>
      <c r="R1552">
        <v>1107</v>
      </c>
      <c r="S1552" t="s">
        <v>7251</v>
      </c>
      <c r="T1552">
        <v>11.45</v>
      </c>
      <c r="U1552">
        <v>5328.36</v>
      </c>
      <c r="V1552">
        <v>80.47</v>
      </c>
      <c r="W1552">
        <v>57.62</v>
      </c>
      <c r="X1552">
        <v>80.47</v>
      </c>
      <c r="Y1552" t="s">
        <v>7471</v>
      </c>
      <c r="Z1552" t="s">
        <v>7253</v>
      </c>
      <c r="AC1552" t="s">
        <v>7255</v>
      </c>
      <c r="AE1552" t="s">
        <v>513</v>
      </c>
      <c r="AF1552" t="s">
        <v>17140</v>
      </c>
      <c r="AH1552" t="s">
        <v>664</v>
      </c>
      <c r="AI1552" t="s">
        <v>7255</v>
      </c>
      <c r="AO1552" t="s">
        <v>17141</v>
      </c>
    </row>
    <row r="1553" spans="1:41" hidden="1" x14ac:dyDescent="0.35">
      <c r="A1553" t="s">
        <v>17142</v>
      </c>
      <c r="B1553" t="s">
        <v>7246</v>
      </c>
      <c r="C1553" t="s">
        <v>451</v>
      </c>
      <c r="D1553" t="s">
        <v>451</v>
      </c>
      <c r="E1553" t="s">
        <v>451</v>
      </c>
      <c r="G1553" s="13" t="s">
        <v>7841</v>
      </c>
      <c r="H1553" t="s">
        <v>7842</v>
      </c>
      <c r="I1553" t="s">
        <v>17143</v>
      </c>
      <c r="K1553" t="s">
        <v>7844</v>
      </c>
      <c r="L1553" t="s">
        <v>7845</v>
      </c>
      <c r="M1553" t="s">
        <v>7292</v>
      </c>
      <c r="N1553">
        <v>2024</v>
      </c>
      <c r="R1553">
        <v>70</v>
      </c>
      <c r="S1553" t="s">
        <v>7251</v>
      </c>
      <c r="T1553">
        <v>0.72</v>
      </c>
      <c r="U1553">
        <v>336.93</v>
      </c>
      <c r="V1553">
        <v>0</v>
      </c>
      <c r="W1553" t="s">
        <v>6546</v>
      </c>
      <c r="X1553">
        <v>0</v>
      </c>
      <c r="AC1553" t="s">
        <v>7255</v>
      </c>
      <c r="AE1553" t="s">
        <v>497</v>
      </c>
      <c r="AH1553" t="s">
        <v>497</v>
      </c>
      <c r="AI1553" t="s">
        <v>7255</v>
      </c>
      <c r="AO1553" t="s">
        <v>6546</v>
      </c>
    </row>
    <row r="1554" spans="1:41" hidden="1" x14ac:dyDescent="0.35">
      <c r="A1554" t="s">
        <v>17144</v>
      </c>
      <c r="B1554" t="s">
        <v>7246</v>
      </c>
      <c r="C1554" t="s">
        <v>451</v>
      </c>
      <c r="D1554" t="s">
        <v>451</v>
      </c>
      <c r="E1554" t="s">
        <v>451</v>
      </c>
      <c r="G1554" s="13" t="s">
        <v>7841</v>
      </c>
      <c r="H1554" t="s">
        <v>7842</v>
      </c>
      <c r="I1554" t="s">
        <v>17145</v>
      </c>
      <c r="K1554" t="s">
        <v>7844</v>
      </c>
      <c r="L1554" t="s">
        <v>7845</v>
      </c>
      <c r="M1554" t="s">
        <v>7292</v>
      </c>
      <c r="N1554">
        <v>2023</v>
      </c>
      <c r="R1554">
        <v>2000</v>
      </c>
      <c r="S1554" t="s">
        <v>7251</v>
      </c>
      <c r="T1554">
        <v>20.69</v>
      </c>
      <c r="U1554">
        <v>9626.67</v>
      </c>
      <c r="V1554">
        <v>55.04</v>
      </c>
      <c r="W1554">
        <v>43.96</v>
      </c>
      <c r="X1554">
        <v>55.04</v>
      </c>
      <c r="Y1554">
        <v>42</v>
      </c>
      <c r="Z1554" t="s">
        <v>7253</v>
      </c>
      <c r="AB1554" t="s">
        <v>7846</v>
      </c>
      <c r="AC1554" t="s">
        <v>7255</v>
      </c>
      <c r="AE1554" t="s">
        <v>486</v>
      </c>
      <c r="AF1554" t="s">
        <v>7847</v>
      </c>
      <c r="AH1554" t="s">
        <v>497</v>
      </c>
      <c r="AI1554" t="s">
        <v>7255</v>
      </c>
      <c r="AO1554" t="s">
        <v>17146</v>
      </c>
    </row>
    <row r="1555" spans="1:41" hidden="1" x14ac:dyDescent="0.35">
      <c r="A1555" t="s">
        <v>17147</v>
      </c>
      <c r="B1555" t="s">
        <v>7246</v>
      </c>
      <c r="C1555" t="s">
        <v>451</v>
      </c>
      <c r="D1555" t="s">
        <v>451</v>
      </c>
      <c r="E1555" t="s">
        <v>451</v>
      </c>
      <c r="G1555" s="13" t="s">
        <v>8011</v>
      </c>
      <c r="H1555" t="s">
        <v>8012</v>
      </c>
      <c r="I1555" t="s">
        <v>17148</v>
      </c>
      <c r="K1555" t="s">
        <v>8014</v>
      </c>
      <c r="L1555" t="s">
        <v>7346</v>
      </c>
      <c r="M1555" t="s">
        <v>7269</v>
      </c>
      <c r="N1555">
        <v>2019</v>
      </c>
      <c r="R1555">
        <v>190</v>
      </c>
      <c r="S1555" t="s">
        <v>7251</v>
      </c>
      <c r="T1555">
        <v>1.97</v>
      </c>
      <c r="U1555">
        <v>914.53</v>
      </c>
      <c r="V1555">
        <v>0.98</v>
      </c>
      <c r="W1555" t="s">
        <v>6546</v>
      </c>
      <c r="X1555">
        <v>0.98</v>
      </c>
      <c r="AC1555" t="s">
        <v>7255</v>
      </c>
      <c r="AI1555" t="s">
        <v>7255</v>
      </c>
      <c r="AO1555" t="s">
        <v>6546</v>
      </c>
    </row>
    <row r="1556" spans="1:41" hidden="1" x14ac:dyDescent="0.35">
      <c r="A1556" t="s">
        <v>17149</v>
      </c>
      <c r="B1556" t="s">
        <v>7246</v>
      </c>
      <c r="C1556" t="s">
        <v>451</v>
      </c>
      <c r="D1556" t="s">
        <v>451</v>
      </c>
      <c r="E1556" t="s">
        <v>451</v>
      </c>
      <c r="G1556" s="13" t="s">
        <v>8011</v>
      </c>
      <c r="H1556" t="s">
        <v>8012</v>
      </c>
      <c r="I1556" t="s">
        <v>17150</v>
      </c>
      <c r="J1556" t="s">
        <v>17151</v>
      </c>
      <c r="K1556" t="s">
        <v>8014</v>
      </c>
      <c r="L1556" t="s">
        <v>7346</v>
      </c>
      <c r="M1556" t="s">
        <v>7269</v>
      </c>
      <c r="N1556">
        <v>2023</v>
      </c>
      <c r="Q1556">
        <v>2021</v>
      </c>
      <c r="R1556">
        <v>245</v>
      </c>
      <c r="S1556" t="s">
        <v>7251</v>
      </c>
      <c r="T1556">
        <v>2.5299999999999998</v>
      </c>
      <c r="U1556">
        <v>1179.27</v>
      </c>
      <c r="V1556">
        <v>16.100000000000001</v>
      </c>
      <c r="W1556" t="s">
        <v>6546</v>
      </c>
      <c r="X1556">
        <v>16.100000000000001</v>
      </c>
      <c r="AC1556" t="s">
        <v>7255</v>
      </c>
      <c r="AE1556" t="s">
        <v>6373</v>
      </c>
      <c r="AH1556" t="s">
        <v>6373</v>
      </c>
      <c r="AI1556" t="s">
        <v>7255</v>
      </c>
      <c r="AO1556" t="s">
        <v>6546</v>
      </c>
    </row>
    <row r="1557" spans="1:41" hidden="1" x14ac:dyDescent="0.35">
      <c r="A1557" t="s">
        <v>17152</v>
      </c>
      <c r="B1557" t="s">
        <v>7246</v>
      </c>
      <c r="C1557" t="s">
        <v>451</v>
      </c>
      <c r="D1557" t="s">
        <v>451</v>
      </c>
      <c r="E1557" t="s">
        <v>451</v>
      </c>
      <c r="G1557" s="13" t="s">
        <v>8011</v>
      </c>
      <c r="H1557" t="s">
        <v>8012</v>
      </c>
      <c r="I1557" t="s">
        <v>17153</v>
      </c>
      <c r="K1557" t="s">
        <v>8014</v>
      </c>
      <c r="L1557" t="s">
        <v>7346</v>
      </c>
      <c r="M1557" t="s">
        <v>7292</v>
      </c>
      <c r="N1557">
        <v>2022</v>
      </c>
      <c r="R1557">
        <v>296</v>
      </c>
      <c r="S1557" t="s">
        <v>7251</v>
      </c>
      <c r="T1557">
        <v>3.06</v>
      </c>
      <c r="U1557">
        <v>1424.75</v>
      </c>
      <c r="V1557">
        <v>12.9</v>
      </c>
      <c r="W1557" t="s">
        <v>6546</v>
      </c>
      <c r="X1557">
        <v>12.9</v>
      </c>
      <c r="AC1557" t="s">
        <v>7255</v>
      </c>
      <c r="AE1557" t="s">
        <v>6373</v>
      </c>
      <c r="AH1557" t="s">
        <v>497</v>
      </c>
      <c r="AI1557" t="s">
        <v>7255</v>
      </c>
      <c r="AO1557" t="s">
        <v>6546</v>
      </c>
    </row>
    <row r="1558" spans="1:41" hidden="1" x14ac:dyDescent="0.35">
      <c r="A1558" t="s">
        <v>17154</v>
      </c>
      <c r="B1558" t="s">
        <v>7246</v>
      </c>
      <c r="C1558" t="s">
        <v>451</v>
      </c>
      <c r="D1558" t="s">
        <v>451</v>
      </c>
      <c r="E1558" t="s">
        <v>451</v>
      </c>
      <c r="G1558" s="13" t="s">
        <v>8045</v>
      </c>
      <c r="H1558" t="s">
        <v>8046</v>
      </c>
      <c r="I1558" t="s">
        <v>17155</v>
      </c>
      <c r="K1558" t="s">
        <v>7765</v>
      </c>
      <c r="L1558" t="s">
        <v>7765</v>
      </c>
      <c r="M1558" t="s">
        <v>7415</v>
      </c>
      <c r="N1558">
        <v>2022</v>
      </c>
      <c r="R1558">
        <v>380</v>
      </c>
      <c r="S1558" t="s">
        <v>7251</v>
      </c>
      <c r="T1558">
        <v>3.93</v>
      </c>
      <c r="U1558">
        <v>1829.07</v>
      </c>
      <c r="V1558">
        <v>0</v>
      </c>
      <c r="W1558" t="s">
        <v>6546</v>
      </c>
      <c r="X1558">
        <v>0</v>
      </c>
      <c r="AC1558" t="s">
        <v>7255</v>
      </c>
      <c r="AE1558" t="s">
        <v>556</v>
      </c>
      <c r="AH1558" t="s">
        <v>931</v>
      </c>
      <c r="AI1558" t="s">
        <v>7255</v>
      </c>
      <c r="AO1558" t="s">
        <v>6546</v>
      </c>
    </row>
    <row r="1559" spans="1:41" hidden="1" x14ac:dyDescent="0.35">
      <c r="A1559" t="s">
        <v>17156</v>
      </c>
      <c r="B1559" t="s">
        <v>7246</v>
      </c>
      <c r="C1559" t="s">
        <v>5925</v>
      </c>
      <c r="D1559" t="s">
        <v>5714</v>
      </c>
      <c r="E1559" t="s">
        <v>17157</v>
      </c>
      <c r="G1559" s="13" t="s">
        <v>9760</v>
      </c>
      <c r="H1559" t="s">
        <v>9761</v>
      </c>
      <c r="I1559" t="s">
        <v>17158</v>
      </c>
      <c r="J1559" t="s">
        <v>17158</v>
      </c>
      <c r="K1559" t="s">
        <v>9763</v>
      </c>
      <c r="L1559" t="s">
        <v>9763</v>
      </c>
      <c r="M1559" t="s">
        <v>7292</v>
      </c>
      <c r="N1559">
        <v>2025</v>
      </c>
      <c r="O1559">
        <v>2027</v>
      </c>
      <c r="R1559">
        <v>10</v>
      </c>
      <c r="S1559" t="s">
        <v>8257</v>
      </c>
      <c r="T1559">
        <v>10</v>
      </c>
      <c r="U1559">
        <v>4653.83</v>
      </c>
      <c r="V1559">
        <v>0</v>
      </c>
      <c r="W1559" t="s">
        <v>6546</v>
      </c>
      <c r="X1559">
        <v>0</v>
      </c>
      <c r="AC1559" t="s">
        <v>8777</v>
      </c>
      <c r="AI1559" t="s">
        <v>8777</v>
      </c>
      <c r="AJ1559" t="s">
        <v>9032</v>
      </c>
      <c r="AO1559" t="s">
        <v>6546</v>
      </c>
    </row>
    <row r="1560" spans="1:41" hidden="1" x14ac:dyDescent="0.35">
      <c r="A1560" t="s">
        <v>17159</v>
      </c>
      <c r="B1560" t="s">
        <v>7246</v>
      </c>
      <c r="C1560" t="s">
        <v>683</v>
      </c>
      <c r="D1560" t="s">
        <v>5925</v>
      </c>
      <c r="E1560" t="s">
        <v>17160</v>
      </c>
      <c r="G1560" s="13" t="s">
        <v>10084</v>
      </c>
      <c r="H1560" t="s">
        <v>10085</v>
      </c>
      <c r="I1560" t="s">
        <v>17161</v>
      </c>
      <c r="J1560" t="s">
        <v>10086</v>
      </c>
      <c r="K1560" t="s">
        <v>10087</v>
      </c>
      <c r="L1560" t="s">
        <v>10087</v>
      </c>
      <c r="M1560" t="s">
        <v>7292</v>
      </c>
      <c r="N1560">
        <v>2023</v>
      </c>
      <c r="R1560">
        <v>8</v>
      </c>
      <c r="S1560" t="s">
        <v>8257</v>
      </c>
      <c r="T1560">
        <v>8</v>
      </c>
      <c r="U1560">
        <v>3723.07</v>
      </c>
      <c r="V1560">
        <v>0</v>
      </c>
      <c r="W1560" t="s">
        <v>6546</v>
      </c>
      <c r="X1560">
        <v>0</v>
      </c>
      <c r="AA1560" t="s">
        <v>10088</v>
      </c>
      <c r="AB1560" t="s">
        <v>10089</v>
      </c>
      <c r="AC1560" t="s">
        <v>8844</v>
      </c>
      <c r="AF1560" t="s">
        <v>10090</v>
      </c>
      <c r="AH1560" t="s">
        <v>10091</v>
      </c>
      <c r="AI1560" t="s">
        <v>8777</v>
      </c>
      <c r="AJ1560" t="s">
        <v>9032</v>
      </c>
      <c r="AO1560" t="s">
        <v>6546</v>
      </c>
    </row>
    <row r="1561" spans="1:41" hidden="1" x14ac:dyDescent="0.35">
      <c r="A1561" t="s">
        <v>17162</v>
      </c>
      <c r="B1561" t="s">
        <v>7246</v>
      </c>
      <c r="C1561" t="s">
        <v>683</v>
      </c>
      <c r="D1561" t="s">
        <v>5925</v>
      </c>
      <c r="E1561" t="s">
        <v>17160</v>
      </c>
      <c r="G1561" s="13" t="s">
        <v>10084</v>
      </c>
      <c r="H1561" t="s">
        <v>10085</v>
      </c>
      <c r="I1561" t="s">
        <v>17163</v>
      </c>
      <c r="J1561" t="s">
        <v>10086</v>
      </c>
      <c r="K1561" t="s">
        <v>10087</v>
      </c>
      <c r="L1561" t="s">
        <v>10087</v>
      </c>
      <c r="M1561" t="s">
        <v>7292</v>
      </c>
      <c r="N1561">
        <v>2026</v>
      </c>
      <c r="R1561">
        <v>7</v>
      </c>
      <c r="S1561" t="s">
        <v>8257</v>
      </c>
      <c r="T1561">
        <v>7</v>
      </c>
      <c r="U1561">
        <v>3257.68</v>
      </c>
      <c r="V1561">
        <v>0</v>
      </c>
      <c r="W1561" t="s">
        <v>6546</v>
      </c>
      <c r="X1561">
        <v>0</v>
      </c>
      <c r="AA1561" t="s">
        <v>10088</v>
      </c>
      <c r="AB1561" t="s">
        <v>17164</v>
      </c>
      <c r="AC1561" t="s">
        <v>8844</v>
      </c>
      <c r="AF1561" t="s">
        <v>10090</v>
      </c>
      <c r="AH1561" t="s">
        <v>10091</v>
      </c>
      <c r="AI1561" t="s">
        <v>8777</v>
      </c>
      <c r="AJ1561" t="s">
        <v>9032</v>
      </c>
      <c r="AO1561" t="s">
        <v>6546</v>
      </c>
    </row>
    <row r="1562" spans="1:41" hidden="1" x14ac:dyDescent="0.35">
      <c r="A1562" t="s">
        <v>17165</v>
      </c>
      <c r="B1562" t="s">
        <v>7246</v>
      </c>
      <c r="C1562" t="s">
        <v>9023</v>
      </c>
      <c r="D1562" t="s">
        <v>5694</v>
      </c>
      <c r="E1562" t="s">
        <v>17166</v>
      </c>
      <c r="G1562" s="13" t="s">
        <v>10352</v>
      </c>
      <c r="H1562" t="s">
        <v>10353</v>
      </c>
      <c r="I1562" t="s">
        <v>8683</v>
      </c>
      <c r="J1562" t="s">
        <v>10354</v>
      </c>
      <c r="K1562" t="s">
        <v>10355</v>
      </c>
      <c r="L1562" t="s">
        <v>10356</v>
      </c>
      <c r="M1562" t="s">
        <v>7292</v>
      </c>
      <c r="R1562">
        <v>10</v>
      </c>
      <c r="S1562" t="s">
        <v>8257</v>
      </c>
      <c r="T1562">
        <v>10</v>
      </c>
      <c r="U1562">
        <v>4653.83</v>
      </c>
      <c r="V1562">
        <v>0</v>
      </c>
      <c r="W1562" t="s">
        <v>6546</v>
      </c>
      <c r="X1562">
        <v>0</v>
      </c>
      <c r="AC1562" t="s">
        <v>8777</v>
      </c>
      <c r="AI1562" t="s">
        <v>8777</v>
      </c>
      <c r="AJ1562" t="s">
        <v>9032</v>
      </c>
      <c r="AO1562" t="s">
        <v>6546</v>
      </c>
    </row>
    <row r="1563" spans="1:41" hidden="1" x14ac:dyDescent="0.35">
      <c r="A1563" t="s">
        <v>17167</v>
      </c>
      <c r="B1563" t="s">
        <v>7246</v>
      </c>
      <c r="C1563" t="s">
        <v>406</v>
      </c>
      <c r="D1563" t="s">
        <v>406</v>
      </c>
      <c r="E1563" t="s">
        <v>406</v>
      </c>
      <c r="G1563" s="13" t="s">
        <v>17168</v>
      </c>
      <c r="H1563" t="s">
        <v>17169</v>
      </c>
      <c r="I1563" t="s">
        <v>12616</v>
      </c>
      <c r="J1563" t="s">
        <v>17170</v>
      </c>
      <c r="K1563" t="s">
        <v>8729</v>
      </c>
      <c r="L1563" t="s">
        <v>7320</v>
      </c>
      <c r="M1563" t="s">
        <v>7250</v>
      </c>
      <c r="N1563">
        <v>2014</v>
      </c>
      <c r="R1563">
        <v>630</v>
      </c>
      <c r="S1563" t="s">
        <v>7251</v>
      </c>
      <c r="T1563">
        <v>6.52</v>
      </c>
      <c r="U1563">
        <v>3032.4</v>
      </c>
      <c r="V1563">
        <v>240</v>
      </c>
      <c r="W1563">
        <v>212.7</v>
      </c>
      <c r="X1563">
        <v>240</v>
      </c>
      <c r="Y1563" t="s">
        <v>11778</v>
      </c>
      <c r="Z1563" t="s">
        <v>7253</v>
      </c>
      <c r="AB1563" t="s">
        <v>17171</v>
      </c>
      <c r="AC1563" t="s">
        <v>7255</v>
      </c>
      <c r="AE1563" t="s">
        <v>6226</v>
      </c>
      <c r="AF1563" t="s">
        <v>17172</v>
      </c>
      <c r="AH1563" t="s">
        <v>8648</v>
      </c>
      <c r="AI1563" t="s">
        <v>7255</v>
      </c>
      <c r="AL1563" t="s">
        <v>17173</v>
      </c>
      <c r="AM1563" t="s">
        <v>8687</v>
      </c>
      <c r="AN1563" s="13" t="s">
        <v>17168</v>
      </c>
      <c r="AO1563" t="s">
        <v>17174</v>
      </c>
    </row>
    <row r="1564" spans="1:41" hidden="1" x14ac:dyDescent="0.35">
      <c r="A1564" t="s">
        <v>17175</v>
      </c>
      <c r="B1564" t="s">
        <v>7246</v>
      </c>
      <c r="C1564" t="s">
        <v>423</v>
      </c>
      <c r="D1564" t="s">
        <v>423</v>
      </c>
      <c r="E1564" t="s">
        <v>423</v>
      </c>
      <c r="G1564" s="13" t="s">
        <v>14125</v>
      </c>
      <c r="H1564" t="s">
        <v>14126</v>
      </c>
      <c r="I1564" t="s">
        <v>17176</v>
      </c>
      <c r="J1564" t="s">
        <v>14127</v>
      </c>
      <c r="K1564" t="s">
        <v>9848</v>
      </c>
      <c r="L1564" t="s">
        <v>9848</v>
      </c>
      <c r="M1564" t="s">
        <v>7292</v>
      </c>
      <c r="R1564">
        <v>32</v>
      </c>
      <c r="S1564" t="s">
        <v>8257</v>
      </c>
      <c r="T1564">
        <v>32</v>
      </c>
      <c r="U1564">
        <v>14892.27</v>
      </c>
      <c r="V1564">
        <v>620</v>
      </c>
      <c r="W1564">
        <v>519.9</v>
      </c>
      <c r="X1564">
        <v>620</v>
      </c>
      <c r="AA1564" t="s">
        <v>14128</v>
      </c>
      <c r="AB1564" t="s">
        <v>14130</v>
      </c>
      <c r="AC1564" t="s">
        <v>8844</v>
      </c>
      <c r="AE1564" t="s">
        <v>14131</v>
      </c>
      <c r="AF1564" t="s">
        <v>5487</v>
      </c>
      <c r="AH1564" t="s">
        <v>12631</v>
      </c>
      <c r="AI1564" t="s">
        <v>8844</v>
      </c>
      <c r="AL1564" t="s">
        <v>14132</v>
      </c>
      <c r="AM1564" t="s">
        <v>17177</v>
      </c>
      <c r="AO1564" t="s">
        <v>17178</v>
      </c>
    </row>
    <row r="1565" spans="1:41" hidden="1" x14ac:dyDescent="0.35">
      <c r="A1565" t="s">
        <v>17179</v>
      </c>
      <c r="B1565" t="s">
        <v>7246</v>
      </c>
      <c r="C1565" t="s">
        <v>451</v>
      </c>
      <c r="D1565" t="s">
        <v>451</v>
      </c>
      <c r="E1565" t="s">
        <v>451</v>
      </c>
      <c r="G1565" s="13" t="s">
        <v>14735</v>
      </c>
      <c r="H1565" t="s">
        <v>14736</v>
      </c>
      <c r="I1565" t="s">
        <v>17180</v>
      </c>
      <c r="K1565" t="s">
        <v>14738</v>
      </c>
      <c r="L1565" t="s">
        <v>7652</v>
      </c>
      <c r="M1565" t="s">
        <v>7250</v>
      </c>
      <c r="N1565">
        <v>2017</v>
      </c>
      <c r="T1565" t="s">
        <v>6546</v>
      </c>
      <c r="U1565" t="s">
        <v>6546</v>
      </c>
      <c r="V1565">
        <v>7.7</v>
      </c>
      <c r="W1565" t="s">
        <v>6546</v>
      </c>
      <c r="X1565">
        <v>7.7</v>
      </c>
      <c r="AC1565" t="s">
        <v>7255</v>
      </c>
      <c r="AD1565" t="s">
        <v>17181</v>
      </c>
      <c r="AE1565" t="s">
        <v>759</v>
      </c>
      <c r="AG1565" t="s">
        <v>17182</v>
      </c>
      <c r="AH1565" t="s">
        <v>759</v>
      </c>
      <c r="AI1565" t="s">
        <v>7255</v>
      </c>
      <c r="AO1565" t="s">
        <v>6546</v>
      </c>
    </row>
    <row r="1566" spans="1:41" hidden="1" x14ac:dyDescent="0.35">
      <c r="A1566" t="s">
        <v>17183</v>
      </c>
      <c r="B1566" t="s">
        <v>7246</v>
      </c>
      <c r="C1566" t="s">
        <v>8566</v>
      </c>
      <c r="D1566" t="s">
        <v>8566</v>
      </c>
      <c r="E1566" t="s">
        <v>8566</v>
      </c>
      <c r="G1566" s="13" t="s">
        <v>16859</v>
      </c>
      <c r="H1566" t="s">
        <v>16860</v>
      </c>
      <c r="I1566" t="s">
        <v>12616</v>
      </c>
      <c r="J1566" t="s">
        <v>16861</v>
      </c>
      <c r="K1566" t="s">
        <v>17184</v>
      </c>
      <c r="L1566" t="s">
        <v>14992</v>
      </c>
      <c r="M1566" t="s">
        <v>7250</v>
      </c>
      <c r="N1566">
        <v>2020</v>
      </c>
      <c r="R1566">
        <v>30</v>
      </c>
      <c r="S1566" t="s">
        <v>7251</v>
      </c>
      <c r="T1566">
        <v>0.31</v>
      </c>
      <c r="U1566">
        <v>144.4</v>
      </c>
      <c r="V1566">
        <v>30</v>
      </c>
      <c r="W1566">
        <v>72.41</v>
      </c>
      <c r="X1566">
        <v>30</v>
      </c>
      <c r="Y1566">
        <v>16</v>
      </c>
      <c r="Z1566" t="s">
        <v>7253</v>
      </c>
      <c r="AB1566" t="s">
        <v>17185</v>
      </c>
      <c r="AC1566" t="s">
        <v>8523</v>
      </c>
      <c r="AF1566" t="s">
        <v>16846</v>
      </c>
      <c r="AI1566" t="s">
        <v>8523</v>
      </c>
      <c r="AL1566" t="s">
        <v>16863</v>
      </c>
      <c r="AM1566" t="s">
        <v>8687</v>
      </c>
      <c r="AN1566" s="13" t="s">
        <v>16864</v>
      </c>
      <c r="AO1566" t="s">
        <v>16865</v>
      </c>
    </row>
    <row r="1567" spans="1:41" x14ac:dyDescent="0.35">
      <c r="A1567" t="s">
        <v>17186</v>
      </c>
      <c r="B1567" t="s">
        <v>7246</v>
      </c>
      <c r="C1567" t="s">
        <v>24</v>
      </c>
      <c r="D1567" t="s">
        <v>24</v>
      </c>
      <c r="E1567" t="s">
        <v>24</v>
      </c>
      <c r="F1567" t="s">
        <v>354</v>
      </c>
      <c r="G1567" s="13" t="s">
        <v>17187</v>
      </c>
      <c r="H1567" t="s">
        <v>17188</v>
      </c>
      <c r="K1567" t="s">
        <v>17189</v>
      </c>
      <c r="L1567" t="s">
        <v>17189</v>
      </c>
      <c r="M1567" t="s">
        <v>7731</v>
      </c>
      <c r="T1567" t="s">
        <v>6546</v>
      </c>
      <c r="U1567" t="s">
        <v>6546</v>
      </c>
      <c r="V1567">
        <v>200</v>
      </c>
      <c r="W1567">
        <v>221.51</v>
      </c>
      <c r="X1567">
        <v>200</v>
      </c>
      <c r="AA1567" t="s">
        <v>17190</v>
      </c>
      <c r="AC1567" t="s">
        <v>9165</v>
      </c>
      <c r="AE1567" t="s">
        <v>2973</v>
      </c>
      <c r="AF1567" t="s">
        <v>17191</v>
      </c>
      <c r="AH1567" t="s">
        <v>2973</v>
      </c>
      <c r="AI1567" t="s">
        <v>9165</v>
      </c>
      <c r="AO1567" t="s">
        <v>17192</v>
      </c>
    </row>
    <row r="1568" spans="1:41" x14ac:dyDescent="0.35">
      <c r="A1568" t="s">
        <v>17193</v>
      </c>
      <c r="B1568" t="s">
        <v>7246</v>
      </c>
      <c r="C1568" t="s">
        <v>24</v>
      </c>
      <c r="D1568" t="s">
        <v>24</v>
      </c>
      <c r="E1568" t="s">
        <v>24</v>
      </c>
      <c r="F1568" t="s">
        <v>354</v>
      </c>
      <c r="G1568" s="13" t="s">
        <v>17194</v>
      </c>
      <c r="H1568" t="s">
        <v>17195</v>
      </c>
      <c r="K1568" t="s">
        <v>9163</v>
      </c>
      <c r="L1568" t="s">
        <v>9163</v>
      </c>
      <c r="M1568" t="s">
        <v>7415</v>
      </c>
      <c r="N1568">
        <v>2022</v>
      </c>
      <c r="T1568" t="s">
        <v>6546</v>
      </c>
      <c r="U1568" t="s">
        <v>6546</v>
      </c>
      <c r="V1568">
        <v>580</v>
      </c>
      <c r="W1568">
        <v>579.14</v>
      </c>
      <c r="X1568">
        <v>580</v>
      </c>
      <c r="Y1568">
        <v>300</v>
      </c>
      <c r="Z1568" t="s">
        <v>8842</v>
      </c>
      <c r="AC1568" t="s">
        <v>9165</v>
      </c>
      <c r="AE1568" t="s">
        <v>6388</v>
      </c>
      <c r="AH1568" t="s">
        <v>6388</v>
      </c>
      <c r="AI1568" t="s">
        <v>9165</v>
      </c>
      <c r="AO1568" t="s">
        <v>17196</v>
      </c>
    </row>
    <row r="1569" spans="1:41" x14ac:dyDescent="0.35">
      <c r="A1569" t="s">
        <v>17197</v>
      </c>
      <c r="B1569" t="s">
        <v>7246</v>
      </c>
      <c r="C1569" t="s">
        <v>24</v>
      </c>
      <c r="D1569" t="s">
        <v>24</v>
      </c>
      <c r="E1569" t="s">
        <v>24</v>
      </c>
      <c r="F1569" t="s">
        <v>354</v>
      </c>
      <c r="G1569" s="13" t="s">
        <v>17198</v>
      </c>
      <c r="H1569" t="s">
        <v>17199</v>
      </c>
      <c r="K1569" t="s">
        <v>17200</v>
      </c>
      <c r="L1569" t="s">
        <v>17200</v>
      </c>
      <c r="M1569" t="s">
        <v>7292</v>
      </c>
      <c r="T1569" t="s">
        <v>6546</v>
      </c>
      <c r="U1569" t="s">
        <v>6546</v>
      </c>
      <c r="V1569" t="s">
        <v>6546</v>
      </c>
      <c r="W1569">
        <v>311.77</v>
      </c>
      <c r="X1569">
        <v>311.77</v>
      </c>
      <c r="AA1569" t="s">
        <v>17201</v>
      </c>
      <c r="AC1569" t="s">
        <v>9165</v>
      </c>
      <c r="AE1569" t="s">
        <v>6388</v>
      </c>
      <c r="AH1569" t="s">
        <v>6388</v>
      </c>
      <c r="AI1569" t="s">
        <v>9165</v>
      </c>
      <c r="AO1569" t="s">
        <v>17202</v>
      </c>
    </row>
    <row r="1570" spans="1:41" x14ac:dyDescent="0.35">
      <c r="A1570" t="s">
        <v>17203</v>
      </c>
      <c r="B1570" t="s">
        <v>7246</v>
      </c>
      <c r="C1570" t="s">
        <v>24</v>
      </c>
      <c r="D1570" t="s">
        <v>24</v>
      </c>
      <c r="E1570" t="s">
        <v>24</v>
      </c>
      <c r="F1570" t="s">
        <v>354</v>
      </c>
      <c r="G1570" s="13" t="s">
        <v>17204</v>
      </c>
      <c r="H1570" t="s">
        <v>17205</v>
      </c>
      <c r="K1570" t="s">
        <v>17206</v>
      </c>
      <c r="L1570" t="s">
        <v>17206</v>
      </c>
      <c r="M1570" t="s">
        <v>7292</v>
      </c>
      <c r="N1570">
        <v>2024</v>
      </c>
      <c r="R1570">
        <v>87</v>
      </c>
      <c r="S1570" t="s">
        <v>9164</v>
      </c>
      <c r="T1570">
        <v>0.89</v>
      </c>
      <c r="U1570">
        <v>414.07</v>
      </c>
      <c r="V1570">
        <v>120</v>
      </c>
      <c r="W1570">
        <v>92.12</v>
      </c>
      <c r="X1570">
        <v>120</v>
      </c>
      <c r="AA1570" t="s">
        <v>17207</v>
      </c>
      <c r="AC1570" t="s">
        <v>9165</v>
      </c>
      <c r="AE1570" t="s">
        <v>6388</v>
      </c>
      <c r="AH1570" t="s">
        <v>6388</v>
      </c>
      <c r="AI1570" t="s">
        <v>9165</v>
      </c>
      <c r="AO1570" t="s">
        <v>17208</v>
      </c>
    </row>
    <row r="1571" spans="1:41" x14ac:dyDescent="0.35">
      <c r="A1571" t="s">
        <v>17209</v>
      </c>
      <c r="B1571" t="s">
        <v>7246</v>
      </c>
      <c r="C1571" t="s">
        <v>24</v>
      </c>
      <c r="D1571" t="s">
        <v>24</v>
      </c>
      <c r="E1571" t="s">
        <v>24</v>
      </c>
      <c r="F1571" t="s">
        <v>354</v>
      </c>
      <c r="G1571" s="13" t="s">
        <v>17210</v>
      </c>
      <c r="H1571" t="s">
        <v>17211</v>
      </c>
      <c r="K1571" t="s">
        <v>10589</v>
      </c>
      <c r="L1571" t="s">
        <v>10589</v>
      </c>
      <c r="M1571" t="s">
        <v>7250</v>
      </c>
      <c r="N1571">
        <v>2001</v>
      </c>
      <c r="T1571" t="s">
        <v>6546</v>
      </c>
      <c r="U1571" t="s">
        <v>6546</v>
      </c>
      <c r="V1571">
        <v>85</v>
      </c>
      <c r="W1571">
        <v>80.180000000000007</v>
      </c>
      <c r="X1571">
        <v>85</v>
      </c>
      <c r="AC1571" t="s">
        <v>9165</v>
      </c>
      <c r="AE1571" t="s">
        <v>6388</v>
      </c>
      <c r="AH1571" t="s">
        <v>6388</v>
      </c>
      <c r="AI1571" t="s">
        <v>9165</v>
      </c>
      <c r="AO1571" t="s">
        <v>17212</v>
      </c>
    </row>
    <row r="1572" spans="1:41" hidden="1" x14ac:dyDescent="0.35">
      <c r="A1572" t="s">
        <v>17213</v>
      </c>
      <c r="B1572" t="s">
        <v>7246</v>
      </c>
      <c r="C1572" t="s">
        <v>9898</v>
      </c>
      <c r="D1572" t="s">
        <v>84</v>
      </c>
      <c r="E1572" t="s">
        <v>13918</v>
      </c>
      <c r="G1572" s="13" t="s">
        <v>12637</v>
      </c>
      <c r="H1572" t="s">
        <v>12638</v>
      </c>
      <c r="I1572" t="s">
        <v>17214</v>
      </c>
      <c r="J1572" t="s">
        <v>17215</v>
      </c>
      <c r="K1572" t="s">
        <v>17216</v>
      </c>
      <c r="L1572" t="s">
        <v>17217</v>
      </c>
      <c r="M1572" t="s">
        <v>7250</v>
      </c>
      <c r="N1572">
        <v>2014</v>
      </c>
      <c r="R1572">
        <v>25</v>
      </c>
      <c r="S1572" t="s">
        <v>8257</v>
      </c>
      <c r="T1572">
        <v>25</v>
      </c>
      <c r="U1572">
        <v>11634.59</v>
      </c>
      <c r="V1572">
        <v>1833</v>
      </c>
      <c r="W1572">
        <v>1883.13</v>
      </c>
      <c r="X1572">
        <v>1833</v>
      </c>
      <c r="Y1572">
        <v>1219</v>
      </c>
      <c r="Z1572" t="s">
        <v>8842</v>
      </c>
      <c r="AA1572" t="s">
        <v>13923</v>
      </c>
      <c r="AB1572" t="s">
        <v>13924</v>
      </c>
      <c r="AC1572" t="s">
        <v>8844</v>
      </c>
      <c r="AF1572" t="s">
        <v>13925</v>
      </c>
      <c r="AH1572" t="s">
        <v>4824</v>
      </c>
      <c r="AI1572" t="s">
        <v>9852</v>
      </c>
      <c r="AL1572" t="s">
        <v>17218</v>
      </c>
      <c r="AO1572" t="s">
        <v>13926</v>
      </c>
    </row>
    <row r="1573" spans="1:41" hidden="1" x14ac:dyDescent="0.35">
      <c r="A1573" t="s">
        <v>17219</v>
      </c>
      <c r="B1573" t="s">
        <v>7246</v>
      </c>
      <c r="C1573" t="s">
        <v>451</v>
      </c>
      <c r="D1573" t="s">
        <v>451</v>
      </c>
      <c r="E1573" t="s">
        <v>451</v>
      </c>
      <c r="G1573" s="13" t="s">
        <v>17063</v>
      </c>
      <c r="H1573" t="s">
        <v>17064</v>
      </c>
      <c r="K1573" t="s">
        <v>17067</v>
      </c>
      <c r="L1573" t="s">
        <v>17068</v>
      </c>
      <c r="M1573" t="s">
        <v>7250</v>
      </c>
      <c r="R1573">
        <v>9500</v>
      </c>
      <c r="S1573" t="s">
        <v>7251</v>
      </c>
      <c r="T1573">
        <v>98.26</v>
      </c>
      <c r="U1573">
        <v>45726.68</v>
      </c>
      <c r="V1573">
        <v>6437.38</v>
      </c>
      <c r="W1573">
        <v>4119.3900000000003</v>
      </c>
      <c r="X1573">
        <v>6437.38</v>
      </c>
      <c r="AC1573" t="s">
        <v>7255</v>
      </c>
      <c r="AE1573" t="s">
        <v>533</v>
      </c>
      <c r="AH1573" t="s">
        <v>6373</v>
      </c>
      <c r="AI1573" t="s">
        <v>7255</v>
      </c>
      <c r="AO1573" t="s">
        <v>17220</v>
      </c>
    </row>
    <row r="1574" spans="1:41" hidden="1" x14ac:dyDescent="0.35">
      <c r="A1574" t="s">
        <v>17221</v>
      </c>
      <c r="B1574" t="s">
        <v>7246</v>
      </c>
      <c r="C1574" t="s">
        <v>451</v>
      </c>
      <c r="D1574" t="s">
        <v>451</v>
      </c>
      <c r="E1574" t="s">
        <v>451</v>
      </c>
      <c r="G1574" s="13" t="s">
        <v>17222</v>
      </c>
      <c r="H1574" t="s">
        <v>17223</v>
      </c>
      <c r="K1574" t="s">
        <v>17224</v>
      </c>
      <c r="L1574" t="s">
        <v>7652</v>
      </c>
      <c r="M1574" t="s">
        <v>7250</v>
      </c>
      <c r="T1574" t="s">
        <v>6546</v>
      </c>
      <c r="U1574" t="s">
        <v>6546</v>
      </c>
      <c r="V1574">
        <v>2414.02</v>
      </c>
      <c r="W1574">
        <v>1587.33</v>
      </c>
      <c r="X1574">
        <v>2414.02</v>
      </c>
      <c r="AC1574" t="s">
        <v>7255</v>
      </c>
      <c r="AE1574" t="s">
        <v>941</v>
      </c>
      <c r="AH1574" t="s">
        <v>683</v>
      </c>
      <c r="AI1574" t="s">
        <v>7255</v>
      </c>
      <c r="AO1574" t="s">
        <v>17225</v>
      </c>
    </row>
    <row r="1575" spans="1:41" hidden="1" x14ac:dyDescent="0.35">
      <c r="A1575" t="s">
        <v>17226</v>
      </c>
      <c r="B1575" t="s">
        <v>7246</v>
      </c>
      <c r="C1575" t="s">
        <v>4136</v>
      </c>
      <c r="D1575" t="s">
        <v>4136</v>
      </c>
      <c r="E1575" t="s">
        <v>4136</v>
      </c>
      <c r="G1575" s="13" t="s">
        <v>17227</v>
      </c>
      <c r="H1575" t="s">
        <v>17228</v>
      </c>
      <c r="K1575" t="s">
        <v>10372</v>
      </c>
      <c r="L1575" t="s">
        <v>6511</v>
      </c>
      <c r="M1575" t="s">
        <v>7292</v>
      </c>
      <c r="N1575">
        <v>2029</v>
      </c>
      <c r="T1575" t="s">
        <v>6546</v>
      </c>
      <c r="U1575" t="s">
        <v>6546</v>
      </c>
      <c r="V1575">
        <v>115</v>
      </c>
      <c r="W1575">
        <v>113.26</v>
      </c>
      <c r="X1575">
        <v>115</v>
      </c>
      <c r="Y1575">
        <v>30</v>
      </c>
      <c r="Z1575" t="s">
        <v>7253</v>
      </c>
      <c r="AB1575" t="s">
        <v>17229</v>
      </c>
      <c r="AC1575" t="s">
        <v>8859</v>
      </c>
      <c r="AD1575" t="s">
        <v>17229</v>
      </c>
      <c r="AF1575" t="s">
        <v>17230</v>
      </c>
      <c r="AG1575" t="s">
        <v>17231</v>
      </c>
      <c r="AI1575" t="s">
        <v>8859</v>
      </c>
      <c r="AO1575" t="s">
        <v>17232</v>
      </c>
    </row>
    <row r="1576" spans="1:41" hidden="1" x14ac:dyDescent="0.35">
      <c r="A1576" t="s">
        <v>17233</v>
      </c>
      <c r="B1576" t="s">
        <v>7246</v>
      </c>
      <c r="C1576" t="s">
        <v>396</v>
      </c>
      <c r="D1576" t="s">
        <v>396</v>
      </c>
      <c r="E1576" t="s">
        <v>396</v>
      </c>
      <c r="G1576" s="13" t="s">
        <v>17234</v>
      </c>
      <c r="H1576" t="s">
        <v>17235</v>
      </c>
      <c r="J1576" t="s">
        <v>17236</v>
      </c>
      <c r="K1576" t="s">
        <v>17237</v>
      </c>
      <c r="L1576" t="s">
        <v>17237</v>
      </c>
      <c r="M1576" t="s">
        <v>7250</v>
      </c>
      <c r="N1576">
        <v>2009</v>
      </c>
      <c r="T1576" t="s">
        <v>6546</v>
      </c>
      <c r="U1576" t="s">
        <v>6546</v>
      </c>
      <c r="V1576">
        <v>20</v>
      </c>
      <c r="W1576">
        <v>18.690000000000001</v>
      </c>
      <c r="X1576">
        <v>20</v>
      </c>
      <c r="AB1576" t="s">
        <v>7096</v>
      </c>
      <c r="AC1576" t="s">
        <v>9852</v>
      </c>
      <c r="AD1576" t="s">
        <v>7096</v>
      </c>
      <c r="AF1576" t="s">
        <v>7096</v>
      </c>
      <c r="AG1576" t="s">
        <v>7096</v>
      </c>
      <c r="AI1576" t="s">
        <v>9852</v>
      </c>
      <c r="AO1576" t="s">
        <v>17238</v>
      </c>
    </row>
    <row r="1577" spans="1:41" hidden="1" x14ac:dyDescent="0.35">
      <c r="A1577" t="s">
        <v>17239</v>
      </c>
      <c r="B1577" t="s">
        <v>7246</v>
      </c>
      <c r="C1577" t="s">
        <v>4136</v>
      </c>
      <c r="D1577" t="s">
        <v>4136</v>
      </c>
      <c r="E1577" t="s">
        <v>4136</v>
      </c>
      <c r="G1577" s="13" t="s">
        <v>17240</v>
      </c>
      <c r="H1577" t="s">
        <v>17241</v>
      </c>
      <c r="J1577" t="s">
        <v>17242</v>
      </c>
      <c r="K1577" t="s">
        <v>10508</v>
      </c>
      <c r="L1577" t="s">
        <v>6511</v>
      </c>
      <c r="M1577" t="s">
        <v>7250</v>
      </c>
      <c r="N1577">
        <v>1985</v>
      </c>
      <c r="R1577">
        <v>265</v>
      </c>
      <c r="S1577" t="s">
        <v>7251</v>
      </c>
      <c r="T1577">
        <v>2.74</v>
      </c>
      <c r="U1577">
        <v>1275.53</v>
      </c>
      <c r="V1577">
        <v>46</v>
      </c>
      <c r="W1577">
        <v>41.22</v>
      </c>
      <c r="X1577">
        <v>46</v>
      </c>
      <c r="Y1577">
        <v>16</v>
      </c>
      <c r="Z1577" t="s">
        <v>7253</v>
      </c>
      <c r="AA1577" t="s">
        <v>13313</v>
      </c>
      <c r="AC1577" t="s">
        <v>8859</v>
      </c>
      <c r="AD1577" t="s">
        <v>10393</v>
      </c>
      <c r="AG1577" t="s">
        <v>10407</v>
      </c>
      <c r="AI1577" t="s">
        <v>8859</v>
      </c>
      <c r="AO1577" t="s">
        <v>17243</v>
      </c>
    </row>
    <row r="1578" spans="1:41" x14ac:dyDescent="0.35">
      <c r="A1578" t="s">
        <v>17244</v>
      </c>
      <c r="B1578" t="s">
        <v>7246</v>
      </c>
      <c r="C1578" t="s">
        <v>24</v>
      </c>
      <c r="D1578" t="s">
        <v>24</v>
      </c>
      <c r="E1578" t="s">
        <v>24</v>
      </c>
      <c r="F1578" t="s">
        <v>354</v>
      </c>
      <c r="G1578" s="13" t="s">
        <v>17245</v>
      </c>
      <c r="H1578" t="s">
        <v>17246</v>
      </c>
      <c r="J1578" t="s">
        <v>17247</v>
      </c>
      <c r="K1578" t="s">
        <v>10740</v>
      </c>
      <c r="L1578" t="s">
        <v>10740</v>
      </c>
      <c r="M1578" t="s">
        <v>7250</v>
      </c>
      <c r="N1578">
        <v>2002</v>
      </c>
      <c r="R1578">
        <v>129</v>
      </c>
      <c r="S1578" t="s">
        <v>9164</v>
      </c>
      <c r="T1578">
        <v>1.32</v>
      </c>
      <c r="U1578">
        <v>613.97</v>
      </c>
      <c r="V1578">
        <v>734</v>
      </c>
      <c r="W1578">
        <v>664.81</v>
      </c>
      <c r="X1578">
        <v>734</v>
      </c>
      <c r="AA1578" t="s">
        <v>17248</v>
      </c>
      <c r="AB1578" t="s">
        <v>17249</v>
      </c>
      <c r="AC1578" t="s">
        <v>9165</v>
      </c>
      <c r="AE1578" t="s">
        <v>2969</v>
      </c>
      <c r="AF1578" t="s">
        <v>17250</v>
      </c>
      <c r="AH1578" t="s">
        <v>17251</v>
      </c>
      <c r="AI1578" t="s">
        <v>9165</v>
      </c>
      <c r="AO1578" t="s">
        <v>17252</v>
      </c>
    </row>
    <row r="1579" spans="1:41" x14ac:dyDescent="0.35">
      <c r="A1579" t="s">
        <v>17253</v>
      </c>
      <c r="B1579" t="s">
        <v>7246</v>
      </c>
      <c r="C1579" t="s">
        <v>24</v>
      </c>
      <c r="D1579" t="s">
        <v>24</v>
      </c>
      <c r="E1579" t="s">
        <v>24</v>
      </c>
      <c r="F1579" t="s">
        <v>354</v>
      </c>
      <c r="G1579" s="13" t="s">
        <v>17254</v>
      </c>
      <c r="H1579" t="s">
        <v>17255</v>
      </c>
      <c r="K1579" t="s">
        <v>9163</v>
      </c>
      <c r="L1579" t="s">
        <v>9163</v>
      </c>
      <c r="M1579" t="s">
        <v>7250</v>
      </c>
      <c r="N1579">
        <v>2004</v>
      </c>
      <c r="R1579">
        <v>29</v>
      </c>
      <c r="S1579" t="s">
        <v>9164</v>
      </c>
      <c r="T1579">
        <v>0.3</v>
      </c>
      <c r="U1579">
        <v>138.02000000000001</v>
      </c>
      <c r="V1579">
        <v>443</v>
      </c>
      <c r="W1579">
        <v>441.68</v>
      </c>
      <c r="X1579">
        <v>443</v>
      </c>
      <c r="AB1579" t="s">
        <v>12997</v>
      </c>
      <c r="AC1579" t="s">
        <v>9165</v>
      </c>
      <c r="AE1579" t="s">
        <v>6388</v>
      </c>
      <c r="AF1579" t="s">
        <v>17256</v>
      </c>
      <c r="AH1579" t="s">
        <v>6388</v>
      </c>
      <c r="AI1579" t="s">
        <v>9165</v>
      </c>
      <c r="AO1579" t="s">
        <v>17257</v>
      </c>
    </row>
    <row r="1580" spans="1:41" x14ac:dyDescent="0.35">
      <c r="A1580" t="s">
        <v>17258</v>
      </c>
      <c r="B1580" t="s">
        <v>7246</v>
      </c>
      <c r="C1580" t="s">
        <v>24</v>
      </c>
      <c r="D1580" t="s">
        <v>24</v>
      </c>
      <c r="E1580" t="s">
        <v>24</v>
      </c>
      <c r="F1580" t="s">
        <v>354</v>
      </c>
      <c r="G1580" s="13" t="s">
        <v>17259</v>
      </c>
      <c r="H1580" t="s">
        <v>17260</v>
      </c>
      <c r="J1580" t="s">
        <v>17261</v>
      </c>
      <c r="K1580" t="s">
        <v>17262</v>
      </c>
      <c r="L1580" t="s">
        <v>17262</v>
      </c>
      <c r="M1580" t="s">
        <v>7269</v>
      </c>
      <c r="R1580">
        <v>104.26</v>
      </c>
      <c r="S1580" t="s">
        <v>7251</v>
      </c>
      <c r="T1580">
        <v>1.08</v>
      </c>
      <c r="U1580">
        <v>501.84</v>
      </c>
      <c r="V1580">
        <v>940</v>
      </c>
      <c r="W1580">
        <v>906.34</v>
      </c>
      <c r="X1580">
        <v>940</v>
      </c>
      <c r="AA1580" t="s">
        <v>17263</v>
      </c>
      <c r="AB1580" t="s">
        <v>17264</v>
      </c>
      <c r="AC1580" t="s">
        <v>9165</v>
      </c>
      <c r="AE1580" t="s">
        <v>10751</v>
      </c>
      <c r="AF1580" t="s">
        <v>17265</v>
      </c>
      <c r="AH1580" t="s">
        <v>10751</v>
      </c>
      <c r="AI1580" t="s">
        <v>9165</v>
      </c>
      <c r="AO1580" t="s">
        <v>17266</v>
      </c>
    </row>
    <row r="1581" spans="1:41" x14ac:dyDescent="0.35">
      <c r="A1581" t="s">
        <v>17267</v>
      </c>
      <c r="B1581" t="s">
        <v>7246</v>
      </c>
      <c r="C1581" t="s">
        <v>24</v>
      </c>
      <c r="D1581" t="s">
        <v>24</v>
      </c>
      <c r="E1581" t="s">
        <v>24</v>
      </c>
      <c r="F1581" t="s">
        <v>354</v>
      </c>
      <c r="G1581" s="13" t="s">
        <v>17268</v>
      </c>
      <c r="H1581" t="s">
        <v>17269</v>
      </c>
      <c r="J1581" t="s">
        <v>17270</v>
      </c>
      <c r="K1581" t="s">
        <v>11241</v>
      </c>
      <c r="L1581" t="s">
        <v>11241</v>
      </c>
      <c r="M1581" t="s">
        <v>7250</v>
      </c>
      <c r="N1581">
        <v>1992</v>
      </c>
      <c r="R1581">
        <v>30</v>
      </c>
      <c r="S1581" t="s">
        <v>9164</v>
      </c>
      <c r="T1581">
        <v>0.31</v>
      </c>
      <c r="U1581">
        <v>142.78</v>
      </c>
      <c r="V1581">
        <v>87</v>
      </c>
      <c r="W1581">
        <v>107.95</v>
      </c>
      <c r="X1581">
        <v>87</v>
      </c>
      <c r="AA1581" t="s">
        <v>17271</v>
      </c>
      <c r="AC1581" t="s">
        <v>9165</v>
      </c>
      <c r="AE1581" t="s">
        <v>6388</v>
      </c>
      <c r="AH1581" t="s">
        <v>6388</v>
      </c>
      <c r="AI1581" t="s">
        <v>9165</v>
      </c>
      <c r="AO1581" t="s">
        <v>17272</v>
      </c>
    </row>
    <row r="1582" spans="1:41" x14ac:dyDescent="0.35">
      <c r="A1582" t="s">
        <v>17273</v>
      </c>
      <c r="B1582" t="s">
        <v>7246</v>
      </c>
      <c r="C1582" t="s">
        <v>24</v>
      </c>
      <c r="D1582" t="s">
        <v>24</v>
      </c>
      <c r="E1582" t="s">
        <v>24</v>
      </c>
      <c r="F1582" t="s">
        <v>354</v>
      </c>
      <c r="G1582" s="13" t="s">
        <v>17274</v>
      </c>
      <c r="H1582" t="s">
        <v>17275</v>
      </c>
      <c r="K1582" t="s">
        <v>10589</v>
      </c>
      <c r="L1582" t="s">
        <v>10589</v>
      </c>
      <c r="M1582" t="s">
        <v>7250</v>
      </c>
      <c r="R1582">
        <v>1030</v>
      </c>
      <c r="S1582" t="s">
        <v>9164</v>
      </c>
      <c r="T1582">
        <v>10.53</v>
      </c>
      <c r="U1582">
        <v>4902.26</v>
      </c>
      <c r="V1582">
        <v>2035</v>
      </c>
      <c r="W1582">
        <v>2064.5</v>
      </c>
      <c r="X1582">
        <v>2035</v>
      </c>
      <c r="AC1582" t="s">
        <v>9165</v>
      </c>
      <c r="AE1582" t="s">
        <v>2969</v>
      </c>
      <c r="AH1582" t="s">
        <v>2969</v>
      </c>
      <c r="AI1582" t="s">
        <v>9165</v>
      </c>
      <c r="AO1582" t="s">
        <v>17276</v>
      </c>
    </row>
    <row r="1583" spans="1:41" x14ac:dyDescent="0.35">
      <c r="A1583" t="s">
        <v>17277</v>
      </c>
      <c r="B1583" t="s">
        <v>7246</v>
      </c>
      <c r="C1583" t="s">
        <v>24</v>
      </c>
      <c r="D1583" t="s">
        <v>24</v>
      </c>
      <c r="E1583" t="s">
        <v>24</v>
      </c>
      <c r="F1583" t="s">
        <v>354</v>
      </c>
      <c r="G1583" s="13" t="s">
        <v>17278</v>
      </c>
      <c r="H1583" t="s">
        <v>17279</v>
      </c>
      <c r="J1583" t="s">
        <v>17280</v>
      </c>
      <c r="K1583" t="s">
        <v>10748</v>
      </c>
      <c r="L1583" t="s">
        <v>10749</v>
      </c>
      <c r="M1583" t="s">
        <v>7250</v>
      </c>
      <c r="N1583">
        <v>1990</v>
      </c>
      <c r="R1583">
        <v>149</v>
      </c>
      <c r="S1583" t="s">
        <v>9164</v>
      </c>
      <c r="T1583">
        <v>1.52</v>
      </c>
      <c r="U1583">
        <v>709.16</v>
      </c>
      <c r="V1583">
        <v>629</v>
      </c>
      <c r="W1583">
        <v>655.28</v>
      </c>
      <c r="X1583">
        <v>629</v>
      </c>
      <c r="AB1583" t="s">
        <v>17281</v>
      </c>
      <c r="AC1583" t="s">
        <v>9165</v>
      </c>
      <c r="AE1583" t="s">
        <v>2973</v>
      </c>
      <c r="AF1583" t="s">
        <v>17282</v>
      </c>
      <c r="AH1583" t="s">
        <v>2973</v>
      </c>
      <c r="AI1583" t="s">
        <v>9165</v>
      </c>
      <c r="AO1583" t="s">
        <v>17283</v>
      </c>
    </row>
    <row r="1584" spans="1:41" x14ac:dyDescent="0.35">
      <c r="A1584" t="s">
        <v>17284</v>
      </c>
      <c r="B1584" t="s">
        <v>7246</v>
      </c>
      <c r="C1584" t="s">
        <v>24</v>
      </c>
      <c r="D1584" t="s">
        <v>24</v>
      </c>
      <c r="E1584" t="s">
        <v>24</v>
      </c>
      <c r="F1584" t="s">
        <v>354</v>
      </c>
      <c r="G1584" s="13" t="s">
        <v>17285</v>
      </c>
      <c r="H1584" t="s">
        <v>17286</v>
      </c>
      <c r="J1584" t="s">
        <v>17287</v>
      </c>
      <c r="K1584" t="s">
        <v>6543</v>
      </c>
      <c r="L1584" t="s">
        <v>6543</v>
      </c>
      <c r="M1584" t="s">
        <v>7292</v>
      </c>
      <c r="R1584">
        <v>554.82000000000005</v>
      </c>
      <c r="S1584" t="s">
        <v>7251</v>
      </c>
      <c r="T1584">
        <v>5.74</v>
      </c>
      <c r="U1584">
        <v>2670.53</v>
      </c>
      <c r="V1584">
        <v>2900</v>
      </c>
      <c r="W1584">
        <v>3060.49</v>
      </c>
      <c r="X1584">
        <v>2900</v>
      </c>
      <c r="AB1584" t="s">
        <v>1103</v>
      </c>
      <c r="AC1584" t="s">
        <v>9165</v>
      </c>
      <c r="AE1584" t="s">
        <v>6388</v>
      </c>
      <c r="AF1584" t="s">
        <v>12820</v>
      </c>
      <c r="AH1584" t="s">
        <v>4129</v>
      </c>
      <c r="AI1584" t="s">
        <v>9165</v>
      </c>
      <c r="AO1584" t="s">
        <v>17288</v>
      </c>
    </row>
    <row r="1585" spans="1:41" x14ac:dyDescent="0.35">
      <c r="A1585" t="s">
        <v>17289</v>
      </c>
      <c r="B1585" t="s">
        <v>7246</v>
      </c>
      <c r="C1585" t="s">
        <v>24</v>
      </c>
      <c r="D1585" t="s">
        <v>24</v>
      </c>
      <c r="E1585" t="s">
        <v>24</v>
      </c>
      <c r="F1585" t="s">
        <v>354</v>
      </c>
      <c r="G1585" s="13" t="s">
        <v>17290</v>
      </c>
      <c r="H1585" t="s">
        <v>17291</v>
      </c>
      <c r="J1585" t="s">
        <v>17292</v>
      </c>
      <c r="K1585" t="s">
        <v>9163</v>
      </c>
      <c r="L1585" t="s">
        <v>9163</v>
      </c>
      <c r="M1585" t="s">
        <v>7292</v>
      </c>
      <c r="N1585">
        <v>2019</v>
      </c>
      <c r="R1585">
        <v>189.56</v>
      </c>
      <c r="S1585" t="s">
        <v>7251</v>
      </c>
      <c r="T1585">
        <v>1.96</v>
      </c>
      <c r="U1585">
        <v>912.42</v>
      </c>
      <c r="V1585">
        <v>450</v>
      </c>
      <c r="W1585">
        <v>465.87</v>
      </c>
      <c r="X1585">
        <v>450</v>
      </c>
      <c r="AA1585" t="s">
        <v>13039</v>
      </c>
      <c r="AB1585" t="s">
        <v>17293</v>
      </c>
      <c r="AC1585" t="s">
        <v>9165</v>
      </c>
      <c r="AE1585" t="s">
        <v>4124</v>
      </c>
      <c r="AH1585" t="s">
        <v>4124</v>
      </c>
      <c r="AI1585" t="s">
        <v>9165</v>
      </c>
      <c r="AO1585" t="s">
        <v>17294</v>
      </c>
    </row>
    <row r="1586" spans="1:41" x14ac:dyDescent="0.35">
      <c r="A1586" t="s">
        <v>17295</v>
      </c>
      <c r="B1586" t="s">
        <v>7246</v>
      </c>
      <c r="C1586" t="s">
        <v>24</v>
      </c>
      <c r="D1586" t="s">
        <v>24</v>
      </c>
      <c r="E1586" t="s">
        <v>24</v>
      </c>
      <c r="F1586" t="s">
        <v>354</v>
      </c>
      <c r="G1586" s="13" t="s">
        <v>17296</v>
      </c>
      <c r="H1586" t="s">
        <v>17297</v>
      </c>
      <c r="K1586" t="s">
        <v>17298</v>
      </c>
      <c r="L1586" t="s">
        <v>17298</v>
      </c>
      <c r="M1586" t="s">
        <v>7250</v>
      </c>
      <c r="N1586">
        <v>2015</v>
      </c>
      <c r="R1586">
        <v>337</v>
      </c>
      <c r="S1586" t="s">
        <v>9164</v>
      </c>
      <c r="T1586">
        <v>3.45</v>
      </c>
      <c r="U1586">
        <v>1603.94</v>
      </c>
      <c r="V1586">
        <v>123</v>
      </c>
      <c r="W1586">
        <v>222.45</v>
      </c>
      <c r="X1586">
        <v>123</v>
      </c>
      <c r="AB1586" t="s">
        <v>12853</v>
      </c>
      <c r="AC1586" t="s">
        <v>9165</v>
      </c>
      <c r="AE1586" t="s">
        <v>6388</v>
      </c>
      <c r="AH1586" t="s">
        <v>6388</v>
      </c>
      <c r="AI1586" t="s">
        <v>9165</v>
      </c>
      <c r="AO1586" t="s">
        <v>17299</v>
      </c>
    </row>
    <row r="1587" spans="1:41" hidden="1" x14ac:dyDescent="0.35">
      <c r="A1587" t="s">
        <v>17300</v>
      </c>
      <c r="B1587" t="s">
        <v>7246</v>
      </c>
      <c r="C1587" t="s">
        <v>17301</v>
      </c>
      <c r="D1587" t="s">
        <v>17301</v>
      </c>
      <c r="E1587" t="s">
        <v>17301</v>
      </c>
      <c r="G1587" s="13" t="s">
        <v>17302</v>
      </c>
      <c r="H1587" t="s">
        <v>17303</v>
      </c>
      <c r="K1587" t="s">
        <v>6919</v>
      </c>
      <c r="L1587" t="s">
        <v>6919</v>
      </c>
      <c r="M1587" t="s">
        <v>7250</v>
      </c>
      <c r="N1587">
        <v>1972</v>
      </c>
      <c r="R1587">
        <v>50</v>
      </c>
      <c r="S1587" t="s">
        <v>7251</v>
      </c>
      <c r="T1587">
        <v>0.52</v>
      </c>
      <c r="U1587">
        <v>240.67</v>
      </c>
      <c r="V1587">
        <v>39</v>
      </c>
      <c r="W1587">
        <v>43.16</v>
      </c>
      <c r="X1587">
        <v>39</v>
      </c>
      <c r="AA1587" t="s">
        <v>17304</v>
      </c>
      <c r="AB1587" t="s">
        <v>17305</v>
      </c>
      <c r="AC1587" t="s">
        <v>10816</v>
      </c>
      <c r="AF1587" t="s">
        <v>6576</v>
      </c>
      <c r="AG1587" t="s">
        <v>3216</v>
      </c>
      <c r="AI1587" t="s">
        <v>10816</v>
      </c>
      <c r="AO1587" t="s">
        <v>17306</v>
      </c>
    </row>
    <row r="1588" spans="1:41" x14ac:dyDescent="0.35">
      <c r="A1588" t="s">
        <v>17307</v>
      </c>
      <c r="B1588" t="s">
        <v>7246</v>
      </c>
      <c r="C1588" t="s">
        <v>24</v>
      </c>
      <c r="D1588" t="s">
        <v>24</v>
      </c>
      <c r="E1588" t="s">
        <v>24</v>
      </c>
      <c r="F1588" t="s">
        <v>354</v>
      </c>
      <c r="G1588" s="13" t="s">
        <v>17308</v>
      </c>
      <c r="H1588" t="s">
        <v>17309</v>
      </c>
      <c r="K1588" t="s">
        <v>17310</v>
      </c>
      <c r="L1588" t="s">
        <v>17310</v>
      </c>
      <c r="M1588" t="s">
        <v>7250</v>
      </c>
      <c r="N1588">
        <v>2000</v>
      </c>
      <c r="R1588">
        <v>6.2</v>
      </c>
      <c r="S1588" t="s">
        <v>9164</v>
      </c>
      <c r="T1588">
        <v>0.06</v>
      </c>
      <c r="U1588">
        <v>29.51</v>
      </c>
      <c r="V1588">
        <v>274</v>
      </c>
      <c r="W1588">
        <v>268.7</v>
      </c>
      <c r="X1588">
        <v>274</v>
      </c>
      <c r="AB1588" t="s">
        <v>17311</v>
      </c>
      <c r="AC1588" t="s">
        <v>9165</v>
      </c>
      <c r="AE1588" t="s">
        <v>2973</v>
      </c>
      <c r="AF1588" t="s">
        <v>17312</v>
      </c>
      <c r="AH1588" t="s">
        <v>2973</v>
      </c>
      <c r="AI1588" t="s">
        <v>9165</v>
      </c>
      <c r="AO1588" t="s">
        <v>17313</v>
      </c>
    </row>
    <row r="1589" spans="1:41" x14ac:dyDescent="0.35">
      <c r="A1589" t="s">
        <v>17314</v>
      </c>
      <c r="B1589" t="s">
        <v>7246</v>
      </c>
      <c r="C1589" t="s">
        <v>24</v>
      </c>
      <c r="D1589" t="s">
        <v>24</v>
      </c>
      <c r="E1589" t="s">
        <v>24</v>
      </c>
      <c r="F1589" t="s">
        <v>354</v>
      </c>
      <c r="G1589" s="13" t="s">
        <v>17315</v>
      </c>
      <c r="H1589" t="s">
        <v>17316</v>
      </c>
      <c r="K1589" t="s">
        <v>17317</v>
      </c>
      <c r="L1589" t="s">
        <v>17317</v>
      </c>
      <c r="M1589" t="s">
        <v>7250</v>
      </c>
      <c r="N1589">
        <v>2006</v>
      </c>
      <c r="R1589">
        <v>103.31</v>
      </c>
      <c r="S1589" t="s">
        <v>7251</v>
      </c>
      <c r="T1589">
        <v>1.07</v>
      </c>
      <c r="U1589">
        <v>497.27</v>
      </c>
      <c r="V1589">
        <v>46</v>
      </c>
      <c r="W1589">
        <v>27.51</v>
      </c>
      <c r="X1589">
        <v>46</v>
      </c>
      <c r="AA1589" t="s">
        <v>17318</v>
      </c>
      <c r="AC1589" t="s">
        <v>9165</v>
      </c>
      <c r="AE1589" t="s">
        <v>2969</v>
      </c>
      <c r="AF1589" t="s">
        <v>17319</v>
      </c>
      <c r="AH1589" t="s">
        <v>2969</v>
      </c>
      <c r="AI1589" t="s">
        <v>9165</v>
      </c>
      <c r="AO1589" t="s">
        <v>17320</v>
      </c>
    </row>
    <row r="1590" spans="1:41" x14ac:dyDescent="0.35">
      <c r="A1590" t="s">
        <v>17321</v>
      </c>
      <c r="B1590" t="s">
        <v>7246</v>
      </c>
      <c r="C1590" t="s">
        <v>24</v>
      </c>
      <c r="D1590" t="s">
        <v>24</v>
      </c>
      <c r="E1590" t="s">
        <v>24</v>
      </c>
      <c r="F1590" t="s">
        <v>354</v>
      </c>
      <c r="G1590" s="13" t="s">
        <v>17322</v>
      </c>
      <c r="H1590" t="s">
        <v>17323</v>
      </c>
      <c r="J1590" t="s">
        <v>17324</v>
      </c>
      <c r="K1590" t="s">
        <v>17325</v>
      </c>
      <c r="L1590" t="s">
        <v>17325</v>
      </c>
      <c r="M1590" t="s">
        <v>7269</v>
      </c>
      <c r="R1590">
        <v>88.15</v>
      </c>
      <c r="S1590" t="s">
        <v>7251</v>
      </c>
      <c r="T1590">
        <v>0.91</v>
      </c>
      <c r="U1590">
        <v>424.3</v>
      </c>
      <c r="V1590">
        <v>603</v>
      </c>
      <c r="W1590">
        <v>574.54999999999995</v>
      </c>
      <c r="X1590">
        <v>603</v>
      </c>
      <c r="AB1590" t="s">
        <v>17326</v>
      </c>
      <c r="AC1590" t="s">
        <v>9165</v>
      </c>
      <c r="AE1590" t="s">
        <v>10751</v>
      </c>
      <c r="AF1590" t="s">
        <v>17327</v>
      </c>
      <c r="AH1590" t="s">
        <v>10751</v>
      </c>
      <c r="AI1590" t="s">
        <v>9165</v>
      </c>
      <c r="AO1590" t="s">
        <v>17328</v>
      </c>
    </row>
    <row r="1591" spans="1:41" x14ac:dyDescent="0.35">
      <c r="A1591" t="s">
        <v>17329</v>
      </c>
      <c r="B1591" t="s">
        <v>7246</v>
      </c>
      <c r="C1591" t="s">
        <v>24</v>
      </c>
      <c r="D1591" t="s">
        <v>24</v>
      </c>
      <c r="E1591" t="s">
        <v>24</v>
      </c>
      <c r="F1591" t="s">
        <v>354</v>
      </c>
      <c r="G1591" s="13" t="s">
        <v>17330</v>
      </c>
      <c r="H1591" t="s">
        <v>17331</v>
      </c>
      <c r="K1591" t="s">
        <v>17332</v>
      </c>
      <c r="L1591" t="s">
        <v>17332</v>
      </c>
      <c r="M1591" t="s">
        <v>7250</v>
      </c>
      <c r="N1591">
        <v>1984</v>
      </c>
      <c r="R1591">
        <v>139</v>
      </c>
      <c r="S1591" t="s">
        <v>9164</v>
      </c>
      <c r="T1591">
        <v>1.42</v>
      </c>
      <c r="U1591">
        <v>661.57</v>
      </c>
      <c r="V1591">
        <v>134</v>
      </c>
      <c r="W1591">
        <v>149.38999999999999</v>
      </c>
      <c r="X1591">
        <v>134</v>
      </c>
      <c r="AA1591" t="s">
        <v>17333</v>
      </c>
      <c r="AB1591" t="s">
        <v>10598</v>
      </c>
      <c r="AC1591" t="s">
        <v>9165</v>
      </c>
      <c r="AF1591" t="s">
        <v>17334</v>
      </c>
      <c r="AH1591" t="s">
        <v>6388</v>
      </c>
      <c r="AI1591" t="s">
        <v>9165</v>
      </c>
      <c r="AO1591" t="s">
        <v>17335</v>
      </c>
    </row>
    <row r="1592" spans="1:41" hidden="1" x14ac:dyDescent="0.35">
      <c r="A1592" t="s">
        <v>17336</v>
      </c>
      <c r="B1592" t="s">
        <v>7246</v>
      </c>
      <c r="C1592" t="s">
        <v>4136</v>
      </c>
      <c r="D1592" t="s">
        <v>4136</v>
      </c>
      <c r="E1592" t="s">
        <v>4136</v>
      </c>
      <c r="G1592" s="13" t="s">
        <v>17337</v>
      </c>
      <c r="H1592" t="s">
        <v>17338</v>
      </c>
      <c r="K1592" t="s">
        <v>10372</v>
      </c>
      <c r="L1592" t="s">
        <v>6511</v>
      </c>
      <c r="M1592" t="s">
        <v>7292</v>
      </c>
      <c r="N1592">
        <v>2035</v>
      </c>
      <c r="T1592" t="s">
        <v>6546</v>
      </c>
      <c r="U1592" t="s">
        <v>6546</v>
      </c>
      <c r="V1592">
        <v>110</v>
      </c>
      <c r="W1592">
        <v>93.09</v>
      </c>
      <c r="X1592">
        <v>110</v>
      </c>
      <c r="Y1592">
        <v>36</v>
      </c>
      <c r="Z1592" t="s">
        <v>7253</v>
      </c>
      <c r="AB1592" t="s">
        <v>17339</v>
      </c>
      <c r="AC1592" t="s">
        <v>8859</v>
      </c>
      <c r="AD1592" t="s">
        <v>17339</v>
      </c>
      <c r="AF1592" t="s">
        <v>17231</v>
      </c>
      <c r="AG1592" t="s">
        <v>17231</v>
      </c>
      <c r="AI1592" t="s">
        <v>8859</v>
      </c>
      <c r="AO1592" t="s">
        <v>17340</v>
      </c>
    </row>
    <row r="1593" spans="1:41" hidden="1" x14ac:dyDescent="0.35">
      <c r="A1593" t="s">
        <v>17341</v>
      </c>
      <c r="B1593" t="s">
        <v>7246</v>
      </c>
      <c r="C1593" t="s">
        <v>4136</v>
      </c>
      <c r="D1593" t="s">
        <v>4136</v>
      </c>
      <c r="E1593" t="s">
        <v>4136</v>
      </c>
      <c r="G1593" s="13" t="s">
        <v>17342</v>
      </c>
      <c r="H1593" t="s">
        <v>17343</v>
      </c>
      <c r="K1593" t="s">
        <v>10372</v>
      </c>
      <c r="L1593" t="s">
        <v>6511</v>
      </c>
      <c r="M1593" t="s">
        <v>7731</v>
      </c>
      <c r="T1593" t="s">
        <v>6546</v>
      </c>
      <c r="U1593" t="s">
        <v>6546</v>
      </c>
      <c r="V1593">
        <v>145</v>
      </c>
      <c r="W1593">
        <v>114.31</v>
      </c>
      <c r="X1593">
        <v>145</v>
      </c>
      <c r="Y1593">
        <v>24</v>
      </c>
      <c r="Z1593" t="s">
        <v>7253</v>
      </c>
      <c r="AB1593" t="s">
        <v>17344</v>
      </c>
      <c r="AC1593" t="s">
        <v>8859</v>
      </c>
      <c r="AD1593" t="s">
        <v>17344</v>
      </c>
      <c r="AF1593" t="s">
        <v>10446</v>
      </c>
      <c r="AG1593" t="s">
        <v>10446</v>
      </c>
      <c r="AI1593" t="s">
        <v>8859</v>
      </c>
      <c r="AO1593" t="s">
        <v>17345</v>
      </c>
    </row>
    <row r="1594" spans="1:41" hidden="1" x14ac:dyDescent="0.35">
      <c r="A1594" t="s">
        <v>17346</v>
      </c>
      <c r="B1594" t="s">
        <v>7246</v>
      </c>
      <c r="C1594" t="s">
        <v>451</v>
      </c>
      <c r="D1594" t="s">
        <v>451</v>
      </c>
      <c r="E1594" t="s">
        <v>451</v>
      </c>
      <c r="G1594" s="13" t="s">
        <v>7550</v>
      </c>
      <c r="H1594" t="s">
        <v>7551</v>
      </c>
      <c r="I1594" t="s">
        <v>17347</v>
      </c>
      <c r="K1594" t="s">
        <v>7552</v>
      </c>
      <c r="L1594" t="s">
        <v>7553</v>
      </c>
      <c r="M1594" t="s">
        <v>7250</v>
      </c>
      <c r="N1594">
        <v>2022</v>
      </c>
      <c r="R1594">
        <v>107</v>
      </c>
      <c r="S1594" t="s">
        <v>7251</v>
      </c>
      <c r="T1594">
        <v>1.1100000000000001</v>
      </c>
      <c r="U1594">
        <v>515.03</v>
      </c>
      <c r="V1594">
        <v>4.83</v>
      </c>
      <c r="W1594" t="s">
        <v>6546</v>
      </c>
      <c r="X1594">
        <v>4.83</v>
      </c>
      <c r="Y1594" t="s">
        <v>17348</v>
      </c>
      <c r="Z1594" t="s">
        <v>7253</v>
      </c>
      <c r="AC1594" t="s">
        <v>7255</v>
      </c>
      <c r="AE1594" t="s">
        <v>486</v>
      </c>
      <c r="AH1594" t="s">
        <v>486</v>
      </c>
      <c r="AI1594" t="s">
        <v>7255</v>
      </c>
      <c r="AO1594" t="s">
        <v>6546</v>
      </c>
    </row>
    <row r="1595" spans="1:41" hidden="1" x14ac:dyDescent="0.35">
      <c r="A1595" t="s">
        <v>17349</v>
      </c>
      <c r="B1595" t="s">
        <v>7246</v>
      </c>
      <c r="C1595" t="s">
        <v>5802</v>
      </c>
      <c r="D1595" t="s">
        <v>5802</v>
      </c>
      <c r="E1595" t="s">
        <v>5802</v>
      </c>
      <c r="G1595" s="13" t="s">
        <v>17350</v>
      </c>
      <c r="H1595" t="s">
        <v>17351</v>
      </c>
      <c r="K1595" t="s">
        <v>11195</v>
      </c>
      <c r="L1595" t="s">
        <v>11195</v>
      </c>
      <c r="M1595" t="s">
        <v>7415</v>
      </c>
      <c r="N1595">
        <v>2022</v>
      </c>
      <c r="T1595" t="s">
        <v>6546</v>
      </c>
      <c r="U1595" t="s">
        <v>6546</v>
      </c>
      <c r="V1595">
        <v>42</v>
      </c>
      <c r="W1595">
        <v>44.22</v>
      </c>
      <c r="X1595">
        <v>42</v>
      </c>
      <c r="Y1595">
        <v>27.5</v>
      </c>
      <c r="Z1595" t="s">
        <v>7253</v>
      </c>
      <c r="AB1595" t="s">
        <v>17352</v>
      </c>
      <c r="AC1595" t="s">
        <v>8777</v>
      </c>
      <c r="AF1595" t="s">
        <v>17353</v>
      </c>
      <c r="AI1595" t="s">
        <v>8777</v>
      </c>
      <c r="AJ1595" t="s">
        <v>6407</v>
      </c>
      <c r="AO1595" t="s">
        <v>17354</v>
      </c>
    </row>
    <row r="1596" spans="1:41" hidden="1" x14ac:dyDescent="0.35">
      <c r="A1596" t="s">
        <v>17355</v>
      </c>
      <c r="B1596" t="s">
        <v>7246</v>
      </c>
      <c r="C1596" t="s">
        <v>5802</v>
      </c>
      <c r="D1596" t="s">
        <v>5802</v>
      </c>
      <c r="E1596" t="s">
        <v>5802</v>
      </c>
      <c r="G1596" s="13" t="s">
        <v>17356</v>
      </c>
      <c r="H1596" t="s">
        <v>17357</v>
      </c>
      <c r="K1596" t="s">
        <v>11195</v>
      </c>
      <c r="L1596" t="s">
        <v>11195</v>
      </c>
      <c r="M1596" t="s">
        <v>7292</v>
      </c>
      <c r="N1596">
        <v>2025</v>
      </c>
      <c r="T1596" t="s">
        <v>6546</v>
      </c>
      <c r="U1596" t="s">
        <v>6546</v>
      </c>
      <c r="V1596">
        <v>115</v>
      </c>
      <c r="W1596">
        <v>104.12</v>
      </c>
      <c r="X1596">
        <v>115</v>
      </c>
      <c r="Y1596">
        <v>27.5</v>
      </c>
      <c r="Z1596" t="s">
        <v>7253</v>
      </c>
      <c r="AB1596" t="s">
        <v>17358</v>
      </c>
      <c r="AC1596" t="s">
        <v>8777</v>
      </c>
      <c r="AF1596" t="s">
        <v>13768</v>
      </c>
      <c r="AI1596" t="s">
        <v>8777</v>
      </c>
      <c r="AO1596" t="s">
        <v>17359</v>
      </c>
    </row>
    <row r="1597" spans="1:41" hidden="1" x14ac:dyDescent="0.35">
      <c r="A1597" t="s">
        <v>17360</v>
      </c>
      <c r="B1597" t="s">
        <v>7246</v>
      </c>
      <c r="C1597" t="s">
        <v>410</v>
      </c>
      <c r="D1597" t="s">
        <v>410</v>
      </c>
      <c r="E1597" t="s">
        <v>410</v>
      </c>
      <c r="G1597" s="13" t="s">
        <v>17361</v>
      </c>
      <c r="H1597" t="s">
        <v>17362</v>
      </c>
      <c r="K1597" t="s">
        <v>17363</v>
      </c>
      <c r="L1597" t="s">
        <v>17363</v>
      </c>
      <c r="M1597" t="s">
        <v>7250</v>
      </c>
      <c r="N1597">
        <v>1969</v>
      </c>
      <c r="T1597" t="s">
        <v>6546</v>
      </c>
      <c r="U1597" t="s">
        <v>6546</v>
      </c>
      <c r="V1597">
        <v>2207</v>
      </c>
      <c r="W1597">
        <v>582.09</v>
      </c>
      <c r="X1597">
        <v>2207</v>
      </c>
      <c r="AB1597" t="s">
        <v>17364</v>
      </c>
      <c r="AC1597" t="s">
        <v>9165</v>
      </c>
      <c r="AE1597" t="s">
        <v>17365</v>
      </c>
      <c r="AF1597" t="s">
        <v>17366</v>
      </c>
      <c r="AH1597" t="s">
        <v>17365</v>
      </c>
      <c r="AI1597" t="s">
        <v>9165</v>
      </c>
      <c r="AO1597" t="s">
        <v>17367</v>
      </c>
    </row>
    <row r="1598" spans="1:41" hidden="1" x14ac:dyDescent="0.35">
      <c r="A1598" t="s">
        <v>17368</v>
      </c>
      <c r="B1598" t="s">
        <v>7246</v>
      </c>
      <c r="C1598" t="s">
        <v>410</v>
      </c>
      <c r="D1598" t="s">
        <v>410</v>
      </c>
      <c r="E1598" t="s">
        <v>410</v>
      </c>
      <c r="G1598" s="13" t="s">
        <v>17369</v>
      </c>
      <c r="H1598" t="s">
        <v>17370</v>
      </c>
      <c r="K1598" t="s">
        <v>17363</v>
      </c>
      <c r="L1598" t="s">
        <v>17363</v>
      </c>
      <c r="M1598" t="s">
        <v>7250</v>
      </c>
      <c r="N1598">
        <v>1979</v>
      </c>
      <c r="R1598">
        <v>392</v>
      </c>
      <c r="S1598" t="s">
        <v>9164</v>
      </c>
      <c r="T1598">
        <v>4.01</v>
      </c>
      <c r="U1598">
        <v>1865.71</v>
      </c>
      <c r="V1598">
        <v>307</v>
      </c>
      <c r="W1598">
        <v>260.70999999999998</v>
      </c>
      <c r="X1598">
        <v>307</v>
      </c>
      <c r="AB1598" t="s">
        <v>17371</v>
      </c>
      <c r="AC1598" t="s">
        <v>9165</v>
      </c>
      <c r="AE1598" t="s">
        <v>17365</v>
      </c>
      <c r="AF1598" t="s">
        <v>17372</v>
      </c>
      <c r="AH1598" t="s">
        <v>17365</v>
      </c>
      <c r="AI1598" t="s">
        <v>9165</v>
      </c>
      <c r="AO1598" t="s">
        <v>17373</v>
      </c>
    </row>
    <row r="1599" spans="1:41" x14ac:dyDescent="0.35">
      <c r="A1599" t="s">
        <v>17374</v>
      </c>
      <c r="B1599" t="s">
        <v>7246</v>
      </c>
      <c r="C1599" t="s">
        <v>24</v>
      </c>
      <c r="D1599" t="s">
        <v>24</v>
      </c>
      <c r="E1599" t="s">
        <v>24</v>
      </c>
      <c r="F1599" t="s">
        <v>354</v>
      </c>
      <c r="G1599" s="13" t="s">
        <v>17375</v>
      </c>
      <c r="H1599" t="s">
        <v>17376</v>
      </c>
      <c r="K1599" t="s">
        <v>17377</v>
      </c>
      <c r="L1599" t="s">
        <v>17377</v>
      </c>
      <c r="M1599" t="s">
        <v>7250</v>
      </c>
      <c r="N1599">
        <v>2018</v>
      </c>
      <c r="R1599">
        <v>1600</v>
      </c>
      <c r="S1599" t="s">
        <v>7251</v>
      </c>
      <c r="T1599">
        <v>16.55</v>
      </c>
      <c r="U1599">
        <v>7701.34</v>
      </c>
      <c r="V1599">
        <v>889</v>
      </c>
      <c r="W1599">
        <v>792.17</v>
      </c>
      <c r="X1599">
        <v>889</v>
      </c>
      <c r="AB1599" t="s">
        <v>17378</v>
      </c>
      <c r="AC1599" t="s">
        <v>9165</v>
      </c>
      <c r="AE1599" t="s">
        <v>17379</v>
      </c>
      <c r="AF1599" t="s">
        <v>6437</v>
      </c>
      <c r="AH1599" t="s">
        <v>6388</v>
      </c>
      <c r="AI1599" t="s">
        <v>9165</v>
      </c>
      <c r="AO1599" t="s">
        <v>17380</v>
      </c>
    </row>
    <row r="1600" spans="1:41" hidden="1" x14ac:dyDescent="0.35">
      <c r="A1600" t="s">
        <v>17381</v>
      </c>
      <c r="B1600" t="s">
        <v>7246</v>
      </c>
      <c r="C1600" t="s">
        <v>351</v>
      </c>
      <c r="D1600" t="s">
        <v>351</v>
      </c>
      <c r="E1600" t="s">
        <v>351</v>
      </c>
      <c r="G1600" s="13" t="s">
        <v>14946</v>
      </c>
      <c r="H1600" t="s">
        <v>14947</v>
      </c>
      <c r="I1600" t="s">
        <v>8683</v>
      </c>
      <c r="J1600" t="s">
        <v>14949</v>
      </c>
      <c r="K1600" t="s">
        <v>12796</v>
      </c>
      <c r="L1600" t="s">
        <v>12797</v>
      </c>
      <c r="M1600" t="s">
        <v>7415</v>
      </c>
      <c r="R1600">
        <v>0.25</v>
      </c>
      <c r="S1600" t="s">
        <v>8257</v>
      </c>
      <c r="T1600">
        <v>0.25</v>
      </c>
      <c r="U1600">
        <v>114.02</v>
      </c>
      <c r="V1600">
        <v>136</v>
      </c>
      <c r="W1600">
        <v>998.75</v>
      </c>
      <c r="X1600">
        <v>136</v>
      </c>
      <c r="Y1600" t="s">
        <v>17382</v>
      </c>
      <c r="Z1600" t="s">
        <v>7253</v>
      </c>
      <c r="AA1600" t="s">
        <v>17383</v>
      </c>
      <c r="AC1600" t="s">
        <v>8523</v>
      </c>
      <c r="AI1600" t="s">
        <v>8523</v>
      </c>
      <c r="AL1600" t="s">
        <v>14955</v>
      </c>
      <c r="AM1600" t="s">
        <v>8687</v>
      </c>
      <c r="AN1600" s="13" t="s">
        <v>14956</v>
      </c>
      <c r="AO1600" t="s">
        <v>17384</v>
      </c>
    </row>
    <row r="1601" spans="1:41" hidden="1" x14ac:dyDescent="0.35">
      <c r="A1601" t="s">
        <v>17385</v>
      </c>
      <c r="B1601" t="s">
        <v>7246</v>
      </c>
      <c r="C1601" t="s">
        <v>351</v>
      </c>
      <c r="D1601" t="s">
        <v>351</v>
      </c>
      <c r="E1601" t="s">
        <v>351</v>
      </c>
      <c r="G1601" s="13" t="s">
        <v>14966</v>
      </c>
      <c r="H1601" t="s">
        <v>14967</v>
      </c>
      <c r="I1601" t="s">
        <v>8099</v>
      </c>
      <c r="J1601" t="s">
        <v>17386</v>
      </c>
      <c r="K1601" t="s">
        <v>12796</v>
      </c>
      <c r="L1601" t="s">
        <v>12797</v>
      </c>
      <c r="M1601" t="s">
        <v>7292</v>
      </c>
      <c r="N1601">
        <v>2023</v>
      </c>
      <c r="R1601">
        <v>8.76</v>
      </c>
      <c r="S1601" t="s">
        <v>8257</v>
      </c>
      <c r="T1601">
        <v>8.76</v>
      </c>
      <c r="U1601">
        <v>4076.76</v>
      </c>
      <c r="V1601">
        <v>558</v>
      </c>
      <c r="W1601">
        <v>555.12</v>
      </c>
      <c r="X1601">
        <v>558</v>
      </c>
      <c r="AA1601" t="s">
        <v>12798</v>
      </c>
      <c r="AB1601" t="s">
        <v>17387</v>
      </c>
      <c r="AC1601" t="s">
        <v>8523</v>
      </c>
      <c r="AE1601" t="s">
        <v>14952</v>
      </c>
      <c r="AF1601" t="s">
        <v>17388</v>
      </c>
      <c r="AH1601" t="s">
        <v>3137</v>
      </c>
      <c r="AI1601" t="s">
        <v>8523</v>
      </c>
      <c r="AL1601" t="s">
        <v>14972</v>
      </c>
      <c r="AN1601" s="13" t="s">
        <v>14973</v>
      </c>
      <c r="AO1601" t="s">
        <v>17389</v>
      </c>
    </row>
    <row r="1602" spans="1:41" hidden="1" x14ac:dyDescent="0.35">
      <c r="A1602" t="s">
        <v>17390</v>
      </c>
      <c r="B1602" t="s">
        <v>7246</v>
      </c>
      <c r="C1602" t="s">
        <v>351</v>
      </c>
      <c r="D1602" t="s">
        <v>351</v>
      </c>
      <c r="E1602" t="s">
        <v>351</v>
      </c>
      <c r="G1602" s="13" t="s">
        <v>17391</v>
      </c>
      <c r="H1602" t="s">
        <v>17392</v>
      </c>
      <c r="J1602" t="s">
        <v>17393</v>
      </c>
      <c r="K1602" t="s">
        <v>10641</v>
      </c>
      <c r="L1602" t="s">
        <v>10642</v>
      </c>
      <c r="M1602" t="s">
        <v>7250</v>
      </c>
      <c r="N1602">
        <v>1965</v>
      </c>
      <c r="R1602">
        <v>6.57</v>
      </c>
      <c r="S1602" t="s">
        <v>8257</v>
      </c>
      <c r="T1602">
        <v>6.57</v>
      </c>
      <c r="U1602">
        <v>3057.57</v>
      </c>
      <c r="V1602">
        <v>4590</v>
      </c>
      <c r="W1602">
        <v>2493.0500000000002</v>
      </c>
      <c r="X1602">
        <v>4590</v>
      </c>
      <c r="Y1602">
        <v>30</v>
      </c>
      <c r="Z1602" t="s">
        <v>7253</v>
      </c>
      <c r="AB1602" t="s">
        <v>12810</v>
      </c>
      <c r="AC1602" t="s">
        <v>8523</v>
      </c>
      <c r="AD1602" t="s">
        <v>17394</v>
      </c>
      <c r="AE1602" t="s">
        <v>10644</v>
      </c>
      <c r="AF1602" t="s">
        <v>17395</v>
      </c>
      <c r="AH1602" t="s">
        <v>3137</v>
      </c>
      <c r="AI1602" t="s">
        <v>8523</v>
      </c>
      <c r="AL1602" t="s">
        <v>17396</v>
      </c>
      <c r="AN1602" s="13" t="s">
        <v>17397</v>
      </c>
      <c r="AO1602" t="s">
        <v>17398</v>
      </c>
    </row>
    <row r="1603" spans="1:41" hidden="1" x14ac:dyDescent="0.35">
      <c r="A1603" t="s">
        <v>17399</v>
      </c>
      <c r="B1603" t="s">
        <v>7246</v>
      </c>
      <c r="C1603" t="s">
        <v>383</v>
      </c>
      <c r="D1603" t="s">
        <v>5183</v>
      </c>
      <c r="E1603" t="s">
        <v>17400</v>
      </c>
      <c r="G1603" s="13" t="s">
        <v>17401</v>
      </c>
      <c r="H1603" t="s">
        <v>17402</v>
      </c>
      <c r="K1603" t="s">
        <v>17403</v>
      </c>
      <c r="L1603" t="s">
        <v>17403</v>
      </c>
      <c r="M1603" t="s">
        <v>7731</v>
      </c>
      <c r="T1603" t="s">
        <v>6546</v>
      </c>
      <c r="U1603" t="s">
        <v>6546</v>
      </c>
      <c r="V1603">
        <v>6900</v>
      </c>
      <c r="W1603">
        <v>892.97</v>
      </c>
      <c r="X1603">
        <v>6900</v>
      </c>
      <c r="AA1603" t="s">
        <v>17404</v>
      </c>
      <c r="AC1603" t="s">
        <v>8859</v>
      </c>
      <c r="AH1603" t="s">
        <v>17405</v>
      </c>
      <c r="AI1603" t="s">
        <v>10816</v>
      </c>
      <c r="AO1603" t="s">
        <v>17406</v>
      </c>
    </row>
    <row r="1604" spans="1:41" hidden="1" x14ac:dyDescent="0.35">
      <c r="A1604" t="s">
        <v>17407</v>
      </c>
      <c r="B1604" t="s">
        <v>7246</v>
      </c>
      <c r="C1604" t="s">
        <v>396</v>
      </c>
      <c r="D1604" t="s">
        <v>396</v>
      </c>
      <c r="E1604" t="s">
        <v>396</v>
      </c>
      <c r="G1604" s="13" t="s">
        <v>17408</v>
      </c>
      <c r="H1604" t="s">
        <v>17409</v>
      </c>
      <c r="K1604" t="s">
        <v>17410</v>
      </c>
      <c r="L1604" t="s">
        <v>13153</v>
      </c>
      <c r="M1604" t="s">
        <v>7250</v>
      </c>
      <c r="N1604">
        <v>2006</v>
      </c>
      <c r="T1604" t="s">
        <v>6546</v>
      </c>
      <c r="U1604" t="s">
        <v>6546</v>
      </c>
      <c r="V1604">
        <v>30</v>
      </c>
      <c r="W1604">
        <v>30.41</v>
      </c>
      <c r="X1604">
        <v>30</v>
      </c>
      <c r="Y1604">
        <v>200</v>
      </c>
      <c r="Z1604" t="s">
        <v>8842</v>
      </c>
      <c r="AB1604" t="s">
        <v>17411</v>
      </c>
      <c r="AC1604" t="s">
        <v>9852</v>
      </c>
      <c r="AF1604" t="s">
        <v>17412</v>
      </c>
      <c r="AH1604" t="s">
        <v>17413</v>
      </c>
      <c r="AI1604" t="s">
        <v>9852</v>
      </c>
      <c r="AO1604" t="s">
        <v>17414</v>
      </c>
    </row>
    <row r="1605" spans="1:41" hidden="1" x14ac:dyDescent="0.35">
      <c r="A1605" t="s">
        <v>17415</v>
      </c>
      <c r="B1605" t="s">
        <v>7246</v>
      </c>
      <c r="C1605" t="s">
        <v>396</v>
      </c>
      <c r="D1605" t="s">
        <v>396</v>
      </c>
      <c r="E1605" t="s">
        <v>396</v>
      </c>
      <c r="G1605" s="13" t="s">
        <v>17416</v>
      </c>
      <c r="H1605" t="s">
        <v>17417</v>
      </c>
      <c r="K1605" t="s">
        <v>7077</v>
      </c>
      <c r="L1605" t="s">
        <v>7077</v>
      </c>
      <c r="M1605" t="s">
        <v>7250</v>
      </c>
      <c r="N1605">
        <v>1999</v>
      </c>
      <c r="T1605" t="s">
        <v>6546</v>
      </c>
      <c r="U1605" t="s">
        <v>6546</v>
      </c>
      <c r="V1605">
        <v>6.3</v>
      </c>
      <c r="W1605">
        <v>5.31</v>
      </c>
      <c r="X1605">
        <v>6.3</v>
      </c>
      <c r="AB1605" t="s">
        <v>11407</v>
      </c>
      <c r="AC1605" t="s">
        <v>9852</v>
      </c>
      <c r="AF1605" t="s">
        <v>2992</v>
      </c>
      <c r="AI1605" t="s">
        <v>9852</v>
      </c>
      <c r="AO1605" t="s">
        <v>17418</v>
      </c>
    </row>
    <row r="1606" spans="1:41" hidden="1" x14ac:dyDescent="0.35">
      <c r="A1606" t="s">
        <v>17419</v>
      </c>
      <c r="B1606" t="s">
        <v>7246</v>
      </c>
      <c r="C1606" t="s">
        <v>383</v>
      </c>
      <c r="D1606" t="s">
        <v>383</v>
      </c>
      <c r="E1606" t="s">
        <v>383</v>
      </c>
      <c r="G1606" s="13" t="s">
        <v>17420</v>
      </c>
      <c r="H1606" t="s">
        <v>17421</v>
      </c>
      <c r="J1606" t="s">
        <v>17422</v>
      </c>
      <c r="K1606" t="s">
        <v>10763</v>
      </c>
      <c r="L1606" t="s">
        <v>10763</v>
      </c>
      <c r="M1606" t="s">
        <v>7415</v>
      </c>
      <c r="N1606">
        <v>2022</v>
      </c>
      <c r="R1606">
        <v>16</v>
      </c>
      <c r="S1606" t="s">
        <v>8792</v>
      </c>
      <c r="T1606">
        <v>5.84</v>
      </c>
      <c r="U1606">
        <v>2719.7</v>
      </c>
      <c r="V1606">
        <v>2655</v>
      </c>
      <c r="W1606">
        <v>2685.96</v>
      </c>
      <c r="X1606">
        <v>2655</v>
      </c>
      <c r="AB1606" t="s">
        <v>17423</v>
      </c>
      <c r="AC1606" t="s">
        <v>8859</v>
      </c>
      <c r="AE1606" t="s">
        <v>3117</v>
      </c>
      <c r="AF1606" t="s">
        <v>2712</v>
      </c>
      <c r="AH1606" t="s">
        <v>2787</v>
      </c>
      <c r="AI1606" t="s">
        <v>8859</v>
      </c>
      <c r="AO1606" t="s">
        <v>17424</v>
      </c>
    </row>
    <row r="1607" spans="1:41" hidden="1" x14ac:dyDescent="0.35">
      <c r="A1607" t="s">
        <v>17425</v>
      </c>
      <c r="B1607" t="s">
        <v>7246</v>
      </c>
      <c r="C1607" t="s">
        <v>396</v>
      </c>
      <c r="D1607" t="s">
        <v>396</v>
      </c>
      <c r="E1607" t="s">
        <v>396</v>
      </c>
      <c r="G1607" s="13" t="s">
        <v>17426</v>
      </c>
      <c r="H1607" t="s">
        <v>17427</v>
      </c>
      <c r="K1607" t="s">
        <v>7077</v>
      </c>
      <c r="L1607" t="s">
        <v>7077</v>
      </c>
      <c r="M1607" t="s">
        <v>7250</v>
      </c>
      <c r="N1607">
        <v>2013</v>
      </c>
      <c r="T1607" t="s">
        <v>6546</v>
      </c>
      <c r="U1607" t="s">
        <v>6546</v>
      </c>
      <c r="V1607">
        <v>6.3</v>
      </c>
      <c r="W1607">
        <v>5.31</v>
      </c>
      <c r="X1607">
        <v>6.3</v>
      </c>
      <c r="AB1607" t="s">
        <v>11407</v>
      </c>
      <c r="AC1607" t="s">
        <v>9852</v>
      </c>
      <c r="AD1607" t="s">
        <v>11497</v>
      </c>
      <c r="AF1607" t="s">
        <v>2992</v>
      </c>
      <c r="AG1607" t="s">
        <v>11497</v>
      </c>
      <c r="AI1607" t="s">
        <v>9852</v>
      </c>
      <c r="AO1607" t="s">
        <v>17418</v>
      </c>
    </row>
    <row r="1608" spans="1:41" hidden="1" x14ac:dyDescent="0.35">
      <c r="A1608" t="s">
        <v>17428</v>
      </c>
      <c r="B1608" t="s">
        <v>7246</v>
      </c>
      <c r="C1608" t="s">
        <v>383</v>
      </c>
      <c r="D1608" t="s">
        <v>383</v>
      </c>
      <c r="E1608" t="s">
        <v>383</v>
      </c>
      <c r="G1608" s="13" t="s">
        <v>17429</v>
      </c>
      <c r="H1608" t="s">
        <v>17430</v>
      </c>
      <c r="K1608" t="s">
        <v>6922</v>
      </c>
      <c r="L1608" t="s">
        <v>6922</v>
      </c>
      <c r="M1608" t="s">
        <v>7250</v>
      </c>
      <c r="N1608">
        <v>2022</v>
      </c>
      <c r="R1608">
        <v>29</v>
      </c>
      <c r="S1608" t="s">
        <v>8792</v>
      </c>
      <c r="T1608">
        <v>10.59</v>
      </c>
      <c r="U1608">
        <v>4929.46</v>
      </c>
      <c r="V1608">
        <v>56.37</v>
      </c>
      <c r="W1608">
        <v>33.75</v>
      </c>
      <c r="X1608">
        <v>56.37</v>
      </c>
      <c r="AB1608" t="s">
        <v>6920</v>
      </c>
      <c r="AC1608" t="s">
        <v>8859</v>
      </c>
      <c r="AE1608" t="s">
        <v>6912</v>
      </c>
      <c r="AF1608" t="s">
        <v>13511</v>
      </c>
      <c r="AH1608" t="s">
        <v>3106</v>
      </c>
      <c r="AI1608" t="s">
        <v>8859</v>
      </c>
      <c r="AO1608" t="s">
        <v>17431</v>
      </c>
    </row>
    <row r="1609" spans="1:41" hidden="1" x14ac:dyDescent="0.35">
      <c r="A1609" t="s">
        <v>17432</v>
      </c>
      <c r="B1609" t="s">
        <v>7246</v>
      </c>
      <c r="C1609" t="s">
        <v>351</v>
      </c>
      <c r="D1609" t="s">
        <v>351</v>
      </c>
      <c r="E1609" t="s">
        <v>351</v>
      </c>
      <c r="G1609" s="13" t="s">
        <v>17433</v>
      </c>
      <c r="H1609" t="s">
        <v>17434</v>
      </c>
      <c r="K1609" t="s">
        <v>10641</v>
      </c>
      <c r="L1609" t="s">
        <v>10642</v>
      </c>
      <c r="M1609" t="s">
        <v>7250</v>
      </c>
      <c r="N1609">
        <v>1988</v>
      </c>
      <c r="R1609">
        <v>10.95</v>
      </c>
      <c r="S1609" t="s">
        <v>8257</v>
      </c>
      <c r="T1609">
        <v>10.95</v>
      </c>
      <c r="U1609">
        <v>5095.95</v>
      </c>
      <c r="V1609">
        <v>1958</v>
      </c>
      <c r="W1609">
        <v>1265.48</v>
      </c>
      <c r="X1609">
        <v>1958</v>
      </c>
      <c r="Y1609" t="s">
        <v>11778</v>
      </c>
      <c r="Z1609" t="s">
        <v>7253</v>
      </c>
      <c r="AA1609" t="s">
        <v>17435</v>
      </c>
      <c r="AB1609" t="s">
        <v>17436</v>
      </c>
      <c r="AC1609" t="s">
        <v>8523</v>
      </c>
      <c r="AE1609" t="s">
        <v>14952</v>
      </c>
      <c r="AF1609" t="s">
        <v>17437</v>
      </c>
      <c r="AG1609" t="s">
        <v>3137</v>
      </c>
      <c r="AI1609" t="s">
        <v>8523</v>
      </c>
      <c r="AL1609" t="s">
        <v>17438</v>
      </c>
      <c r="AN1609" s="13" t="s">
        <v>17439</v>
      </c>
      <c r="AO1609" t="s">
        <v>17440</v>
      </c>
    </row>
    <row r="1610" spans="1:41" hidden="1" x14ac:dyDescent="0.35">
      <c r="A1610" t="s">
        <v>17441</v>
      </c>
      <c r="B1610" t="s">
        <v>7246</v>
      </c>
      <c r="C1610" t="s">
        <v>383</v>
      </c>
      <c r="D1610" t="s">
        <v>383</v>
      </c>
      <c r="E1610" t="s">
        <v>383</v>
      </c>
      <c r="G1610" s="13" t="s">
        <v>17442</v>
      </c>
      <c r="H1610" t="s">
        <v>17443</v>
      </c>
      <c r="J1610" t="s">
        <v>17444</v>
      </c>
      <c r="K1610" t="s">
        <v>13526</v>
      </c>
      <c r="L1610" t="s">
        <v>13526</v>
      </c>
      <c r="M1610" t="s">
        <v>7415</v>
      </c>
      <c r="N1610">
        <v>2023</v>
      </c>
      <c r="R1610">
        <v>17</v>
      </c>
      <c r="S1610" t="s">
        <v>8792</v>
      </c>
      <c r="T1610">
        <v>6.21</v>
      </c>
      <c r="U1610">
        <v>2889.68</v>
      </c>
      <c r="V1610">
        <v>635</v>
      </c>
      <c r="W1610">
        <v>557.12</v>
      </c>
      <c r="X1610">
        <v>635</v>
      </c>
      <c r="AB1610" t="s">
        <v>6920</v>
      </c>
      <c r="AC1610" t="s">
        <v>8859</v>
      </c>
      <c r="AE1610" t="s">
        <v>6912</v>
      </c>
      <c r="AF1610" t="s">
        <v>2722</v>
      </c>
      <c r="AH1610" t="s">
        <v>3099</v>
      </c>
      <c r="AI1610" t="s">
        <v>8859</v>
      </c>
      <c r="AO1610" t="s">
        <v>17445</v>
      </c>
    </row>
    <row r="1611" spans="1:41" hidden="1" x14ac:dyDescent="0.35">
      <c r="A1611" t="s">
        <v>17446</v>
      </c>
      <c r="B1611" t="s">
        <v>7246</v>
      </c>
      <c r="C1611" t="s">
        <v>383</v>
      </c>
      <c r="D1611" t="s">
        <v>383</v>
      </c>
      <c r="E1611" t="s">
        <v>383</v>
      </c>
      <c r="G1611" s="13" t="s">
        <v>17447</v>
      </c>
      <c r="H1611" t="s">
        <v>17448</v>
      </c>
      <c r="J1611" t="s">
        <v>17449</v>
      </c>
      <c r="K1611" t="s">
        <v>17450</v>
      </c>
      <c r="L1611" t="s">
        <v>17451</v>
      </c>
      <c r="M1611" t="s">
        <v>7415</v>
      </c>
      <c r="N1611">
        <v>2022</v>
      </c>
      <c r="R1611">
        <v>90</v>
      </c>
      <c r="S1611" t="s">
        <v>8792</v>
      </c>
      <c r="T1611">
        <v>32.869999999999997</v>
      </c>
      <c r="U1611">
        <v>15298.32</v>
      </c>
      <c r="V1611">
        <v>275</v>
      </c>
      <c r="W1611">
        <v>249.14</v>
      </c>
      <c r="X1611">
        <v>275</v>
      </c>
      <c r="AB1611" t="s">
        <v>10982</v>
      </c>
      <c r="AC1611" t="s">
        <v>8859</v>
      </c>
      <c r="AD1611" t="s">
        <v>10983</v>
      </c>
      <c r="AE1611" t="s">
        <v>10984</v>
      </c>
      <c r="AF1611" t="s">
        <v>10802</v>
      </c>
      <c r="AH1611" t="s">
        <v>3075</v>
      </c>
      <c r="AI1611" t="s">
        <v>8859</v>
      </c>
      <c r="AO1611" t="s">
        <v>17452</v>
      </c>
    </row>
    <row r="1612" spans="1:41" hidden="1" x14ac:dyDescent="0.35">
      <c r="A1612" t="s">
        <v>17453</v>
      </c>
      <c r="B1612" t="s">
        <v>7246</v>
      </c>
      <c r="C1612" t="s">
        <v>396</v>
      </c>
      <c r="D1612" t="s">
        <v>396</v>
      </c>
      <c r="E1612" t="s">
        <v>396</v>
      </c>
      <c r="G1612" s="13" t="s">
        <v>17454</v>
      </c>
      <c r="H1612" t="s">
        <v>17455</v>
      </c>
      <c r="K1612" t="s">
        <v>7077</v>
      </c>
      <c r="L1612" t="s">
        <v>7077</v>
      </c>
      <c r="M1612" t="s">
        <v>7250</v>
      </c>
      <c r="N1612">
        <v>2002</v>
      </c>
      <c r="T1612" t="s">
        <v>6546</v>
      </c>
      <c r="U1612" t="s">
        <v>6546</v>
      </c>
      <c r="V1612" t="s">
        <v>6546</v>
      </c>
      <c r="W1612" t="s">
        <v>6546</v>
      </c>
      <c r="X1612" t="s">
        <v>6546</v>
      </c>
      <c r="AC1612" t="s">
        <v>9852</v>
      </c>
      <c r="AI1612" t="s">
        <v>9852</v>
      </c>
      <c r="AO1612" t="s">
        <v>6546</v>
      </c>
    </row>
    <row r="1613" spans="1:41" hidden="1" x14ac:dyDescent="0.35">
      <c r="A1613" t="s">
        <v>17456</v>
      </c>
      <c r="B1613" t="s">
        <v>7246</v>
      </c>
      <c r="C1613" t="s">
        <v>351</v>
      </c>
      <c r="D1613" t="s">
        <v>351</v>
      </c>
      <c r="E1613" t="s">
        <v>351</v>
      </c>
      <c r="G1613" s="13" t="s">
        <v>17457</v>
      </c>
      <c r="H1613" t="s">
        <v>17458</v>
      </c>
      <c r="K1613" t="s">
        <v>10641</v>
      </c>
      <c r="L1613" t="s">
        <v>10642</v>
      </c>
      <c r="M1613" t="s">
        <v>7250</v>
      </c>
      <c r="N1613">
        <v>1970</v>
      </c>
      <c r="R1613">
        <v>4.75</v>
      </c>
      <c r="S1613" t="s">
        <v>8257</v>
      </c>
      <c r="T1613">
        <v>4.75</v>
      </c>
      <c r="U1613">
        <v>2210.5700000000002</v>
      </c>
      <c r="V1613">
        <v>1267</v>
      </c>
      <c r="W1613">
        <v>1162.51</v>
      </c>
      <c r="X1613">
        <v>1267</v>
      </c>
      <c r="Y1613" t="s">
        <v>8456</v>
      </c>
      <c r="Z1613" t="s">
        <v>7253</v>
      </c>
      <c r="AA1613" t="s">
        <v>17435</v>
      </c>
      <c r="AB1613" t="s">
        <v>17459</v>
      </c>
      <c r="AC1613" t="s">
        <v>8523</v>
      </c>
      <c r="AF1613" t="s">
        <v>17460</v>
      </c>
      <c r="AG1613" t="s">
        <v>3137</v>
      </c>
      <c r="AI1613" t="s">
        <v>8523</v>
      </c>
      <c r="AL1613" t="s">
        <v>17461</v>
      </c>
      <c r="AN1613" s="13" t="s">
        <v>17462</v>
      </c>
      <c r="AO1613" t="s">
        <v>17463</v>
      </c>
    </row>
    <row r="1614" spans="1:41" hidden="1" x14ac:dyDescent="0.35">
      <c r="A1614" t="s">
        <v>17464</v>
      </c>
      <c r="B1614" t="s">
        <v>7246</v>
      </c>
      <c r="C1614" t="s">
        <v>351</v>
      </c>
      <c r="D1614" t="s">
        <v>351</v>
      </c>
      <c r="E1614" t="s">
        <v>351</v>
      </c>
      <c r="G1614" s="13" t="s">
        <v>17465</v>
      </c>
      <c r="H1614" t="s">
        <v>17466</v>
      </c>
      <c r="K1614" t="s">
        <v>17467</v>
      </c>
      <c r="L1614" t="s">
        <v>17468</v>
      </c>
      <c r="M1614" t="s">
        <v>7250</v>
      </c>
      <c r="N1614">
        <v>1981</v>
      </c>
      <c r="R1614">
        <v>11.68</v>
      </c>
      <c r="S1614" t="s">
        <v>8257</v>
      </c>
      <c r="T1614">
        <v>11.68</v>
      </c>
      <c r="U1614">
        <v>5435.68</v>
      </c>
      <c r="V1614">
        <v>1121</v>
      </c>
      <c r="W1614">
        <v>1185.55</v>
      </c>
      <c r="X1614">
        <v>1121</v>
      </c>
      <c r="Y1614">
        <v>24</v>
      </c>
      <c r="Z1614" t="s">
        <v>7253</v>
      </c>
      <c r="AA1614" t="s">
        <v>17469</v>
      </c>
      <c r="AB1614" t="s">
        <v>17469</v>
      </c>
      <c r="AC1614" t="s">
        <v>8523</v>
      </c>
      <c r="AE1614" t="s">
        <v>14952</v>
      </c>
      <c r="AF1614" t="s">
        <v>14970</v>
      </c>
      <c r="AH1614" t="s">
        <v>3151</v>
      </c>
      <c r="AI1614" t="s">
        <v>8523</v>
      </c>
      <c r="AL1614" t="s">
        <v>17470</v>
      </c>
      <c r="AN1614" s="13" t="s">
        <v>17471</v>
      </c>
      <c r="AO1614" t="s">
        <v>17472</v>
      </c>
    </row>
    <row r="1615" spans="1:41" hidden="1" x14ac:dyDescent="0.35">
      <c r="A1615" t="s">
        <v>17473</v>
      </c>
      <c r="B1615" t="s">
        <v>7246</v>
      </c>
      <c r="C1615" t="s">
        <v>451</v>
      </c>
      <c r="D1615" t="s">
        <v>451</v>
      </c>
      <c r="E1615" t="s">
        <v>451</v>
      </c>
      <c r="G1615" s="13" t="s">
        <v>17474</v>
      </c>
      <c r="H1615" t="s">
        <v>17475</v>
      </c>
      <c r="J1615" t="s">
        <v>17476</v>
      </c>
      <c r="K1615" t="s">
        <v>17477</v>
      </c>
      <c r="L1615" t="s">
        <v>17477</v>
      </c>
      <c r="M1615" t="s">
        <v>7269</v>
      </c>
      <c r="N1615">
        <v>2013</v>
      </c>
      <c r="T1615" t="s">
        <v>6546</v>
      </c>
      <c r="U1615" t="s">
        <v>6546</v>
      </c>
      <c r="V1615">
        <v>160.93</v>
      </c>
      <c r="W1615">
        <v>80.78</v>
      </c>
      <c r="X1615">
        <v>160.93</v>
      </c>
      <c r="Y1615">
        <v>24</v>
      </c>
      <c r="Z1615" t="s">
        <v>7253</v>
      </c>
      <c r="AB1615" t="s">
        <v>17478</v>
      </c>
      <c r="AC1615" t="s">
        <v>7255</v>
      </c>
      <c r="AF1615" t="s">
        <v>17479</v>
      </c>
      <c r="AI1615" t="s">
        <v>7255</v>
      </c>
      <c r="AO1615" t="s">
        <v>17480</v>
      </c>
    </row>
    <row r="1616" spans="1:41" hidden="1" x14ac:dyDescent="0.35">
      <c r="A1616" t="s">
        <v>17481</v>
      </c>
      <c r="B1616" t="s">
        <v>7246</v>
      </c>
      <c r="C1616" t="s">
        <v>5149</v>
      </c>
      <c r="D1616" t="s">
        <v>5149</v>
      </c>
      <c r="E1616" t="s">
        <v>5149</v>
      </c>
      <c r="G1616" s="13" t="s">
        <v>17482</v>
      </c>
      <c r="H1616" t="s">
        <v>17483</v>
      </c>
      <c r="J1616" t="s">
        <v>17484</v>
      </c>
      <c r="K1616" t="s">
        <v>6864</v>
      </c>
      <c r="L1616" t="s">
        <v>6864</v>
      </c>
      <c r="M1616" t="s">
        <v>7250</v>
      </c>
      <c r="N1616">
        <v>1993</v>
      </c>
      <c r="R1616">
        <v>5.2</v>
      </c>
      <c r="S1616" t="s">
        <v>8257</v>
      </c>
      <c r="T1616">
        <v>5.2</v>
      </c>
      <c r="U1616">
        <v>2419.9899999999998</v>
      </c>
      <c r="V1616">
        <v>2500</v>
      </c>
      <c r="W1616">
        <v>971.44</v>
      </c>
      <c r="X1616">
        <v>2500</v>
      </c>
      <c r="AA1616" t="s">
        <v>17485</v>
      </c>
      <c r="AB1616" t="s">
        <v>17486</v>
      </c>
      <c r="AC1616" t="s">
        <v>10816</v>
      </c>
      <c r="AE1616" t="s">
        <v>3499</v>
      </c>
      <c r="AF1616" t="s">
        <v>17487</v>
      </c>
      <c r="AH1616" t="s">
        <v>17488</v>
      </c>
      <c r="AI1616" t="s">
        <v>10816</v>
      </c>
      <c r="AO1616" t="s">
        <v>17489</v>
      </c>
    </row>
    <row r="1617" spans="1:41" hidden="1" x14ac:dyDescent="0.35">
      <c r="A1617" t="s">
        <v>17490</v>
      </c>
      <c r="B1617" t="s">
        <v>7246</v>
      </c>
      <c r="C1617" t="s">
        <v>383</v>
      </c>
      <c r="D1617" t="s">
        <v>383</v>
      </c>
      <c r="E1617" t="s">
        <v>383</v>
      </c>
      <c r="G1617" s="13" t="s">
        <v>17491</v>
      </c>
      <c r="H1617" t="s">
        <v>17492</v>
      </c>
      <c r="K1617" t="s">
        <v>10763</v>
      </c>
      <c r="L1617" t="s">
        <v>10763</v>
      </c>
      <c r="M1617" t="s">
        <v>7250</v>
      </c>
      <c r="N1617">
        <v>2009</v>
      </c>
      <c r="R1617">
        <v>5.8</v>
      </c>
      <c r="S1617" t="s">
        <v>8257</v>
      </c>
      <c r="T1617">
        <v>5.8</v>
      </c>
      <c r="U1617">
        <v>2699.22</v>
      </c>
      <c r="V1617">
        <v>870</v>
      </c>
      <c r="W1617">
        <v>363.89</v>
      </c>
      <c r="X1617">
        <v>870</v>
      </c>
      <c r="AA1617" t="s">
        <v>17493</v>
      </c>
      <c r="AC1617" t="s">
        <v>8859</v>
      </c>
      <c r="AH1617" t="s">
        <v>3075</v>
      </c>
      <c r="AI1617" t="s">
        <v>8859</v>
      </c>
      <c r="AO1617" t="s">
        <v>17494</v>
      </c>
    </row>
    <row r="1618" spans="1:41" hidden="1" x14ac:dyDescent="0.35">
      <c r="A1618" t="s">
        <v>17495</v>
      </c>
      <c r="B1618" t="s">
        <v>7246</v>
      </c>
      <c r="C1618" t="s">
        <v>5149</v>
      </c>
      <c r="D1618" t="s">
        <v>5149</v>
      </c>
      <c r="E1618" t="s">
        <v>5149</v>
      </c>
      <c r="G1618" s="13" t="s">
        <v>17496</v>
      </c>
      <c r="H1618" t="s">
        <v>17497</v>
      </c>
      <c r="K1618" t="s">
        <v>6864</v>
      </c>
      <c r="L1618" t="s">
        <v>6864</v>
      </c>
      <c r="M1618" t="s">
        <v>7250</v>
      </c>
      <c r="N1618">
        <v>2014</v>
      </c>
      <c r="R1618">
        <v>7.7</v>
      </c>
      <c r="S1618" t="s">
        <v>8257</v>
      </c>
      <c r="T1618">
        <v>7.7</v>
      </c>
      <c r="U1618">
        <v>3583.45</v>
      </c>
      <c r="V1618">
        <v>512</v>
      </c>
      <c r="W1618">
        <v>432.01</v>
      </c>
      <c r="X1618">
        <v>512</v>
      </c>
      <c r="AB1618" t="s">
        <v>17498</v>
      </c>
      <c r="AC1618" t="s">
        <v>10816</v>
      </c>
      <c r="AE1618" t="s">
        <v>17499</v>
      </c>
      <c r="AF1618" t="s">
        <v>7164</v>
      </c>
      <c r="AH1618" t="s">
        <v>3496</v>
      </c>
      <c r="AI1618" t="s">
        <v>10816</v>
      </c>
      <c r="AO1618" t="s">
        <v>17500</v>
      </c>
    </row>
    <row r="1619" spans="1:41" hidden="1" x14ac:dyDescent="0.35">
      <c r="A1619" t="s">
        <v>17501</v>
      </c>
      <c r="B1619" t="s">
        <v>7246</v>
      </c>
      <c r="C1619" t="s">
        <v>451</v>
      </c>
      <c r="D1619" t="s">
        <v>451</v>
      </c>
      <c r="E1619" t="s">
        <v>451</v>
      </c>
      <c r="G1619" s="13" t="s">
        <v>17502</v>
      </c>
      <c r="H1619" t="s">
        <v>17503</v>
      </c>
      <c r="K1619" t="s">
        <v>6543</v>
      </c>
      <c r="L1619" t="s">
        <v>6543</v>
      </c>
      <c r="M1619" t="s">
        <v>7269</v>
      </c>
      <c r="T1619" t="s">
        <v>6546</v>
      </c>
      <c r="U1619" t="s">
        <v>6546</v>
      </c>
      <c r="V1619" t="s">
        <v>6546</v>
      </c>
      <c r="W1619">
        <v>41.44</v>
      </c>
      <c r="X1619">
        <v>41.44</v>
      </c>
      <c r="AB1619" t="s">
        <v>17504</v>
      </c>
      <c r="AC1619" t="s">
        <v>7255</v>
      </c>
      <c r="AF1619" t="s">
        <v>17505</v>
      </c>
      <c r="AI1619" t="s">
        <v>7255</v>
      </c>
      <c r="AO1619" t="s">
        <v>17506</v>
      </c>
    </row>
    <row r="1620" spans="1:41" x14ac:dyDescent="0.35">
      <c r="A1620" t="s">
        <v>17507</v>
      </c>
      <c r="B1620" t="s">
        <v>7246</v>
      </c>
      <c r="C1620" t="s">
        <v>24</v>
      </c>
      <c r="D1620" t="s">
        <v>24</v>
      </c>
      <c r="E1620" t="s">
        <v>24</v>
      </c>
      <c r="F1620" t="s">
        <v>354</v>
      </c>
      <c r="G1620" s="13" t="s">
        <v>17508</v>
      </c>
      <c r="H1620" t="s">
        <v>17509</v>
      </c>
      <c r="K1620" t="s">
        <v>17510</v>
      </c>
      <c r="L1620" t="s">
        <v>17510</v>
      </c>
      <c r="M1620" t="s">
        <v>7250</v>
      </c>
      <c r="N1620">
        <v>2005</v>
      </c>
      <c r="R1620">
        <v>464.7</v>
      </c>
      <c r="S1620" t="s">
        <v>7251</v>
      </c>
      <c r="T1620">
        <v>4.8099999999999996</v>
      </c>
      <c r="U1620">
        <v>2236.7600000000002</v>
      </c>
      <c r="V1620">
        <v>500</v>
      </c>
      <c r="W1620">
        <v>502.57</v>
      </c>
      <c r="X1620">
        <v>500</v>
      </c>
      <c r="AA1620" t="s">
        <v>17511</v>
      </c>
      <c r="AB1620" t="s">
        <v>17264</v>
      </c>
      <c r="AC1620" t="s">
        <v>9165</v>
      </c>
      <c r="AE1620" t="s">
        <v>17512</v>
      </c>
      <c r="AF1620" t="s">
        <v>6437</v>
      </c>
      <c r="AH1620" t="s">
        <v>10751</v>
      </c>
      <c r="AI1620" t="s">
        <v>9165</v>
      </c>
      <c r="AO1620" t="s">
        <v>17513</v>
      </c>
    </row>
    <row r="1621" spans="1:41" x14ac:dyDescent="0.35">
      <c r="A1621" t="s">
        <v>17514</v>
      </c>
      <c r="B1621" t="s">
        <v>7246</v>
      </c>
      <c r="C1621" t="s">
        <v>24</v>
      </c>
      <c r="D1621" t="s">
        <v>24</v>
      </c>
      <c r="E1621" t="s">
        <v>24</v>
      </c>
      <c r="F1621" t="s">
        <v>354</v>
      </c>
      <c r="G1621" s="13" t="s">
        <v>17515</v>
      </c>
      <c r="H1621" t="s">
        <v>17516</v>
      </c>
      <c r="K1621" t="s">
        <v>17517</v>
      </c>
      <c r="L1621" t="s">
        <v>17517</v>
      </c>
      <c r="M1621" t="s">
        <v>7250</v>
      </c>
      <c r="N1621">
        <v>1992</v>
      </c>
      <c r="R1621">
        <v>37.909999999999997</v>
      </c>
      <c r="S1621" t="s">
        <v>7251</v>
      </c>
      <c r="T1621">
        <v>0.39</v>
      </c>
      <c r="U1621">
        <v>182.47</v>
      </c>
      <c r="V1621">
        <v>1.6</v>
      </c>
      <c r="W1621">
        <v>1.88</v>
      </c>
      <c r="X1621">
        <v>1.6</v>
      </c>
      <c r="AA1621" t="s">
        <v>17518</v>
      </c>
      <c r="AC1621" t="s">
        <v>9165</v>
      </c>
      <c r="AE1621" t="s">
        <v>6388</v>
      </c>
      <c r="AF1621" t="s">
        <v>17519</v>
      </c>
      <c r="AH1621" t="s">
        <v>6388</v>
      </c>
      <c r="AI1621" t="s">
        <v>9165</v>
      </c>
      <c r="AO1621" t="s">
        <v>17520</v>
      </c>
    </row>
    <row r="1622" spans="1:41" hidden="1" x14ac:dyDescent="0.35">
      <c r="A1622" t="s">
        <v>17521</v>
      </c>
      <c r="B1622" t="s">
        <v>7246</v>
      </c>
      <c r="C1622" t="s">
        <v>5149</v>
      </c>
      <c r="D1622" t="s">
        <v>5149</v>
      </c>
      <c r="E1622" t="s">
        <v>5149</v>
      </c>
      <c r="G1622" s="13" t="s">
        <v>17522</v>
      </c>
      <c r="H1622" t="s">
        <v>17523</v>
      </c>
      <c r="J1622" t="s">
        <v>17524</v>
      </c>
      <c r="K1622" t="s">
        <v>6633</v>
      </c>
      <c r="L1622" t="s">
        <v>6633</v>
      </c>
      <c r="M1622" t="s">
        <v>7292</v>
      </c>
      <c r="T1622" t="s">
        <v>6546</v>
      </c>
      <c r="U1622" t="s">
        <v>6546</v>
      </c>
      <c r="V1622">
        <v>662</v>
      </c>
      <c r="W1622">
        <v>378.91</v>
      </c>
      <c r="X1622">
        <v>662</v>
      </c>
      <c r="AB1622" t="s">
        <v>17498</v>
      </c>
      <c r="AC1622" t="s">
        <v>10816</v>
      </c>
      <c r="AE1622" t="s">
        <v>17499</v>
      </c>
      <c r="AF1622" t="s">
        <v>17525</v>
      </c>
      <c r="AH1622" t="s">
        <v>17499</v>
      </c>
      <c r="AI1622" t="s">
        <v>10816</v>
      </c>
      <c r="AO1622" t="s">
        <v>17526</v>
      </c>
    </row>
    <row r="1623" spans="1:41" hidden="1" x14ac:dyDescent="0.35">
      <c r="A1623" t="s">
        <v>17527</v>
      </c>
      <c r="B1623" t="s">
        <v>7246</v>
      </c>
      <c r="C1623" t="s">
        <v>5149</v>
      </c>
      <c r="D1623" t="s">
        <v>5295</v>
      </c>
      <c r="E1623" t="s">
        <v>17528</v>
      </c>
      <c r="G1623" s="13" t="s">
        <v>17529</v>
      </c>
      <c r="H1623" t="s">
        <v>17530</v>
      </c>
      <c r="J1623" t="s">
        <v>17531</v>
      </c>
      <c r="K1623" t="s">
        <v>6864</v>
      </c>
      <c r="L1623" t="s">
        <v>6864</v>
      </c>
      <c r="M1623" t="s">
        <v>7250</v>
      </c>
      <c r="N1623">
        <v>2007</v>
      </c>
      <c r="R1623">
        <v>7.7</v>
      </c>
      <c r="S1623" t="s">
        <v>8257</v>
      </c>
      <c r="T1623">
        <v>7.7</v>
      </c>
      <c r="U1623">
        <v>3583.45</v>
      </c>
      <c r="V1623">
        <v>428</v>
      </c>
      <c r="W1623">
        <v>173.25</v>
      </c>
      <c r="X1623">
        <v>428</v>
      </c>
      <c r="AA1623" t="s">
        <v>17532</v>
      </c>
      <c r="AC1623" t="s">
        <v>10816</v>
      </c>
      <c r="AF1623" t="s">
        <v>17533</v>
      </c>
      <c r="AH1623" t="s">
        <v>5152</v>
      </c>
      <c r="AI1623" t="s">
        <v>10816</v>
      </c>
      <c r="AO1623" t="s">
        <v>17534</v>
      </c>
    </row>
    <row r="1624" spans="1:41" hidden="1" x14ac:dyDescent="0.35">
      <c r="A1624" t="s">
        <v>17535</v>
      </c>
      <c r="B1624" t="s">
        <v>7246</v>
      </c>
      <c r="C1624" t="s">
        <v>5861</v>
      </c>
      <c r="D1624" t="s">
        <v>5861</v>
      </c>
      <c r="E1624" t="s">
        <v>5861</v>
      </c>
      <c r="G1624" s="13" t="s">
        <v>17536</v>
      </c>
      <c r="H1624" t="s">
        <v>17537</v>
      </c>
      <c r="K1624" t="s">
        <v>8694</v>
      </c>
      <c r="L1624" t="s">
        <v>8694</v>
      </c>
      <c r="M1624" t="s">
        <v>7250</v>
      </c>
      <c r="N1624">
        <v>2008</v>
      </c>
      <c r="T1624" t="s">
        <v>6546</v>
      </c>
      <c r="U1624" t="s">
        <v>6546</v>
      </c>
      <c r="V1624">
        <v>268</v>
      </c>
      <c r="W1624">
        <v>241.89</v>
      </c>
      <c r="X1624">
        <v>268</v>
      </c>
      <c r="Y1624">
        <v>36</v>
      </c>
      <c r="Z1624" t="s">
        <v>7253</v>
      </c>
      <c r="AB1624" t="s">
        <v>11601</v>
      </c>
      <c r="AC1624" t="s">
        <v>8777</v>
      </c>
      <c r="AF1624" t="s">
        <v>11611</v>
      </c>
      <c r="AI1624" t="s">
        <v>8777</v>
      </c>
      <c r="AO1624" t="s">
        <v>17538</v>
      </c>
    </row>
    <row r="1625" spans="1:41" hidden="1" x14ac:dyDescent="0.35">
      <c r="A1625" t="s">
        <v>17539</v>
      </c>
      <c r="B1625" t="s">
        <v>7246</v>
      </c>
      <c r="C1625" t="s">
        <v>5456</v>
      </c>
      <c r="D1625" t="s">
        <v>5456</v>
      </c>
      <c r="E1625" t="s">
        <v>5456</v>
      </c>
      <c r="G1625" s="13" t="s">
        <v>17540</v>
      </c>
      <c r="H1625" t="s">
        <v>17541</v>
      </c>
      <c r="K1625" t="s">
        <v>17542</v>
      </c>
      <c r="L1625" t="s">
        <v>17543</v>
      </c>
      <c r="M1625" t="s">
        <v>7250</v>
      </c>
      <c r="N1625">
        <v>2015</v>
      </c>
      <c r="R1625">
        <v>15</v>
      </c>
      <c r="S1625" t="s">
        <v>8257</v>
      </c>
      <c r="T1625">
        <v>15</v>
      </c>
      <c r="U1625">
        <v>6980.75</v>
      </c>
      <c r="V1625">
        <v>1449</v>
      </c>
      <c r="W1625">
        <v>1366.66</v>
      </c>
      <c r="X1625">
        <v>1449</v>
      </c>
      <c r="Y1625">
        <v>42</v>
      </c>
      <c r="Z1625" t="s">
        <v>7253</v>
      </c>
      <c r="AA1625" t="s">
        <v>17544</v>
      </c>
      <c r="AB1625" t="s">
        <v>17545</v>
      </c>
      <c r="AC1625" t="s">
        <v>8844</v>
      </c>
      <c r="AD1625" t="s">
        <v>17546</v>
      </c>
      <c r="AE1625" t="s">
        <v>17547</v>
      </c>
      <c r="AF1625" t="s">
        <v>5462</v>
      </c>
      <c r="AH1625" t="s">
        <v>17548</v>
      </c>
      <c r="AI1625" t="s">
        <v>8844</v>
      </c>
      <c r="AL1625" t="s">
        <v>17549</v>
      </c>
      <c r="AO1625" t="s">
        <v>17550</v>
      </c>
    </row>
    <row r="1626" spans="1:41" hidden="1" x14ac:dyDescent="0.35">
      <c r="A1626" t="s">
        <v>17551</v>
      </c>
      <c r="B1626" t="s">
        <v>7246</v>
      </c>
      <c r="C1626" t="s">
        <v>368</v>
      </c>
      <c r="D1626" t="s">
        <v>368</v>
      </c>
      <c r="E1626" t="s">
        <v>368</v>
      </c>
      <c r="G1626" s="13" t="s">
        <v>7352</v>
      </c>
      <c r="H1626" t="s">
        <v>7353</v>
      </c>
      <c r="I1626" t="s">
        <v>17552</v>
      </c>
      <c r="K1626" t="s">
        <v>7268</v>
      </c>
      <c r="L1626" t="s">
        <v>7268</v>
      </c>
      <c r="M1626" t="s">
        <v>7415</v>
      </c>
      <c r="N1626">
        <v>2022</v>
      </c>
      <c r="R1626">
        <v>190</v>
      </c>
      <c r="S1626" t="s">
        <v>7251</v>
      </c>
      <c r="T1626">
        <v>1.97</v>
      </c>
      <c r="U1626">
        <v>914.53</v>
      </c>
      <c r="V1626">
        <v>0</v>
      </c>
      <c r="W1626" t="s">
        <v>6546</v>
      </c>
      <c r="X1626">
        <v>0</v>
      </c>
      <c r="AC1626" t="s">
        <v>7255</v>
      </c>
      <c r="AE1626" t="s">
        <v>1020</v>
      </c>
      <c r="AH1626" t="s">
        <v>1020</v>
      </c>
      <c r="AI1626" t="s">
        <v>7255</v>
      </c>
      <c r="AO1626" t="s">
        <v>6546</v>
      </c>
    </row>
    <row r="1627" spans="1:41" hidden="1" x14ac:dyDescent="0.35">
      <c r="A1627" t="s">
        <v>17553</v>
      </c>
      <c r="B1627" t="s">
        <v>7246</v>
      </c>
      <c r="C1627" t="s">
        <v>368</v>
      </c>
      <c r="D1627" t="s">
        <v>368</v>
      </c>
      <c r="E1627" t="s">
        <v>368</v>
      </c>
      <c r="G1627" s="13" t="s">
        <v>17554</v>
      </c>
      <c r="H1627" t="s">
        <v>17555</v>
      </c>
      <c r="K1627" t="s">
        <v>17556</v>
      </c>
      <c r="L1627" t="s">
        <v>17556</v>
      </c>
      <c r="M1627" t="s">
        <v>7250</v>
      </c>
      <c r="N1627">
        <v>2009</v>
      </c>
      <c r="R1627">
        <v>820</v>
      </c>
      <c r="S1627" t="s">
        <v>7251</v>
      </c>
      <c r="T1627">
        <v>8.48</v>
      </c>
      <c r="U1627">
        <v>3946.93</v>
      </c>
      <c r="V1627">
        <v>145</v>
      </c>
      <c r="W1627">
        <v>101.91</v>
      </c>
      <c r="X1627">
        <v>145</v>
      </c>
      <c r="Y1627">
        <v>30</v>
      </c>
      <c r="Z1627" t="s">
        <v>7253</v>
      </c>
      <c r="AB1627" t="s">
        <v>17557</v>
      </c>
      <c r="AC1627" t="s">
        <v>7255</v>
      </c>
      <c r="AE1627" t="s">
        <v>1027</v>
      </c>
      <c r="AF1627" t="s">
        <v>17558</v>
      </c>
      <c r="AH1627" t="s">
        <v>1027</v>
      </c>
      <c r="AI1627" t="s">
        <v>7255</v>
      </c>
      <c r="AO1627" t="s">
        <v>17559</v>
      </c>
    </row>
    <row r="1628" spans="1:41" hidden="1" x14ac:dyDescent="0.35">
      <c r="A1628" t="s">
        <v>17560</v>
      </c>
      <c r="B1628" t="s">
        <v>7246</v>
      </c>
      <c r="C1628" t="s">
        <v>368</v>
      </c>
      <c r="D1628" t="s">
        <v>368</v>
      </c>
      <c r="E1628" t="s">
        <v>368</v>
      </c>
      <c r="G1628" s="13" t="s">
        <v>7788</v>
      </c>
      <c r="H1628" t="s">
        <v>7789</v>
      </c>
      <c r="I1628" t="s">
        <v>17561</v>
      </c>
      <c r="K1628" t="s">
        <v>12932</v>
      </c>
      <c r="L1628" t="s">
        <v>12932</v>
      </c>
      <c r="M1628" t="s">
        <v>7292</v>
      </c>
      <c r="N1628">
        <v>2023</v>
      </c>
      <c r="T1628" t="s">
        <v>6546</v>
      </c>
      <c r="U1628" t="s">
        <v>6546</v>
      </c>
      <c r="V1628">
        <v>81</v>
      </c>
      <c r="W1628" t="s">
        <v>6546</v>
      </c>
      <c r="X1628">
        <v>81</v>
      </c>
      <c r="Y1628">
        <v>48</v>
      </c>
      <c r="Z1628" t="s">
        <v>7253</v>
      </c>
      <c r="AC1628" t="s">
        <v>7255</v>
      </c>
      <c r="AE1628" t="s">
        <v>989</v>
      </c>
      <c r="AH1628" t="s">
        <v>1020</v>
      </c>
      <c r="AI1628" t="s">
        <v>7255</v>
      </c>
      <c r="AO1628" t="s">
        <v>6546</v>
      </c>
    </row>
    <row r="1629" spans="1:41" hidden="1" x14ac:dyDescent="0.35">
      <c r="A1629" t="s">
        <v>17562</v>
      </c>
      <c r="B1629" t="s">
        <v>7246</v>
      </c>
      <c r="C1629" t="s">
        <v>368</v>
      </c>
      <c r="D1629" t="s">
        <v>368</v>
      </c>
      <c r="E1629" t="s">
        <v>368</v>
      </c>
      <c r="G1629" s="13" t="s">
        <v>7788</v>
      </c>
      <c r="H1629" t="s">
        <v>7789</v>
      </c>
      <c r="I1629" t="s">
        <v>17563</v>
      </c>
      <c r="K1629" t="s">
        <v>12932</v>
      </c>
      <c r="L1629" t="s">
        <v>12932</v>
      </c>
      <c r="M1629" t="s">
        <v>7292</v>
      </c>
      <c r="N1629">
        <v>2022</v>
      </c>
      <c r="T1629" t="s">
        <v>6546</v>
      </c>
      <c r="U1629" t="s">
        <v>6546</v>
      </c>
      <c r="V1629">
        <v>85</v>
      </c>
      <c r="W1629" t="s">
        <v>6546</v>
      </c>
      <c r="X1629">
        <v>85</v>
      </c>
      <c r="AC1629" t="s">
        <v>7255</v>
      </c>
      <c r="AE1629" t="s">
        <v>989</v>
      </c>
      <c r="AH1629" t="s">
        <v>1020</v>
      </c>
      <c r="AI1629" t="s">
        <v>7255</v>
      </c>
      <c r="AO1629" t="s">
        <v>6546</v>
      </c>
    </row>
    <row r="1630" spans="1:41" hidden="1" x14ac:dyDescent="0.35">
      <c r="A1630" t="s">
        <v>17564</v>
      </c>
      <c r="B1630" t="s">
        <v>7246</v>
      </c>
      <c r="C1630" t="s">
        <v>368</v>
      </c>
      <c r="D1630" t="s">
        <v>368</v>
      </c>
      <c r="E1630" t="s">
        <v>368</v>
      </c>
      <c r="G1630" s="13" t="s">
        <v>17565</v>
      </c>
      <c r="H1630" t="s">
        <v>17566</v>
      </c>
      <c r="K1630" t="s">
        <v>17567</v>
      </c>
      <c r="L1630" t="s">
        <v>17567</v>
      </c>
      <c r="M1630" t="s">
        <v>7731</v>
      </c>
      <c r="R1630">
        <v>1000</v>
      </c>
      <c r="S1630" t="s">
        <v>7251</v>
      </c>
      <c r="T1630">
        <v>10.34</v>
      </c>
      <c r="U1630">
        <v>4813.33</v>
      </c>
      <c r="V1630">
        <v>471</v>
      </c>
      <c r="W1630">
        <v>397.02</v>
      </c>
      <c r="X1630">
        <v>471</v>
      </c>
      <c r="AB1630" t="s">
        <v>7826</v>
      </c>
      <c r="AC1630" t="s">
        <v>7255</v>
      </c>
      <c r="AE1630" t="s">
        <v>1020</v>
      </c>
      <c r="AF1630" t="s">
        <v>17568</v>
      </c>
      <c r="AH1630" t="s">
        <v>1020</v>
      </c>
      <c r="AI1630" t="s">
        <v>7255</v>
      </c>
      <c r="AO1630" t="s">
        <v>17569</v>
      </c>
    </row>
    <row r="1631" spans="1:41" hidden="1" x14ac:dyDescent="0.35">
      <c r="A1631" t="s">
        <v>17570</v>
      </c>
      <c r="B1631" t="s">
        <v>7246</v>
      </c>
      <c r="C1631" t="s">
        <v>451</v>
      </c>
      <c r="D1631" t="s">
        <v>451</v>
      </c>
      <c r="E1631" t="s">
        <v>451</v>
      </c>
      <c r="G1631" s="13" t="s">
        <v>7640</v>
      </c>
      <c r="H1631" t="s">
        <v>7641</v>
      </c>
      <c r="I1631" t="s">
        <v>17571</v>
      </c>
      <c r="K1631" t="s">
        <v>7642</v>
      </c>
      <c r="L1631" t="s">
        <v>7643</v>
      </c>
      <c r="M1631" t="s">
        <v>7292</v>
      </c>
      <c r="N1631">
        <v>2023</v>
      </c>
      <c r="R1631">
        <v>125</v>
      </c>
      <c r="S1631" t="s">
        <v>7251</v>
      </c>
      <c r="T1631">
        <v>1.29</v>
      </c>
      <c r="U1631">
        <v>601.66999999999996</v>
      </c>
      <c r="V1631">
        <v>0</v>
      </c>
      <c r="W1631" t="s">
        <v>6546</v>
      </c>
      <c r="X1631">
        <v>0</v>
      </c>
      <c r="AC1631" t="s">
        <v>7255</v>
      </c>
      <c r="AI1631" t="s">
        <v>7255</v>
      </c>
      <c r="AO1631" t="s">
        <v>6546</v>
      </c>
    </row>
    <row r="1632" spans="1:41" hidden="1" x14ac:dyDescent="0.35">
      <c r="A1632" t="s">
        <v>17572</v>
      </c>
      <c r="B1632" t="s">
        <v>7246</v>
      </c>
      <c r="C1632" t="s">
        <v>451</v>
      </c>
      <c r="D1632" t="s">
        <v>451</v>
      </c>
      <c r="E1632" t="s">
        <v>451</v>
      </c>
      <c r="G1632" s="13" t="s">
        <v>7850</v>
      </c>
      <c r="H1632" t="s">
        <v>7851</v>
      </c>
      <c r="I1632" t="s">
        <v>17573</v>
      </c>
      <c r="K1632" t="s">
        <v>6543</v>
      </c>
      <c r="L1632" t="s">
        <v>6543</v>
      </c>
      <c r="M1632" t="s">
        <v>7415</v>
      </c>
      <c r="N1632">
        <v>2022</v>
      </c>
      <c r="R1632">
        <v>18</v>
      </c>
      <c r="T1632" t="s">
        <v>6546</v>
      </c>
      <c r="U1632" t="s">
        <v>6546</v>
      </c>
      <c r="V1632">
        <v>0</v>
      </c>
      <c r="W1632" t="s">
        <v>6546</v>
      </c>
      <c r="X1632">
        <v>0</v>
      </c>
      <c r="AC1632" t="s">
        <v>7255</v>
      </c>
      <c r="AE1632" t="s">
        <v>7853</v>
      </c>
      <c r="AH1632" t="s">
        <v>7332</v>
      </c>
      <c r="AI1632" t="s">
        <v>7255</v>
      </c>
      <c r="AO1632" t="s">
        <v>6546</v>
      </c>
    </row>
    <row r="1633" spans="1:41" hidden="1" x14ac:dyDescent="0.35">
      <c r="A1633" t="s">
        <v>17574</v>
      </c>
      <c r="B1633" t="s">
        <v>7246</v>
      </c>
      <c r="C1633" t="s">
        <v>683</v>
      </c>
      <c r="D1633" t="s">
        <v>5925</v>
      </c>
      <c r="E1633" t="s">
        <v>17160</v>
      </c>
      <c r="G1633" s="13" t="s">
        <v>10084</v>
      </c>
      <c r="H1633" t="s">
        <v>10085</v>
      </c>
      <c r="I1633" t="s">
        <v>17575</v>
      </c>
      <c r="J1633" t="s">
        <v>10086</v>
      </c>
      <c r="K1633" t="s">
        <v>10087</v>
      </c>
      <c r="L1633" t="s">
        <v>10087</v>
      </c>
      <c r="M1633" t="s">
        <v>7292</v>
      </c>
      <c r="N1633">
        <v>2025</v>
      </c>
      <c r="R1633">
        <v>9</v>
      </c>
      <c r="S1633" t="s">
        <v>8257</v>
      </c>
      <c r="T1633">
        <v>9</v>
      </c>
      <c r="U1633">
        <v>4188.45</v>
      </c>
      <c r="V1633">
        <v>0</v>
      </c>
      <c r="W1633" t="s">
        <v>6546</v>
      </c>
      <c r="X1633">
        <v>0</v>
      </c>
      <c r="Y1633" t="s">
        <v>17576</v>
      </c>
      <c r="Z1633" t="s">
        <v>8842</v>
      </c>
      <c r="AA1633" t="s">
        <v>10088</v>
      </c>
      <c r="AB1633" s="13" t="s">
        <v>10095</v>
      </c>
      <c r="AC1633" t="s">
        <v>8844</v>
      </c>
      <c r="AF1633" t="s">
        <v>10090</v>
      </c>
      <c r="AH1633" t="s">
        <v>10091</v>
      </c>
      <c r="AI1633" t="s">
        <v>8777</v>
      </c>
      <c r="AJ1633" t="s">
        <v>9032</v>
      </c>
      <c r="AO1633" t="s">
        <v>6546</v>
      </c>
    </row>
    <row r="1634" spans="1:41" hidden="1" x14ac:dyDescent="0.35">
      <c r="A1634" t="s">
        <v>17577</v>
      </c>
      <c r="B1634" t="s">
        <v>7246</v>
      </c>
      <c r="C1634" t="s">
        <v>451</v>
      </c>
      <c r="D1634" t="s">
        <v>451</v>
      </c>
      <c r="E1634" t="s">
        <v>451</v>
      </c>
      <c r="G1634" s="13" t="s">
        <v>17578</v>
      </c>
      <c r="H1634" t="s">
        <v>7483</v>
      </c>
      <c r="I1634" t="s">
        <v>17579</v>
      </c>
      <c r="K1634" t="s">
        <v>7484</v>
      </c>
      <c r="L1634" t="s">
        <v>7485</v>
      </c>
      <c r="M1634" t="s">
        <v>7292</v>
      </c>
      <c r="N1634">
        <v>2024</v>
      </c>
      <c r="R1634">
        <v>4600</v>
      </c>
      <c r="S1634" t="s">
        <v>7251</v>
      </c>
      <c r="T1634">
        <v>47.58</v>
      </c>
      <c r="U1634">
        <v>22141.34</v>
      </c>
      <c r="V1634">
        <v>107.83</v>
      </c>
      <c r="W1634">
        <v>148.62</v>
      </c>
      <c r="X1634">
        <v>107.83</v>
      </c>
      <c r="Y1634">
        <v>42</v>
      </c>
      <c r="Z1634" t="s">
        <v>7253</v>
      </c>
      <c r="AB1634" t="s">
        <v>17580</v>
      </c>
      <c r="AC1634" t="s">
        <v>7255</v>
      </c>
      <c r="AD1634" t="s">
        <v>8080</v>
      </c>
      <c r="AE1634" t="s">
        <v>497</v>
      </c>
      <c r="AF1634" t="s">
        <v>7488</v>
      </c>
      <c r="AG1634" t="s">
        <v>17581</v>
      </c>
      <c r="AH1634" t="s">
        <v>497</v>
      </c>
      <c r="AI1634" t="s">
        <v>7255</v>
      </c>
      <c r="AO1634" t="s">
        <v>7489</v>
      </c>
    </row>
    <row r="1635" spans="1:41" hidden="1" x14ac:dyDescent="0.35">
      <c r="A1635" t="s">
        <v>17582</v>
      </c>
      <c r="B1635" t="s">
        <v>7246</v>
      </c>
      <c r="C1635" t="s">
        <v>451</v>
      </c>
      <c r="D1635" t="s">
        <v>451</v>
      </c>
      <c r="E1635" t="s">
        <v>451</v>
      </c>
      <c r="G1635" s="13" t="s">
        <v>7260</v>
      </c>
      <c r="H1635" t="s">
        <v>7261</v>
      </c>
      <c r="I1635" t="s">
        <v>17583</v>
      </c>
      <c r="K1635" t="s">
        <v>7262</v>
      </c>
      <c r="L1635" t="s">
        <v>7262</v>
      </c>
      <c r="M1635" t="s">
        <v>7250</v>
      </c>
      <c r="N1635">
        <v>2021</v>
      </c>
      <c r="R1635">
        <v>1000</v>
      </c>
      <c r="S1635" t="s">
        <v>7251</v>
      </c>
      <c r="T1635">
        <v>10.34</v>
      </c>
      <c r="U1635">
        <v>4813.33</v>
      </c>
      <c r="V1635">
        <v>128.72999999999999</v>
      </c>
      <c r="W1635">
        <v>128.19999999999999</v>
      </c>
      <c r="X1635">
        <v>128.72999999999999</v>
      </c>
      <c r="AC1635" t="s">
        <v>7255</v>
      </c>
      <c r="AD1635" t="s">
        <v>2613</v>
      </c>
      <c r="AE1635" t="s">
        <v>497</v>
      </c>
      <c r="AG1635" t="s">
        <v>8094</v>
      </c>
      <c r="AH1635" t="s">
        <v>497</v>
      </c>
      <c r="AI1635" t="s">
        <v>7255</v>
      </c>
      <c r="AO1635" t="s">
        <v>17584</v>
      </c>
    </row>
    <row r="1636" spans="1:41" hidden="1" x14ac:dyDescent="0.35">
      <c r="A1636" t="s">
        <v>17585</v>
      </c>
      <c r="B1636" t="s">
        <v>7246</v>
      </c>
      <c r="C1636" t="s">
        <v>383</v>
      </c>
      <c r="D1636" t="s">
        <v>383</v>
      </c>
      <c r="E1636" t="s">
        <v>383</v>
      </c>
      <c r="G1636" s="13" t="s">
        <v>15115</v>
      </c>
      <c r="H1636" t="s">
        <v>15116</v>
      </c>
      <c r="I1636" t="s">
        <v>7331</v>
      </c>
      <c r="J1636" t="s">
        <v>15117</v>
      </c>
      <c r="K1636" t="s">
        <v>10763</v>
      </c>
      <c r="L1636" t="s">
        <v>10763</v>
      </c>
      <c r="M1636" t="s">
        <v>7250</v>
      </c>
      <c r="N1636">
        <v>2019</v>
      </c>
      <c r="R1636">
        <v>16</v>
      </c>
      <c r="S1636" t="s">
        <v>8792</v>
      </c>
      <c r="T1636">
        <v>5.84</v>
      </c>
      <c r="U1636">
        <v>2719.7</v>
      </c>
      <c r="V1636">
        <v>44</v>
      </c>
      <c r="W1636">
        <v>425.9</v>
      </c>
      <c r="X1636">
        <v>44</v>
      </c>
      <c r="AB1636" t="s">
        <v>2749</v>
      </c>
      <c r="AC1636" t="s">
        <v>8859</v>
      </c>
      <c r="AE1636" t="s">
        <v>3102</v>
      </c>
      <c r="AF1636" t="s">
        <v>2749</v>
      </c>
      <c r="AH1636" t="s">
        <v>3102</v>
      </c>
      <c r="AI1636" t="s">
        <v>8859</v>
      </c>
      <c r="AO1636" t="s">
        <v>17586</v>
      </c>
    </row>
    <row r="1637" spans="1:41" hidden="1" x14ac:dyDescent="0.35">
      <c r="A1637" t="s">
        <v>17587</v>
      </c>
      <c r="B1637" t="s">
        <v>7246</v>
      </c>
      <c r="C1637" t="s">
        <v>10693</v>
      </c>
      <c r="D1637" t="s">
        <v>10693</v>
      </c>
      <c r="E1637" t="s">
        <v>10693</v>
      </c>
      <c r="G1637" s="13" t="s">
        <v>17588</v>
      </c>
      <c r="H1637" t="s">
        <v>17589</v>
      </c>
      <c r="K1637" t="s">
        <v>17590</v>
      </c>
      <c r="L1637" t="s">
        <v>17590</v>
      </c>
      <c r="M1637" t="s">
        <v>7250</v>
      </c>
      <c r="N1637">
        <v>1997</v>
      </c>
      <c r="R1637">
        <v>730</v>
      </c>
      <c r="S1637" t="s">
        <v>7251</v>
      </c>
      <c r="T1637">
        <v>7.55</v>
      </c>
      <c r="U1637">
        <v>3513.73</v>
      </c>
      <c r="V1637">
        <v>4045</v>
      </c>
      <c r="W1637">
        <v>1958.66</v>
      </c>
      <c r="X1637">
        <v>4045</v>
      </c>
      <c r="AA1637" t="s">
        <v>13361</v>
      </c>
      <c r="AC1637" t="s">
        <v>8523</v>
      </c>
      <c r="AE1637" t="s">
        <v>13363</v>
      </c>
      <c r="AF1637" t="s">
        <v>17591</v>
      </c>
      <c r="AI1637" t="s">
        <v>8523</v>
      </c>
      <c r="AL1637" t="s">
        <v>17592</v>
      </c>
      <c r="AN1637" s="13" t="s">
        <v>17593</v>
      </c>
      <c r="AO1637" t="s">
        <v>17594</v>
      </c>
    </row>
    <row r="1638" spans="1:41" hidden="1" x14ac:dyDescent="0.35">
      <c r="A1638" t="s">
        <v>17595</v>
      </c>
      <c r="B1638" t="s">
        <v>7246</v>
      </c>
      <c r="C1638" t="s">
        <v>5430</v>
      </c>
      <c r="D1638" t="s">
        <v>5430</v>
      </c>
      <c r="E1638" t="s">
        <v>5430</v>
      </c>
      <c r="G1638" s="13" t="s">
        <v>17596</v>
      </c>
      <c r="H1638" t="s">
        <v>17597</v>
      </c>
      <c r="K1638" t="s">
        <v>17598</v>
      </c>
      <c r="L1638" t="s">
        <v>17598</v>
      </c>
      <c r="M1638" t="s">
        <v>7250</v>
      </c>
      <c r="N1638">
        <v>2005</v>
      </c>
      <c r="R1638">
        <v>2400</v>
      </c>
      <c r="S1638" t="s">
        <v>7251</v>
      </c>
      <c r="T1638">
        <v>24.82</v>
      </c>
      <c r="U1638">
        <v>11552</v>
      </c>
      <c r="V1638">
        <v>76.5</v>
      </c>
      <c r="W1638">
        <v>74.099999999999994</v>
      </c>
      <c r="X1638">
        <v>76.5</v>
      </c>
      <c r="Y1638">
        <v>56</v>
      </c>
      <c r="Z1638" t="s">
        <v>7253</v>
      </c>
      <c r="AA1638" t="s">
        <v>17599</v>
      </c>
      <c r="AB1638" t="s">
        <v>17599</v>
      </c>
      <c r="AC1638" t="s">
        <v>8523</v>
      </c>
      <c r="AF1638" t="s">
        <v>17600</v>
      </c>
      <c r="AI1638" t="s">
        <v>8523</v>
      </c>
      <c r="AL1638" t="s">
        <v>17601</v>
      </c>
      <c r="AN1638" s="13" t="s">
        <v>17602</v>
      </c>
      <c r="AO1638" t="s">
        <v>17603</v>
      </c>
    </row>
    <row r="1639" spans="1:41" hidden="1" x14ac:dyDescent="0.35">
      <c r="A1639" t="s">
        <v>17604</v>
      </c>
      <c r="B1639" t="s">
        <v>7246</v>
      </c>
      <c r="C1639" t="s">
        <v>5430</v>
      </c>
      <c r="D1639" t="s">
        <v>5430</v>
      </c>
      <c r="E1639" t="s">
        <v>5430</v>
      </c>
      <c r="G1639" s="13" t="s">
        <v>17605</v>
      </c>
      <c r="H1639" t="s">
        <v>17606</v>
      </c>
      <c r="J1639" t="s">
        <v>17607</v>
      </c>
      <c r="K1639" t="s">
        <v>6919</v>
      </c>
      <c r="L1639" t="s">
        <v>6919</v>
      </c>
      <c r="M1639" t="s">
        <v>7250</v>
      </c>
      <c r="N1639">
        <v>2006</v>
      </c>
      <c r="R1639">
        <v>275</v>
      </c>
      <c r="S1639" t="s">
        <v>7251</v>
      </c>
      <c r="T1639">
        <v>2.84</v>
      </c>
      <c r="U1639">
        <v>1323.67</v>
      </c>
      <c r="V1639">
        <v>95</v>
      </c>
      <c r="W1639">
        <v>127.03</v>
      </c>
      <c r="X1639">
        <v>95</v>
      </c>
      <c r="Y1639">
        <v>24</v>
      </c>
      <c r="Z1639" t="s">
        <v>7253</v>
      </c>
      <c r="AA1639" t="s">
        <v>17608</v>
      </c>
      <c r="AB1639" t="s">
        <v>17609</v>
      </c>
      <c r="AC1639" t="s">
        <v>8523</v>
      </c>
      <c r="AF1639" t="s">
        <v>17610</v>
      </c>
      <c r="AI1639" t="s">
        <v>8523</v>
      </c>
      <c r="AL1639" t="s">
        <v>17611</v>
      </c>
      <c r="AN1639" s="13" t="s">
        <v>17612</v>
      </c>
      <c r="AO1639" t="s">
        <v>17613</v>
      </c>
    </row>
    <row r="1640" spans="1:41" hidden="1" x14ac:dyDescent="0.35">
      <c r="A1640" t="s">
        <v>17614</v>
      </c>
      <c r="B1640" t="s">
        <v>7246</v>
      </c>
      <c r="C1640" t="s">
        <v>5430</v>
      </c>
      <c r="D1640" t="s">
        <v>5430</v>
      </c>
      <c r="E1640" t="s">
        <v>5430</v>
      </c>
      <c r="G1640" s="13" t="s">
        <v>17615</v>
      </c>
      <c r="H1640" t="s">
        <v>17616</v>
      </c>
      <c r="J1640" t="s">
        <v>17617</v>
      </c>
      <c r="K1640" t="s">
        <v>17618</v>
      </c>
      <c r="L1640" t="s">
        <v>17618</v>
      </c>
      <c r="M1640" t="s">
        <v>7250</v>
      </c>
      <c r="N1640">
        <v>2001</v>
      </c>
      <c r="R1640">
        <v>520</v>
      </c>
      <c r="S1640" t="s">
        <v>7251</v>
      </c>
      <c r="T1640">
        <v>5.38</v>
      </c>
      <c r="U1640">
        <v>2502.9299999999998</v>
      </c>
      <c r="V1640">
        <v>107</v>
      </c>
      <c r="W1640">
        <v>67.11</v>
      </c>
      <c r="X1640">
        <v>107</v>
      </c>
      <c r="Y1640">
        <v>24</v>
      </c>
      <c r="Z1640" t="s">
        <v>7253</v>
      </c>
      <c r="AA1640" t="s">
        <v>17619</v>
      </c>
      <c r="AB1640" t="s">
        <v>17620</v>
      </c>
      <c r="AC1640" t="s">
        <v>8523</v>
      </c>
      <c r="AF1640" t="s">
        <v>17600</v>
      </c>
      <c r="AI1640" t="s">
        <v>8523</v>
      </c>
      <c r="AL1640" t="s">
        <v>17621</v>
      </c>
      <c r="AN1640" s="13" t="s">
        <v>17622</v>
      </c>
      <c r="AO1640" t="s">
        <v>17623</v>
      </c>
    </row>
    <row r="1641" spans="1:41" hidden="1" x14ac:dyDescent="0.35">
      <c r="A1641" t="s">
        <v>17624</v>
      </c>
      <c r="B1641" t="s">
        <v>7246</v>
      </c>
      <c r="C1641" t="s">
        <v>8566</v>
      </c>
      <c r="D1641" t="s">
        <v>364</v>
      </c>
      <c r="E1641" t="s">
        <v>17625</v>
      </c>
      <c r="G1641" s="13" t="s">
        <v>17626</v>
      </c>
      <c r="H1641" t="s">
        <v>17627</v>
      </c>
      <c r="J1641" t="s">
        <v>17628</v>
      </c>
      <c r="K1641" t="s">
        <v>17629</v>
      </c>
      <c r="L1641" t="s">
        <v>17630</v>
      </c>
      <c r="M1641" t="s">
        <v>7250</v>
      </c>
      <c r="N1641">
        <v>2002</v>
      </c>
      <c r="R1641">
        <v>1.02</v>
      </c>
      <c r="S1641" t="s">
        <v>8257</v>
      </c>
      <c r="T1641">
        <v>1.02</v>
      </c>
      <c r="U1641">
        <v>474.69</v>
      </c>
      <c r="V1641">
        <v>645</v>
      </c>
      <c r="W1641">
        <v>605.96</v>
      </c>
      <c r="X1641">
        <v>645</v>
      </c>
      <c r="Y1641">
        <v>18</v>
      </c>
      <c r="Z1641" t="s">
        <v>7253</v>
      </c>
      <c r="AB1641" t="s">
        <v>17631</v>
      </c>
      <c r="AC1641" t="s">
        <v>8523</v>
      </c>
      <c r="AE1641" t="s">
        <v>3179</v>
      </c>
      <c r="AF1641" t="s">
        <v>17632</v>
      </c>
      <c r="AH1641" t="s">
        <v>17633</v>
      </c>
      <c r="AI1641" t="s">
        <v>8523</v>
      </c>
      <c r="AL1641" t="s">
        <v>17634</v>
      </c>
      <c r="AN1641" s="13" t="s">
        <v>17635</v>
      </c>
      <c r="AO1641" t="s">
        <v>17636</v>
      </c>
    </row>
    <row r="1642" spans="1:41" hidden="1" x14ac:dyDescent="0.35">
      <c r="A1642" t="s">
        <v>17637</v>
      </c>
      <c r="B1642" t="s">
        <v>7246</v>
      </c>
      <c r="C1642" t="s">
        <v>383</v>
      </c>
      <c r="D1642" t="s">
        <v>383</v>
      </c>
      <c r="E1642" t="s">
        <v>383</v>
      </c>
      <c r="G1642" s="13" t="s">
        <v>17638</v>
      </c>
      <c r="H1642" t="s">
        <v>17639</v>
      </c>
      <c r="K1642" t="s">
        <v>13526</v>
      </c>
      <c r="L1642" t="s">
        <v>13526</v>
      </c>
      <c r="M1642" t="s">
        <v>7292</v>
      </c>
      <c r="N1642">
        <v>2024</v>
      </c>
      <c r="R1642">
        <v>18</v>
      </c>
      <c r="S1642" t="s">
        <v>8792</v>
      </c>
      <c r="T1642">
        <v>6.57</v>
      </c>
      <c r="U1642">
        <v>3059.66</v>
      </c>
      <c r="V1642">
        <v>125</v>
      </c>
      <c r="W1642">
        <v>98.06</v>
      </c>
      <c r="X1642">
        <v>125</v>
      </c>
      <c r="AB1642" t="s">
        <v>6941</v>
      </c>
      <c r="AC1642" t="s">
        <v>8859</v>
      </c>
      <c r="AE1642" t="s">
        <v>2787</v>
      </c>
      <c r="AF1642" t="s">
        <v>17640</v>
      </c>
      <c r="AH1642" t="s">
        <v>2787</v>
      </c>
      <c r="AI1642" t="s">
        <v>8859</v>
      </c>
      <c r="AO1642" t="s">
        <v>17641</v>
      </c>
    </row>
    <row r="1643" spans="1:41" x14ac:dyDescent="0.35">
      <c r="A1643" t="s">
        <v>17642</v>
      </c>
      <c r="B1643" t="s">
        <v>7246</v>
      </c>
      <c r="C1643" t="s">
        <v>24</v>
      </c>
      <c r="D1643" t="s">
        <v>24</v>
      </c>
      <c r="E1643" t="s">
        <v>24</v>
      </c>
      <c r="F1643" t="s">
        <v>354</v>
      </c>
      <c r="G1643" s="13" t="s">
        <v>17643</v>
      </c>
      <c r="H1643" t="s">
        <v>17644</v>
      </c>
      <c r="K1643" t="s">
        <v>17645</v>
      </c>
      <c r="L1643" t="s">
        <v>17645</v>
      </c>
      <c r="M1643" t="s">
        <v>7250</v>
      </c>
      <c r="N1643">
        <v>2014</v>
      </c>
      <c r="T1643" t="s">
        <v>6546</v>
      </c>
      <c r="U1643" t="s">
        <v>6546</v>
      </c>
      <c r="V1643">
        <v>540</v>
      </c>
      <c r="W1643">
        <v>656.86</v>
      </c>
      <c r="X1643">
        <v>540</v>
      </c>
      <c r="Y1643">
        <v>42</v>
      </c>
      <c r="Z1643" t="s">
        <v>7253</v>
      </c>
      <c r="AA1643" t="s">
        <v>17646</v>
      </c>
      <c r="AC1643" t="s">
        <v>9165</v>
      </c>
      <c r="AE1643" t="s">
        <v>17647</v>
      </c>
      <c r="AF1643" t="s">
        <v>17648</v>
      </c>
      <c r="AH1643" t="s">
        <v>2973</v>
      </c>
      <c r="AI1643" t="s">
        <v>9165</v>
      </c>
      <c r="AJ1643" t="s">
        <v>6407</v>
      </c>
      <c r="AK1643">
        <v>2010</v>
      </c>
      <c r="AO1643" t="s">
        <v>17649</v>
      </c>
    </row>
    <row r="1644" spans="1:41" x14ac:dyDescent="0.35">
      <c r="A1644" t="s">
        <v>17650</v>
      </c>
      <c r="B1644" t="s">
        <v>7246</v>
      </c>
      <c r="C1644" t="s">
        <v>24</v>
      </c>
      <c r="D1644" t="s">
        <v>24</v>
      </c>
      <c r="E1644" t="s">
        <v>24</v>
      </c>
      <c r="F1644" t="s">
        <v>354</v>
      </c>
      <c r="G1644" s="13" t="s">
        <v>17651</v>
      </c>
      <c r="H1644" t="s">
        <v>17652</v>
      </c>
      <c r="K1644" t="s">
        <v>17310</v>
      </c>
      <c r="L1644" t="s">
        <v>17310</v>
      </c>
      <c r="M1644" t="s">
        <v>7250</v>
      </c>
      <c r="N1644">
        <v>2019</v>
      </c>
      <c r="R1644">
        <v>13</v>
      </c>
      <c r="S1644" t="s">
        <v>9164</v>
      </c>
      <c r="T1644">
        <v>0.13</v>
      </c>
      <c r="U1644">
        <v>61.87</v>
      </c>
      <c r="V1644">
        <v>440</v>
      </c>
      <c r="W1644">
        <v>435.4</v>
      </c>
      <c r="X1644">
        <v>440</v>
      </c>
      <c r="AB1644" t="s">
        <v>17653</v>
      </c>
      <c r="AC1644" t="s">
        <v>9165</v>
      </c>
      <c r="AE1644" t="s">
        <v>10751</v>
      </c>
      <c r="AF1644" t="s">
        <v>17654</v>
      </c>
      <c r="AH1644" t="s">
        <v>10751</v>
      </c>
      <c r="AI1644" t="s">
        <v>9165</v>
      </c>
      <c r="AO1644" t="s">
        <v>17655</v>
      </c>
    </row>
    <row r="1645" spans="1:41" hidden="1" x14ac:dyDescent="0.35">
      <c r="A1645" t="s">
        <v>17656</v>
      </c>
      <c r="B1645" t="s">
        <v>7246</v>
      </c>
      <c r="C1645" t="s">
        <v>451</v>
      </c>
      <c r="D1645" t="s">
        <v>451</v>
      </c>
      <c r="E1645" t="s">
        <v>451</v>
      </c>
      <c r="G1645" s="13" t="s">
        <v>17657</v>
      </c>
      <c r="H1645" t="s">
        <v>17658</v>
      </c>
      <c r="K1645" t="s">
        <v>14333</v>
      </c>
      <c r="L1645" t="s">
        <v>14333</v>
      </c>
      <c r="M1645" t="s">
        <v>7250</v>
      </c>
      <c r="N1645">
        <v>2009</v>
      </c>
      <c r="R1645">
        <v>1100</v>
      </c>
      <c r="S1645" t="s">
        <v>17659</v>
      </c>
      <c r="T1645">
        <v>11.38</v>
      </c>
      <c r="U1645">
        <v>5294.67</v>
      </c>
      <c r="V1645">
        <v>257.5</v>
      </c>
      <c r="W1645">
        <v>208.88</v>
      </c>
      <c r="X1645">
        <v>257.5</v>
      </c>
      <c r="Y1645">
        <v>42</v>
      </c>
      <c r="Z1645" t="s">
        <v>7253</v>
      </c>
      <c r="AB1645" t="s">
        <v>8179</v>
      </c>
      <c r="AC1645" t="s">
        <v>7255</v>
      </c>
      <c r="AE1645" t="s">
        <v>486</v>
      </c>
      <c r="AF1645" t="s">
        <v>957</v>
      </c>
      <c r="AH1645" t="s">
        <v>486</v>
      </c>
      <c r="AI1645" t="s">
        <v>7255</v>
      </c>
      <c r="AO1645" t="s">
        <v>17660</v>
      </c>
    </row>
    <row r="1646" spans="1:41" hidden="1" x14ac:dyDescent="0.35">
      <c r="A1646" t="s">
        <v>17661</v>
      </c>
      <c r="B1646" t="s">
        <v>7246</v>
      </c>
      <c r="C1646" t="s">
        <v>451</v>
      </c>
      <c r="D1646" t="s">
        <v>451</v>
      </c>
      <c r="E1646" t="s">
        <v>451</v>
      </c>
      <c r="G1646" s="13" t="s">
        <v>17662</v>
      </c>
      <c r="H1646" t="s">
        <v>17663</v>
      </c>
      <c r="K1646" t="s">
        <v>17664</v>
      </c>
      <c r="L1646" t="s">
        <v>17664</v>
      </c>
      <c r="M1646" t="s">
        <v>7269</v>
      </c>
      <c r="R1646">
        <v>1000</v>
      </c>
      <c r="S1646" t="s">
        <v>7251</v>
      </c>
      <c r="T1646">
        <v>10.34</v>
      </c>
      <c r="U1646">
        <v>4813.33</v>
      </c>
      <c r="V1646">
        <v>43.45</v>
      </c>
      <c r="W1646">
        <v>30.03</v>
      </c>
      <c r="X1646">
        <v>43.45</v>
      </c>
      <c r="Y1646">
        <v>36</v>
      </c>
      <c r="Z1646" t="s">
        <v>7253</v>
      </c>
      <c r="AB1646" t="s">
        <v>17665</v>
      </c>
      <c r="AC1646" t="s">
        <v>7255</v>
      </c>
      <c r="AE1646" t="s">
        <v>486</v>
      </c>
      <c r="AF1646" t="s">
        <v>17666</v>
      </c>
      <c r="AG1646" t="s">
        <v>17667</v>
      </c>
      <c r="AH1646" t="s">
        <v>486</v>
      </c>
      <c r="AI1646" t="s">
        <v>7255</v>
      </c>
      <c r="AO1646" t="s">
        <v>17668</v>
      </c>
    </row>
    <row r="1647" spans="1:41" hidden="1" x14ac:dyDescent="0.35">
      <c r="A1647" t="s">
        <v>17669</v>
      </c>
      <c r="B1647" t="s">
        <v>7246</v>
      </c>
      <c r="C1647" t="s">
        <v>451</v>
      </c>
      <c r="D1647" t="s">
        <v>451</v>
      </c>
      <c r="E1647" t="s">
        <v>451</v>
      </c>
      <c r="G1647" s="13" t="s">
        <v>17670</v>
      </c>
      <c r="H1647" t="s">
        <v>17671</v>
      </c>
      <c r="J1647" t="s">
        <v>17672</v>
      </c>
      <c r="K1647" t="s">
        <v>8471</v>
      </c>
      <c r="L1647" t="s">
        <v>8471</v>
      </c>
      <c r="M1647" t="s">
        <v>7250</v>
      </c>
      <c r="N1647">
        <v>2010</v>
      </c>
      <c r="R1647">
        <v>945</v>
      </c>
      <c r="S1647" t="s">
        <v>17659</v>
      </c>
      <c r="T1647">
        <v>9.77</v>
      </c>
      <c r="U1647">
        <v>4548.6000000000004</v>
      </c>
      <c r="V1647">
        <v>305.77999999999997</v>
      </c>
      <c r="W1647">
        <v>317.54000000000002</v>
      </c>
      <c r="X1647">
        <v>305.77999999999997</v>
      </c>
      <c r="Y1647" t="s">
        <v>17673</v>
      </c>
      <c r="Z1647" t="s">
        <v>7253</v>
      </c>
      <c r="AB1647" t="s">
        <v>17674</v>
      </c>
      <c r="AC1647" t="s">
        <v>7255</v>
      </c>
      <c r="AE1647" t="s">
        <v>683</v>
      </c>
      <c r="AH1647" t="s">
        <v>941</v>
      </c>
      <c r="AI1647" t="s">
        <v>7255</v>
      </c>
      <c r="AO1647" t="s">
        <v>17675</v>
      </c>
    </row>
    <row r="1648" spans="1:41" hidden="1" x14ac:dyDescent="0.35">
      <c r="A1648" t="s">
        <v>17676</v>
      </c>
      <c r="B1648" t="s">
        <v>7246</v>
      </c>
      <c r="C1648" t="s">
        <v>451</v>
      </c>
      <c r="D1648" t="s">
        <v>451</v>
      </c>
      <c r="E1648" t="s">
        <v>451</v>
      </c>
      <c r="G1648" s="13" t="s">
        <v>8011</v>
      </c>
      <c r="H1648" t="s">
        <v>8012</v>
      </c>
      <c r="I1648" t="s">
        <v>17677</v>
      </c>
      <c r="K1648" t="s">
        <v>8014</v>
      </c>
      <c r="L1648" t="s">
        <v>7346</v>
      </c>
      <c r="M1648" t="s">
        <v>7250</v>
      </c>
      <c r="N1648">
        <v>2019</v>
      </c>
      <c r="R1648">
        <v>475</v>
      </c>
      <c r="S1648" t="s">
        <v>7251</v>
      </c>
      <c r="T1648">
        <v>4.91</v>
      </c>
      <c r="U1648">
        <v>2286.33</v>
      </c>
      <c r="V1648">
        <v>0</v>
      </c>
      <c r="W1648" t="s">
        <v>6546</v>
      </c>
      <c r="X1648">
        <v>0</v>
      </c>
      <c r="AB1648" t="s">
        <v>17678</v>
      </c>
      <c r="AC1648" t="s">
        <v>7255</v>
      </c>
      <c r="AE1648" t="s">
        <v>497</v>
      </c>
      <c r="AF1648" t="s">
        <v>17679</v>
      </c>
      <c r="AH1648" t="s">
        <v>486</v>
      </c>
      <c r="AI1648" t="s">
        <v>7255</v>
      </c>
      <c r="AO1648" t="s">
        <v>6546</v>
      </c>
    </row>
    <row r="1649" spans="1:41" hidden="1" x14ac:dyDescent="0.35">
      <c r="A1649" t="s">
        <v>17680</v>
      </c>
      <c r="B1649" t="s">
        <v>7246</v>
      </c>
      <c r="C1649" t="s">
        <v>383</v>
      </c>
      <c r="D1649" t="s">
        <v>383</v>
      </c>
      <c r="E1649" t="s">
        <v>383</v>
      </c>
      <c r="G1649" s="13" t="s">
        <v>17681</v>
      </c>
      <c r="H1649" t="s">
        <v>17682</v>
      </c>
      <c r="K1649" t="s">
        <v>10763</v>
      </c>
      <c r="L1649" t="s">
        <v>10763</v>
      </c>
      <c r="M1649" t="s">
        <v>7250</v>
      </c>
      <c r="N1649">
        <v>1997</v>
      </c>
      <c r="R1649">
        <v>107</v>
      </c>
      <c r="S1649" t="s">
        <v>8792</v>
      </c>
      <c r="T1649">
        <v>39.08</v>
      </c>
      <c r="U1649">
        <v>18188</v>
      </c>
      <c r="V1649">
        <v>505</v>
      </c>
      <c r="W1649">
        <v>492.03</v>
      </c>
      <c r="X1649">
        <v>505</v>
      </c>
      <c r="Y1649">
        <v>36</v>
      </c>
      <c r="Z1649" t="s">
        <v>7253</v>
      </c>
      <c r="AB1649" t="s">
        <v>2728</v>
      </c>
      <c r="AC1649" t="s">
        <v>8859</v>
      </c>
      <c r="AE1649" t="s">
        <v>3104</v>
      </c>
      <c r="AF1649" t="s">
        <v>17683</v>
      </c>
      <c r="AH1649" t="s">
        <v>3117</v>
      </c>
      <c r="AI1649" t="s">
        <v>8859</v>
      </c>
      <c r="AO1649" t="s">
        <v>17684</v>
      </c>
    </row>
    <row r="1650" spans="1:41" hidden="1" x14ac:dyDescent="0.35">
      <c r="A1650" t="s">
        <v>17685</v>
      </c>
      <c r="B1650" t="s">
        <v>7246</v>
      </c>
      <c r="C1650" t="s">
        <v>383</v>
      </c>
      <c r="D1650" t="s">
        <v>383</v>
      </c>
      <c r="E1650" t="s">
        <v>383</v>
      </c>
      <c r="G1650" s="13" t="s">
        <v>17686</v>
      </c>
      <c r="H1650" t="s">
        <v>17687</v>
      </c>
      <c r="K1650" t="s">
        <v>10763</v>
      </c>
      <c r="L1650" t="s">
        <v>10763</v>
      </c>
      <c r="M1650" t="s">
        <v>7250</v>
      </c>
      <c r="N1650">
        <v>2013</v>
      </c>
      <c r="R1650">
        <v>107</v>
      </c>
      <c r="S1650" t="s">
        <v>8792</v>
      </c>
      <c r="T1650">
        <v>39.08</v>
      </c>
      <c r="U1650">
        <v>18188</v>
      </c>
      <c r="V1650">
        <v>610</v>
      </c>
      <c r="W1650">
        <v>585.15</v>
      </c>
      <c r="X1650">
        <v>610</v>
      </c>
      <c r="Y1650">
        <v>48</v>
      </c>
      <c r="Z1650" t="s">
        <v>7253</v>
      </c>
      <c r="AB1650" t="s">
        <v>17688</v>
      </c>
      <c r="AC1650" t="s">
        <v>8859</v>
      </c>
      <c r="AE1650" t="s">
        <v>3089</v>
      </c>
      <c r="AF1650" t="s">
        <v>2728</v>
      </c>
      <c r="AH1650" t="s">
        <v>3104</v>
      </c>
      <c r="AI1650" t="s">
        <v>8859</v>
      </c>
      <c r="AO1650" t="s">
        <v>17689</v>
      </c>
    </row>
    <row r="1651" spans="1:41" hidden="1" x14ac:dyDescent="0.35">
      <c r="A1651" t="s">
        <v>17690</v>
      </c>
      <c r="B1651" t="s">
        <v>7246</v>
      </c>
      <c r="C1651" t="s">
        <v>383</v>
      </c>
      <c r="D1651" t="s">
        <v>383</v>
      </c>
      <c r="E1651" t="s">
        <v>383</v>
      </c>
      <c r="G1651" s="13" t="s">
        <v>17691</v>
      </c>
      <c r="H1651" t="s">
        <v>17692</v>
      </c>
      <c r="K1651" t="s">
        <v>10763</v>
      </c>
      <c r="L1651" t="s">
        <v>10763</v>
      </c>
      <c r="M1651" t="s">
        <v>7250</v>
      </c>
      <c r="N1651">
        <v>2010</v>
      </c>
      <c r="R1651">
        <v>107</v>
      </c>
      <c r="S1651" t="s">
        <v>8792</v>
      </c>
      <c r="T1651">
        <v>39.08</v>
      </c>
      <c r="U1651">
        <v>18188</v>
      </c>
      <c r="V1651">
        <v>505</v>
      </c>
      <c r="W1651">
        <v>1011.73</v>
      </c>
      <c r="X1651">
        <v>505</v>
      </c>
      <c r="Y1651">
        <v>48</v>
      </c>
      <c r="Z1651" t="s">
        <v>7253</v>
      </c>
      <c r="AB1651" t="s">
        <v>2728</v>
      </c>
      <c r="AC1651" t="s">
        <v>8859</v>
      </c>
      <c r="AE1651" t="s">
        <v>3104</v>
      </c>
      <c r="AF1651" t="s">
        <v>17683</v>
      </c>
      <c r="AH1651" t="s">
        <v>3117</v>
      </c>
      <c r="AI1651" t="s">
        <v>8859</v>
      </c>
      <c r="AO1651" t="s">
        <v>17693</v>
      </c>
    </row>
    <row r="1652" spans="1:41" hidden="1" x14ac:dyDescent="0.35">
      <c r="A1652" t="s">
        <v>17694</v>
      </c>
      <c r="B1652" t="s">
        <v>7246</v>
      </c>
      <c r="C1652" t="s">
        <v>5456</v>
      </c>
      <c r="D1652" t="s">
        <v>5456</v>
      </c>
      <c r="E1652" t="s">
        <v>5456</v>
      </c>
      <c r="G1652" s="13" t="s">
        <v>17695</v>
      </c>
      <c r="H1652" t="s">
        <v>17696</v>
      </c>
      <c r="I1652" t="s">
        <v>7331</v>
      </c>
      <c r="J1652" t="s">
        <v>17697</v>
      </c>
      <c r="K1652" t="s">
        <v>17698</v>
      </c>
      <c r="L1652" t="s">
        <v>17699</v>
      </c>
      <c r="M1652" t="s">
        <v>7250</v>
      </c>
      <c r="N1652">
        <v>2020</v>
      </c>
      <c r="R1652">
        <v>2.2000000000000002</v>
      </c>
      <c r="S1652" t="s">
        <v>8257</v>
      </c>
      <c r="T1652">
        <v>2.2000000000000002</v>
      </c>
      <c r="U1652">
        <v>1023.84</v>
      </c>
      <c r="V1652">
        <v>1061</v>
      </c>
      <c r="W1652">
        <v>1099.8900000000001</v>
      </c>
      <c r="X1652">
        <v>1061</v>
      </c>
      <c r="Y1652">
        <v>32.28</v>
      </c>
      <c r="Z1652" t="s">
        <v>7253</v>
      </c>
      <c r="AA1652" t="s">
        <v>17700</v>
      </c>
      <c r="AB1652" t="s">
        <v>17701</v>
      </c>
      <c r="AC1652" t="s">
        <v>8844</v>
      </c>
      <c r="AE1652" t="s">
        <v>17702</v>
      </c>
      <c r="AF1652" t="s">
        <v>17703</v>
      </c>
      <c r="AI1652" t="s">
        <v>8844</v>
      </c>
      <c r="AL1652" t="s">
        <v>17704</v>
      </c>
      <c r="AO1652" t="s">
        <v>17705</v>
      </c>
    </row>
    <row r="1653" spans="1:41" hidden="1" x14ac:dyDescent="0.35">
      <c r="A1653" t="s">
        <v>17706</v>
      </c>
      <c r="B1653" t="s">
        <v>7246</v>
      </c>
      <c r="C1653" t="s">
        <v>5183</v>
      </c>
      <c r="D1653" t="s">
        <v>5183</v>
      </c>
      <c r="E1653" t="s">
        <v>5183</v>
      </c>
      <c r="G1653" s="13" t="s">
        <v>17707</v>
      </c>
      <c r="H1653" t="s">
        <v>17708</v>
      </c>
      <c r="K1653" t="s">
        <v>17709</v>
      </c>
      <c r="L1653" t="s">
        <v>17709</v>
      </c>
      <c r="M1653" t="s">
        <v>7250</v>
      </c>
      <c r="N1653">
        <v>1998</v>
      </c>
      <c r="R1653">
        <v>5.2</v>
      </c>
      <c r="S1653" t="s">
        <v>8257</v>
      </c>
      <c r="T1653">
        <v>5.2</v>
      </c>
      <c r="U1653">
        <v>2419.9899999999998</v>
      </c>
      <c r="V1653">
        <v>409</v>
      </c>
      <c r="W1653">
        <v>344.97</v>
      </c>
      <c r="X1653">
        <v>409</v>
      </c>
      <c r="AA1653" t="s">
        <v>17710</v>
      </c>
      <c r="AB1653" t="s">
        <v>17711</v>
      </c>
      <c r="AC1653" t="s">
        <v>10816</v>
      </c>
      <c r="AF1653" t="s">
        <v>17712</v>
      </c>
      <c r="AI1653" t="s">
        <v>10816</v>
      </c>
      <c r="AO1653" t="s">
        <v>17713</v>
      </c>
    </row>
    <row r="1654" spans="1:41" hidden="1" x14ac:dyDescent="0.35">
      <c r="A1654" t="s">
        <v>17714</v>
      </c>
      <c r="B1654" t="s">
        <v>7246</v>
      </c>
      <c r="C1654" t="s">
        <v>5183</v>
      </c>
      <c r="D1654" t="s">
        <v>5183</v>
      </c>
      <c r="E1654" t="s">
        <v>5183</v>
      </c>
      <c r="G1654" s="13" t="s">
        <v>17715</v>
      </c>
      <c r="H1654" t="s">
        <v>17716</v>
      </c>
      <c r="K1654" t="s">
        <v>17709</v>
      </c>
      <c r="L1654" t="s">
        <v>17709</v>
      </c>
      <c r="M1654" t="s">
        <v>7250</v>
      </c>
      <c r="N1654">
        <v>2010</v>
      </c>
      <c r="R1654">
        <v>1.5</v>
      </c>
      <c r="S1654" t="s">
        <v>8257</v>
      </c>
      <c r="T1654">
        <v>1.5</v>
      </c>
      <c r="U1654">
        <v>698.08</v>
      </c>
      <c r="V1654">
        <v>287</v>
      </c>
      <c r="W1654">
        <v>256.23</v>
      </c>
      <c r="X1654">
        <v>287</v>
      </c>
      <c r="AA1654" t="s">
        <v>17710</v>
      </c>
      <c r="AB1654" t="s">
        <v>17711</v>
      </c>
      <c r="AC1654" t="s">
        <v>10816</v>
      </c>
      <c r="AF1654" t="s">
        <v>17717</v>
      </c>
      <c r="AI1654" t="s">
        <v>10816</v>
      </c>
      <c r="AO1654" t="s">
        <v>17718</v>
      </c>
    </row>
    <row r="1655" spans="1:41" hidden="1" x14ac:dyDescent="0.35">
      <c r="A1655" t="s">
        <v>17719</v>
      </c>
      <c r="B1655" t="s">
        <v>7246</v>
      </c>
      <c r="C1655" t="s">
        <v>5183</v>
      </c>
      <c r="D1655" t="s">
        <v>5295</v>
      </c>
      <c r="E1655" t="s">
        <v>17720</v>
      </c>
      <c r="G1655" s="13" t="s">
        <v>17721</v>
      </c>
      <c r="H1655" t="s">
        <v>17722</v>
      </c>
      <c r="K1655" t="s">
        <v>17723</v>
      </c>
      <c r="L1655" t="s">
        <v>17723</v>
      </c>
      <c r="M1655" t="s">
        <v>7250</v>
      </c>
      <c r="N1655">
        <v>2000</v>
      </c>
      <c r="R1655">
        <v>4.0999999999999996</v>
      </c>
      <c r="S1655" t="s">
        <v>8257</v>
      </c>
      <c r="T1655">
        <v>4.0999999999999996</v>
      </c>
      <c r="U1655">
        <v>1908.07</v>
      </c>
      <c r="V1655">
        <v>472</v>
      </c>
      <c r="W1655">
        <v>577.36</v>
      </c>
      <c r="X1655">
        <v>472</v>
      </c>
      <c r="AA1655" t="s">
        <v>17724</v>
      </c>
      <c r="AC1655" t="s">
        <v>10816</v>
      </c>
      <c r="AI1655" t="s">
        <v>10816</v>
      </c>
      <c r="AO1655" t="s">
        <v>17725</v>
      </c>
    </row>
    <row r="1656" spans="1:41" hidden="1" x14ac:dyDescent="0.35">
      <c r="A1656" t="s">
        <v>17726</v>
      </c>
      <c r="B1656" t="s">
        <v>7246</v>
      </c>
      <c r="C1656" t="s">
        <v>12969</v>
      </c>
      <c r="D1656" t="s">
        <v>12969</v>
      </c>
      <c r="E1656" t="s">
        <v>12969</v>
      </c>
      <c r="G1656" s="13" t="s">
        <v>17727</v>
      </c>
      <c r="H1656" t="s">
        <v>17728</v>
      </c>
      <c r="K1656" t="s">
        <v>17729</v>
      </c>
      <c r="L1656" t="s">
        <v>17729</v>
      </c>
      <c r="M1656" t="s">
        <v>7269</v>
      </c>
      <c r="T1656" t="s">
        <v>6546</v>
      </c>
      <c r="U1656" t="s">
        <v>6546</v>
      </c>
      <c r="V1656">
        <v>11</v>
      </c>
      <c r="W1656">
        <v>32.159999999999997</v>
      </c>
      <c r="X1656">
        <v>11</v>
      </c>
      <c r="AB1656" t="s">
        <v>17730</v>
      </c>
      <c r="AC1656" t="s">
        <v>10816</v>
      </c>
      <c r="AE1656" t="s">
        <v>17731</v>
      </c>
      <c r="AF1656" t="s">
        <v>17730</v>
      </c>
      <c r="AH1656" t="s">
        <v>17731</v>
      </c>
      <c r="AI1656" t="s">
        <v>10816</v>
      </c>
      <c r="AO1656" t="s">
        <v>17732</v>
      </c>
    </row>
    <row r="1657" spans="1:41" hidden="1" x14ac:dyDescent="0.35">
      <c r="A1657" t="s">
        <v>17733</v>
      </c>
      <c r="B1657" t="s">
        <v>7246</v>
      </c>
      <c r="C1657" t="s">
        <v>12969</v>
      </c>
      <c r="D1657" t="s">
        <v>12969</v>
      </c>
      <c r="E1657" t="s">
        <v>12969</v>
      </c>
      <c r="G1657" s="13" t="s">
        <v>17734</v>
      </c>
      <c r="H1657" t="s">
        <v>17735</v>
      </c>
      <c r="K1657" t="s">
        <v>17736</v>
      </c>
      <c r="L1657" t="s">
        <v>17737</v>
      </c>
      <c r="M1657" t="s">
        <v>7250</v>
      </c>
      <c r="N1657">
        <v>2014</v>
      </c>
      <c r="R1657">
        <v>1000</v>
      </c>
      <c r="S1657" t="s">
        <v>7251</v>
      </c>
      <c r="T1657">
        <v>10.34</v>
      </c>
      <c r="U1657">
        <v>4813.33</v>
      </c>
      <c r="V1657">
        <v>700</v>
      </c>
      <c r="W1657">
        <v>684.86</v>
      </c>
      <c r="X1657">
        <v>700</v>
      </c>
      <c r="AB1657" t="s">
        <v>17730</v>
      </c>
      <c r="AC1657" t="s">
        <v>10816</v>
      </c>
      <c r="AE1657" t="s">
        <v>17731</v>
      </c>
      <c r="AF1657" t="s">
        <v>17738</v>
      </c>
      <c r="AG1657" t="s">
        <v>17739</v>
      </c>
      <c r="AI1657" t="s">
        <v>10816</v>
      </c>
      <c r="AO1657" t="s">
        <v>17740</v>
      </c>
    </row>
    <row r="1658" spans="1:41" hidden="1" x14ac:dyDescent="0.35">
      <c r="A1658" t="s">
        <v>17741</v>
      </c>
      <c r="B1658" t="s">
        <v>7246</v>
      </c>
      <c r="C1658" t="s">
        <v>5214</v>
      </c>
      <c r="D1658" t="s">
        <v>5214</v>
      </c>
      <c r="E1658" t="s">
        <v>5214</v>
      </c>
      <c r="G1658" s="13" t="s">
        <v>17742</v>
      </c>
      <c r="H1658" t="s">
        <v>17743</v>
      </c>
      <c r="J1658" t="s">
        <v>17744</v>
      </c>
      <c r="K1658" t="s">
        <v>17745</v>
      </c>
      <c r="L1658" t="s">
        <v>17746</v>
      </c>
      <c r="M1658" t="s">
        <v>7269</v>
      </c>
      <c r="N1658">
        <v>2022</v>
      </c>
      <c r="T1658" t="s">
        <v>6546</v>
      </c>
      <c r="U1658" t="s">
        <v>6546</v>
      </c>
      <c r="V1658">
        <v>40</v>
      </c>
      <c r="W1658">
        <v>48.44</v>
      </c>
      <c r="X1658">
        <v>40</v>
      </c>
      <c r="AB1658" t="s">
        <v>3551</v>
      </c>
      <c r="AC1658" t="s">
        <v>10816</v>
      </c>
      <c r="AE1658" t="s">
        <v>5220</v>
      </c>
      <c r="AF1658" t="s">
        <v>17747</v>
      </c>
      <c r="AH1658" t="s">
        <v>17748</v>
      </c>
      <c r="AI1658" t="s">
        <v>10816</v>
      </c>
      <c r="AO1658" t="s">
        <v>17749</v>
      </c>
    </row>
    <row r="1659" spans="1:41" hidden="1" x14ac:dyDescent="0.35">
      <c r="A1659" t="s">
        <v>17750</v>
      </c>
      <c r="B1659" t="s">
        <v>7246</v>
      </c>
      <c r="C1659" t="s">
        <v>5456</v>
      </c>
      <c r="D1659" t="s">
        <v>5456</v>
      </c>
      <c r="E1659" t="s">
        <v>5456</v>
      </c>
      <c r="G1659" s="13" t="s">
        <v>17695</v>
      </c>
      <c r="H1659" t="s">
        <v>17696</v>
      </c>
      <c r="I1659" t="s">
        <v>11023</v>
      </c>
      <c r="J1659" t="s">
        <v>17697</v>
      </c>
      <c r="K1659" t="s">
        <v>17698</v>
      </c>
      <c r="L1659" t="s">
        <v>17699</v>
      </c>
      <c r="M1659" t="s">
        <v>7292</v>
      </c>
      <c r="R1659">
        <v>2.2000000000000002</v>
      </c>
      <c r="S1659" t="s">
        <v>8257</v>
      </c>
      <c r="T1659">
        <v>2.2000000000000002</v>
      </c>
      <c r="U1659">
        <v>1023.84</v>
      </c>
      <c r="V1659">
        <v>298.10000000000002</v>
      </c>
      <c r="W1659">
        <v>275.60000000000002</v>
      </c>
      <c r="X1659">
        <v>298.10000000000002</v>
      </c>
      <c r="Y1659">
        <v>32.28</v>
      </c>
      <c r="Z1659" t="s">
        <v>7253</v>
      </c>
      <c r="AA1659" t="s">
        <v>17700</v>
      </c>
      <c r="AB1659" t="s">
        <v>17703</v>
      </c>
      <c r="AC1659" t="s">
        <v>8844</v>
      </c>
      <c r="AF1659" t="s">
        <v>17751</v>
      </c>
      <c r="AI1659" t="s">
        <v>8844</v>
      </c>
      <c r="AL1659" t="s">
        <v>17704</v>
      </c>
      <c r="AO1659" t="s">
        <v>17752</v>
      </c>
    </row>
    <row r="1660" spans="1:41" hidden="1" x14ac:dyDescent="0.35">
      <c r="A1660" t="s">
        <v>17753</v>
      </c>
      <c r="B1660" t="s">
        <v>7246</v>
      </c>
      <c r="C1660" t="s">
        <v>5456</v>
      </c>
      <c r="D1660" t="s">
        <v>5456</v>
      </c>
      <c r="E1660" t="s">
        <v>5456</v>
      </c>
      <c r="G1660" s="13" t="s">
        <v>17695</v>
      </c>
      <c r="H1660" t="s">
        <v>17696</v>
      </c>
      <c r="I1660" t="s">
        <v>8108</v>
      </c>
      <c r="J1660" t="s">
        <v>17697</v>
      </c>
      <c r="K1660" t="s">
        <v>17698</v>
      </c>
      <c r="L1660" t="s">
        <v>17699</v>
      </c>
      <c r="M1660" t="s">
        <v>7292</v>
      </c>
      <c r="R1660">
        <v>2.2000000000000002</v>
      </c>
      <c r="S1660" t="s">
        <v>8257</v>
      </c>
      <c r="T1660">
        <v>2.2000000000000002</v>
      </c>
      <c r="U1660">
        <v>1023.84</v>
      </c>
      <c r="V1660">
        <v>184.7</v>
      </c>
      <c r="W1660">
        <v>177.09</v>
      </c>
      <c r="X1660">
        <v>184.7</v>
      </c>
      <c r="Y1660">
        <v>32.28</v>
      </c>
      <c r="Z1660" t="s">
        <v>7253</v>
      </c>
      <c r="AA1660" t="s">
        <v>17700</v>
      </c>
      <c r="AB1660" t="s">
        <v>17751</v>
      </c>
      <c r="AC1660" t="s">
        <v>8844</v>
      </c>
      <c r="AF1660" t="s">
        <v>17754</v>
      </c>
      <c r="AI1660" t="s">
        <v>8844</v>
      </c>
      <c r="AL1660" t="s">
        <v>17704</v>
      </c>
      <c r="AO1660" t="s">
        <v>17755</v>
      </c>
    </row>
    <row r="1661" spans="1:41" hidden="1" x14ac:dyDescent="0.35">
      <c r="A1661" t="s">
        <v>17756</v>
      </c>
      <c r="B1661" t="s">
        <v>7246</v>
      </c>
      <c r="C1661" t="s">
        <v>5456</v>
      </c>
      <c r="D1661" t="s">
        <v>5456</v>
      </c>
      <c r="E1661" t="s">
        <v>5456</v>
      </c>
      <c r="G1661" s="13" t="s">
        <v>17695</v>
      </c>
      <c r="H1661" t="s">
        <v>17696</v>
      </c>
      <c r="I1661" t="s">
        <v>17757</v>
      </c>
      <c r="J1661" t="s">
        <v>17697</v>
      </c>
      <c r="K1661" t="s">
        <v>17698</v>
      </c>
      <c r="L1661" t="s">
        <v>17699</v>
      </c>
      <c r="M1661" t="s">
        <v>7292</v>
      </c>
      <c r="R1661">
        <v>0.8</v>
      </c>
      <c r="S1661" t="s">
        <v>8257</v>
      </c>
      <c r="T1661">
        <v>0.8</v>
      </c>
      <c r="U1661">
        <v>372.31</v>
      </c>
      <c r="V1661">
        <v>0</v>
      </c>
      <c r="W1661" t="s">
        <v>6546</v>
      </c>
      <c r="X1661">
        <v>0</v>
      </c>
      <c r="Y1661">
        <v>32.28</v>
      </c>
      <c r="Z1661" t="s">
        <v>7253</v>
      </c>
      <c r="AA1661" t="s">
        <v>17700</v>
      </c>
      <c r="AB1661" t="s">
        <v>17701</v>
      </c>
      <c r="AC1661" t="s">
        <v>8844</v>
      </c>
      <c r="AE1661" t="s">
        <v>17702</v>
      </c>
      <c r="AF1661" t="s">
        <v>17754</v>
      </c>
      <c r="AI1661" t="s">
        <v>8844</v>
      </c>
      <c r="AL1661" t="s">
        <v>17704</v>
      </c>
      <c r="AO1661" t="s">
        <v>6546</v>
      </c>
    </row>
    <row r="1662" spans="1:41" hidden="1" x14ac:dyDescent="0.35">
      <c r="A1662" t="s">
        <v>17758</v>
      </c>
      <c r="B1662" t="s">
        <v>7246</v>
      </c>
      <c r="C1662" t="s">
        <v>383</v>
      </c>
      <c r="D1662" t="s">
        <v>383</v>
      </c>
      <c r="E1662" t="s">
        <v>383</v>
      </c>
      <c r="G1662" s="13" t="s">
        <v>17759</v>
      </c>
      <c r="H1662" t="s">
        <v>17760</v>
      </c>
      <c r="K1662" t="s">
        <v>17761</v>
      </c>
      <c r="L1662" t="s">
        <v>17762</v>
      </c>
      <c r="M1662" t="s">
        <v>7250</v>
      </c>
      <c r="N1662">
        <v>2011</v>
      </c>
      <c r="R1662">
        <v>1.2</v>
      </c>
      <c r="S1662" t="s">
        <v>8792</v>
      </c>
      <c r="T1662">
        <v>0.44</v>
      </c>
      <c r="U1662">
        <v>203.98</v>
      </c>
      <c r="V1662">
        <v>194</v>
      </c>
      <c r="W1662">
        <v>181.91</v>
      </c>
      <c r="X1662">
        <v>194</v>
      </c>
      <c r="AB1662" t="s">
        <v>17763</v>
      </c>
      <c r="AC1662" t="s">
        <v>8859</v>
      </c>
      <c r="AE1662" t="s">
        <v>3078</v>
      </c>
      <c r="AF1662" t="s">
        <v>2729</v>
      </c>
      <c r="AH1662" t="s">
        <v>3078</v>
      </c>
      <c r="AI1662" t="s">
        <v>8859</v>
      </c>
      <c r="AO1662" t="s">
        <v>17764</v>
      </c>
    </row>
    <row r="1663" spans="1:41" hidden="1" x14ac:dyDescent="0.35">
      <c r="A1663" t="s">
        <v>17765</v>
      </c>
      <c r="B1663" t="s">
        <v>7246</v>
      </c>
      <c r="C1663" t="s">
        <v>5844</v>
      </c>
      <c r="D1663" t="s">
        <v>5580</v>
      </c>
      <c r="E1663" t="s">
        <v>17766</v>
      </c>
      <c r="G1663" s="13" t="s">
        <v>17767</v>
      </c>
      <c r="H1663" t="s">
        <v>17768</v>
      </c>
      <c r="I1663" t="s">
        <v>17769</v>
      </c>
      <c r="J1663" t="s">
        <v>17770</v>
      </c>
      <c r="K1663" t="s">
        <v>17771</v>
      </c>
      <c r="L1663" t="s">
        <v>17771</v>
      </c>
      <c r="M1663" t="s">
        <v>7292</v>
      </c>
      <c r="N1663">
        <v>2024</v>
      </c>
      <c r="R1663">
        <v>1.2</v>
      </c>
      <c r="S1663" t="s">
        <v>8257</v>
      </c>
      <c r="T1663">
        <v>1.2</v>
      </c>
      <c r="U1663">
        <v>558.46</v>
      </c>
      <c r="V1663">
        <v>102</v>
      </c>
      <c r="W1663">
        <v>104.23</v>
      </c>
      <c r="X1663">
        <v>102</v>
      </c>
      <c r="Y1663" t="s">
        <v>17772</v>
      </c>
      <c r="Z1663" t="s">
        <v>7253</v>
      </c>
      <c r="AC1663" t="s">
        <v>8777</v>
      </c>
      <c r="AI1663" t="s">
        <v>8777</v>
      </c>
      <c r="AJ1663" t="s">
        <v>9032</v>
      </c>
      <c r="AO1663" t="s">
        <v>17773</v>
      </c>
    </row>
    <row r="1664" spans="1:41" hidden="1" x14ac:dyDescent="0.35">
      <c r="A1664" t="s">
        <v>17774</v>
      </c>
      <c r="B1664" t="s">
        <v>7246</v>
      </c>
      <c r="C1664" t="s">
        <v>383</v>
      </c>
      <c r="D1664" t="s">
        <v>383</v>
      </c>
      <c r="E1664" t="s">
        <v>383</v>
      </c>
      <c r="G1664" s="13" t="s">
        <v>17775</v>
      </c>
      <c r="H1664" t="s">
        <v>17776</v>
      </c>
      <c r="K1664" t="s">
        <v>17777</v>
      </c>
      <c r="L1664" t="s">
        <v>17777</v>
      </c>
      <c r="M1664" t="s">
        <v>7269</v>
      </c>
      <c r="R1664">
        <v>1.83</v>
      </c>
      <c r="S1664" t="s">
        <v>8257</v>
      </c>
      <c r="T1664">
        <v>1.83</v>
      </c>
      <c r="U1664">
        <v>851.65</v>
      </c>
      <c r="V1664">
        <v>580</v>
      </c>
      <c r="W1664">
        <v>530.78</v>
      </c>
      <c r="X1664">
        <v>580</v>
      </c>
      <c r="AA1664" t="s">
        <v>10997</v>
      </c>
      <c r="AB1664" t="s">
        <v>13533</v>
      </c>
      <c r="AC1664" t="s">
        <v>8859</v>
      </c>
      <c r="AE1664" t="s">
        <v>10998</v>
      </c>
      <c r="AF1664" t="s">
        <v>17778</v>
      </c>
      <c r="AH1664" t="s">
        <v>10998</v>
      </c>
      <c r="AI1664" t="s">
        <v>8859</v>
      </c>
      <c r="AO1664" t="s">
        <v>17779</v>
      </c>
    </row>
    <row r="1665" spans="1:41" hidden="1" x14ac:dyDescent="0.35">
      <c r="A1665" t="s">
        <v>17780</v>
      </c>
      <c r="B1665" t="s">
        <v>7246</v>
      </c>
      <c r="C1665" t="s">
        <v>5430</v>
      </c>
      <c r="D1665" t="s">
        <v>17781</v>
      </c>
      <c r="E1665" t="s">
        <v>17782</v>
      </c>
      <c r="G1665" s="13" t="s">
        <v>17783</v>
      </c>
      <c r="H1665" t="s">
        <v>17784</v>
      </c>
      <c r="J1665" t="s">
        <v>17785</v>
      </c>
      <c r="K1665" t="s">
        <v>17786</v>
      </c>
      <c r="L1665" t="s">
        <v>17786</v>
      </c>
      <c r="M1665" t="s">
        <v>7269</v>
      </c>
      <c r="R1665">
        <v>150</v>
      </c>
      <c r="S1665" t="s">
        <v>7251</v>
      </c>
      <c r="T1665">
        <v>1.55</v>
      </c>
      <c r="U1665">
        <v>722</v>
      </c>
      <c r="V1665">
        <v>959</v>
      </c>
      <c r="W1665">
        <v>565.66999999999996</v>
      </c>
      <c r="X1665">
        <v>959</v>
      </c>
      <c r="AB1665" t="s">
        <v>17787</v>
      </c>
      <c r="AC1665" t="s">
        <v>8523</v>
      </c>
      <c r="AF1665" t="s">
        <v>17788</v>
      </c>
      <c r="AI1665" t="s">
        <v>8523</v>
      </c>
      <c r="AL1665" t="s">
        <v>17789</v>
      </c>
      <c r="AN1665" s="13" t="s">
        <v>17790</v>
      </c>
      <c r="AO1665" t="s">
        <v>17791</v>
      </c>
    </row>
    <row r="1666" spans="1:41" hidden="1" x14ac:dyDescent="0.35">
      <c r="A1666" t="s">
        <v>17792</v>
      </c>
      <c r="B1666" t="s">
        <v>7246</v>
      </c>
      <c r="C1666" t="s">
        <v>351</v>
      </c>
      <c r="D1666" t="s">
        <v>17793</v>
      </c>
      <c r="E1666" t="s">
        <v>17794</v>
      </c>
      <c r="G1666" s="13" t="s">
        <v>17795</v>
      </c>
      <c r="H1666" t="s">
        <v>17796</v>
      </c>
      <c r="K1666" t="s">
        <v>17797</v>
      </c>
      <c r="L1666" t="s">
        <v>17798</v>
      </c>
      <c r="M1666" t="s">
        <v>7250</v>
      </c>
      <c r="N1666">
        <v>2002</v>
      </c>
      <c r="R1666">
        <v>1.83</v>
      </c>
      <c r="S1666" t="s">
        <v>8257</v>
      </c>
      <c r="T1666">
        <v>1.83</v>
      </c>
      <c r="U1666">
        <v>849.32</v>
      </c>
      <c r="V1666">
        <v>199</v>
      </c>
      <c r="W1666">
        <v>372.48</v>
      </c>
      <c r="X1666">
        <v>199</v>
      </c>
      <c r="Y1666" t="s">
        <v>17799</v>
      </c>
      <c r="Z1666" t="s">
        <v>7253</v>
      </c>
      <c r="AA1666" t="s">
        <v>17800</v>
      </c>
      <c r="AB1666" t="s">
        <v>3137</v>
      </c>
      <c r="AC1666" t="s">
        <v>8523</v>
      </c>
      <c r="AF1666" t="s">
        <v>17801</v>
      </c>
      <c r="AI1666" t="s">
        <v>8523</v>
      </c>
      <c r="AL1666" t="s">
        <v>17802</v>
      </c>
      <c r="AN1666" s="13" t="s">
        <v>17803</v>
      </c>
      <c r="AO1666" t="s">
        <v>17804</v>
      </c>
    </row>
    <row r="1667" spans="1:41" hidden="1" x14ac:dyDescent="0.35">
      <c r="A1667" t="s">
        <v>17805</v>
      </c>
      <c r="B1667" t="s">
        <v>7246</v>
      </c>
      <c r="C1667" t="s">
        <v>5214</v>
      </c>
      <c r="D1667" t="s">
        <v>5214</v>
      </c>
      <c r="E1667" t="s">
        <v>5214</v>
      </c>
      <c r="G1667" s="13" t="s">
        <v>17806</v>
      </c>
      <c r="H1667" t="s">
        <v>17807</v>
      </c>
      <c r="J1667" t="s">
        <v>17808</v>
      </c>
      <c r="K1667" t="s">
        <v>17745</v>
      </c>
      <c r="L1667" t="s">
        <v>17746</v>
      </c>
      <c r="M1667" t="s">
        <v>7269</v>
      </c>
      <c r="T1667" t="s">
        <v>6546</v>
      </c>
      <c r="U1667" t="s">
        <v>6546</v>
      </c>
      <c r="V1667">
        <v>150</v>
      </c>
      <c r="W1667">
        <v>60.46</v>
      </c>
      <c r="X1667">
        <v>150</v>
      </c>
      <c r="AB1667" t="s">
        <v>3551</v>
      </c>
      <c r="AC1667" t="s">
        <v>10816</v>
      </c>
      <c r="AE1667" t="s">
        <v>5220</v>
      </c>
      <c r="AF1667" t="s">
        <v>17809</v>
      </c>
      <c r="AH1667" t="s">
        <v>5220</v>
      </c>
      <c r="AI1667" t="s">
        <v>10816</v>
      </c>
      <c r="AO1667" t="s">
        <v>17810</v>
      </c>
    </row>
    <row r="1668" spans="1:41" hidden="1" x14ac:dyDescent="0.35">
      <c r="A1668" t="s">
        <v>17811</v>
      </c>
      <c r="B1668" t="s">
        <v>7246</v>
      </c>
      <c r="C1668" t="s">
        <v>5214</v>
      </c>
      <c r="D1668" t="s">
        <v>5214</v>
      </c>
      <c r="E1668" t="s">
        <v>5214</v>
      </c>
      <c r="G1668" s="13" t="s">
        <v>17812</v>
      </c>
      <c r="H1668" t="s">
        <v>17813</v>
      </c>
      <c r="J1668" t="s">
        <v>17814</v>
      </c>
      <c r="K1668" t="s">
        <v>17745</v>
      </c>
      <c r="L1668" t="s">
        <v>17746</v>
      </c>
      <c r="M1668" t="s">
        <v>7731</v>
      </c>
      <c r="T1668" t="s">
        <v>6546</v>
      </c>
      <c r="U1668" t="s">
        <v>6546</v>
      </c>
      <c r="V1668">
        <v>121</v>
      </c>
      <c r="W1668">
        <v>101.5</v>
      </c>
      <c r="X1668">
        <v>121</v>
      </c>
      <c r="AB1668" t="s">
        <v>3555</v>
      </c>
      <c r="AC1668" t="s">
        <v>10816</v>
      </c>
      <c r="AE1668" t="s">
        <v>3554</v>
      </c>
      <c r="AF1668" t="s">
        <v>17815</v>
      </c>
      <c r="AH1668" t="s">
        <v>17809</v>
      </c>
      <c r="AI1668" t="s">
        <v>10816</v>
      </c>
      <c r="AO1668" t="s">
        <v>17816</v>
      </c>
    </row>
    <row r="1669" spans="1:41" hidden="1" x14ac:dyDescent="0.35">
      <c r="A1669" t="s">
        <v>17817</v>
      </c>
      <c r="B1669" t="s">
        <v>7246</v>
      </c>
      <c r="C1669" t="s">
        <v>5214</v>
      </c>
      <c r="D1669" t="s">
        <v>5214</v>
      </c>
      <c r="E1669" t="s">
        <v>5214</v>
      </c>
      <c r="G1669" s="13" t="s">
        <v>17818</v>
      </c>
      <c r="H1669" t="s">
        <v>17819</v>
      </c>
      <c r="K1669" t="s">
        <v>17745</v>
      </c>
      <c r="L1669" t="s">
        <v>17746</v>
      </c>
      <c r="M1669" t="s">
        <v>7269</v>
      </c>
      <c r="T1669" t="s">
        <v>6546</v>
      </c>
      <c r="U1669" t="s">
        <v>6546</v>
      </c>
      <c r="V1669">
        <v>25</v>
      </c>
      <c r="W1669">
        <v>47.82</v>
      </c>
      <c r="X1669">
        <v>25</v>
      </c>
      <c r="AC1669" t="s">
        <v>10816</v>
      </c>
      <c r="AI1669" t="s">
        <v>10816</v>
      </c>
      <c r="AO1669" t="s">
        <v>17820</v>
      </c>
    </row>
    <row r="1670" spans="1:41" hidden="1" x14ac:dyDescent="0.35">
      <c r="A1670" t="s">
        <v>17821</v>
      </c>
      <c r="B1670" t="s">
        <v>7246</v>
      </c>
      <c r="C1670" t="s">
        <v>5214</v>
      </c>
      <c r="D1670" t="s">
        <v>5214</v>
      </c>
      <c r="E1670" t="s">
        <v>5214</v>
      </c>
      <c r="G1670" s="13" t="s">
        <v>17822</v>
      </c>
      <c r="H1670" t="s">
        <v>17823</v>
      </c>
      <c r="J1670" t="s">
        <v>17824</v>
      </c>
      <c r="K1670" t="s">
        <v>17745</v>
      </c>
      <c r="L1670" t="s">
        <v>17746</v>
      </c>
      <c r="M1670" t="s">
        <v>7269</v>
      </c>
      <c r="T1670" t="s">
        <v>6546</v>
      </c>
      <c r="U1670" t="s">
        <v>6546</v>
      </c>
      <c r="V1670">
        <v>40</v>
      </c>
      <c r="W1670">
        <v>60.7</v>
      </c>
      <c r="X1670">
        <v>40</v>
      </c>
      <c r="AB1670" t="s">
        <v>17809</v>
      </c>
      <c r="AC1670" t="s">
        <v>10816</v>
      </c>
      <c r="AE1670" t="s">
        <v>5220</v>
      </c>
      <c r="AF1670" t="s">
        <v>17809</v>
      </c>
      <c r="AI1670" t="s">
        <v>10816</v>
      </c>
      <c r="AO1670" t="s">
        <v>17825</v>
      </c>
    </row>
    <row r="1671" spans="1:41" hidden="1" x14ac:dyDescent="0.35">
      <c r="A1671" t="s">
        <v>17826</v>
      </c>
      <c r="B1671" t="s">
        <v>7246</v>
      </c>
      <c r="C1671" t="s">
        <v>5214</v>
      </c>
      <c r="D1671" t="s">
        <v>5214</v>
      </c>
      <c r="E1671" t="s">
        <v>5214</v>
      </c>
      <c r="G1671" s="13" t="s">
        <v>17827</v>
      </c>
      <c r="H1671" t="s">
        <v>17828</v>
      </c>
      <c r="K1671" t="s">
        <v>17829</v>
      </c>
      <c r="L1671" t="s">
        <v>17746</v>
      </c>
      <c r="M1671" t="s">
        <v>7250</v>
      </c>
      <c r="N1671">
        <v>2002</v>
      </c>
      <c r="R1671">
        <v>650</v>
      </c>
      <c r="S1671" t="s">
        <v>7251</v>
      </c>
      <c r="T1671">
        <v>6.72</v>
      </c>
      <c r="U1671">
        <v>3128.67</v>
      </c>
      <c r="V1671">
        <v>14.7</v>
      </c>
      <c r="W1671">
        <v>8.74</v>
      </c>
      <c r="X1671">
        <v>14.7</v>
      </c>
      <c r="AB1671" t="s">
        <v>17830</v>
      </c>
      <c r="AC1671" t="s">
        <v>10816</v>
      </c>
      <c r="AE1671" t="s">
        <v>3554</v>
      </c>
      <c r="AF1671" t="s">
        <v>17831</v>
      </c>
      <c r="AH1671" t="s">
        <v>3554</v>
      </c>
      <c r="AI1671" t="s">
        <v>10816</v>
      </c>
      <c r="AO1671" t="s">
        <v>17832</v>
      </c>
    </row>
    <row r="1672" spans="1:41" hidden="1" x14ac:dyDescent="0.35">
      <c r="A1672" t="s">
        <v>17833</v>
      </c>
      <c r="B1672" t="s">
        <v>7246</v>
      </c>
      <c r="C1672" t="s">
        <v>5214</v>
      </c>
      <c r="D1672" t="s">
        <v>5214</v>
      </c>
      <c r="E1672" t="s">
        <v>5214</v>
      </c>
      <c r="G1672" s="13" t="s">
        <v>17834</v>
      </c>
      <c r="H1672" t="s">
        <v>17835</v>
      </c>
      <c r="K1672" t="s">
        <v>17836</v>
      </c>
      <c r="L1672" t="s">
        <v>17837</v>
      </c>
      <c r="M1672" t="s">
        <v>7250</v>
      </c>
      <c r="N1672">
        <v>2002</v>
      </c>
      <c r="R1672">
        <v>450</v>
      </c>
      <c r="S1672" t="s">
        <v>7251</v>
      </c>
      <c r="T1672">
        <v>4.6500000000000004</v>
      </c>
      <c r="U1672">
        <v>2166</v>
      </c>
      <c r="V1672">
        <v>504</v>
      </c>
      <c r="W1672">
        <v>658.75</v>
      </c>
      <c r="X1672">
        <v>504</v>
      </c>
      <c r="AA1672" t="s">
        <v>17838</v>
      </c>
      <c r="AB1672" t="s">
        <v>17839</v>
      </c>
      <c r="AC1672" t="s">
        <v>10816</v>
      </c>
      <c r="AE1672" t="s">
        <v>5220</v>
      </c>
      <c r="AI1672" t="s">
        <v>10816</v>
      </c>
      <c r="AO1672" t="s">
        <v>17840</v>
      </c>
    </row>
    <row r="1673" spans="1:41" hidden="1" x14ac:dyDescent="0.35">
      <c r="A1673" t="s">
        <v>17841</v>
      </c>
      <c r="B1673" t="s">
        <v>7246</v>
      </c>
      <c r="C1673" t="s">
        <v>5214</v>
      </c>
      <c r="D1673" t="s">
        <v>5214</v>
      </c>
      <c r="E1673" t="s">
        <v>5214</v>
      </c>
      <c r="G1673" s="13" t="s">
        <v>17842</v>
      </c>
      <c r="H1673" t="s">
        <v>17843</v>
      </c>
      <c r="K1673" t="s">
        <v>6919</v>
      </c>
      <c r="L1673" t="s">
        <v>6919</v>
      </c>
      <c r="M1673" t="s">
        <v>7250</v>
      </c>
      <c r="R1673">
        <v>650</v>
      </c>
      <c r="S1673" t="s">
        <v>7251</v>
      </c>
      <c r="T1673">
        <v>6.72</v>
      </c>
      <c r="U1673">
        <v>3128.67</v>
      </c>
      <c r="V1673">
        <v>10.5</v>
      </c>
      <c r="W1673">
        <v>7.67</v>
      </c>
      <c r="X1673">
        <v>10.5</v>
      </c>
      <c r="AC1673" t="s">
        <v>10816</v>
      </c>
      <c r="AI1673" t="s">
        <v>10816</v>
      </c>
      <c r="AO1673" t="s">
        <v>17844</v>
      </c>
    </row>
    <row r="1674" spans="1:41" hidden="1" x14ac:dyDescent="0.35">
      <c r="A1674" t="s">
        <v>17845</v>
      </c>
      <c r="B1674" t="s">
        <v>7246</v>
      </c>
      <c r="C1674" t="s">
        <v>351</v>
      </c>
      <c r="D1674" t="s">
        <v>5411</v>
      </c>
      <c r="E1674" t="s">
        <v>8625</v>
      </c>
      <c r="G1674" s="13" t="s">
        <v>17846</v>
      </c>
      <c r="H1674" t="s">
        <v>17847</v>
      </c>
      <c r="K1674" t="s">
        <v>17848</v>
      </c>
      <c r="L1674" t="s">
        <v>17849</v>
      </c>
      <c r="M1674" t="s">
        <v>7250</v>
      </c>
      <c r="N1674">
        <v>1999</v>
      </c>
      <c r="R1674">
        <v>1.97</v>
      </c>
      <c r="S1674" t="s">
        <v>8257</v>
      </c>
      <c r="T1674">
        <v>1.97</v>
      </c>
      <c r="U1674">
        <v>916.81</v>
      </c>
      <c r="V1674">
        <v>1167</v>
      </c>
      <c r="W1674">
        <v>914.23</v>
      </c>
      <c r="X1674">
        <v>1167</v>
      </c>
      <c r="Y1674" t="s">
        <v>8629</v>
      </c>
      <c r="Z1674" t="s">
        <v>7253</v>
      </c>
      <c r="AB1674" t="s">
        <v>3148</v>
      </c>
      <c r="AC1674" t="s">
        <v>8523</v>
      </c>
      <c r="AF1674" t="s">
        <v>17850</v>
      </c>
      <c r="AI1674" t="s">
        <v>8523</v>
      </c>
      <c r="AL1674" t="s">
        <v>17851</v>
      </c>
      <c r="AN1674" s="13" t="s">
        <v>17852</v>
      </c>
      <c r="AO1674" t="s">
        <v>17853</v>
      </c>
    </row>
    <row r="1675" spans="1:41" hidden="1" x14ac:dyDescent="0.35">
      <c r="A1675" t="s">
        <v>17854</v>
      </c>
      <c r="B1675" t="s">
        <v>7246</v>
      </c>
      <c r="C1675" t="s">
        <v>383</v>
      </c>
      <c r="D1675" t="s">
        <v>383</v>
      </c>
      <c r="E1675" t="s">
        <v>383</v>
      </c>
      <c r="G1675" s="13" t="s">
        <v>17855</v>
      </c>
      <c r="H1675" t="s">
        <v>17856</v>
      </c>
      <c r="K1675" t="s">
        <v>10612</v>
      </c>
      <c r="L1675" t="s">
        <v>10612</v>
      </c>
      <c r="M1675" t="s">
        <v>7250</v>
      </c>
      <c r="N1675">
        <v>2016</v>
      </c>
      <c r="R1675">
        <v>4.38</v>
      </c>
      <c r="S1675" t="s">
        <v>8257</v>
      </c>
      <c r="T1675">
        <v>4.38</v>
      </c>
      <c r="U1675">
        <v>2038.38</v>
      </c>
      <c r="V1675">
        <v>58</v>
      </c>
      <c r="W1675">
        <v>158.43</v>
      </c>
      <c r="X1675">
        <v>58</v>
      </c>
      <c r="AB1675" t="s">
        <v>17857</v>
      </c>
      <c r="AC1675" t="s">
        <v>8859</v>
      </c>
      <c r="AE1675" t="s">
        <v>3089</v>
      </c>
      <c r="AF1675" t="s">
        <v>4914</v>
      </c>
      <c r="AH1675" t="s">
        <v>3089</v>
      </c>
      <c r="AI1675" t="s">
        <v>8859</v>
      </c>
      <c r="AO1675" t="s">
        <v>17858</v>
      </c>
    </row>
    <row r="1676" spans="1:41" hidden="1" x14ac:dyDescent="0.35">
      <c r="A1676" t="s">
        <v>17859</v>
      </c>
      <c r="B1676" t="s">
        <v>7246</v>
      </c>
      <c r="C1676" t="s">
        <v>351</v>
      </c>
      <c r="D1676" t="s">
        <v>5411</v>
      </c>
      <c r="E1676" t="s">
        <v>8625</v>
      </c>
      <c r="G1676" s="13" t="s">
        <v>12681</v>
      </c>
      <c r="H1676" t="s">
        <v>12682</v>
      </c>
      <c r="K1676" t="s">
        <v>12683</v>
      </c>
      <c r="L1676" t="s">
        <v>12683</v>
      </c>
      <c r="M1676" t="s">
        <v>7250</v>
      </c>
      <c r="N1676">
        <v>1999</v>
      </c>
      <c r="R1676">
        <v>2.74</v>
      </c>
      <c r="S1676" t="s">
        <v>8257</v>
      </c>
      <c r="T1676">
        <v>2.74</v>
      </c>
      <c r="U1676">
        <v>1275.1500000000001</v>
      </c>
      <c r="V1676">
        <v>670</v>
      </c>
      <c r="W1676">
        <v>680.03</v>
      </c>
      <c r="X1676">
        <v>670</v>
      </c>
      <c r="Y1676" t="s">
        <v>10699</v>
      </c>
      <c r="Z1676" t="s">
        <v>7253</v>
      </c>
      <c r="AB1676" t="s">
        <v>12684</v>
      </c>
      <c r="AC1676" t="s">
        <v>8523</v>
      </c>
      <c r="AF1676" t="s">
        <v>5410</v>
      </c>
      <c r="AH1676" t="s">
        <v>12685</v>
      </c>
      <c r="AI1676" t="s">
        <v>8523</v>
      </c>
      <c r="AL1676" t="s">
        <v>12686</v>
      </c>
      <c r="AN1676" s="13" t="s">
        <v>12687</v>
      </c>
      <c r="AO1676" t="s">
        <v>17860</v>
      </c>
    </row>
    <row r="1677" spans="1:41" hidden="1" x14ac:dyDescent="0.35">
      <c r="A1677" t="s">
        <v>17861</v>
      </c>
      <c r="B1677" t="s">
        <v>7246</v>
      </c>
      <c r="C1677" t="s">
        <v>406</v>
      </c>
      <c r="D1677" t="s">
        <v>406</v>
      </c>
      <c r="E1677" t="s">
        <v>406</v>
      </c>
      <c r="G1677" s="13" t="s">
        <v>17862</v>
      </c>
      <c r="H1677" t="s">
        <v>17863</v>
      </c>
      <c r="J1677" t="s">
        <v>17864</v>
      </c>
      <c r="K1677" t="s">
        <v>8638</v>
      </c>
      <c r="L1677" t="s">
        <v>7845</v>
      </c>
      <c r="M1677" t="s">
        <v>17865</v>
      </c>
      <c r="N1677">
        <v>2017</v>
      </c>
      <c r="Q1677">
        <v>2017</v>
      </c>
      <c r="R1677">
        <v>5.3</v>
      </c>
      <c r="S1677" t="s">
        <v>8257</v>
      </c>
      <c r="T1677">
        <v>5.3</v>
      </c>
      <c r="U1677">
        <v>2466.5300000000002</v>
      </c>
      <c r="V1677">
        <v>331</v>
      </c>
      <c r="W1677">
        <v>314.42</v>
      </c>
      <c r="X1677">
        <v>331</v>
      </c>
      <c r="AB1677" t="s">
        <v>8658</v>
      </c>
      <c r="AC1677" t="s">
        <v>7255</v>
      </c>
      <c r="AE1677" t="s">
        <v>8513</v>
      </c>
      <c r="AF1677" t="s">
        <v>17866</v>
      </c>
      <c r="AH1677" t="s">
        <v>17867</v>
      </c>
      <c r="AI1677" t="s">
        <v>7255</v>
      </c>
      <c r="AL1677" t="s">
        <v>17868</v>
      </c>
      <c r="AN1677" s="13" t="s">
        <v>17869</v>
      </c>
      <c r="AO1677" t="s">
        <v>17870</v>
      </c>
    </row>
    <row r="1678" spans="1:41" hidden="1" x14ac:dyDescent="0.35">
      <c r="A1678" t="s">
        <v>17871</v>
      </c>
      <c r="B1678" t="s">
        <v>7246</v>
      </c>
      <c r="C1678" t="s">
        <v>406</v>
      </c>
      <c r="D1678" t="s">
        <v>406</v>
      </c>
      <c r="E1678" t="s">
        <v>406</v>
      </c>
      <c r="G1678" s="13" t="s">
        <v>8681</v>
      </c>
      <c r="H1678" t="s">
        <v>8682</v>
      </c>
      <c r="K1678" t="s">
        <v>8638</v>
      </c>
      <c r="L1678" t="s">
        <v>7845</v>
      </c>
      <c r="M1678" t="s">
        <v>7250</v>
      </c>
      <c r="N1678">
        <v>2002</v>
      </c>
      <c r="R1678">
        <v>534</v>
      </c>
      <c r="S1678" t="s">
        <v>7251</v>
      </c>
      <c r="T1678">
        <v>5.52</v>
      </c>
      <c r="U1678">
        <v>2570.3200000000002</v>
      </c>
      <c r="V1678">
        <v>217.8</v>
      </c>
      <c r="W1678">
        <v>202.09</v>
      </c>
      <c r="X1678">
        <v>217.8</v>
      </c>
      <c r="Y1678">
        <v>30</v>
      </c>
      <c r="Z1678" t="s">
        <v>7253</v>
      </c>
      <c r="AA1678" t="s">
        <v>17872</v>
      </c>
      <c r="AB1678" t="s">
        <v>13664</v>
      </c>
      <c r="AC1678" t="s">
        <v>7255</v>
      </c>
      <c r="AE1678" t="s">
        <v>8684</v>
      </c>
      <c r="AF1678" t="s">
        <v>17873</v>
      </c>
      <c r="AH1678" t="s">
        <v>8684</v>
      </c>
      <c r="AI1678" t="s">
        <v>7255</v>
      </c>
      <c r="AL1678" t="s">
        <v>8686</v>
      </c>
      <c r="AN1678" s="13" t="s">
        <v>8688</v>
      </c>
      <c r="AO1678" t="s">
        <v>17874</v>
      </c>
    </row>
    <row r="1679" spans="1:41" hidden="1" x14ac:dyDescent="0.35">
      <c r="A1679" t="s">
        <v>17875</v>
      </c>
      <c r="B1679" t="s">
        <v>7246</v>
      </c>
      <c r="C1679" t="s">
        <v>8566</v>
      </c>
      <c r="D1679" t="s">
        <v>8566</v>
      </c>
      <c r="E1679" t="s">
        <v>8566</v>
      </c>
      <c r="G1679" s="13" t="s">
        <v>17876</v>
      </c>
      <c r="H1679" t="s">
        <v>17877</v>
      </c>
      <c r="J1679" t="s">
        <v>17878</v>
      </c>
      <c r="K1679" t="s">
        <v>16845</v>
      </c>
      <c r="L1679" t="s">
        <v>16845</v>
      </c>
      <c r="M1679" t="s">
        <v>7250</v>
      </c>
      <c r="N1679">
        <v>2003</v>
      </c>
      <c r="R1679">
        <v>7.3</v>
      </c>
      <c r="S1679" t="s">
        <v>8257</v>
      </c>
      <c r="T1679">
        <v>7.3</v>
      </c>
      <c r="U1679">
        <v>3397.3</v>
      </c>
      <c r="V1679">
        <v>432</v>
      </c>
      <c r="W1679">
        <v>435.31</v>
      </c>
      <c r="X1679">
        <v>432</v>
      </c>
      <c r="Y1679">
        <v>32</v>
      </c>
      <c r="Z1679" t="s">
        <v>7253</v>
      </c>
      <c r="AA1679" t="s">
        <v>17879</v>
      </c>
      <c r="AB1679" t="s">
        <v>17880</v>
      </c>
      <c r="AC1679" t="s">
        <v>8523</v>
      </c>
      <c r="AD1679" t="s">
        <v>17881</v>
      </c>
      <c r="AE1679" t="s">
        <v>8574</v>
      </c>
      <c r="AF1679" t="s">
        <v>14994</v>
      </c>
      <c r="AH1679" t="s">
        <v>3179</v>
      </c>
      <c r="AI1679" t="s">
        <v>8523</v>
      </c>
      <c r="AL1679" t="s">
        <v>17882</v>
      </c>
      <c r="AN1679" s="13" t="s">
        <v>17883</v>
      </c>
      <c r="AO1679" t="s">
        <v>17884</v>
      </c>
    </row>
    <row r="1680" spans="1:41" hidden="1" x14ac:dyDescent="0.35">
      <c r="A1680" t="s">
        <v>17885</v>
      </c>
      <c r="B1680" t="s">
        <v>7246</v>
      </c>
      <c r="C1680" t="s">
        <v>8566</v>
      </c>
      <c r="D1680" t="s">
        <v>351</v>
      </c>
      <c r="E1680" t="s">
        <v>8567</v>
      </c>
      <c r="G1680" s="13" t="s">
        <v>17886</v>
      </c>
      <c r="H1680" t="s">
        <v>17887</v>
      </c>
      <c r="J1680" t="s">
        <v>17888</v>
      </c>
      <c r="K1680" t="s">
        <v>17889</v>
      </c>
      <c r="L1680" t="s">
        <v>17890</v>
      </c>
      <c r="M1680" t="s">
        <v>7250</v>
      </c>
      <c r="N1680">
        <v>1972</v>
      </c>
      <c r="R1680">
        <v>2.19</v>
      </c>
      <c r="S1680" t="s">
        <v>8257</v>
      </c>
      <c r="T1680">
        <v>2.19</v>
      </c>
      <c r="U1680">
        <v>1019.19</v>
      </c>
      <c r="V1680">
        <v>441</v>
      </c>
      <c r="W1680">
        <v>452.95</v>
      </c>
      <c r="X1680">
        <v>441</v>
      </c>
      <c r="Y1680">
        <v>24</v>
      </c>
      <c r="Z1680" t="s">
        <v>7253</v>
      </c>
      <c r="AB1680" t="s">
        <v>14994</v>
      </c>
      <c r="AC1680" t="s">
        <v>8523</v>
      </c>
      <c r="AE1680" t="s">
        <v>3179</v>
      </c>
      <c r="AF1680" t="s">
        <v>3149</v>
      </c>
      <c r="AH1680" t="s">
        <v>3148</v>
      </c>
      <c r="AI1680" t="s">
        <v>8523</v>
      </c>
      <c r="AL1680" t="s">
        <v>17891</v>
      </c>
      <c r="AN1680" s="13" t="s">
        <v>17892</v>
      </c>
      <c r="AO1680" t="s">
        <v>17893</v>
      </c>
    </row>
    <row r="1681" spans="1:41" hidden="1" x14ac:dyDescent="0.35">
      <c r="A1681" t="s">
        <v>17894</v>
      </c>
      <c r="B1681" t="s">
        <v>7246</v>
      </c>
      <c r="C1681" t="s">
        <v>364</v>
      </c>
      <c r="D1681" t="s">
        <v>364</v>
      </c>
      <c r="E1681" t="s">
        <v>364</v>
      </c>
      <c r="G1681" s="13" t="s">
        <v>15001</v>
      </c>
      <c r="H1681" t="s">
        <v>15002</v>
      </c>
      <c r="J1681" t="s">
        <v>17895</v>
      </c>
      <c r="K1681" t="s">
        <v>15004</v>
      </c>
      <c r="L1681" t="s">
        <v>15004</v>
      </c>
      <c r="M1681" t="s">
        <v>7250</v>
      </c>
      <c r="N1681">
        <v>2009</v>
      </c>
      <c r="R1681">
        <v>2.4500000000000002</v>
      </c>
      <c r="S1681" t="s">
        <v>8257</v>
      </c>
      <c r="T1681">
        <v>2.4500000000000002</v>
      </c>
      <c r="U1681">
        <v>1137.8599999999999</v>
      </c>
      <c r="V1681">
        <v>663.2</v>
      </c>
      <c r="W1681">
        <v>717.45</v>
      </c>
      <c r="X1681">
        <v>663.2</v>
      </c>
      <c r="Y1681" t="s">
        <v>8249</v>
      </c>
      <c r="Z1681" t="s">
        <v>7253</v>
      </c>
      <c r="AB1681" t="s">
        <v>15005</v>
      </c>
      <c r="AC1681" t="s">
        <v>8523</v>
      </c>
      <c r="AE1681" t="s">
        <v>3182</v>
      </c>
      <c r="AF1681" t="s">
        <v>17896</v>
      </c>
      <c r="AH1681" t="s">
        <v>3182</v>
      </c>
      <c r="AI1681" t="s">
        <v>8523</v>
      </c>
      <c r="AL1681" t="s">
        <v>15007</v>
      </c>
      <c r="AN1681" s="13" t="s">
        <v>15009</v>
      </c>
      <c r="AO1681" t="s">
        <v>17897</v>
      </c>
    </row>
    <row r="1682" spans="1:41" hidden="1" x14ac:dyDescent="0.35">
      <c r="A1682" t="s">
        <v>17898</v>
      </c>
      <c r="B1682" t="s">
        <v>7246</v>
      </c>
      <c r="C1682" t="s">
        <v>17899</v>
      </c>
      <c r="D1682" t="s">
        <v>17899</v>
      </c>
      <c r="E1682" t="s">
        <v>17900</v>
      </c>
      <c r="G1682" s="13" t="s">
        <v>17901</v>
      </c>
      <c r="H1682" t="s">
        <v>17902</v>
      </c>
      <c r="K1682" t="s">
        <v>17903</v>
      </c>
      <c r="L1682" t="s">
        <v>17903</v>
      </c>
      <c r="M1682" t="s">
        <v>7731</v>
      </c>
      <c r="N1682">
        <v>2027</v>
      </c>
      <c r="T1682" t="s">
        <v>6546</v>
      </c>
      <c r="U1682" t="s">
        <v>6546</v>
      </c>
      <c r="V1682">
        <v>150</v>
      </c>
      <c r="W1682">
        <v>195.44</v>
      </c>
      <c r="X1682">
        <v>150</v>
      </c>
      <c r="AA1682" t="s">
        <v>17904</v>
      </c>
      <c r="AC1682" t="s">
        <v>10816</v>
      </c>
      <c r="AE1682" t="s">
        <v>17905</v>
      </c>
      <c r="AF1682" t="s">
        <v>17906</v>
      </c>
      <c r="AI1682" t="s">
        <v>10816</v>
      </c>
      <c r="AO1682" t="s">
        <v>17907</v>
      </c>
    </row>
    <row r="1683" spans="1:41" hidden="1" x14ac:dyDescent="0.35">
      <c r="A1683" t="s">
        <v>17908</v>
      </c>
      <c r="B1683" t="s">
        <v>7246</v>
      </c>
      <c r="C1683" t="s">
        <v>406</v>
      </c>
      <c r="D1683" t="s">
        <v>406</v>
      </c>
      <c r="E1683" t="s">
        <v>406</v>
      </c>
      <c r="G1683" s="13" t="s">
        <v>17909</v>
      </c>
      <c r="H1683" t="s">
        <v>17910</v>
      </c>
      <c r="K1683" t="s">
        <v>8729</v>
      </c>
      <c r="L1683" t="s">
        <v>7320</v>
      </c>
      <c r="M1683" t="s">
        <v>7415</v>
      </c>
      <c r="N1683">
        <v>2022</v>
      </c>
      <c r="R1683">
        <v>9.1999999999999993</v>
      </c>
      <c r="S1683" t="s">
        <v>8257</v>
      </c>
      <c r="T1683">
        <v>9.1999999999999993</v>
      </c>
      <c r="U1683">
        <v>4281.53</v>
      </c>
      <c r="V1683">
        <v>420</v>
      </c>
      <c r="W1683">
        <v>410.55</v>
      </c>
      <c r="X1683">
        <v>420</v>
      </c>
      <c r="Y1683">
        <v>36</v>
      </c>
      <c r="Z1683" t="s">
        <v>7253</v>
      </c>
      <c r="AB1683" t="s">
        <v>5529</v>
      </c>
      <c r="AC1683" t="s">
        <v>7255</v>
      </c>
      <c r="AE1683" t="s">
        <v>4005</v>
      </c>
      <c r="AF1683" t="s">
        <v>17911</v>
      </c>
      <c r="AH1683" t="s">
        <v>6226</v>
      </c>
      <c r="AI1683" t="s">
        <v>7255</v>
      </c>
      <c r="AL1683" t="s">
        <v>17912</v>
      </c>
      <c r="AN1683" s="13" t="s">
        <v>17913</v>
      </c>
      <c r="AO1683" t="s">
        <v>17914</v>
      </c>
    </row>
    <row r="1684" spans="1:41" x14ac:dyDescent="0.35">
      <c r="A1684" t="s">
        <v>17915</v>
      </c>
      <c r="B1684" t="s">
        <v>7246</v>
      </c>
      <c r="C1684" t="s">
        <v>24</v>
      </c>
      <c r="D1684" t="s">
        <v>24</v>
      </c>
      <c r="E1684" t="s">
        <v>24</v>
      </c>
      <c r="F1684" t="s">
        <v>354</v>
      </c>
      <c r="G1684" s="13" t="s">
        <v>17916</v>
      </c>
      <c r="H1684" t="s">
        <v>17917</v>
      </c>
      <c r="K1684" t="s">
        <v>6543</v>
      </c>
      <c r="L1684" t="s">
        <v>6543</v>
      </c>
      <c r="M1684" t="s">
        <v>7250</v>
      </c>
      <c r="N1684">
        <v>1978</v>
      </c>
      <c r="R1684">
        <v>9</v>
      </c>
      <c r="S1684" t="s">
        <v>9164</v>
      </c>
      <c r="T1684">
        <v>0.09</v>
      </c>
      <c r="U1684">
        <v>41.88</v>
      </c>
      <c r="V1684">
        <v>101</v>
      </c>
      <c r="W1684">
        <v>103.39</v>
      </c>
      <c r="X1684">
        <v>101</v>
      </c>
      <c r="AC1684" t="s">
        <v>9165</v>
      </c>
      <c r="AI1684" t="s">
        <v>9165</v>
      </c>
      <c r="AO1684" t="s">
        <v>17918</v>
      </c>
    </row>
    <row r="1685" spans="1:41" hidden="1" x14ac:dyDescent="0.35">
      <c r="A1685" t="s">
        <v>17919</v>
      </c>
      <c r="B1685" t="s">
        <v>7246</v>
      </c>
      <c r="C1685" t="s">
        <v>5796</v>
      </c>
      <c r="D1685" t="s">
        <v>342</v>
      </c>
      <c r="E1685" t="s">
        <v>17920</v>
      </c>
      <c r="G1685" s="13" t="s">
        <v>17921</v>
      </c>
      <c r="H1685" t="s">
        <v>17922</v>
      </c>
      <c r="J1685" t="s">
        <v>17923</v>
      </c>
      <c r="K1685" t="s">
        <v>17924</v>
      </c>
      <c r="L1685" t="s">
        <v>17924</v>
      </c>
      <c r="M1685" t="s">
        <v>7292</v>
      </c>
      <c r="R1685">
        <v>56</v>
      </c>
      <c r="S1685" t="s">
        <v>12003</v>
      </c>
      <c r="T1685">
        <v>2.06</v>
      </c>
      <c r="U1685">
        <v>959.51</v>
      </c>
      <c r="V1685">
        <v>135</v>
      </c>
      <c r="W1685">
        <v>80.760000000000005</v>
      </c>
      <c r="X1685">
        <v>135</v>
      </c>
      <c r="Y1685">
        <v>500</v>
      </c>
      <c r="Z1685" t="s">
        <v>8842</v>
      </c>
      <c r="AB1685" t="s">
        <v>17925</v>
      </c>
      <c r="AC1685" t="s">
        <v>8777</v>
      </c>
      <c r="AF1685" t="s">
        <v>17926</v>
      </c>
      <c r="AI1685" t="s">
        <v>8777</v>
      </c>
      <c r="AJ1685" t="s">
        <v>9032</v>
      </c>
      <c r="AO1685" t="s">
        <v>17927</v>
      </c>
    </row>
    <row r="1686" spans="1:41" hidden="1" x14ac:dyDescent="0.35">
      <c r="A1686" t="s">
        <v>17928</v>
      </c>
      <c r="B1686" t="s">
        <v>7246</v>
      </c>
      <c r="C1686" t="s">
        <v>383</v>
      </c>
      <c r="D1686" t="s">
        <v>383</v>
      </c>
      <c r="E1686" t="s">
        <v>383</v>
      </c>
      <c r="G1686" s="13" t="s">
        <v>17929</v>
      </c>
      <c r="H1686" t="s">
        <v>17930</v>
      </c>
      <c r="K1686" t="s">
        <v>13526</v>
      </c>
      <c r="L1686" t="s">
        <v>13526</v>
      </c>
      <c r="M1686" t="s">
        <v>7292</v>
      </c>
      <c r="T1686" t="s">
        <v>6546</v>
      </c>
      <c r="U1686" t="s">
        <v>6546</v>
      </c>
      <c r="V1686">
        <v>115</v>
      </c>
      <c r="W1686">
        <v>599.13</v>
      </c>
      <c r="X1686">
        <v>115</v>
      </c>
      <c r="AB1686" t="s">
        <v>17931</v>
      </c>
      <c r="AC1686" t="s">
        <v>8859</v>
      </c>
      <c r="AE1686" t="s">
        <v>2787</v>
      </c>
      <c r="AF1686" t="s">
        <v>17932</v>
      </c>
      <c r="AH1686" t="s">
        <v>2787</v>
      </c>
      <c r="AI1686" t="s">
        <v>8859</v>
      </c>
      <c r="AO1686" t="s">
        <v>10811</v>
      </c>
    </row>
    <row r="1687" spans="1:41" hidden="1" x14ac:dyDescent="0.35">
      <c r="A1687" t="s">
        <v>17933</v>
      </c>
      <c r="B1687" t="s">
        <v>7246</v>
      </c>
      <c r="C1687" t="s">
        <v>5796</v>
      </c>
      <c r="D1687" t="s">
        <v>5583</v>
      </c>
      <c r="E1687" t="s">
        <v>17934</v>
      </c>
      <c r="G1687" s="13" t="s">
        <v>17935</v>
      </c>
      <c r="H1687" t="s">
        <v>17936</v>
      </c>
      <c r="J1687" t="s">
        <v>17937</v>
      </c>
      <c r="K1687" t="s">
        <v>17938</v>
      </c>
      <c r="L1687" t="s">
        <v>17939</v>
      </c>
      <c r="M1687" t="s">
        <v>7292</v>
      </c>
      <c r="R1687">
        <v>56</v>
      </c>
      <c r="S1687" t="s">
        <v>12003</v>
      </c>
      <c r="T1687">
        <v>2.06</v>
      </c>
      <c r="U1687">
        <v>959.51</v>
      </c>
      <c r="V1687">
        <v>110</v>
      </c>
      <c r="W1687">
        <v>54.14</v>
      </c>
      <c r="X1687">
        <v>110</v>
      </c>
      <c r="Y1687">
        <v>500</v>
      </c>
      <c r="Z1687" t="s">
        <v>8842</v>
      </c>
      <c r="AB1687" t="s">
        <v>17940</v>
      </c>
      <c r="AC1687" t="s">
        <v>8777</v>
      </c>
      <c r="AF1687" t="s">
        <v>17941</v>
      </c>
      <c r="AI1687" t="s">
        <v>8777</v>
      </c>
      <c r="AJ1687" t="s">
        <v>9032</v>
      </c>
      <c r="AO1687" t="s">
        <v>17942</v>
      </c>
    </row>
    <row r="1688" spans="1:41" hidden="1" x14ac:dyDescent="0.35">
      <c r="A1688" t="s">
        <v>17943</v>
      </c>
      <c r="B1688" t="s">
        <v>7246</v>
      </c>
      <c r="C1688" t="s">
        <v>342</v>
      </c>
      <c r="D1688" t="s">
        <v>17944</v>
      </c>
      <c r="E1688" t="s">
        <v>17945</v>
      </c>
      <c r="G1688" s="13" t="s">
        <v>17946</v>
      </c>
      <c r="H1688" t="s">
        <v>17947</v>
      </c>
      <c r="J1688" t="s">
        <v>17948</v>
      </c>
      <c r="K1688" t="s">
        <v>17949</v>
      </c>
      <c r="L1688" t="s">
        <v>17949</v>
      </c>
      <c r="M1688" t="s">
        <v>7292</v>
      </c>
      <c r="N1688">
        <v>2027</v>
      </c>
      <c r="T1688" t="s">
        <v>6546</v>
      </c>
      <c r="U1688" t="s">
        <v>6546</v>
      </c>
      <c r="V1688">
        <v>212</v>
      </c>
      <c r="W1688">
        <v>192.61</v>
      </c>
      <c r="X1688">
        <v>212</v>
      </c>
      <c r="Y1688">
        <v>24</v>
      </c>
      <c r="Z1688" t="s">
        <v>7253</v>
      </c>
      <c r="AA1688" t="s">
        <v>17950</v>
      </c>
      <c r="AC1688" t="s">
        <v>8777</v>
      </c>
      <c r="AD1688" t="s">
        <v>17951</v>
      </c>
      <c r="AF1688" t="s">
        <v>17952</v>
      </c>
      <c r="AI1688" t="s">
        <v>8777</v>
      </c>
      <c r="AJ1688" t="s">
        <v>9032</v>
      </c>
      <c r="AO1688" t="s">
        <v>17953</v>
      </c>
    </row>
    <row r="1689" spans="1:41" hidden="1" x14ac:dyDescent="0.35">
      <c r="A1689" t="s">
        <v>17954</v>
      </c>
      <c r="B1689" t="s">
        <v>7246</v>
      </c>
      <c r="C1689" t="s">
        <v>431</v>
      </c>
      <c r="D1689" t="s">
        <v>431</v>
      </c>
      <c r="E1689" t="s">
        <v>431</v>
      </c>
      <c r="G1689" s="13" t="s">
        <v>13712</v>
      </c>
      <c r="H1689" t="s">
        <v>13713</v>
      </c>
      <c r="I1689" t="s">
        <v>17955</v>
      </c>
      <c r="J1689" t="s">
        <v>17956</v>
      </c>
      <c r="K1689" t="s">
        <v>13716</v>
      </c>
      <c r="L1689" t="s">
        <v>13716</v>
      </c>
      <c r="M1689" t="s">
        <v>7292</v>
      </c>
      <c r="T1689" t="s">
        <v>6546</v>
      </c>
      <c r="U1689" t="s">
        <v>6546</v>
      </c>
      <c r="V1689" t="s">
        <v>6546</v>
      </c>
      <c r="W1689">
        <v>215.16</v>
      </c>
      <c r="X1689">
        <v>215.16</v>
      </c>
      <c r="AC1689" t="s">
        <v>8765</v>
      </c>
      <c r="AI1689" t="s">
        <v>8765</v>
      </c>
      <c r="AO1689" t="s">
        <v>17957</v>
      </c>
    </row>
    <row r="1690" spans="1:41" hidden="1" x14ac:dyDescent="0.35">
      <c r="A1690" t="s">
        <v>17958</v>
      </c>
      <c r="B1690" t="s">
        <v>7246</v>
      </c>
      <c r="C1690" t="s">
        <v>431</v>
      </c>
      <c r="D1690" t="s">
        <v>431</v>
      </c>
      <c r="E1690" t="s">
        <v>431</v>
      </c>
      <c r="G1690" s="13" t="s">
        <v>13712</v>
      </c>
      <c r="H1690" t="s">
        <v>13713</v>
      </c>
      <c r="I1690" t="s">
        <v>17959</v>
      </c>
      <c r="J1690" t="s">
        <v>17960</v>
      </c>
      <c r="K1690" t="s">
        <v>13716</v>
      </c>
      <c r="L1690" t="s">
        <v>13716</v>
      </c>
      <c r="M1690" t="s">
        <v>7292</v>
      </c>
      <c r="T1690" t="s">
        <v>6546</v>
      </c>
      <c r="U1690" t="s">
        <v>6546</v>
      </c>
      <c r="V1690" t="s">
        <v>6546</v>
      </c>
      <c r="W1690">
        <v>388.06</v>
      </c>
      <c r="X1690">
        <v>388.06</v>
      </c>
      <c r="AC1690" t="s">
        <v>8765</v>
      </c>
      <c r="AI1690" t="s">
        <v>8765</v>
      </c>
      <c r="AO1690" t="s">
        <v>17961</v>
      </c>
    </row>
    <row r="1691" spans="1:41" hidden="1" x14ac:dyDescent="0.35">
      <c r="A1691" t="s">
        <v>17962</v>
      </c>
      <c r="B1691" t="s">
        <v>7246</v>
      </c>
      <c r="C1691" t="s">
        <v>431</v>
      </c>
      <c r="D1691" t="s">
        <v>431</v>
      </c>
      <c r="E1691" t="s">
        <v>431</v>
      </c>
      <c r="G1691" s="13" t="s">
        <v>13712</v>
      </c>
      <c r="H1691" t="s">
        <v>13713</v>
      </c>
      <c r="I1691" t="s">
        <v>17963</v>
      </c>
      <c r="J1691" t="s">
        <v>17964</v>
      </c>
      <c r="K1691" t="s">
        <v>13716</v>
      </c>
      <c r="L1691" t="s">
        <v>13716</v>
      </c>
      <c r="M1691" t="s">
        <v>7292</v>
      </c>
      <c r="T1691" t="s">
        <v>6546</v>
      </c>
      <c r="U1691" t="s">
        <v>6546</v>
      </c>
      <c r="V1691" t="s">
        <v>6546</v>
      </c>
      <c r="W1691">
        <v>686.08</v>
      </c>
      <c r="X1691">
        <v>686.08</v>
      </c>
      <c r="AC1691" t="s">
        <v>8765</v>
      </c>
      <c r="AI1691" t="s">
        <v>8765</v>
      </c>
      <c r="AO1691" t="s">
        <v>17965</v>
      </c>
    </row>
    <row r="1692" spans="1:41" hidden="1" x14ac:dyDescent="0.35">
      <c r="A1692" t="s">
        <v>17966</v>
      </c>
      <c r="B1692" t="s">
        <v>7246</v>
      </c>
      <c r="C1692" t="s">
        <v>414</v>
      </c>
      <c r="D1692" t="s">
        <v>414</v>
      </c>
      <c r="E1692" t="s">
        <v>414</v>
      </c>
      <c r="G1692" s="13" t="s">
        <v>17967</v>
      </c>
      <c r="H1692" t="s">
        <v>17968</v>
      </c>
      <c r="K1692" t="s">
        <v>17969</v>
      </c>
      <c r="L1692" t="s">
        <v>17969</v>
      </c>
      <c r="M1692" t="s">
        <v>7292</v>
      </c>
      <c r="T1692" t="s">
        <v>6546</v>
      </c>
      <c r="U1692" t="s">
        <v>6546</v>
      </c>
      <c r="V1692">
        <v>510</v>
      </c>
      <c r="W1692">
        <v>227.42</v>
      </c>
      <c r="X1692">
        <v>510</v>
      </c>
      <c r="AB1692" t="s">
        <v>17970</v>
      </c>
      <c r="AC1692" t="s">
        <v>8765</v>
      </c>
      <c r="AF1692" t="s">
        <v>17971</v>
      </c>
      <c r="AI1692" t="s">
        <v>8765</v>
      </c>
      <c r="AO1692" t="s">
        <v>17972</v>
      </c>
    </row>
    <row r="1693" spans="1:41" hidden="1" x14ac:dyDescent="0.35">
      <c r="A1693" t="s">
        <v>17973</v>
      </c>
      <c r="B1693" t="s">
        <v>7246</v>
      </c>
      <c r="C1693" t="s">
        <v>8890</v>
      </c>
      <c r="D1693" t="s">
        <v>8890</v>
      </c>
      <c r="E1693" t="s">
        <v>8890</v>
      </c>
      <c r="G1693" s="13" t="s">
        <v>17974</v>
      </c>
      <c r="H1693" t="s">
        <v>17975</v>
      </c>
      <c r="K1693" t="s">
        <v>6543</v>
      </c>
      <c r="L1693" t="s">
        <v>6543</v>
      </c>
      <c r="M1693" t="s">
        <v>7250</v>
      </c>
      <c r="N1693">
        <v>2004</v>
      </c>
      <c r="R1693">
        <v>105</v>
      </c>
      <c r="S1693" t="s">
        <v>7251</v>
      </c>
      <c r="T1693">
        <v>1.0900000000000001</v>
      </c>
      <c r="U1693">
        <v>505.4</v>
      </c>
      <c r="V1693">
        <v>225</v>
      </c>
      <c r="W1693">
        <v>230.84</v>
      </c>
      <c r="X1693">
        <v>225</v>
      </c>
      <c r="Y1693" t="s">
        <v>17976</v>
      </c>
      <c r="Z1693" t="s">
        <v>7253</v>
      </c>
      <c r="AA1693" t="s">
        <v>17977</v>
      </c>
      <c r="AC1693" t="s">
        <v>8765</v>
      </c>
      <c r="AF1693" t="s">
        <v>8897</v>
      </c>
      <c r="AI1693" t="s">
        <v>8765</v>
      </c>
      <c r="AO1693" t="s">
        <v>17978</v>
      </c>
    </row>
    <row r="1694" spans="1:41" hidden="1" x14ac:dyDescent="0.35">
      <c r="A1694" t="s">
        <v>17979</v>
      </c>
      <c r="B1694" t="s">
        <v>7246</v>
      </c>
      <c r="C1694" t="s">
        <v>383</v>
      </c>
      <c r="D1694" t="s">
        <v>383</v>
      </c>
      <c r="E1694" t="s">
        <v>383</v>
      </c>
      <c r="G1694" s="13" t="s">
        <v>17980</v>
      </c>
      <c r="H1694" t="s">
        <v>17981</v>
      </c>
      <c r="K1694" t="s">
        <v>17982</v>
      </c>
      <c r="L1694" t="s">
        <v>17982</v>
      </c>
      <c r="M1694" t="s">
        <v>7269</v>
      </c>
      <c r="T1694" t="s">
        <v>6546</v>
      </c>
      <c r="U1694" t="s">
        <v>6546</v>
      </c>
      <c r="V1694" t="s">
        <v>6546</v>
      </c>
      <c r="W1694">
        <v>915.8</v>
      </c>
      <c r="X1694">
        <v>915.8</v>
      </c>
      <c r="AB1694" t="s">
        <v>10982</v>
      </c>
      <c r="AC1694" t="s">
        <v>8859</v>
      </c>
      <c r="AE1694" t="s">
        <v>3075</v>
      </c>
      <c r="AF1694" t="s">
        <v>2712</v>
      </c>
      <c r="AH1694" t="s">
        <v>2787</v>
      </c>
      <c r="AI1694" t="s">
        <v>8859</v>
      </c>
      <c r="AO1694" t="s">
        <v>17983</v>
      </c>
    </row>
    <row r="1695" spans="1:41" hidden="1" x14ac:dyDescent="0.35">
      <c r="A1695" t="s">
        <v>17984</v>
      </c>
      <c r="B1695" t="s">
        <v>7246</v>
      </c>
      <c r="C1695" t="s">
        <v>370</v>
      </c>
      <c r="D1695" t="s">
        <v>370</v>
      </c>
      <c r="E1695" t="s">
        <v>370</v>
      </c>
      <c r="G1695" s="13" t="s">
        <v>17985</v>
      </c>
      <c r="H1695" t="s">
        <v>17986</v>
      </c>
      <c r="K1695" t="s">
        <v>17987</v>
      </c>
      <c r="L1695" t="s">
        <v>17987</v>
      </c>
      <c r="M1695" t="s">
        <v>7415</v>
      </c>
      <c r="N1695">
        <v>2023</v>
      </c>
      <c r="T1695" t="s">
        <v>6546</v>
      </c>
      <c r="U1695" t="s">
        <v>6546</v>
      </c>
      <c r="V1695">
        <v>170</v>
      </c>
      <c r="W1695">
        <v>213.47</v>
      </c>
      <c r="X1695">
        <v>170</v>
      </c>
      <c r="Y1695">
        <v>42</v>
      </c>
      <c r="Z1695" t="s">
        <v>7253</v>
      </c>
      <c r="AB1695" t="s">
        <v>17988</v>
      </c>
      <c r="AC1695" t="s">
        <v>8747</v>
      </c>
      <c r="AE1695" t="s">
        <v>17989</v>
      </c>
      <c r="AF1695" t="s">
        <v>17990</v>
      </c>
      <c r="AH1695" t="s">
        <v>17991</v>
      </c>
      <c r="AI1695" t="s">
        <v>8747</v>
      </c>
      <c r="AL1695" t="s">
        <v>17992</v>
      </c>
      <c r="AO1695" t="s">
        <v>17993</v>
      </c>
    </row>
    <row r="1696" spans="1:41" hidden="1" x14ac:dyDescent="0.35">
      <c r="A1696" t="s">
        <v>17994</v>
      </c>
      <c r="B1696" t="s">
        <v>7246</v>
      </c>
      <c r="C1696" t="s">
        <v>8890</v>
      </c>
      <c r="D1696" t="s">
        <v>4064</v>
      </c>
      <c r="E1696" t="s">
        <v>17995</v>
      </c>
      <c r="G1696" s="13" t="s">
        <v>17996</v>
      </c>
      <c r="H1696" t="s">
        <v>17997</v>
      </c>
      <c r="K1696" t="s">
        <v>17998</v>
      </c>
      <c r="L1696" t="s">
        <v>17998</v>
      </c>
      <c r="M1696" t="s">
        <v>7292</v>
      </c>
      <c r="T1696" t="s">
        <v>6546</v>
      </c>
      <c r="U1696" t="s">
        <v>6546</v>
      </c>
      <c r="V1696">
        <v>600</v>
      </c>
      <c r="W1696">
        <v>444.05</v>
      </c>
      <c r="X1696">
        <v>600</v>
      </c>
      <c r="AB1696" t="s">
        <v>8897</v>
      </c>
      <c r="AC1696" t="s">
        <v>8765</v>
      </c>
      <c r="AF1696" t="s">
        <v>3469</v>
      </c>
      <c r="AI1696" t="s">
        <v>8765</v>
      </c>
      <c r="AO1696" t="s">
        <v>17999</v>
      </c>
    </row>
    <row r="1697" spans="1:41" hidden="1" x14ac:dyDescent="0.35">
      <c r="A1697" t="s">
        <v>18000</v>
      </c>
      <c r="B1697" t="s">
        <v>7246</v>
      </c>
      <c r="C1697" t="s">
        <v>371</v>
      </c>
      <c r="D1697" t="s">
        <v>9016</v>
      </c>
      <c r="E1697" t="s">
        <v>18001</v>
      </c>
      <c r="G1697" s="13" t="s">
        <v>13478</v>
      </c>
      <c r="H1697" t="s">
        <v>8934</v>
      </c>
      <c r="I1697" t="s">
        <v>18002</v>
      </c>
      <c r="K1697" t="s">
        <v>6543</v>
      </c>
      <c r="L1697" t="s">
        <v>6543</v>
      </c>
      <c r="M1697" t="s">
        <v>7731</v>
      </c>
      <c r="R1697">
        <v>150</v>
      </c>
      <c r="S1697" t="s">
        <v>7251</v>
      </c>
      <c r="T1697">
        <v>1.55</v>
      </c>
      <c r="U1697">
        <v>722</v>
      </c>
      <c r="V1697" t="s">
        <v>6546</v>
      </c>
      <c r="W1697">
        <v>306.44</v>
      </c>
      <c r="X1697">
        <v>306.44</v>
      </c>
      <c r="Y1697">
        <v>20</v>
      </c>
      <c r="Z1697" t="s">
        <v>7253</v>
      </c>
      <c r="AC1697" t="s">
        <v>8765</v>
      </c>
      <c r="AF1697" t="s">
        <v>2607</v>
      </c>
      <c r="AI1697" t="s">
        <v>8765</v>
      </c>
      <c r="AO1697" t="s">
        <v>18003</v>
      </c>
    </row>
    <row r="1698" spans="1:41" hidden="1" x14ac:dyDescent="0.35">
      <c r="A1698" t="s">
        <v>18004</v>
      </c>
      <c r="B1698" t="s">
        <v>7246</v>
      </c>
      <c r="C1698" t="s">
        <v>370</v>
      </c>
      <c r="D1698" t="s">
        <v>370</v>
      </c>
      <c r="E1698" t="s">
        <v>370</v>
      </c>
      <c r="G1698" s="13" t="s">
        <v>18005</v>
      </c>
      <c r="H1698" t="s">
        <v>18006</v>
      </c>
      <c r="J1698" t="s">
        <v>18007</v>
      </c>
      <c r="K1698" t="s">
        <v>17987</v>
      </c>
      <c r="L1698" t="s">
        <v>17987</v>
      </c>
      <c r="M1698" t="s">
        <v>7250</v>
      </c>
      <c r="N1698">
        <v>2015</v>
      </c>
      <c r="T1698" t="s">
        <v>6546</v>
      </c>
      <c r="U1698" t="s">
        <v>6546</v>
      </c>
      <c r="V1698">
        <v>66</v>
      </c>
      <c r="W1698">
        <v>99.61</v>
      </c>
      <c r="X1698">
        <v>66</v>
      </c>
      <c r="Y1698" t="s">
        <v>18008</v>
      </c>
      <c r="Z1698" t="s">
        <v>7253</v>
      </c>
      <c r="AA1698" s="13" t="s">
        <v>18009</v>
      </c>
      <c r="AB1698" t="s">
        <v>18010</v>
      </c>
      <c r="AC1698" t="s">
        <v>8747</v>
      </c>
      <c r="AE1698" t="s">
        <v>18011</v>
      </c>
      <c r="AF1698" t="s">
        <v>17990</v>
      </c>
      <c r="AH1698" t="s">
        <v>17991</v>
      </c>
      <c r="AI1698" t="s">
        <v>8747</v>
      </c>
      <c r="AL1698" t="s">
        <v>18012</v>
      </c>
      <c r="AO1698" t="s">
        <v>18013</v>
      </c>
    </row>
    <row r="1699" spans="1:41" hidden="1" x14ac:dyDescent="0.35">
      <c r="A1699" t="s">
        <v>18014</v>
      </c>
      <c r="B1699" t="s">
        <v>7246</v>
      </c>
      <c r="C1699" t="s">
        <v>5435</v>
      </c>
      <c r="D1699" t="s">
        <v>10693</v>
      </c>
      <c r="E1699" t="s">
        <v>18015</v>
      </c>
      <c r="G1699" s="13" t="s">
        <v>18016</v>
      </c>
      <c r="H1699" t="s">
        <v>18017</v>
      </c>
      <c r="J1699" t="s">
        <v>18018</v>
      </c>
      <c r="K1699" t="s">
        <v>18019</v>
      </c>
      <c r="L1699" t="s">
        <v>18019</v>
      </c>
      <c r="M1699" t="s">
        <v>8874</v>
      </c>
      <c r="N1699">
        <v>2007</v>
      </c>
      <c r="R1699">
        <v>5</v>
      </c>
      <c r="S1699" t="s">
        <v>8257</v>
      </c>
      <c r="T1699">
        <v>5</v>
      </c>
      <c r="U1699">
        <v>2326.92</v>
      </c>
      <c r="V1699">
        <v>224</v>
      </c>
      <c r="W1699">
        <v>165.69</v>
      </c>
      <c r="X1699">
        <v>224</v>
      </c>
      <c r="AB1699" t="s">
        <v>13361</v>
      </c>
      <c r="AC1699" t="s">
        <v>8523</v>
      </c>
      <c r="AE1699" t="s">
        <v>13363</v>
      </c>
      <c r="AF1699" t="s">
        <v>18020</v>
      </c>
      <c r="AH1699" t="s">
        <v>18021</v>
      </c>
      <c r="AI1699" t="s">
        <v>8523</v>
      </c>
      <c r="AL1699" t="s">
        <v>18022</v>
      </c>
      <c r="AN1699" s="13" t="s">
        <v>18023</v>
      </c>
      <c r="AO1699" t="s">
        <v>18024</v>
      </c>
    </row>
    <row r="1700" spans="1:41" hidden="1" x14ac:dyDescent="0.35">
      <c r="A1700" t="s">
        <v>18025</v>
      </c>
      <c r="B1700" t="s">
        <v>7246</v>
      </c>
      <c r="C1700" t="s">
        <v>351</v>
      </c>
      <c r="D1700" t="s">
        <v>351</v>
      </c>
      <c r="E1700" t="s">
        <v>351</v>
      </c>
      <c r="G1700" s="13" t="s">
        <v>18026</v>
      </c>
      <c r="H1700" t="s">
        <v>18027</v>
      </c>
      <c r="K1700" t="s">
        <v>17467</v>
      </c>
      <c r="L1700" t="s">
        <v>17468</v>
      </c>
      <c r="M1700" t="s">
        <v>7250</v>
      </c>
      <c r="N1700">
        <v>1960</v>
      </c>
      <c r="R1700">
        <v>10.220000000000001</v>
      </c>
      <c r="S1700" t="s">
        <v>8257</v>
      </c>
      <c r="T1700">
        <v>10.220000000000001</v>
      </c>
      <c r="U1700">
        <v>4756.22</v>
      </c>
      <c r="V1700">
        <v>1454</v>
      </c>
      <c r="W1700">
        <v>1874.37</v>
      </c>
      <c r="X1700">
        <v>1454</v>
      </c>
      <c r="Y1700">
        <v>24</v>
      </c>
      <c r="Z1700" t="s">
        <v>7253</v>
      </c>
      <c r="AA1700" t="s">
        <v>8566</v>
      </c>
      <c r="AB1700" t="s">
        <v>3149</v>
      </c>
      <c r="AC1700" t="s">
        <v>8523</v>
      </c>
      <c r="AE1700" t="s">
        <v>3148</v>
      </c>
      <c r="AF1700" t="s">
        <v>18028</v>
      </c>
      <c r="AH1700" t="s">
        <v>3151</v>
      </c>
      <c r="AI1700" t="s">
        <v>8523</v>
      </c>
      <c r="AL1700" t="s">
        <v>18029</v>
      </c>
      <c r="AN1700" s="13" t="s">
        <v>18030</v>
      </c>
      <c r="AO1700" t="s">
        <v>18031</v>
      </c>
    </row>
    <row r="1701" spans="1:41" hidden="1" x14ac:dyDescent="0.35">
      <c r="A1701" t="s">
        <v>18032</v>
      </c>
      <c r="B1701" t="s">
        <v>7246</v>
      </c>
      <c r="C1701" t="s">
        <v>5214</v>
      </c>
      <c r="D1701" t="s">
        <v>5214</v>
      </c>
      <c r="E1701" t="s">
        <v>5214</v>
      </c>
      <c r="G1701" s="13" t="s">
        <v>18033</v>
      </c>
      <c r="H1701" t="s">
        <v>18034</v>
      </c>
      <c r="K1701" t="s">
        <v>17745</v>
      </c>
      <c r="L1701" t="s">
        <v>17746</v>
      </c>
      <c r="M1701" t="s">
        <v>7269</v>
      </c>
      <c r="T1701" t="s">
        <v>6546</v>
      </c>
      <c r="U1701" t="s">
        <v>6546</v>
      </c>
      <c r="V1701">
        <v>40</v>
      </c>
      <c r="W1701">
        <v>38.58</v>
      </c>
      <c r="X1701">
        <v>40</v>
      </c>
      <c r="AC1701" t="s">
        <v>10816</v>
      </c>
      <c r="AE1701" t="s">
        <v>5220</v>
      </c>
      <c r="AF1701" t="s">
        <v>18035</v>
      </c>
      <c r="AH1701" t="s">
        <v>5220</v>
      </c>
      <c r="AI1701" t="s">
        <v>10816</v>
      </c>
      <c r="AO1701" t="s">
        <v>18036</v>
      </c>
    </row>
    <row r="1702" spans="1:41" hidden="1" x14ac:dyDescent="0.35">
      <c r="A1702" t="s">
        <v>18037</v>
      </c>
      <c r="B1702" t="s">
        <v>7246</v>
      </c>
      <c r="C1702" t="s">
        <v>5214</v>
      </c>
      <c r="D1702" t="s">
        <v>5214</v>
      </c>
      <c r="E1702" t="s">
        <v>5214</v>
      </c>
      <c r="G1702" s="13" t="s">
        <v>18038</v>
      </c>
      <c r="H1702" t="s">
        <v>18039</v>
      </c>
      <c r="K1702" t="s">
        <v>17745</v>
      </c>
      <c r="L1702" t="s">
        <v>17746</v>
      </c>
      <c r="M1702" t="s">
        <v>7269</v>
      </c>
      <c r="T1702" t="s">
        <v>6546</v>
      </c>
      <c r="U1702" t="s">
        <v>6546</v>
      </c>
      <c r="V1702">
        <v>15</v>
      </c>
      <c r="W1702">
        <v>6.96</v>
      </c>
      <c r="X1702">
        <v>15</v>
      </c>
      <c r="AC1702" t="s">
        <v>10816</v>
      </c>
      <c r="AI1702" t="s">
        <v>10816</v>
      </c>
      <c r="AO1702" t="s">
        <v>18040</v>
      </c>
    </row>
    <row r="1703" spans="1:41" hidden="1" x14ac:dyDescent="0.35">
      <c r="A1703" t="s">
        <v>18041</v>
      </c>
      <c r="B1703" t="s">
        <v>7246</v>
      </c>
      <c r="C1703" t="s">
        <v>5214</v>
      </c>
      <c r="D1703" t="s">
        <v>5214</v>
      </c>
      <c r="E1703" t="s">
        <v>5214</v>
      </c>
      <c r="G1703" s="13" t="s">
        <v>18042</v>
      </c>
      <c r="H1703" t="s">
        <v>18043</v>
      </c>
      <c r="J1703" t="s">
        <v>18044</v>
      </c>
      <c r="K1703" t="s">
        <v>17745</v>
      </c>
      <c r="L1703" t="s">
        <v>17746</v>
      </c>
      <c r="M1703" t="s">
        <v>7269</v>
      </c>
      <c r="T1703" t="s">
        <v>6546</v>
      </c>
      <c r="U1703" t="s">
        <v>6546</v>
      </c>
      <c r="V1703">
        <v>35</v>
      </c>
      <c r="W1703">
        <v>31.7</v>
      </c>
      <c r="X1703">
        <v>35</v>
      </c>
      <c r="AB1703" t="s">
        <v>18045</v>
      </c>
      <c r="AC1703" t="s">
        <v>10816</v>
      </c>
      <c r="AE1703" t="s">
        <v>5220</v>
      </c>
      <c r="AF1703" t="s">
        <v>18046</v>
      </c>
      <c r="AH1703" t="s">
        <v>18047</v>
      </c>
      <c r="AI1703" t="s">
        <v>10816</v>
      </c>
      <c r="AO1703" t="s">
        <v>18048</v>
      </c>
    </row>
    <row r="1704" spans="1:41" hidden="1" x14ac:dyDescent="0.35">
      <c r="A1704" t="s">
        <v>18049</v>
      </c>
      <c r="B1704" t="s">
        <v>7246</v>
      </c>
      <c r="C1704" t="s">
        <v>5214</v>
      </c>
      <c r="D1704" t="s">
        <v>5214</v>
      </c>
      <c r="E1704" t="s">
        <v>5214</v>
      </c>
      <c r="G1704" s="13" t="s">
        <v>18050</v>
      </c>
      <c r="H1704" t="s">
        <v>18051</v>
      </c>
      <c r="K1704" t="s">
        <v>17745</v>
      </c>
      <c r="L1704" t="s">
        <v>17746</v>
      </c>
      <c r="M1704" t="s">
        <v>7269</v>
      </c>
      <c r="T1704" t="s">
        <v>6546</v>
      </c>
      <c r="U1704" t="s">
        <v>6546</v>
      </c>
      <c r="V1704">
        <v>38</v>
      </c>
      <c r="W1704">
        <v>206.54</v>
      </c>
      <c r="X1704">
        <v>38</v>
      </c>
      <c r="AC1704" t="s">
        <v>10816</v>
      </c>
      <c r="AI1704" t="s">
        <v>10816</v>
      </c>
      <c r="AO1704" t="s">
        <v>18052</v>
      </c>
    </row>
    <row r="1705" spans="1:41" hidden="1" x14ac:dyDescent="0.35">
      <c r="A1705" t="s">
        <v>18053</v>
      </c>
      <c r="B1705" t="s">
        <v>7246</v>
      </c>
      <c r="C1705" t="s">
        <v>441</v>
      </c>
      <c r="D1705" t="s">
        <v>441</v>
      </c>
      <c r="E1705" t="s">
        <v>441</v>
      </c>
      <c r="G1705" s="13" t="s">
        <v>18054</v>
      </c>
      <c r="H1705" t="s">
        <v>18055</v>
      </c>
      <c r="J1705" t="s">
        <v>18056</v>
      </c>
      <c r="K1705" t="s">
        <v>18057</v>
      </c>
      <c r="L1705" t="s">
        <v>18057</v>
      </c>
      <c r="M1705" t="s">
        <v>7250</v>
      </c>
      <c r="N1705">
        <v>2009</v>
      </c>
      <c r="R1705">
        <v>430</v>
      </c>
      <c r="S1705" t="s">
        <v>7251</v>
      </c>
      <c r="T1705">
        <v>4.45</v>
      </c>
      <c r="U1705">
        <v>2069.73</v>
      </c>
      <c r="V1705">
        <v>135</v>
      </c>
      <c r="W1705">
        <v>181.77</v>
      </c>
      <c r="X1705">
        <v>135</v>
      </c>
      <c r="Y1705">
        <v>36</v>
      </c>
      <c r="Z1705" t="s">
        <v>7253</v>
      </c>
      <c r="AA1705" t="s">
        <v>18058</v>
      </c>
      <c r="AB1705" t="s">
        <v>5286</v>
      </c>
      <c r="AC1705" t="s">
        <v>9852</v>
      </c>
      <c r="AF1705" t="s">
        <v>18059</v>
      </c>
      <c r="AI1705" t="s">
        <v>9852</v>
      </c>
      <c r="AO1705" t="s">
        <v>18060</v>
      </c>
    </row>
    <row r="1706" spans="1:41" hidden="1" x14ac:dyDescent="0.35">
      <c r="A1706" t="s">
        <v>18061</v>
      </c>
      <c r="B1706" t="s">
        <v>7246</v>
      </c>
      <c r="C1706" t="s">
        <v>441</v>
      </c>
      <c r="D1706" t="s">
        <v>441</v>
      </c>
      <c r="E1706" t="s">
        <v>441</v>
      </c>
      <c r="G1706" s="13" t="s">
        <v>18062</v>
      </c>
      <c r="H1706" t="s">
        <v>18063</v>
      </c>
      <c r="J1706" t="s">
        <v>18064</v>
      </c>
      <c r="K1706" t="s">
        <v>18057</v>
      </c>
      <c r="L1706" t="s">
        <v>18057</v>
      </c>
      <c r="M1706" t="s">
        <v>7415</v>
      </c>
      <c r="N1706">
        <v>2022</v>
      </c>
      <c r="R1706">
        <v>287</v>
      </c>
      <c r="S1706" t="s">
        <v>7251</v>
      </c>
      <c r="T1706">
        <v>2.97</v>
      </c>
      <c r="U1706">
        <v>1381.43</v>
      </c>
      <c r="V1706">
        <v>21.8</v>
      </c>
      <c r="W1706">
        <v>31.49</v>
      </c>
      <c r="X1706">
        <v>21.8</v>
      </c>
      <c r="AA1706" t="s">
        <v>18058</v>
      </c>
      <c r="AB1706" t="s">
        <v>5286</v>
      </c>
      <c r="AC1706" t="s">
        <v>9852</v>
      </c>
      <c r="AI1706" t="s">
        <v>9852</v>
      </c>
      <c r="AO1706" t="s">
        <v>18065</v>
      </c>
    </row>
    <row r="1707" spans="1:41" hidden="1" x14ac:dyDescent="0.35">
      <c r="A1707" t="s">
        <v>18066</v>
      </c>
      <c r="B1707" t="s">
        <v>7246</v>
      </c>
      <c r="C1707" t="s">
        <v>406</v>
      </c>
      <c r="D1707" t="s">
        <v>406</v>
      </c>
      <c r="E1707" t="s">
        <v>406</v>
      </c>
      <c r="G1707" s="13" t="s">
        <v>17168</v>
      </c>
      <c r="H1707" t="s">
        <v>17169</v>
      </c>
      <c r="J1707" t="s">
        <v>18067</v>
      </c>
      <c r="K1707" t="s">
        <v>8729</v>
      </c>
      <c r="L1707" t="s">
        <v>7320</v>
      </c>
      <c r="M1707" t="s">
        <v>7250</v>
      </c>
      <c r="N1707">
        <v>2006</v>
      </c>
      <c r="R1707">
        <v>825</v>
      </c>
      <c r="S1707" t="s">
        <v>7251</v>
      </c>
      <c r="T1707">
        <v>8.5299999999999994</v>
      </c>
      <c r="U1707">
        <v>3971</v>
      </c>
      <c r="V1707">
        <v>130</v>
      </c>
      <c r="W1707">
        <v>122.96</v>
      </c>
      <c r="X1707">
        <v>130</v>
      </c>
      <c r="Y1707">
        <v>30</v>
      </c>
      <c r="Z1707" t="s">
        <v>7253</v>
      </c>
      <c r="AB1707" t="s">
        <v>18068</v>
      </c>
      <c r="AC1707" t="s">
        <v>7255</v>
      </c>
      <c r="AD1707" t="s">
        <v>18069</v>
      </c>
      <c r="AE1707" t="s">
        <v>6236</v>
      </c>
      <c r="AF1707" t="s">
        <v>17171</v>
      </c>
      <c r="AH1707" t="s">
        <v>6226</v>
      </c>
      <c r="AI1707" t="s">
        <v>7255</v>
      </c>
      <c r="AL1707" t="s">
        <v>17173</v>
      </c>
      <c r="AN1707" s="13" t="s">
        <v>17168</v>
      </c>
      <c r="AO1707" t="s">
        <v>18070</v>
      </c>
    </row>
    <row r="1708" spans="1:41" hidden="1" x14ac:dyDescent="0.35">
      <c r="A1708" t="s">
        <v>18071</v>
      </c>
      <c r="B1708" t="s">
        <v>7246</v>
      </c>
      <c r="C1708" t="s">
        <v>383</v>
      </c>
      <c r="D1708" t="s">
        <v>383</v>
      </c>
      <c r="E1708" t="s">
        <v>383</v>
      </c>
      <c r="G1708" s="13" t="s">
        <v>18072</v>
      </c>
      <c r="H1708" t="s">
        <v>18073</v>
      </c>
      <c r="K1708" t="s">
        <v>10763</v>
      </c>
      <c r="L1708" t="s">
        <v>10763</v>
      </c>
      <c r="M1708" t="s">
        <v>7250</v>
      </c>
      <c r="N1708">
        <v>1997</v>
      </c>
      <c r="R1708">
        <v>0.73</v>
      </c>
      <c r="S1708" t="s">
        <v>8257</v>
      </c>
      <c r="T1708">
        <v>0.73</v>
      </c>
      <c r="U1708">
        <v>339.73</v>
      </c>
      <c r="V1708">
        <v>55</v>
      </c>
      <c r="W1708">
        <v>36.950000000000003</v>
      </c>
      <c r="X1708">
        <v>55</v>
      </c>
      <c r="AA1708" t="s">
        <v>18074</v>
      </c>
      <c r="AC1708" t="s">
        <v>8859</v>
      </c>
      <c r="AE1708" t="s">
        <v>18075</v>
      </c>
      <c r="AF1708" t="s">
        <v>18076</v>
      </c>
      <c r="AH1708" t="s">
        <v>18075</v>
      </c>
      <c r="AI1708" t="s">
        <v>8859</v>
      </c>
      <c r="AO1708" t="s">
        <v>18077</v>
      </c>
    </row>
    <row r="1709" spans="1:41" hidden="1" x14ac:dyDescent="0.35">
      <c r="A1709" t="s">
        <v>18078</v>
      </c>
      <c r="B1709" t="s">
        <v>7246</v>
      </c>
      <c r="C1709" t="s">
        <v>5422</v>
      </c>
      <c r="D1709" t="s">
        <v>5422</v>
      </c>
      <c r="E1709" t="s">
        <v>5422</v>
      </c>
      <c r="G1709" s="13" t="s">
        <v>18079</v>
      </c>
      <c r="H1709" t="s">
        <v>18080</v>
      </c>
      <c r="J1709" t="s">
        <v>18081</v>
      </c>
      <c r="K1709" t="s">
        <v>18082</v>
      </c>
      <c r="L1709" t="s">
        <v>18082</v>
      </c>
      <c r="M1709" t="s">
        <v>7292</v>
      </c>
      <c r="N1709">
        <v>2024</v>
      </c>
      <c r="R1709">
        <v>800</v>
      </c>
      <c r="S1709" t="s">
        <v>7251</v>
      </c>
      <c r="T1709">
        <v>8.27</v>
      </c>
      <c r="U1709">
        <v>3850.67</v>
      </c>
      <c r="V1709">
        <v>1100</v>
      </c>
      <c r="W1709">
        <v>1239.4000000000001</v>
      </c>
      <c r="X1709">
        <v>1100</v>
      </c>
      <c r="AA1709" t="s">
        <v>18083</v>
      </c>
      <c r="AB1709" t="s">
        <v>18084</v>
      </c>
      <c r="AC1709" t="s">
        <v>8523</v>
      </c>
      <c r="AE1709" t="s">
        <v>18085</v>
      </c>
      <c r="AF1709" t="s">
        <v>18086</v>
      </c>
      <c r="AH1709" t="s">
        <v>18086</v>
      </c>
      <c r="AI1709" t="s">
        <v>8523</v>
      </c>
      <c r="AL1709" t="s">
        <v>18087</v>
      </c>
      <c r="AN1709" s="13" t="s">
        <v>18088</v>
      </c>
      <c r="AO1709" t="s">
        <v>18089</v>
      </c>
    </row>
    <row r="1710" spans="1:41" hidden="1" x14ac:dyDescent="0.35">
      <c r="A1710" t="s">
        <v>18090</v>
      </c>
      <c r="B1710" t="s">
        <v>7246</v>
      </c>
      <c r="C1710" t="s">
        <v>406</v>
      </c>
      <c r="D1710" t="s">
        <v>406</v>
      </c>
      <c r="E1710" t="s">
        <v>406</v>
      </c>
      <c r="G1710" s="13" t="s">
        <v>18091</v>
      </c>
      <c r="H1710" t="s">
        <v>18092</v>
      </c>
      <c r="J1710" t="s">
        <v>18093</v>
      </c>
      <c r="K1710" t="s">
        <v>8638</v>
      </c>
      <c r="L1710" t="s">
        <v>7845</v>
      </c>
      <c r="M1710" t="s">
        <v>7250</v>
      </c>
      <c r="N1710">
        <v>2003</v>
      </c>
      <c r="R1710">
        <v>1460</v>
      </c>
      <c r="S1710" t="s">
        <v>7251</v>
      </c>
      <c r="T1710">
        <v>15.1</v>
      </c>
      <c r="U1710">
        <v>7027.47</v>
      </c>
      <c r="V1710">
        <v>114</v>
      </c>
      <c r="W1710">
        <v>132.93</v>
      </c>
      <c r="X1710">
        <v>114</v>
      </c>
      <c r="Y1710">
        <v>36</v>
      </c>
      <c r="Z1710" t="s">
        <v>7253</v>
      </c>
      <c r="AB1710" t="s">
        <v>18094</v>
      </c>
      <c r="AC1710" t="s">
        <v>7255</v>
      </c>
      <c r="AE1710" t="s">
        <v>18095</v>
      </c>
      <c r="AF1710" t="s">
        <v>18096</v>
      </c>
      <c r="AH1710" t="s">
        <v>18095</v>
      </c>
      <c r="AI1710" t="s">
        <v>7255</v>
      </c>
      <c r="AL1710" t="s">
        <v>18097</v>
      </c>
      <c r="AN1710" s="13" t="s">
        <v>18098</v>
      </c>
      <c r="AO1710" t="s">
        <v>18099</v>
      </c>
    </row>
    <row r="1711" spans="1:41" hidden="1" x14ac:dyDescent="0.35">
      <c r="A1711" t="s">
        <v>18100</v>
      </c>
      <c r="B1711" t="s">
        <v>7246</v>
      </c>
      <c r="C1711" t="s">
        <v>364</v>
      </c>
      <c r="D1711" t="s">
        <v>364</v>
      </c>
      <c r="E1711" t="s">
        <v>364</v>
      </c>
      <c r="G1711" s="13" t="s">
        <v>18101</v>
      </c>
      <c r="H1711" t="s">
        <v>18102</v>
      </c>
      <c r="J1711" t="s">
        <v>18103</v>
      </c>
      <c r="K1711" t="s">
        <v>18104</v>
      </c>
      <c r="L1711" t="s">
        <v>18104</v>
      </c>
      <c r="M1711" t="s">
        <v>7250</v>
      </c>
      <c r="N1711">
        <v>2016</v>
      </c>
      <c r="R1711">
        <v>7.3</v>
      </c>
      <c r="S1711" t="s">
        <v>8257</v>
      </c>
      <c r="T1711">
        <v>7.3</v>
      </c>
      <c r="U1711">
        <v>3397.3</v>
      </c>
      <c r="V1711">
        <v>401</v>
      </c>
      <c r="W1711">
        <v>380.67</v>
      </c>
      <c r="X1711">
        <v>401</v>
      </c>
      <c r="Y1711">
        <v>24</v>
      </c>
      <c r="Z1711" t="s">
        <v>7253</v>
      </c>
      <c r="AA1711" t="s">
        <v>10653</v>
      </c>
      <c r="AB1711" t="s">
        <v>10654</v>
      </c>
      <c r="AC1711" t="s">
        <v>8523</v>
      </c>
      <c r="AE1711" t="s">
        <v>3197</v>
      </c>
      <c r="AF1711" t="s">
        <v>17058</v>
      </c>
      <c r="AH1711" t="s">
        <v>3197</v>
      </c>
      <c r="AI1711" t="s">
        <v>8523</v>
      </c>
      <c r="AL1711" t="s">
        <v>18105</v>
      </c>
      <c r="AN1711" s="13" t="s">
        <v>18106</v>
      </c>
      <c r="AO1711" t="s">
        <v>18107</v>
      </c>
    </row>
    <row r="1712" spans="1:41" hidden="1" x14ac:dyDescent="0.35">
      <c r="A1712" t="s">
        <v>18108</v>
      </c>
      <c r="B1712" t="s">
        <v>7246</v>
      </c>
      <c r="C1712" t="s">
        <v>351</v>
      </c>
      <c r="D1712" t="s">
        <v>364</v>
      </c>
      <c r="E1712" t="s">
        <v>14965</v>
      </c>
      <c r="G1712" s="13" t="s">
        <v>18109</v>
      </c>
      <c r="H1712" t="s">
        <v>18110</v>
      </c>
      <c r="J1712" t="s">
        <v>18111</v>
      </c>
      <c r="K1712" t="s">
        <v>18112</v>
      </c>
      <c r="L1712" t="s">
        <v>18112</v>
      </c>
      <c r="M1712" t="s">
        <v>7250</v>
      </c>
      <c r="N1712">
        <v>2000</v>
      </c>
      <c r="R1712">
        <v>5.48</v>
      </c>
      <c r="S1712" t="s">
        <v>8257</v>
      </c>
      <c r="T1712">
        <v>5.48</v>
      </c>
      <c r="U1712">
        <v>2550.3000000000002</v>
      </c>
      <c r="V1712">
        <v>437</v>
      </c>
      <c r="W1712">
        <v>406.53</v>
      </c>
      <c r="X1712">
        <v>437</v>
      </c>
      <c r="Y1712">
        <v>24</v>
      </c>
      <c r="Z1712" t="s">
        <v>7253</v>
      </c>
      <c r="AB1712" t="s">
        <v>5389</v>
      </c>
      <c r="AC1712" t="s">
        <v>8523</v>
      </c>
      <c r="AE1712" t="s">
        <v>18113</v>
      </c>
      <c r="AF1712" t="s">
        <v>18114</v>
      </c>
      <c r="AH1712" t="s">
        <v>3202</v>
      </c>
      <c r="AI1712" t="s">
        <v>8523</v>
      </c>
      <c r="AL1712" t="s">
        <v>18115</v>
      </c>
      <c r="AN1712" s="13" t="s">
        <v>18116</v>
      </c>
      <c r="AO1712" t="s">
        <v>18117</v>
      </c>
    </row>
    <row r="1713" spans="1:41" hidden="1" x14ac:dyDescent="0.35">
      <c r="A1713" t="s">
        <v>18118</v>
      </c>
      <c r="B1713" t="s">
        <v>7246</v>
      </c>
      <c r="C1713" t="s">
        <v>423</v>
      </c>
      <c r="D1713" t="s">
        <v>423</v>
      </c>
      <c r="E1713" t="s">
        <v>423</v>
      </c>
      <c r="G1713" s="13" t="s">
        <v>14038</v>
      </c>
      <c r="H1713" t="s">
        <v>14039</v>
      </c>
      <c r="I1713" t="s">
        <v>18119</v>
      </c>
      <c r="J1713" t="s">
        <v>18120</v>
      </c>
      <c r="K1713" t="s">
        <v>18121</v>
      </c>
      <c r="L1713" t="s">
        <v>18121</v>
      </c>
      <c r="M1713" t="s">
        <v>7415</v>
      </c>
      <c r="N1713">
        <v>2024</v>
      </c>
      <c r="R1713">
        <v>1.5</v>
      </c>
      <c r="S1713" t="s">
        <v>8257</v>
      </c>
      <c r="T1713">
        <v>1.5</v>
      </c>
      <c r="U1713">
        <v>698.08</v>
      </c>
      <c r="V1713">
        <v>84</v>
      </c>
      <c r="W1713">
        <v>73.819999999999993</v>
      </c>
      <c r="X1713">
        <v>84</v>
      </c>
      <c r="Y1713">
        <v>720</v>
      </c>
      <c r="Z1713" t="s">
        <v>8842</v>
      </c>
      <c r="AA1713" t="s">
        <v>18122</v>
      </c>
      <c r="AB1713" t="s">
        <v>18123</v>
      </c>
      <c r="AC1713" t="s">
        <v>8844</v>
      </c>
      <c r="AD1713" t="s">
        <v>18124</v>
      </c>
      <c r="AE1713" t="s">
        <v>14044</v>
      </c>
      <c r="AF1713" t="s">
        <v>18125</v>
      </c>
      <c r="AH1713" t="s">
        <v>14044</v>
      </c>
      <c r="AI1713" t="s">
        <v>8844</v>
      </c>
      <c r="AL1713" t="s">
        <v>18126</v>
      </c>
      <c r="AM1713" t="s">
        <v>18127</v>
      </c>
      <c r="AO1713" t="s">
        <v>18128</v>
      </c>
    </row>
    <row r="1714" spans="1:41" hidden="1" x14ac:dyDescent="0.35">
      <c r="A1714" t="s">
        <v>18129</v>
      </c>
      <c r="B1714" t="s">
        <v>7246</v>
      </c>
      <c r="C1714" t="s">
        <v>4149</v>
      </c>
      <c r="D1714" t="s">
        <v>4149</v>
      </c>
      <c r="E1714" t="s">
        <v>4149</v>
      </c>
      <c r="G1714" s="13" t="s">
        <v>18130</v>
      </c>
      <c r="H1714" t="s">
        <v>18131</v>
      </c>
      <c r="K1714" t="s">
        <v>6543</v>
      </c>
      <c r="L1714" t="s">
        <v>6543</v>
      </c>
      <c r="M1714" t="s">
        <v>7292</v>
      </c>
      <c r="T1714" t="s">
        <v>6546</v>
      </c>
      <c r="U1714" t="s">
        <v>6546</v>
      </c>
      <c r="V1714">
        <v>2825</v>
      </c>
      <c r="W1714">
        <v>2554.5</v>
      </c>
      <c r="X1714">
        <v>2825</v>
      </c>
      <c r="AC1714" t="s">
        <v>10816</v>
      </c>
      <c r="AI1714" t="s">
        <v>10816</v>
      </c>
      <c r="AO1714" t="s">
        <v>18132</v>
      </c>
    </row>
    <row r="1715" spans="1:41" hidden="1" x14ac:dyDescent="0.35">
      <c r="A1715" t="s">
        <v>18133</v>
      </c>
      <c r="B1715" t="s">
        <v>7246</v>
      </c>
      <c r="C1715" t="s">
        <v>449</v>
      </c>
      <c r="D1715" t="s">
        <v>449</v>
      </c>
      <c r="E1715" t="s">
        <v>449</v>
      </c>
      <c r="G1715" s="13" t="s">
        <v>18134</v>
      </c>
      <c r="H1715" t="s">
        <v>18135</v>
      </c>
      <c r="I1715" t="s">
        <v>18136</v>
      </c>
      <c r="K1715" t="s">
        <v>18137</v>
      </c>
      <c r="L1715" t="s">
        <v>18138</v>
      </c>
      <c r="M1715" t="s">
        <v>7250</v>
      </c>
      <c r="T1715" t="s">
        <v>6546</v>
      </c>
      <c r="U1715" t="s">
        <v>6546</v>
      </c>
      <c r="V1715">
        <v>78</v>
      </c>
      <c r="W1715">
        <v>76.3</v>
      </c>
      <c r="X1715">
        <v>78</v>
      </c>
      <c r="Y1715" t="s">
        <v>18139</v>
      </c>
      <c r="Z1715" t="s">
        <v>8842</v>
      </c>
      <c r="AB1715" t="s">
        <v>18140</v>
      </c>
      <c r="AC1715" t="s">
        <v>8777</v>
      </c>
      <c r="AF1715" t="s">
        <v>18141</v>
      </c>
      <c r="AI1715" t="s">
        <v>8777</v>
      </c>
      <c r="AO1715" t="s">
        <v>18142</v>
      </c>
    </row>
    <row r="1716" spans="1:41" hidden="1" x14ac:dyDescent="0.35">
      <c r="A1716" t="s">
        <v>18143</v>
      </c>
      <c r="B1716" t="s">
        <v>7246</v>
      </c>
      <c r="C1716" t="s">
        <v>423</v>
      </c>
      <c r="D1716" t="s">
        <v>423</v>
      </c>
      <c r="E1716" t="s">
        <v>423</v>
      </c>
      <c r="G1716" s="13" t="s">
        <v>14038</v>
      </c>
      <c r="H1716" t="s">
        <v>14039</v>
      </c>
      <c r="I1716" t="s">
        <v>11023</v>
      </c>
      <c r="J1716" t="s">
        <v>18120</v>
      </c>
      <c r="K1716" t="s">
        <v>18144</v>
      </c>
      <c r="L1716" t="s">
        <v>18144</v>
      </c>
      <c r="M1716" t="s">
        <v>7250</v>
      </c>
      <c r="N1716">
        <v>1982</v>
      </c>
      <c r="O1716">
        <v>2014</v>
      </c>
      <c r="R1716">
        <v>1.5</v>
      </c>
      <c r="S1716" t="s">
        <v>8257</v>
      </c>
      <c r="T1716">
        <v>1.5</v>
      </c>
      <c r="U1716">
        <v>698.08</v>
      </c>
      <c r="V1716">
        <v>1146</v>
      </c>
      <c r="W1716">
        <v>370.55</v>
      </c>
      <c r="X1716">
        <v>1146</v>
      </c>
      <c r="Y1716" t="s">
        <v>18145</v>
      </c>
      <c r="Z1716" t="s">
        <v>8842</v>
      </c>
      <c r="AA1716" t="s">
        <v>18122</v>
      </c>
      <c r="AB1716" t="s">
        <v>18125</v>
      </c>
      <c r="AC1716" t="s">
        <v>8844</v>
      </c>
      <c r="AE1716" t="s">
        <v>14044</v>
      </c>
      <c r="AF1716" t="s">
        <v>14045</v>
      </c>
      <c r="AH1716" t="s">
        <v>14044</v>
      </c>
      <c r="AI1716" t="s">
        <v>8844</v>
      </c>
      <c r="AL1716" t="s">
        <v>18146</v>
      </c>
      <c r="AO1716" t="s">
        <v>18147</v>
      </c>
    </row>
    <row r="1717" spans="1:41" hidden="1" x14ac:dyDescent="0.35">
      <c r="A1717" t="s">
        <v>18148</v>
      </c>
      <c r="B1717" t="s">
        <v>7246</v>
      </c>
      <c r="C1717" t="s">
        <v>423</v>
      </c>
      <c r="D1717" t="s">
        <v>423</v>
      </c>
      <c r="E1717" t="s">
        <v>423</v>
      </c>
      <c r="G1717" s="13" t="s">
        <v>14038</v>
      </c>
      <c r="H1717" t="s">
        <v>14039</v>
      </c>
      <c r="I1717" t="s">
        <v>8108</v>
      </c>
      <c r="J1717" t="s">
        <v>18120</v>
      </c>
      <c r="K1717" t="s">
        <v>18144</v>
      </c>
      <c r="L1717" t="s">
        <v>18144</v>
      </c>
      <c r="M1717" t="s">
        <v>7250</v>
      </c>
      <c r="N1717">
        <v>2014</v>
      </c>
      <c r="R1717">
        <v>1.5</v>
      </c>
      <c r="S1717" t="s">
        <v>8257</v>
      </c>
      <c r="T1717">
        <v>1.5</v>
      </c>
      <c r="U1717">
        <v>698.08</v>
      </c>
      <c r="V1717">
        <v>168</v>
      </c>
      <c r="W1717">
        <v>73.819999999999993</v>
      </c>
      <c r="X1717">
        <v>168</v>
      </c>
      <c r="Y1717">
        <v>529</v>
      </c>
      <c r="Z1717" t="s">
        <v>8842</v>
      </c>
      <c r="AA1717" t="s">
        <v>18122</v>
      </c>
      <c r="AB1717" t="s">
        <v>18123</v>
      </c>
      <c r="AC1717" t="s">
        <v>8844</v>
      </c>
      <c r="AD1717" t="s">
        <v>18124</v>
      </c>
      <c r="AE1717" t="s">
        <v>14044</v>
      </c>
      <c r="AF1717" t="s">
        <v>18125</v>
      </c>
      <c r="AH1717" t="s">
        <v>14044</v>
      </c>
      <c r="AI1717" t="s">
        <v>8844</v>
      </c>
      <c r="AL1717" t="s">
        <v>18146</v>
      </c>
      <c r="AO1717" t="s">
        <v>18128</v>
      </c>
    </row>
    <row r="1718" spans="1:41" hidden="1" x14ac:dyDescent="0.35">
      <c r="A1718" t="s">
        <v>18149</v>
      </c>
      <c r="B1718" t="s">
        <v>7246</v>
      </c>
      <c r="C1718" t="s">
        <v>370</v>
      </c>
      <c r="D1718" t="s">
        <v>370</v>
      </c>
      <c r="E1718" t="s">
        <v>370</v>
      </c>
      <c r="G1718" s="13" t="s">
        <v>18150</v>
      </c>
      <c r="H1718" t="s">
        <v>18151</v>
      </c>
      <c r="K1718" t="s">
        <v>17987</v>
      </c>
      <c r="L1718" t="s">
        <v>17987</v>
      </c>
      <c r="M1718" t="s">
        <v>7250</v>
      </c>
      <c r="N1718">
        <v>2019</v>
      </c>
      <c r="T1718" t="s">
        <v>6546</v>
      </c>
      <c r="U1718" t="s">
        <v>6546</v>
      </c>
      <c r="V1718">
        <v>165</v>
      </c>
      <c r="W1718">
        <v>170.52</v>
      </c>
      <c r="X1718">
        <v>165</v>
      </c>
      <c r="Y1718">
        <v>42</v>
      </c>
      <c r="Z1718" t="s">
        <v>7253</v>
      </c>
      <c r="AB1718" t="s">
        <v>18152</v>
      </c>
      <c r="AC1718" t="s">
        <v>8747</v>
      </c>
      <c r="AE1718" t="s">
        <v>17989</v>
      </c>
      <c r="AF1718" t="s">
        <v>18153</v>
      </c>
      <c r="AH1718" t="s">
        <v>3281</v>
      </c>
      <c r="AI1718" t="s">
        <v>8747</v>
      </c>
      <c r="AL1718" t="s">
        <v>18154</v>
      </c>
      <c r="AO1718" t="s">
        <v>18155</v>
      </c>
    </row>
    <row r="1719" spans="1:41" hidden="1" x14ac:dyDescent="0.35">
      <c r="A1719" t="s">
        <v>18156</v>
      </c>
      <c r="B1719" t="s">
        <v>7246</v>
      </c>
      <c r="C1719" t="s">
        <v>423</v>
      </c>
      <c r="D1719" t="s">
        <v>423</v>
      </c>
      <c r="E1719" t="s">
        <v>423</v>
      </c>
      <c r="G1719" s="13" t="s">
        <v>13824</v>
      </c>
      <c r="H1719" t="s">
        <v>13825</v>
      </c>
      <c r="I1719" t="s">
        <v>18157</v>
      </c>
      <c r="K1719" t="s">
        <v>9848</v>
      </c>
      <c r="L1719" t="s">
        <v>9848</v>
      </c>
      <c r="M1719" t="s">
        <v>7250</v>
      </c>
      <c r="N1719">
        <v>2017</v>
      </c>
      <c r="T1719" t="s">
        <v>6546</v>
      </c>
      <c r="U1719" t="s">
        <v>6546</v>
      </c>
      <c r="V1719">
        <v>50</v>
      </c>
      <c r="W1719">
        <v>42.37</v>
      </c>
      <c r="X1719">
        <v>50</v>
      </c>
      <c r="AA1719" t="s">
        <v>13816</v>
      </c>
      <c r="AB1719" t="s">
        <v>13817</v>
      </c>
      <c r="AC1719" t="s">
        <v>8844</v>
      </c>
      <c r="AE1719" t="s">
        <v>13819</v>
      </c>
      <c r="AF1719" t="s">
        <v>18158</v>
      </c>
      <c r="AG1719" t="s">
        <v>18159</v>
      </c>
      <c r="AH1719" t="s">
        <v>13819</v>
      </c>
      <c r="AI1719" t="s">
        <v>8844</v>
      </c>
      <c r="AL1719" t="s">
        <v>13828</v>
      </c>
      <c r="AM1719" t="s">
        <v>18160</v>
      </c>
      <c r="AO1719" t="s">
        <v>18161</v>
      </c>
    </row>
    <row r="1720" spans="1:41" hidden="1" x14ac:dyDescent="0.35">
      <c r="A1720" t="s">
        <v>18162</v>
      </c>
      <c r="B1720" t="s">
        <v>7246</v>
      </c>
      <c r="C1720" t="s">
        <v>423</v>
      </c>
      <c r="D1720" t="s">
        <v>423</v>
      </c>
      <c r="E1720" t="s">
        <v>423</v>
      </c>
      <c r="G1720" s="13" t="s">
        <v>13824</v>
      </c>
      <c r="H1720" t="s">
        <v>13825</v>
      </c>
      <c r="I1720" t="s">
        <v>18163</v>
      </c>
      <c r="K1720" t="s">
        <v>9848</v>
      </c>
      <c r="L1720" t="s">
        <v>9848</v>
      </c>
      <c r="M1720" t="s">
        <v>7250</v>
      </c>
      <c r="N1720">
        <v>2022</v>
      </c>
      <c r="R1720">
        <v>1.2</v>
      </c>
      <c r="S1720" t="s">
        <v>18164</v>
      </c>
      <c r="T1720">
        <v>0.44</v>
      </c>
      <c r="U1720">
        <v>203.98</v>
      </c>
      <c r="V1720">
        <v>77</v>
      </c>
      <c r="W1720">
        <v>73.53</v>
      </c>
      <c r="X1720">
        <v>77</v>
      </c>
      <c r="AA1720" t="s">
        <v>13816</v>
      </c>
      <c r="AB1720" t="s">
        <v>18158</v>
      </c>
      <c r="AC1720" t="s">
        <v>8844</v>
      </c>
      <c r="AD1720" t="s">
        <v>18159</v>
      </c>
      <c r="AE1720" t="s">
        <v>13819</v>
      </c>
      <c r="AF1720" t="s">
        <v>18165</v>
      </c>
      <c r="AG1720" t="s">
        <v>18166</v>
      </c>
      <c r="AH1720" t="s">
        <v>13819</v>
      </c>
      <c r="AI1720" t="s">
        <v>8844</v>
      </c>
      <c r="AL1720" t="s">
        <v>13828</v>
      </c>
      <c r="AM1720" t="s">
        <v>18167</v>
      </c>
      <c r="AO1720" t="s">
        <v>18168</v>
      </c>
    </row>
    <row r="1721" spans="1:41" hidden="1" x14ac:dyDescent="0.35">
      <c r="A1721" t="s">
        <v>18169</v>
      </c>
      <c r="B1721" t="s">
        <v>7246</v>
      </c>
      <c r="C1721" t="s">
        <v>423</v>
      </c>
      <c r="D1721" t="s">
        <v>423</v>
      </c>
      <c r="E1721" t="s">
        <v>423</v>
      </c>
      <c r="G1721" s="13" t="s">
        <v>13824</v>
      </c>
      <c r="H1721" t="s">
        <v>13825</v>
      </c>
      <c r="I1721" t="s">
        <v>18170</v>
      </c>
      <c r="K1721" t="s">
        <v>9848</v>
      </c>
      <c r="L1721" t="s">
        <v>9848</v>
      </c>
      <c r="M1721" t="s">
        <v>7292</v>
      </c>
      <c r="N1721">
        <v>2023</v>
      </c>
      <c r="T1721" t="s">
        <v>6546</v>
      </c>
      <c r="U1721" t="s">
        <v>6546</v>
      </c>
      <c r="V1721">
        <v>246</v>
      </c>
      <c r="W1721">
        <v>189.96</v>
      </c>
      <c r="X1721">
        <v>246</v>
      </c>
      <c r="AA1721" t="s">
        <v>13816</v>
      </c>
      <c r="AB1721" t="s">
        <v>18165</v>
      </c>
      <c r="AC1721" t="s">
        <v>8844</v>
      </c>
      <c r="AE1721" t="s">
        <v>13819</v>
      </c>
      <c r="AF1721" t="s">
        <v>18171</v>
      </c>
      <c r="AH1721" t="s">
        <v>13819</v>
      </c>
      <c r="AI1721" t="s">
        <v>8844</v>
      </c>
      <c r="AL1721" t="s">
        <v>13828</v>
      </c>
      <c r="AM1721" t="s">
        <v>18172</v>
      </c>
      <c r="AO1721" t="s">
        <v>18173</v>
      </c>
    </row>
    <row r="1722" spans="1:41" hidden="1" x14ac:dyDescent="0.35">
      <c r="A1722" t="s">
        <v>18174</v>
      </c>
      <c r="B1722" t="s">
        <v>7246</v>
      </c>
      <c r="C1722" t="s">
        <v>423</v>
      </c>
      <c r="D1722" t="s">
        <v>423</v>
      </c>
      <c r="E1722" t="s">
        <v>423</v>
      </c>
      <c r="G1722" s="13" t="s">
        <v>13824</v>
      </c>
      <c r="H1722" t="s">
        <v>13825</v>
      </c>
      <c r="I1722" t="s">
        <v>18175</v>
      </c>
      <c r="K1722" t="s">
        <v>9848</v>
      </c>
      <c r="L1722" t="s">
        <v>9848</v>
      </c>
      <c r="M1722" t="s">
        <v>7292</v>
      </c>
      <c r="N1722">
        <v>2023</v>
      </c>
      <c r="T1722" t="s">
        <v>6546</v>
      </c>
      <c r="U1722" t="s">
        <v>6546</v>
      </c>
      <c r="V1722">
        <v>277</v>
      </c>
      <c r="W1722">
        <v>248.97</v>
      </c>
      <c r="X1722">
        <v>277</v>
      </c>
      <c r="AA1722" t="s">
        <v>13816</v>
      </c>
      <c r="AB1722" t="s">
        <v>18165</v>
      </c>
      <c r="AC1722" t="s">
        <v>8844</v>
      </c>
      <c r="AE1722" t="s">
        <v>13819</v>
      </c>
      <c r="AF1722" t="s">
        <v>18176</v>
      </c>
      <c r="AH1722" t="s">
        <v>13819</v>
      </c>
      <c r="AI1722" t="s">
        <v>8844</v>
      </c>
      <c r="AL1722" t="s">
        <v>13828</v>
      </c>
      <c r="AM1722" t="s">
        <v>18177</v>
      </c>
      <c r="AO1722" t="s">
        <v>18178</v>
      </c>
    </row>
    <row r="1723" spans="1:41" hidden="1" x14ac:dyDescent="0.35">
      <c r="A1723" t="s">
        <v>18179</v>
      </c>
      <c r="B1723" t="s">
        <v>7246</v>
      </c>
      <c r="C1723" t="s">
        <v>12969</v>
      </c>
      <c r="D1723" t="s">
        <v>12969</v>
      </c>
      <c r="E1723" t="s">
        <v>12969</v>
      </c>
      <c r="G1723" s="13" t="s">
        <v>18180</v>
      </c>
      <c r="H1723" t="s">
        <v>18181</v>
      </c>
      <c r="K1723" t="s">
        <v>18182</v>
      </c>
      <c r="L1723" t="s">
        <v>18182</v>
      </c>
      <c r="M1723" t="s">
        <v>7731</v>
      </c>
      <c r="N1723">
        <v>2023</v>
      </c>
      <c r="T1723" t="s">
        <v>6546</v>
      </c>
      <c r="U1723" t="s">
        <v>6546</v>
      </c>
      <c r="V1723">
        <v>400</v>
      </c>
      <c r="W1723">
        <v>542.89</v>
      </c>
      <c r="X1723">
        <v>400</v>
      </c>
      <c r="AA1723" t="s">
        <v>18183</v>
      </c>
      <c r="AB1723" t="s">
        <v>18184</v>
      </c>
      <c r="AC1723" t="s">
        <v>10816</v>
      </c>
      <c r="AF1723" t="s">
        <v>18185</v>
      </c>
      <c r="AI1723" t="s">
        <v>10816</v>
      </c>
      <c r="AO1723" t="s">
        <v>18186</v>
      </c>
    </row>
    <row r="1724" spans="1:41" x14ac:dyDescent="0.35">
      <c r="A1724" t="s">
        <v>18187</v>
      </c>
      <c r="B1724" t="s">
        <v>7246</v>
      </c>
      <c r="C1724" t="s">
        <v>24</v>
      </c>
      <c r="D1724" t="s">
        <v>24</v>
      </c>
      <c r="E1724" t="s">
        <v>24</v>
      </c>
      <c r="F1724" t="s">
        <v>354</v>
      </c>
      <c r="G1724" s="13" t="s">
        <v>18188</v>
      </c>
      <c r="H1724" t="s">
        <v>18189</v>
      </c>
      <c r="K1724" t="s">
        <v>10589</v>
      </c>
      <c r="L1724" t="s">
        <v>10589</v>
      </c>
      <c r="M1724" t="s">
        <v>7250</v>
      </c>
      <c r="N1724">
        <v>2006</v>
      </c>
      <c r="R1724">
        <v>13</v>
      </c>
      <c r="S1724" t="s">
        <v>9164</v>
      </c>
      <c r="T1724">
        <v>0.13</v>
      </c>
      <c r="U1724">
        <v>61.87</v>
      </c>
      <c r="V1724">
        <v>295</v>
      </c>
      <c r="W1724">
        <v>285.3</v>
      </c>
      <c r="X1724">
        <v>295</v>
      </c>
      <c r="AA1724" t="s">
        <v>18190</v>
      </c>
      <c r="AB1724" t="s">
        <v>18191</v>
      </c>
      <c r="AC1724" t="s">
        <v>9165</v>
      </c>
      <c r="AF1724" t="s">
        <v>18192</v>
      </c>
      <c r="AI1724" t="s">
        <v>9165</v>
      </c>
      <c r="AO1724" t="s">
        <v>18193</v>
      </c>
    </row>
    <row r="1725" spans="1:41" hidden="1" x14ac:dyDescent="0.35">
      <c r="A1725" t="s">
        <v>18194</v>
      </c>
      <c r="B1725" t="s">
        <v>7246</v>
      </c>
      <c r="C1725" t="s">
        <v>17899</v>
      </c>
      <c r="D1725" t="s">
        <v>24</v>
      </c>
      <c r="E1725" t="s">
        <v>17905</v>
      </c>
      <c r="G1725" s="13" t="s">
        <v>18195</v>
      </c>
      <c r="H1725" t="s">
        <v>18196</v>
      </c>
      <c r="K1725" t="s">
        <v>6543</v>
      </c>
      <c r="L1725" t="s">
        <v>6543</v>
      </c>
      <c r="M1725" t="s">
        <v>7731</v>
      </c>
      <c r="T1725" t="s">
        <v>6546</v>
      </c>
      <c r="U1725" t="s">
        <v>6546</v>
      </c>
      <c r="V1725" t="s">
        <v>6546</v>
      </c>
      <c r="W1725">
        <v>215.02</v>
      </c>
      <c r="X1725">
        <v>215.02</v>
      </c>
      <c r="AA1725" t="s">
        <v>18197</v>
      </c>
      <c r="AB1725" t="s">
        <v>18198</v>
      </c>
      <c r="AC1725" t="s">
        <v>10816</v>
      </c>
      <c r="AF1725" t="s">
        <v>18199</v>
      </c>
      <c r="AH1725" t="s">
        <v>17905</v>
      </c>
      <c r="AI1725" t="s">
        <v>9165</v>
      </c>
      <c r="AO1725" t="s">
        <v>18200</v>
      </c>
    </row>
    <row r="1726" spans="1:41" hidden="1" x14ac:dyDescent="0.35">
      <c r="A1726" t="s">
        <v>18201</v>
      </c>
      <c r="B1726" t="s">
        <v>7246</v>
      </c>
      <c r="C1726" t="s">
        <v>5183</v>
      </c>
      <c r="D1726" t="s">
        <v>5183</v>
      </c>
      <c r="E1726" t="s">
        <v>5183</v>
      </c>
      <c r="G1726" s="13" t="s">
        <v>18202</v>
      </c>
      <c r="H1726" t="s">
        <v>18203</v>
      </c>
      <c r="K1726" t="s">
        <v>18204</v>
      </c>
      <c r="L1726" t="s">
        <v>18204</v>
      </c>
      <c r="M1726" t="s">
        <v>7292</v>
      </c>
      <c r="N1726">
        <v>2024</v>
      </c>
      <c r="T1726" t="s">
        <v>6546</v>
      </c>
      <c r="U1726" t="s">
        <v>6546</v>
      </c>
      <c r="V1726">
        <v>370</v>
      </c>
      <c r="W1726">
        <v>361.31</v>
      </c>
      <c r="X1726">
        <v>370</v>
      </c>
      <c r="AA1726" t="s">
        <v>18205</v>
      </c>
      <c r="AB1726" t="s">
        <v>13705</v>
      </c>
      <c r="AC1726" t="s">
        <v>10816</v>
      </c>
      <c r="AF1726" t="s">
        <v>18206</v>
      </c>
      <c r="AI1726" t="s">
        <v>10816</v>
      </c>
      <c r="AO1726" t="s">
        <v>18207</v>
      </c>
    </row>
    <row r="1727" spans="1:41" hidden="1" x14ac:dyDescent="0.35">
      <c r="A1727" t="s">
        <v>18208</v>
      </c>
      <c r="B1727" t="s">
        <v>7246</v>
      </c>
      <c r="C1727" t="s">
        <v>406</v>
      </c>
      <c r="D1727" t="s">
        <v>406</v>
      </c>
      <c r="E1727" t="s">
        <v>406</v>
      </c>
      <c r="G1727" s="13" t="s">
        <v>18209</v>
      </c>
      <c r="H1727" t="s">
        <v>18210</v>
      </c>
      <c r="K1727" t="s">
        <v>8729</v>
      </c>
      <c r="L1727" t="s">
        <v>7320</v>
      </c>
      <c r="M1727" t="s">
        <v>7250</v>
      </c>
      <c r="N1727">
        <v>2016</v>
      </c>
      <c r="R1727">
        <v>202</v>
      </c>
      <c r="S1727" t="s">
        <v>7251</v>
      </c>
      <c r="T1727">
        <v>2.09</v>
      </c>
      <c r="U1727">
        <v>972.29</v>
      </c>
      <c r="V1727">
        <v>430</v>
      </c>
      <c r="W1727">
        <v>422.7</v>
      </c>
      <c r="X1727">
        <v>430</v>
      </c>
      <c r="Y1727">
        <v>24</v>
      </c>
      <c r="Z1727" t="s">
        <v>7253</v>
      </c>
      <c r="AB1727" t="s">
        <v>17866</v>
      </c>
      <c r="AC1727" t="s">
        <v>7255</v>
      </c>
      <c r="AE1727" t="s">
        <v>17867</v>
      </c>
      <c r="AF1727" t="s">
        <v>18211</v>
      </c>
      <c r="AH1727" t="s">
        <v>17867</v>
      </c>
      <c r="AI1727" t="s">
        <v>7255</v>
      </c>
      <c r="AL1727" t="s">
        <v>18212</v>
      </c>
      <c r="AN1727" s="13" t="s">
        <v>18213</v>
      </c>
      <c r="AO1727" t="s">
        <v>18214</v>
      </c>
    </row>
    <row r="1728" spans="1:41" hidden="1" x14ac:dyDescent="0.35">
      <c r="A1728" t="s">
        <v>18215</v>
      </c>
      <c r="B1728" t="s">
        <v>7246</v>
      </c>
      <c r="C1728" t="s">
        <v>364</v>
      </c>
      <c r="D1728" t="s">
        <v>364</v>
      </c>
      <c r="E1728" t="s">
        <v>364</v>
      </c>
      <c r="G1728" s="13" t="s">
        <v>18216</v>
      </c>
      <c r="H1728" t="s">
        <v>18217</v>
      </c>
      <c r="J1728" t="s">
        <v>18218</v>
      </c>
      <c r="K1728" t="s">
        <v>18219</v>
      </c>
      <c r="L1728" t="s">
        <v>18219</v>
      </c>
      <c r="M1728" t="s">
        <v>7250</v>
      </c>
      <c r="N1728">
        <v>2011</v>
      </c>
      <c r="R1728">
        <v>3.65</v>
      </c>
      <c r="S1728" t="s">
        <v>8257</v>
      </c>
      <c r="T1728">
        <v>3.65</v>
      </c>
      <c r="U1728">
        <v>1698.65</v>
      </c>
      <c r="V1728">
        <v>359</v>
      </c>
      <c r="W1728">
        <v>331.84</v>
      </c>
      <c r="X1728">
        <v>359</v>
      </c>
      <c r="Y1728" t="s">
        <v>18220</v>
      </c>
      <c r="Z1728" t="s">
        <v>7253</v>
      </c>
      <c r="AA1728" t="s">
        <v>10653</v>
      </c>
      <c r="AB1728" t="s">
        <v>10654</v>
      </c>
      <c r="AC1728" t="s">
        <v>8523</v>
      </c>
      <c r="AE1728" t="s">
        <v>3197</v>
      </c>
      <c r="AF1728" t="s">
        <v>18221</v>
      </c>
      <c r="AG1728" t="s">
        <v>18222</v>
      </c>
      <c r="AH1728" t="s">
        <v>5400</v>
      </c>
      <c r="AI1728" t="s">
        <v>8523</v>
      </c>
      <c r="AL1728" t="s">
        <v>18223</v>
      </c>
      <c r="AN1728" s="13" t="s">
        <v>18224</v>
      </c>
      <c r="AO1728" t="s">
        <v>18225</v>
      </c>
    </row>
    <row r="1729" spans="1:41" hidden="1" x14ac:dyDescent="0.35">
      <c r="A1729" t="s">
        <v>18226</v>
      </c>
      <c r="B1729" t="s">
        <v>7246</v>
      </c>
      <c r="C1729" t="s">
        <v>441</v>
      </c>
      <c r="D1729" t="s">
        <v>441</v>
      </c>
      <c r="E1729" t="s">
        <v>441</v>
      </c>
      <c r="G1729" s="13" t="s">
        <v>18227</v>
      </c>
      <c r="H1729" t="s">
        <v>18228</v>
      </c>
      <c r="J1729" t="s">
        <v>18229</v>
      </c>
      <c r="K1729" t="s">
        <v>18057</v>
      </c>
      <c r="L1729" t="s">
        <v>18057</v>
      </c>
      <c r="M1729" t="s">
        <v>7292</v>
      </c>
      <c r="T1729" t="s">
        <v>6546</v>
      </c>
      <c r="U1729" t="s">
        <v>6546</v>
      </c>
      <c r="V1729">
        <v>500</v>
      </c>
      <c r="W1729">
        <v>84.26</v>
      </c>
      <c r="X1729">
        <v>500</v>
      </c>
      <c r="AA1729" t="s">
        <v>18058</v>
      </c>
      <c r="AB1729" t="s">
        <v>16969</v>
      </c>
      <c r="AC1729" t="s">
        <v>9852</v>
      </c>
      <c r="AF1729" t="s">
        <v>18059</v>
      </c>
      <c r="AI1729" t="s">
        <v>9852</v>
      </c>
      <c r="AO1729" t="s">
        <v>18230</v>
      </c>
    </row>
    <row r="1730" spans="1:41" hidden="1" x14ac:dyDescent="0.35">
      <c r="A1730" t="s">
        <v>18231</v>
      </c>
      <c r="B1730" t="s">
        <v>7246</v>
      </c>
      <c r="C1730" t="s">
        <v>5861</v>
      </c>
      <c r="D1730" t="s">
        <v>5613</v>
      </c>
      <c r="E1730" t="s">
        <v>18232</v>
      </c>
      <c r="G1730" s="13" t="s">
        <v>18233</v>
      </c>
      <c r="H1730" t="s">
        <v>18234</v>
      </c>
      <c r="I1730" t="s">
        <v>18235</v>
      </c>
      <c r="K1730" t="s">
        <v>11653</v>
      </c>
      <c r="L1730" t="s">
        <v>11654</v>
      </c>
      <c r="M1730" t="s">
        <v>7269</v>
      </c>
      <c r="N1730">
        <v>2024</v>
      </c>
      <c r="T1730" t="s">
        <v>6546</v>
      </c>
      <c r="U1730" t="s">
        <v>6546</v>
      </c>
      <c r="V1730">
        <v>227</v>
      </c>
      <c r="W1730">
        <v>172.68</v>
      </c>
      <c r="X1730">
        <v>227</v>
      </c>
      <c r="Y1730">
        <v>36</v>
      </c>
      <c r="Z1730" t="s">
        <v>7253</v>
      </c>
      <c r="AB1730" t="s">
        <v>18236</v>
      </c>
      <c r="AC1730" t="s">
        <v>8777</v>
      </c>
      <c r="AE1730" t="s">
        <v>15263</v>
      </c>
      <c r="AF1730" t="s">
        <v>18237</v>
      </c>
      <c r="AI1730" t="s">
        <v>8777</v>
      </c>
      <c r="AO1730" t="s">
        <v>18238</v>
      </c>
    </row>
    <row r="1731" spans="1:41" hidden="1" x14ac:dyDescent="0.35">
      <c r="A1731" t="s">
        <v>18239</v>
      </c>
      <c r="B1731" t="s">
        <v>7246</v>
      </c>
      <c r="C1731" t="s">
        <v>383</v>
      </c>
      <c r="D1731" t="s">
        <v>383</v>
      </c>
      <c r="E1731" t="s">
        <v>383</v>
      </c>
      <c r="G1731" s="13" t="s">
        <v>18240</v>
      </c>
      <c r="H1731" t="s">
        <v>18241</v>
      </c>
      <c r="K1731" t="s">
        <v>10612</v>
      </c>
      <c r="L1731" t="s">
        <v>10612</v>
      </c>
      <c r="M1731" t="s">
        <v>7731</v>
      </c>
      <c r="N1731">
        <v>2022</v>
      </c>
      <c r="R1731">
        <v>13</v>
      </c>
      <c r="S1731" t="s">
        <v>8792</v>
      </c>
      <c r="T1731">
        <v>4.75</v>
      </c>
      <c r="U1731">
        <v>2209.7600000000002</v>
      </c>
      <c r="V1731">
        <v>200</v>
      </c>
      <c r="W1731">
        <v>192.65</v>
      </c>
      <c r="X1731">
        <v>200</v>
      </c>
      <c r="AB1731" t="s">
        <v>4910</v>
      </c>
      <c r="AC1731" t="s">
        <v>8859</v>
      </c>
      <c r="AE1731" t="s">
        <v>3089</v>
      </c>
      <c r="AF1731" t="s">
        <v>18242</v>
      </c>
      <c r="AH1731" t="s">
        <v>3089</v>
      </c>
      <c r="AI1731" t="s">
        <v>8859</v>
      </c>
      <c r="AO1731" t="s">
        <v>18243</v>
      </c>
    </row>
    <row r="1732" spans="1:41" hidden="1" x14ac:dyDescent="0.35">
      <c r="A1732" t="s">
        <v>18244</v>
      </c>
      <c r="B1732" t="s">
        <v>7246</v>
      </c>
      <c r="C1732" t="s">
        <v>406</v>
      </c>
      <c r="D1732" t="s">
        <v>406</v>
      </c>
      <c r="E1732" t="s">
        <v>406</v>
      </c>
      <c r="G1732" s="13" t="s">
        <v>18245</v>
      </c>
      <c r="H1732" t="s">
        <v>18246</v>
      </c>
      <c r="I1732" t="s">
        <v>18247</v>
      </c>
      <c r="K1732" t="s">
        <v>8638</v>
      </c>
      <c r="L1732" t="s">
        <v>7845</v>
      </c>
      <c r="M1732" t="s">
        <v>7250</v>
      </c>
      <c r="N1732">
        <v>2014</v>
      </c>
      <c r="R1732">
        <v>2100</v>
      </c>
      <c r="S1732" t="s">
        <v>7251</v>
      </c>
      <c r="T1732">
        <v>21.72</v>
      </c>
      <c r="U1732">
        <v>10108</v>
      </c>
      <c r="V1732">
        <v>116</v>
      </c>
      <c r="W1732">
        <v>96.56</v>
      </c>
      <c r="X1732">
        <v>116</v>
      </c>
      <c r="Y1732">
        <v>48</v>
      </c>
      <c r="Z1732" t="s">
        <v>7253</v>
      </c>
      <c r="AB1732" t="s">
        <v>18248</v>
      </c>
      <c r="AC1732" t="s">
        <v>7255</v>
      </c>
      <c r="AE1732" t="s">
        <v>18095</v>
      </c>
      <c r="AF1732" t="s">
        <v>13633</v>
      </c>
      <c r="AH1732" t="s">
        <v>4009</v>
      </c>
      <c r="AI1732" t="s">
        <v>7255</v>
      </c>
      <c r="AL1732" t="s">
        <v>18249</v>
      </c>
      <c r="AM1732" t="s">
        <v>18247</v>
      </c>
      <c r="AN1732" s="13" t="s">
        <v>18245</v>
      </c>
      <c r="AO1732" t="s">
        <v>18250</v>
      </c>
    </row>
    <row r="1733" spans="1:41" hidden="1" x14ac:dyDescent="0.35">
      <c r="A1733" t="s">
        <v>18251</v>
      </c>
      <c r="B1733" t="s">
        <v>7246</v>
      </c>
      <c r="C1733" t="s">
        <v>5978</v>
      </c>
      <c r="D1733" t="s">
        <v>5978</v>
      </c>
      <c r="E1733" t="s">
        <v>5978</v>
      </c>
      <c r="G1733" s="13" t="s">
        <v>18252</v>
      </c>
      <c r="H1733" t="s">
        <v>18253</v>
      </c>
      <c r="K1733" t="s">
        <v>10181</v>
      </c>
      <c r="L1733" t="s">
        <v>10182</v>
      </c>
      <c r="M1733" t="s">
        <v>7250</v>
      </c>
      <c r="N1733">
        <v>1969</v>
      </c>
      <c r="T1733" t="s">
        <v>6546</v>
      </c>
      <c r="U1733" t="s">
        <v>6546</v>
      </c>
      <c r="V1733">
        <v>70</v>
      </c>
      <c r="W1733">
        <v>215.35</v>
      </c>
      <c r="X1733">
        <v>70</v>
      </c>
      <c r="Y1733">
        <v>700</v>
      </c>
      <c r="Z1733" t="s">
        <v>8842</v>
      </c>
      <c r="AB1733" t="s">
        <v>10212</v>
      </c>
      <c r="AC1733" t="s">
        <v>8777</v>
      </c>
      <c r="AF1733" t="s">
        <v>18254</v>
      </c>
      <c r="AI1733" t="s">
        <v>8777</v>
      </c>
      <c r="AL1733" t="s">
        <v>18255</v>
      </c>
      <c r="AO1733" t="s">
        <v>18256</v>
      </c>
    </row>
    <row r="1734" spans="1:41" hidden="1" x14ac:dyDescent="0.35">
      <c r="A1734" t="s">
        <v>18257</v>
      </c>
      <c r="B1734" t="s">
        <v>7246</v>
      </c>
      <c r="C1734" t="s">
        <v>5978</v>
      </c>
      <c r="D1734" t="s">
        <v>5978</v>
      </c>
      <c r="E1734" t="s">
        <v>5978</v>
      </c>
      <c r="G1734" s="13" t="s">
        <v>18252</v>
      </c>
      <c r="H1734" t="s">
        <v>18253</v>
      </c>
      <c r="I1734" t="s">
        <v>18258</v>
      </c>
      <c r="K1734" t="s">
        <v>10181</v>
      </c>
      <c r="L1734" t="s">
        <v>10182</v>
      </c>
      <c r="M1734" t="s">
        <v>7250</v>
      </c>
      <c r="N1734">
        <v>2022</v>
      </c>
      <c r="T1734" t="s">
        <v>6546</v>
      </c>
      <c r="U1734" t="s">
        <v>6546</v>
      </c>
      <c r="V1734">
        <v>54</v>
      </c>
      <c r="W1734">
        <v>215.35</v>
      </c>
      <c r="X1734">
        <v>54</v>
      </c>
      <c r="Y1734">
        <v>500</v>
      </c>
      <c r="Z1734" t="s">
        <v>8842</v>
      </c>
      <c r="AC1734" t="s">
        <v>8777</v>
      </c>
      <c r="AF1734" t="s">
        <v>18254</v>
      </c>
      <c r="AI1734" t="s">
        <v>8777</v>
      </c>
      <c r="AL1734" t="s">
        <v>18255</v>
      </c>
      <c r="AO1734" t="s">
        <v>18256</v>
      </c>
    </row>
    <row r="1735" spans="1:41" hidden="1" x14ac:dyDescent="0.35">
      <c r="A1735" t="s">
        <v>18259</v>
      </c>
      <c r="B1735" t="s">
        <v>7246</v>
      </c>
      <c r="C1735" t="s">
        <v>385</v>
      </c>
      <c r="D1735" t="s">
        <v>385</v>
      </c>
      <c r="E1735" t="s">
        <v>385</v>
      </c>
      <c r="G1735" s="13" t="s">
        <v>18260</v>
      </c>
      <c r="H1735" t="s">
        <v>18261</v>
      </c>
      <c r="K1735" t="s">
        <v>6992</v>
      </c>
      <c r="L1735" t="s">
        <v>6992</v>
      </c>
      <c r="M1735" t="s">
        <v>7292</v>
      </c>
      <c r="N1735">
        <v>2025</v>
      </c>
      <c r="T1735" t="s">
        <v>6546</v>
      </c>
      <c r="U1735" t="s">
        <v>6546</v>
      </c>
      <c r="V1735">
        <v>509</v>
      </c>
      <c r="W1735">
        <v>391.06</v>
      </c>
      <c r="X1735">
        <v>509</v>
      </c>
      <c r="AB1735" t="s">
        <v>18262</v>
      </c>
      <c r="AC1735" t="s">
        <v>10816</v>
      </c>
      <c r="AF1735" t="s">
        <v>5065</v>
      </c>
      <c r="AI1735" t="s">
        <v>10816</v>
      </c>
      <c r="AO1735" t="s">
        <v>18263</v>
      </c>
    </row>
    <row r="1736" spans="1:41" hidden="1" x14ac:dyDescent="0.35">
      <c r="A1736" t="s">
        <v>18264</v>
      </c>
      <c r="B1736" t="s">
        <v>7246</v>
      </c>
      <c r="C1736" t="s">
        <v>5580</v>
      </c>
      <c r="D1736" t="s">
        <v>5580</v>
      </c>
      <c r="E1736" t="s">
        <v>5580</v>
      </c>
      <c r="G1736" s="13" t="s">
        <v>17767</v>
      </c>
      <c r="H1736" t="s">
        <v>17768</v>
      </c>
      <c r="I1736" t="s">
        <v>18265</v>
      </c>
      <c r="K1736" t="s">
        <v>18266</v>
      </c>
      <c r="L1736" t="s">
        <v>18266</v>
      </c>
      <c r="M1736" t="s">
        <v>7292</v>
      </c>
      <c r="N1736">
        <v>2026</v>
      </c>
      <c r="R1736">
        <v>1.2</v>
      </c>
      <c r="S1736" t="s">
        <v>8257</v>
      </c>
      <c r="T1736">
        <v>1.2</v>
      </c>
      <c r="U1736">
        <v>558.46</v>
      </c>
      <c r="V1736">
        <v>320</v>
      </c>
      <c r="W1736">
        <v>227.02</v>
      </c>
      <c r="X1736">
        <v>320</v>
      </c>
      <c r="AA1736" t="s">
        <v>17769</v>
      </c>
      <c r="AB1736" t="s">
        <v>18267</v>
      </c>
      <c r="AC1736" t="s">
        <v>8777</v>
      </c>
      <c r="AF1736" t="s">
        <v>18268</v>
      </c>
      <c r="AI1736" t="s">
        <v>8777</v>
      </c>
      <c r="AO1736" t="s">
        <v>18269</v>
      </c>
    </row>
    <row r="1737" spans="1:41" hidden="1" x14ac:dyDescent="0.35">
      <c r="A1737" t="s">
        <v>18270</v>
      </c>
      <c r="B1737" t="s">
        <v>7246</v>
      </c>
      <c r="C1737" t="s">
        <v>406</v>
      </c>
      <c r="D1737" t="s">
        <v>406</v>
      </c>
      <c r="E1737" t="s">
        <v>406</v>
      </c>
      <c r="G1737" s="13" t="s">
        <v>18271</v>
      </c>
      <c r="H1737" t="s">
        <v>18272</v>
      </c>
      <c r="J1737" t="s">
        <v>18273</v>
      </c>
      <c r="K1737" t="s">
        <v>8729</v>
      </c>
      <c r="L1737" t="s">
        <v>7320</v>
      </c>
      <c r="M1737" t="s">
        <v>7250</v>
      </c>
      <c r="N1737">
        <v>2011</v>
      </c>
      <c r="R1737">
        <v>860</v>
      </c>
      <c r="S1737" t="s">
        <v>7251</v>
      </c>
      <c r="T1737">
        <v>8.89</v>
      </c>
      <c r="U1737">
        <v>4139.47</v>
      </c>
      <c r="V1737">
        <v>313</v>
      </c>
      <c r="W1737">
        <v>291.54000000000002</v>
      </c>
      <c r="X1737">
        <v>313</v>
      </c>
      <c r="Y1737" t="s">
        <v>8456</v>
      </c>
      <c r="Z1737" t="s">
        <v>7253</v>
      </c>
      <c r="AB1737" t="s">
        <v>7188</v>
      </c>
      <c r="AC1737" t="s">
        <v>7255</v>
      </c>
      <c r="AE1737" t="s">
        <v>18274</v>
      </c>
      <c r="AF1737" t="s">
        <v>18275</v>
      </c>
      <c r="AH1737" t="s">
        <v>18276</v>
      </c>
      <c r="AI1737" t="s">
        <v>7255</v>
      </c>
      <c r="AL1737" t="s">
        <v>18277</v>
      </c>
      <c r="AN1737" s="13" t="s">
        <v>18278</v>
      </c>
      <c r="AO1737" t="s">
        <v>18279</v>
      </c>
    </row>
    <row r="1738" spans="1:41" hidden="1" x14ac:dyDescent="0.35">
      <c r="A1738" t="s">
        <v>18280</v>
      </c>
      <c r="B1738" t="s">
        <v>7246</v>
      </c>
      <c r="C1738" t="s">
        <v>441</v>
      </c>
      <c r="D1738" t="s">
        <v>441</v>
      </c>
      <c r="E1738" t="s">
        <v>441</v>
      </c>
      <c r="G1738" s="13" t="s">
        <v>18281</v>
      </c>
      <c r="H1738" t="s">
        <v>18282</v>
      </c>
      <c r="J1738" t="s">
        <v>18283</v>
      </c>
      <c r="K1738" t="s">
        <v>18057</v>
      </c>
      <c r="L1738" t="s">
        <v>18057</v>
      </c>
      <c r="M1738" t="s">
        <v>7250</v>
      </c>
      <c r="N1738">
        <v>2002</v>
      </c>
      <c r="R1738">
        <v>1066</v>
      </c>
      <c r="S1738" t="s">
        <v>7251</v>
      </c>
      <c r="T1738">
        <v>11.03</v>
      </c>
      <c r="U1738">
        <v>5131.01</v>
      </c>
      <c r="V1738">
        <v>238</v>
      </c>
      <c r="W1738">
        <v>286.89999999999998</v>
      </c>
      <c r="X1738">
        <v>238</v>
      </c>
      <c r="Y1738">
        <v>36</v>
      </c>
      <c r="Z1738" t="s">
        <v>7253</v>
      </c>
      <c r="AA1738" t="s">
        <v>18284</v>
      </c>
      <c r="AB1738" t="s">
        <v>14440</v>
      </c>
      <c r="AC1738" t="s">
        <v>9852</v>
      </c>
      <c r="AF1738" t="s">
        <v>16969</v>
      </c>
      <c r="AI1738" t="s">
        <v>9852</v>
      </c>
      <c r="AO1738" t="s">
        <v>18285</v>
      </c>
    </row>
    <row r="1739" spans="1:41" hidden="1" x14ac:dyDescent="0.35">
      <c r="A1739" t="s">
        <v>18286</v>
      </c>
      <c r="B1739" t="s">
        <v>7246</v>
      </c>
      <c r="C1739" t="s">
        <v>5295</v>
      </c>
      <c r="D1739" t="s">
        <v>5295</v>
      </c>
      <c r="E1739" t="s">
        <v>5295</v>
      </c>
      <c r="G1739" s="13" t="s">
        <v>18287</v>
      </c>
      <c r="H1739" t="s">
        <v>18288</v>
      </c>
      <c r="K1739" t="s">
        <v>11024</v>
      </c>
      <c r="L1739" t="s">
        <v>11024</v>
      </c>
      <c r="M1739" t="s">
        <v>7250</v>
      </c>
      <c r="N1739">
        <v>2008</v>
      </c>
      <c r="R1739">
        <v>300</v>
      </c>
      <c r="S1739" t="s">
        <v>7251</v>
      </c>
      <c r="T1739">
        <v>3.1</v>
      </c>
      <c r="U1739">
        <v>1444</v>
      </c>
      <c r="V1739">
        <v>18.5</v>
      </c>
      <c r="W1739">
        <v>39.380000000000003</v>
      </c>
      <c r="X1739">
        <v>18.5</v>
      </c>
      <c r="AA1739" t="s">
        <v>18289</v>
      </c>
      <c r="AB1739" t="s">
        <v>18290</v>
      </c>
      <c r="AC1739" t="s">
        <v>10816</v>
      </c>
      <c r="AF1739" t="s">
        <v>18289</v>
      </c>
      <c r="AH1739" t="s">
        <v>18290</v>
      </c>
      <c r="AI1739" t="s">
        <v>10816</v>
      </c>
      <c r="AO1739" t="s">
        <v>18291</v>
      </c>
    </row>
    <row r="1740" spans="1:41" hidden="1" x14ac:dyDescent="0.35">
      <c r="A1740" t="s">
        <v>18292</v>
      </c>
      <c r="B1740" t="s">
        <v>7246</v>
      </c>
      <c r="C1740" t="s">
        <v>5295</v>
      </c>
      <c r="D1740" t="s">
        <v>5295</v>
      </c>
      <c r="E1740" t="s">
        <v>5295</v>
      </c>
      <c r="G1740" s="13" t="s">
        <v>18293</v>
      </c>
      <c r="H1740" t="s">
        <v>18294</v>
      </c>
      <c r="K1740" t="s">
        <v>11024</v>
      </c>
      <c r="L1740" t="s">
        <v>11024</v>
      </c>
      <c r="M1740" t="s">
        <v>7250</v>
      </c>
      <c r="N1740">
        <v>2007</v>
      </c>
      <c r="R1740">
        <v>1750</v>
      </c>
      <c r="S1740" t="s">
        <v>7251</v>
      </c>
      <c r="T1740">
        <v>18.100000000000001</v>
      </c>
      <c r="U1740">
        <v>8423.34</v>
      </c>
      <c r="V1740">
        <v>173</v>
      </c>
      <c r="W1740">
        <v>134.53</v>
      </c>
      <c r="X1740">
        <v>173</v>
      </c>
      <c r="AA1740" t="s">
        <v>18289</v>
      </c>
      <c r="AB1740" t="s">
        <v>18290</v>
      </c>
      <c r="AC1740" t="s">
        <v>10816</v>
      </c>
      <c r="AF1740" t="s">
        <v>18295</v>
      </c>
      <c r="AH1740" t="s">
        <v>18290</v>
      </c>
      <c r="AI1740" t="s">
        <v>10816</v>
      </c>
      <c r="AO1740" t="s">
        <v>18296</v>
      </c>
    </row>
    <row r="1741" spans="1:41" hidden="1" x14ac:dyDescent="0.35">
      <c r="A1741" t="s">
        <v>18297</v>
      </c>
      <c r="B1741" t="s">
        <v>7246</v>
      </c>
      <c r="C1741" t="s">
        <v>383</v>
      </c>
      <c r="D1741" t="s">
        <v>383</v>
      </c>
      <c r="E1741" t="s">
        <v>383</v>
      </c>
      <c r="G1741" s="13" t="s">
        <v>18298</v>
      </c>
      <c r="H1741" t="s">
        <v>18299</v>
      </c>
      <c r="K1741" t="s">
        <v>18300</v>
      </c>
      <c r="L1741" t="s">
        <v>18300</v>
      </c>
      <c r="M1741" t="s">
        <v>7250</v>
      </c>
      <c r="N1741">
        <v>1967</v>
      </c>
      <c r="R1741">
        <v>2</v>
      </c>
      <c r="S1741" t="s">
        <v>8257</v>
      </c>
      <c r="T1741">
        <v>2</v>
      </c>
      <c r="U1741">
        <v>930.77</v>
      </c>
      <c r="V1741">
        <v>105</v>
      </c>
      <c r="W1741">
        <v>202.16</v>
      </c>
      <c r="X1741">
        <v>105</v>
      </c>
      <c r="Y1741" t="s">
        <v>18301</v>
      </c>
      <c r="Z1741" t="s">
        <v>8842</v>
      </c>
      <c r="AC1741" t="s">
        <v>8859</v>
      </c>
      <c r="AD1741" t="s">
        <v>18302</v>
      </c>
      <c r="AE1741" t="s">
        <v>3078</v>
      </c>
      <c r="AG1741" t="s">
        <v>18303</v>
      </c>
      <c r="AH1741" t="s">
        <v>3078</v>
      </c>
      <c r="AI1741" t="s">
        <v>8859</v>
      </c>
      <c r="AO1741" t="s">
        <v>18304</v>
      </c>
    </row>
    <row r="1742" spans="1:41" hidden="1" x14ac:dyDescent="0.35">
      <c r="A1742" t="s">
        <v>18305</v>
      </c>
      <c r="B1742" t="s">
        <v>7246</v>
      </c>
      <c r="C1742" t="s">
        <v>351</v>
      </c>
      <c r="D1742" t="s">
        <v>351</v>
      </c>
      <c r="E1742" t="s">
        <v>351</v>
      </c>
      <c r="G1742" s="13" t="s">
        <v>12792</v>
      </c>
      <c r="H1742" t="s">
        <v>12793</v>
      </c>
      <c r="I1742" t="s">
        <v>18306</v>
      </c>
      <c r="J1742" t="s">
        <v>18307</v>
      </c>
      <c r="K1742" t="s">
        <v>12796</v>
      </c>
      <c r="L1742" t="s">
        <v>12797</v>
      </c>
      <c r="M1742" t="s">
        <v>7250</v>
      </c>
      <c r="N1742">
        <v>2019</v>
      </c>
      <c r="R1742">
        <v>4.09</v>
      </c>
      <c r="S1742" t="s">
        <v>8257</v>
      </c>
      <c r="T1742">
        <v>4.09</v>
      </c>
      <c r="U1742">
        <v>1902.49</v>
      </c>
      <c r="V1742">
        <v>694</v>
      </c>
      <c r="W1742">
        <v>595.29999999999995</v>
      </c>
      <c r="X1742">
        <v>694</v>
      </c>
      <c r="Y1742">
        <v>24</v>
      </c>
      <c r="Z1742" t="s">
        <v>7253</v>
      </c>
      <c r="AA1742" t="s">
        <v>12798</v>
      </c>
      <c r="AB1742" t="s">
        <v>18308</v>
      </c>
      <c r="AC1742" t="s">
        <v>8523</v>
      </c>
      <c r="AE1742" t="s">
        <v>18309</v>
      </c>
      <c r="AF1742" t="s">
        <v>12799</v>
      </c>
      <c r="AH1742" t="s">
        <v>18310</v>
      </c>
      <c r="AI1742" t="s">
        <v>8523</v>
      </c>
      <c r="AL1742" t="s">
        <v>12801</v>
      </c>
      <c r="AM1742" t="s">
        <v>6149</v>
      </c>
      <c r="AN1742" s="13" t="s">
        <v>12803</v>
      </c>
      <c r="AO1742" t="s">
        <v>18311</v>
      </c>
    </row>
    <row r="1743" spans="1:41" hidden="1" x14ac:dyDescent="0.35">
      <c r="A1743" t="s">
        <v>18312</v>
      </c>
      <c r="B1743" t="s">
        <v>7246</v>
      </c>
      <c r="C1743" t="s">
        <v>364</v>
      </c>
      <c r="D1743" t="s">
        <v>364</v>
      </c>
      <c r="E1743" t="s">
        <v>364</v>
      </c>
      <c r="G1743" s="13" t="s">
        <v>18313</v>
      </c>
      <c r="H1743" t="s">
        <v>18314</v>
      </c>
      <c r="J1743" t="s">
        <v>18315</v>
      </c>
      <c r="K1743" t="s">
        <v>15004</v>
      </c>
      <c r="L1743" t="s">
        <v>15004</v>
      </c>
      <c r="M1743" t="s">
        <v>7250</v>
      </c>
      <c r="N1743">
        <v>2007</v>
      </c>
      <c r="O1743">
        <v>2008</v>
      </c>
      <c r="P1743">
        <v>2010</v>
      </c>
      <c r="R1743">
        <v>11.06</v>
      </c>
      <c r="S1743" t="s">
        <v>8257</v>
      </c>
      <c r="T1743">
        <v>11.06</v>
      </c>
      <c r="U1743">
        <v>5146.91</v>
      </c>
      <c r="V1743">
        <v>1387</v>
      </c>
      <c r="W1743">
        <v>1258.98</v>
      </c>
      <c r="X1743">
        <v>1387</v>
      </c>
      <c r="Y1743" t="s">
        <v>18316</v>
      </c>
      <c r="Z1743" t="s">
        <v>7253</v>
      </c>
      <c r="AB1743" t="s">
        <v>17058</v>
      </c>
      <c r="AC1743" t="s">
        <v>8523</v>
      </c>
      <c r="AD1743" t="s">
        <v>6565</v>
      </c>
      <c r="AE1743" t="s">
        <v>3197</v>
      </c>
      <c r="AF1743" t="s">
        <v>16934</v>
      </c>
      <c r="AH1743" t="s">
        <v>3185</v>
      </c>
      <c r="AI1743" t="s">
        <v>8523</v>
      </c>
      <c r="AL1743" t="s">
        <v>18317</v>
      </c>
      <c r="AN1743" s="13" t="s">
        <v>18318</v>
      </c>
      <c r="AO1743" t="s">
        <v>18319</v>
      </c>
    </row>
    <row r="1744" spans="1:41" hidden="1" x14ac:dyDescent="0.35">
      <c r="A1744" t="s">
        <v>18320</v>
      </c>
      <c r="B1744" t="s">
        <v>7246</v>
      </c>
      <c r="C1744" t="s">
        <v>8566</v>
      </c>
      <c r="D1744" t="s">
        <v>364</v>
      </c>
      <c r="E1744" t="s">
        <v>17625</v>
      </c>
      <c r="G1744" s="13" t="s">
        <v>18321</v>
      </c>
      <c r="H1744" t="s">
        <v>18322</v>
      </c>
      <c r="J1744" t="s">
        <v>18323</v>
      </c>
      <c r="K1744" t="s">
        <v>18324</v>
      </c>
      <c r="L1744" t="s">
        <v>18325</v>
      </c>
      <c r="M1744" t="s">
        <v>7250</v>
      </c>
      <c r="N1744">
        <v>1999</v>
      </c>
      <c r="R1744">
        <v>11</v>
      </c>
      <c r="S1744" t="s">
        <v>8257</v>
      </c>
      <c r="T1744">
        <v>11</v>
      </c>
      <c r="U1744">
        <v>5119.22</v>
      </c>
      <c r="V1744">
        <v>3150</v>
      </c>
      <c r="W1744">
        <v>2882.23</v>
      </c>
      <c r="X1744">
        <v>3150</v>
      </c>
      <c r="Y1744" t="s">
        <v>18326</v>
      </c>
      <c r="Z1744" t="s">
        <v>7253</v>
      </c>
      <c r="AB1744" t="s">
        <v>14994</v>
      </c>
      <c r="AC1744" t="s">
        <v>8523</v>
      </c>
      <c r="AE1744" t="s">
        <v>3179</v>
      </c>
      <c r="AF1744" t="s">
        <v>3205</v>
      </c>
      <c r="AH1744" t="s">
        <v>3202</v>
      </c>
      <c r="AI1744" t="s">
        <v>8523</v>
      </c>
      <c r="AL1744" t="s">
        <v>18327</v>
      </c>
      <c r="AN1744" s="13" t="s">
        <v>18328</v>
      </c>
      <c r="AO1744" t="s">
        <v>18329</v>
      </c>
    </row>
    <row r="1745" spans="1:41" hidden="1" x14ac:dyDescent="0.35">
      <c r="A1745" t="s">
        <v>18330</v>
      </c>
      <c r="B1745" t="s">
        <v>7246</v>
      </c>
      <c r="C1745" t="s">
        <v>351</v>
      </c>
      <c r="D1745" t="s">
        <v>5411</v>
      </c>
      <c r="E1745" t="s">
        <v>8625</v>
      </c>
      <c r="G1745" s="13" t="s">
        <v>18331</v>
      </c>
      <c r="H1745" t="s">
        <v>18332</v>
      </c>
      <c r="K1745" t="s">
        <v>18333</v>
      </c>
      <c r="L1745" t="s">
        <v>18334</v>
      </c>
      <c r="M1745" t="s">
        <v>7250</v>
      </c>
      <c r="N1745">
        <v>1997</v>
      </c>
      <c r="R1745">
        <v>3.94</v>
      </c>
      <c r="S1745" t="s">
        <v>8257</v>
      </c>
      <c r="T1745">
        <v>3.94</v>
      </c>
      <c r="U1745">
        <v>1833.61</v>
      </c>
      <c r="V1745">
        <v>533</v>
      </c>
      <c r="W1745">
        <v>423.78</v>
      </c>
      <c r="X1745">
        <v>533</v>
      </c>
      <c r="Y1745">
        <v>24</v>
      </c>
      <c r="Z1745" t="s">
        <v>7253</v>
      </c>
      <c r="AA1745" t="s">
        <v>17800</v>
      </c>
      <c r="AB1745" t="s">
        <v>18335</v>
      </c>
      <c r="AC1745" t="s">
        <v>8523</v>
      </c>
      <c r="AE1745" t="s">
        <v>3142</v>
      </c>
      <c r="AF1745" t="s">
        <v>18336</v>
      </c>
      <c r="AH1745" t="s">
        <v>18337</v>
      </c>
      <c r="AI1745" t="s">
        <v>8523</v>
      </c>
      <c r="AL1745" t="s">
        <v>18338</v>
      </c>
      <c r="AN1745" s="13" t="s">
        <v>18339</v>
      </c>
      <c r="AO1745" t="s">
        <v>18340</v>
      </c>
    </row>
    <row r="1746" spans="1:41" hidden="1" x14ac:dyDescent="0.35">
      <c r="A1746" t="s">
        <v>18341</v>
      </c>
      <c r="B1746" t="s">
        <v>7246</v>
      </c>
      <c r="C1746" t="s">
        <v>5295</v>
      </c>
      <c r="D1746" t="s">
        <v>5295</v>
      </c>
      <c r="E1746" t="s">
        <v>5295</v>
      </c>
      <c r="G1746" s="13" t="s">
        <v>18342</v>
      </c>
      <c r="H1746" t="s">
        <v>18343</v>
      </c>
      <c r="J1746" t="s">
        <v>18344</v>
      </c>
      <c r="K1746" t="s">
        <v>11024</v>
      </c>
      <c r="L1746" t="s">
        <v>11024</v>
      </c>
      <c r="M1746" t="s">
        <v>7250</v>
      </c>
      <c r="N1746">
        <v>1998</v>
      </c>
      <c r="R1746">
        <v>1265</v>
      </c>
      <c r="S1746" t="s">
        <v>7251</v>
      </c>
      <c r="T1746">
        <v>13.08</v>
      </c>
      <c r="U1746">
        <v>6088.87</v>
      </c>
      <c r="V1746">
        <v>238</v>
      </c>
      <c r="W1746">
        <v>203.41</v>
      </c>
      <c r="X1746">
        <v>238</v>
      </c>
      <c r="AA1746" t="s">
        <v>18345</v>
      </c>
      <c r="AB1746" t="s">
        <v>18346</v>
      </c>
      <c r="AC1746" t="s">
        <v>10816</v>
      </c>
      <c r="AE1746" t="s">
        <v>2939</v>
      </c>
      <c r="AH1746" t="s">
        <v>14459</v>
      </c>
      <c r="AI1746" t="s">
        <v>10816</v>
      </c>
      <c r="AO1746" t="s">
        <v>18347</v>
      </c>
    </row>
    <row r="1747" spans="1:41" hidden="1" x14ac:dyDescent="0.35">
      <c r="A1747" t="s">
        <v>18348</v>
      </c>
      <c r="B1747" t="s">
        <v>7246</v>
      </c>
      <c r="C1747" t="s">
        <v>449</v>
      </c>
      <c r="D1747" t="s">
        <v>449</v>
      </c>
      <c r="E1747" t="s">
        <v>449</v>
      </c>
      <c r="G1747" s="13" t="s">
        <v>18349</v>
      </c>
      <c r="H1747" t="s">
        <v>18350</v>
      </c>
      <c r="K1747" t="s">
        <v>18351</v>
      </c>
      <c r="L1747" t="s">
        <v>18352</v>
      </c>
      <c r="M1747" t="s">
        <v>7292</v>
      </c>
      <c r="N1747">
        <v>2025</v>
      </c>
      <c r="T1747" t="s">
        <v>6546</v>
      </c>
      <c r="U1747" t="s">
        <v>6546</v>
      </c>
      <c r="V1747">
        <v>236</v>
      </c>
      <c r="W1747">
        <v>258.92</v>
      </c>
      <c r="X1747">
        <v>236</v>
      </c>
      <c r="Y1747">
        <v>16</v>
      </c>
      <c r="Z1747" t="s">
        <v>7253</v>
      </c>
      <c r="AA1747" t="s">
        <v>18353</v>
      </c>
      <c r="AC1747" t="s">
        <v>8777</v>
      </c>
      <c r="AI1747" t="s">
        <v>8777</v>
      </c>
      <c r="AJ1747" t="s">
        <v>9032</v>
      </c>
      <c r="AK1747">
        <v>2022</v>
      </c>
      <c r="AO1747" t="s">
        <v>18354</v>
      </c>
    </row>
    <row r="1748" spans="1:41" hidden="1" x14ac:dyDescent="0.35">
      <c r="A1748" t="s">
        <v>18355</v>
      </c>
      <c r="B1748" t="s">
        <v>7246</v>
      </c>
      <c r="C1748" t="s">
        <v>5295</v>
      </c>
      <c r="D1748" t="s">
        <v>5295</v>
      </c>
      <c r="E1748" t="s">
        <v>5295</v>
      </c>
      <c r="G1748" s="13" t="s">
        <v>18356</v>
      </c>
      <c r="H1748" t="s">
        <v>18357</v>
      </c>
      <c r="K1748" t="s">
        <v>11024</v>
      </c>
      <c r="L1748" t="s">
        <v>11024</v>
      </c>
      <c r="M1748" t="s">
        <v>7250</v>
      </c>
      <c r="N1748">
        <v>1996</v>
      </c>
      <c r="R1748">
        <v>500</v>
      </c>
      <c r="S1748" t="s">
        <v>7251</v>
      </c>
      <c r="T1748">
        <v>5.17</v>
      </c>
      <c r="U1748">
        <v>2406.67</v>
      </c>
      <c r="V1748">
        <v>101</v>
      </c>
      <c r="W1748">
        <v>67.05</v>
      </c>
      <c r="X1748">
        <v>101</v>
      </c>
      <c r="AB1748" t="s">
        <v>18358</v>
      </c>
      <c r="AC1748" t="s">
        <v>10816</v>
      </c>
      <c r="AE1748" t="s">
        <v>11025</v>
      </c>
      <c r="AF1748" t="s">
        <v>18359</v>
      </c>
      <c r="AH1748" t="s">
        <v>18360</v>
      </c>
      <c r="AI1748" t="s">
        <v>10816</v>
      </c>
      <c r="AO1748" t="s">
        <v>18361</v>
      </c>
    </row>
    <row r="1749" spans="1:41" hidden="1" x14ac:dyDescent="0.35">
      <c r="A1749" t="s">
        <v>18362</v>
      </c>
      <c r="B1749" t="s">
        <v>7246</v>
      </c>
      <c r="C1749" t="s">
        <v>5295</v>
      </c>
      <c r="D1749" t="s">
        <v>5295</v>
      </c>
      <c r="E1749" t="s">
        <v>5295</v>
      </c>
      <c r="G1749" s="13" t="s">
        <v>18363</v>
      </c>
      <c r="H1749" t="s">
        <v>18364</v>
      </c>
      <c r="K1749" t="s">
        <v>11024</v>
      </c>
      <c r="L1749" t="s">
        <v>11024</v>
      </c>
      <c r="M1749" t="s">
        <v>7250</v>
      </c>
      <c r="N1749">
        <v>1983</v>
      </c>
      <c r="R1749">
        <v>270</v>
      </c>
      <c r="S1749" t="s">
        <v>7251</v>
      </c>
      <c r="T1749">
        <v>2.79</v>
      </c>
      <c r="U1749">
        <v>1299.5999999999999</v>
      </c>
      <c r="V1749">
        <v>99</v>
      </c>
      <c r="W1749">
        <v>101.85</v>
      </c>
      <c r="X1749">
        <v>99</v>
      </c>
      <c r="AB1749" t="s">
        <v>18365</v>
      </c>
      <c r="AC1749" t="s">
        <v>10816</v>
      </c>
      <c r="AE1749" t="s">
        <v>2939</v>
      </c>
      <c r="AH1749" t="s">
        <v>18366</v>
      </c>
      <c r="AI1749" t="s">
        <v>10816</v>
      </c>
      <c r="AO1749" t="s">
        <v>18367</v>
      </c>
    </row>
    <row r="1750" spans="1:41" hidden="1" x14ac:dyDescent="0.35">
      <c r="A1750" t="s">
        <v>18368</v>
      </c>
      <c r="B1750" t="s">
        <v>7246</v>
      </c>
      <c r="C1750" t="s">
        <v>5295</v>
      </c>
      <c r="D1750" t="s">
        <v>5295</v>
      </c>
      <c r="E1750" t="s">
        <v>5295</v>
      </c>
      <c r="G1750" s="13" t="s">
        <v>18369</v>
      </c>
      <c r="H1750" t="s">
        <v>18370</v>
      </c>
      <c r="K1750" t="s">
        <v>11024</v>
      </c>
      <c r="L1750" t="s">
        <v>11024</v>
      </c>
      <c r="M1750" t="s">
        <v>7250</v>
      </c>
      <c r="N1750">
        <v>1999</v>
      </c>
      <c r="R1750">
        <v>100</v>
      </c>
      <c r="S1750" t="s">
        <v>7251</v>
      </c>
      <c r="T1750">
        <v>1.03</v>
      </c>
      <c r="U1750">
        <v>481.33</v>
      </c>
      <c r="V1750">
        <v>55</v>
      </c>
      <c r="W1750">
        <v>45.11</v>
      </c>
      <c r="X1750">
        <v>55</v>
      </c>
      <c r="AA1750" t="s">
        <v>18371</v>
      </c>
      <c r="AB1750" t="s">
        <v>18290</v>
      </c>
      <c r="AC1750" t="s">
        <v>10816</v>
      </c>
      <c r="AI1750" t="s">
        <v>10816</v>
      </c>
      <c r="AO1750" t="s">
        <v>18372</v>
      </c>
    </row>
    <row r="1751" spans="1:41" hidden="1" x14ac:dyDescent="0.35">
      <c r="A1751" t="s">
        <v>18373</v>
      </c>
      <c r="B1751" t="s">
        <v>7246</v>
      </c>
      <c r="C1751" t="s">
        <v>5295</v>
      </c>
      <c r="D1751" t="s">
        <v>5295</v>
      </c>
      <c r="E1751" t="s">
        <v>5295</v>
      </c>
      <c r="G1751" s="13" t="s">
        <v>18374</v>
      </c>
      <c r="H1751" t="s">
        <v>18375</v>
      </c>
      <c r="K1751" t="s">
        <v>11024</v>
      </c>
      <c r="L1751" t="s">
        <v>11024</v>
      </c>
      <c r="M1751" t="s">
        <v>7250</v>
      </c>
      <c r="N1751">
        <v>1996</v>
      </c>
      <c r="R1751">
        <v>635</v>
      </c>
      <c r="S1751" t="s">
        <v>7251</v>
      </c>
      <c r="T1751">
        <v>6.57</v>
      </c>
      <c r="U1751">
        <v>3056.47</v>
      </c>
      <c r="V1751">
        <v>171</v>
      </c>
      <c r="W1751">
        <v>176.03</v>
      </c>
      <c r="X1751">
        <v>171</v>
      </c>
      <c r="AA1751" t="s">
        <v>18376</v>
      </c>
      <c r="AB1751" t="s">
        <v>18290</v>
      </c>
      <c r="AC1751" t="s">
        <v>10816</v>
      </c>
      <c r="AF1751" t="s">
        <v>18377</v>
      </c>
      <c r="AH1751" t="s">
        <v>18290</v>
      </c>
      <c r="AI1751" t="s">
        <v>10816</v>
      </c>
      <c r="AO1751" t="s">
        <v>18378</v>
      </c>
    </row>
    <row r="1752" spans="1:41" hidden="1" x14ac:dyDescent="0.35">
      <c r="A1752" t="s">
        <v>18379</v>
      </c>
      <c r="B1752" t="s">
        <v>7246</v>
      </c>
      <c r="C1752" t="s">
        <v>5295</v>
      </c>
      <c r="D1752" t="s">
        <v>5295</v>
      </c>
      <c r="E1752" t="s">
        <v>5295</v>
      </c>
      <c r="G1752" s="13" t="s">
        <v>18380</v>
      </c>
      <c r="H1752" t="s">
        <v>18381</v>
      </c>
      <c r="K1752" t="s">
        <v>11024</v>
      </c>
      <c r="L1752" t="s">
        <v>11024</v>
      </c>
      <c r="M1752" t="s">
        <v>7250</v>
      </c>
      <c r="N1752">
        <v>1996</v>
      </c>
      <c r="R1752">
        <v>250</v>
      </c>
      <c r="S1752" t="s">
        <v>7251</v>
      </c>
      <c r="T1752">
        <v>2.59</v>
      </c>
      <c r="U1752">
        <v>1203.33</v>
      </c>
      <c r="V1752">
        <v>161</v>
      </c>
      <c r="W1752">
        <v>175.82</v>
      </c>
      <c r="X1752">
        <v>161</v>
      </c>
      <c r="AA1752" t="s">
        <v>18295</v>
      </c>
      <c r="AB1752" t="s">
        <v>18290</v>
      </c>
      <c r="AC1752" t="s">
        <v>10816</v>
      </c>
      <c r="AF1752" t="s">
        <v>18382</v>
      </c>
      <c r="AH1752" t="s">
        <v>18383</v>
      </c>
      <c r="AI1752" t="s">
        <v>10816</v>
      </c>
      <c r="AO1752" t="s">
        <v>18384</v>
      </c>
    </row>
    <row r="1753" spans="1:41" hidden="1" x14ac:dyDescent="0.35">
      <c r="A1753" t="s">
        <v>18385</v>
      </c>
      <c r="B1753" t="s">
        <v>7246</v>
      </c>
      <c r="C1753" t="s">
        <v>406</v>
      </c>
      <c r="D1753" t="s">
        <v>406</v>
      </c>
      <c r="E1753" t="s">
        <v>406</v>
      </c>
      <c r="G1753" s="13" t="s">
        <v>18386</v>
      </c>
      <c r="H1753" t="s">
        <v>18387</v>
      </c>
      <c r="K1753" t="s">
        <v>8729</v>
      </c>
      <c r="L1753" t="s">
        <v>7320</v>
      </c>
      <c r="M1753" t="s">
        <v>7250</v>
      </c>
      <c r="N1753">
        <v>2018</v>
      </c>
      <c r="R1753">
        <v>670</v>
      </c>
      <c r="S1753" t="s">
        <v>7251</v>
      </c>
      <c r="T1753">
        <v>6.93</v>
      </c>
      <c r="U1753">
        <v>3224.93</v>
      </c>
      <c r="V1753">
        <v>572</v>
      </c>
      <c r="W1753">
        <v>529.96</v>
      </c>
      <c r="X1753">
        <v>572</v>
      </c>
      <c r="Y1753">
        <v>30</v>
      </c>
      <c r="Z1753" t="s">
        <v>7253</v>
      </c>
      <c r="AB1753" t="s">
        <v>8480</v>
      </c>
      <c r="AC1753" t="s">
        <v>7255</v>
      </c>
      <c r="AE1753" t="s">
        <v>8481</v>
      </c>
      <c r="AF1753" t="s">
        <v>7203</v>
      </c>
      <c r="AH1753" t="s">
        <v>17867</v>
      </c>
      <c r="AI1753" t="s">
        <v>7255</v>
      </c>
      <c r="AL1753" t="s">
        <v>18388</v>
      </c>
      <c r="AN1753" s="13" t="s">
        <v>18389</v>
      </c>
      <c r="AO1753" t="s">
        <v>18390</v>
      </c>
    </row>
    <row r="1754" spans="1:41" hidden="1" x14ac:dyDescent="0.35">
      <c r="A1754" t="s">
        <v>18391</v>
      </c>
      <c r="B1754" t="s">
        <v>7246</v>
      </c>
      <c r="C1754" t="s">
        <v>5422</v>
      </c>
      <c r="D1754" t="s">
        <v>5422</v>
      </c>
      <c r="E1754" t="s">
        <v>5422</v>
      </c>
      <c r="G1754" s="13" t="s">
        <v>18392</v>
      </c>
      <c r="H1754" t="s">
        <v>18393</v>
      </c>
      <c r="K1754" t="s">
        <v>18394</v>
      </c>
      <c r="L1754" t="s">
        <v>18394</v>
      </c>
      <c r="M1754" t="s">
        <v>7250</v>
      </c>
      <c r="N1754">
        <v>2004</v>
      </c>
      <c r="R1754">
        <v>1540</v>
      </c>
      <c r="S1754" t="s">
        <v>7251</v>
      </c>
      <c r="T1754">
        <v>15.93</v>
      </c>
      <c r="U1754">
        <v>7412.54</v>
      </c>
      <c r="V1754">
        <v>730</v>
      </c>
      <c r="W1754">
        <v>601.4</v>
      </c>
      <c r="X1754">
        <v>730</v>
      </c>
      <c r="Y1754" t="s">
        <v>18395</v>
      </c>
      <c r="Z1754" t="s">
        <v>7253</v>
      </c>
      <c r="AA1754" t="s">
        <v>18396</v>
      </c>
      <c r="AB1754" t="s">
        <v>18084</v>
      </c>
      <c r="AC1754" t="s">
        <v>8523</v>
      </c>
      <c r="AE1754" t="s">
        <v>18085</v>
      </c>
      <c r="AF1754" t="s">
        <v>18397</v>
      </c>
      <c r="AH1754" t="s">
        <v>712</v>
      </c>
      <c r="AI1754" t="s">
        <v>8523</v>
      </c>
      <c r="AL1754" t="s">
        <v>18398</v>
      </c>
      <c r="AN1754" s="13" t="s">
        <v>18399</v>
      </c>
      <c r="AO1754" t="s">
        <v>18400</v>
      </c>
    </row>
    <row r="1755" spans="1:41" hidden="1" x14ac:dyDescent="0.35">
      <c r="A1755" t="s">
        <v>18401</v>
      </c>
      <c r="B1755" t="s">
        <v>7246</v>
      </c>
      <c r="C1755" t="s">
        <v>451</v>
      </c>
      <c r="D1755" t="s">
        <v>451</v>
      </c>
      <c r="E1755" t="s">
        <v>451</v>
      </c>
      <c r="G1755" s="13" t="s">
        <v>18402</v>
      </c>
      <c r="H1755" t="s">
        <v>18403</v>
      </c>
      <c r="K1755" t="s">
        <v>7379</v>
      </c>
      <c r="L1755" t="s">
        <v>7380</v>
      </c>
      <c r="M1755" t="s">
        <v>7415</v>
      </c>
      <c r="N1755">
        <v>2023</v>
      </c>
      <c r="R1755">
        <v>1650</v>
      </c>
      <c r="S1755" t="s">
        <v>7251</v>
      </c>
      <c r="T1755">
        <v>17.07</v>
      </c>
      <c r="U1755">
        <v>7942</v>
      </c>
      <c r="V1755">
        <v>215.65</v>
      </c>
      <c r="W1755">
        <v>211.82</v>
      </c>
      <c r="X1755">
        <v>215.65</v>
      </c>
      <c r="AA1755" t="s">
        <v>7670</v>
      </c>
      <c r="AB1755" t="s">
        <v>18404</v>
      </c>
      <c r="AC1755" t="s">
        <v>7255</v>
      </c>
      <c r="AE1755" t="s">
        <v>497</v>
      </c>
      <c r="AF1755" t="s">
        <v>18405</v>
      </c>
      <c r="AH1755" t="s">
        <v>497</v>
      </c>
      <c r="AI1755" t="s">
        <v>7255</v>
      </c>
      <c r="AO1755" t="s">
        <v>18406</v>
      </c>
    </row>
    <row r="1756" spans="1:41" hidden="1" x14ac:dyDescent="0.35">
      <c r="A1756" t="s">
        <v>18407</v>
      </c>
      <c r="B1756" t="s">
        <v>7246</v>
      </c>
      <c r="C1756" t="s">
        <v>451</v>
      </c>
      <c r="D1756" t="s">
        <v>451</v>
      </c>
      <c r="E1756" t="s">
        <v>451</v>
      </c>
      <c r="G1756" s="13" t="s">
        <v>18408</v>
      </c>
      <c r="H1756" t="s">
        <v>18409</v>
      </c>
      <c r="K1756" t="s">
        <v>18410</v>
      </c>
      <c r="L1756" t="s">
        <v>18411</v>
      </c>
      <c r="M1756" t="s">
        <v>7250</v>
      </c>
      <c r="N1756">
        <v>2019</v>
      </c>
      <c r="R1756">
        <v>12.4</v>
      </c>
      <c r="S1756" t="s">
        <v>8257</v>
      </c>
      <c r="T1756">
        <v>12.4</v>
      </c>
      <c r="U1756">
        <v>5770.75</v>
      </c>
      <c r="V1756" t="s">
        <v>6546</v>
      </c>
      <c r="W1756">
        <v>22.03</v>
      </c>
      <c r="X1756">
        <v>22.03</v>
      </c>
      <c r="AB1756" t="s">
        <v>7340</v>
      </c>
      <c r="AC1756" t="s">
        <v>7255</v>
      </c>
      <c r="AD1756" t="s">
        <v>7340</v>
      </c>
      <c r="AE1756" t="s">
        <v>486</v>
      </c>
      <c r="AF1756" t="s">
        <v>7547</v>
      </c>
      <c r="AG1756" t="s">
        <v>7547</v>
      </c>
      <c r="AH1756" t="s">
        <v>486</v>
      </c>
      <c r="AI1756" t="s">
        <v>7255</v>
      </c>
      <c r="AO1756" t="s">
        <v>18412</v>
      </c>
    </row>
    <row r="1757" spans="1:41" hidden="1" x14ac:dyDescent="0.35">
      <c r="A1757" t="s">
        <v>18413</v>
      </c>
      <c r="B1757" t="s">
        <v>7246</v>
      </c>
      <c r="C1757" t="s">
        <v>451</v>
      </c>
      <c r="D1757" t="s">
        <v>451</v>
      </c>
      <c r="E1757" t="s">
        <v>451</v>
      </c>
      <c r="G1757" s="13" t="s">
        <v>18414</v>
      </c>
      <c r="H1757" t="s">
        <v>18415</v>
      </c>
      <c r="K1757" t="s">
        <v>18416</v>
      </c>
      <c r="L1757" t="s">
        <v>18416</v>
      </c>
      <c r="M1757" t="s">
        <v>7250</v>
      </c>
      <c r="N1757">
        <v>2018</v>
      </c>
      <c r="T1757" t="s">
        <v>6546</v>
      </c>
      <c r="U1757" t="s">
        <v>6546</v>
      </c>
      <c r="V1757">
        <v>96</v>
      </c>
      <c r="W1757">
        <v>235.73</v>
      </c>
      <c r="X1757">
        <v>96</v>
      </c>
      <c r="AC1757" t="s">
        <v>7255</v>
      </c>
      <c r="AD1757" t="s">
        <v>8274</v>
      </c>
      <c r="AE1757" t="s">
        <v>513</v>
      </c>
      <c r="AG1757" t="s">
        <v>18417</v>
      </c>
      <c r="AH1757" t="s">
        <v>513</v>
      </c>
      <c r="AI1757" t="s">
        <v>7255</v>
      </c>
      <c r="AO1757" t="s">
        <v>18418</v>
      </c>
    </row>
    <row r="1758" spans="1:41" hidden="1" x14ac:dyDescent="0.35">
      <c r="A1758" t="s">
        <v>18419</v>
      </c>
      <c r="B1758" t="s">
        <v>7246</v>
      </c>
      <c r="C1758" t="s">
        <v>451</v>
      </c>
      <c r="D1758" t="s">
        <v>451</v>
      </c>
      <c r="E1758" t="s">
        <v>451</v>
      </c>
      <c r="G1758" s="13" t="s">
        <v>18420</v>
      </c>
      <c r="H1758" t="s">
        <v>18421</v>
      </c>
      <c r="K1758" t="s">
        <v>12563</v>
      </c>
      <c r="L1758" t="s">
        <v>12563</v>
      </c>
      <c r="M1758" t="s">
        <v>7250</v>
      </c>
      <c r="N1758">
        <v>2019</v>
      </c>
      <c r="R1758">
        <v>500</v>
      </c>
      <c r="S1758" t="s">
        <v>7251</v>
      </c>
      <c r="T1758">
        <v>5.17</v>
      </c>
      <c r="U1758">
        <v>2406.67</v>
      </c>
      <c r="V1758">
        <v>1.6</v>
      </c>
      <c r="W1758">
        <v>0.88</v>
      </c>
      <c r="X1758">
        <v>1.6</v>
      </c>
      <c r="AC1758" t="s">
        <v>7255</v>
      </c>
      <c r="AI1758" t="s">
        <v>7255</v>
      </c>
      <c r="AO1758" t="s">
        <v>18422</v>
      </c>
    </row>
    <row r="1759" spans="1:41" hidden="1" x14ac:dyDescent="0.35">
      <c r="A1759" t="s">
        <v>18423</v>
      </c>
      <c r="B1759" t="s">
        <v>7246</v>
      </c>
      <c r="C1759" t="s">
        <v>451</v>
      </c>
      <c r="D1759" t="s">
        <v>451</v>
      </c>
      <c r="E1759" t="s">
        <v>451</v>
      </c>
      <c r="G1759" s="13" t="s">
        <v>18424</v>
      </c>
      <c r="H1759" t="s">
        <v>18425</v>
      </c>
      <c r="K1759" t="s">
        <v>18426</v>
      </c>
      <c r="L1759" t="s">
        <v>18426</v>
      </c>
      <c r="M1759" t="s">
        <v>7292</v>
      </c>
      <c r="T1759" t="s">
        <v>6546</v>
      </c>
      <c r="U1759" t="s">
        <v>6546</v>
      </c>
      <c r="V1759">
        <v>37</v>
      </c>
      <c r="W1759">
        <v>27.7</v>
      </c>
      <c r="X1759">
        <v>37</v>
      </c>
      <c r="AA1759" t="s">
        <v>14675</v>
      </c>
      <c r="AB1759" t="s">
        <v>18427</v>
      </c>
      <c r="AC1759" t="s">
        <v>7255</v>
      </c>
      <c r="AD1759" t="s">
        <v>7256</v>
      </c>
      <c r="AE1759" t="s">
        <v>837</v>
      </c>
      <c r="AG1759" t="s">
        <v>18428</v>
      </c>
      <c r="AH1759" t="s">
        <v>486</v>
      </c>
      <c r="AI1759" t="s">
        <v>7255</v>
      </c>
      <c r="AO1759" t="s">
        <v>18429</v>
      </c>
    </row>
    <row r="1760" spans="1:41" x14ac:dyDescent="0.35">
      <c r="A1760" t="s">
        <v>18430</v>
      </c>
      <c r="B1760" t="s">
        <v>7246</v>
      </c>
      <c r="C1760" t="s">
        <v>24</v>
      </c>
      <c r="D1760" t="s">
        <v>24</v>
      </c>
      <c r="E1760" t="s">
        <v>24</v>
      </c>
      <c r="F1760" t="s">
        <v>354</v>
      </c>
      <c r="G1760" s="13" t="s">
        <v>18431</v>
      </c>
      <c r="H1760" t="s">
        <v>18432</v>
      </c>
      <c r="K1760" t="s">
        <v>18433</v>
      </c>
      <c r="L1760" t="s">
        <v>18433</v>
      </c>
      <c r="M1760" t="s">
        <v>7269</v>
      </c>
      <c r="N1760">
        <v>2023</v>
      </c>
      <c r="R1760">
        <v>98.2</v>
      </c>
      <c r="S1760" t="s">
        <v>8257</v>
      </c>
      <c r="T1760">
        <v>98.2</v>
      </c>
      <c r="U1760">
        <v>45700.65</v>
      </c>
      <c r="V1760">
        <v>59.5</v>
      </c>
      <c r="W1760">
        <v>46.55</v>
      </c>
      <c r="X1760">
        <v>59.5</v>
      </c>
      <c r="AB1760" t="s">
        <v>18434</v>
      </c>
      <c r="AC1760" t="s">
        <v>9165</v>
      </c>
      <c r="AE1760" t="s">
        <v>2969</v>
      </c>
      <c r="AF1760" t="s">
        <v>18435</v>
      </c>
      <c r="AH1760" t="s">
        <v>2969</v>
      </c>
      <c r="AI1760" t="s">
        <v>9165</v>
      </c>
      <c r="AO1760" t="s">
        <v>18436</v>
      </c>
    </row>
    <row r="1761" spans="1:41" hidden="1" x14ac:dyDescent="0.35">
      <c r="A1761" t="s">
        <v>18437</v>
      </c>
      <c r="B1761" t="s">
        <v>7246</v>
      </c>
      <c r="C1761" t="s">
        <v>383</v>
      </c>
      <c r="D1761" t="s">
        <v>383</v>
      </c>
      <c r="E1761" t="s">
        <v>383</v>
      </c>
      <c r="G1761" s="13" t="s">
        <v>18438</v>
      </c>
      <c r="H1761" t="s">
        <v>18439</v>
      </c>
      <c r="K1761" t="s">
        <v>18440</v>
      </c>
      <c r="L1761" t="s">
        <v>18441</v>
      </c>
      <c r="M1761" t="s">
        <v>7415</v>
      </c>
      <c r="N1761">
        <v>2023</v>
      </c>
      <c r="R1761">
        <v>4.75</v>
      </c>
      <c r="S1761" t="s">
        <v>8792</v>
      </c>
      <c r="T1761">
        <v>1.73</v>
      </c>
      <c r="U1761">
        <v>807.41</v>
      </c>
      <c r="V1761">
        <v>1499.9</v>
      </c>
      <c r="W1761">
        <v>1084.24</v>
      </c>
      <c r="X1761">
        <v>1499.9</v>
      </c>
      <c r="AB1761" t="s">
        <v>2710</v>
      </c>
      <c r="AC1761" t="s">
        <v>8859</v>
      </c>
      <c r="AE1761" t="s">
        <v>3078</v>
      </c>
      <c r="AF1761" t="s">
        <v>18442</v>
      </c>
      <c r="AI1761" t="s">
        <v>8859</v>
      </c>
      <c r="AO1761" t="s">
        <v>18443</v>
      </c>
    </row>
    <row r="1762" spans="1:41" hidden="1" x14ac:dyDescent="0.35">
      <c r="A1762" t="s">
        <v>18444</v>
      </c>
      <c r="B1762" t="s">
        <v>7246</v>
      </c>
      <c r="C1762" t="s">
        <v>4115</v>
      </c>
      <c r="D1762" t="s">
        <v>8890</v>
      </c>
      <c r="E1762" t="s">
        <v>18445</v>
      </c>
      <c r="G1762" s="13" t="s">
        <v>18446</v>
      </c>
      <c r="H1762" t="s">
        <v>18447</v>
      </c>
      <c r="K1762" t="s">
        <v>18448</v>
      </c>
      <c r="L1762" t="s">
        <v>18448</v>
      </c>
      <c r="M1762" t="s">
        <v>7731</v>
      </c>
      <c r="N1762">
        <v>2021</v>
      </c>
      <c r="T1762" t="s">
        <v>6546</v>
      </c>
      <c r="U1762" t="s">
        <v>6546</v>
      </c>
      <c r="V1762" t="s">
        <v>6546</v>
      </c>
      <c r="W1762">
        <v>1274.72</v>
      </c>
      <c r="X1762">
        <v>1274.72</v>
      </c>
      <c r="AB1762" t="s">
        <v>18449</v>
      </c>
      <c r="AC1762" t="s">
        <v>8765</v>
      </c>
      <c r="AI1762" t="s">
        <v>8765</v>
      </c>
      <c r="AO1762" t="s">
        <v>18450</v>
      </c>
    </row>
    <row r="1763" spans="1:41" hidden="1" x14ac:dyDescent="0.35">
      <c r="A1763" t="s">
        <v>18451</v>
      </c>
      <c r="B1763" t="s">
        <v>7246</v>
      </c>
      <c r="C1763" t="s">
        <v>414</v>
      </c>
      <c r="D1763" t="s">
        <v>414</v>
      </c>
      <c r="E1763" t="s">
        <v>414</v>
      </c>
      <c r="G1763" s="13" t="s">
        <v>18452</v>
      </c>
      <c r="H1763" t="s">
        <v>18453</v>
      </c>
      <c r="I1763" t="s">
        <v>18454</v>
      </c>
      <c r="J1763" t="s">
        <v>18455</v>
      </c>
      <c r="K1763" t="s">
        <v>12329</v>
      </c>
      <c r="L1763" t="s">
        <v>12329</v>
      </c>
      <c r="M1763" t="s">
        <v>7415</v>
      </c>
      <c r="N1763">
        <v>2023</v>
      </c>
      <c r="R1763">
        <v>3500</v>
      </c>
      <c r="S1763" t="s">
        <v>7251</v>
      </c>
      <c r="T1763">
        <v>36.200000000000003</v>
      </c>
      <c r="U1763">
        <v>16846.669999999998</v>
      </c>
      <c r="V1763">
        <v>1300</v>
      </c>
      <c r="W1763">
        <v>361.32</v>
      </c>
      <c r="X1763">
        <v>1300</v>
      </c>
      <c r="AB1763" t="s">
        <v>18456</v>
      </c>
      <c r="AC1763" t="s">
        <v>8765</v>
      </c>
      <c r="AF1763" t="s">
        <v>18457</v>
      </c>
      <c r="AI1763" t="s">
        <v>8765</v>
      </c>
      <c r="AO1763" t="s">
        <v>18458</v>
      </c>
    </row>
    <row r="1764" spans="1:41" hidden="1" x14ac:dyDescent="0.35">
      <c r="A1764" t="s">
        <v>18459</v>
      </c>
      <c r="B1764" t="s">
        <v>7246</v>
      </c>
      <c r="C1764" t="s">
        <v>5861</v>
      </c>
      <c r="D1764" t="s">
        <v>5613</v>
      </c>
      <c r="E1764" t="s">
        <v>18232</v>
      </c>
      <c r="G1764" s="13" t="s">
        <v>18233</v>
      </c>
      <c r="H1764" t="s">
        <v>18234</v>
      </c>
      <c r="J1764" t="s">
        <v>18460</v>
      </c>
      <c r="K1764" t="s">
        <v>11653</v>
      </c>
      <c r="L1764" t="s">
        <v>11654</v>
      </c>
      <c r="M1764" t="s">
        <v>7269</v>
      </c>
      <c r="N1764">
        <v>2022</v>
      </c>
      <c r="R1764">
        <v>7.5</v>
      </c>
      <c r="S1764" t="s">
        <v>8257</v>
      </c>
      <c r="T1764">
        <v>7.5</v>
      </c>
      <c r="U1764">
        <v>3490.38</v>
      </c>
      <c r="V1764">
        <v>1250</v>
      </c>
      <c r="W1764">
        <v>995.28</v>
      </c>
      <c r="X1764">
        <v>1250</v>
      </c>
      <c r="AC1764" t="s">
        <v>8777</v>
      </c>
      <c r="AE1764" t="s">
        <v>3711</v>
      </c>
      <c r="AI1764" t="s">
        <v>8777</v>
      </c>
      <c r="AO1764" t="s">
        <v>18461</v>
      </c>
    </row>
    <row r="1765" spans="1:41" hidden="1" x14ac:dyDescent="0.35">
      <c r="A1765" t="s">
        <v>18462</v>
      </c>
      <c r="B1765" t="s">
        <v>7246</v>
      </c>
      <c r="C1765" t="s">
        <v>451</v>
      </c>
      <c r="D1765" t="s">
        <v>451</v>
      </c>
      <c r="E1765" t="s">
        <v>451</v>
      </c>
      <c r="G1765" s="13" t="s">
        <v>18463</v>
      </c>
      <c r="H1765" t="s">
        <v>18464</v>
      </c>
      <c r="K1765" t="s">
        <v>18465</v>
      </c>
      <c r="L1765" t="s">
        <v>18411</v>
      </c>
      <c r="M1765" t="s">
        <v>7415</v>
      </c>
      <c r="N1765">
        <v>2022</v>
      </c>
      <c r="R1765">
        <v>1500</v>
      </c>
      <c r="S1765" t="s">
        <v>7251</v>
      </c>
      <c r="T1765">
        <v>15.51</v>
      </c>
      <c r="U1765">
        <v>7220</v>
      </c>
      <c r="V1765">
        <v>241.4</v>
      </c>
      <c r="W1765">
        <v>249.8</v>
      </c>
      <c r="X1765">
        <v>241.4</v>
      </c>
      <c r="Y1765">
        <v>36</v>
      </c>
      <c r="Z1765" t="s">
        <v>7253</v>
      </c>
      <c r="AB1765" t="s">
        <v>7975</v>
      </c>
      <c r="AC1765" t="s">
        <v>7255</v>
      </c>
      <c r="AD1765" t="s">
        <v>18466</v>
      </c>
      <c r="AE1765" t="s">
        <v>486</v>
      </c>
      <c r="AF1765" t="s">
        <v>3956</v>
      </c>
      <c r="AG1765" t="s">
        <v>18466</v>
      </c>
      <c r="AH1765" t="s">
        <v>486</v>
      </c>
      <c r="AI1765" t="s">
        <v>7255</v>
      </c>
      <c r="AO1765" t="s">
        <v>18467</v>
      </c>
    </row>
    <row r="1766" spans="1:41" hidden="1" x14ac:dyDescent="0.35">
      <c r="A1766" t="s">
        <v>18468</v>
      </c>
      <c r="B1766" t="s">
        <v>7246</v>
      </c>
      <c r="C1766" t="s">
        <v>5580</v>
      </c>
      <c r="D1766" t="s">
        <v>5586</v>
      </c>
      <c r="E1766" t="s">
        <v>11998</v>
      </c>
      <c r="G1766" s="13" t="s">
        <v>18469</v>
      </c>
      <c r="H1766" t="s">
        <v>18470</v>
      </c>
      <c r="K1766" t="s">
        <v>12002</v>
      </c>
      <c r="L1766" t="s">
        <v>12002</v>
      </c>
      <c r="M1766" t="s">
        <v>7292</v>
      </c>
      <c r="N1766">
        <v>2024</v>
      </c>
      <c r="R1766">
        <v>1.5</v>
      </c>
      <c r="S1766" t="s">
        <v>8257</v>
      </c>
      <c r="T1766">
        <v>1.5</v>
      </c>
      <c r="U1766">
        <v>698.08</v>
      </c>
      <c r="V1766">
        <v>184</v>
      </c>
      <c r="W1766">
        <v>235.44</v>
      </c>
      <c r="X1766">
        <v>184</v>
      </c>
      <c r="Y1766">
        <v>20</v>
      </c>
      <c r="Z1766" t="s">
        <v>7253</v>
      </c>
      <c r="AB1766" t="s">
        <v>9557</v>
      </c>
      <c r="AC1766" t="s">
        <v>8777</v>
      </c>
      <c r="AE1766" t="s">
        <v>9558</v>
      </c>
      <c r="AF1766" t="s">
        <v>18471</v>
      </c>
      <c r="AH1766" t="s">
        <v>18472</v>
      </c>
      <c r="AI1766" t="s">
        <v>8777</v>
      </c>
      <c r="AJ1766" t="s">
        <v>9032</v>
      </c>
      <c r="AO1766" t="s">
        <v>18473</v>
      </c>
    </row>
    <row r="1767" spans="1:41" hidden="1" x14ac:dyDescent="0.35">
      <c r="A1767" t="s">
        <v>18474</v>
      </c>
      <c r="B1767" t="s">
        <v>7246</v>
      </c>
      <c r="C1767" t="s">
        <v>5925</v>
      </c>
      <c r="D1767" t="s">
        <v>9023</v>
      </c>
      <c r="E1767" t="s">
        <v>18475</v>
      </c>
      <c r="G1767" t="s">
        <v>10089</v>
      </c>
      <c r="H1767" t="s">
        <v>18476</v>
      </c>
      <c r="I1767" t="s">
        <v>18477</v>
      </c>
      <c r="J1767" t="s">
        <v>18478</v>
      </c>
      <c r="K1767" t="s">
        <v>6543</v>
      </c>
      <c r="L1767" t="s">
        <v>6543</v>
      </c>
      <c r="M1767" t="s">
        <v>7292</v>
      </c>
      <c r="N1767">
        <v>2025</v>
      </c>
      <c r="R1767">
        <v>3.1</v>
      </c>
      <c r="S1767" t="s">
        <v>8257</v>
      </c>
      <c r="T1767">
        <v>3.1</v>
      </c>
      <c r="U1767">
        <v>1442.69</v>
      </c>
      <c r="V1767">
        <v>90</v>
      </c>
      <c r="W1767">
        <v>90.84</v>
      </c>
      <c r="X1767">
        <v>90</v>
      </c>
      <c r="Y1767">
        <v>24</v>
      </c>
      <c r="Z1767" t="s">
        <v>7253</v>
      </c>
      <c r="AB1767" t="s">
        <v>18479</v>
      </c>
      <c r="AC1767" t="s">
        <v>8777</v>
      </c>
      <c r="AE1767" t="s">
        <v>18480</v>
      </c>
      <c r="AF1767" t="s">
        <v>18481</v>
      </c>
      <c r="AH1767" t="s">
        <v>18482</v>
      </c>
      <c r="AI1767" t="s">
        <v>8777</v>
      </c>
      <c r="AJ1767" t="s">
        <v>9032</v>
      </c>
      <c r="AO1767" t="s">
        <v>18483</v>
      </c>
    </row>
    <row r="1768" spans="1:41" hidden="1" x14ac:dyDescent="0.35">
      <c r="A1768" t="s">
        <v>18484</v>
      </c>
      <c r="B1768" t="s">
        <v>7246</v>
      </c>
      <c r="C1768" t="s">
        <v>5586</v>
      </c>
      <c r="D1768" t="s">
        <v>5586</v>
      </c>
      <c r="E1768" t="s">
        <v>5586</v>
      </c>
      <c r="G1768" s="13" t="s">
        <v>18485</v>
      </c>
      <c r="H1768" t="s">
        <v>18486</v>
      </c>
      <c r="K1768" t="s">
        <v>12016</v>
      </c>
      <c r="L1768" t="s">
        <v>12016</v>
      </c>
      <c r="M1768" t="s">
        <v>7250</v>
      </c>
      <c r="N1768">
        <v>2020</v>
      </c>
      <c r="R1768">
        <v>29</v>
      </c>
      <c r="S1768" t="s">
        <v>12003</v>
      </c>
      <c r="T1768">
        <v>1.07</v>
      </c>
      <c r="U1768">
        <v>496.89</v>
      </c>
      <c r="V1768">
        <v>20</v>
      </c>
      <c r="W1768">
        <v>19.86</v>
      </c>
      <c r="X1768">
        <v>20</v>
      </c>
      <c r="Y1768">
        <v>400</v>
      </c>
      <c r="Z1768" t="s">
        <v>8842</v>
      </c>
      <c r="AB1768" t="s">
        <v>18487</v>
      </c>
      <c r="AC1768" t="s">
        <v>8777</v>
      </c>
      <c r="AF1768" t="s">
        <v>18488</v>
      </c>
      <c r="AI1768" t="s">
        <v>8777</v>
      </c>
      <c r="AO1768" t="s">
        <v>18489</v>
      </c>
    </row>
    <row r="1769" spans="1:41" hidden="1" x14ac:dyDescent="0.35">
      <c r="A1769" t="s">
        <v>18490</v>
      </c>
      <c r="B1769" t="s">
        <v>7246</v>
      </c>
      <c r="C1769" t="s">
        <v>5586</v>
      </c>
      <c r="D1769" t="s">
        <v>5586</v>
      </c>
      <c r="E1769" t="s">
        <v>5586</v>
      </c>
      <c r="G1769" s="13" t="s">
        <v>18491</v>
      </c>
      <c r="H1769" t="s">
        <v>18492</v>
      </c>
      <c r="K1769" t="s">
        <v>12016</v>
      </c>
      <c r="L1769" t="s">
        <v>12016</v>
      </c>
      <c r="M1769" t="s">
        <v>7250</v>
      </c>
      <c r="N1769">
        <v>2020</v>
      </c>
      <c r="R1769">
        <v>15</v>
      </c>
      <c r="S1769" t="s">
        <v>12003</v>
      </c>
      <c r="T1769">
        <v>0.55000000000000004</v>
      </c>
      <c r="U1769">
        <v>257.01</v>
      </c>
      <c r="V1769">
        <v>8</v>
      </c>
      <c r="W1769">
        <v>6.81</v>
      </c>
      <c r="X1769">
        <v>8</v>
      </c>
      <c r="Y1769">
        <v>200</v>
      </c>
      <c r="Z1769" t="s">
        <v>8842</v>
      </c>
      <c r="AB1769" t="s">
        <v>18493</v>
      </c>
      <c r="AC1769" t="s">
        <v>8777</v>
      </c>
      <c r="AF1769" t="s">
        <v>18494</v>
      </c>
      <c r="AI1769" t="s">
        <v>8777</v>
      </c>
      <c r="AO1769" t="s">
        <v>18495</v>
      </c>
    </row>
    <row r="1770" spans="1:41" hidden="1" x14ac:dyDescent="0.35">
      <c r="A1770" t="s">
        <v>18496</v>
      </c>
      <c r="B1770" t="s">
        <v>7246</v>
      </c>
      <c r="C1770" t="s">
        <v>5586</v>
      </c>
      <c r="D1770" t="s">
        <v>5586</v>
      </c>
      <c r="E1770" t="s">
        <v>5586</v>
      </c>
      <c r="G1770" s="13" t="s">
        <v>18497</v>
      </c>
      <c r="H1770" t="s">
        <v>13377</v>
      </c>
      <c r="I1770" t="s">
        <v>18498</v>
      </c>
      <c r="K1770" t="s">
        <v>18499</v>
      </c>
      <c r="L1770" t="s">
        <v>18499</v>
      </c>
      <c r="M1770" t="s">
        <v>7731</v>
      </c>
      <c r="N1770">
        <v>2028</v>
      </c>
      <c r="R1770">
        <v>75</v>
      </c>
      <c r="S1770" t="s">
        <v>12003</v>
      </c>
      <c r="T1770">
        <v>2.76</v>
      </c>
      <c r="U1770">
        <v>1285.06</v>
      </c>
      <c r="V1770">
        <v>11</v>
      </c>
      <c r="W1770">
        <v>7.5</v>
      </c>
      <c r="X1770">
        <v>11</v>
      </c>
      <c r="Y1770">
        <v>500</v>
      </c>
      <c r="Z1770" t="s">
        <v>8842</v>
      </c>
      <c r="AB1770" t="s">
        <v>18500</v>
      </c>
      <c r="AC1770" t="s">
        <v>8777</v>
      </c>
      <c r="AF1770" t="s">
        <v>18501</v>
      </c>
      <c r="AI1770" t="s">
        <v>8777</v>
      </c>
      <c r="AJ1770" t="s">
        <v>9032</v>
      </c>
      <c r="AO1770" t="s">
        <v>18502</v>
      </c>
    </row>
    <row r="1771" spans="1:41" hidden="1" x14ac:dyDescent="0.35">
      <c r="A1771" t="s">
        <v>18503</v>
      </c>
      <c r="B1771" t="s">
        <v>7246</v>
      </c>
      <c r="C1771" t="s">
        <v>5586</v>
      </c>
      <c r="D1771" t="s">
        <v>5586</v>
      </c>
      <c r="E1771" t="s">
        <v>5586</v>
      </c>
      <c r="G1771" s="13" t="s">
        <v>18504</v>
      </c>
      <c r="H1771" t="s">
        <v>18505</v>
      </c>
      <c r="K1771" t="s">
        <v>18499</v>
      </c>
      <c r="L1771" t="s">
        <v>18499</v>
      </c>
      <c r="M1771" t="s">
        <v>7292</v>
      </c>
      <c r="N1771">
        <v>2026</v>
      </c>
      <c r="R1771">
        <v>15</v>
      </c>
      <c r="S1771" t="s">
        <v>12003</v>
      </c>
      <c r="T1771">
        <v>0.55000000000000004</v>
      </c>
      <c r="U1771">
        <v>257.01</v>
      </c>
      <c r="V1771">
        <v>15</v>
      </c>
      <c r="W1771">
        <v>7.19</v>
      </c>
      <c r="X1771">
        <v>15</v>
      </c>
      <c r="Y1771">
        <v>300</v>
      </c>
      <c r="Z1771" t="s">
        <v>8842</v>
      </c>
      <c r="AB1771" t="s">
        <v>18506</v>
      </c>
      <c r="AC1771" t="s">
        <v>8777</v>
      </c>
      <c r="AF1771" t="s">
        <v>18507</v>
      </c>
      <c r="AI1771" t="s">
        <v>8777</v>
      </c>
      <c r="AJ1771" t="s">
        <v>9032</v>
      </c>
      <c r="AK1771">
        <v>2024</v>
      </c>
      <c r="AO1771" t="s">
        <v>18508</v>
      </c>
    </row>
    <row r="1772" spans="1:41" hidden="1" x14ac:dyDescent="0.35">
      <c r="A1772" t="s">
        <v>18509</v>
      </c>
      <c r="B1772" t="s">
        <v>7246</v>
      </c>
      <c r="C1772" t="s">
        <v>5295</v>
      </c>
      <c r="D1772" t="s">
        <v>5295</v>
      </c>
      <c r="E1772" t="s">
        <v>5295</v>
      </c>
      <c r="G1772" s="13" t="s">
        <v>18510</v>
      </c>
      <c r="H1772" t="s">
        <v>18511</v>
      </c>
      <c r="K1772" t="s">
        <v>11024</v>
      </c>
      <c r="L1772" t="s">
        <v>11024</v>
      </c>
      <c r="M1772" t="s">
        <v>7250</v>
      </c>
      <c r="N1772">
        <v>1981</v>
      </c>
      <c r="R1772">
        <v>860</v>
      </c>
      <c r="S1772" t="s">
        <v>7251</v>
      </c>
      <c r="T1772">
        <v>8.89</v>
      </c>
      <c r="U1772">
        <v>4139.47</v>
      </c>
      <c r="V1772">
        <v>415</v>
      </c>
      <c r="W1772">
        <v>380.08</v>
      </c>
      <c r="X1772">
        <v>415</v>
      </c>
      <c r="AA1772" t="s">
        <v>18295</v>
      </c>
      <c r="AB1772" t="s">
        <v>18290</v>
      </c>
      <c r="AC1772" t="s">
        <v>10816</v>
      </c>
      <c r="AF1772" t="s">
        <v>18512</v>
      </c>
      <c r="AH1772" t="s">
        <v>2949</v>
      </c>
      <c r="AI1772" t="s">
        <v>10816</v>
      </c>
      <c r="AO1772" t="s">
        <v>18513</v>
      </c>
    </row>
    <row r="1773" spans="1:41" hidden="1" x14ac:dyDescent="0.35">
      <c r="A1773" t="s">
        <v>18514</v>
      </c>
      <c r="B1773" t="s">
        <v>7246</v>
      </c>
      <c r="C1773" t="s">
        <v>5295</v>
      </c>
      <c r="D1773" t="s">
        <v>5295</v>
      </c>
      <c r="E1773" t="s">
        <v>5295</v>
      </c>
      <c r="G1773" s="13" t="s">
        <v>18515</v>
      </c>
      <c r="H1773" t="s">
        <v>18516</v>
      </c>
      <c r="K1773" t="s">
        <v>11024</v>
      </c>
      <c r="L1773" t="s">
        <v>11024</v>
      </c>
      <c r="M1773" t="s">
        <v>7250</v>
      </c>
      <c r="N1773">
        <v>1996</v>
      </c>
      <c r="R1773">
        <v>1150</v>
      </c>
      <c r="S1773" t="s">
        <v>7251</v>
      </c>
      <c r="T1773">
        <v>11.89</v>
      </c>
      <c r="U1773">
        <v>5535.33</v>
      </c>
      <c r="V1773">
        <v>418</v>
      </c>
      <c r="W1773">
        <v>380.08</v>
      </c>
      <c r="X1773">
        <v>418</v>
      </c>
      <c r="AA1773" t="s">
        <v>18295</v>
      </c>
      <c r="AB1773" t="s">
        <v>18290</v>
      </c>
      <c r="AC1773" t="s">
        <v>10816</v>
      </c>
      <c r="AF1773" t="s">
        <v>18512</v>
      </c>
      <c r="AH1773" t="s">
        <v>2949</v>
      </c>
      <c r="AI1773" t="s">
        <v>10816</v>
      </c>
      <c r="AO1773" t="s">
        <v>18513</v>
      </c>
    </row>
    <row r="1774" spans="1:41" hidden="1" x14ac:dyDescent="0.35">
      <c r="A1774" t="s">
        <v>18517</v>
      </c>
      <c r="B1774" t="s">
        <v>7246</v>
      </c>
      <c r="C1774" t="s">
        <v>383</v>
      </c>
      <c r="D1774" t="s">
        <v>383</v>
      </c>
      <c r="E1774" t="s">
        <v>383</v>
      </c>
      <c r="G1774" s="13" t="s">
        <v>18518</v>
      </c>
      <c r="H1774" t="s">
        <v>18519</v>
      </c>
      <c r="K1774" t="s">
        <v>18520</v>
      </c>
      <c r="L1774" t="s">
        <v>18520</v>
      </c>
      <c r="M1774" t="s">
        <v>7415</v>
      </c>
      <c r="N1774">
        <v>2022</v>
      </c>
      <c r="R1774">
        <v>4.38</v>
      </c>
      <c r="S1774" t="s">
        <v>8257</v>
      </c>
      <c r="T1774">
        <v>4.38</v>
      </c>
      <c r="U1774">
        <v>2038.38</v>
      </c>
      <c r="V1774">
        <v>729</v>
      </c>
      <c r="W1774">
        <v>620.92999999999995</v>
      </c>
      <c r="X1774">
        <v>729</v>
      </c>
      <c r="AB1774" t="s">
        <v>18521</v>
      </c>
      <c r="AC1774" t="s">
        <v>8859</v>
      </c>
      <c r="AE1774" t="s">
        <v>3086</v>
      </c>
      <c r="AF1774" t="s">
        <v>2710</v>
      </c>
      <c r="AH1774" t="s">
        <v>3078</v>
      </c>
      <c r="AI1774" t="s">
        <v>8859</v>
      </c>
      <c r="AO1774" t="s">
        <v>18522</v>
      </c>
    </row>
    <row r="1775" spans="1:41" hidden="1" x14ac:dyDescent="0.35">
      <c r="A1775" t="s">
        <v>18523</v>
      </c>
      <c r="B1775" t="s">
        <v>7246</v>
      </c>
      <c r="C1775" t="s">
        <v>5295</v>
      </c>
      <c r="D1775" t="s">
        <v>5295</v>
      </c>
      <c r="E1775" t="s">
        <v>5295</v>
      </c>
      <c r="G1775" s="13" t="s">
        <v>18524</v>
      </c>
      <c r="H1775" t="s">
        <v>18525</v>
      </c>
      <c r="K1775" t="s">
        <v>11024</v>
      </c>
      <c r="L1775" t="s">
        <v>11024</v>
      </c>
      <c r="M1775" t="s">
        <v>7250</v>
      </c>
      <c r="N1775">
        <v>2007</v>
      </c>
      <c r="R1775">
        <v>1900</v>
      </c>
      <c r="S1775" t="s">
        <v>7251</v>
      </c>
      <c r="T1775">
        <v>19.649999999999999</v>
      </c>
      <c r="U1775">
        <v>9145.34</v>
      </c>
      <c r="V1775">
        <v>414</v>
      </c>
      <c r="W1775">
        <v>380.08</v>
      </c>
      <c r="X1775">
        <v>414</v>
      </c>
      <c r="AA1775" t="s">
        <v>18295</v>
      </c>
      <c r="AB1775" t="s">
        <v>18290</v>
      </c>
      <c r="AC1775" t="s">
        <v>10816</v>
      </c>
      <c r="AF1775" t="s">
        <v>18512</v>
      </c>
      <c r="AH1775" t="s">
        <v>2949</v>
      </c>
      <c r="AI1775" t="s">
        <v>10816</v>
      </c>
      <c r="AO1775" t="s">
        <v>18513</v>
      </c>
    </row>
    <row r="1776" spans="1:41" hidden="1" x14ac:dyDescent="0.35">
      <c r="A1776" t="s">
        <v>18526</v>
      </c>
      <c r="B1776" t="s">
        <v>7246</v>
      </c>
      <c r="C1776" t="s">
        <v>5295</v>
      </c>
      <c r="D1776" t="s">
        <v>5295</v>
      </c>
      <c r="E1776" t="s">
        <v>5295</v>
      </c>
      <c r="G1776" s="13" t="s">
        <v>18527</v>
      </c>
      <c r="H1776" t="s">
        <v>18528</v>
      </c>
      <c r="K1776" t="s">
        <v>11024</v>
      </c>
      <c r="L1776" t="s">
        <v>11024</v>
      </c>
      <c r="M1776" t="s">
        <v>7250</v>
      </c>
      <c r="N1776">
        <v>1990</v>
      </c>
      <c r="R1776">
        <v>140</v>
      </c>
      <c r="S1776" t="s">
        <v>7251</v>
      </c>
      <c r="T1776">
        <v>1.45</v>
      </c>
      <c r="U1776">
        <v>673.87</v>
      </c>
      <c r="V1776">
        <v>3.5</v>
      </c>
      <c r="W1776">
        <v>3.38</v>
      </c>
      <c r="X1776">
        <v>3.5</v>
      </c>
      <c r="AA1776" t="s">
        <v>18529</v>
      </c>
      <c r="AC1776" t="s">
        <v>10816</v>
      </c>
      <c r="AE1776" t="s">
        <v>14453</v>
      </c>
      <c r="AF1776" t="s">
        <v>14453</v>
      </c>
      <c r="AH1776" t="s">
        <v>14453</v>
      </c>
      <c r="AI1776" t="s">
        <v>10816</v>
      </c>
      <c r="AO1776" t="s">
        <v>18530</v>
      </c>
    </row>
    <row r="1777" spans="1:41" hidden="1" x14ac:dyDescent="0.35">
      <c r="A1777" t="s">
        <v>18531</v>
      </c>
      <c r="B1777" t="s">
        <v>7246</v>
      </c>
      <c r="C1777" t="s">
        <v>5643</v>
      </c>
      <c r="D1777" t="s">
        <v>5787</v>
      </c>
      <c r="E1777" t="s">
        <v>5643</v>
      </c>
      <c r="G1777" s="13" t="s">
        <v>18532</v>
      </c>
      <c r="H1777" t="s">
        <v>18533</v>
      </c>
      <c r="K1777" t="s">
        <v>18534</v>
      </c>
      <c r="L1777" t="s">
        <v>18535</v>
      </c>
      <c r="M1777" t="s">
        <v>7250</v>
      </c>
      <c r="N1777">
        <v>2011</v>
      </c>
      <c r="R1777">
        <v>39.4</v>
      </c>
      <c r="S1777" t="s">
        <v>8257</v>
      </c>
      <c r="T1777">
        <v>39.4</v>
      </c>
      <c r="U1777">
        <v>18336.11</v>
      </c>
      <c r="V1777">
        <v>60</v>
      </c>
      <c r="W1777">
        <v>96.62</v>
      </c>
      <c r="X1777">
        <v>60</v>
      </c>
      <c r="Y1777">
        <v>1200</v>
      </c>
      <c r="Z1777" t="s">
        <v>8842</v>
      </c>
      <c r="AA1777" t="s">
        <v>18536</v>
      </c>
      <c r="AB1777" t="s">
        <v>18537</v>
      </c>
      <c r="AC1777" t="s">
        <v>8777</v>
      </c>
      <c r="AE1777" t="s">
        <v>9611</v>
      </c>
      <c r="AF1777" t="s">
        <v>18538</v>
      </c>
      <c r="AH1777" t="s">
        <v>5786</v>
      </c>
      <c r="AI1777" t="s">
        <v>8777</v>
      </c>
      <c r="AO1777" t="s">
        <v>18539</v>
      </c>
    </row>
    <row r="1778" spans="1:41" hidden="1" x14ac:dyDescent="0.35">
      <c r="A1778" t="s">
        <v>18540</v>
      </c>
      <c r="B1778" t="s">
        <v>7246</v>
      </c>
      <c r="C1778" t="s">
        <v>5802</v>
      </c>
      <c r="D1778" t="s">
        <v>5802</v>
      </c>
      <c r="E1778" t="s">
        <v>5802</v>
      </c>
      <c r="G1778" s="13" t="s">
        <v>18541</v>
      </c>
      <c r="H1778" t="s">
        <v>18542</v>
      </c>
      <c r="J1778" t="s">
        <v>18543</v>
      </c>
      <c r="K1778" t="s">
        <v>11195</v>
      </c>
      <c r="L1778" t="s">
        <v>11195</v>
      </c>
      <c r="M1778" t="s">
        <v>7415</v>
      </c>
      <c r="N1778">
        <v>2023</v>
      </c>
      <c r="T1778" t="s">
        <v>6546</v>
      </c>
      <c r="U1778" t="s">
        <v>6546</v>
      </c>
      <c r="V1778">
        <v>308</v>
      </c>
      <c r="W1778">
        <v>291.73</v>
      </c>
      <c r="X1778">
        <v>308</v>
      </c>
      <c r="Y1778">
        <v>39</v>
      </c>
      <c r="Z1778" t="s">
        <v>7253</v>
      </c>
      <c r="AB1778" t="s">
        <v>18544</v>
      </c>
      <c r="AC1778" t="s">
        <v>8777</v>
      </c>
      <c r="AF1778" t="s">
        <v>18545</v>
      </c>
      <c r="AI1778" t="s">
        <v>8777</v>
      </c>
      <c r="AJ1778" t="s">
        <v>6407</v>
      </c>
      <c r="AO1778" t="s">
        <v>18546</v>
      </c>
    </row>
    <row r="1779" spans="1:41" x14ac:dyDescent="0.35">
      <c r="A1779" t="s">
        <v>18547</v>
      </c>
      <c r="B1779" t="s">
        <v>7246</v>
      </c>
      <c r="C1779" t="s">
        <v>24</v>
      </c>
      <c r="D1779" t="s">
        <v>24</v>
      </c>
      <c r="E1779" t="s">
        <v>24</v>
      </c>
      <c r="F1779" t="s">
        <v>354</v>
      </c>
      <c r="G1779" s="13" t="s">
        <v>18548</v>
      </c>
      <c r="H1779" t="s">
        <v>18549</v>
      </c>
      <c r="K1779" t="s">
        <v>12647</v>
      </c>
      <c r="L1779" t="s">
        <v>12648</v>
      </c>
      <c r="M1779" t="s">
        <v>7250</v>
      </c>
      <c r="N1779">
        <v>2019</v>
      </c>
      <c r="R1779">
        <v>36.99</v>
      </c>
      <c r="S1779" t="s">
        <v>7251</v>
      </c>
      <c r="T1779">
        <v>0.38</v>
      </c>
      <c r="U1779">
        <v>178.05</v>
      </c>
      <c r="V1779">
        <v>60</v>
      </c>
      <c r="W1779">
        <v>53.38</v>
      </c>
      <c r="X1779">
        <v>60</v>
      </c>
      <c r="AA1779" t="s">
        <v>18550</v>
      </c>
      <c r="AB1779" t="s">
        <v>13052</v>
      </c>
      <c r="AC1779" t="s">
        <v>9165</v>
      </c>
      <c r="AE1779" t="s">
        <v>2973</v>
      </c>
      <c r="AF1779" t="s">
        <v>13040</v>
      </c>
      <c r="AH1779" t="s">
        <v>2973</v>
      </c>
      <c r="AI1779" t="s">
        <v>9165</v>
      </c>
      <c r="AO1779" t="s">
        <v>18551</v>
      </c>
    </row>
    <row r="1780" spans="1:41" hidden="1" x14ac:dyDescent="0.35">
      <c r="A1780" t="s">
        <v>18552</v>
      </c>
      <c r="B1780" t="s">
        <v>7246</v>
      </c>
      <c r="C1780" t="s">
        <v>5295</v>
      </c>
      <c r="D1780" t="s">
        <v>5295</v>
      </c>
      <c r="E1780" t="s">
        <v>5295</v>
      </c>
      <c r="G1780" s="13" t="s">
        <v>18553</v>
      </c>
      <c r="H1780" t="s">
        <v>18554</v>
      </c>
      <c r="K1780" t="s">
        <v>11024</v>
      </c>
      <c r="L1780" t="s">
        <v>11024</v>
      </c>
      <c r="M1780" t="s">
        <v>7250</v>
      </c>
      <c r="N1780">
        <v>2001</v>
      </c>
      <c r="R1780">
        <v>300</v>
      </c>
      <c r="S1780" t="s">
        <v>7251</v>
      </c>
      <c r="T1780">
        <v>3.1</v>
      </c>
      <c r="U1780">
        <v>1444</v>
      </c>
      <c r="V1780">
        <v>10</v>
      </c>
      <c r="W1780">
        <v>15.81</v>
      </c>
      <c r="X1780">
        <v>10</v>
      </c>
      <c r="AA1780" t="s">
        <v>18555</v>
      </c>
      <c r="AB1780" t="s">
        <v>18290</v>
      </c>
      <c r="AC1780" t="s">
        <v>10816</v>
      </c>
      <c r="AF1780" t="s">
        <v>18555</v>
      </c>
      <c r="AH1780" t="s">
        <v>18290</v>
      </c>
      <c r="AI1780" t="s">
        <v>10816</v>
      </c>
      <c r="AO1780" t="s">
        <v>18556</v>
      </c>
    </row>
    <row r="1781" spans="1:41" hidden="1" x14ac:dyDescent="0.35">
      <c r="A1781" t="s">
        <v>18557</v>
      </c>
      <c r="B1781" t="s">
        <v>7246</v>
      </c>
      <c r="C1781" t="s">
        <v>5295</v>
      </c>
      <c r="D1781" t="s">
        <v>5295</v>
      </c>
      <c r="E1781" t="s">
        <v>5295</v>
      </c>
      <c r="G1781" s="13" t="s">
        <v>18558</v>
      </c>
      <c r="H1781" t="s">
        <v>18559</v>
      </c>
      <c r="K1781" t="s">
        <v>11024</v>
      </c>
      <c r="L1781" t="s">
        <v>11024</v>
      </c>
      <c r="M1781" t="s">
        <v>7250</v>
      </c>
      <c r="N1781">
        <v>1999</v>
      </c>
      <c r="R1781">
        <v>200</v>
      </c>
      <c r="S1781" t="s">
        <v>7251</v>
      </c>
      <c r="T1781">
        <v>2.0699999999999998</v>
      </c>
      <c r="U1781">
        <v>962.67</v>
      </c>
      <c r="V1781">
        <v>53</v>
      </c>
      <c r="W1781">
        <v>79.13</v>
      </c>
      <c r="X1781">
        <v>53</v>
      </c>
      <c r="AA1781" t="s">
        <v>18555</v>
      </c>
      <c r="AB1781" t="s">
        <v>18290</v>
      </c>
      <c r="AC1781" t="s">
        <v>10816</v>
      </c>
      <c r="AF1781" t="s">
        <v>18295</v>
      </c>
      <c r="AH1781" t="s">
        <v>18290</v>
      </c>
      <c r="AI1781" t="s">
        <v>10816</v>
      </c>
      <c r="AO1781" t="s">
        <v>18560</v>
      </c>
    </row>
    <row r="1782" spans="1:41" hidden="1" x14ac:dyDescent="0.35">
      <c r="A1782" t="s">
        <v>18561</v>
      </c>
      <c r="B1782" t="s">
        <v>7246</v>
      </c>
      <c r="C1782" t="s">
        <v>5295</v>
      </c>
      <c r="D1782" t="s">
        <v>5295</v>
      </c>
      <c r="E1782" t="s">
        <v>5295</v>
      </c>
      <c r="G1782" s="13" t="s">
        <v>18562</v>
      </c>
      <c r="H1782" t="s">
        <v>18563</v>
      </c>
      <c r="K1782" t="s">
        <v>11024</v>
      </c>
      <c r="L1782" t="s">
        <v>11024</v>
      </c>
      <c r="M1782" t="s">
        <v>7250</v>
      </c>
      <c r="N1782">
        <v>1984</v>
      </c>
      <c r="R1782">
        <v>250</v>
      </c>
      <c r="S1782" t="s">
        <v>7251</v>
      </c>
      <c r="T1782">
        <v>2.59</v>
      </c>
      <c r="U1782">
        <v>1203.33</v>
      </c>
      <c r="V1782">
        <v>42</v>
      </c>
      <c r="W1782">
        <v>80.069999999999993</v>
      </c>
      <c r="X1782">
        <v>42</v>
      </c>
      <c r="AA1782" t="s">
        <v>18564</v>
      </c>
      <c r="AB1782" t="s">
        <v>18290</v>
      </c>
      <c r="AC1782" t="s">
        <v>10816</v>
      </c>
      <c r="AF1782" t="s">
        <v>18564</v>
      </c>
      <c r="AH1782" t="s">
        <v>18290</v>
      </c>
      <c r="AI1782" t="s">
        <v>10816</v>
      </c>
      <c r="AO1782" t="s">
        <v>18565</v>
      </c>
    </row>
    <row r="1783" spans="1:41" hidden="1" x14ac:dyDescent="0.35">
      <c r="A1783" t="s">
        <v>18566</v>
      </c>
      <c r="B1783" t="s">
        <v>7246</v>
      </c>
      <c r="C1783" t="s">
        <v>5295</v>
      </c>
      <c r="D1783" t="s">
        <v>5295</v>
      </c>
      <c r="E1783" t="s">
        <v>5295</v>
      </c>
      <c r="G1783" s="13" t="s">
        <v>18567</v>
      </c>
      <c r="H1783" t="s">
        <v>18568</v>
      </c>
      <c r="K1783" t="s">
        <v>11024</v>
      </c>
      <c r="L1783" t="s">
        <v>11024</v>
      </c>
      <c r="M1783" t="s">
        <v>7250</v>
      </c>
      <c r="N1783">
        <v>2000</v>
      </c>
      <c r="R1783">
        <v>800</v>
      </c>
      <c r="S1783" t="s">
        <v>7251</v>
      </c>
      <c r="T1783">
        <v>8.27</v>
      </c>
      <c r="U1783">
        <v>3850.67</v>
      </c>
      <c r="V1783">
        <v>154</v>
      </c>
      <c r="W1783">
        <v>143.74</v>
      </c>
      <c r="X1783">
        <v>154</v>
      </c>
      <c r="AC1783" t="s">
        <v>10816</v>
      </c>
      <c r="AE1783" t="s">
        <v>14459</v>
      </c>
      <c r="AF1783" t="s">
        <v>18359</v>
      </c>
      <c r="AH1783" t="s">
        <v>18360</v>
      </c>
      <c r="AI1783" t="s">
        <v>10816</v>
      </c>
      <c r="AO1783" t="s">
        <v>18569</v>
      </c>
    </row>
    <row r="1784" spans="1:41" hidden="1" x14ac:dyDescent="0.35">
      <c r="A1784" t="s">
        <v>18570</v>
      </c>
      <c r="B1784" t="s">
        <v>7246</v>
      </c>
      <c r="C1784" t="s">
        <v>5295</v>
      </c>
      <c r="D1784" t="s">
        <v>5295</v>
      </c>
      <c r="E1784" t="s">
        <v>5295</v>
      </c>
      <c r="G1784" s="13" t="s">
        <v>11021</v>
      </c>
      <c r="H1784" t="s">
        <v>11022</v>
      </c>
      <c r="I1784" t="s">
        <v>7331</v>
      </c>
      <c r="K1784" t="s">
        <v>11024</v>
      </c>
      <c r="L1784" t="s">
        <v>11024</v>
      </c>
      <c r="M1784" t="s">
        <v>7250</v>
      </c>
      <c r="N1784">
        <v>2021</v>
      </c>
      <c r="T1784" t="s">
        <v>6546</v>
      </c>
      <c r="U1784" t="s">
        <v>6546</v>
      </c>
      <c r="V1784">
        <v>150</v>
      </c>
      <c r="W1784">
        <v>394.26</v>
      </c>
      <c r="X1784">
        <v>150</v>
      </c>
      <c r="AB1784" t="s">
        <v>2949</v>
      </c>
      <c r="AC1784" t="s">
        <v>10816</v>
      </c>
      <c r="AE1784" t="s">
        <v>2949</v>
      </c>
      <c r="AF1784" t="s">
        <v>11026</v>
      </c>
      <c r="AI1784" t="s">
        <v>10816</v>
      </c>
      <c r="AO1784" t="s">
        <v>11028</v>
      </c>
    </row>
    <row r="1785" spans="1:41" hidden="1" x14ac:dyDescent="0.35">
      <c r="A1785" t="s">
        <v>18571</v>
      </c>
      <c r="B1785" t="s">
        <v>7246</v>
      </c>
      <c r="C1785" t="s">
        <v>383</v>
      </c>
      <c r="D1785" t="s">
        <v>383</v>
      </c>
      <c r="E1785" t="s">
        <v>383</v>
      </c>
      <c r="G1785" s="13" t="s">
        <v>18572</v>
      </c>
      <c r="H1785" t="s">
        <v>18573</v>
      </c>
      <c r="K1785" t="s">
        <v>10620</v>
      </c>
      <c r="L1785" t="s">
        <v>10620</v>
      </c>
      <c r="M1785" t="s">
        <v>7292</v>
      </c>
      <c r="R1785">
        <v>15.48</v>
      </c>
      <c r="S1785" t="s">
        <v>8257</v>
      </c>
      <c r="T1785">
        <v>15.48</v>
      </c>
      <c r="U1785">
        <v>7204.14</v>
      </c>
      <c r="V1785">
        <v>725</v>
      </c>
      <c r="W1785">
        <v>464.16</v>
      </c>
      <c r="X1785">
        <v>725</v>
      </c>
      <c r="AB1785" t="s">
        <v>2700</v>
      </c>
      <c r="AC1785" t="s">
        <v>8859</v>
      </c>
      <c r="AE1785" t="s">
        <v>3539</v>
      </c>
      <c r="AF1785" t="s">
        <v>18574</v>
      </c>
      <c r="AH1785" t="s">
        <v>18575</v>
      </c>
      <c r="AI1785" t="s">
        <v>8859</v>
      </c>
      <c r="AO1785" t="s">
        <v>18576</v>
      </c>
    </row>
    <row r="1786" spans="1:41" hidden="1" x14ac:dyDescent="0.35">
      <c r="A1786" t="s">
        <v>18577</v>
      </c>
      <c r="B1786" t="s">
        <v>7246</v>
      </c>
      <c r="C1786" t="s">
        <v>383</v>
      </c>
      <c r="D1786" t="s">
        <v>383</v>
      </c>
      <c r="E1786" t="s">
        <v>383</v>
      </c>
      <c r="G1786" s="13" t="s">
        <v>18578</v>
      </c>
      <c r="H1786" t="s">
        <v>18579</v>
      </c>
      <c r="K1786" t="s">
        <v>10785</v>
      </c>
      <c r="L1786" t="s">
        <v>10785</v>
      </c>
      <c r="M1786" t="s">
        <v>7250</v>
      </c>
      <c r="N1786">
        <v>1985</v>
      </c>
      <c r="R1786">
        <v>8</v>
      </c>
      <c r="S1786" t="s">
        <v>8257</v>
      </c>
      <c r="T1786">
        <v>8</v>
      </c>
      <c r="U1786">
        <v>3723.07</v>
      </c>
      <c r="V1786">
        <v>231</v>
      </c>
      <c r="W1786">
        <v>202.33</v>
      </c>
      <c r="X1786">
        <v>231</v>
      </c>
      <c r="AA1786" t="s">
        <v>18580</v>
      </c>
      <c r="AC1786" t="s">
        <v>8859</v>
      </c>
      <c r="AF1786" t="s">
        <v>4914</v>
      </c>
      <c r="AH1786" t="s">
        <v>3089</v>
      </c>
      <c r="AI1786" t="s">
        <v>8859</v>
      </c>
      <c r="AO1786" t="s">
        <v>18581</v>
      </c>
    </row>
    <row r="1787" spans="1:41" hidden="1" x14ac:dyDescent="0.35">
      <c r="A1787" t="s">
        <v>18582</v>
      </c>
      <c r="B1787" t="s">
        <v>7246</v>
      </c>
      <c r="C1787" t="s">
        <v>383</v>
      </c>
      <c r="D1787" t="s">
        <v>383</v>
      </c>
      <c r="E1787" t="s">
        <v>383</v>
      </c>
      <c r="G1787" s="13" t="s">
        <v>18583</v>
      </c>
      <c r="H1787" t="s">
        <v>18584</v>
      </c>
      <c r="K1787" t="s">
        <v>10785</v>
      </c>
      <c r="L1787" t="s">
        <v>10785</v>
      </c>
      <c r="M1787" t="s">
        <v>7250</v>
      </c>
      <c r="N1787">
        <v>1996</v>
      </c>
      <c r="R1787">
        <v>13.5</v>
      </c>
      <c r="S1787" t="s">
        <v>8257</v>
      </c>
      <c r="T1787">
        <v>13.5</v>
      </c>
      <c r="U1787">
        <v>6282.68</v>
      </c>
      <c r="V1787">
        <v>244</v>
      </c>
      <c r="W1787">
        <v>202.33</v>
      </c>
      <c r="X1787">
        <v>244</v>
      </c>
      <c r="AA1787" t="s">
        <v>18580</v>
      </c>
      <c r="AC1787" t="s">
        <v>8859</v>
      </c>
      <c r="AF1787" t="s">
        <v>4914</v>
      </c>
      <c r="AH1787" t="s">
        <v>3089</v>
      </c>
      <c r="AI1787" t="s">
        <v>8859</v>
      </c>
      <c r="AO1787" t="s">
        <v>18581</v>
      </c>
    </row>
    <row r="1788" spans="1:41" hidden="1" x14ac:dyDescent="0.35">
      <c r="A1788" t="s">
        <v>18585</v>
      </c>
      <c r="B1788" t="s">
        <v>7246</v>
      </c>
      <c r="C1788" t="s">
        <v>5295</v>
      </c>
      <c r="D1788" t="s">
        <v>5295</v>
      </c>
      <c r="E1788" t="s">
        <v>5295</v>
      </c>
      <c r="G1788" s="13" t="s">
        <v>18586</v>
      </c>
      <c r="H1788" t="s">
        <v>18587</v>
      </c>
      <c r="K1788" t="s">
        <v>11024</v>
      </c>
      <c r="L1788" t="s">
        <v>11024</v>
      </c>
      <c r="M1788" t="s">
        <v>7250</v>
      </c>
      <c r="N1788">
        <v>1981</v>
      </c>
      <c r="R1788">
        <v>540</v>
      </c>
      <c r="S1788" t="s">
        <v>7251</v>
      </c>
      <c r="T1788">
        <v>5.59</v>
      </c>
      <c r="U1788">
        <v>2599.1999999999998</v>
      </c>
      <c r="V1788">
        <v>104</v>
      </c>
      <c r="W1788">
        <v>114.09</v>
      </c>
      <c r="X1788">
        <v>104</v>
      </c>
      <c r="AB1788" t="s">
        <v>2949</v>
      </c>
      <c r="AC1788" t="s">
        <v>10816</v>
      </c>
      <c r="AE1788" t="s">
        <v>2949</v>
      </c>
      <c r="AF1788" t="s">
        <v>18358</v>
      </c>
      <c r="AH1788" t="s">
        <v>11025</v>
      </c>
      <c r="AI1788" t="s">
        <v>10816</v>
      </c>
      <c r="AO1788" t="s">
        <v>18588</v>
      </c>
    </row>
    <row r="1789" spans="1:41" hidden="1" x14ac:dyDescent="0.35">
      <c r="A1789" t="s">
        <v>18589</v>
      </c>
      <c r="B1789" t="s">
        <v>7246</v>
      </c>
      <c r="C1789" t="s">
        <v>5295</v>
      </c>
      <c r="D1789" t="s">
        <v>5295</v>
      </c>
      <c r="E1789" t="s">
        <v>5295</v>
      </c>
      <c r="G1789" s="13" t="s">
        <v>18590</v>
      </c>
      <c r="H1789" t="s">
        <v>18591</v>
      </c>
      <c r="K1789" t="s">
        <v>11024</v>
      </c>
      <c r="L1789" t="s">
        <v>11024</v>
      </c>
      <c r="M1789" t="s">
        <v>7250</v>
      </c>
      <c r="N1789">
        <v>1996</v>
      </c>
      <c r="R1789">
        <v>660</v>
      </c>
      <c r="S1789" t="s">
        <v>7251</v>
      </c>
      <c r="T1789">
        <v>6.83</v>
      </c>
      <c r="U1789">
        <v>3176.8</v>
      </c>
      <c r="V1789">
        <v>105</v>
      </c>
      <c r="W1789">
        <v>114.09</v>
      </c>
      <c r="X1789">
        <v>105</v>
      </c>
      <c r="AB1789" t="s">
        <v>2949</v>
      </c>
      <c r="AC1789" t="s">
        <v>10816</v>
      </c>
      <c r="AE1789" t="s">
        <v>2949</v>
      </c>
      <c r="AF1789" t="s">
        <v>18358</v>
      </c>
      <c r="AH1789" t="s">
        <v>11025</v>
      </c>
      <c r="AI1789" t="s">
        <v>10816</v>
      </c>
      <c r="AO1789" t="s">
        <v>18588</v>
      </c>
    </row>
    <row r="1790" spans="1:41" hidden="1" x14ac:dyDescent="0.35">
      <c r="A1790" t="s">
        <v>18592</v>
      </c>
      <c r="B1790" t="s">
        <v>7246</v>
      </c>
      <c r="C1790" t="s">
        <v>5295</v>
      </c>
      <c r="D1790" t="s">
        <v>5295</v>
      </c>
      <c r="E1790" t="s">
        <v>5295</v>
      </c>
      <c r="G1790" s="13" t="s">
        <v>18593</v>
      </c>
      <c r="H1790" t="s">
        <v>18594</v>
      </c>
      <c r="K1790" t="s">
        <v>11024</v>
      </c>
      <c r="L1790" t="s">
        <v>11024</v>
      </c>
      <c r="M1790" t="s">
        <v>7250</v>
      </c>
      <c r="N1790">
        <v>2006</v>
      </c>
      <c r="R1790">
        <v>350</v>
      </c>
      <c r="S1790" t="s">
        <v>7251</v>
      </c>
      <c r="T1790">
        <v>3.62</v>
      </c>
      <c r="U1790">
        <v>1684.67</v>
      </c>
      <c r="V1790">
        <v>110</v>
      </c>
      <c r="W1790">
        <v>114.09</v>
      </c>
      <c r="X1790">
        <v>110</v>
      </c>
      <c r="AB1790" t="s">
        <v>2949</v>
      </c>
      <c r="AC1790" t="s">
        <v>10816</v>
      </c>
      <c r="AE1790" t="s">
        <v>2949</v>
      </c>
      <c r="AF1790" t="s">
        <v>18358</v>
      </c>
      <c r="AH1790" t="s">
        <v>11025</v>
      </c>
      <c r="AI1790" t="s">
        <v>10816</v>
      </c>
      <c r="AO1790" t="s">
        <v>18588</v>
      </c>
    </row>
    <row r="1791" spans="1:41" hidden="1" x14ac:dyDescent="0.35">
      <c r="A1791" t="s">
        <v>18595</v>
      </c>
      <c r="B1791" t="s">
        <v>7246</v>
      </c>
      <c r="C1791" t="s">
        <v>5295</v>
      </c>
      <c r="D1791" t="s">
        <v>5295</v>
      </c>
      <c r="E1791" t="s">
        <v>5295</v>
      </c>
      <c r="G1791" s="13" t="s">
        <v>18596</v>
      </c>
      <c r="H1791" t="s">
        <v>18597</v>
      </c>
      <c r="K1791" t="s">
        <v>11024</v>
      </c>
      <c r="L1791" t="s">
        <v>11024</v>
      </c>
      <c r="M1791" t="s">
        <v>7250</v>
      </c>
      <c r="N1791">
        <v>2006</v>
      </c>
      <c r="R1791">
        <v>470</v>
      </c>
      <c r="S1791" t="s">
        <v>7251</v>
      </c>
      <c r="T1791">
        <v>4.8600000000000003</v>
      </c>
      <c r="U1791">
        <v>2262.27</v>
      </c>
      <c r="V1791">
        <v>66.5</v>
      </c>
      <c r="W1791">
        <v>38.340000000000003</v>
      </c>
      <c r="X1791">
        <v>66.5</v>
      </c>
      <c r="AC1791" t="s">
        <v>10816</v>
      </c>
      <c r="AE1791" t="s">
        <v>11027</v>
      </c>
      <c r="AF1791" t="s">
        <v>18598</v>
      </c>
      <c r="AI1791" t="s">
        <v>10816</v>
      </c>
      <c r="AO1791" t="s">
        <v>18599</v>
      </c>
    </row>
    <row r="1792" spans="1:41" hidden="1" x14ac:dyDescent="0.35">
      <c r="A1792" t="s">
        <v>18600</v>
      </c>
      <c r="B1792" t="s">
        <v>7246</v>
      </c>
      <c r="C1792" t="s">
        <v>5295</v>
      </c>
      <c r="D1792" t="s">
        <v>5295</v>
      </c>
      <c r="E1792" t="s">
        <v>5295</v>
      </c>
      <c r="G1792" s="13" t="s">
        <v>18601</v>
      </c>
      <c r="H1792" t="s">
        <v>18602</v>
      </c>
      <c r="K1792" t="s">
        <v>11024</v>
      </c>
      <c r="L1792" t="s">
        <v>11024</v>
      </c>
      <c r="M1792" t="s">
        <v>7250</v>
      </c>
      <c r="N1792">
        <v>2006</v>
      </c>
      <c r="R1792">
        <v>160</v>
      </c>
      <c r="S1792" t="s">
        <v>7251</v>
      </c>
      <c r="T1792">
        <v>1.65</v>
      </c>
      <c r="U1792">
        <v>770.13</v>
      </c>
      <c r="V1792">
        <v>0.25</v>
      </c>
      <c r="W1792">
        <v>0.47</v>
      </c>
      <c r="X1792">
        <v>0.25</v>
      </c>
      <c r="AA1792" t="s">
        <v>18603</v>
      </c>
      <c r="AC1792" t="s">
        <v>10816</v>
      </c>
      <c r="AF1792" t="s">
        <v>14453</v>
      </c>
      <c r="AH1792" t="s">
        <v>14453</v>
      </c>
      <c r="AI1792" t="s">
        <v>10816</v>
      </c>
      <c r="AO1792" t="s">
        <v>18604</v>
      </c>
    </row>
    <row r="1793" spans="1:41" hidden="1" x14ac:dyDescent="0.35">
      <c r="A1793" t="s">
        <v>18605</v>
      </c>
      <c r="B1793" t="s">
        <v>7246</v>
      </c>
      <c r="C1793" t="s">
        <v>5295</v>
      </c>
      <c r="D1793" t="s">
        <v>5295</v>
      </c>
      <c r="E1793" t="s">
        <v>5295</v>
      </c>
      <c r="G1793" s="13" t="s">
        <v>18606</v>
      </c>
      <c r="H1793" t="s">
        <v>18607</v>
      </c>
      <c r="K1793" t="s">
        <v>11024</v>
      </c>
      <c r="L1793" t="s">
        <v>11024</v>
      </c>
      <c r="M1793" t="s">
        <v>7250</v>
      </c>
      <c r="N1793">
        <v>1997</v>
      </c>
      <c r="R1793">
        <v>300</v>
      </c>
      <c r="S1793" t="s">
        <v>7251</v>
      </c>
      <c r="T1793">
        <v>3.1</v>
      </c>
      <c r="U1793">
        <v>1444</v>
      </c>
      <c r="V1793">
        <v>54</v>
      </c>
      <c r="W1793">
        <v>73.91</v>
      </c>
      <c r="X1793">
        <v>54</v>
      </c>
      <c r="Y1793">
        <v>24</v>
      </c>
      <c r="Z1793" t="s">
        <v>7253</v>
      </c>
      <c r="AA1793" t="s">
        <v>18608</v>
      </c>
      <c r="AB1793" t="s">
        <v>18290</v>
      </c>
      <c r="AC1793" t="s">
        <v>10816</v>
      </c>
      <c r="AF1793" t="s">
        <v>18608</v>
      </c>
      <c r="AH1793" t="s">
        <v>18290</v>
      </c>
      <c r="AI1793" t="s">
        <v>10816</v>
      </c>
      <c r="AO1793" t="s">
        <v>18609</v>
      </c>
    </row>
    <row r="1794" spans="1:41" hidden="1" x14ac:dyDescent="0.35">
      <c r="A1794" t="s">
        <v>18610</v>
      </c>
      <c r="B1794" t="s">
        <v>7246</v>
      </c>
      <c r="C1794" t="s">
        <v>5295</v>
      </c>
      <c r="D1794" t="s">
        <v>5295</v>
      </c>
      <c r="E1794" t="s">
        <v>5295</v>
      </c>
      <c r="G1794" s="13" t="s">
        <v>18611</v>
      </c>
      <c r="H1794" t="s">
        <v>18612</v>
      </c>
      <c r="K1794" t="s">
        <v>11024</v>
      </c>
      <c r="L1794" t="s">
        <v>11024</v>
      </c>
      <c r="M1794" t="s">
        <v>7250</v>
      </c>
      <c r="N1794">
        <v>2007</v>
      </c>
      <c r="R1794">
        <v>290</v>
      </c>
      <c r="S1794" t="s">
        <v>7251</v>
      </c>
      <c r="T1794">
        <v>3</v>
      </c>
      <c r="U1794">
        <v>1395.87</v>
      </c>
      <c r="V1794">
        <v>7.6</v>
      </c>
      <c r="W1794">
        <v>27</v>
      </c>
      <c r="X1794">
        <v>7.6</v>
      </c>
      <c r="AB1794" t="s">
        <v>18613</v>
      </c>
      <c r="AC1794" t="s">
        <v>10816</v>
      </c>
      <c r="AE1794" t="s">
        <v>2952</v>
      </c>
      <c r="AF1794" t="s">
        <v>18614</v>
      </c>
      <c r="AH1794" t="s">
        <v>2952</v>
      </c>
      <c r="AI1794" t="s">
        <v>10816</v>
      </c>
      <c r="AO1794" t="s">
        <v>18615</v>
      </c>
    </row>
    <row r="1795" spans="1:41" hidden="1" x14ac:dyDescent="0.35">
      <c r="A1795" t="s">
        <v>18616</v>
      </c>
      <c r="B1795" t="s">
        <v>7246</v>
      </c>
      <c r="C1795" t="s">
        <v>383</v>
      </c>
      <c r="D1795" t="s">
        <v>383</v>
      </c>
      <c r="E1795" t="s">
        <v>383</v>
      </c>
      <c r="G1795" s="13" t="s">
        <v>18617</v>
      </c>
      <c r="H1795" t="s">
        <v>18618</v>
      </c>
      <c r="K1795" t="s">
        <v>10763</v>
      </c>
      <c r="L1795" t="s">
        <v>10763</v>
      </c>
      <c r="M1795" t="s">
        <v>7250</v>
      </c>
      <c r="N1795">
        <v>1990</v>
      </c>
      <c r="R1795">
        <v>3.16</v>
      </c>
      <c r="S1795" t="s">
        <v>8257</v>
      </c>
      <c r="T1795">
        <v>3.16</v>
      </c>
      <c r="U1795">
        <v>1470.61</v>
      </c>
      <c r="V1795">
        <v>242.55</v>
      </c>
      <c r="W1795">
        <v>304.22000000000003</v>
      </c>
      <c r="X1795">
        <v>242.55</v>
      </c>
      <c r="AA1795" t="s">
        <v>18619</v>
      </c>
      <c r="AB1795" t="s">
        <v>10358</v>
      </c>
      <c r="AC1795" t="s">
        <v>8859</v>
      </c>
      <c r="AE1795" t="s">
        <v>3112</v>
      </c>
      <c r="AF1795" t="s">
        <v>18620</v>
      </c>
      <c r="AH1795" t="s">
        <v>3112</v>
      </c>
      <c r="AI1795" t="s">
        <v>8859</v>
      </c>
      <c r="AO1795" t="s">
        <v>18621</v>
      </c>
    </row>
    <row r="1796" spans="1:41" hidden="1" x14ac:dyDescent="0.35">
      <c r="A1796" t="s">
        <v>18622</v>
      </c>
      <c r="B1796" t="s">
        <v>7246</v>
      </c>
      <c r="C1796" t="s">
        <v>383</v>
      </c>
      <c r="D1796" t="s">
        <v>383</v>
      </c>
      <c r="E1796" t="s">
        <v>383</v>
      </c>
      <c r="G1796" s="13" t="s">
        <v>18623</v>
      </c>
      <c r="H1796" t="s">
        <v>18624</v>
      </c>
      <c r="K1796" t="s">
        <v>10763</v>
      </c>
      <c r="L1796" t="s">
        <v>10763</v>
      </c>
      <c r="M1796" t="s">
        <v>7250</v>
      </c>
      <c r="N1796">
        <v>2010</v>
      </c>
      <c r="R1796">
        <v>12.8</v>
      </c>
      <c r="S1796" t="s">
        <v>8257</v>
      </c>
      <c r="T1796">
        <v>12.8</v>
      </c>
      <c r="U1796">
        <v>5956.91</v>
      </c>
      <c r="V1796">
        <v>455</v>
      </c>
      <c r="W1796">
        <v>185.36</v>
      </c>
      <c r="X1796">
        <v>455</v>
      </c>
      <c r="AB1796" t="s">
        <v>18625</v>
      </c>
      <c r="AC1796" t="s">
        <v>8859</v>
      </c>
      <c r="AE1796" t="s">
        <v>3096</v>
      </c>
      <c r="AF1796" t="s">
        <v>18626</v>
      </c>
      <c r="AH1796" t="s">
        <v>3096</v>
      </c>
      <c r="AI1796" t="s">
        <v>8859</v>
      </c>
      <c r="AO1796" t="s">
        <v>18627</v>
      </c>
    </row>
    <row r="1797" spans="1:41" hidden="1" x14ac:dyDescent="0.35">
      <c r="A1797" t="s">
        <v>18628</v>
      </c>
      <c r="B1797" t="s">
        <v>7246</v>
      </c>
      <c r="C1797" t="s">
        <v>383</v>
      </c>
      <c r="D1797" t="s">
        <v>383</v>
      </c>
      <c r="E1797" t="s">
        <v>383</v>
      </c>
      <c r="G1797" s="13" t="s">
        <v>18629</v>
      </c>
      <c r="H1797" t="s">
        <v>18630</v>
      </c>
      <c r="K1797" t="s">
        <v>6922</v>
      </c>
      <c r="L1797" t="s">
        <v>6922</v>
      </c>
      <c r="M1797" t="s">
        <v>7269</v>
      </c>
      <c r="N1797">
        <v>2019</v>
      </c>
      <c r="R1797">
        <v>5.26</v>
      </c>
      <c r="S1797" t="s">
        <v>8257</v>
      </c>
      <c r="T1797">
        <v>5.26</v>
      </c>
      <c r="U1797">
        <v>2447.92</v>
      </c>
      <c r="V1797">
        <v>705</v>
      </c>
      <c r="W1797">
        <v>654.80999999999995</v>
      </c>
      <c r="X1797">
        <v>705</v>
      </c>
      <c r="AB1797" t="s">
        <v>17932</v>
      </c>
      <c r="AC1797" t="s">
        <v>8859</v>
      </c>
      <c r="AE1797" t="s">
        <v>2787</v>
      </c>
      <c r="AF1797" t="s">
        <v>18631</v>
      </c>
      <c r="AH1797" t="s">
        <v>2787</v>
      </c>
      <c r="AI1797" t="s">
        <v>8859</v>
      </c>
      <c r="AO1797" t="s">
        <v>18632</v>
      </c>
    </row>
    <row r="1798" spans="1:41" hidden="1" x14ac:dyDescent="0.35">
      <c r="A1798" t="s">
        <v>18633</v>
      </c>
      <c r="B1798" t="s">
        <v>7246</v>
      </c>
      <c r="C1798" t="s">
        <v>5295</v>
      </c>
      <c r="D1798" t="s">
        <v>5295</v>
      </c>
      <c r="E1798" t="s">
        <v>5295</v>
      </c>
      <c r="G1798" s="13" t="s">
        <v>18634</v>
      </c>
      <c r="H1798" t="s">
        <v>18635</v>
      </c>
      <c r="K1798" t="s">
        <v>11024</v>
      </c>
      <c r="L1798" t="s">
        <v>11024</v>
      </c>
      <c r="M1798" t="s">
        <v>7250</v>
      </c>
      <c r="N1798">
        <v>2006</v>
      </c>
      <c r="R1798">
        <v>520</v>
      </c>
      <c r="S1798" t="s">
        <v>7251</v>
      </c>
      <c r="T1798">
        <v>5.38</v>
      </c>
      <c r="U1798">
        <v>2502.9299999999998</v>
      </c>
      <c r="V1798">
        <v>73</v>
      </c>
      <c r="W1798">
        <v>52.84</v>
      </c>
      <c r="X1798">
        <v>73</v>
      </c>
      <c r="AB1798" t="s">
        <v>18359</v>
      </c>
      <c r="AC1798" t="s">
        <v>10816</v>
      </c>
      <c r="AE1798" t="s">
        <v>18360</v>
      </c>
      <c r="AF1798" t="s">
        <v>18636</v>
      </c>
      <c r="AH1798" t="s">
        <v>18366</v>
      </c>
      <c r="AI1798" t="s">
        <v>10816</v>
      </c>
      <c r="AO1798" t="s">
        <v>18637</v>
      </c>
    </row>
    <row r="1799" spans="1:41" hidden="1" x14ac:dyDescent="0.35">
      <c r="A1799" t="s">
        <v>18638</v>
      </c>
      <c r="B1799" t="s">
        <v>7246</v>
      </c>
      <c r="C1799" t="s">
        <v>383</v>
      </c>
      <c r="D1799" t="s">
        <v>383</v>
      </c>
      <c r="E1799" t="s">
        <v>383</v>
      </c>
      <c r="G1799" s="13" t="s">
        <v>18639</v>
      </c>
      <c r="H1799" t="s">
        <v>18640</v>
      </c>
      <c r="K1799" t="s">
        <v>10763</v>
      </c>
      <c r="L1799" t="s">
        <v>10763</v>
      </c>
      <c r="M1799" t="s">
        <v>7250</v>
      </c>
      <c r="N1799">
        <v>2013</v>
      </c>
      <c r="R1799">
        <v>5.5</v>
      </c>
      <c r="S1799" t="s">
        <v>8257</v>
      </c>
      <c r="T1799">
        <v>5.5</v>
      </c>
      <c r="U1799">
        <v>2559.61</v>
      </c>
      <c r="V1799">
        <v>1386</v>
      </c>
      <c r="W1799">
        <v>896.09</v>
      </c>
      <c r="X1799">
        <v>1386</v>
      </c>
      <c r="AB1799" t="s">
        <v>13511</v>
      </c>
      <c r="AC1799" t="s">
        <v>8859</v>
      </c>
      <c r="AE1799" t="s">
        <v>3106</v>
      </c>
      <c r="AF1799" t="s">
        <v>18641</v>
      </c>
      <c r="AH1799" t="s">
        <v>3099</v>
      </c>
      <c r="AI1799" t="s">
        <v>8859</v>
      </c>
      <c r="AO1799" t="s">
        <v>12993</v>
      </c>
    </row>
    <row r="1800" spans="1:41" hidden="1" x14ac:dyDescent="0.35">
      <c r="A1800" t="s">
        <v>18642</v>
      </c>
      <c r="B1800" t="s">
        <v>7246</v>
      </c>
      <c r="C1800" t="s">
        <v>5643</v>
      </c>
      <c r="D1800" t="s">
        <v>5714</v>
      </c>
      <c r="E1800" t="s">
        <v>18643</v>
      </c>
      <c r="G1800" s="13" t="s">
        <v>18644</v>
      </c>
      <c r="H1800" t="s">
        <v>18645</v>
      </c>
      <c r="K1800" t="s">
        <v>18646</v>
      </c>
      <c r="L1800" t="s">
        <v>18647</v>
      </c>
      <c r="M1800" t="s">
        <v>7269</v>
      </c>
      <c r="R1800">
        <v>11.4</v>
      </c>
      <c r="S1800" t="s">
        <v>8257</v>
      </c>
      <c r="T1800">
        <v>11.4</v>
      </c>
      <c r="U1800">
        <v>5305.37</v>
      </c>
      <c r="V1800">
        <v>290</v>
      </c>
      <c r="W1800">
        <v>661.43</v>
      </c>
      <c r="X1800">
        <v>290</v>
      </c>
      <c r="AB1800" t="s">
        <v>18648</v>
      </c>
      <c r="AC1800" t="s">
        <v>8777</v>
      </c>
      <c r="AE1800" t="s">
        <v>9601</v>
      </c>
      <c r="AF1800" t="s">
        <v>18649</v>
      </c>
      <c r="AH1800" t="s">
        <v>18650</v>
      </c>
      <c r="AI1800" t="s">
        <v>8777</v>
      </c>
      <c r="AO1800" t="s">
        <v>18651</v>
      </c>
    </row>
    <row r="1801" spans="1:41" hidden="1" x14ac:dyDescent="0.35">
      <c r="A1801" t="s">
        <v>18652</v>
      </c>
      <c r="B1801" t="s">
        <v>7246</v>
      </c>
      <c r="C1801" t="s">
        <v>18653</v>
      </c>
      <c r="D1801" t="s">
        <v>5714</v>
      </c>
      <c r="E1801" t="s">
        <v>18654</v>
      </c>
      <c r="G1801" s="13" t="s">
        <v>18655</v>
      </c>
      <c r="H1801" t="s">
        <v>18656</v>
      </c>
      <c r="J1801" t="s">
        <v>18657</v>
      </c>
      <c r="K1801" t="s">
        <v>18658</v>
      </c>
      <c r="L1801" t="s">
        <v>18658</v>
      </c>
      <c r="M1801" t="s">
        <v>7292</v>
      </c>
      <c r="N1801">
        <v>2025</v>
      </c>
      <c r="R1801">
        <v>2.0299999999999998</v>
      </c>
      <c r="S1801" t="s">
        <v>8257</v>
      </c>
      <c r="T1801">
        <v>2.0299999999999998</v>
      </c>
      <c r="U1801">
        <v>944.73</v>
      </c>
      <c r="V1801">
        <v>159</v>
      </c>
      <c r="W1801">
        <v>154.41</v>
      </c>
      <c r="X1801">
        <v>159</v>
      </c>
      <c r="Y1801">
        <v>560</v>
      </c>
      <c r="Z1801" t="s">
        <v>8842</v>
      </c>
      <c r="AB1801" t="s">
        <v>18659</v>
      </c>
      <c r="AC1801" t="s">
        <v>8777</v>
      </c>
      <c r="AF1801" t="s">
        <v>1437</v>
      </c>
      <c r="AH1801" t="s">
        <v>18660</v>
      </c>
      <c r="AI1801" t="s">
        <v>8777</v>
      </c>
      <c r="AJ1801" t="s">
        <v>9032</v>
      </c>
      <c r="AO1801" t="s">
        <v>18661</v>
      </c>
    </row>
    <row r="1802" spans="1:41" hidden="1" x14ac:dyDescent="0.35">
      <c r="A1802" t="s">
        <v>18662</v>
      </c>
      <c r="B1802" t="s">
        <v>7246</v>
      </c>
      <c r="C1802" t="s">
        <v>5312</v>
      </c>
      <c r="D1802" t="s">
        <v>5312</v>
      </c>
      <c r="E1802" t="s">
        <v>5312</v>
      </c>
      <c r="G1802" s="13" t="s">
        <v>11188</v>
      </c>
      <c r="H1802" t="s">
        <v>11189</v>
      </c>
      <c r="I1802" t="s">
        <v>7331</v>
      </c>
      <c r="K1802" t="s">
        <v>18663</v>
      </c>
      <c r="L1802" t="s">
        <v>18663</v>
      </c>
      <c r="M1802" t="s">
        <v>7250</v>
      </c>
      <c r="N1802">
        <v>2015</v>
      </c>
      <c r="R1802">
        <v>18.399999999999999</v>
      </c>
      <c r="S1802" t="s">
        <v>8792</v>
      </c>
      <c r="T1802">
        <v>6.72</v>
      </c>
      <c r="U1802">
        <v>3127.66</v>
      </c>
      <c r="V1802" t="s">
        <v>6546</v>
      </c>
      <c r="W1802">
        <v>141.43</v>
      </c>
      <c r="X1802">
        <v>141.43</v>
      </c>
      <c r="AA1802" t="s">
        <v>18664</v>
      </c>
      <c r="AC1802" t="s">
        <v>10816</v>
      </c>
      <c r="AF1802" t="s">
        <v>18665</v>
      </c>
      <c r="AH1802" t="s">
        <v>5311</v>
      </c>
      <c r="AI1802" t="s">
        <v>10816</v>
      </c>
      <c r="AO1802" t="s">
        <v>18666</v>
      </c>
    </row>
    <row r="1803" spans="1:41" hidden="1" x14ac:dyDescent="0.35">
      <c r="A1803" t="s">
        <v>18667</v>
      </c>
      <c r="B1803" t="s">
        <v>7246</v>
      </c>
      <c r="C1803" t="s">
        <v>383</v>
      </c>
      <c r="D1803" t="s">
        <v>383</v>
      </c>
      <c r="E1803" t="s">
        <v>383</v>
      </c>
      <c r="G1803" s="13" t="s">
        <v>18668</v>
      </c>
      <c r="H1803" t="s">
        <v>18669</v>
      </c>
      <c r="K1803" t="s">
        <v>10763</v>
      </c>
      <c r="L1803" t="s">
        <v>10763</v>
      </c>
      <c r="M1803" t="s">
        <v>7250</v>
      </c>
      <c r="N1803">
        <v>2012</v>
      </c>
      <c r="R1803">
        <v>11.3</v>
      </c>
      <c r="S1803" t="s">
        <v>8257</v>
      </c>
      <c r="T1803">
        <v>11.3</v>
      </c>
      <c r="U1803">
        <v>5258.83</v>
      </c>
      <c r="V1803">
        <v>886</v>
      </c>
      <c r="W1803">
        <v>340.3</v>
      </c>
      <c r="X1803">
        <v>886</v>
      </c>
      <c r="AB1803" t="s">
        <v>17683</v>
      </c>
      <c r="AC1803" t="s">
        <v>8859</v>
      </c>
      <c r="AE1803" t="s">
        <v>3117</v>
      </c>
      <c r="AF1803" t="s">
        <v>2727</v>
      </c>
      <c r="AH1803" t="s">
        <v>3539</v>
      </c>
      <c r="AI1803" t="s">
        <v>8859</v>
      </c>
      <c r="AO1803" t="s">
        <v>18670</v>
      </c>
    </row>
    <row r="1804" spans="1:41" hidden="1" x14ac:dyDescent="0.35">
      <c r="A1804" t="s">
        <v>18671</v>
      </c>
      <c r="B1804" t="s">
        <v>7246</v>
      </c>
      <c r="C1804" t="s">
        <v>383</v>
      </c>
      <c r="D1804" t="s">
        <v>383</v>
      </c>
      <c r="E1804" t="s">
        <v>383</v>
      </c>
      <c r="G1804" s="13" t="s">
        <v>18672</v>
      </c>
      <c r="H1804" t="s">
        <v>18673</v>
      </c>
      <c r="K1804" t="s">
        <v>13496</v>
      </c>
      <c r="L1804" t="s">
        <v>13496</v>
      </c>
      <c r="M1804" t="s">
        <v>7250</v>
      </c>
      <c r="N1804">
        <v>2010</v>
      </c>
      <c r="R1804">
        <v>3.47</v>
      </c>
      <c r="S1804" t="s">
        <v>8257</v>
      </c>
      <c r="T1804">
        <v>3.47</v>
      </c>
      <c r="U1804">
        <v>1614.88</v>
      </c>
      <c r="V1804">
        <v>132</v>
      </c>
      <c r="W1804">
        <v>110.11</v>
      </c>
      <c r="X1804">
        <v>132</v>
      </c>
      <c r="AB1804" t="s">
        <v>17683</v>
      </c>
      <c r="AC1804" t="s">
        <v>8859</v>
      </c>
      <c r="AE1804" t="s">
        <v>3117</v>
      </c>
      <c r="AF1804" t="s">
        <v>2717</v>
      </c>
      <c r="AH1804" t="s">
        <v>3096</v>
      </c>
      <c r="AI1804" t="s">
        <v>8859</v>
      </c>
      <c r="AO1804" t="s">
        <v>18674</v>
      </c>
    </row>
    <row r="1805" spans="1:41" hidden="1" x14ac:dyDescent="0.35">
      <c r="A1805" t="s">
        <v>18675</v>
      </c>
      <c r="B1805" t="s">
        <v>7246</v>
      </c>
      <c r="C1805" t="s">
        <v>5312</v>
      </c>
      <c r="D1805" t="s">
        <v>5312</v>
      </c>
      <c r="E1805" t="s">
        <v>5312</v>
      </c>
      <c r="G1805" s="13" t="s">
        <v>18676</v>
      </c>
      <c r="H1805" t="s">
        <v>18677</v>
      </c>
      <c r="K1805" t="s">
        <v>18678</v>
      </c>
      <c r="L1805" t="s">
        <v>18678</v>
      </c>
      <c r="M1805" t="s">
        <v>7250</v>
      </c>
      <c r="N1805">
        <v>2003</v>
      </c>
      <c r="R1805">
        <v>7</v>
      </c>
      <c r="S1805" t="s">
        <v>8257</v>
      </c>
      <c r="T1805">
        <v>7</v>
      </c>
      <c r="U1805">
        <v>3257.68</v>
      </c>
      <c r="V1805">
        <v>371</v>
      </c>
      <c r="W1805">
        <v>374.89</v>
      </c>
      <c r="X1805">
        <v>371</v>
      </c>
      <c r="AA1805" t="s">
        <v>18679</v>
      </c>
      <c r="AC1805" t="s">
        <v>10816</v>
      </c>
      <c r="AH1805" t="s">
        <v>5311</v>
      </c>
      <c r="AI1805" t="s">
        <v>10816</v>
      </c>
      <c r="AO1805" t="s">
        <v>18680</v>
      </c>
    </row>
    <row r="1806" spans="1:41" x14ac:dyDescent="0.35">
      <c r="A1806" t="s">
        <v>18681</v>
      </c>
      <c r="B1806" t="s">
        <v>7246</v>
      </c>
      <c r="C1806" t="s">
        <v>24</v>
      </c>
      <c r="D1806" t="s">
        <v>24</v>
      </c>
      <c r="E1806" t="s">
        <v>24</v>
      </c>
      <c r="F1806" t="s">
        <v>354</v>
      </c>
      <c r="G1806" s="13" t="s">
        <v>18682</v>
      </c>
      <c r="H1806" t="s">
        <v>18683</v>
      </c>
      <c r="K1806" t="s">
        <v>9163</v>
      </c>
      <c r="L1806" t="s">
        <v>9163</v>
      </c>
      <c r="M1806" t="s">
        <v>7250</v>
      </c>
      <c r="N1806">
        <v>1986</v>
      </c>
      <c r="R1806">
        <v>113.74</v>
      </c>
      <c r="S1806" t="s">
        <v>7251</v>
      </c>
      <c r="T1806">
        <v>1.18</v>
      </c>
      <c r="U1806">
        <v>547.47</v>
      </c>
      <c r="V1806">
        <v>1658</v>
      </c>
      <c r="W1806">
        <v>1580.75</v>
      </c>
      <c r="X1806">
        <v>1658</v>
      </c>
      <c r="AA1806" t="s">
        <v>11242</v>
      </c>
      <c r="AC1806" t="s">
        <v>9165</v>
      </c>
      <c r="AE1806" t="s">
        <v>10751</v>
      </c>
      <c r="AF1806" t="s">
        <v>18684</v>
      </c>
      <c r="AH1806" t="s">
        <v>10751</v>
      </c>
      <c r="AI1806" t="s">
        <v>9165</v>
      </c>
      <c r="AO1806" t="s">
        <v>18685</v>
      </c>
    </row>
    <row r="1807" spans="1:41" x14ac:dyDescent="0.35">
      <c r="A1807" t="s">
        <v>18686</v>
      </c>
      <c r="B1807" t="s">
        <v>7246</v>
      </c>
      <c r="C1807" t="s">
        <v>24</v>
      </c>
      <c r="D1807" t="s">
        <v>24</v>
      </c>
      <c r="E1807" t="s">
        <v>24</v>
      </c>
      <c r="F1807" t="s">
        <v>354</v>
      </c>
      <c r="G1807" s="13" t="s">
        <v>18687</v>
      </c>
      <c r="H1807" t="s">
        <v>18688</v>
      </c>
      <c r="J1807" t="s">
        <v>18689</v>
      </c>
      <c r="K1807" t="s">
        <v>18690</v>
      </c>
      <c r="L1807" t="s">
        <v>18690</v>
      </c>
      <c r="M1807" t="s">
        <v>7250</v>
      </c>
      <c r="N1807">
        <v>1996</v>
      </c>
      <c r="R1807">
        <v>47.39</v>
      </c>
      <c r="S1807" t="s">
        <v>7251</v>
      </c>
      <c r="T1807">
        <v>0.49</v>
      </c>
      <c r="U1807">
        <v>228.1</v>
      </c>
      <c r="V1807">
        <v>23</v>
      </c>
      <c r="W1807">
        <v>10.16</v>
      </c>
      <c r="X1807">
        <v>23</v>
      </c>
      <c r="AA1807" t="s">
        <v>18691</v>
      </c>
      <c r="AB1807" t="s">
        <v>18692</v>
      </c>
      <c r="AC1807" t="s">
        <v>9165</v>
      </c>
      <c r="AE1807" t="s">
        <v>2973</v>
      </c>
      <c r="AF1807" t="s">
        <v>18693</v>
      </c>
      <c r="AH1807" t="s">
        <v>2973</v>
      </c>
      <c r="AI1807" t="s">
        <v>9165</v>
      </c>
      <c r="AO1807" t="s">
        <v>18694</v>
      </c>
    </row>
    <row r="1808" spans="1:41" x14ac:dyDescent="0.35">
      <c r="A1808" t="s">
        <v>18695</v>
      </c>
      <c r="B1808" t="s">
        <v>7246</v>
      </c>
      <c r="C1808" t="s">
        <v>24</v>
      </c>
      <c r="D1808" t="s">
        <v>24</v>
      </c>
      <c r="E1808" t="s">
        <v>24</v>
      </c>
      <c r="F1808" t="s">
        <v>354</v>
      </c>
      <c r="G1808" s="13" t="s">
        <v>18696</v>
      </c>
      <c r="H1808" t="s">
        <v>18697</v>
      </c>
      <c r="K1808" t="s">
        <v>18698</v>
      </c>
      <c r="L1808" t="s">
        <v>18698</v>
      </c>
      <c r="M1808" t="s">
        <v>7250</v>
      </c>
      <c r="N1808">
        <v>2015</v>
      </c>
      <c r="R1808">
        <v>1478.59</v>
      </c>
      <c r="S1808" t="s">
        <v>7251</v>
      </c>
      <c r="T1808">
        <v>15.29</v>
      </c>
      <c r="U1808">
        <v>7116.95</v>
      </c>
      <c r="V1808">
        <v>530</v>
      </c>
      <c r="W1808">
        <v>517.45000000000005</v>
      </c>
      <c r="X1808">
        <v>530</v>
      </c>
      <c r="AA1808" t="s">
        <v>17646</v>
      </c>
      <c r="AC1808" t="s">
        <v>9165</v>
      </c>
      <c r="AE1808" t="s">
        <v>2973</v>
      </c>
      <c r="AF1808" t="s">
        <v>6423</v>
      </c>
      <c r="AH1808" t="s">
        <v>2973</v>
      </c>
      <c r="AI1808" t="s">
        <v>9165</v>
      </c>
      <c r="AO1808" t="s">
        <v>18699</v>
      </c>
    </row>
    <row r="1809" spans="1:41" x14ac:dyDescent="0.35">
      <c r="A1809" t="s">
        <v>18700</v>
      </c>
      <c r="B1809" t="s">
        <v>7246</v>
      </c>
      <c r="C1809" t="s">
        <v>24</v>
      </c>
      <c r="D1809" t="s">
        <v>24</v>
      </c>
      <c r="E1809" t="s">
        <v>24</v>
      </c>
      <c r="F1809" t="s">
        <v>354</v>
      </c>
      <c r="G1809" s="13" t="s">
        <v>18701</v>
      </c>
      <c r="H1809" t="s">
        <v>18702</v>
      </c>
      <c r="J1809" t="s">
        <v>18703</v>
      </c>
      <c r="K1809" t="s">
        <v>18704</v>
      </c>
      <c r="L1809" t="s">
        <v>18704</v>
      </c>
      <c r="M1809" t="s">
        <v>7292</v>
      </c>
      <c r="N1809">
        <v>2028</v>
      </c>
      <c r="R1809">
        <v>210</v>
      </c>
      <c r="S1809" t="s">
        <v>9164</v>
      </c>
      <c r="T1809">
        <v>2.15</v>
      </c>
      <c r="U1809">
        <v>999.49</v>
      </c>
      <c r="V1809">
        <v>475</v>
      </c>
      <c r="W1809">
        <v>396.95</v>
      </c>
      <c r="X1809">
        <v>475</v>
      </c>
      <c r="AA1809" t="s">
        <v>10741</v>
      </c>
      <c r="AB1809" t="s">
        <v>10591</v>
      </c>
      <c r="AC1809" t="s">
        <v>9165</v>
      </c>
      <c r="AE1809" t="s">
        <v>2973</v>
      </c>
      <c r="AF1809" t="s">
        <v>6432</v>
      </c>
      <c r="AH1809" t="s">
        <v>2973</v>
      </c>
      <c r="AI1809" t="s">
        <v>9165</v>
      </c>
      <c r="AO1809" t="s">
        <v>18705</v>
      </c>
    </row>
    <row r="1810" spans="1:41" x14ac:dyDescent="0.35">
      <c r="A1810" t="s">
        <v>18706</v>
      </c>
      <c r="B1810" t="s">
        <v>7246</v>
      </c>
      <c r="C1810" t="s">
        <v>24</v>
      </c>
      <c r="D1810" t="s">
        <v>24</v>
      </c>
      <c r="E1810" t="s">
        <v>24</v>
      </c>
      <c r="F1810" t="s">
        <v>354</v>
      </c>
      <c r="G1810" s="13" t="s">
        <v>18707</v>
      </c>
      <c r="H1810" t="s">
        <v>18708</v>
      </c>
      <c r="J1810" t="s">
        <v>18709</v>
      </c>
      <c r="K1810" t="s">
        <v>9163</v>
      </c>
      <c r="L1810" t="s">
        <v>9163</v>
      </c>
      <c r="M1810" t="s">
        <v>7250</v>
      </c>
      <c r="N1810">
        <v>2009</v>
      </c>
      <c r="R1810">
        <v>417.04</v>
      </c>
      <c r="S1810" t="s">
        <v>7251</v>
      </c>
      <c r="T1810">
        <v>4.3099999999999996</v>
      </c>
      <c r="U1810">
        <v>2007.35</v>
      </c>
      <c r="V1810">
        <v>112</v>
      </c>
      <c r="W1810">
        <v>111.6</v>
      </c>
      <c r="X1810">
        <v>112</v>
      </c>
      <c r="AA1810" t="s">
        <v>18710</v>
      </c>
      <c r="AC1810" t="s">
        <v>9165</v>
      </c>
      <c r="AE1810" t="s">
        <v>2973</v>
      </c>
      <c r="AF1810" t="s">
        <v>13108</v>
      </c>
      <c r="AH1810" t="s">
        <v>2973</v>
      </c>
      <c r="AI1810" t="s">
        <v>9165</v>
      </c>
      <c r="AO1810" t="s">
        <v>18711</v>
      </c>
    </row>
    <row r="1811" spans="1:41" x14ac:dyDescent="0.35">
      <c r="A1811" t="s">
        <v>18712</v>
      </c>
      <c r="B1811" t="s">
        <v>7246</v>
      </c>
      <c r="C1811" t="s">
        <v>24</v>
      </c>
      <c r="D1811" t="s">
        <v>24</v>
      </c>
      <c r="E1811" t="s">
        <v>24</v>
      </c>
      <c r="F1811" t="s">
        <v>354</v>
      </c>
      <c r="G1811" s="13" t="s">
        <v>18713</v>
      </c>
      <c r="H1811" t="s">
        <v>18714</v>
      </c>
      <c r="K1811" t="s">
        <v>18715</v>
      </c>
      <c r="L1811" t="s">
        <v>18715</v>
      </c>
      <c r="M1811" t="s">
        <v>7250</v>
      </c>
      <c r="N1811">
        <v>2008</v>
      </c>
      <c r="R1811">
        <v>75.819999999999993</v>
      </c>
      <c r="S1811" t="s">
        <v>7251</v>
      </c>
      <c r="T1811">
        <v>0.78</v>
      </c>
      <c r="U1811">
        <v>364.95</v>
      </c>
      <c r="V1811">
        <v>287</v>
      </c>
      <c r="W1811">
        <v>285.91000000000003</v>
      </c>
      <c r="X1811">
        <v>287</v>
      </c>
      <c r="AB1811" t="s">
        <v>17265</v>
      </c>
      <c r="AC1811" t="s">
        <v>9165</v>
      </c>
      <c r="AE1811" t="s">
        <v>10751</v>
      </c>
      <c r="AF1811" t="s">
        <v>18716</v>
      </c>
      <c r="AH1811" t="s">
        <v>10751</v>
      </c>
      <c r="AI1811" t="s">
        <v>9165</v>
      </c>
      <c r="AO1811" t="s">
        <v>18717</v>
      </c>
    </row>
    <row r="1812" spans="1:41" x14ac:dyDescent="0.35">
      <c r="A1812" t="s">
        <v>18718</v>
      </c>
      <c r="B1812" t="s">
        <v>7246</v>
      </c>
      <c r="C1812" t="s">
        <v>24</v>
      </c>
      <c r="D1812" t="s">
        <v>24</v>
      </c>
      <c r="E1812" t="s">
        <v>24</v>
      </c>
      <c r="F1812" t="s">
        <v>354</v>
      </c>
      <c r="G1812" s="13" t="s">
        <v>18719</v>
      </c>
      <c r="H1812" t="s">
        <v>18720</v>
      </c>
      <c r="K1812" t="s">
        <v>17310</v>
      </c>
      <c r="L1812" t="s">
        <v>17310</v>
      </c>
      <c r="M1812" t="s">
        <v>7250</v>
      </c>
      <c r="N1812">
        <v>1995</v>
      </c>
      <c r="R1812">
        <v>5.6</v>
      </c>
      <c r="S1812" t="s">
        <v>9164</v>
      </c>
      <c r="T1812">
        <v>0.06</v>
      </c>
      <c r="U1812">
        <v>26.65</v>
      </c>
      <c r="V1812">
        <v>237</v>
      </c>
      <c r="W1812">
        <v>222.25</v>
      </c>
      <c r="X1812">
        <v>237</v>
      </c>
      <c r="AC1812" t="s">
        <v>9165</v>
      </c>
      <c r="AE1812" t="s">
        <v>4129</v>
      </c>
      <c r="AH1812" t="s">
        <v>4129</v>
      </c>
      <c r="AI1812" t="s">
        <v>9165</v>
      </c>
      <c r="AO1812" t="s">
        <v>18721</v>
      </c>
    </row>
    <row r="1813" spans="1:41" x14ac:dyDescent="0.35">
      <c r="A1813" t="s">
        <v>18722</v>
      </c>
      <c r="B1813" t="s">
        <v>7246</v>
      </c>
      <c r="C1813" t="s">
        <v>24</v>
      </c>
      <c r="D1813" t="s">
        <v>24</v>
      </c>
      <c r="E1813" t="s">
        <v>24</v>
      </c>
      <c r="F1813" t="s">
        <v>354</v>
      </c>
      <c r="G1813" s="13" t="s">
        <v>18723</v>
      </c>
      <c r="H1813" t="s">
        <v>18724</v>
      </c>
      <c r="J1813" t="s">
        <v>18725</v>
      </c>
      <c r="K1813" t="s">
        <v>18726</v>
      </c>
      <c r="L1813" t="s">
        <v>18726</v>
      </c>
      <c r="M1813" t="s">
        <v>7250</v>
      </c>
      <c r="N1813">
        <v>1998</v>
      </c>
      <c r="R1813">
        <v>9.7100000000000009</v>
      </c>
      <c r="S1813" t="s">
        <v>7251</v>
      </c>
      <c r="T1813">
        <v>0.1</v>
      </c>
      <c r="U1813">
        <v>46.74</v>
      </c>
      <c r="V1813">
        <v>183</v>
      </c>
      <c r="W1813">
        <v>178.54</v>
      </c>
      <c r="X1813">
        <v>183</v>
      </c>
      <c r="AB1813" t="s">
        <v>18727</v>
      </c>
      <c r="AC1813" t="s">
        <v>9165</v>
      </c>
      <c r="AE1813" t="s">
        <v>2969</v>
      </c>
      <c r="AF1813" t="s">
        <v>18728</v>
      </c>
      <c r="AH1813" t="s">
        <v>2969</v>
      </c>
      <c r="AI1813" t="s">
        <v>9165</v>
      </c>
      <c r="AO1813" t="s">
        <v>18729</v>
      </c>
    </row>
    <row r="1814" spans="1:41" x14ac:dyDescent="0.35">
      <c r="A1814" t="s">
        <v>18730</v>
      </c>
      <c r="B1814" t="s">
        <v>7246</v>
      </c>
      <c r="C1814" t="s">
        <v>24</v>
      </c>
      <c r="D1814" t="s">
        <v>24</v>
      </c>
      <c r="E1814" t="s">
        <v>24</v>
      </c>
      <c r="F1814" t="s">
        <v>354</v>
      </c>
      <c r="G1814" s="13" t="s">
        <v>18731</v>
      </c>
      <c r="H1814" t="s">
        <v>18732</v>
      </c>
      <c r="I1814" t="s">
        <v>8319</v>
      </c>
      <c r="J1814" t="s">
        <v>18733</v>
      </c>
      <c r="K1814" t="s">
        <v>9163</v>
      </c>
      <c r="L1814" t="s">
        <v>9163</v>
      </c>
      <c r="M1814" t="s">
        <v>7250</v>
      </c>
      <c r="N1814">
        <v>1998</v>
      </c>
      <c r="R1814">
        <v>112.79</v>
      </c>
      <c r="S1814" t="s">
        <v>7251</v>
      </c>
      <c r="T1814">
        <v>1.17</v>
      </c>
      <c r="U1814">
        <v>542.9</v>
      </c>
      <c r="V1814">
        <v>840</v>
      </c>
      <c r="W1814">
        <v>840.51</v>
      </c>
      <c r="X1814">
        <v>840</v>
      </c>
      <c r="AA1814" t="s">
        <v>18734</v>
      </c>
      <c r="AC1814" t="s">
        <v>9165</v>
      </c>
      <c r="AE1814" t="s">
        <v>2973</v>
      </c>
      <c r="AF1814" t="s">
        <v>18735</v>
      </c>
      <c r="AH1814" t="s">
        <v>2973</v>
      </c>
      <c r="AI1814" t="s">
        <v>9165</v>
      </c>
      <c r="AO1814" t="s">
        <v>18736</v>
      </c>
    </row>
    <row r="1815" spans="1:41" x14ac:dyDescent="0.35">
      <c r="A1815" t="s">
        <v>18737</v>
      </c>
      <c r="B1815" t="s">
        <v>7246</v>
      </c>
      <c r="C1815" t="s">
        <v>24</v>
      </c>
      <c r="D1815" t="s">
        <v>24</v>
      </c>
      <c r="E1815" t="s">
        <v>24</v>
      </c>
      <c r="F1815" t="s">
        <v>354</v>
      </c>
      <c r="G1815" s="13" t="s">
        <v>18738</v>
      </c>
      <c r="H1815" t="s">
        <v>18739</v>
      </c>
      <c r="J1815" t="s">
        <v>18740</v>
      </c>
      <c r="K1815" t="s">
        <v>6543</v>
      </c>
      <c r="L1815" t="s">
        <v>6543</v>
      </c>
      <c r="M1815" t="s">
        <v>7250</v>
      </c>
      <c r="N1815">
        <v>1995</v>
      </c>
      <c r="R1815">
        <v>11</v>
      </c>
      <c r="S1815" t="s">
        <v>7251</v>
      </c>
      <c r="T1815">
        <v>0.11</v>
      </c>
      <c r="U1815">
        <v>52.95</v>
      </c>
      <c r="V1815">
        <v>420</v>
      </c>
      <c r="W1815">
        <v>402.29</v>
      </c>
      <c r="X1815">
        <v>420</v>
      </c>
      <c r="AB1815" t="s">
        <v>18741</v>
      </c>
      <c r="AC1815" t="s">
        <v>9165</v>
      </c>
      <c r="AE1815" t="s">
        <v>2973</v>
      </c>
      <c r="AF1815" t="s">
        <v>18742</v>
      </c>
      <c r="AH1815" t="s">
        <v>2973</v>
      </c>
      <c r="AI1815" t="s">
        <v>9165</v>
      </c>
      <c r="AO1815" t="s">
        <v>18743</v>
      </c>
    </row>
    <row r="1816" spans="1:41" x14ac:dyDescent="0.35">
      <c r="A1816" t="s">
        <v>18744</v>
      </c>
      <c r="B1816" t="s">
        <v>7246</v>
      </c>
      <c r="C1816" t="s">
        <v>24</v>
      </c>
      <c r="D1816" t="s">
        <v>24</v>
      </c>
      <c r="E1816" t="s">
        <v>24</v>
      </c>
      <c r="F1816" t="s">
        <v>354</v>
      </c>
      <c r="G1816" s="13" t="s">
        <v>18745</v>
      </c>
      <c r="H1816" t="s">
        <v>18746</v>
      </c>
      <c r="K1816" t="s">
        <v>10748</v>
      </c>
      <c r="L1816" t="s">
        <v>10749</v>
      </c>
      <c r="M1816" t="s">
        <v>7250</v>
      </c>
      <c r="N1816">
        <v>2009</v>
      </c>
      <c r="R1816">
        <v>38.86</v>
      </c>
      <c r="S1816" t="s">
        <v>7251</v>
      </c>
      <c r="T1816">
        <v>0.4</v>
      </c>
      <c r="U1816">
        <v>187.05</v>
      </c>
      <c r="V1816">
        <v>9</v>
      </c>
      <c r="W1816">
        <v>6.32</v>
      </c>
      <c r="X1816">
        <v>9</v>
      </c>
      <c r="AA1816" t="s">
        <v>18747</v>
      </c>
      <c r="AB1816" t="s">
        <v>18748</v>
      </c>
      <c r="AC1816" t="s">
        <v>9165</v>
      </c>
      <c r="AE1816" t="s">
        <v>4124</v>
      </c>
      <c r="AF1816" t="s">
        <v>18749</v>
      </c>
      <c r="AH1816" t="s">
        <v>4124</v>
      </c>
      <c r="AI1816" t="s">
        <v>9165</v>
      </c>
      <c r="AO1816" t="s">
        <v>18750</v>
      </c>
    </row>
    <row r="1817" spans="1:41" x14ac:dyDescent="0.35">
      <c r="A1817" t="s">
        <v>18751</v>
      </c>
      <c r="B1817" t="s">
        <v>7246</v>
      </c>
      <c r="C1817" t="s">
        <v>24</v>
      </c>
      <c r="D1817" t="s">
        <v>24</v>
      </c>
      <c r="E1817" t="s">
        <v>24</v>
      </c>
      <c r="F1817" t="s">
        <v>354</v>
      </c>
      <c r="G1817" s="13" t="s">
        <v>18752</v>
      </c>
      <c r="H1817" t="s">
        <v>18753</v>
      </c>
      <c r="J1817" t="s">
        <v>18754</v>
      </c>
      <c r="K1817" t="s">
        <v>18755</v>
      </c>
      <c r="L1817" t="s">
        <v>18755</v>
      </c>
      <c r="M1817" t="s">
        <v>7250</v>
      </c>
      <c r="N1817">
        <v>2007</v>
      </c>
      <c r="R1817">
        <v>1066.29</v>
      </c>
      <c r="S1817" t="s">
        <v>7251</v>
      </c>
      <c r="T1817">
        <v>11.03</v>
      </c>
      <c r="U1817">
        <v>5132.41</v>
      </c>
      <c r="V1817">
        <v>127</v>
      </c>
      <c r="W1817">
        <v>126.99</v>
      </c>
      <c r="X1817">
        <v>127</v>
      </c>
      <c r="AA1817" t="s">
        <v>18710</v>
      </c>
      <c r="AC1817" t="s">
        <v>9165</v>
      </c>
      <c r="AE1817" t="s">
        <v>2973</v>
      </c>
      <c r="AF1817" t="s">
        <v>13108</v>
      </c>
      <c r="AH1817" t="s">
        <v>2973</v>
      </c>
      <c r="AI1817" t="s">
        <v>9165</v>
      </c>
      <c r="AO1817" t="s">
        <v>18756</v>
      </c>
    </row>
    <row r="1818" spans="1:41" x14ac:dyDescent="0.35">
      <c r="A1818" t="s">
        <v>18757</v>
      </c>
      <c r="B1818" t="s">
        <v>7246</v>
      </c>
      <c r="C1818" t="s">
        <v>24</v>
      </c>
      <c r="D1818" t="s">
        <v>24</v>
      </c>
      <c r="E1818" t="s">
        <v>24</v>
      </c>
      <c r="F1818" t="s">
        <v>354</v>
      </c>
      <c r="G1818" s="13" t="s">
        <v>18758</v>
      </c>
      <c r="H1818" t="s">
        <v>18759</v>
      </c>
      <c r="J1818" t="s">
        <v>18760</v>
      </c>
      <c r="K1818" t="s">
        <v>18761</v>
      </c>
      <c r="L1818" t="s">
        <v>18761</v>
      </c>
      <c r="M1818" t="s">
        <v>7250</v>
      </c>
      <c r="N1818">
        <v>2005</v>
      </c>
      <c r="S1818" t="s">
        <v>7251</v>
      </c>
      <c r="T1818">
        <v>0</v>
      </c>
      <c r="U1818">
        <v>0</v>
      </c>
      <c r="V1818">
        <v>150</v>
      </c>
      <c r="W1818">
        <v>85.78</v>
      </c>
      <c r="X1818">
        <v>150</v>
      </c>
      <c r="AB1818" t="s">
        <v>18762</v>
      </c>
      <c r="AC1818" t="s">
        <v>9165</v>
      </c>
      <c r="AE1818" t="s">
        <v>2973</v>
      </c>
      <c r="AF1818" t="s">
        <v>18763</v>
      </c>
      <c r="AH1818" t="s">
        <v>2973</v>
      </c>
      <c r="AI1818" t="s">
        <v>9165</v>
      </c>
      <c r="AO1818" t="s">
        <v>18764</v>
      </c>
    </row>
    <row r="1819" spans="1:41" x14ac:dyDescent="0.35">
      <c r="A1819" t="s">
        <v>18765</v>
      </c>
      <c r="B1819" t="s">
        <v>7246</v>
      </c>
      <c r="C1819" t="s">
        <v>24</v>
      </c>
      <c r="D1819" t="s">
        <v>24</v>
      </c>
      <c r="E1819" t="s">
        <v>24</v>
      </c>
      <c r="F1819" t="s">
        <v>354</v>
      </c>
      <c r="G1819" s="13" t="s">
        <v>18766</v>
      </c>
      <c r="H1819" t="s">
        <v>18767</v>
      </c>
      <c r="K1819" t="s">
        <v>11277</v>
      </c>
      <c r="L1819" t="s">
        <v>11277</v>
      </c>
      <c r="M1819" t="s">
        <v>7269</v>
      </c>
      <c r="T1819" t="s">
        <v>6546</v>
      </c>
      <c r="U1819" t="s">
        <v>6546</v>
      </c>
      <c r="V1819">
        <v>280</v>
      </c>
      <c r="W1819">
        <v>215.17</v>
      </c>
      <c r="X1819">
        <v>280</v>
      </c>
      <c r="AB1819" t="s">
        <v>18768</v>
      </c>
      <c r="AC1819" t="s">
        <v>9165</v>
      </c>
      <c r="AE1819" t="s">
        <v>4124</v>
      </c>
      <c r="AF1819" t="s">
        <v>4099</v>
      </c>
      <c r="AH1819" t="s">
        <v>4124</v>
      </c>
      <c r="AI1819" t="s">
        <v>9165</v>
      </c>
      <c r="AO1819" t="s">
        <v>18769</v>
      </c>
    </row>
    <row r="1820" spans="1:41" x14ac:dyDescent="0.35">
      <c r="A1820" t="s">
        <v>18770</v>
      </c>
      <c r="B1820" t="s">
        <v>7246</v>
      </c>
      <c r="C1820" t="s">
        <v>24</v>
      </c>
      <c r="D1820" t="s">
        <v>24</v>
      </c>
      <c r="E1820" t="s">
        <v>24</v>
      </c>
      <c r="F1820" t="s">
        <v>354</v>
      </c>
      <c r="G1820" s="13" t="s">
        <v>18771</v>
      </c>
      <c r="H1820" t="s">
        <v>18772</v>
      </c>
      <c r="K1820" t="s">
        <v>18773</v>
      </c>
      <c r="L1820" t="s">
        <v>18773</v>
      </c>
      <c r="M1820" t="s">
        <v>7250</v>
      </c>
      <c r="N1820">
        <v>1995</v>
      </c>
      <c r="R1820">
        <v>16</v>
      </c>
      <c r="S1820" t="s">
        <v>9164</v>
      </c>
      <c r="T1820">
        <v>0.16</v>
      </c>
      <c r="U1820">
        <v>76.150000000000006</v>
      </c>
      <c r="V1820">
        <v>332</v>
      </c>
      <c r="W1820">
        <v>331.99</v>
      </c>
      <c r="X1820">
        <v>332</v>
      </c>
      <c r="AC1820" t="s">
        <v>9165</v>
      </c>
      <c r="AI1820" t="s">
        <v>9165</v>
      </c>
      <c r="AO1820" t="s">
        <v>18774</v>
      </c>
    </row>
    <row r="1821" spans="1:41" x14ac:dyDescent="0.35">
      <c r="A1821" t="s">
        <v>18775</v>
      </c>
      <c r="B1821" t="s">
        <v>7246</v>
      </c>
      <c r="C1821" t="s">
        <v>24</v>
      </c>
      <c r="D1821" t="s">
        <v>24</v>
      </c>
      <c r="E1821" t="s">
        <v>24</v>
      </c>
      <c r="F1821" t="s">
        <v>354</v>
      </c>
      <c r="G1821" s="13" t="s">
        <v>18776</v>
      </c>
      <c r="H1821" t="s">
        <v>18777</v>
      </c>
      <c r="K1821" t="s">
        <v>18778</v>
      </c>
      <c r="L1821" t="s">
        <v>18778</v>
      </c>
      <c r="M1821" t="s">
        <v>7250</v>
      </c>
      <c r="N1821">
        <v>1984</v>
      </c>
      <c r="R1821">
        <v>848.3</v>
      </c>
      <c r="S1821" t="s">
        <v>7251</v>
      </c>
      <c r="T1821">
        <v>8.77</v>
      </c>
      <c r="U1821">
        <v>4083.15</v>
      </c>
      <c r="V1821">
        <v>1597</v>
      </c>
      <c r="W1821">
        <v>1725.18</v>
      </c>
      <c r="X1821">
        <v>1597</v>
      </c>
      <c r="AA1821" t="s">
        <v>18779</v>
      </c>
      <c r="AB1821" t="s">
        <v>18780</v>
      </c>
      <c r="AC1821" t="s">
        <v>9165</v>
      </c>
      <c r="AE1821" t="s">
        <v>6388</v>
      </c>
      <c r="AF1821" t="s">
        <v>18781</v>
      </c>
      <c r="AH1821" t="s">
        <v>6388</v>
      </c>
      <c r="AI1821" t="s">
        <v>9165</v>
      </c>
      <c r="AO1821" t="s">
        <v>18782</v>
      </c>
    </row>
    <row r="1822" spans="1:41" x14ac:dyDescent="0.35">
      <c r="A1822" t="s">
        <v>18783</v>
      </c>
      <c r="B1822" t="s">
        <v>7246</v>
      </c>
      <c r="C1822" t="s">
        <v>24</v>
      </c>
      <c r="D1822" t="s">
        <v>24</v>
      </c>
      <c r="E1822" t="s">
        <v>24</v>
      </c>
      <c r="F1822" t="s">
        <v>354</v>
      </c>
      <c r="G1822" s="13" t="s">
        <v>18784</v>
      </c>
      <c r="H1822" t="s">
        <v>18785</v>
      </c>
      <c r="J1822" t="s">
        <v>18786</v>
      </c>
      <c r="K1822" t="s">
        <v>10748</v>
      </c>
      <c r="L1822" t="s">
        <v>10749</v>
      </c>
      <c r="M1822" t="s">
        <v>7250</v>
      </c>
      <c r="N1822">
        <v>2009</v>
      </c>
      <c r="R1822">
        <v>502.31</v>
      </c>
      <c r="S1822" t="s">
        <v>7251</v>
      </c>
      <c r="T1822">
        <v>5.2</v>
      </c>
      <c r="U1822">
        <v>2417.79</v>
      </c>
      <c r="V1822">
        <v>292</v>
      </c>
      <c r="W1822">
        <v>201.86</v>
      </c>
      <c r="X1822">
        <v>292</v>
      </c>
      <c r="AA1822" t="s">
        <v>18710</v>
      </c>
      <c r="AB1822" t="s">
        <v>13108</v>
      </c>
      <c r="AC1822" t="s">
        <v>9165</v>
      </c>
      <c r="AE1822" t="s">
        <v>2973</v>
      </c>
      <c r="AF1822" t="s">
        <v>18787</v>
      </c>
      <c r="AH1822" t="s">
        <v>2973</v>
      </c>
      <c r="AI1822" t="s">
        <v>9165</v>
      </c>
      <c r="AO1822" t="s">
        <v>18788</v>
      </c>
    </row>
    <row r="1823" spans="1:41" hidden="1" x14ac:dyDescent="0.35">
      <c r="A1823" t="s">
        <v>18789</v>
      </c>
      <c r="B1823" t="s">
        <v>7246</v>
      </c>
      <c r="C1823" t="s">
        <v>439</v>
      </c>
      <c r="D1823" t="s">
        <v>5925</v>
      </c>
      <c r="E1823" t="s">
        <v>18790</v>
      </c>
      <c r="G1823" s="13" t="s">
        <v>8742</v>
      </c>
      <c r="H1823" t="s">
        <v>8743</v>
      </c>
      <c r="I1823" t="s">
        <v>18791</v>
      </c>
      <c r="K1823" t="s">
        <v>6543</v>
      </c>
      <c r="L1823" t="s">
        <v>6543</v>
      </c>
      <c r="M1823" t="s">
        <v>7292</v>
      </c>
      <c r="T1823" t="s">
        <v>6546</v>
      </c>
      <c r="U1823" t="s">
        <v>6546</v>
      </c>
      <c r="V1823">
        <v>310</v>
      </c>
      <c r="W1823">
        <v>212.67</v>
      </c>
      <c r="X1823">
        <v>310</v>
      </c>
      <c r="AC1823" t="s">
        <v>8747</v>
      </c>
      <c r="AI1823" t="s">
        <v>8777</v>
      </c>
      <c r="AM1823" t="s">
        <v>18792</v>
      </c>
      <c r="AO1823" t="s">
        <v>18793</v>
      </c>
    </row>
    <row r="1824" spans="1:41" hidden="1" x14ac:dyDescent="0.35">
      <c r="A1824" t="s">
        <v>18794</v>
      </c>
      <c r="B1824" t="s">
        <v>7246</v>
      </c>
      <c r="C1824" t="s">
        <v>439</v>
      </c>
      <c r="D1824" t="s">
        <v>402</v>
      </c>
      <c r="E1824" t="s">
        <v>18795</v>
      </c>
      <c r="G1824" s="13" t="s">
        <v>8742</v>
      </c>
      <c r="H1824" t="s">
        <v>8743</v>
      </c>
      <c r="I1824" t="s">
        <v>18796</v>
      </c>
      <c r="K1824" t="s">
        <v>6543</v>
      </c>
      <c r="L1824" t="s">
        <v>6543</v>
      </c>
      <c r="M1824" t="s">
        <v>7292</v>
      </c>
      <c r="T1824" t="s">
        <v>6546</v>
      </c>
      <c r="U1824" t="s">
        <v>6546</v>
      </c>
      <c r="V1824" t="s">
        <v>6546</v>
      </c>
      <c r="W1824">
        <v>97.19</v>
      </c>
      <c r="X1824">
        <v>97.19</v>
      </c>
      <c r="AC1824" t="s">
        <v>8747</v>
      </c>
      <c r="AI1824" t="s">
        <v>8747</v>
      </c>
      <c r="AM1824" t="s">
        <v>18797</v>
      </c>
      <c r="AO1824" t="s">
        <v>18798</v>
      </c>
    </row>
    <row r="1825" spans="1:41" hidden="1" x14ac:dyDescent="0.35">
      <c r="A1825" t="s">
        <v>18799</v>
      </c>
      <c r="B1825" t="s">
        <v>7246</v>
      </c>
      <c r="C1825" t="s">
        <v>423</v>
      </c>
      <c r="D1825" t="s">
        <v>5562</v>
      </c>
      <c r="E1825" t="s">
        <v>18800</v>
      </c>
      <c r="G1825" s="13" t="s">
        <v>18801</v>
      </c>
      <c r="H1825" t="s">
        <v>18802</v>
      </c>
      <c r="K1825" t="s">
        <v>9976</v>
      </c>
      <c r="L1825" t="s">
        <v>9976</v>
      </c>
      <c r="M1825" t="s">
        <v>7250</v>
      </c>
      <c r="N1825">
        <v>1983</v>
      </c>
      <c r="R1825">
        <v>45</v>
      </c>
      <c r="S1825" t="s">
        <v>8257</v>
      </c>
      <c r="T1825">
        <v>45</v>
      </c>
      <c r="U1825">
        <v>20942.25</v>
      </c>
      <c r="V1825">
        <v>2553</v>
      </c>
      <c r="W1825">
        <v>840.48</v>
      </c>
      <c r="X1825">
        <v>2553</v>
      </c>
      <c r="Y1825">
        <v>1220</v>
      </c>
      <c r="Z1825" t="s">
        <v>8842</v>
      </c>
      <c r="AA1825" t="s">
        <v>10023</v>
      </c>
      <c r="AB1825" t="s">
        <v>10015</v>
      </c>
      <c r="AC1825" t="s">
        <v>8844</v>
      </c>
      <c r="AF1825" t="s">
        <v>18803</v>
      </c>
      <c r="AI1825" t="s">
        <v>8777</v>
      </c>
      <c r="AL1825" t="s">
        <v>18804</v>
      </c>
      <c r="AO1825" t="s">
        <v>18805</v>
      </c>
    </row>
    <row r="1826" spans="1:41" hidden="1" x14ac:dyDescent="0.35">
      <c r="A1826" t="s">
        <v>18806</v>
      </c>
      <c r="B1826" t="s">
        <v>7246</v>
      </c>
      <c r="C1826" t="s">
        <v>5562</v>
      </c>
      <c r="D1826" t="s">
        <v>5978</v>
      </c>
      <c r="E1826" t="s">
        <v>18807</v>
      </c>
      <c r="G1826" s="13" t="s">
        <v>18808</v>
      </c>
      <c r="H1826" t="s">
        <v>18809</v>
      </c>
      <c r="K1826" t="s">
        <v>10131</v>
      </c>
      <c r="L1826" t="s">
        <v>10132</v>
      </c>
      <c r="M1826" t="s">
        <v>8874</v>
      </c>
      <c r="N1826">
        <v>1976</v>
      </c>
      <c r="O1826">
        <v>1981</v>
      </c>
      <c r="T1826" t="s">
        <v>6546</v>
      </c>
      <c r="U1826" t="s">
        <v>6546</v>
      </c>
      <c r="V1826">
        <v>292</v>
      </c>
      <c r="W1826">
        <v>480.29</v>
      </c>
      <c r="X1826">
        <v>292</v>
      </c>
      <c r="Y1826">
        <v>1220</v>
      </c>
      <c r="Z1826" t="s">
        <v>8842</v>
      </c>
      <c r="AA1826" t="s">
        <v>10023</v>
      </c>
      <c r="AB1826" t="s">
        <v>18803</v>
      </c>
      <c r="AC1826" t="s">
        <v>8777</v>
      </c>
      <c r="AF1826" t="s">
        <v>10196</v>
      </c>
      <c r="AI1826" t="s">
        <v>8777</v>
      </c>
      <c r="AL1826" t="s">
        <v>18810</v>
      </c>
      <c r="AO1826" t="s">
        <v>18811</v>
      </c>
    </row>
    <row r="1827" spans="1:41" hidden="1" x14ac:dyDescent="0.35">
      <c r="A1827" t="s">
        <v>18812</v>
      </c>
      <c r="B1827" t="s">
        <v>7246</v>
      </c>
      <c r="C1827" t="s">
        <v>5562</v>
      </c>
      <c r="D1827" t="s">
        <v>5802</v>
      </c>
      <c r="E1827" t="s">
        <v>18813</v>
      </c>
      <c r="G1827" s="13" t="s">
        <v>18814</v>
      </c>
      <c r="H1827" t="s">
        <v>18815</v>
      </c>
      <c r="K1827" t="s">
        <v>18816</v>
      </c>
      <c r="L1827" t="s">
        <v>18816</v>
      </c>
      <c r="M1827" t="s">
        <v>7250</v>
      </c>
      <c r="N1827">
        <v>1985</v>
      </c>
      <c r="R1827">
        <v>5</v>
      </c>
      <c r="S1827" t="s">
        <v>8257</v>
      </c>
      <c r="T1827">
        <v>5</v>
      </c>
      <c r="U1827">
        <v>2326.92</v>
      </c>
      <c r="V1827">
        <v>87</v>
      </c>
      <c r="W1827">
        <v>225.75</v>
      </c>
      <c r="X1827">
        <v>87</v>
      </c>
      <c r="Y1827">
        <v>1020</v>
      </c>
      <c r="Z1827" t="s">
        <v>8842</v>
      </c>
      <c r="AA1827" t="s">
        <v>10023</v>
      </c>
      <c r="AB1827" t="s">
        <v>18817</v>
      </c>
      <c r="AC1827" t="s">
        <v>8777</v>
      </c>
      <c r="AF1827" t="s">
        <v>18818</v>
      </c>
      <c r="AI1827" t="s">
        <v>8777</v>
      </c>
      <c r="AL1827" t="s">
        <v>18819</v>
      </c>
      <c r="AO1827" t="s">
        <v>18820</v>
      </c>
    </row>
    <row r="1828" spans="1:41" hidden="1" x14ac:dyDescent="0.35">
      <c r="A1828" t="s">
        <v>18821</v>
      </c>
      <c r="B1828" t="s">
        <v>7246</v>
      </c>
      <c r="C1828" t="s">
        <v>5802</v>
      </c>
      <c r="D1828" t="s">
        <v>5851</v>
      </c>
      <c r="E1828" t="s">
        <v>18822</v>
      </c>
      <c r="G1828" s="13" t="s">
        <v>18823</v>
      </c>
      <c r="H1828" t="s">
        <v>18824</v>
      </c>
      <c r="J1828" t="s">
        <v>18825</v>
      </c>
      <c r="K1828" t="s">
        <v>18826</v>
      </c>
      <c r="L1828" t="s">
        <v>18827</v>
      </c>
      <c r="M1828" t="s">
        <v>7250</v>
      </c>
      <c r="N1828">
        <v>2022</v>
      </c>
      <c r="R1828">
        <v>5.7</v>
      </c>
      <c r="S1828" t="s">
        <v>8257</v>
      </c>
      <c r="T1828">
        <v>5.7</v>
      </c>
      <c r="U1828">
        <v>2652.69</v>
      </c>
      <c r="V1828">
        <v>165</v>
      </c>
      <c r="W1828">
        <v>141.66999999999999</v>
      </c>
      <c r="X1828">
        <v>165</v>
      </c>
      <c r="Y1828">
        <v>1000</v>
      </c>
      <c r="Z1828" t="s">
        <v>8842</v>
      </c>
      <c r="AB1828" t="s">
        <v>11196</v>
      </c>
      <c r="AC1828" t="s">
        <v>8777</v>
      </c>
      <c r="AE1828" t="s">
        <v>18828</v>
      </c>
      <c r="AF1828" t="s">
        <v>18829</v>
      </c>
      <c r="AI1828" t="s">
        <v>8777</v>
      </c>
      <c r="AJ1828" t="s">
        <v>6407</v>
      </c>
      <c r="AO1828" t="s">
        <v>18830</v>
      </c>
    </row>
    <row r="1829" spans="1:41" hidden="1" x14ac:dyDescent="0.35">
      <c r="A1829" t="s">
        <v>18831</v>
      </c>
      <c r="B1829" t="s">
        <v>7246</v>
      </c>
      <c r="C1829" t="s">
        <v>17944</v>
      </c>
      <c r="D1829" t="s">
        <v>5796</v>
      </c>
      <c r="E1829" t="s">
        <v>18832</v>
      </c>
      <c r="G1829" s="13" t="s">
        <v>18833</v>
      </c>
      <c r="H1829" t="s">
        <v>18834</v>
      </c>
      <c r="J1829" t="s">
        <v>18835</v>
      </c>
      <c r="K1829" t="s">
        <v>6543</v>
      </c>
      <c r="L1829" t="s">
        <v>6543</v>
      </c>
      <c r="M1829" t="s">
        <v>7292</v>
      </c>
      <c r="N1829">
        <v>2024</v>
      </c>
      <c r="R1829">
        <v>44</v>
      </c>
      <c r="S1829" t="s">
        <v>12003</v>
      </c>
      <c r="T1829">
        <v>1.62</v>
      </c>
      <c r="U1829">
        <v>753.9</v>
      </c>
      <c r="V1829">
        <v>21</v>
      </c>
      <c r="W1829">
        <v>162.31</v>
      </c>
      <c r="X1829">
        <v>21</v>
      </c>
      <c r="Y1829">
        <v>500</v>
      </c>
      <c r="Z1829" t="s">
        <v>8842</v>
      </c>
      <c r="AC1829" t="s">
        <v>8777</v>
      </c>
      <c r="AF1829" t="s">
        <v>18836</v>
      </c>
      <c r="AI1829" t="s">
        <v>8777</v>
      </c>
      <c r="AJ1829" t="s">
        <v>9032</v>
      </c>
      <c r="AO1829" t="s">
        <v>18837</v>
      </c>
    </row>
    <row r="1830" spans="1:41" hidden="1" x14ac:dyDescent="0.35">
      <c r="A1830" t="s">
        <v>18838</v>
      </c>
      <c r="B1830" t="s">
        <v>7246</v>
      </c>
      <c r="C1830" t="s">
        <v>342</v>
      </c>
      <c r="D1830" t="s">
        <v>342</v>
      </c>
      <c r="E1830" t="s">
        <v>342</v>
      </c>
      <c r="G1830" s="13" t="s">
        <v>18839</v>
      </c>
      <c r="H1830" t="s">
        <v>18840</v>
      </c>
      <c r="J1830" t="s">
        <v>18841</v>
      </c>
      <c r="K1830" t="s">
        <v>18842</v>
      </c>
      <c r="L1830" t="s">
        <v>18842</v>
      </c>
      <c r="M1830" t="s">
        <v>7292</v>
      </c>
      <c r="N1830">
        <v>2025</v>
      </c>
      <c r="R1830">
        <v>1</v>
      </c>
      <c r="S1830" t="s">
        <v>8257</v>
      </c>
      <c r="T1830">
        <v>1</v>
      </c>
      <c r="U1830">
        <v>465.38</v>
      </c>
      <c r="V1830">
        <v>40</v>
      </c>
      <c r="W1830">
        <v>23.57</v>
      </c>
      <c r="X1830">
        <v>40</v>
      </c>
      <c r="Y1830">
        <v>400</v>
      </c>
      <c r="Z1830" t="s">
        <v>8842</v>
      </c>
      <c r="AA1830" t="s">
        <v>9761</v>
      </c>
      <c r="AB1830" t="s">
        <v>9556</v>
      </c>
      <c r="AC1830" t="s">
        <v>8777</v>
      </c>
      <c r="AF1830" t="s">
        <v>18843</v>
      </c>
      <c r="AI1830" t="s">
        <v>8777</v>
      </c>
      <c r="AJ1830" t="s">
        <v>9032</v>
      </c>
      <c r="AO1830" t="s">
        <v>18844</v>
      </c>
    </row>
    <row r="1831" spans="1:41" hidden="1" x14ac:dyDescent="0.35">
      <c r="A1831" t="s">
        <v>18845</v>
      </c>
      <c r="B1831" t="s">
        <v>7246</v>
      </c>
      <c r="C1831" t="s">
        <v>423</v>
      </c>
      <c r="D1831" t="s">
        <v>423</v>
      </c>
      <c r="E1831" t="s">
        <v>423</v>
      </c>
      <c r="G1831" s="13" t="s">
        <v>10009</v>
      </c>
      <c r="H1831" t="s">
        <v>10010</v>
      </c>
      <c r="I1831" t="s">
        <v>11023</v>
      </c>
      <c r="J1831" t="s">
        <v>18846</v>
      </c>
      <c r="K1831" t="s">
        <v>9976</v>
      </c>
      <c r="L1831" t="s">
        <v>9976</v>
      </c>
      <c r="M1831" t="s">
        <v>7250</v>
      </c>
      <c r="N1831">
        <v>1976</v>
      </c>
      <c r="T1831" t="s">
        <v>6546</v>
      </c>
      <c r="U1831" t="s">
        <v>6546</v>
      </c>
      <c r="V1831">
        <v>1600</v>
      </c>
      <c r="W1831">
        <v>1445.38</v>
      </c>
      <c r="X1831">
        <v>1600</v>
      </c>
      <c r="Y1831">
        <v>1420</v>
      </c>
      <c r="Z1831" t="s">
        <v>8842</v>
      </c>
      <c r="AA1831" t="s">
        <v>18847</v>
      </c>
      <c r="AB1831" t="s">
        <v>10014</v>
      </c>
      <c r="AC1831" t="s">
        <v>8844</v>
      </c>
      <c r="AE1831" t="s">
        <v>18848</v>
      </c>
      <c r="AF1831" t="s">
        <v>10015</v>
      </c>
      <c r="AI1831" t="s">
        <v>8844</v>
      </c>
      <c r="AL1831" t="s">
        <v>18849</v>
      </c>
      <c r="AO1831" t="s">
        <v>10017</v>
      </c>
    </row>
    <row r="1832" spans="1:41" hidden="1" x14ac:dyDescent="0.35">
      <c r="A1832" t="s">
        <v>18850</v>
      </c>
      <c r="B1832" t="s">
        <v>7246</v>
      </c>
      <c r="C1832" t="s">
        <v>423</v>
      </c>
      <c r="D1832" t="s">
        <v>423</v>
      </c>
      <c r="E1832" t="s">
        <v>423</v>
      </c>
      <c r="G1832" s="13" t="s">
        <v>10009</v>
      </c>
      <c r="H1832" t="s">
        <v>10010</v>
      </c>
      <c r="I1832" t="s">
        <v>8108</v>
      </c>
      <c r="J1832" t="s">
        <v>18851</v>
      </c>
      <c r="K1832" t="s">
        <v>9976</v>
      </c>
      <c r="L1832" t="s">
        <v>9976</v>
      </c>
      <c r="M1832" t="s">
        <v>7250</v>
      </c>
      <c r="N1832">
        <v>1977</v>
      </c>
      <c r="T1832" t="s">
        <v>6546</v>
      </c>
      <c r="U1832" t="s">
        <v>6546</v>
      </c>
      <c r="V1832">
        <v>1500</v>
      </c>
      <c r="W1832">
        <v>1799.16</v>
      </c>
      <c r="X1832">
        <v>1500</v>
      </c>
      <c r="Y1832">
        <v>1420</v>
      </c>
      <c r="Z1832" t="s">
        <v>8842</v>
      </c>
      <c r="AA1832" t="s">
        <v>10023</v>
      </c>
      <c r="AB1832" t="s">
        <v>14107</v>
      </c>
      <c r="AC1832" t="s">
        <v>8844</v>
      </c>
      <c r="AF1832" t="s">
        <v>10015</v>
      </c>
      <c r="AI1832" t="s">
        <v>8844</v>
      </c>
      <c r="AL1832" t="s">
        <v>18849</v>
      </c>
      <c r="AO1832" t="s">
        <v>18852</v>
      </c>
    </row>
    <row r="1833" spans="1:41" hidden="1" x14ac:dyDescent="0.35">
      <c r="A1833" t="s">
        <v>18853</v>
      </c>
      <c r="B1833" t="s">
        <v>7246</v>
      </c>
      <c r="C1833" t="s">
        <v>423</v>
      </c>
      <c r="D1833" t="s">
        <v>423</v>
      </c>
      <c r="E1833" t="s">
        <v>423</v>
      </c>
      <c r="G1833" s="13" t="s">
        <v>10009</v>
      </c>
      <c r="H1833" t="s">
        <v>10010</v>
      </c>
      <c r="I1833" t="s">
        <v>17757</v>
      </c>
      <c r="J1833" t="s">
        <v>18854</v>
      </c>
      <c r="K1833" t="s">
        <v>9976</v>
      </c>
      <c r="L1833" t="s">
        <v>9976</v>
      </c>
      <c r="M1833" t="s">
        <v>7250</v>
      </c>
      <c r="N1833">
        <v>1981</v>
      </c>
      <c r="T1833" t="s">
        <v>6546</v>
      </c>
      <c r="U1833" t="s">
        <v>6546</v>
      </c>
      <c r="V1833">
        <v>1700</v>
      </c>
      <c r="W1833">
        <v>2028.09</v>
      </c>
      <c r="X1833">
        <v>1700</v>
      </c>
      <c r="Y1833">
        <v>1420</v>
      </c>
      <c r="Z1833" t="s">
        <v>8842</v>
      </c>
      <c r="AA1833" t="s">
        <v>10023</v>
      </c>
      <c r="AB1833" t="s">
        <v>10133</v>
      </c>
      <c r="AC1833" t="s">
        <v>8844</v>
      </c>
      <c r="AE1833" t="s">
        <v>9851</v>
      </c>
      <c r="AF1833" t="s">
        <v>9934</v>
      </c>
      <c r="AI1833" t="s">
        <v>8844</v>
      </c>
      <c r="AL1833" t="s">
        <v>10016</v>
      </c>
      <c r="AO1833" t="s">
        <v>18855</v>
      </c>
    </row>
    <row r="1834" spans="1:41" hidden="1" x14ac:dyDescent="0.35">
      <c r="A1834" t="s">
        <v>18856</v>
      </c>
      <c r="B1834" t="s">
        <v>7246</v>
      </c>
      <c r="C1834" t="s">
        <v>423</v>
      </c>
      <c r="D1834" t="s">
        <v>423</v>
      </c>
      <c r="E1834" t="s">
        <v>423</v>
      </c>
      <c r="G1834" s="13" t="s">
        <v>18857</v>
      </c>
      <c r="H1834" t="s">
        <v>18858</v>
      </c>
      <c r="K1834" t="s">
        <v>9976</v>
      </c>
      <c r="L1834" t="s">
        <v>9976</v>
      </c>
      <c r="M1834" t="s">
        <v>7250</v>
      </c>
      <c r="N1834">
        <v>1983</v>
      </c>
      <c r="R1834">
        <v>32</v>
      </c>
      <c r="S1834" t="s">
        <v>8257</v>
      </c>
      <c r="T1834">
        <v>32</v>
      </c>
      <c r="U1834">
        <v>14892.27</v>
      </c>
      <c r="V1834">
        <v>2733</v>
      </c>
      <c r="W1834">
        <v>2381.2199999999998</v>
      </c>
      <c r="X1834">
        <v>2733</v>
      </c>
      <c r="Y1834">
        <v>1420</v>
      </c>
      <c r="Z1834" t="s">
        <v>8842</v>
      </c>
      <c r="AA1834" t="s">
        <v>10023</v>
      </c>
      <c r="AB1834" t="s">
        <v>10133</v>
      </c>
      <c r="AC1834" t="s">
        <v>8844</v>
      </c>
      <c r="AE1834" t="s">
        <v>9851</v>
      </c>
      <c r="AF1834" t="s">
        <v>10242</v>
      </c>
      <c r="AH1834" t="s">
        <v>14086</v>
      </c>
      <c r="AI1834" t="s">
        <v>8844</v>
      </c>
      <c r="AL1834" t="s">
        <v>18859</v>
      </c>
      <c r="AO1834" t="s">
        <v>18860</v>
      </c>
    </row>
    <row r="1835" spans="1:41" hidden="1" x14ac:dyDescent="0.35">
      <c r="A1835" t="s">
        <v>18861</v>
      </c>
      <c r="B1835" t="s">
        <v>7246</v>
      </c>
      <c r="C1835" t="s">
        <v>5583</v>
      </c>
      <c r="D1835" t="s">
        <v>5583</v>
      </c>
      <c r="E1835" t="s">
        <v>5583</v>
      </c>
      <c r="G1835" s="13" t="s">
        <v>18862</v>
      </c>
      <c r="H1835" t="s">
        <v>18863</v>
      </c>
      <c r="K1835" t="s">
        <v>11898</v>
      </c>
      <c r="L1835" t="s">
        <v>11899</v>
      </c>
      <c r="M1835" t="s">
        <v>7415</v>
      </c>
      <c r="N1835">
        <v>2022</v>
      </c>
      <c r="T1835" t="s">
        <v>6546</v>
      </c>
      <c r="U1835" t="s">
        <v>6546</v>
      </c>
      <c r="V1835">
        <v>42</v>
      </c>
      <c r="W1835">
        <v>40.42</v>
      </c>
      <c r="X1835">
        <v>42</v>
      </c>
      <c r="Y1835">
        <v>200</v>
      </c>
      <c r="Z1835" t="s">
        <v>8842</v>
      </c>
      <c r="AA1835" t="s">
        <v>12659</v>
      </c>
      <c r="AB1835" t="s">
        <v>18864</v>
      </c>
      <c r="AC1835" t="s">
        <v>8777</v>
      </c>
      <c r="AF1835" t="s">
        <v>18865</v>
      </c>
      <c r="AI1835" t="s">
        <v>8777</v>
      </c>
      <c r="AJ1835" t="s">
        <v>6407</v>
      </c>
      <c r="AL1835" t="s">
        <v>18866</v>
      </c>
      <c r="AO1835" t="s">
        <v>18867</v>
      </c>
    </row>
    <row r="1836" spans="1:41" x14ac:dyDescent="0.35">
      <c r="A1836" t="s">
        <v>18868</v>
      </c>
      <c r="B1836" t="s">
        <v>7246</v>
      </c>
      <c r="C1836" t="s">
        <v>24</v>
      </c>
      <c r="D1836" t="s">
        <v>24</v>
      </c>
      <c r="E1836" t="s">
        <v>24</v>
      </c>
      <c r="F1836" t="s">
        <v>354</v>
      </c>
      <c r="G1836" s="13" t="s">
        <v>18869</v>
      </c>
      <c r="H1836" t="s">
        <v>18870</v>
      </c>
      <c r="J1836" t="s">
        <v>18871</v>
      </c>
      <c r="K1836" t="s">
        <v>18872</v>
      </c>
      <c r="L1836" t="s">
        <v>18872</v>
      </c>
      <c r="M1836" t="s">
        <v>7250</v>
      </c>
      <c r="N1836">
        <v>1996</v>
      </c>
      <c r="R1836">
        <v>28.43</v>
      </c>
      <c r="S1836" t="s">
        <v>7251</v>
      </c>
      <c r="T1836">
        <v>0.28999999999999998</v>
      </c>
      <c r="U1836">
        <v>136.84</v>
      </c>
      <c r="V1836">
        <v>47</v>
      </c>
      <c r="W1836">
        <v>47.54</v>
      </c>
      <c r="X1836">
        <v>47</v>
      </c>
      <c r="AA1836" t="s">
        <v>10741</v>
      </c>
      <c r="AC1836" t="s">
        <v>9165</v>
      </c>
      <c r="AE1836" t="s">
        <v>2973</v>
      </c>
      <c r="AF1836" t="s">
        <v>18693</v>
      </c>
      <c r="AH1836" t="s">
        <v>2973</v>
      </c>
      <c r="AI1836" t="s">
        <v>9165</v>
      </c>
      <c r="AO1836" t="s">
        <v>18873</v>
      </c>
    </row>
    <row r="1837" spans="1:41" hidden="1" x14ac:dyDescent="0.35">
      <c r="A1837" t="s">
        <v>18874</v>
      </c>
      <c r="B1837" t="s">
        <v>7246</v>
      </c>
      <c r="C1837" t="s">
        <v>5830</v>
      </c>
      <c r="D1837" t="s">
        <v>5830</v>
      </c>
      <c r="E1837" t="s">
        <v>5830</v>
      </c>
      <c r="G1837" s="13" t="s">
        <v>13796</v>
      </c>
      <c r="H1837" t="s">
        <v>13797</v>
      </c>
      <c r="I1837" t="s">
        <v>8099</v>
      </c>
      <c r="K1837" t="s">
        <v>13798</v>
      </c>
      <c r="L1837" t="s">
        <v>13799</v>
      </c>
      <c r="M1837" t="s">
        <v>7250</v>
      </c>
      <c r="N1837">
        <v>2020</v>
      </c>
      <c r="R1837">
        <v>1.75</v>
      </c>
      <c r="S1837" t="s">
        <v>8257</v>
      </c>
      <c r="T1837">
        <v>1.75</v>
      </c>
      <c r="U1837">
        <v>814.42</v>
      </c>
      <c r="V1837">
        <v>479</v>
      </c>
      <c r="W1837">
        <v>462.38</v>
      </c>
      <c r="X1837">
        <v>479</v>
      </c>
      <c r="AB1837" t="s">
        <v>18875</v>
      </c>
      <c r="AC1837" t="s">
        <v>8777</v>
      </c>
      <c r="AD1837" t="s">
        <v>9525</v>
      </c>
      <c r="AF1837" t="s">
        <v>12024</v>
      </c>
      <c r="AI1837" t="s">
        <v>8777</v>
      </c>
      <c r="AJ1837" t="s">
        <v>6407</v>
      </c>
      <c r="AO1837" t="s">
        <v>18876</v>
      </c>
    </row>
    <row r="1838" spans="1:41" hidden="1" x14ac:dyDescent="0.35">
      <c r="A1838" t="s">
        <v>18877</v>
      </c>
      <c r="B1838" t="s">
        <v>7246</v>
      </c>
      <c r="C1838" t="s">
        <v>5844</v>
      </c>
      <c r="D1838" t="s">
        <v>5705</v>
      </c>
      <c r="E1838" t="s">
        <v>18878</v>
      </c>
      <c r="G1838" s="13" t="s">
        <v>18879</v>
      </c>
      <c r="H1838" t="s">
        <v>18880</v>
      </c>
      <c r="J1838" t="s">
        <v>18881</v>
      </c>
      <c r="K1838" t="s">
        <v>13491</v>
      </c>
      <c r="L1838" t="s">
        <v>13492</v>
      </c>
      <c r="M1838" t="s">
        <v>7250</v>
      </c>
      <c r="N1838">
        <v>2021</v>
      </c>
      <c r="R1838">
        <v>6</v>
      </c>
      <c r="S1838" t="s">
        <v>8257</v>
      </c>
      <c r="T1838">
        <v>6</v>
      </c>
      <c r="U1838">
        <v>2792.3</v>
      </c>
      <c r="V1838">
        <v>82</v>
      </c>
      <c r="W1838">
        <v>78.61</v>
      </c>
      <c r="X1838">
        <v>82</v>
      </c>
      <c r="AC1838" t="s">
        <v>8777</v>
      </c>
      <c r="AI1838" t="s">
        <v>8777</v>
      </c>
      <c r="AO1838" t="s">
        <v>18882</v>
      </c>
    </row>
    <row r="1839" spans="1:41" hidden="1" x14ac:dyDescent="0.35">
      <c r="A1839" t="s">
        <v>18883</v>
      </c>
      <c r="B1839" t="s">
        <v>7246</v>
      </c>
      <c r="C1839" t="s">
        <v>449</v>
      </c>
      <c r="D1839" t="s">
        <v>449</v>
      </c>
      <c r="E1839" t="s">
        <v>449</v>
      </c>
      <c r="G1839" s="13" t="s">
        <v>18884</v>
      </c>
      <c r="H1839" t="s">
        <v>18885</v>
      </c>
      <c r="K1839" t="s">
        <v>12056</v>
      </c>
      <c r="L1839" t="s">
        <v>12057</v>
      </c>
      <c r="M1839" t="s">
        <v>7250</v>
      </c>
      <c r="N1839">
        <v>2018</v>
      </c>
      <c r="R1839">
        <v>35</v>
      </c>
      <c r="S1839" t="s">
        <v>7251</v>
      </c>
      <c r="T1839">
        <v>0.36</v>
      </c>
      <c r="U1839">
        <v>168.47</v>
      </c>
      <c r="V1839">
        <v>50</v>
      </c>
      <c r="W1839">
        <v>64.44</v>
      </c>
      <c r="X1839">
        <v>50</v>
      </c>
      <c r="AB1839" t="s">
        <v>18886</v>
      </c>
      <c r="AC1839" t="s">
        <v>8777</v>
      </c>
      <c r="AE1839" t="s">
        <v>18887</v>
      </c>
      <c r="AF1839" t="s">
        <v>18888</v>
      </c>
      <c r="AH1839" t="s">
        <v>18889</v>
      </c>
      <c r="AI1839" t="s">
        <v>8777</v>
      </c>
      <c r="AO1839" t="s">
        <v>18890</v>
      </c>
    </row>
    <row r="1840" spans="1:41" hidden="1" x14ac:dyDescent="0.35">
      <c r="A1840" t="s">
        <v>18891</v>
      </c>
      <c r="B1840" t="s">
        <v>7246</v>
      </c>
      <c r="C1840" t="s">
        <v>423</v>
      </c>
      <c r="D1840" t="s">
        <v>423</v>
      </c>
      <c r="E1840" t="s">
        <v>423</v>
      </c>
      <c r="G1840" s="13" t="s">
        <v>18892</v>
      </c>
      <c r="H1840" t="s">
        <v>18893</v>
      </c>
      <c r="K1840" t="s">
        <v>9976</v>
      </c>
      <c r="L1840" t="s">
        <v>9976</v>
      </c>
      <c r="M1840" t="s">
        <v>7250</v>
      </c>
      <c r="N1840">
        <v>1986</v>
      </c>
      <c r="O1840">
        <v>1987</v>
      </c>
      <c r="T1840" t="s">
        <v>6546</v>
      </c>
      <c r="U1840" t="s">
        <v>6546</v>
      </c>
      <c r="V1840">
        <v>6292</v>
      </c>
      <c r="W1840">
        <v>2796.49</v>
      </c>
      <c r="X1840">
        <v>6292</v>
      </c>
      <c r="Y1840">
        <v>1420</v>
      </c>
      <c r="Z1840" t="s">
        <v>8842</v>
      </c>
      <c r="AA1840" t="s">
        <v>10159</v>
      </c>
      <c r="AB1840" t="s">
        <v>10159</v>
      </c>
      <c r="AC1840" t="s">
        <v>8844</v>
      </c>
      <c r="AE1840" t="s">
        <v>9851</v>
      </c>
      <c r="AF1840" t="s">
        <v>10166</v>
      </c>
      <c r="AH1840" t="s">
        <v>10167</v>
      </c>
      <c r="AI1840" t="s">
        <v>8844</v>
      </c>
      <c r="AL1840" t="s">
        <v>18894</v>
      </c>
      <c r="AO1840" t="s">
        <v>18895</v>
      </c>
    </row>
    <row r="1841" spans="1:41" x14ac:dyDescent="0.35">
      <c r="A1841" t="s">
        <v>18896</v>
      </c>
      <c r="B1841" t="s">
        <v>7246</v>
      </c>
      <c r="C1841" t="s">
        <v>24</v>
      </c>
      <c r="D1841" t="s">
        <v>24</v>
      </c>
      <c r="E1841" t="s">
        <v>24</v>
      </c>
      <c r="F1841" t="s">
        <v>354</v>
      </c>
      <c r="G1841" s="13" t="s">
        <v>18897</v>
      </c>
      <c r="H1841" t="s">
        <v>18898</v>
      </c>
      <c r="K1841" t="s">
        <v>18899</v>
      </c>
      <c r="L1841" t="s">
        <v>18900</v>
      </c>
      <c r="M1841" t="s">
        <v>7250</v>
      </c>
      <c r="N1841">
        <v>1996</v>
      </c>
      <c r="R1841">
        <v>100</v>
      </c>
      <c r="S1841" t="s">
        <v>7251</v>
      </c>
      <c r="T1841">
        <v>1.03</v>
      </c>
      <c r="U1841">
        <v>481.33</v>
      </c>
      <c r="V1841">
        <v>63</v>
      </c>
      <c r="W1841">
        <v>52.63</v>
      </c>
      <c r="X1841">
        <v>63</v>
      </c>
      <c r="AA1841" t="s">
        <v>18901</v>
      </c>
      <c r="AB1841" t="s">
        <v>10358</v>
      </c>
      <c r="AC1841" t="s">
        <v>9165</v>
      </c>
      <c r="AE1841" t="s">
        <v>17379</v>
      </c>
      <c r="AF1841" t="s">
        <v>18902</v>
      </c>
      <c r="AH1841" t="s">
        <v>6388</v>
      </c>
      <c r="AI1841" t="s">
        <v>9165</v>
      </c>
      <c r="AO1841" t="s">
        <v>18903</v>
      </c>
    </row>
    <row r="1842" spans="1:41" hidden="1" x14ac:dyDescent="0.35">
      <c r="A1842" t="s">
        <v>18904</v>
      </c>
      <c r="B1842" t="s">
        <v>7246</v>
      </c>
      <c r="C1842" t="s">
        <v>368</v>
      </c>
      <c r="D1842" t="s">
        <v>368</v>
      </c>
      <c r="E1842" t="s">
        <v>368</v>
      </c>
      <c r="G1842" s="13" t="s">
        <v>12652</v>
      </c>
      <c r="H1842" t="s">
        <v>12653</v>
      </c>
      <c r="K1842" t="s">
        <v>18905</v>
      </c>
      <c r="L1842" t="s">
        <v>18905</v>
      </c>
      <c r="M1842" t="s">
        <v>7250</v>
      </c>
      <c r="N1842">
        <v>2019</v>
      </c>
      <c r="R1842">
        <v>130</v>
      </c>
      <c r="S1842" t="s">
        <v>7251</v>
      </c>
      <c r="T1842">
        <v>1.34</v>
      </c>
      <c r="U1842">
        <v>625.73</v>
      </c>
      <c r="V1842">
        <v>131</v>
      </c>
      <c r="W1842">
        <v>145.97</v>
      </c>
      <c r="X1842">
        <v>131</v>
      </c>
      <c r="AB1842" t="s">
        <v>12655</v>
      </c>
      <c r="AC1842" t="s">
        <v>7255</v>
      </c>
      <c r="AE1842" t="s">
        <v>989</v>
      </c>
      <c r="AF1842" t="s">
        <v>12656</v>
      </c>
      <c r="AH1842" t="s">
        <v>989</v>
      </c>
      <c r="AI1842" t="s">
        <v>7255</v>
      </c>
      <c r="AO1842" t="s">
        <v>18906</v>
      </c>
    </row>
    <row r="1843" spans="1:41" x14ac:dyDescent="0.35">
      <c r="A1843" t="s">
        <v>18907</v>
      </c>
      <c r="B1843" t="s">
        <v>7246</v>
      </c>
      <c r="C1843" t="s">
        <v>24</v>
      </c>
      <c r="D1843" t="s">
        <v>24</v>
      </c>
      <c r="E1843" t="s">
        <v>24</v>
      </c>
      <c r="F1843" t="s">
        <v>354</v>
      </c>
      <c r="G1843" s="13" t="s">
        <v>12842</v>
      </c>
      <c r="H1843" t="s">
        <v>12843</v>
      </c>
      <c r="J1843" t="s">
        <v>18908</v>
      </c>
      <c r="K1843" t="s">
        <v>10748</v>
      </c>
      <c r="L1843" t="s">
        <v>10749</v>
      </c>
      <c r="M1843" t="s">
        <v>7250</v>
      </c>
      <c r="N1843">
        <v>2000</v>
      </c>
      <c r="R1843">
        <v>336.95</v>
      </c>
      <c r="S1843" t="s">
        <v>7251</v>
      </c>
      <c r="T1843">
        <v>3.48</v>
      </c>
      <c r="U1843">
        <v>1621.85</v>
      </c>
      <c r="V1843">
        <v>797</v>
      </c>
      <c r="W1843">
        <v>738.7</v>
      </c>
      <c r="X1843">
        <v>797</v>
      </c>
      <c r="AA1843" t="s">
        <v>17248</v>
      </c>
      <c r="AB1843" t="s">
        <v>17249</v>
      </c>
      <c r="AC1843" t="s">
        <v>9165</v>
      </c>
      <c r="AE1843" t="s">
        <v>2969</v>
      </c>
      <c r="AF1843" t="s">
        <v>18909</v>
      </c>
      <c r="AH1843" t="s">
        <v>4124</v>
      </c>
      <c r="AI1843" t="s">
        <v>9165</v>
      </c>
      <c r="AO1843" t="s">
        <v>18910</v>
      </c>
    </row>
    <row r="1844" spans="1:41" x14ac:dyDescent="0.35">
      <c r="A1844" t="s">
        <v>18911</v>
      </c>
      <c r="B1844" t="s">
        <v>7246</v>
      </c>
      <c r="C1844" t="s">
        <v>24</v>
      </c>
      <c r="D1844" t="s">
        <v>24</v>
      </c>
      <c r="E1844" t="s">
        <v>24</v>
      </c>
      <c r="F1844" t="s">
        <v>354</v>
      </c>
      <c r="G1844" s="13" t="s">
        <v>9160</v>
      </c>
      <c r="H1844" t="s">
        <v>9161</v>
      </c>
      <c r="I1844" t="s">
        <v>18912</v>
      </c>
      <c r="J1844" t="s">
        <v>18913</v>
      </c>
      <c r="K1844" t="s">
        <v>9163</v>
      </c>
      <c r="L1844" t="s">
        <v>9163</v>
      </c>
      <c r="M1844" t="s">
        <v>7250</v>
      </c>
      <c r="N1844">
        <v>2015</v>
      </c>
      <c r="R1844">
        <v>20.6</v>
      </c>
      <c r="S1844" t="s">
        <v>9164</v>
      </c>
      <c r="T1844">
        <v>0.21</v>
      </c>
      <c r="U1844">
        <v>98.05</v>
      </c>
      <c r="V1844">
        <v>293</v>
      </c>
      <c r="W1844">
        <v>250.57</v>
      </c>
      <c r="X1844">
        <v>293</v>
      </c>
      <c r="AC1844" t="s">
        <v>9165</v>
      </c>
      <c r="AE1844" t="s">
        <v>6388</v>
      </c>
      <c r="AH1844" t="s">
        <v>6388</v>
      </c>
      <c r="AI1844" t="s">
        <v>9165</v>
      </c>
      <c r="AO1844" t="s">
        <v>18914</v>
      </c>
    </row>
    <row r="1845" spans="1:41" hidden="1" x14ac:dyDescent="0.35">
      <c r="A1845" t="s">
        <v>18915</v>
      </c>
      <c r="B1845" t="s">
        <v>7246</v>
      </c>
      <c r="C1845" t="s">
        <v>423</v>
      </c>
      <c r="D1845" t="s">
        <v>423</v>
      </c>
      <c r="E1845" t="s">
        <v>423</v>
      </c>
      <c r="G1845" s="13" t="s">
        <v>18916</v>
      </c>
      <c r="H1845" t="s">
        <v>18917</v>
      </c>
      <c r="J1845" t="s">
        <v>18918</v>
      </c>
      <c r="K1845" t="s">
        <v>9976</v>
      </c>
      <c r="L1845" t="s">
        <v>9976</v>
      </c>
      <c r="M1845" t="s">
        <v>7250</v>
      </c>
      <c r="N1845">
        <v>1990</v>
      </c>
      <c r="R1845">
        <v>89</v>
      </c>
      <c r="S1845" t="s">
        <v>18164</v>
      </c>
      <c r="T1845">
        <v>32.51</v>
      </c>
      <c r="U1845">
        <v>15128.34</v>
      </c>
      <c r="V1845">
        <v>2755</v>
      </c>
      <c r="W1845">
        <v>2439.44</v>
      </c>
      <c r="X1845">
        <v>2755</v>
      </c>
      <c r="Y1845">
        <v>1420</v>
      </c>
      <c r="Z1845" t="s">
        <v>8842</v>
      </c>
      <c r="AA1845" t="s">
        <v>10159</v>
      </c>
      <c r="AB1845" t="s">
        <v>10159</v>
      </c>
      <c r="AC1845" t="s">
        <v>8844</v>
      </c>
      <c r="AE1845" t="s">
        <v>9851</v>
      </c>
      <c r="AF1845" t="s">
        <v>3656</v>
      </c>
      <c r="AH1845" t="s">
        <v>14086</v>
      </c>
      <c r="AI1845" t="s">
        <v>8844</v>
      </c>
      <c r="AL1845" t="s">
        <v>18919</v>
      </c>
      <c r="AO1845" t="s">
        <v>18920</v>
      </c>
    </row>
    <row r="1846" spans="1:41" hidden="1" x14ac:dyDescent="0.35">
      <c r="A1846" t="s">
        <v>18921</v>
      </c>
      <c r="B1846" t="s">
        <v>7246</v>
      </c>
      <c r="C1846" t="s">
        <v>423</v>
      </c>
      <c r="D1846" t="s">
        <v>423</v>
      </c>
      <c r="E1846" t="s">
        <v>423</v>
      </c>
      <c r="G1846" s="13" t="s">
        <v>18922</v>
      </c>
      <c r="H1846" t="s">
        <v>18923</v>
      </c>
      <c r="K1846" t="s">
        <v>9976</v>
      </c>
      <c r="L1846" t="s">
        <v>9976</v>
      </c>
      <c r="M1846" t="s">
        <v>7250</v>
      </c>
      <c r="N1846">
        <v>1984</v>
      </c>
      <c r="O1846">
        <v>1985</v>
      </c>
      <c r="R1846">
        <v>89</v>
      </c>
      <c r="S1846" t="s">
        <v>18164</v>
      </c>
      <c r="T1846">
        <v>32.51</v>
      </c>
      <c r="U1846">
        <v>15128.34</v>
      </c>
      <c r="V1846">
        <v>6246</v>
      </c>
      <c r="W1846">
        <v>1420.38</v>
      </c>
      <c r="X1846">
        <v>6246</v>
      </c>
      <c r="Y1846">
        <v>1420</v>
      </c>
      <c r="Z1846" t="s">
        <v>8842</v>
      </c>
      <c r="AA1846" t="s">
        <v>10023</v>
      </c>
      <c r="AB1846" t="s">
        <v>10133</v>
      </c>
      <c r="AC1846" t="s">
        <v>8844</v>
      </c>
      <c r="AE1846" t="s">
        <v>9851</v>
      </c>
      <c r="AH1846" t="s">
        <v>18924</v>
      </c>
      <c r="AI1846" t="s">
        <v>8844</v>
      </c>
      <c r="AL1846" t="s">
        <v>18925</v>
      </c>
      <c r="AO1846" t="s">
        <v>18926</v>
      </c>
    </row>
    <row r="1847" spans="1:41" hidden="1" x14ac:dyDescent="0.35">
      <c r="A1847" t="s">
        <v>18927</v>
      </c>
      <c r="B1847" t="s">
        <v>7246</v>
      </c>
      <c r="C1847" t="s">
        <v>416</v>
      </c>
      <c r="D1847" t="s">
        <v>416</v>
      </c>
      <c r="E1847" t="s">
        <v>416</v>
      </c>
      <c r="G1847" s="13" t="s">
        <v>18928</v>
      </c>
      <c r="H1847" t="s">
        <v>18929</v>
      </c>
      <c r="K1847" t="s">
        <v>18930</v>
      </c>
      <c r="L1847" t="s">
        <v>18930</v>
      </c>
      <c r="M1847" t="s">
        <v>7250</v>
      </c>
      <c r="N1847">
        <v>2000</v>
      </c>
      <c r="R1847">
        <v>5</v>
      </c>
      <c r="S1847" t="s">
        <v>18164</v>
      </c>
      <c r="T1847">
        <v>1.83</v>
      </c>
      <c r="U1847">
        <v>849.91</v>
      </c>
      <c r="V1847">
        <v>78</v>
      </c>
      <c r="W1847">
        <v>78.12</v>
      </c>
      <c r="X1847">
        <v>78</v>
      </c>
      <c r="Y1847">
        <v>16</v>
      </c>
      <c r="Z1847" t="s">
        <v>7253</v>
      </c>
      <c r="AA1847" t="s">
        <v>18931</v>
      </c>
      <c r="AC1847" t="s">
        <v>8777</v>
      </c>
      <c r="AF1847" t="s">
        <v>18932</v>
      </c>
      <c r="AI1847" t="s">
        <v>8777</v>
      </c>
      <c r="AL1847" t="s">
        <v>18933</v>
      </c>
      <c r="AO1847" t="s">
        <v>18934</v>
      </c>
    </row>
    <row r="1848" spans="1:41" hidden="1" x14ac:dyDescent="0.35">
      <c r="A1848" t="s">
        <v>18935</v>
      </c>
      <c r="B1848" t="s">
        <v>7246</v>
      </c>
      <c r="C1848" t="s">
        <v>416</v>
      </c>
      <c r="D1848" t="s">
        <v>449</v>
      </c>
      <c r="E1848" t="s">
        <v>416</v>
      </c>
      <c r="G1848" s="13" t="s">
        <v>18936</v>
      </c>
      <c r="H1848" t="s">
        <v>18937</v>
      </c>
      <c r="K1848" t="s">
        <v>9433</v>
      </c>
      <c r="L1848" t="s">
        <v>9434</v>
      </c>
      <c r="M1848" t="s">
        <v>7250</v>
      </c>
      <c r="N1848">
        <v>2010</v>
      </c>
      <c r="R1848">
        <v>17</v>
      </c>
      <c r="S1848" t="s">
        <v>18164</v>
      </c>
      <c r="T1848">
        <v>6.21</v>
      </c>
      <c r="U1848">
        <v>2889.68</v>
      </c>
      <c r="V1848">
        <v>131</v>
      </c>
      <c r="W1848">
        <v>131.79</v>
      </c>
      <c r="X1848">
        <v>131</v>
      </c>
      <c r="Y1848">
        <v>29</v>
      </c>
      <c r="Z1848" t="s">
        <v>7253</v>
      </c>
      <c r="AA1848" t="s">
        <v>18938</v>
      </c>
      <c r="AC1848" t="s">
        <v>8777</v>
      </c>
      <c r="AF1848" t="s">
        <v>12410</v>
      </c>
      <c r="AI1848" t="s">
        <v>8777</v>
      </c>
      <c r="AL1848" t="s">
        <v>18939</v>
      </c>
      <c r="AO1848" t="s">
        <v>18940</v>
      </c>
    </row>
    <row r="1849" spans="1:41" hidden="1" x14ac:dyDescent="0.35">
      <c r="A1849" t="s">
        <v>18941</v>
      </c>
      <c r="B1849" t="s">
        <v>7246</v>
      </c>
      <c r="C1849" t="s">
        <v>416</v>
      </c>
      <c r="D1849" t="s">
        <v>416</v>
      </c>
      <c r="E1849" t="s">
        <v>416</v>
      </c>
      <c r="G1849" s="13" t="s">
        <v>18942</v>
      </c>
      <c r="H1849" t="s">
        <v>18943</v>
      </c>
      <c r="K1849" t="s">
        <v>11709</v>
      </c>
      <c r="L1849" t="s">
        <v>11709</v>
      </c>
      <c r="M1849" t="s">
        <v>7250</v>
      </c>
      <c r="N1849">
        <v>2003</v>
      </c>
      <c r="R1849">
        <v>10</v>
      </c>
      <c r="S1849" t="s">
        <v>18164</v>
      </c>
      <c r="T1849">
        <v>3.65</v>
      </c>
      <c r="U1849">
        <v>1699.81</v>
      </c>
      <c r="V1849">
        <v>50</v>
      </c>
      <c r="W1849">
        <v>49.42</v>
      </c>
      <c r="X1849">
        <v>50</v>
      </c>
      <c r="Y1849">
        <v>18</v>
      </c>
      <c r="Z1849" t="s">
        <v>7253</v>
      </c>
      <c r="AA1849" t="s">
        <v>18944</v>
      </c>
      <c r="AC1849" t="s">
        <v>8777</v>
      </c>
      <c r="AF1849" t="s">
        <v>18945</v>
      </c>
      <c r="AI1849" t="s">
        <v>8777</v>
      </c>
      <c r="AL1849" t="s">
        <v>18946</v>
      </c>
      <c r="AO1849" t="s">
        <v>18947</v>
      </c>
    </row>
    <row r="1850" spans="1:41" hidden="1" x14ac:dyDescent="0.35">
      <c r="A1850" t="s">
        <v>18948</v>
      </c>
      <c r="B1850" t="s">
        <v>7246</v>
      </c>
      <c r="C1850" t="s">
        <v>416</v>
      </c>
      <c r="D1850" t="s">
        <v>416</v>
      </c>
      <c r="E1850" t="s">
        <v>416</v>
      </c>
      <c r="G1850" s="13" t="s">
        <v>18949</v>
      </c>
      <c r="H1850" t="s">
        <v>18950</v>
      </c>
      <c r="K1850" t="s">
        <v>18951</v>
      </c>
      <c r="L1850" t="s">
        <v>18952</v>
      </c>
      <c r="M1850" t="s">
        <v>7250</v>
      </c>
      <c r="N1850">
        <v>2015</v>
      </c>
      <c r="R1850">
        <v>1.7</v>
      </c>
      <c r="S1850" t="s">
        <v>18164</v>
      </c>
      <c r="T1850">
        <v>0.62</v>
      </c>
      <c r="U1850">
        <v>288.97000000000003</v>
      </c>
      <c r="V1850">
        <v>106</v>
      </c>
      <c r="W1850">
        <v>99.7</v>
      </c>
      <c r="X1850">
        <v>106</v>
      </c>
      <c r="Y1850">
        <v>12</v>
      </c>
      <c r="Z1850" t="s">
        <v>7253</v>
      </c>
      <c r="AA1850" t="s">
        <v>18953</v>
      </c>
      <c r="AC1850" t="s">
        <v>8777</v>
      </c>
      <c r="AF1850" t="s">
        <v>12410</v>
      </c>
      <c r="AI1850" t="s">
        <v>8777</v>
      </c>
      <c r="AL1850" t="s">
        <v>18954</v>
      </c>
      <c r="AO1850" t="s">
        <v>18955</v>
      </c>
    </row>
    <row r="1851" spans="1:41" hidden="1" x14ac:dyDescent="0.35">
      <c r="A1851" t="s">
        <v>18956</v>
      </c>
      <c r="B1851" t="s">
        <v>7246</v>
      </c>
      <c r="C1851" t="s">
        <v>416</v>
      </c>
      <c r="D1851" t="s">
        <v>416</v>
      </c>
      <c r="E1851" t="s">
        <v>416</v>
      </c>
      <c r="G1851" s="13" t="s">
        <v>18957</v>
      </c>
      <c r="H1851" t="s">
        <v>18958</v>
      </c>
      <c r="K1851" t="s">
        <v>9433</v>
      </c>
      <c r="L1851" t="s">
        <v>9434</v>
      </c>
      <c r="M1851" t="s">
        <v>7250</v>
      </c>
      <c r="N1851">
        <v>2004</v>
      </c>
      <c r="R1851">
        <v>27</v>
      </c>
      <c r="S1851" t="s">
        <v>18164</v>
      </c>
      <c r="T1851">
        <v>9.86</v>
      </c>
      <c r="U1851">
        <v>4589.5</v>
      </c>
      <c r="V1851">
        <v>148</v>
      </c>
      <c r="W1851">
        <v>148.36000000000001</v>
      </c>
      <c r="X1851">
        <v>148</v>
      </c>
      <c r="Y1851">
        <v>30</v>
      </c>
      <c r="Z1851" t="s">
        <v>7253</v>
      </c>
      <c r="AA1851" t="s">
        <v>18959</v>
      </c>
      <c r="AC1851" t="s">
        <v>8777</v>
      </c>
      <c r="AF1851" t="s">
        <v>18960</v>
      </c>
      <c r="AI1851" t="s">
        <v>8777</v>
      </c>
      <c r="AL1851" t="s">
        <v>18961</v>
      </c>
      <c r="AO1851" t="s">
        <v>18962</v>
      </c>
    </row>
    <row r="1852" spans="1:41" hidden="1" x14ac:dyDescent="0.35">
      <c r="A1852" t="s">
        <v>18963</v>
      </c>
      <c r="B1852" t="s">
        <v>7246</v>
      </c>
      <c r="C1852" t="s">
        <v>416</v>
      </c>
      <c r="D1852" t="s">
        <v>416</v>
      </c>
      <c r="E1852" t="s">
        <v>416</v>
      </c>
      <c r="G1852" s="13" t="s">
        <v>18964</v>
      </c>
      <c r="H1852" t="s">
        <v>18965</v>
      </c>
      <c r="J1852" t="s">
        <v>18966</v>
      </c>
      <c r="K1852" t="s">
        <v>9433</v>
      </c>
      <c r="L1852" t="s">
        <v>9434</v>
      </c>
      <c r="M1852" t="s">
        <v>7250</v>
      </c>
      <c r="N1852">
        <v>2001</v>
      </c>
      <c r="R1852">
        <v>7</v>
      </c>
      <c r="S1852" t="s">
        <v>18164</v>
      </c>
      <c r="T1852">
        <v>2.56</v>
      </c>
      <c r="U1852">
        <v>1189.8699999999999</v>
      </c>
      <c r="V1852">
        <v>128</v>
      </c>
      <c r="W1852">
        <v>128.61000000000001</v>
      </c>
      <c r="X1852">
        <v>128</v>
      </c>
      <c r="Y1852">
        <v>16</v>
      </c>
      <c r="Z1852" t="s">
        <v>7253</v>
      </c>
      <c r="AA1852" t="s">
        <v>18967</v>
      </c>
      <c r="AC1852" t="s">
        <v>8777</v>
      </c>
      <c r="AF1852" t="s">
        <v>18932</v>
      </c>
      <c r="AI1852" t="s">
        <v>8777</v>
      </c>
      <c r="AL1852" t="s">
        <v>18968</v>
      </c>
      <c r="AO1852" t="s">
        <v>18969</v>
      </c>
    </row>
    <row r="1853" spans="1:41" hidden="1" x14ac:dyDescent="0.35">
      <c r="A1853" t="s">
        <v>18970</v>
      </c>
      <c r="B1853" t="s">
        <v>7246</v>
      </c>
      <c r="C1853" t="s">
        <v>416</v>
      </c>
      <c r="D1853" t="s">
        <v>416</v>
      </c>
      <c r="E1853" t="s">
        <v>416</v>
      </c>
      <c r="G1853" s="13" t="s">
        <v>18971</v>
      </c>
      <c r="H1853" t="s">
        <v>18972</v>
      </c>
      <c r="J1853" t="s">
        <v>18973</v>
      </c>
      <c r="K1853" t="s">
        <v>9433</v>
      </c>
      <c r="L1853" t="s">
        <v>9434</v>
      </c>
      <c r="M1853" t="s">
        <v>7250</v>
      </c>
      <c r="N1853">
        <v>2000</v>
      </c>
      <c r="R1853">
        <v>35</v>
      </c>
      <c r="S1853" t="s">
        <v>18164</v>
      </c>
      <c r="T1853">
        <v>12.78</v>
      </c>
      <c r="U1853">
        <v>5949.35</v>
      </c>
      <c r="V1853">
        <v>110</v>
      </c>
      <c r="W1853">
        <v>109.25</v>
      </c>
      <c r="X1853">
        <v>110</v>
      </c>
      <c r="Y1853">
        <v>36</v>
      </c>
      <c r="Z1853" t="s">
        <v>7253</v>
      </c>
      <c r="AA1853" t="s">
        <v>18974</v>
      </c>
      <c r="AC1853" t="s">
        <v>8777</v>
      </c>
      <c r="AF1853" t="s">
        <v>18944</v>
      </c>
      <c r="AI1853" t="s">
        <v>8777</v>
      </c>
      <c r="AL1853" t="s">
        <v>18975</v>
      </c>
      <c r="AO1853" t="s">
        <v>18976</v>
      </c>
    </row>
    <row r="1854" spans="1:41" hidden="1" x14ac:dyDescent="0.35">
      <c r="A1854" t="s">
        <v>18977</v>
      </c>
      <c r="B1854" t="s">
        <v>7246</v>
      </c>
      <c r="C1854" t="s">
        <v>416</v>
      </c>
      <c r="D1854" t="s">
        <v>416</v>
      </c>
      <c r="E1854" t="s">
        <v>416</v>
      </c>
      <c r="G1854" s="13" t="s">
        <v>18978</v>
      </c>
      <c r="H1854" t="s">
        <v>18979</v>
      </c>
      <c r="K1854" t="s">
        <v>11709</v>
      </c>
      <c r="L1854" t="s">
        <v>11709</v>
      </c>
      <c r="M1854" t="s">
        <v>7250</v>
      </c>
      <c r="N1854">
        <v>2001</v>
      </c>
      <c r="R1854">
        <v>11</v>
      </c>
      <c r="S1854" t="s">
        <v>18164</v>
      </c>
      <c r="T1854">
        <v>4.0199999999999996</v>
      </c>
      <c r="U1854">
        <v>1869.79</v>
      </c>
      <c r="V1854">
        <v>37</v>
      </c>
      <c r="W1854">
        <v>39.770000000000003</v>
      </c>
      <c r="X1854">
        <v>37</v>
      </c>
      <c r="Y1854">
        <v>16</v>
      </c>
      <c r="Z1854" t="s">
        <v>7253</v>
      </c>
      <c r="AA1854" t="s">
        <v>18980</v>
      </c>
      <c r="AC1854" t="s">
        <v>8777</v>
      </c>
      <c r="AF1854" t="s">
        <v>18981</v>
      </c>
      <c r="AI1854" t="s">
        <v>8777</v>
      </c>
      <c r="AO1854" t="s">
        <v>18982</v>
      </c>
    </row>
    <row r="1855" spans="1:41" hidden="1" x14ac:dyDescent="0.35">
      <c r="A1855" t="s">
        <v>18983</v>
      </c>
      <c r="B1855" t="s">
        <v>7246</v>
      </c>
      <c r="C1855" t="s">
        <v>416</v>
      </c>
      <c r="D1855" t="s">
        <v>416</v>
      </c>
      <c r="E1855" t="s">
        <v>416</v>
      </c>
      <c r="G1855" s="13" t="s">
        <v>18984</v>
      </c>
      <c r="H1855" t="s">
        <v>18985</v>
      </c>
      <c r="K1855" t="s">
        <v>11709</v>
      </c>
      <c r="L1855" t="s">
        <v>11709</v>
      </c>
      <c r="M1855" t="s">
        <v>7250</v>
      </c>
      <c r="N1855">
        <v>1996</v>
      </c>
      <c r="T1855" t="s">
        <v>6546</v>
      </c>
      <c r="U1855" t="s">
        <v>6546</v>
      </c>
      <c r="V1855">
        <v>65.8</v>
      </c>
      <c r="W1855">
        <v>65.81</v>
      </c>
      <c r="X1855">
        <v>65.8</v>
      </c>
      <c r="Y1855">
        <v>36</v>
      </c>
      <c r="Z1855" t="s">
        <v>7253</v>
      </c>
      <c r="AA1855" t="s">
        <v>18986</v>
      </c>
      <c r="AC1855" t="s">
        <v>8777</v>
      </c>
      <c r="AF1855" t="s">
        <v>18987</v>
      </c>
      <c r="AI1855" t="s">
        <v>8777</v>
      </c>
      <c r="AL1855" t="s">
        <v>18988</v>
      </c>
      <c r="AO1855" t="s">
        <v>18989</v>
      </c>
    </row>
    <row r="1856" spans="1:41" hidden="1" x14ac:dyDescent="0.35">
      <c r="A1856" t="s">
        <v>18990</v>
      </c>
      <c r="B1856" t="s">
        <v>7246</v>
      </c>
      <c r="C1856" t="s">
        <v>416</v>
      </c>
      <c r="D1856" t="s">
        <v>416</v>
      </c>
      <c r="E1856" t="s">
        <v>416</v>
      </c>
      <c r="G1856" s="13" t="s">
        <v>18984</v>
      </c>
      <c r="H1856" t="s">
        <v>18991</v>
      </c>
      <c r="K1856" t="s">
        <v>11709</v>
      </c>
      <c r="L1856" t="s">
        <v>11709</v>
      </c>
      <c r="M1856" t="s">
        <v>7250</v>
      </c>
      <c r="N1856">
        <v>1997</v>
      </c>
      <c r="T1856" t="s">
        <v>6546</v>
      </c>
      <c r="U1856" t="s">
        <v>6546</v>
      </c>
      <c r="V1856">
        <v>65.8</v>
      </c>
      <c r="W1856">
        <v>65.849999999999994</v>
      </c>
      <c r="X1856">
        <v>65.8</v>
      </c>
      <c r="Y1856">
        <v>36</v>
      </c>
      <c r="Z1856" t="s">
        <v>7253</v>
      </c>
      <c r="AA1856" t="s">
        <v>18986</v>
      </c>
      <c r="AC1856" t="s">
        <v>8777</v>
      </c>
      <c r="AF1856" t="s">
        <v>18987</v>
      </c>
      <c r="AI1856" t="s">
        <v>8777</v>
      </c>
      <c r="AL1856" t="s">
        <v>18992</v>
      </c>
      <c r="AO1856" t="s">
        <v>18993</v>
      </c>
    </row>
    <row r="1857" spans="1:41" hidden="1" x14ac:dyDescent="0.35">
      <c r="A1857" t="s">
        <v>18994</v>
      </c>
      <c r="B1857" t="s">
        <v>7246</v>
      </c>
      <c r="C1857" t="s">
        <v>416</v>
      </c>
      <c r="D1857" t="s">
        <v>416</v>
      </c>
      <c r="E1857" t="s">
        <v>416</v>
      </c>
      <c r="G1857" s="13" t="s">
        <v>18984</v>
      </c>
      <c r="H1857" t="s">
        <v>18995</v>
      </c>
      <c r="K1857" t="s">
        <v>11709</v>
      </c>
      <c r="L1857" t="s">
        <v>11709</v>
      </c>
      <c r="M1857" t="s">
        <v>7250</v>
      </c>
      <c r="N1857">
        <v>2011</v>
      </c>
      <c r="T1857" t="s">
        <v>6546</v>
      </c>
      <c r="U1857" t="s">
        <v>6546</v>
      </c>
      <c r="V1857">
        <v>66.099999999999994</v>
      </c>
      <c r="W1857">
        <v>66.13</v>
      </c>
      <c r="X1857">
        <v>66.099999999999994</v>
      </c>
      <c r="Y1857">
        <v>36</v>
      </c>
      <c r="Z1857" t="s">
        <v>7253</v>
      </c>
      <c r="AA1857" t="s">
        <v>18986</v>
      </c>
      <c r="AC1857" t="s">
        <v>8777</v>
      </c>
      <c r="AF1857" t="s">
        <v>18987</v>
      </c>
      <c r="AI1857" t="s">
        <v>8777</v>
      </c>
      <c r="AL1857" t="s">
        <v>18996</v>
      </c>
      <c r="AO1857" t="s">
        <v>18997</v>
      </c>
    </row>
    <row r="1858" spans="1:41" hidden="1" x14ac:dyDescent="0.35">
      <c r="A1858" t="s">
        <v>18998</v>
      </c>
      <c r="B1858" t="s">
        <v>7246</v>
      </c>
      <c r="C1858" t="s">
        <v>416</v>
      </c>
      <c r="D1858" t="s">
        <v>416</v>
      </c>
      <c r="E1858" t="s">
        <v>416</v>
      </c>
      <c r="G1858" s="13" t="s">
        <v>18999</v>
      </c>
      <c r="H1858" t="s">
        <v>19000</v>
      </c>
      <c r="K1858" t="s">
        <v>19001</v>
      </c>
      <c r="L1858" t="s">
        <v>19002</v>
      </c>
      <c r="M1858" t="s">
        <v>7250</v>
      </c>
      <c r="N1858">
        <v>2007</v>
      </c>
      <c r="T1858" t="s">
        <v>6546</v>
      </c>
      <c r="U1858" t="s">
        <v>6546</v>
      </c>
      <c r="V1858" t="s">
        <v>6546</v>
      </c>
      <c r="W1858">
        <v>120.25</v>
      </c>
      <c r="X1858">
        <v>120.25</v>
      </c>
      <c r="Y1858">
        <v>30</v>
      </c>
      <c r="Z1858" t="s">
        <v>7253</v>
      </c>
      <c r="AA1858" t="s">
        <v>19003</v>
      </c>
      <c r="AC1858" t="s">
        <v>8777</v>
      </c>
      <c r="AF1858" t="s">
        <v>9581</v>
      </c>
      <c r="AI1858" t="s">
        <v>8777</v>
      </c>
      <c r="AO1858" t="s">
        <v>19004</v>
      </c>
    </row>
    <row r="1859" spans="1:41" hidden="1" x14ac:dyDescent="0.35">
      <c r="A1859" t="s">
        <v>19005</v>
      </c>
      <c r="B1859" t="s">
        <v>7246</v>
      </c>
      <c r="C1859" t="s">
        <v>416</v>
      </c>
      <c r="D1859" t="s">
        <v>416</v>
      </c>
      <c r="E1859" t="s">
        <v>416</v>
      </c>
      <c r="G1859" s="13" t="s">
        <v>18999</v>
      </c>
      <c r="H1859" t="s">
        <v>19006</v>
      </c>
      <c r="K1859" t="s">
        <v>19001</v>
      </c>
      <c r="L1859" t="s">
        <v>19002</v>
      </c>
      <c r="M1859" t="s">
        <v>7250</v>
      </c>
      <c r="N1859">
        <v>2007</v>
      </c>
      <c r="T1859" t="s">
        <v>6546</v>
      </c>
      <c r="U1859" t="s">
        <v>6546</v>
      </c>
      <c r="V1859" t="s">
        <v>6546</v>
      </c>
      <c r="W1859">
        <v>120.47</v>
      </c>
      <c r="X1859">
        <v>120.47</v>
      </c>
      <c r="Y1859">
        <v>30</v>
      </c>
      <c r="Z1859" t="s">
        <v>7253</v>
      </c>
      <c r="AA1859" t="s">
        <v>19003</v>
      </c>
      <c r="AC1859" t="s">
        <v>8777</v>
      </c>
      <c r="AF1859" t="s">
        <v>9581</v>
      </c>
      <c r="AI1859" t="s">
        <v>8777</v>
      </c>
      <c r="AO1859" t="s">
        <v>19007</v>
      </c>
    </row>
    <row r="1860" spans="1:41" hidden="1" x14ac:dyDescent="0.35">
      <c r="A1860" t="s">
        <v>19008</v>
      </c>
      <c r="B1860" t="s">
        <v>7246</v>
      </c>
      <c r="C1860" t="s">
        <v>416</v>
      </c>
      <c r="D1860" t="s">
        <v>416</v>
      </c>
      <c r="E1860" t="s">
        <v>416</v>
      </c>
      <c r="G1860" s="13" t="s">
        <v>19009</v>
      </c>
      <c r="H1860" t="s">
        <v>19010</v>
      </c>
      <c r="K1860" t="s">
        <v>6543</v>
      </c>
      <c r="L1860" t="s">
        <v>6543</v>
      </c>
      <c r="M1860" t="s">
        <v>7250</v>
      </c>
      <c r="N1860">
        <v>2014</v>
      </c>
      <c r="T1860" t="s">
        <v>6546</v>
      </c>
      <c r="U1860" t="s">
        <v>6546</v>
      </c>
      <c r="V1860" t="s">
        <v>6546</v>
      </c>
      <c r="W1860">
        <v>55.01</v>
      </c>
      <c r="X1860">
        <v>55.01</v>
      </c>
      <c r="Y1860">
        <v>14</v>
      </c>
      <c r="Z1860" t="s">
        <v>7253</v>
      </c>
      <c r="AA1860" t="s">
        <v>19011</v>
      </c>
      <c r="AC1860" t="s">
        <v>8777</v>
      </c>
      <c r="AF1860" t="s">
        <v>12079</v>
      </c>
      <c r="AI1860" t="s">
        <v>8777</v>
      </c>
      <c r="AO1860" t="s">
        <v>19012</v>
      </c>
    </row>
    <row r="1861" spans="1:41" hidden="1" x14ac:dyDescent="0.35">
      <c r="A1861" t="s">
        <v>19013</v>
      </c>
      <c r="B1861" t="s">
        <v>7246</v>
      </c>
      <c r="C1861" t="s">
        <v>449</v>
      </c>
      <c r="D1861" t="s">
        <v>12051</v>
      </c>
      <c r="E1861" t="s">
        <v>12052</v>
      </c>
      <c r="G1861" s="13" t="s">
        <v>19014</v>
      </c>
      <c r="H1861" t="s">
        <v>12054</v>
      </c>
      <c r="I1861" t="s">
        <v>19015</v>
      </c>
      <c r="J1861" t="s">
        <v>19016</v>
      </c>
      <c r="K1861" t="s">
        <v>12056</v>
      </c>
      <c r="L1861" t="s">
        <v>12057</v>
      </c>
      <c r="M1861" t="s">
        <v>7731</v>
      </c>
      <c r="T1861" t="s">
        <v>6546</v>
      </c>
      <c r="U1861" t="s">
        <v>6546</v>
      </c>
      <c r="V1861">
        <v>0</v>
      </c>
      <c r="W1861" t="s">
        <v>6546</v>
      </c>
      <c r="X1861">
        <v>0</v>
      </c>
      <c r="AB1861" t="s">
        <v>12058</v>
      </c>
      <c r="AC1861" t="s">
        <v>8777</v>
      </c>
      <c r="AF1861" t="s">
        <v>1842</v>
      </c>
      <c r="AI1861" t="s">
        <v>8777</v>
      </c>
      <c r="AJ1861" t="s">
        <v>9032</v>
      </c>
      <c r="AO1861" t="s">
        <v>6546</v>
      </c>
    </row>
    <row r="1862" spans="1:41" hidden="1" x14ac:dyDescent="0.35">
      <c r="A1862" t="s">
        <v>19017</v>
      </c>
      <c r="B1862" t="s">
        <v>7246</v>
      </c>
      <c r="C1862" t="s">
        <v>383</v>
      </c>
      <c r="D1862" t="s">
        <v>383</v>
      </c>
      <c r="E1862" t="s">
        <v>383</v>
      </c>
      <c r="G1862" s="13" t="s">
        <v>13506</v>
      </c>
      <c r="H1862" t="s">
        <v>19018</v>
      </c>
      <c r="J1862" t="s">
        <v>19019</v>
      </c>
      <c r="K1862" t="s">
        <v>10763</v>
      </c>
      <c r="L1862" t="s">
        <v>10763</v>
      </c>
      <c r="M1862" t="s">
        <v>7250</v>
      </c>
      <c r="N1862">
        <v>2007</v>
      </c>
      <c r="R1862">
        <v>12</v>
      </c>
      <c r="S1862" t="s">
        <v>8257</v>
      </c>
      <c r="T1862">
        <v>12</v>
      </c>
      <c r="U1862">
        <v>5584.6</v>
      </c>
      <c r="V1862">
        <v>399</v>
      </c>
      <c r="W1862">
        <v>307.08</v>
      </c>
      <c r="X1862">
        <v>399</v>
      </c>
      <c r="AB1862" t="s">
        <v>6909</v>
      </c>
      <c r="AC1862" t="s">
        <v>8859</v>
      </c>
      <c r="AE1862" t="s">
        <v>3089</v>
      </c>
      <c r="AF1862" t="s">
        <v>13510</v>
      </c>
      <c r="AH1862" t="s">
        <v>3106</v>
      </c>
      <c r="AI1862" t="s">
        <v>8859</v>
      </c>
      <c r="AO1862" t="s">
        <v>19020</v>
      </c>
    </row>
    <row r="1863" spans="1:41" hidden="1" x14ac:dyDescent="0.35">
      <c r="A1863" t="s">
        <v>19021</v>
      </c>
      <c r="B1863" t="s">
        <v>7246</v>
      </c>
      <c r="C1863" t="s">
        <v>364</v>
      </c>
      <c r="D1863" t="s">
        <v>364</v>
      </c>
      <c r="E1863" t="s">
        <v>364</v>
      </c>
      <c r="G1863" s="13" t="s">
        <v>19022</v>
      </c>
      <c r="H1863" t="s">
        <v>19023</v>
      </c>
      <c r="J1863" t="s">
        <v>19024</v>
      </c>
      <c r="K1863" t="s">
        <v>10652</v>
      </c>
      <c r="L1863" t="s">
        <v>10652</v>
      </c>
      <c r="M1863" t="s">
        <v>7292</v>
      </c>
      <c r="N1863">
        <v>2027</v>
      </c>
      <c r="R1863">
        <v>7.3</v>
      </c>
      <c r="S1863" t="s">
        <v>8257</v>
      </c>
      <c r="T1863">
        <v>7.3</v>
      </c>
      <c r="U1863">
        <v>3397.3</v>
      </c>
      <c r="V1863">
        <v>299</v>
      </c>
      <c r="W1863">
        <v>259.24</v>
      </c>
      <c r="X1863">
        <v>299</v>
      </c>
      <c r="Y1863">
        <v>24</v>
      </c>
      <c r="Z1863" t="s">
        <v>7253</v>
      </c>
      <c r="AA1863" t="s">
        <v>10662</v>
      </c>
      <c r="AB1863" t="s">
        <v>10662</v>
      </c>
      <c r="AC1863" t="s">
        <v>8523</v>
      </c>
      <c r="AE1863" t="s">
        <v>5400</v>
      </c>
      <c r="AF1863" t="s">
        <v>19025</v>
      </c>
      <c r="AH1863" t="s">
        <v>3197</v>
      </c>
      <c r="AI1863" t="s">
        <v>8523</v>
      </c>
      <c r="AL1863" t="s">
        <v>19026</v>
      </c>
      <c r="AN1863" s="13" t="s">
        <v>19027</v>
      </c>
      <c r="AO1863" t="s">
        <v>19028</v>
      </c>
    </row>
    <row r="1864" spans="1:41" hidden="1" x14ac:dyDescent="0.35">
      <c r="A1864" t="s">
        <v>19029</v>
      </c>
      <c r="B1864" t="s">
        <v>7246</v>
      </c>
      <c r="C1864" t="s">
        <v>364</v>
      </c>
      <c r="D1864" t="s">
        <v>364</v>
      </c>
      <c r="E1864" t="s">
        <v>364</v>
      </c>
      <c r="G1864" s="13" t="s">
        <v>19030</v>
      </c>
      <c r="H1864" t="s">
        <v>19031</v>
      </c>
      <c r="K1864" t="s">
        <v>10652</v>
      </c>
      <c r="L1864" t="s">
        <v>10652</v>
      </c>
      <c r="M1864" t="s">
        <v>7292</v>
      </c>
      <c r="R1864">
        <v>4.38</v>
      </c>
      <c r="S1864" t="s">
        <v>8257</v>
      </c>
      <c r="T1864">
        <v>4.38</v>
      </c>
      <c r="U1864">
        <v>2038.38</v>
      </c>
      <c r="V1864">
        <v>200</v>
      </c>
      <c r="W1864">
        <v>171.79</v>
      </c>
      <c r="X1864">
        <v>200</v>
      </c>
      <c r="Y1864">
        <v>16</v>
      </c>
      <c r="Z1864" t="s">
        <v>7253</v>
      </c>
      <c r="AA1864" t="s">
        <v>10669</v>
      </c>
      <c r="AB1864" t="s">
        <v>10669</v>
      </c>
      <c r="AC1864" t="s">
        <v>8523</v>
      </c>
      <c r="AE1864" t="s">
        <v>3197</v>
      </c>
      <c r="AF1864" t="s">
        <v>19032</v>
      </c>
      <c r="AH1864" t="s">
        <v>3197</v>
      </c>
      <c r="AI1864" t="s">
        <v>8523</v>
      </c>
      <c r="AL1864" t="s">
        <v>19033</v>
      </c>
      <c r="AN1864" s="13" t="s">
        <v>19034</v>
      </c>
      <c r="AO1864" t="s">
        <v>19035</v>
      </c>
    </row>
    <row r="1865" spans="1:41" hidden="1" x14ac:dyDescent="0.35">
      <c r="A1865" t="s">
        <v>19036</v>
      </c>
      <c r="B1865" t="s">
        <v>7246</v>
      </c>
      <c r="C1865" t="s">
        <v>364</v>
      </c>
      <c r="D1865" t="s">
        <v>364</v>
      </c>
      <c r="E1865" t="s">
        <v>364</v>
      </c>
      <c r="G1865" s="13" t="s">
        <v>19037</v>
      </c>
      <c r="H1865" t="s">
        <v>19038</v>
      </c>
      <c r="K1865" t="s">
        <v>10652</v>
      </c>
      <c r="L1865" t="s">
        <v>10652</v>
      </c>
      <c r="M1865" t="s">
        <v>7731</v>
      </c>
      <c r="R1865">
        <v>4.38</v>
      </c>
      <c r="S1865" t="s">
        <v>8257</v>
      </c>
      <c r="T1865">
        <v>4.38</v>
      </c>
      <c r="U1865">
        <v>2038.38</v>
      </c>
      <c r="V1865">
        <v>421</v>
      </c>
      <c r="W1865">
        <v>411.39</v>
      </c>
      <c r="X1865">
        <v>421</v>
      </c>
      <c r="Y1865">
        <v>18</v>
      </c>
      <c r="Z1865" t="s">
        <v>7253</v>
      </c>
      <c r="AA1865" t="s">
        <v>10669</v>
      </c>
      <c r="AB1865" t="s">
        <v>10669</v>
      </c>
      <c r="AC1865" t="s">
        <v>8523</v>
      </c>
      <c r="AE1865" t="s">
        <v>3197</v>
      </c>
      <c r="AF1865" t="s">
        <v>19025</v>
      </c>
      <c r="AH1865" t="s">
        <v>3197</v>
      </c>
      <c r="AI1865" t="s">
        <v>8523</v>
      </c>
      <c r="AL1865" t="s">
        <v>19039</v>
      </c>
      <c r="AN1865" s="13" t="s">
        <v>19040</v>
      </c>
      <c r="AO1865" t="s">
        <v>19041</v>
      </c>
    </row>
    <row r="1866" spans="1:41" hidden="1" x14ac:dyDescent="0.35">
      <c r="A1866" t="s">
        <v>19042</v>
      </c>
      <c r="B1866" t="s">
        <v>7246</v>
      </c>
      <c r="C1866" t="s">
        <v>364</v>
      </c>
      <c r="D1866" t="s">
        <v>364</v>
      </c>
      <c r="E1866" t="s">
        <v>364</v>
      </c>
      <c r="G1866" s="13" t="s">
        <v>19043</v>
      </c>
      <c r="H1866" t="s">
        <v>19044</v>
      </c>
      <c r="K1866" t="s">
        <v>10652</v>
      </c>
      <c r="L1866" t="s">
        <v>10652</v>
      </c>
      <c r="M1866" t="s">
        <v>7292</v>
      </c>
      <c r="R1866">
        <v>4.38</v>
      </c>
      <c r="S1866" t="s">
        <v>8257</v>
      </c>
      <c r="T1866">
        <v>4.38</v>
      </c>
      <c r="U1866">
        <v>2038.38</v>
      </c>
      <c r="V1866">
        <v>118</v>
      </c>
      <c r="W1866">
        <v>111.43</v>
      </c>
      <c r="X1866">
        <v>118</v>
      </c>
      <c r="Y1866">
        <v>14</v>
      </c>
      <c r="Z1866" t="s">
        <v>7253</v>
      </c>
      <c r="AA1866" t="s">
        <v>10669</v>
      </c>
      <c r="AB1866" t="s">
        <v>10669</v>
      </c>
      <c r="AC1866" t="s">
        <v>8523</v>
      </c>
      <c r="AE1866" t="s">
        <v>3197</v>
      </c>
      <c r="AF1866" t="s">
        <v>10670</v>
      </c>
      <c r="AH1866" t="s">
        <v>3197</v>
      </c>
      <c r="AI1866" t="s">
        <v>8523</v>
      </c>
      <c r="AL1866" t="s">
        <v>19045</v>
      </c>
      <c r="AN1866" s="13" t="s">
        <v>19046</v>
      </c>
      <c r="AO1866" t="s">
        <v>19047</v>
      </c>
    </row>
    <row r="1867" spans="1:41" hidden="1" x14ac:dyDescent="0.35">
      <c r="A1867" t="s">
        <v>19048</v>
      </c>
      <c r="B1867" t="s">
        <v>7246</v>
      </c>
      <c r="C1867" t="s">
        <v>364</v>
      </c>
      <c r="D1867" t="s">
        <v>364</v>
      </c>
      <c r="E1867" t="s">
        <v>364</v>
      </c>
      <c r="G1867" s="13" t="s">
        <v>19049</v>
      </c>
      <c r="H1867" t="s">
        <v>19050</v>
      </c>
      <c r="K1867" t="s">
        <v>10652</v>
      </c>
      <c r="L1867" t="s">
        <v>10652</v>
      </c>
      <c r="M1867" t="s">
        <v>7292</v>
      </c>
      <c r="R1867">
        <v>4.38</v>
      </c>
      <c r="S1867" t="s">
        <v>8257</v>
      </c>
      <c r="T1867">
        <v>4.38</v>
      </c>
      <c r="U1867">
        <v>2038.38</v>
      </c>
      <c r="V1867">
        <v>155</v>
      </c>
      <c r="W1867">
        <v>150.01</v>
      </c>
      <c r="X1867">
        <v>155</v>
      </c>
      <c r="Y1867">
        <v>14</v>
      </c>
      <c r="Z1867" t="s">
        <v>7253</v>
      </c>
      <c r="AA1867" t="s">
        <v>19051</v>
      </c>
      <c r="AB1867" t="s">
        <v>19051</v>
      </c>
      <c r="AC1867" t="s">
        <v>8523</v>
      </c>
      <c r="AE1867" t="s">
        <v>5363</v>
      </c>
      <c r="AF1867" t="s">
        <v>19052</v>
      </c>
      <c r="AH1867" t="s">
        <v>5363</v>
      </c>
      <c r="AI1867" t="s">
        <v>8523</v>
      </c>
      <c r="AL1867" t="s">
        <v>19053</v>
      </c>
      <c r="AN1867" s="13" t="s">
        <v>19054</v>
      </c>
      <c r="AO1867" t="s">
        <v>19055</v>
      </c>
    </row>
    <row r="1868" spans="1:41" hidden="1" x14ac:dyDescent="0.35">
      <c r="A1868" t="s">
        <v>19056</v>
      </c>
      <c r="B1868" t="s">
        <v>7246</v>
      </c>
      <c r="C1868" t="s">
        <v>364</v>
      </c>
      <c r="D1868" t="s">
        <v>364</v>
      </c>
      <c r="E1868" t="s">
        <v>364</v>
      </c>
      <c r="G1868" s="13" t="s">
        <v>19057</v>
      </c>
      <c r="H1868" t="s">
        <v>19058</v>
      </c>
      <c r="K1868" t="s">
        <v>10652</v>
      </c>
      <c r="L1868" t="s">
        <v>10652</v>
      </c>
      <c r="M1868" t="s">
        <v>7292</v>
      </c>
      <c r="R1868">
        <v>4.38</v>
      </c>
      <c r="S1868" t="s">
        <v>8257</v>
      </c>
      <c r="T1868">
        <v>4.38</v>
      </c>
      <c r="U1868">
        <v>2038.38</v>
      </c>
      <c r="V1868">
        <v>157</v>
      </c>
      <c r="W1868">
        <v>148.94</v>
      </c>
      <c r="X1868">
        <v>157</v>
      </c>
      <c r="Y1868">
        <v>14</v>
      </c>
      <c r="Z1868" t="s">
        <v>7253</v>
      </c>
      <c r="AA1868" t="s">
        <v>19051</v>
      </c>
      <c r="AB1868" t="s">
        <v>19051</v>
      </c>
      <c r="AC1868" t="s">
        <v>8523</v>
      </c>
      <c r="AE1868" t="s">
        <v>5363</v>
      </c>
      <c r="AF1868" t="s">
        <v>19059</v>
      </c>
      <c r="AH1868" t="s">
        <v>5363</v>
      </c>
      <c r="AI1868" t="s">
        <v>8523</v>
      </c>
      <c r="AL1868" t="s">
        <v>19060</v>
      </c>
      <c r="AN1868" s="13" t="s">
        <v>19061</v>
      </c>
      <c r="AO1868" t="s">
        <v>19062</v>
      </c>
    </row>
    <row r="1869" spans="1:41" hidden="1" x14ac:dyDescent="0.35">
      <c r="A1869" t="s">
        <v>19063</v>
      </c>
      <c r="B1869" t="s">
        <v>7246</v>
      </c>
      <c r="C1869" t="s">
        <v>364</v>
      </c>
      <c r="D1869" t="s">
        <v>364</v>
      </c>
      <c r="E1869" t="s">
        <v>364</v>
      </c>
      <c r="G1869" s="13" t="s">
        <v>19064</v>
      </c>
      <c r="H1869" t="s">
        <v>19065</v>
      </c>
      <c r="K1869" t="s">
        <v>10652</v>
      </c>
      <c r="L1869" t="s">
        <v>10652</v>
      </c>
      <c r="M1869" t="s">
        <v>7292</v>
      </c>
      <c r="R1869">
        <v>7.3</v>
      </c>
      <c r="S1869" t="s">
        <v>8257</v>
      </c>
      <c r="T1869">
        <v>7.3</v>
      </c>
      <c r="U1869">
        <v>3397.3</v>
      </c>
      <c r="V1869">
        <v>106</v>
      </c>
      <c r="W1869">
        <v>105.83</v>
      </c>
      <c r="X1869">
        <v>106</v>
      </c>
      <c r="Y1869">
        <v>24</v>
      </c>
      <c r="Z1869" t="s">
        <v>7253</v>
      </c>
      <c r="AA1869" t="s">
        <v>19066</v>
      </c>
      <c r="AB1869" t="s">
        <v>19066</v>
      </c>
      <c r="AC1869" t="s">
        <v>8523</v>
      </c>
      <c r="AE1869" t="s">
        <v>19067</v>
      </c>
      <c r="AF1869" t="s">
        <v>16936</v>
      </c>
      <c r="AH1869" t="s">
        <v>19067</v>
      </c>
      <c r="AI1869" t="s">
        <v>8523</v>
      </c>
      <c r="AL1869" t="s">
        <v>19068</v>
      </c>
      <c r="AN1869" s="13" t="s">
        <v>19069</v>
      </c>
      <c r="AO1869" t="s">
        <v>19070</v>
      </c>
    </row>
    <row r="1870" spans="1:41" hidden="1" x14ac:dyDescent="0.35">
      <c r="A1870" t="s">
        <v>19071</v>
      </c>
      <c r="B1870" t="s">
        <v>7246</v>
      </c>
      <c r="C1870" t="s">
        <v>364</v>
      </c>
      <c r="D1870" t="s">
        <v>364</v>
      </c>
      <c r="E1870" t="s">
        <v>364</v>
      </c>
      <c r="G1870" s="13" t="s">
        <v>19072</v>
      </c>
      <c r="H1870" t="s">
        <v>19073</v>
      </c>
      <c r="K1870" t="s">
        <v>6543</v>
      </c>
      <c r="L1870" t="s">
        <v>6543</v>
      </c>
      <c r="M1870" t="s">
        <v>7292</v>
      </c>
      <c r="R1870">
        <v>1.28</v>
      </c>
      <c r="S1870" t="s">
        <v>8257</v>
      </c>
      <c r="T1870">
        <v>1.28</v>
      </c>
      <c r="U1870">
        <v>595.69000000000005</v>
      </c>
      <c r="V1870">
        <v>249</v>
      </c>
      <c r="W1870">
        <v>239.63</v>
      </c>
      <c r="X1870">
        <v>249</v>
      </c>
      <c r="Y1870">
        <v>16</v>
      </c>
      <c r="Z1870" t="s">
        <v>7253</v>
      </c>
      <c r="AB1870" t="s">
        <v>19074</v>
      </c>
      <c r="AC1870" t="s">
        <v>8523</v>
      </c>
      <c r="AE1870" t="s">
        <v>19075</v>
      </c>
      <c r="AF1870" t="s">
        <v>19076</v>
      </c>
      <c r="AH1870" t="s">
        <v>3202</v>
      </c>
      <c r="AI1870" t="s">
        <v>8523</v>
      </c>
      <c r="AL1870" t="s">
        <v>19077</v>
      </c>
      <c r="AN1870" s="13" t="s">
        <v>19078</v>
      </c>
      <c r="AO1870" t="s">
        <v>19079</v>
      </c>
    </row>
    <row r="1871" spans="1:41" hidden="1" x14ac:dyDescent="0.35">
      <c r="A1871" t="s">
        <v>19080</v>
      </c>
      <c r="B1871" t="s">
        <v>7246</v>
      </c>
      <c r="C1871" t="s">
        <v>364</v>
      </c>
      <c r="D1871" t="s">
        <v>364</v>
      </c>
      <c r="E1871" t="s">
        <v>364</v>
      </c>
      <c r="G1871" s="13" t="s">
        <v>19081</v>
      </c>
      <c r="H1871" t="s">
        <v>19082</v>
      </c>
      <c r="I1871" t="s">
        <v>19083</v>
      </c>
      <c r="K1871" t="s">
        <v>6543</v>
      </c>
      <c r="L1871" t="s">
        <v>6543</v>
      </c>
      <c r="M1871" t="s">
        <v>7292</v>
      </c>
      <c r="R1871">
        <v>5.48</v>
      </c>
      <c r="S1871" t="s">
        <v>8257</v>
      </c>
      <c r="T1871">
        <v>5.48</v>
      </c>
      <c r="U1871">
        <v>2547.9699999999998</v>
      </c>
      <c r="V1871">
        <v>594</v>
      </c>
      <c r="W1871">
        <v>564.04999999999995</v>
      </c>
      <c r="X1871">
        <v>594</v>
      </c>
      <c r="Y1871">
        <v>24</v>
      </c>
      <c r="Z1871" t="s">
        <v>7253</v>
      </c>
      <c r="AB1871" t="s">
        <v>18114</v>
      </c>
      <c r="AC1871" t="s">
        <v>8523</v>
      </c>
      <c r="AE1871" t="s">
        <v>3202</v>
      </c>
      <c r="AF1871" t="s">
        <v>19084</v>
      </c>
      <c r="AH1871" t="s">
        <v>3202</v>
      </c>
      <c r="AI1871" t="s">
        <v>8523</v>
      </c>
      <c r="AL1871" t="s">
        <v>19085</v>
      </c>
      <c r="AM1871" t="s">
        <v>19083</v>
      </c>
      <c r="AN1871" s="13" t="s">
        <v>19086</v>
      </c>
      <c r="AO1871" t="s">
        <v>19087</v>
      </c>
    </row>
    <row r="1872" spans="1:41" hidden="1" x14ac:dyDescent="0.35">
      <c r="A1872" t="s">
        <v>19088</v>
      </c>
      <c r="B1872" t="s">
        <v>7246</v>
      </c>
      <c r="C1872" t="s">
        <v>364</v>
      </c>
      <c r="D1872" t="s">
        <v>364</v>
      </c>
      <c r="E1872" t="s">
        <v>364</v>
      </c>
      <c r="G1872" s="13" t="s">
        <v>19089</v>
      </c>
      <c r="H1872" t="s">
        <v>19090</v>
      </c>
      <c r="J1872" t="s">
        <v>19091</v>
      </c>
      <c r="K1872" t="s">
        <v>6543</v>
      </c>
      <c r="L1872" t="s">
        <v>6543</v>
      </c>
      <c r="M1872" t="s">
        <v>7292</v>
      </c>
      <c r="R1872">
        <v>2.92</v>
      </c>
      <c r="S1872" t="s">
        <v>8257</v>
      </c>
      <c r="T1872">
        <v>2.92</v>
      </c>
      <c r="U1872">
        <v>1358.92</v>
      </c>
      <c r="V1872">
        <v>1168</v>
      </c>
      <c r="W1872">
        <v>1076.1500000000001</v>
      </c>
      <c r="X1872">
        <v>1168</v>
      </c>
      <c r="Y1872">
        <v>20</v>
      </c>
      <c r="Z1872" t="s">
        <v>7253</v>
      </c>
      <c r="AB1872" t="s">
        <v>19092</v>
      </c>
      <c r="AC1872" t="s">
        <v>8523</v>
      </c>
      <c r="AE1872" t="s">
        <v>5400</v>
      </c>
      <c r="AF1872" t="s">
        <v>3205</v>
      </c>
      <c r="AH1872" t="s">
        <v>3202</v>
      </c>
      <c r="AI1872" t="s">
        <v>8523</v>
      </c>
      <c r="AL1872" t="s">
        <v>19093</v>
      </c>
      <c r="AN1872" s="13" t="s">
        <v>19094</v>
      </c>
      <c r="AO1872" t="s">
        <v>19095</v>
      </c>
    </row>
    <row r="1873" spans="1:41" hidden="1" x14ac:dyDescent="0.35">
      <c r="A1873" t="s">
        <v>19096</v>
      </c>
      <c r="B1873" t="s">
        <v>7246</v>
      </c>
      <c r="C1873" t="s">
        <v>364</v>
      </c>
      <c r="D1873" t="s">
        <v>364</v>
      </c>
      <c r="E1873" t="s">
        <v>364</v>
      </c>
      <c r="G1873" s="13" t="s">
        <v>19097</v>
      </c>
      <c r="H1873" t="s">
        <v>19098</v>
      </c>
      <c r="J1873" t="s">
        <v>19099</v>
      </c>
      <c r="K1873" t="s">
        <v>6543</v>
      </c>
      <c r="L1873" t="s">
        <v>6543</v>
      </c>
      <c r="M1873" t="s">
        <v>7292</v>
      </c>
      <c r="R1873">
        <v>2.92</v>
      </c>
      <c r="S1873" t="s">
        <v>8257</v>
      </c>
      <c r="T1873">
        <v>2.92</v>
      </c>
      <c r="U1873">
        <v>1358.92</v>
      </c>
      <c r="V1873">
        <v>1237</v>
      </c>
      <c r="W1873">
        <v>1105.3900000000001</v>
      </c>
      <c r="X1873">
        <v>1237</v>
      </c>
      <c r="Y1873">
        <v>20</v>
      </c>
      <c r="Z1873" t="s">
        <v>7253</v>
      </c>
      <c r="AB1873" t="s">
        <v>19100</v>
      </c>
      <c r="AC1873" t="s">
        <v>8523</v>
      </c>
      <c r="AE1873" t="s">
        <v>5400</v>
      </c>
      <c r="AF1873" t="s">
        <v>3844</v>
      </c>
      <c r="AH1873" t="s">
        <v>3202</v>
      </c>
      <c r="AI1873" t="s">
        <v>8523</v>
      </c>
      <c r="AL1873" t="s">
        <v>19101</v>
      </c>
      <c r="AN1873" s="13" t="s">
        <v>19102</v>
      </c>
      <c r="AO1873" t="s">
        <v>19103</v>
      </c>
    </row>
    <row r="1874" spans="1:41" hidden="1" x14ac:dyDescent="0.35">
      <c r="A1874" t="s">
        <v>19104</v>
      </c>
      <c r="B1874" t="s">
        <v>7246</v>
      </c>
      <c r="C1874" t="s">
        <v>364</v>
      </c>
      <c r="D1874" t="s">
        <v>364</v>
      </c>
      <c r="E1874" t="s">
        <v>364</v>
      </c>
      <c r="G1874" s="13" t="s">
        <v>19105</v>
      </c>
      <c r="H1874" t="s">
        <v>19106</v>
      </c>
      <c r="K1874" t="s">
        <v>6543</v>
      </c>
      <c r="L1874" t="s">
        <v>6543</v>
      </c>
      <c r="M1874" t="s">
        <v>7292</v>
      </c>
      <c r="R1874">
        <v>4.38</v>
      </c>
      <c r="S1874" t="s">
        <v>8257</v>
      </c>
      <c r="T1874">
        <v>4.38</v>
      </c>
      <c r="U1874">
        <v>2038.38</v>
      </c>
      <c r="V1874">
        <v>332</v>
      </c>
      <c r="W1874">
        <v>316.64</v>
      </c>
      <c r="X1874">
        <v>332</v>
      </c>
      <c r="Y1874">
        <v>20</v>
      </c>
      <c r="Z1874" t="s">
        <v>7253</v>
      </c>
      <c r="AB1874" t="s">
        <v>19107</v>
      </c>
      <c r="AC1874" t="s">
        <v>8523</v>
      </c>
      <c r="AE1874" t="s">
        <v>5363</v>
      </c>
      <c r="AF1874" t="s">
        <v>19108</v>
      </c>
      <c r="AH1874" t="s">
        <v>3191</v>
      </c>
      <c r="AI1874" t="s">
        <v>8523</v>
      </c>
      <c r="AL1874" t="s">
        <v>19109</v>
      </c>
      <c r="AN1874" s="13" t="s">
        <v>19110</v>
      </c>
      <c r="AO1874" t="s">
        <v>19111</v>
      </c>
    </row>
    <row r="1875" spans="1:41" hidden="1" x14ac:dyDescent="0.35">
      <c r="A1875" t="s">
        <v>19112</v>
      </c>
      <c r="B1875" t="s">
        <v>7246</v>
      </c>
      <c r="C1875" t="s">
        <v>364</v>
      </c>
      <c r="D1875" t="s">
        <v>364</v>
      </c>
      <c r="E1875" t="s">
        <v>364</v>
      </c>
      <c r="G1875" s="13" t="s">
        <v>19113</v>
      </c>
      <c r="H1875" t="s">
        <v>19114</v>
      </c>
      <c r="K1875" t="s">
        <v>6543</v>
      </c>
      <c r="L1875" t="s">
        <v>6543</v>
      </c>
      <c r="M1875" t="s">
        <v>7292</v>
      </c>
      <c r="R1875">
        <v>2.92</v>
      </c>
      <c r="S1875" t="s">
        <v>8257</v>
      </c>
      <c r="T1875">
        <v>2.92</v>
      </c>
      <c r="U1875">
        <v>1358.92</v>
      </c>
      <c r="V1875">
        <v>684</v>
      </c>
      <c r="W1875">
        <v>669</v>
      </c>
      <c r="X1875">
        <v>684</v>
      </c>
      <c r="Y1875">
        <v>20</v>
      </c>
      <c r="Z1875" t="s">
        <v>7253</v>
      </c>
      <c r="AB1875" t="s">
        <v>19115</v>
      </c>
      <c r="AC1875" t="s">
        <v>8523</v>
      </c>
      <c r="AE1875" t="s">
        <v>5369</v>
      </c>
      <c r="AF1875" t="s">
        <v>19116</v>
      </c>
      <c r="AH1875" t="s">
        <v>5360</v>
      </c>
      <c r="AI1875" t="s">
        <v>8523</v>
      </c>
      <c r="AL1875" t="s">
        <v>19117</v>
      </c>
      <c r="AN1875" s="13" t="s">
        <v>19118</v>
      </c>
      <c r="AO1875" t="s">
        <v>19119</v>
      </c>
    </row>
    <row r="1876" spans="1:41" hidden="1" x14ac:dyDescent="0.35">
      <c r="A1876" t="s">
        <v>19120</v>
      </c>
      <c r="B1876" t="s">
        <v>7246</v>
      </c>
      <c r="C1876" t="s">
        <v>364</v>
      </c>
      <c r="D1876" t="s">
        <v>364</v>
      </c>
      <c r="E1876" t="s">
        <v>364</v>
      </c>
      <c r="G1876" s="13" t="s">
        <v>19121</v>
      </c>
      <c r="H1876" t="s">
        <v>19122</v>
      </c>
      <c r="K1876" t="s">
        <v>6543</v>
      </c>
      <c r="L1876" t="s">
        <v>6543</v>
      </c>
      <c r="M1876" t="s">
        <v>7292</v>
      </c>
      <c r="R1876">
        <v>3.29</v>
      </c>
      <c r="S1876" t="s">
        <v>8257</v>
      </c>
      <c r="T1876">
        <v>3.29</v>
      </c>
      <c r="U1876">
        <v>1531.11</v>
      </c>
      <c r="V1876">
        <v>282</v>
      </c>
      <c r="W1876">
        <v>265.02</v>
      </c>
      <c r="X1876">
        <v>282</v>
      </c>
      <c r="Y1876">
        <v>20</v>
      </c>
      <c r="Z1876" t="s">
        <v>7253</v>
      </c>
      <c r="AB1876" t="s">
        <v>19115</v>
      </c>
      <c r="AC1876" t="s">
        <v>8523</v>
      </c>
      <c r="AE1876" t="s">
        <v>5369</v>
      </c>
      <c r="AF1876" t="s">
        <v>19123</v>
      </c>
      <c r="AH1876" t="s">
        <v>5369</v>
      </c>
      <c r="AI1876" t="s">
        <v>8523</v>
      </c>
      <c r="AL1876" t="s">
        <v>19124</v>
      </c>
      <c r="AN1876" s="13" t="s">
        <v>19125</v>
      </c>
      <c r="AO1876" t="s">
        <v>19126</v>
      </c>
    </row>
    <row r="1877" spans="1:41" hidden="1" x14ac:dyDescent="0.35">
      <c r="A1877" t="s">
        <v>19127</v>
      </c>
      <c r="B1877" t="s">
        <v>7246</v>
      </c>
      <c r="C1877" t="s">
        <v>364</v>
      </c>
      <c r="D1877" t="s">
        <v>364</v>
      </c>
      <c r="E1877" t="s">
        <v>364</v>
      </c>
      <c r="G1877" s="13" t="s">
        <v>19128</v>
      </c>
      <c r="H1877" t="s">
        <v>19129</v>
      </c>
      <c r="K1877" t="s">
        <v>6543</v>
      </c>
      <c r="L1877" t="s">
        <v>6543</v>
      </c>
      <c r="M1877" t="s">
        <v>7292</v>
      </c>
      <c r="R1877">
        <v>2.92</v>
      </c>
      <c r="S1877" t="s">
        <v>8257</v>
      </c>
      <c r="T1877">
        <v>2.92</v>
      </c>
      <c r="U1877">
        <v>1358.92</v>
      </c>
      <c r="V1877">
        <v>677</v>
      </c>
      <c r="W1877">
        <v>676.78</v>
      </c>
      <c r="X1877">
        <v>677</v>
      </c>
      <c r="Y1877">
        <v>20</v>
      </c>
      <c r="Z1877" t="s">
        <v>7253</v>
      </c>
      <c r="AB1877" t="s">
        <v>19115</v>
      </c>
      <c r="AC1877" t="s">
        <v>8523</v>
      </c>
      <c r="AE1877" t="s">
        <v>5369</v>
      </c>
      <c r="AF1877" t="s">
        <v>19130</v>
      </c>
      <c r="AH1877" t="s">
        <v>19131</v>
      </c>
      <c r="AI1877" t="s">
        <v>8523</v>
      </c>
      <c r="AL1877" t="s">
        <v>19132</v>
      </c>
      <c r="AN1877" s="13" t="s">
        <v>19133</v>
      </c>
      <c r="AO1877" t="s">
        <v>19134</v>
      </c>
    </row>
    <row r="1878" spans="1:41" hidden="1" x14ac:dyDescent="0.35">
      <c r="A1878" t="s">
        <v>19135</v>
      </c>
      <c r="B1878" t="s">
        <v>7246</v>
      </c>
      <c r="C1878" t="s">
        <v>406</v>
      </c>
      <c r="D1878" t="s">
        <v>19136</v>
      </c>
      <c r="E1878" t="s">
        <v>19137</v>
      </c>
      <c r="G1878" s="13" t="s">
        <v>19138</v>
      </c>
      <c r="H1878" t="s">
        <v>19139</v>
      </c>
      <c r="K1878" t="s">
        <v>6543</v>
      </c>
      <c r="L1878" t="s">
        <v>6543</v>
      </c>
      <c r="M1878" t="s">
        <v>7292</v>
      </c>
      <c r="N1878">
        <v>2029</v>
      </c>
      <c r="T1878" t="s">
        <v>6546</v>
      </c>
      <c r="U1878" t="s">
        <v>6546</v>
      </c>
      <c r="V1878">
        <v>600</v>
      </c>
      <c r="W1878">
        <v>1494.98</v>
      </c>
      <c r="X1878">
        <v>600</v>
      </c>
      <c r="AB1878" t="s">
        <v>8553</v>
      </c>
      <c r="AC1878" t="s">
        <v>7255</v>
      </c>
      <c r="AE1878" t="s">
        <v>6236</v>
      </c>
      <c r="AF1878" t="s">
        <v>19140</v>
      </c>
      <c r="AI1878" t="s">
        <v>8523</v>
      </c>
      <c r="AL1878" t="s">
        <v>19141</v>
      </c>
      <c r="AN1878" s="13" t="s">
        <v>19142</v>
      </c>
      <c r="AO1878" t="s">
        <v>19143</v>
      </c>
    </row>
    <row r="1879" spans="1:41" hidden="1" x14ac:dyDescent="0.35">
      <c r="A1879" t="s">
        <v>19144</v>
      </c>
      <c r="B1879" t="s">
        <v>7246</v>
      </c>
      <c r="C1879" t="s">
        <v>5583</v>
      </c>
      <c r="D1879" t="s">
        <v>5844</v>
      </c>
      <c r="E1879" t="s">
        <v>19145</v>
      </c>
      <c r="G1879" s="13" t="s">
        <v>19146</v>
      </c>
      <c r="H1879" t="s">
        <v>19147</v>
      </c>
      <c r="J1879" t="s">
        <v>19148</v>
      </c>
      <c r="K1879" t="s">
        <v>19149</v>
      </c>
      <c r="L1879" t="s">
        <v>19150</v>
      </c>
      <c r="M1879" t="s">
        <v>7415</v>
      </c>
      <c r="N1879">
        <v>2023</v>
      </c>
      <c r="R1879">
        <v>1.8</v>
      </c>
      <c r="S1879" t="s">
        <v>8257</v>
      </c>
      <c r="T1879">
        <v>1.8</v>
      </c>
      <c r="U1879">
        <v>837.69</v>
      </c>
      <c r="V1879">
        <v>170</v>
      </c>
      <c r="W1879">
        <v>162.29</v>
      </c>
      <c r="X1879">
        <v>170</v>
      </c>
      <c r="Y1879">
        <v>27.6</v>
      </c>
      <c r="Z1879" t="s">
        <v>7253</v>
      </c>
      <c r="AC1879" t="s">
        <v>8777</v>
      </c>
      <c r="AI1879" t="s">
        <v>8777</v>
      </c>
      <c r="AJ1879" t="s">
        <v>6407</v>
      </c>
      <c r="AO1879" t="s">
        <v>19151</v>
      </c>
    </row>
    <row r="1880" spans="1:41" x14ac:dyDescent="0.35">
      <c r="A1880" t="s">
        <v>19152</v>
      </c>
      <c r="B1880" t="s">
        <v>7246</v>
      </c>
      <c r="C1880" t="s">
        <v>24</v>
      </c>
      <c r="D1880" t="s">
        <v>24</v>
      </c>
      <c r="E1880" t="s">
        <v>24</v>
      </c>
      <c r="F1880" t="s">
        <v>354</v>
      </c>
      <c r="G1880" s="13" t="s">
        <v>19153</v>
      </c>
      <c r="H1880" t="s">
        <v>19154</v>
      </c>
      <c r="K1880" t="s">
        <v>19155</v>
      </c>
      <c r="L1880" t="s">
        <v>19155</v>
      </c>
      <c r="M1880" t="s">
        <v>7269</v>
      </c>
      <c r="T1880" t="s">
        <v>6546</v>
      </c>
      <c r="U1880" t="s">
        <v>6546</v>
      </c>
      <c r="V1880">
        <v>219</v>
      </c>
      <c r="W1880">
        <v>204.11</v>
      </c>
      <c r="X1880">
        <v>219</v>
      </c>
      <c r="AB1880" t="s">
        <v>19156</v>
      </c>
      <c r="AC1880" t="s">
        <v>9165</v>
      </c>
      <c r="AE1880" t="s">
        <v>4124</v>
      </c>
      <c r="AF1880" t="s">
        <v>17366</v>
      </c>
      <c r="AH1880" t="s">
        <v>4124</v>
      </c>
      <c r="AI1880" t="s">
        <v>9165</v>
      </c>
      <c r="AO1880" t="s">
        <v>19157</v>
      </c>
    </row>
    <row r="1881" spans="1:41" x14ac:dyDescent="0.35">
      <c r="A1881" t="s">
        <v>19158</v>
      </c>
      <c r="B1881" t="s">
        <v>7246</v>
      </c>
      <c r="C1881" t="s">
        <v>24</v>
      </c>
      <c r="D1881" t="s">
        <v>24</v>
      </c>
      <c r="E1881" t="s">
        <v>24</v>
      </c>
      <c r="F1881" t="s">
        <v>354</v>
      </c>
      <c r="G1881" s="13" t="s">
        <v>19159</v>
      </c>
      <c r="H1881" t="s">
        <v>19160</v>
      </c>
      <c r="K1881" t="s">
        <v>19161</v>
      </c>
      <c r="L1881" t="s">
        <v>19161</v>
      </c>
      <c r="M1881" t="s">
        <v>7250</v>
      </c>
      <c r="N1881">
        <v>2015</v>
      </c>
      <c r="R1881">
        <v>64</v>
      </c>
      <c r="S1881" t="s">
        <v>9164</v>
      </c>
      <c r="T1881">
        <v>0.65</v>
      </c>
      <c r="U1881">
        <v>304.61</v>
      </c>
      <c r="V1881">
        <v>270</v>
      </c>
      <c r="W1881">
        <v>243.92</v>
      </c>
      <c r="X1881">
        <v>270</v>
      </c>
      <c r="AB1881" t="s">
        <v>19162</v>
      </c>
      <c r="AC1881" t="s">
        <v>9165</v>
      </c>
      <c r="AE1881" t="s">
        <v>6388</v>
      </c>
      <c r="AH1881" t="s">
        <v>6388</v>
      </c>
      <c r="AI1881" t="s">
        <v>9165</v>
      </c>
      <c r="AO1881" t="s">
        <v>19163</v>
      </c>
    </row>
    <row r="1882" spans="1:41" hidden="1" x14ac:dyDescent="0.35">
      <c r="A1882" t="s">
        <v>19164</v>
      </c>
      <c r="B1882" t="s">
        <v>7246</v>
      </c>
      <c r="C1882" t="s">
        <v>383</v>
      </c>
      <c r="D1882" t="s">
        <v>383</v>
      </c>
      <c r="E1882" t="s">
        <v>383</v>
      </c>
      <c r="G1882" s="13" t="s">
        <v>19165</v>
      </c>
      <c r="H1882" t="s">
        <v>19166</v>
      </c>
      <c r="K1882" t="s">
        <v>10763</v>
      </c>
      <c r="L1882" t="s">
        <v>10763</v>
      </c>
      <c r="M1882" t="s">
        <v>7250</v>
      </c>
      <c r="N1882">
        <v>2004</v>
      </c>
      <c r="R1882">
        <v>107</v>
      </c>
      <c r="S1882" t="s">
        <v>8792</v>
      </c>
      <c r="T1882">
        <v>39.08</v>
      </c>
      <c r="U1882">
        <v>18188</v>
      </c>
      <c r="V1882">
        <v>770</v>
      </c>
      <c r="W1882">
        <v>560.19000000000005</v>
      </c>
      <c r="X1882">
        <v>770</v>
      </c>
      <c r="AB1882" t="s">
        <v>6909</v>
      </c>
      <c r="AC1882" t="s">
        <v>8859</v>
      </c>
      <c r="AE1882" t="s">
        <v>3089</v>
      </c>
      <c r="AF1882" t="s">
        <v>2728</v>
      </c>
      <c r="AH1882" t="s">
        <v>3104</v>
      </c>
      <c r="AI1882" t="s">
        <v>8859</v>
      </c>
      <c r="AO1882" t="s">
        <v>19167</v>
      </c>
    </row>
    <row r="1883" spans="1:41" hidden="1" x14ac:dyDescent="0.35">
      <c r="A1883" t="s">
        <v>19168</v>
      </c>
      <c r="B1883" t="s">
        <v>7246</v>
      </c>
      <c r="C1883" t="s">
        <v>5583</v>
      </c>
      <c r="D1883" t="s">
        <v>5583</v>
      </c>
      <c r="E1883" t="s">
        <v>5583</v>
      </c>
      <c r="G1883" s="13" t="s">
        <v>12658</v>
      </c>
      <c r="H1883" t="s">
        <v>12659</v>
      </c>
      <c r="K1883" t="s">
        <v>11898</v>
      </c>
      <c r="L1883" t="s">
        <v>11899</v>
      </c>
      <c r="M1883" t="s">
        <v>7250</v>
      </c>
      <c r="R1883">
        <v>25.2</v>
      </c>
      <c r="S1883" t="s">
        <v>8257</v>
      </c>
      <c r="T1883">
        <v>25.2</v>
      </c>
      <c r="U1883">
        <v>11727.66</v>
      </c>
      <c r="V1883">
        <v>2765</v>
      </c>
      <c r="W1883">
        <v>865.6</v>
      </c>
      <c r="X1883">
        <v>2765</v>
      </c>
      <c r="AC1883" t="s">
        <v>8777</v>
      </c>
      <c r="AI1883" t="s">
        <v>8777</v>
      </c>
      <c r="AO1883" t="s">
        <v>19169</v>
      </c>
    </row>
    <row r="1884" spans="1:41" x14ac:dyDescent="0.35">
      <c r="A1884" t="s">
        <v>19170</v>
      </c>
      <c r="B1884" t="s">
        <v>7246</v>
      </c>
      <c r="C1884" t="s">
        <v>24</v>
      </c>
      <c r="D1884" t="s">
        <v>24</v>
      </c>
      <c r="E1884" t="s">
        <v>24</v>
      </c>
      <c r="F1884" t="s">
        <v>354</v>
      </c>
      <c r="G1884" s="13" t="s">
        <v>19171</v>
      </c>
      <c r="H1884" t="s">
        <v>19172</v>
      </c>
      <c r="J1884" t="s">
        <v>19173</v>
      </c>
      <c r="K1884" t="s">
        <v>12647</v>
      </c>
      <c r="L1884" t="s">
        <v>12648</v>
      </c>
      <c r="M1884" t="s">
        <v>7292</v>
      </c>
      <c r="N1884">
        <v>2028</v>
      </c>
      <c r="R1884">
        <v>200</v>
      </c>
      <c r="S1884" t="s">
        <v>9164</v>
      </c>
      <c r="T1884">
        <v>2.0499999999999998</v>
      </c>
      <c r="U1884">
        <v>951.9</v>
      </c>
      <c r="V1884">
        <v>585</v>
      </c>
      <c r="W1884">
        <v>580.26</v>
      </c>
      <c r="X1884">
        <v>585</v>
      </c>
      <c r="AB1884" t="s">
        <v>12649</v>
      </c>
      <c r="AC1884" t="s">
        <v>9165</v>
      </c>
      <c r="AE1884" t="s">
        <v>2973</v>
      </c>
      <c r="AF1884" t="s">
        <v>19174</v>
      </c>
      <c r="AH1884" t="s">
        <v>2973</v>
      </c>
      <c r="AI1884" t="s">
        <v>9165</v>
      </c>
      <c r="AO1884" t="s">
        <v>19175</v>
      </c>
    </row>
    <row r="1885" spans="1:41" hidden="1" x14ac:dyDescent="0.35">
      <c r="A1885" t="s">
        <v>19176</v>
      </c>
      <c r="B1885" t="s">
        <v>7246</v>
      </c>
      <c r="C1885" t="s">
        <v>5705</v>
      </c>
      <c r="D1885" t="s">
        <v>5714</v>
      </c>
      <c r="E1885" t="s">
        <v>19177</v>
      </c>
      <c r="G1885" s="13" t="s">
        <v>11983</v>
      </c>
      <c r="H1885" t="s">
        <v>11984</v>
      </c>
      <c r="J1885" t="s">
        <v>19178</v>
      </c>
      <c r="K1885" t="s">
        <v>9799</v>
      </c>
      <c r="L1885" t="s">
        <v>9800</v>
      </c>
      <c r="M1885" t="s">
        <v>7292</v>
      </c>
      <c r="N1885">
        <v>2025</v>
      </c>
      <c r="R1885">
        <v>1.24</v>
      </c>
      <c r="S1885" t="s">
        <v>8257</v>
      </c>
      <c r="T1885">
        <v>1.24</v>
      </c>
      <c r="U1885">
        <v>577.54</v>
      </c>
      <c r="V1885">
        <v>191</v>
      </c>
      <c r="W1885">
        <v>412.1</v>
      </c>
      <c r="X1885">
        <v>191</v>
      </c>
      <c r="AB1885" t="s">
        <v>19179</v>
      </c>
      <c r="AC1885" t="s">
        <v>8777</v>
      </c>
      <c r="AF1885" t="s">
        <v>16472</v>
      </c>
      <c r="AI1885" t="s">
        <v>8777</v>
      </c>
      <c r="AJ1885" t="s">
        <v>9032</v>
      </c>
      <c r="AO1885" t="s">
        <v>19180</v>
      </c>
    </row>
    <row r="1886" spans="1:41" hidden="1" x14ac:dyDescent="0.35">
      <c r="A1886" t="s">
        <v>19181</v>
      </c>
      <c r="B1886" t="s">
        <v>7246</v>
      </c>
      <c r="C1886" t="s">
        <v>5705</v>
      </c>
      <c r="D1886" t="s">
        <v>5705</v>
      </c>
      <c r="E1886" t="s">
        <v>5705</v>
      </c>
      <c r="G1886" s="13" t="s">
        <v>13488</v>
      </c>
      <c r="H1886" t="s">
        <v>13489</v>
      </c>
      <c r="K1886" t="s">
        <v>13491</v>
      </c>
      <c r="L1886" t="s">
        <v>13492</v>
      </c>
      <c r="M1886" t="s">
        <v>7250</v>
      </c>
      <c r="N1886">
        <v>2015</v>
      </c>
      <c r="R1886">
        <v>4.5</v>
      </c>
      <c r="S1886" t="s">
        <v>8257</v>
      </c>
      <c r="T1886">
        <v>4.5</v>
      </c>
      <c r="U1886">
        <v>2094.23</v>
      </c>
      <c r="V1886">
        <v>113</v>
      </c>
      <c r="W1886">
        <v>99.76</v>
      </c>
      <c r="X1886">
        <v>113</v>
      </c>
      <c r="AB1886" t="s">
        <v>19182</v>
      </c>
      <c r="AC1886" t="s">
        <v>8777</v>
      </c>
      <c r="AF1886" t="s">
        <v>19183</v>
      </c>
      <c r="AI1886" t="s">
        <v>8777</v>
      </c>
      <c r="AO1886" t="s">
        <v>19184</v>
      </c>
    </row>
    <row r="1887" spans="1:41" hidden="1" x14ac:dyDescent="0.35">
      <c r="A1887" t="s">
        <v>19185</v>
      </c>
      <c r="B1887" t="s">
        <v>7246</v>
      </c>
      <c r="C1887" t="s">
        <v>383</v>
      </c>
      <c r="D1887" t="s">
        <v>383</v>
      </c>
      <c r="E1887" t="s">
        <v>383</v>
      </c>
      <c r="G1887" s="13" t="s">
        <v>19186</v>
      </c>
      <c r="H1887" t="s">
        <v>19187</v>
      </c>
      <c r="J1887" t="s">
        <v>19188</v>
      </c>
      <c r="K1887" t="s">
        <v>19189</v>
      </c>
      <c r="L1887" t="s">
        <v>19190</v>
      </c>
      <c r="M1887" t="s">
        <v>7250</v>
      </c>
      <c r="N1887">
        <v>2008</v>
      </c>
      <c r="R1887">
        <v>31.05</v>
      </c>
      <c r="S1887" t="s">
        <v>8257</v>
      </c>
      <c r="T1887">
        <v>31.05</v>
      </c>
      <c r="U1887">
        <v>14450.16</v>
      </c>
      <c r="V1887">
        <v>1386</v>
      </c>
      <c r="W1887">
        <v>1102.79</v>
      </c>
      <c r="X1887">
        <v>1386</v>
      </c>
      <c r="AA1887" t="s">
        <v>19191</v>
      </c>
      <c r="AB1887" t="s">
        <v>10982</v>
      </c>
      <c r="AC1887" t="s">
        <v>8859</v>
      </c>
      <c r="AE1887" t="s">
        <v>3075</v>
      </c>
      <c r="AF1887" t="s">
        <v>19192</v>
      </c>
      <c r="AH1887" t="s">
        <v>3089</v>
      </c>
      <c r="AI1887" t="s">
        <v>8859</v>
      </c>
      <c r="AO1887" t="s">
        <v>19193</v>
      </c>
    </row>
    <row r="1888" spans="1:41" x14ac:dyDescent="0.35">
      <c r="A1888" t="s">
        <v>19194</v>
      </c>
      <c r="B1888" t="s">
        <v>7246</v>
      </c>
      <c r="C1888" t="s">
        <v>24</v>
      </c>
      <c r="D1888" t="s">
        <v>24</v>
      </c>
      <c r="E1888" t="s">
        <v>24</v>
      </c>
      <c r="F1888" t="s">
        <v>354</v>
      </c>
      <c r="G1888" s="13" t="s">
        <v>19195</v>
      </c>
      <c r="H1888" t="s">
        <v>19196</v>
      </c>
      <c r="J1888" t="s">
        <v>19197</v>
      </c>
      <c r="K1888" t="s">
        <v>18755</v>
      </c>
      <c r="L1888" t="s">
        <v>18755</v>
      </c>
      <c r="M1888" t="s">
        <v>7250</v>
      </c>
      <c r="N1888">
        <v>2014</v>
      </c>
      <c r="R1888">
        <v>1355.38</v>
      </c>
      <c r="S1888" t="s">
        <v>7251</v>
      </c>
      <c r="T1888">
        <v>14.02</v>
      </c>
      <c r="U1888">
        <v>6523.9</v>
      </c>
      <c r="V1888">
        <v>435</v>
      </c>
      <c r="W1888">
        <v>400.83</v>
      </c>
      <c r="X1888">
        <v>435</v>
      </c>
      <c r="AA1888" t="s">
        <v>18710</v>
      </c>
      <c r="AB1888" t="s">
        <v>19198</v>
      </c>
      <c r="AC1888" t="s">
        <v>9165</v>
      </c>
      <c r="AE1888" t="s">
        <v>2973</v>
      </c>
      <c r="AF1888" t="s">
        <v>6423</v>
      </c>
      <c r="AH1888" t="s">
        <v>2973</v>
      </c>
      <c r="AI1888" t="s">
        <v>9165</v>
      </c>
      <c r="AO1888" t="s">
        <v>19199</v>
      </c>
    </row>
    <row r="1889" spans="1:41" hidden="1" x14ac:dyDescent="0.35">
      <c r="A1889" t="s">
        <v>19200</v>
      </c>
      <c r="B1889" t="s">
        <v>7246</v>
      </c>
      <c r="C1889" t="s">
        <v>383</v>
      </c>
      <c r="D1889" t="s">
        <v>383</v>
      </c>
      <c r="E1889" t="s">
        <v>383</v>
      </c>
      <c r="G1889" s="13" t="s">
        <v>19201</v>
      </c>
      <c r="H1889" t="s">
        <v>19202</v>
      </c>
      <c r="K1889" t="s">
        <v>19203</v>
      </c>
      <c r="L1889" t="s">
        <v>19203</v>
      </c>
      <c r="M1889" t="s">
        <v>7731</v>
      </c>
      <c r="R1889">
        <v>36</v>
      </c>
      <c r="S1889" t="s">
        <v>8792</v>
      </c>
      <c r="T1889">
        <v>13.15</v>
      </c>
      <c r="U1889">
        <v>6119.33</v>
      </c>
      <c r="V1889">
        <v>430</v>
      </c>
      <c r="W1889">
        <v>240.44</v>
      </c>
      <c r="X1889">
        <v>430</v>
      </c>
      <c r="AB1889" t="s">
        <v>6906</v>
      </c>
      <c r="AC1889" t="s">
        <v>8859</v>
      </c>
      <c r="AE1889" t="s">
        <v>3112</v>
      </c>
      <c r="AF1889" t="s">
        <v>10985</v>
      </c>
      <c r="AH1889" t="s">
        <v>3075</v>
      </c>
      <c r="AI1889" t="s">
        <v>8859</v>
      </c>
      <c r="AO1889" t="s">
        <v>19204</v>
      </c>
    </row>
    <row r="1890" spans="1:41" hidden="1" x14ac:dyDescent="0.35">
      <c r="A1890" t="s">
        <v>19205</v>
      </c>
      <c r="B1890" t="s">
        <v>7246</v>
      </c>
      <c r="C1890" t="s">
        <v>383</v>
      </c>
      <c r="D1890" t="s">
        <v>383</v>
      </c>
      <c r="E1890" t="s">
        <v>383</v>
      </c>
      <c r="G1890" s="13" t="s">
        <v>19206</v>
      </c>
      <c r="H1890" t="s">
        <v>19207</v>
      </c>
      <c r="K1890" t="s">
        <v>13496</v>
      </c>
      <c r="L1890" t="s">
        <v>13496</v>
      </c>
      <c r="M1890" t="s">
        <v>7415</v>
      </c>
      <c r="N1890">
        <v>2022</v>
      </c>
      <c r="R1890">
        <v>84.67</v>
      </c>
      <c r="S1890" t="s">
        <v>8792</v>
      </c>
      <c r="T1890">
        <v>30.93</v>
      </c>
      <c r="U1890">
        <v>14392.32</v>
      </c>
      <c r="V1890">
        <v>1431</v>
      </c>
      <c r="W1890">
        <v>582.73</v>
      </c>
      <c r="X1890">
        <v>1431</v>
      </c>
      <c r="AB1890" t="s">
        <v>6906</v>
      </c>
      <c r="AC1890" t="s">
        <v>8859</v>
      </c>
      <c r="AE1890" t="s">
        <v>3112</v>
      </c>
      <c r="AF1890" t="s">
        <v>19208</v>
      </c>
      <c r="AH1890" t="s">
        <v>3112</v>
      </c>
      <c r="AI1890" t="s">
        <v>8859</v>
      </c>
      <c r="AO1890" t="s">
        <v>19209</v>
      </c>
    </row>
    <row r="1891" spans="1:41" hidden="1" x14ac:dyDescent="0.35">
      <c r="A1891" t="s">
        <v>19210</v>
      </c>
      <c r="B1891" t="s">
        <v>7246</v>
      </c>
      <c r="C1891" t="s">
        <v>5586</v>
      </c>
      <c r="D1891" t="s">
        <v>5858</v>
      </c>
      <c r="E1891" t="s">
        <v>12012</v>
      </c>
      <c r="G1891" s="13" t="s">
        <v>19211</v>
      </c>
      <c r="H1891" t="s">
        <v>19212</v>
      </c>
      <c r="J1891" t="s">
        <v>19213</v>
      </c>
      <c r="K1891" t="s">
        <v>19214</v>
      </c>
      <c r="L1891" t="s">
        <v>19215</v>
      </c>
      <c r="M1891" t="s">
        <v>7292</v>
      </c>
      <c r="N1891">
        <v>2023</v>
      </c>
      <c r="R1891">
        <v>5</v>
      </c>
      <c r="S1891" t="s">
        <v>8257</v>
      </c>
      <c r="T1891">
        <v>5</v>
      </c>
      <c r="U1891">
        <v>2326.92</v>
      </c>
      <c r="V1891">
        <v>72.8</v>
      </c>
      <c r="W1891">
        <v>67.91</v>
      </c>
      <c r="X1891">
        <v>72.8</v>
      </c>
      <c r="AB1891" t="s">
        <v>19216</v>
      </c>
      <c r="AC1891" t="s">
        <v>8777</v>
      </c>
      <c r="AF1891" t="s">
        <v>16471</v>
      </c>
      <c r="AI1891" t="s">
        <v>8777</v>
      </c>
      <c r="AJ1891" t="s">
        <v>9032</v>
      </c>
      <c r="AK1891">
        <v>2022</v>
      </c>
      <c r="AL1891" t="s">
        <v>19217</v>
      </c>
      <c r="AO1891" t="s">
        <v>19218</v>
      </c>
    </row>
    <row r="1892" spans="1:41" x14ac:dyDescent="0.35">
      <c r="A1892" t="s">
        <v>19219</v>
      </c>
      <c r="B1892" t="s">
        <v>7246</v>
      </c>
      <c r="C1892" t="s">
        <v>24</v>
      </c>
      <c r="D1892" t="s">
        <v>24</v>
      </c>
      <c r="E1892" t="s">
        <v>24</v>
      </c>
      <c r="F1892" t="s">
        <v>354</v>
      </c>
      <c r="G1892" s="13" t="s">
        <v>19220</v>
      </c>
      <c r="H1892" t="s">
        <v>19221</v>
      </c>
      <c r="K1892" t="s">
        <v>19222</v>
      </c>
      <c r="L1892" t="s">
        <v>19222</v>
      </c>
      <c r="M1892" t="s">
        <v>7269</v>
      </c>
      <c r="T1892" t="s">
        <v>6546</v>
      </c>
      <c r="U1892" t="s">
        <v>6546</v>
      </c>
      <c r="V1892">
        <v>100</v>
      </c>
      <c r="W1892">
        <v>96.54</v>
      </c>
      <c r="X1892">
        <v>100</v>
      </c>
      <c r="AB1892" t="s">
        <v>19223</v>
      </c>
      <c r="AC1892" t="s">
        <v>9165</v>
      </c>
      <c r="AE1892" t="s">
        <v>4124</v>
      </c>
      <c r="AF1892" t="s">
        <v>19224</v>
      </c>
      <c r="AH1892" t="s">
        <v>4124</v>
      </c>
      <c r="AI1892" t="s">
        <v>9165</v>
      </c>
      <c r="AO1892" t="s">
        <v>19225</v>
      </c>
    </row>
    <row r="1893" spans="1:41" hidden="1" x14ac:dyDescent="0.35">
      <c r="A1893" t="s">
        <v>19226</v>
      </c>
      <c r="B1893" t="s">
        <v>7246</v>
      </c>
      <c r="C1893" t="s">
        <v>12051</v>
      </c>
      <c r="D1893" t="s">
        <v>12051</v>
      </c>
      <c r="E1893" t="s">
        <v>12051</v>
      </c>
      <c r="G1893" s="13" t="s">
        <v>19227</v>
      </c>
      <c r="H1893" t="s">
        <v>19228</v>
      </c>
      <c r="K1893" t="s">
        <v>12056</v>
      </c>
      <c r="L1893" t="s">
        <v>12057</v>
      </c>
      <c r="M1893" t="s">
        <v>7292</v>
      </c>
      <c r="N1893">
        <v>2024</v>
      </c>
      <c r="R1893">
        <v>87.9</v>
      </c>
      <c r="S1893" t="s">
        <v>7251</v>
      </c>
      <c r="T1893">
        <v>0.91</v>
      </c>
      <c r="U1893">
        <v>423.09</v>
      </c>
      <c r="V1893">
        <v>26</v>
      </c>
      <c r="W1893">
        <v>24.89</v>
      </c>
      <c r="X1893">
        <v>26</v>
      </c>
      <c r="AB1893" t="s">
        <v>19229</v>
      </c>
      <c r="AC1893" t="s">
        <v>8777</v>
      </c>
      <c r="AE1893" t="s">
        <v>19230</v>
      </c>
      <c r="AF1893" t="s">
        <v>19231</v>
      </c>
      <c r="AH1893" t="s">
        <v>19232</v>
      </c>
      <c r="AI1893" t="s">
        <v>8777</v>
      </c>
      <c r="AJ1893" t="s">
        <v>9032</v>
      </c>
      <c r="AO1893" t="s">
        <v>19233</v>
      </c>
    </row>
    <row r="1894" spans="1:41" x14ac:dyDescent="0.35">
      <c r="A1894" t="s">
        <v>19234</v>
      </c>
      <c r="B1894" t="s">
        <v>7246</v>
      </c>
      <c r="C1894" t="s">
        <v>24</v>
      </c>
      <c r="D1894" t="s">
        <v>24</v>
      </c>
      <c r="E1894" t="s">
        <v>24</v>
      </c>
      <c r="F1894" t="s">
        <v>354</v>
      </c>
      <c r="G1894" s="13" t="s">
        <v>19235</v>
      </c>
      <c r="H1894" t="s">
        <v>19236</v>
      </c>
      <c r="J1894" t="s">
        <v>19173</v>
      </c>
      <c r="K1894" t="s">
        <v>19237</v>
      </c>
      <c r="L1894" t="s">
        <v>19237</v>
      </c>
      <c r="M1894" t="s">
        <v>7250</v>
      </c>
      <c r="N1894">
        <v>1996</v>
      </c>
      <c r="R1894">
        <v>202.5</v>
      </c>
      <c r="S1894" t="s">
        <v>9164</v>
      </c>
      <c r="T1894">
        <v>2.0699999999999998</v>
      </c>
      <c r="U1894">
        <v>963.79</v>
      </c>
      <c r="V1894">
        <v>1380</v>
      </c>
      <c r="W1894">
        <v>1427.61</v>
      </c>
      <c r="X1894">
        <v>1380</v>
      </c>
      <c r="AA1894" t="s">
        <v>17333</v>
      </c>
      <c r="AC1894" t="s">
        <v>9165</v>
      </c>
      <c r="AE1894" t="s">
        <v>6388</v>
      </c>
      <c r="AF1894" t="s">
        <v>19238</v>
      </c>
      <c r="AH1894" t="s">
        <v>6388</v>
      </c>
      <c r="AI1894" t="s">
        <v>9165</v>
      </c>
      <c r="AO1894" t="s">
        <v>19239</v>
      </c>
    </row>
    <row r="1895" spans="1:41" hidden="1" x14ac:dyDescent="0.35">
      <c r="A1895" t="s">
        <v>19240</v>
      </c>
      <c r="B1895" t="s">
        <v>7246</v>
      </c>
      <c r="C1895" t="s">
        <v>5714</v>
      </c>
      <c r="D1895" t="s">
        <v>5714</v>
      </c>
      <c r="E1895" t="s">
        <v>5714</v>
      </c>
      <c r="G1895" s="13" t="s">
        <v>16810</v>
      </c>
      <c r="H1895" t="s">
        <v>16811</v>
      </c>
      <c r="I1895" t="s">
        <v>19241</v>
      </c>
      <c r="K1895" t="s">
        <v>13602</v>
      </c>
      <c r="L1895" t="s">
        <v>13602</v>
      </c>
      <c r="M1895" t="s">
        <v>7250</v>
      </c>
      <c r="N1895">
        <v>2005</v>
      </c>
      <c r="R1895">
        <v>8.8000000000000007</v>
      </c>
      <c r="S1895" t="s">
        <v>8257</v>
      </c>
      <c r="T1895">
        <v>8.8000000000000007</v>
      </c>
      <c r="U1895">
        <v>4095.37</v>
      </c>
      <c r="V1895">
        <v>94</v>
      </c>
      <c r="W1895">
        <v>83.7</v>
      </c>
      <c r="X1895">
        <v>94</v>
      </c>
      <c r="Y1895">
        <v>48</v>
      </c>
      <c r="Z1895" t="s">
        <v>7253</v>
      </c>
      <c r="AB1895" t="s">
        <v>2229</v>
      </c>
      <c r="AC1895" t="s">
        <v>8777</v>
      </c>
      <c r="AE1895" t="s">
        <v>16819</v>
      </c>
      <c r="AF1895" t="s">
        <v>16822</v>
      </c>
      <c r="AH1895" t="s">
        <v>16823</v>
      </c>
      <c r="AI1895" t="s">
        <v>8777</v>
      </c>
      <c r="AO1895" t="s">
        <v>19242</v>
      </c>
    </row>
    <row r="1896" spans="1:41" hidden="1" x14ac:dyDescent="0.35">
      <c r="A1896" t="s">
        <v>19243</v>
      </c>
      <c r="B1896" t="s">
        <v>7246</v>
      </c>
      <c r="C1896" t="s">
        <v>5694</v>
      </c>
      <c r="D1896" t="s">
        <v>5714</v>
      </c>
      <c r="E1896" t="s">
        <v>11880</v>
      </c>
      <c r="G1896" s="13" t="s">
        <v>19244</v>
      </c>
      <c r="H1896" t="s">
        <v>19245</v>
      </c>
      <c r="K1896" t="s">
        <v>10355</v>
      </c>
      <c r="L1896" t="s">
        <v>10356</v>
      </c>
      <c r="M1896" t="s">
        <v>7292</v>
      </c>
      <c r="N1896">
        <v>2023</v>
      </c>
      <c r="O1896">
        <v>2025</v>
      </c>
      <c r="R1896">
        <v>15</v>
      </c>
      <c r="S1896" t="s">
        <v>8257</v>
      </c>
      <c r="T1896">
        <v>15</v>
      </c>
      <c r="U1896">
        <v>6980.75</v>
      </c>
      <c r="V1896">
        <v>976</v>
      </c>
      <c r="W1896">
        <v>726.58</v>
      </c>
      <c r="X1896">
        <v>976</v>
      </c>
      <c r="Y1896" t="s">
        <v>19246</v>
      </c>
      <c r="Z1896" t="s">
        <v>7253</v>
      </c>
      <c r="AC1896" t="s">
        <v>8777</v>
      </c>
      <c r="AD1896" t="s">
        <v>11980</v>
      </c>
      <c r="AF1896" t="s">
        <v>19247</v>
      </c>
      <c r="AI1896" t="s">
        <v>8777</v>
      </c>
      <c r="AJ1896" t="s">
        <v>9032</v>
      </c>
      <c r="AO1896" t="s">
        <v>19248</v>
      </c>
    </row>
    <row r="1897" spans="1:41" hidden="1" x14ac:dyDescent="0.35">
      <c r="A1897" t="s">
        <v>19249</v>
      </c>
      <c r="B1897" t="s">
        <v>7246</v>
      </c>
      <c r="C1897" t="s">
        <v>5802</v>
      </c>
      <c r="D1897" t="s">
        <v>5802</v>
      </c>
      <c r="E1897" t="s">
        <v>5802</v>
      </c>
      <c r="G1897" s="13" t="s">
        <v>19250</v>
      </c>
      <c r="H1897" t="s">
        <v>19251</v>
      </c>
      <c r="K1897" t="s">
        <v>11195</v>
      </c>
      <c r="L1897" t="s">
        <v>11195</v>
      </c>
      <c r="M1897" t="s">
        <v>7731</v>
      </c>
      <c r="N1897">
        <v>2029</v>
      </c>
      <c r="T1897" t="s">
        <v>6546</v>
      </c>
      <c r="U1897" t="s">
        <v>6546</v>
      </c>
      <c r="V1897">
        <v>135</v>
      </c>
      <c r="W1897">
        <v>141.83000000000001</v>
      </c>
      <c r="X1897">
        <v>135</v>
      </c>
      <c r="AB1897" t="s">
        <v>13761</v>
      </c>
      <c r="AC1897" t="s">
        <v>8777</v>
      </c>
      <c r="AF1897" t="s">
        <v>18545</v>
      </c>
      <c r="AI1897" t="s">
        <v>8777</v>
      </c>
      <c r="AJ1897" t="s">
        <v>9032</v>
      </c>
      <c r="AO1897" t="s">
        <v>19252</v>
      </c>
    </row>
    <row r="1898" spans="1:41" hidden="1" x14ac:dyDescent="0.35">
      <c r="A1898" t="s">
        <v>19253</v>
      </c>
      <c r="B1898" t="s">
        <v>7246</v>
      </c>
      <c r="C1898" t="s">
        <v>5802</v>
      </c>
      <c r="D1898" t="s">
        <v>5802</v>
      </c>
      <c r="E1898" t="s">
        <v>5802</v>
      </c>
      <c r="G1898" s="13" t="s">
        <v>19254</v>
      </c>
      <c r="H1898" t="s">
        <v>19255</v>
      </c>
      <c r="K1898" t="s">
        <v>11195</v>
      </c>
      <c r="L1898" t="s">
        <v>11195</v>
      </c>
      <c r="M1898" t="s">
        <v>7292</v>
      </c>
      <c r="N1898">
        <v>2029</v>
      </c>
      <c r="T1898" t="s">
        <v>6546</v>
      </c>
      <c r="U1898" t="s">
        <v>6546</v>
      </c>
      <c r="V1898">
        <v>103</v>
      </c>
      <c r="W1898">
        <v>118.85</v>
      </c>
      <c r="X1898">
        <v>103</v>
      </c>
      <c r="Y1898">
        <v>1000</v>
      </c>
      <c r="Z1898" t="s">
        <v>8842</v>
      </c>
      <c r="AB1898" t="s">
        <v>19256</v>
      </c>
      <c r="AC1898" t="s">
        <v>8777</v>
      </c>
      <c r="AF1898" t="s">
        <v>18545</v>
      </c>
      <c r="AI1898" t="s">
        <v>8777</v>
      </c>
      <c r="AJ1898" t="s">
        <v>6407</v>
      </c>
      <c r="AK1898">
        <v>2021</v>
      </c>
      <c r="AO1898" t="s">
        <v>19257</v>
      </c>
    </row>
    <row r="1899" spans="1:41" hidden="1" x14ac:dyDescent="0.35">
      <c r="A1899" t="s">
        <v>19258</v>
      </c>
      <c r="B1899" t="s">
        <v>7246</v>
      </c>
      <c r="C1899" t="s">
        <v>364</v>
      </c>
      <c r="D1899" t="s">
        <v>364</v>
      </c>
      <c r="E1899" t="s">
        <v>364</v>
      </c>
      <c r="G1899" s="13" t="s">
        <v>19081</v>
      </c>
      <c r="H1899" t="s">
        <v>19082</v>
      </c>
      <c r="I1899" t="s">
        <v>19259</v>
      </c>
      <c r="K1899" t="s">
        <v>19260</v>
      </c>
      <c r="L1899" t="s">
        <v>19261</v>
      </c>
      <c r="M1899" t="s">
        <v>7250</v>
      </c>
      <c r="R1899">
        <v>1.02</v>
      </c>
      <c r="S1899" t="s">
        <v>8257</v>
      </c>
      <c r="T1899">
        <v>1.02</v>
      </c>
      <c r="U1899">
        <v>474.69</v>
      </c>
      <c r="V1899">
        <v>25</v>
      </c>
      <c r="W1899">
        <v>23.61</v>
      </c>
      <c r="X1899">
        <v>25</v>
      </c>
      <c r="Y1899">
        <v>24</v>
      </c>
      <c r="Z1899" t="s">
        <v>7253</v>
      </c>
      <c r="AB1899" t="s">
        <v>14971</v>
      </c>
      <c r="AC1899" t="s">
        <v>8523</v>
      </c>
      <c r="AE1899" t="s">
        <v>3202</v>
      </c>
      <c r="AF1899" t="s">
        <v>18114</v>
      </c>
      <c r="AH1899" t="s">
        <v>3202</v>
      </c>
      <c r="AI1899" t="s">
        <v>8523</v>
      </c>
      <c r="AL1899" t="s">
        <v>19085</v>
      </c>
      <c r="AM1899" t="s">
        <v>19259</v>
      </c>
      <c r="AN1899" s="13" t="s">
        <v>19086</v>
      </c>
      <c r="AO1899" t="s">
        <v>19262</v>
      </c>
    </row>
    <row r="1900" spans="1:41" hidden="1" x14ac:dyDescent="0.35">
      <c r="A1900" t="s">
        <v>19263</v>
      </c>
      <c r="B1900" t="s">
        <v>7246</v>
      </c>
      <c r="C1900" t="s">
        <v>364</v>
      </c>
      <c r="D1900" t="s">
        <v>364</v>
      </c>
      <c r="E1900" t="s">
        <v>364</v>
      </c>
      <c r="G1900" s="13" t="s">
        <v>19081</v>
      </c>
      <c r="H1900" t="s">
        <v>19082</v>
      </c>
      <c r="I1900" t="s">
        <v>19264</v>
      </c>
      <c r="K1900" t="s">
        <v>19260</v>
      </c>
      <c r="L1900" t="s">
        <v>19261</v>
      </c>
      <c r="M1900" t="s">
        <v>7250</v>
      </c>
      <c r="R1900">
        <v>0.44</v>
      </c>
      <c r="S1900" t="s">
        <v>8257</v>
      </c>
      <c r="T1900">
        <v>0.44</v>
      </c>
      <c r="U1900">
        <v>204.77</v>
      </c>
      <c r="V1900">
        <v>25</v>
      </c>
      <c r="W1900">
        <v>23.25</v>
      </c>
      <c r="X1900">
        <v>25</v>
      </c>
      <c r="Y1900">
        <v>24</v>
      </c>
      <c r="Z1900" t="s">
        <v>7253</v>
      </c>
      <c r="AB1900" t="s">
        <v>19084</v>
      </c>
      <c r="AC1900" t="s">
        <v>8523</v>
      </c>
      <c r="AE1900" t="s">
        <v>3202</v>
      </c>
      <c r="AF1900" t="s">
        <v>3205</v>
      </c>
      <c r="AH1900" t="s">
        <v>3202</v>
      </c>
      <c r="AI1900" t="s">
        <v>8523</v>
      </c>
      <c r="AL1900" t="s">
        <v>19085</v>
      </c>
      <c r="AM1900" t="s">
        <v>19264</v>
      </c>
      <c r="AN1900" s="13" t="s">
        <v>19086</v>
      </c>
      <c r="AO1900" t="s">
        <v>19265</v>
      </c>
    </row>
    <row r="1901" spans="1:41" x14ac:dyDescent="0.35">
      <c r="A1901" t="s">
        <v>19266</v>
      </c>
      <c r="B1901" t="s">
        <v>7246</v>
      </c>
      <c r="C1901" t="s">
        <v>24</v>
      </c>
      <c r="D1901" t="s">
        <v>24</v>
      </c>
      <c r="E1901" t="s">
        <v>24</v>
      </c>
      <c r="F1901" t="s">
        <v>354</v>
      </c>
      <c r="G1901" s="13" t="s">
        <v>19267</v>
      </c>
      <c r="H1901" t="s">
        <v>19268</v>
      </c>
      <c r="K1901" t="s">
        <v>17298</v>
      </c>
      <c r="L1901" t="s">
        <v>17298</v>
      </c>
      <c r="M1901" t="s">
        <v>7250</v>
      </c>
      <c r="N1901">
        <v>2017</v>
      </c>
      <c r="R1901">
        <v>284.35000000000002</v>
      </c>
      <c r="S1901" t="s">
        <v>7251</v>
      </c>
      <c r="T1901">
        <v>2.94</v>
      </c>
      <c r="U1901">
        <v>1368.67</v>
      </c>
      <c r="V1901" t="s">
        <v>6546</v>
      </c>
      <c r="W1901">
        <v>227.34</v>
      </c>
      <c r="X1901">
        <v>227.34</v>
      </c>
      <c r="AA1901" t="s">
        <v>19269</v>
      </c>
      <c r="AC1901" t="s">
        <v>9165</v>
      </c>
      <c r="AE1901" t="s">
        <v>6388</v>
      </c>
      <c r="AF1901" t="s">
        <v>18780</v>
      </c>
      <c r="AH1901" t="s">
        <v>6388</v>
      </c>
      <c r="AI1901" t="s">
        <v>9165</v>
      </c>
      <c r="AO1901" t="s">
        <v>19270</v>
      </c>
    </row>
    <row r="1902" spans="1:41" hidden="1" x14ac:dyDescent="0.35">
      <c r="A1902" t="s">
        <v>19271</v>
      </c>
      <c r="B1902" t="s">
        <v>7246</v>
      </c>
      <c r="C1902" t="s">
        <v>5802</v>
      </c>
      <c r="D1902" t="s">
        <v>5802</v>
      </c>
      <c r="E1902" t="s">
        <v>5802</v>
      </c>
      <c r="G1902" s="13" t="s">
        <v>19272</v>
      </c>
      <c r="H1902" t="s">
        <v>19273</v>
      </c>
      <c r="K1902" t="s">
        <v>11195</v>
      </c>
      <c r="L1902" t="s">
        <v>11195</v>
      </c>
      <c r="M1902" t="s">
        <v>7292</v>
      </c>
      <c r="N1902">
        <v>2029</v>
      </c>
      <c r="T1902" t="s">
        <v>6546</v>
      </c>
      <c r="U1902" t="s">
        <v>6546</v>
      </c>
      <c r="V1902">
        <v>85</v>
      </c>
      <c r="W1902">
        <v>77.959999999999994</v>
      </c>
      <c r="X1902">
        <v>85</v>
      </c>
      <c r="Y1902">
        <v>1000</v>
      </c>
      <c r="Z1902" t="s">
        <v>8842</v>
      </c>
      <c r="AB1902" t="s">
        <v>19274</v>
      </c>
      <c r="AC1902" t="s">
        <v>8777</v>
      </c>
      <c r="AF1902" t="s">
        <v>19256</v>
      </c>
      <c r="AI1902" t="s">
        <v>8777</v>
      </c>
      <c r="AJ1902" t="s">
        <v>6407</v>
      </c>
      <c r="AO1902" t="s">
        <v>19275</v>
      </c>
    </row>
    <row r="1903" spans="1:41" hidden="1" x14ac:dyDescent="0.35">
      <c r="A1903" t="s">
        <v>19276</v>
      </c>
      <c r="B1903" t="s">
        <v>7246</v>
      </c>
      <c r="C1903" t="s">
        <v>5802</v>
      </c>
      <c r="D1903" t="s">
        <v>5802</v>
      </c>
      <c r="E1903" t="s">
        <v>5802</v>
      </c>
      <c r="G1903" s="13" t="s">
        <v>19277</v>
      </c>
      <c r="H1903" t="s">
        <v>19278</v>
      </c>
      <c r="K1903" t="s">
        <v>11195</v>
      </c>
      <c r="L1903" t="s">
        <v>11195</v>
      </c>
      <c r="M1903" t="s">
        <v>7292</v>
      </c>
      <c r="N1903">
        <v>2029</v>
      </c>
      <c r="T1903" t="s">
        <v>6546</v>
      </c>
      <c r="U1903" t="s">
        <v>6546</v>
      </c>
      <c r="V1903">
        <v>39</v>
      </c>
      <c r="W1903">
        <v>34.18</v>
      </c>
      <c r="X1903">
        <v>39</v>
      </c>
      <c r="Y1903">
        <v>39.369999999999997</v>
      </c>
      <c r="Z1903" t="s">
        <v>7253</v>
      </c>
      <c r="AB1903" t="s">
        <v>11169</v>
      </c>
      <c r="AC1903" t="s">
        <v>8777</v>
      </c>
      <c r="AF1903" t="s">
        <v>19274</v>
      </c>
      <c r="AI1903" t="s">
        <v>8777</v>
      </c>
      <c r="AJ1903" t="s">
        <v>6407</v>
      </c>
      <c r="AO1903" t="s">
        <v>19279</v>
      </c>
    </row>
    <row r="1904" spans="1:41" x14ac:dyDescent="0.35">
      <c r="A1904" t="s">
        <v>19280</v>
      </c>
      <c r="B1904" t="s">
        <v>7246</v>
      </c>
      <c r="C1904" t="s">
        <v>24</v>
      </c>
      <c r="D1904" t="s">
        <v>24</v>
      </c>
      <c r="E1904" t="s">
        <v>24</v>
      </c>
      <c r="F1904" t="s">
        <v>354</v>
      </c>
      <c r="G1904" s="13" t="s">
        <v>19281</v>
      </c>
      <c r="H1904" t="s">
        <v>19282</v>
      </c>
      <c r="K1904" t="s">
        <v>13307</v>
      </c>
      <c r="L1904" t="s">
        <v>13307</v>
      </c>
      <c r="M1904" t="s">
        <v>7731</v>
      </c>
      <c r="N1904">
        <v>2021</v>
      </c>
      <c r="R1904">
        <v>132.69</v>
      </c>
      <c r="S1904" t="s">
        <v>7251</v>
      </c>
      <c r="T1904">
        <v>1.37</v>
      </c>
      <c r="U1904">
        <v>638.67999999999995</v>
      </c>
      <c r="V1904">
        <v>32</v>
      </c>
      <c r="W1904">
        <v>33.5</v>
      </c>
      <c r="X1904">
        <v>32</v>
      </c>
      <c r="AA1904" t="s">
        <v>19283</v>
      </c>
      <c r="AB1904" t="s">
        <v>18787</v>
      </c>
      <c r="AC1904" t="s">
        <v>9165</v>
      </c>
      <c r="AE1904" t="s">
        <v>2973</v>
      </c>
      <c r="AF1904" t="s">
        <v>18785</v>
      </c>
      <c r="AH1904" t="s">
        <v>2973</v>
      </c>
      <c r="AI1904" t="s">
        <v>9165</v>
      </c>
      <c r="AO1904" t="s">
        <v>19284</v>
      </c>
    </row>
    <row r="1905" spans="1:41" hidden="1" x14ac:dyDescent="0.35">
      <c r="A1905" t="s">
        <v>19285</v>
      </c>
      <c r="B1905" t="s">
        <v>7246</v>
      </c>
      <c r="C1905" t="s">
        <v>383</v>
      </c>
      <c r="D1905" t="s">
        <v>383</v>
      </c>
      <c r="E1905" t="s">
        <v>383</v>
      </c>
      <c r="G1905" s="13" t="s">
        <v>19286</v>
      </c>
      <c r="H1905" t="s">
        <v>19287</v>
      </c>
      <c r="K1905" t="s">
        <v>10763</v>
      </c>
      <c r="L1905" t="s">
        <v>10763</v>
      </c>
      <c r="M1905" t="s">
        <v>7250</v>
      </c>
      <c r="R1905">
        <v>6.33</v>
      </c>
      <c r="S1905" t="s">
        <v>8257</v>
      </c>
      <c r="T1905">
        <v>6.33</v>
      </c>
      <c r="U1905">
        <v>2945.88</v>
      </c>
      <c r="V1905">
        <v>671</v>
      </c>
      <c r="W1905">
        <v>171.85</v>
      </c>
      <c r="X1905">
        <v>671</v>
      </c>
      <c r="AC1905" t="s">
        <v>8859</v>
      </c>
      <c r="AI1905" t="s">
        <v>8859</v>
      </c>
      <c r="AO1905" t="s">
        <v>19288</v>
      </c>
    </row>
    <row r="1906" spans="1:41" hidden="1" x14ac:dyDescent="0.35">
      <c r="A1906" t="s">
        <v>19289</v>
      </c>
      <c r="B1906" t="s">
        <v>7246</v>
      </c>
      <c r="C1906" t="s">
        <v>5802</v>
      </c>
      <c r="D1906" t="s">
        <v>5802</v>
      </c>
      <c r="E1906" t="s">
        <v>5802</v>
      </c>
      <c r="G1906" s="13" t="s">
        <v>19290</v>
      </c>
      <c r="H1906" t="s">
        <v>19291</v>
      </c>
      <c r="K1906" t="s">
        <v>11195</v>
      </c>
      <c r="L1906" t="s">
        <v>11195</v>
      </c>
      <c r="M1906" t="s">
        <v>7250</v>
      </c>
      <c r="N1906">
        <v>2020</v>
      </c>
      <c r="T1906" t="s">
        <v>6546</v>
      </c>
      <c r="U1906" t="s">
        <v>6546</v>
      </c>
      <c r="V1906">
        <v>72</v>
      </c>
      <c r="W1906">
        <v>33.18</v>
      </c>
      <c r="X1906">
        <v>72</v>
      </c>
      <c r="Y1906">
        <v>1000</v>
      </c>
      <c r="Z1906" t="s">
        <v>8842</v>
      </c>
      <c r="AB1906" t="s">
        <v>11169</v>
      </c>
      <c r="AC1906" t="s">
        <v>8777</v>
      </c>
      <c r="AF1906" t="s">
        <v>11196</v>
      </c>
      <c r="AI1906" t="s">
        <v>8777</v>
      </c>
      <c r="AJ1906" t="s">
        <v>6407</v>
      </c>
      <c r="AO1906" t="s">
        <v>19292</v>
      </c>
    </row>
    <row r="1907" spans="1:41" x14ac:dyDescent="0.35">
      <c r="A1907" t="s">
        <v>19293</v>
      </c>
      <c r="B1907" t="s">
        <v>7246</v>
      </c>
      <c r="C1907" t="s">
        <v>24</v>
      </c>
      <c r="D1907" t="s">
        <v>24</v>
      </c>
      <c r="E1907" t="s">
        <v>24</v>
      </c>
      <c r="F1907" t="s">
        <v>354</v>
      </c>
      <c r="G1907" s="13" t="s">
        <v>19294</v>
      </c>
      <c r="H1907" t="s">
        <v>19295</v>
      </c>
      <c r="J1907" t="s">
        <v>19296</v>
      </c>
      <c r="K1907" t="s">
        <v>9163</v>
      </c>
      <c r="L1907" t="s">
        <v>9163</v>
      </c>
      <c r="M1907" t="s">
        <v>7250</v>
      </c>
      <c r="N1907">
        <v>1996</v>
      </c>
      <c r="R1907">
        <v>26</v>
      </c>
      <c r="S1907" t="s">
        <v>9164</v>
      </c>
      <c r="T1907">
        <v>0.27</v>
      </c>
      <c r="U1907">
        <v>123.75</v>
      </c>
      <c r="V1907">
        <v>44</v>
      </c>
      <c r="W1907">
        <v>53.5</v>
      </c>
      <c r="X1907">
        <v>44</v>
      </c>
      <c r="AB1907" t="s">
        <v>19238</v>
      </c>
      <c r="AC1907" t="s">
        <v>9165</v>
      </c>
      <c r="AE1907" t="s">
        <v>6388</v>
      </c>
      <c r="AF1907" t="s">
        <v>19297</v>
      </c>
      <c r="AH1907" t="s">
        <v>6388</v>
      </c>
      <c r="AI1907" t="s">
        <v>9165</v>
      </c>
      <c r="AO1907" t="s">
        <v>19298</v>
      </c>
    </row>
    <row r="1908" spans="1:41" x14ac:dyDescent="0.35">
      <c r="A1908" t="s">
        <v>19299</v>
      </c>
      <c r="B1908" t="s">
        <v>7246</v>
      </c>
      <c r="C1908" t="s">
        <v>24</v>
      </c>
      <c r="D1908" t="s">
        <v>24</v>
      </c>
      <c r="E1908" t="s">
        <v>24</v>
      </c>
      <c r="F1908" t="s">
        <v>354</v>
      </c>
      <c r="G1908" s="13" t="s">
        <v>19300</v>
      </c>
      <c r="H1908" t="s">
        <v>19301</v>
      </c>
      <c r="K1908" t="s">
        <v>6543</v>
      </c>
      <c r="L1908" t="s">
        <v>6543</v>
      </c>
      <c r="M1908" t="s">
        <v>7250</v>
      </c>
      <c r="N1908">
        <v>1996</v>
      </c>
      <c r="R1908">
        <v>6</v>
      </c>
      <c r="S1908" t="s">
        <v>9164</v>
      </c>
      <c r="T1908">
        <v>0.06</v>
      </c>
      <c r="U1908">
        <v>28.56</v>
      </c>
      <c r="V1908">
        <v>342</v>
      </c>
      <c r="W1908">
        <v>341.24</v>
      </c>
      <c r="X1908">
        <v>342</v>
      </c>
      <c r="AB1908" t="s">
        <v>19297</v>
      </c>
      <c r="AC1908" t="s">
        <v>9165</v>
      </c>
      <c r="AF1908" t="s">
        <v>19302</v>
      </c>
      <c r="AH1908" t="s">
        <v>6388</v>
      </c>
      <c r="AI1908" t="s">
        <v>9165</v>
      </c>
      <c r="AO1908" t="s">
        <v>19303</v>
      </c>
    </row>
    <row r="1909" spans="1:41" x14ac:dyDescent="0.35">
      <c r="A1909" t="s">
        <v>19304</v>
      </c>
      <c r="B1909" t="s">
        <v>7246</v>
      </c>
      <c r="C1909" t="s">
        <v>24</v>
      </c>
      <c r="D1909" t="s">
        <v>24</v>
      </c>
      <c r="E1909" t="s">
        <v>24</v>
      </c>
      <c r="F1909" t="s">
        <v>354</v>
      </c>
      <c r="G1909" s="13" t="s">
        <v>19305</v>
      </c>
      <c r="H1909" t="s">
        <v>19306</v>
      </c>
      <c r="K1909" t="s">
        <v>19307</v>
      </c>
      <c r="L1909" t="s">
        <v>19307</v>
      </c>
      <c r="M1909" t="s">
        <v>7250</v>
      </c>
      <c r="N1909">
        <v>1984</v>
      </c>
      <c r="R1909">
        <v>95</v>
      </c>
      <c r="S1909" t="s">
        <v>9164</v>
      </c>
      <c r="T1909">
        <v>0.97</v>
      </c>
      <c r="U1909">
        <v>452.15</v>
      </c>
      <c r="V1909">
        <v>57</v>
      </c>
      <c r="W1909">
        <v>53.41</v>
      </c>
      <c r="X1909">
        <v>57</v>
      </c>
      <c r="AB1909" t="s">
        <v>1103</v>
      </c>
      <c r="AC1909" t="s">
        <v>9165</v>
      </c>
      <c r="AE1909" t="s">
        <v>6388</v>
      </c>
      <c r="AF1909" t="s">
        <v>19308</v>
      </c>
      <c r="AH1909" t="s">
        <v>6388</v>
      </c>
      <c r="AI1909" t="s">
        <v>9165</v>
      </c>
      <c r="AO1909" t="s">
        <v>19309</v>
      </c>
    </row>
    <row r="1910" spans="1:41" x14ac:dyDescent="0.35">
      <c r="A1910" t="s">
        <v>19310</v>
      </c>
      <c r="B1910" t="s">
        <v>7246</v>
      </c>
      <c r="C1910" t="s">
        <v>24</v>
      </c>
      <c r="D1910" t="s">
        <v>24</v>
      </c>
      <c r="E1910" t="s">
        <v>24</v>
      </c>
      <c r="F1910" t="s">
        <v>354</v>
      </c>
      <c r="G1910" s="13" t="s">
        <v>19311</v>
      </c>
      <c r="H1910" t="s">
        <v>19312</v>
      </c>
      <c r="J1910" t="s">
        <v>19313</v>
      </c>
      <c r="K1910" t="s">
        <v>19314</v>
      </c>
      <c r="L1910" t="s">
        <v>19314</v>
      </c>
      <c r="M1910" t="s">
        <v>7250</v>
      </c>
      <c r="N1910">
        <v>1977</v>
      </c>
      <c r="O1910">
        <v>2017</v>
      </c>
      <c r="R1910">
        <v>30</v>
      </c>
      <c r="S1910" t="s">
        <v>9164</v>
      </c>
      <c r="T1910">
        <v>0.31</v>
      </c>
      <c r="U1910">
        <v>142.78</v>
      </c>
      <c r="V1910">
        <v>53</v>
      </c>
      <c r="W1910">
        <v>62.15</v>
      </c>
      <c r="X1910">
        <v>53</v>
      </c>
      <c r="Y1910">
        <v>219</v>
      </c>
      <c r="Z1910" t="s">
        <v>8842</v>
      </c>
      <c r="AA1910" t="s">
        <v>19315</v>
      </c>
      <c r="AB1910" t="s">
        <v>19316</v>
      </c>
      <c r="AC1910" t="s">
        <v>9165</v>
      </c>
      <c r="AE1910" t="s">
        <v>2973</v>
      </c>
      <c r="AF1910" t="s">
        <v>13040</v>
      </c>
      <c r="AH1910" t="s">
        <v>2973</v>
      </c>
      <c r="AI1910" t="s">
        <v>9165</v>
      </c>
      <c r="AO1910" t="s">
        <v>19317</v>
      </c>
    </row>
    <row r="1911" spans="1:41" x14ac:dyDescent="0.35">
      <c r="A1911" t="s">
        <v>19318</v>
      </c>
      <c r="B1911" t="s">
        <v>7246</v>
      </c>
      <c r="C1911" t="s">
        <v>24</v>
      </c>
      <c r="D1911" t="s">
        <v>24</v>
      </c>
      <c r="E1911" t="s">
        <v>24</v>
      </c>
      <c r="F1911" t="s">
        <v>354</v>
      </c>
      <c r="G1911" s="13" t="s">
        <v>19319</v>
      </c>
      <c r="H1911" t="s">
        <v>19320</v>
      </c>
      <c r="K1911" t="s">
        <v>6543</v>
      </c>
      <c r="L1911" t="s">
        <v>6543</v>
      </c>
      <c r="M1911" t="s">
        <v>7250</v>
      </c>
      <c r="N1911">
        <v>1999</v>
      </c>
      <c r="R1911">
        <v>18.5</v>
      </c>
      <c r="S1911" t="s">
        <v>7251</v>
      </c>
      <c r="T1911">
        <v>0.19</v>
      </c>
      <c r="U1911">
        <v>89.05</v>
      </c>
      <c r="V1911">
        <v>353</v>
      </c>
      <c r="W1911">
        <v>362</v>
      </c>
      <c r="X1911">
        <v>353</v>
      </c>
      <c r="AA1911" t="s">
        <v>19321</v>
      </c>
      <c r="AB1911" t="s">
        <v>19322</v>
      </c>
      <c r="AC1911" t="s">
        <v>9165</v>
      </c>
      <c r="AE1911" t="s">
        <v>6388</v>
      </c>
      <c r="AF1911" t="s">
        <v>19323</v>
      </c>
      <c r="AH1911" t="s">
        <v>6388</v>
      </c>
      <c r="AI1911" t="s">
        <v>9165</v>
      </c>
      <c r="AO1911" t="s">
        <v>19324</v>
      </c>
    </row>
    <row r="1912" spans="1:41" x14ac:dyDescent="0.35">
      <c r="A1912" t="s">
        <v>19325</v>
      </c>
      <c r="B1912" t="s">
        <v>7246</v>
      </c>
      <c r="C1912" t="s">
        <v>24</v>
      </c>
      <c r="D1912" t="s">
        <v>24</v>
      </c>
      <c r="E1912" t="s">
        <v>24</v>
      </c>
      <c r="F1912" t="s">
        <v>354</v>
      </c>
      <c r="G1912" s="13" t="s">
        <v>19326</v>
      </c>
      <c r="H1912" t="s">
        <v>19327</v>
      </c>
      <c r="K1912" t="s">
        <v>13243</v>
      </c>
      <c r="L1912" t="s">
        <v>13243</v>
      </c>
      <c r="M1912" t="s">
        <v>7250</v>
      </c>
      <c r="N1912">
        <v>1969</v>
      </c>
      <c r="R1912">
        <v>241</v>
      </c>
      <c r="S1912" t="s">
        <v>9164</v>
      </c>
      <c r="T1912">
        <v>2.46</v>
      </c>
      <c r="U1912">
        <v>1147.03</v>
      </c>
      <c r="V1912">
        <v>1184</v>
      </c>
      <c r="W1912">
        <v>777.18</v>
      </c>
      <c r="X1912">
        <v>1184</v>
      </c>
      <c r="AA1912" t="s">
        <v>13286</v>
      </c>
      <c r="AB1912" t="s">
        <v>12820</v>
      </c>
      <c r="AC1912" t="s">
        <v>9165</v>
      </c>
      <c r="AE1912" t="s">
        <v>4129</v>
      </c>
      <c r="AF1912" t="s">
        <v>19328</v>
      </c>
      <c r="AH1912" t="s">
        <v>4129</v>
      </c>
      <c r="AI1912" t="s">
        <v>9165</v>
      </c>
      <c r="AO1912" t="s">
        <v>19329</v>
      </c>
    </row>
    <row r="1913" spans="1:41" hidden="1" x14ac:dyDescent="0.35">
      <c r="A1913" t="s">
        <v>19330</v>
      </c>
      <c r="B1913" t="s">
        <v>7246</v>
      </c>
      <c r="C1913" t="s">
        <v>5802</v>
      </c>
      <c r="D1913" t="s">
        <v>5802</v>
      </c>
      <c r="E1913" t="s">
        <v>5802</v>
      </c>
      <c r="G1913" s="13" t="s">
        <v>19331</v>
      </c>
      <c r="H1913" t="s">
        <v>19332</v>
      </c>
      <c r="K1913" t="s">
        <v>11195</v>
      </c>
      <c r="L1913" t="s">
        <v>11195</v>
      </c>
      <c r="M1913" t="s">
        <v>7250</v>
      </c>
      <c r="N1913">
        <v>2021</v>
      </c>
      <c r="T1913" t="s">
        <v>6546</v>
      </c>
      <c r="U1913" t="s">
        <v>6546</v>
      </c>
      <c r="V1913">
        <v>55.2</v>
      </c>
      <c r="W1913">
        <v>48.82</v>
      </c>
      <c r="X1913">
        <v>55.2</v>
      </c>
      <c r="Y1913">
        <v>39</v>
      </c>
      <c r="Z1913" t="s">
        <v>7253</v>
      </c>
      <c r="AB1913" t="s">
        <v>13781</v>
      </c>
      <c r="AC1913" t="s">
        <v>8777</v>
      </c>
      <c r="AF1913" t="s">
        <v>15046</v>
      </c>
      <c r="AI1913" t="s">
        <v>8777</v>
      </c>
      <c r="AJ1913" t="s">
        <v>6407</v>
      </c>
      <c r="AO1913" t="s">
        <v>19333</v>
      </c>
    </row>
    <row r="1914" spans="1:41" hidden="1" x14ac:dyDescent="0.35">
      <c r="A1914" t="s">
        <v>19334</v>
      </c>
      <c r="B1914" t="s">
        <v>7246</v>
      </c>
      <c r="C1914" t="s">
        <v>5802</v>
      </c>
      <c r="D1914" t="s">
        <v>5802</v>
      </c>
      <c r="E1914" t="s">
        <v>5802</v>
      </c>
      <c r="G1914" s="13" t="s">
        <v>19335</v>
      </c>
      <c r="H1914" t="s">
        <v>19336</v>
      </c>
      <c r="K1914" t="s">
        <v>11195</v>
      </c>
      <c r="L1914" t="s">
        <v>11195</v>
      </c>
      <c r="M1914" t="s">
        <v>7415</v>
      </c>
      <c r="N1914">
        <v>2022</v>
      </c>
      <c r="T1914" t="s">
        <v>6546</v>
      </c>
      <c r="U1914" t="s">
        <v>6546</v>
      </c>
      <c r="V1914">
        <v>168</v>
      </c>
      <c r="W1914">
        <v>149.51</v>
      </c>
      <c r="X1914">
        <v>168</v>
      </c>
      <c r="Y1914">
        <v>39</v>
      </c>
      <c r="Z1914" t="s">
        <v>7253</v>
      </c>
      <c r="AB1914" t="s">
        <v>11197</v>
      </c>
      <c r="AC1914" t="s">
        <v>8777</v>
      </c>
      <c r="AF1914" t="s">
        <v>15046</v>
      </c>
      <c r="AI1914" t="s">
        <v>8777</v>
      </c>
      <c r="AJ1914" t="s">
        <v>6407</v>
      </c>
      <c r="AO1914" t="s">
        <v>19337</v>
      </c>
    </row>
    <row r="1915" spans="1:41" hidden="1" x14ac:dyDescent="0.35">
      <c r="A1915" t="s">
        <v>19338</v>
      </c>
      <c r="B1915" t="s">
        <v>7246</v>
      </c>
      <c r="C1915" t="s">
        <v>383</v>
      </c>
      <c r="D1915" t="s">
        <v>383</v>
      </c>
      <c r="E1915" t="s">
        <v>383</v>
      </c>
      <c r="G1915" s="13" t="s">
        <v>19339</v>
      </c>
      <c r="H1915" t="s">
        <v>19340</v>
      </c>
      <c r="K1915" t="s">
        <v>19341</v>
      </c>
      <c r="L1915" t="s">
        <v>19341</v>
      </c>
      <c r="M1915" t="s">
        <v>7250</v>
      </c>
      <c r="N1915">
        <v>1999</v>
      </c>
      <c r="R1915">
        <v>1.8</v>
      </c>
      <c r="S1915" t="s">
        <v>8257</v>
      </c>
      <c r="T1915">
        <v>1.8</v>
      </c>
      <c r="U1915">
        <v>837.69</v>
      </c>
      <c r="V1915">
        <v>73</v>
      </c>
      <c r="W1915">
        <v>61.79</v>
      </c>
      <c r="X1915">
        <v>73</v>
      </c>
      <c r="AB1915" t="s">
        <v>4914</v>
      </c>
      <c r="AC1915" t="s">
        <v>8859</v>
      </c>
      <c r="AE1915" t="s">
        <v>2748</v>
      </c>
      <c r="AF1915" t="s">
        <v>19342</v>
      </c>
      <c r="AH1915" t="s">
        <v>19192</v>
      </c>
      <c r="AI1915" t="s">
        <v>8859</v>
      </c>
      <c r="AO1915" t="s">
        <v>19343</v>
      </c>
    </row>
    <row r="1916" spans="1:41" x14ac:dyDescent="0.35">
      <c r="A1916" t="s">
        <v>19344</v>
      </c>
      <c r="B1916" t="s">
        <v>7246</v>
      </c>
      <c r="C1916" t="s">
        <v>24</v>
      </c>
      <c r="D1916" t="s">
        <v>24</v>
      </c>
      <c r="E1916" t="s">
        <v>24</v>
      </c>
      <c r="F1916" t="s">
        <v>354</v>
      </c>
      <c r="G1916" s="13" t="s">
        <v>19345</v>
      </c>
      <c r="H1916" t="s">
        <v>19346</v>
      </c>
      <c r="I1916" t="s">
        <v>8319</v>
      </c>
      <c r="K1916" t="s">
        <v>9163</v>
      </c>
      <c r="L1916" t="s">
        <v>9163</v>
      </c>
      <c r="M1916" t="s">
        <v>7250</v>
      </c>
      <c r="N1916">
        <v>1976</v>
      </c>
      <c r="R1916">
        <v>446</v>
      </c>
      <c r="S1916" t="s">
        <v>9164</v>
      </c>
      <c r="T1916">
        <v>4.5599999999999996</v>
      </c>
      <c r="U1916">
        <v>2122.73</v>
      </c>
      <c r="V1916">
        <v>1300</v>
      </c>
      <c r="W1916">
        <v>1680.57</v>
      </c>
      <c r="X1916">
        <v>1300</v>
      </c>
      <c r="AA1916" t="s">
        <v>13286</v>
      </c>
      <c r="AB1916" t="s">
        <v>12820</v>
      </c>
      <c r="AC1916" t="s">
        <v>9165</v>
      </c>
      <c r="AE1916" t="s">
        <v>4129</v>
      </c>
      <c r="AF1916" t="s">
        <v>19347</v>
      </c>
      <c r="AH1916" t="s">
        <v>19348</v>
      </c>
      <c r="AI1916" t="s">
        <v>9165</v>
      </c>
      <c r="AO1916" t="s">
        <v>19349</v>
      </c>
    </row>
    <row r="1917" spans="1:41" x14ac:dyDescent="0.35">
      <c r="A1917" t="s">
        <v>19350</v>
      </c>
      <c r="B1917" t="s">
        <v>7246</v>
      </c>
      <c r="C1917" t="s">
        <v>24</v>
      </c>
      <c r="D1917" t="s">
        <v>24</v>
      </c>
      <c r="E1917" t="s">
        <v>24</v>
      </c>
      <c r="F1917" t="s">
        <v>354</v>
      </c>
      <c r="G1917" s="13" t="s">
        <v>19351</v>
      </c>
      <c r="H1917" t="s">
        <v>19352</v>
      </c>
      <c r="K1917" t="s">
        <v>19353</v>
      </c>
      <c r="L1917" t="s">
        <v>19353</v>
      </c>
      <c r="M1917" t="s">
        <v>7250</v>
      </c>
      <c r="N1917">
        <v>2011</v>
      </c>
      <c r="R1917">
        <v>400</v>
      </c>
      <c r="S1917" t="s">
        <v>9164</v>
      </c>
      <c r="T1917">
        <v>4.09</v>
      </c>
      <c r="U1917">
        <v>1903.79</v>
      </c>
      <c r="V1917">
        <v>83</v>
      </c>
      <c r="W1917">
        <v>81.78</v>
      </c>
      <c r="X1917">
        <v>83</v>
      </c>
      <c r="AB1917" t="s">
        <v>10606</v>
      </c>
      <c r="AC1917" t="s">
        <v>9165</v>
      </c>
      <c r="AE1917" t="s">
        <v>2969</v>
      </c>
      <c r="AF1917" t="s">
        <v>19354</v>
      </c>
      <c r="AH1917" t="s">
        <v>2969</v>
      </c>
      <c r="AI1917" t="s">
        <v>9165</v>
      </c>
      <c r="AO1917" t="s">
        <v>19355</v>
      </c>
    </row>
    <row r="1918" spans="1:41" hidden="1" x14ac:dyDescent="0.35">
      <c r="A1918" t="s">
        <v>19356</v>
      </c>
      <c r="B1918" t="s">
        <v>7246</v>
      </c>
      <c r="C1918" t="s">
        <v>451</v>
      </c>
      <c r="D1918" t="s">
        <v>451</v>
      </c>
      <c r="E1918" t="s">
        <v>451</v>
      </c>
      <c r="G1918" s="13" t="s">
        <v>19357</v>
      </c>
      <c r="H1918" t="s">
        <v>19358</v>
      </c>
      <c r="I1918" t="s">
        <v>19359</v>
      </c>
      <c r="K1918" t="s">
        <v>8410</v>
      </c>
      <c r="L1918" t="s">
        <v>8070</v>
      </c>
      <c r="M1918" t="s">
        <v>7250</v>
      </c>
      <c r="N1918">
        <v>2022</v>
      </c>
      <c r="R1918">
        <v>250</v>
      </c>
      <c r="S1918" t="s">
        <v>7251</v>
      </c>
      <c r="T1918">
        <v>2.59</v>
      </c>
      <c r="U1918">
        <v>1203.33</v>
      </c>
      <c r="V1918">
        <v>101.07</v>
      </c>
      <c r="W1918">
        <v>96.22</v>
      </c>
      <c r="X1918">
        <v>101.07</v>
      </c>
      <c r="Y1918">
        <v>24</v>
      </c>
      <c r="Z1918" t="s">
        <v>7253</v>
      </c>
      <c r="AC1918" t="s">
        <v>7255</v>
      </c>
      <c r="AE1918" t="s">
        <v>3899</v>
      </c>
      <c r="AH1918" t="s">
        <v>3899</v>
      </c>
      <c r="AI1918" t="s">
        <v>7255</v>
      </c>
      <c r="AO1918" t="s">
        <v>19360</v>
      </c>
    </row>
    <row r="1919" spans="1:41" hidden="1" x14ac:dyDescent="0.35">
      <c r="A1919" t="s">
        <v>19361</v>
      </c>
      <c r="B1919" t="s">
        <v>7246</v>
      </c>
      <c r="C1919" t="s">
        <v>451</v>
      </c>
      <c r="D1919" t="s">
        <v>451</v>
      </c>
      <c r="E1919" t="s">
        <v>451</v>
      </c>
      <c r="G1919" s="13" t="s">
        <v>19357</v>
      </c>
      <c r="H1919" t="s">
        <v>19358</v>
      </c>
      <c r="I1919" t="s">
        <v>19362</v>
      </c>
      <c r="K1919" t="s">
        <v>8410</v>
      </c>
      <c r="L1919" t="s">
        <v>8070</v>
      </c>
      <c r="M1919" t="s">
        <v>7250</v>
      </c>
      <c r="N1919">
        <v>2022</v>
      </c>
      <c r="R1919">
        <v>250</v>
      </c>
      <c r="S1919" t="s">
        <v>7251</v>
      </c>
      <c r="T1919">
        <v>2.59</v>
      </c>
      <c r="U1919">
        <v>1203.33</v>
      </c>
      <c r="V1919">
        <v>32.67</v>
      </c>
      <c r="W1919">
        <v>32.14</v>
      </c>
      <c r="X1919">
        <v>32.67</v>
      </c>
      <c r="Y1919">
        <v>12</v>
      </c>
      <c r="Z1919" t="s">
        <v>7253</v>
      </c>
      <c r="AC1919" t="s">
        <v>7255</v>
      </c>
      <c r="AE1919" t="s">
        <v>3899</v>
      </c>
      <c r="AH1919" t="s">
        <v>3899</v>
      </c>
      <c r="AI1919" t="s">
        <v>7255</v>
      </c>
      <c r="AO1919" t="s">
        <v>19363</v>
      </c>
    </row>
    <row r="1920" spans="1:41" hidden="1" x14ac:dyDescent="0.35">
      <c r="A1920" t="s">
        <v>19364</v>
      </c>
      <c r="B1920" t="s">
        <v>7246</v>
      </c>
      <c r="C1920" t="s">
        <v>451</v>
      </c>
      <c r="D1920" t="s">
        <v>451</v>
      </c>
      <c r="E1920" t="s">
        <v>451</v>
      </c>
      <c r="G1920" s="13" t="s">
        <v>19357</v>
      </c>
      <c r="H1920" t="s">
        <v>19358</v>
      </c>
      <c r="I1920" t="s">
        <v>19365</v>
      </c>
      <c r="K1920" t="s">
        <v>8410</v>
      </c>
      <c r="L1920" t="s">
        <v>8070</v>
      </c>
      <c r="M1920" t="s">
        <v>7250</v>
      </c>
      <c r="N1920">
        <v>2022</v>
      </c>
      <c r="R1920">
        <v>250</v>
      </c>
      <c r="S1920" t="s">
        <v>7251</v>
      </c>
      <c r="T1920">
        <v>2.59</v>
      </c>
      <c r="U1920">
        <v>1203.33</v>
      </c>
      <c r="V1920">
        <v>15.45</v>
      </c>
      <c r="W1920">
        <v>10.87</v>
      </c>
      <c r="X1920">
        <v>15.45</v>
      </c>
      <c r="Y1920">
        <v>12</v>
      </c>
      <c r="Z1920" t="s">
        <v>7253</v>
      </c>
      <c r="AC1920" t="s">
        <v>7255</v>
      </c>
      <c r="AE1920" t="s">
        <v>3899</v>
      </c>
      <c r="AH1920" t="s">
        <v>3899</v>
      </c>
      <c r="AI1920" t="s">
        <v>7255</v>
      </c>
      <c r="AO1920" t="s">
        <v>19366</v>
      </c>
    </row>
    <row r="1921" spans="1:41" hidden="1" x14ac:dyDescent="0.35">
      <c r="A1921" t="s">
        <v>19367</v>
      </c>
      <c r="B1921" t="s">
        <v>7246</v>
      </c>
      <c r="C1921" t="s">
        <v>451</v>
      </c>
      <c r="D1921" t="s">
        <v>451</v>
      </c>
      <c r="E1921" t="s">
        <v>451</v>
      </c>
      <c r="G1921" s="13" t="s">
        <v>19357</v>
      </c>
      <c r="H1921" t="s">
        <v>19358</v>
      </c>
      <c r="I1921" t="s">
        <v>19368</v>
      </c>
      <c r="K1921" t="s">
        <v>8410</v>
      </c>
      <c r="L1921" t="s">
        <v>8070</v>
      </c>
      <c r="M1921" t="s">
        <v>7250</v>
      </c>
      <c r="N1921">
        <v>2022</v>
      </c>
      <c r="R1921">
        <v>250</v>
      </c>
      <c r="S1921" t="s">
        <v>7251</v>
      </c>
      <c r="T1921">
        <v>2.59</v>
      </c>
      <c r="U1921">
        <v>1203.33</v>
      </c>
      <c r="V1921">
        <v>0.8</v>
      </c>
      <c r="W1921">
        <v>1.01</v>
      </c>
      <c r="X1921">
        <v>0.8</v>
      </c>
      <c r="Y1921">
        <v>20</v>
      </c>
      <c r="Z1921" t="s">
        <v>7253</v>
      </c>
      <c r="AC1921" t="s">
        <v>7255</v>
      </c>
      <c r="AE1921" t="s">
        <v>3899</v>
      </c>
      <c r="AH1921" t="s">
        <v>3899</v>
      </c>
      <c r="AI1921" t="s">
        <v>7255</v>
      </c>
      <c r="AO1921" t="s">
        <v>19369</v>
      </c>
    </row>
    <row r="1922" spans="1:41" hidden="1" x14ac:dyDescent="0.35">
      <c r="A1922" t="s">
        <v>19370</v>
      </c>
      <c r="B1922" t="s">
        <v>7246</v>
      </c>
      <c r="C1922" t="s">
        <v>451</v>
      </c>
      <c r="D1922" t="s">
        <v>451</v>
      </c>
      <c r="E1922" t="s">
        <v>451</v>
      </c>
      <c r="G1922" s="13" t="s">
        <v>19357</v>
      </c>
      <c r="H1922" t="s">
        <v>19358</v>
      </c>
      <c r="I1922" t="s">
        <v>19371</v>
      </c>
      <c r="K1922" t="s">
        <v>8410</v>
      </c>
      <c r="L1922" t="s">
        <v>8070</v>
      </c>
      <c r="M1922" t="s">
        <v>7250</v>
      </c>
      <c r="N1922">
        <v>2022</v>
      </c>
      <c r="R1922">
        <v>250</v>
      </c>
      <c r="S1922" t="s">
        <v>7251</v>
      </c>
      <c r="T1922">
        <v>2.59</v>
      </c>
      <c r="U1922">
        <v>1203.33</v>
      </c>
      <c r="V1922">
        <v>0.48</v>
      </c>
      <c r="W1922">
        <v>0.78</v>
      </c>
      <c r="X1922">
        <v>0.48</v>
      </c>
      <c r="Y1922">
        <v>24</v>
      </c>
      <c r="Z1922" t="s">
        <v>7253</v>
      </c>
      <c r="AC1922" t="s">
        <v>7255</v>
      </c>
      <c r="AE1922" t="s">
        <v>3899</v>
      </c>
      <c r="AH1922" t="s">
        <v>3899</v>
      </c>
      <c r="AI1922" t="s">
        <v>7255</v>
      </c>
      <c r="AO1922" t="s">
        <v>19372</v>
      </c>
    </row>
    <row r="1923" spans="1:41" hidden="1" x14ac:dyDescent="0.35">
      <c r="A1923" t="s">
        <v>19373</v>
      </c>
      <c r="B1923" t="s">
        <v>7246</v>
      </c>
      <c r="C1923" t="s">
        <v>451</v>
      </c>
      <c r="D1923" t="s">
        <v>451</v>
      </c>
      <c r="E1923" t="s">
        <v>451</v>
      </c>
      <c r="G1923" s="13" t="s">
        <v>19374</v>
      </c>
      <c r="H1923" t="s">
        <v>19375</v>
      </c>
      <c r="K1923" t="s">
        <v>6543</v>
      </c>
      <c r="L1923" t="s">
        <v>6543</v>
      </c>
      <c r="M1923" t="s">
        <v>7292</v>
      </c>
      <c r="N1923">
        <v>2026</v>
      </c>
      <c r="T1923" t="s">
        <v>6546</v>
      </c>
      <c r="U1923" t="s">
        <v>6546</v>
      </c>
      <c r="V1923">
        <v>149.66999999999999</v>
      </c>
      <c r="W1923">
        <v>139.80000000000001</v>
      </c>
      <c r="X1923">
        <v>149.66999999999999</v>
      </c>
      <c r="Y1923" t="s">
        <v>12722</v>
      </c>
      <c r="Z1923" t="s">
        <v>7253</v>
      </c>
      <c r="AA1923" t="s">
        <v>19376</v>
      </c>
      <c r="AB1923" t="s">
        <v>19377</v>
      </c>
      <c r="AC1923" t="s">
        <v>7255</v>
      </c>
      <c r="AE1923" t="s">
        <v>497</v>
      </c>
      <c r="AF1923" t="s">
        <v>19378</v>
      </c>
      <c r="AH1923" t="s">
        <v>486</v>
      </c>
      <c r="AI1923" t="s">
        <v>7255</v>
      </c>
      <c r="AO1923" t="s">
        <v>19379</v>
      </c>
    </row>
    <row r="1924" spans="1:41" hidden="1" x14ac:dyDescent="0.35">
      <c r="A1924" t="s">
        <v>19380</v>
      </c>
      <c r="B1924" t="s">
        <v>7246</v>
      </c>
      <c r="C1924" t="s">
        <v>451</v>
      </c>
      <c r="D1924" t="s">
        <v>451</v>
      </c>
      <c r="E1924" t="s">
        <v>451</v>
      </c>
      <c r="G1924" s="13" t="s">
        <v>7841</v>
      </c>
      <c r="H1924" t="s">
        <v>7842</v>
      </c>
      <c r="I1924" t="s">
        <v>19381</v>
      </c>
      <c r="K1924" t="s">
        <v>7844</v>
      </c>
      <c r="L1924" t="s">
        <v>7845</v>
      </c>
      <c r="M1924" t="s">
        <v>7292</v>
      </c>
      <c r="N1924">
        <v>2023</v>
      </c>
      <c r="T1924" t="s">
        <v>6546</v>
      </c>
      <c r="U1924" t="s">
        <v>6546</v>
      </c>
      <c r="V1924">
        <v>405.55</v>
      </c>
      <c r="W1924">
        <v>268.41000000000003</v>
      </c>
      <c r="X1924">
        <v>405.55</v>
      </c>
      <c r="Y1924">
        <v>48</v>
      </c>
      <c r="Z1924" t="s">
        <v>7253</v>
      </c>
      <c r="AC1924" t="s">
        <v>7255</v>
      </c>
      <c r="AE1924" t="s">
        <v>497</v>
      </c>
      <c r="AH1924" t="s">
        <v>497</v>
      </c>
      <c r="AI1924" t="s">
        <v>7255</v>
      </c>
      <c r="AO1924" t="s">
        <v>19382</v>
      </c>
    </row>
    <row r="1925" spans="1:41" x14ac:dyDescent="0.35">
      <c r="A1925" t="s">
        <v>19383</v>
      </c>
      <c r="B1925" t="s">
        <v>7246</v>
      </c>
      <c r="C1925" t="s">
        <v>24</v>
      </c>
      <c r="D1925" t="s">
        <v>24</v>
      </c>
      <c r="E1925" t="s">
        <v>24</v>
      </c>
      <c r="F1925" t="s">
        <v>354</v>
      </c>
      <c r="G1925" s="13" t="s">
        <v>19384</v>
      </c>
      <c r="H1925" t="s">
        <v>18190</v>
      </c>
      <c r="K1925" t="s">
        <v>10589</v>
      </c>
      <c r="L1925" t="s">
        <v>10589</v>
      </c>
      <c r="M1925" t="s">
        <v>7250</v>
      </c>
      <c r="R1925">
        <v>13</v>
      </c>
      <c r="S1925" t="s">
        <v>9164</v>
      </c>
      <c r="T1925">
        <v>0.13</v>
      </c>
      <c r="U1925">
        <v>61.87</v>
      </c>
      <c r="V1925">
        <v>255</v>
      </c>
      <c r="W1925">
        <v>255.1</v>
      </c>
      <c r="X1925">
        <v>255</v>
      </c>
      <c r="AA1925" t="s">
        <v>19385</v>
      </c>
      <c r="AB1925" t="s">
        <v>19386</v>
      </c>
      <c r="AC1925" t="s">
        <v>9165</v>
      </c>
      <c r="AE1925" t="s">
        <v>4124</v>
      </c>
      <c r="AF1925" t="s">
        <v>18191</v>
      </c>
      <c r="AH1925" t="s">
        <v>4124</v>
      </c>
      <c r="AI1925" t="s">
        <v>9165</v>
      </c>
      <c r="AO1925" t="s">
        <v>19387</v>
      </c>
    </row>
    <row r="1926" spans="1:41" x14ac:dyDescent="0.35">
      <c r="A1926" t="s">
        <v>19388</v>
      </c>
      <c r="B1926" t="s">
        <v>7246</v>
      </c>
      <c r="C1926" t="s">
        <v>24</v>
      </c>
      <c r="D1926" t="s">
        <v>24</v>
      </c>
      <c r="E1926" t="s">
        <v>24</v>
      </c>
      <c r="F1926" t="s">
        <v>354</v>
      </c>
      <c r="G1926" s="13" t="s">
        <v>19389</v>
      </c>
      <c r="H1926" t="s">
        <v>19390</v>
      </c>
      <c r="K1926" t="s">
        <v>11277</v>
      </c>
      <c r="L1926" t="s">
        <v>11277</v>
      </c>
      <c r="M1926" t="s">
        <v>7269</v>
      </c>
      <c r="R1926">
        <v>189.56</v>
      </c>
      <c r="S1926" t="s">
        <v>7251</v>
      </c>
      <c r="T1926">
        <v>1.96</v>
      </c>
      <c r="U1926">
        <v>912.42</v>
      </c>
      <c r="V1926">
        <v>83</v>
      </c>
      <c r="W1926">
        <v>258.92</v>
      </c>
      <c r="X1926">
        <v>83</v>
      </c>
      <c r="AB1926" t="s">
        <v>17293</v>
      </c>
      <c r="AC1926" t="s">
        <v>9165</v>
      </c>
      <c r="AE1926" t="s">
        <v>4124</v>
      </c>
      <c r="AF1926" t="s">
        <v>17366</v>
      </c>
      <c r="AH1926" t="s">
        <v>4124</v>
      </c>
      <c r="AI1926" t="s">
        <v>9165</v>
      </c>
      <c r="AO1926" t="s">
        <v>19391</v>
      </c>
    </row>
    <row r="1927" spans="1:41" hidden="1" x14ac:dyDescent="0.35">
      <c r="A1927" t="s">
        <v>19392</v>
      </c>
      <c r="B1927" t="s">
        <v>7246</v>
      </c>
      <c r="C1927" t="s">
        <v>383</v>
      </c>
      <c r="D1927" t="s">
        <v>383</v>
      </c>
      <c r="E1927" t="s">
        <v>383</v>
      </c>
      <c r="G1927" s="13" t="s">
        <v>19393</v>
      </c>
      <c r="H1927" t="s">
        <v>19394</v>
      </c>
      <c r="K1927" t="s">
        <v>10763</v>
      </c>
      <c r="L1927" t="s">
        <v>10763</v>
      </c>
      <c r="M1927" t="s">
        <v>7250</v>
      </c>
      <c r="N1927">
        <v>1997</v>
      </c>
      <c r="R1927">
        <v>107</v>
      </c>
      <c r="S1927" t="s">
        <v>8792</v>
      </c>
      <c r="T1927">
        <v>39.08</v>
      </c>
      <c r="U1927">
        <v>18188</v>
      </c>
      <c r="V1927">
        <v>2887</v>
      </c>
      <c r="W1927">
        <v>1036.32</v>
      </c>
      <c r="X1927">
        <v>2887</v>
      </c>
      <c r="AB1927" t="s">
        <v>4914</v>
      </c>
      <c r="AC1927" t="s">
        <v>8859</v>
      </c>
      <c r="AE1927" t="s">
        <v>3089</v>
      </c>
      <c r="AF1927" t="s">
        <v>17423</v>
      </c>
      <c r="AH1927" t="s">
        <v>3104</v>
      </c>
      <c r="AI1927" t="s">
        <v>8859</v>
      </c>
      <c r="AO1927" t="s">
        <v>19395</v>
      </c>
    </row>
    <row r="1928" spans="1:41" hidden="1" x14ac:dyDescent="0.35">
      <c r="A1928" t="s">
        <v>19396</v>
      </c>
      <c r="B1928" t="s">
        <v>7246</v>
      </c>
      <c r="C1928" t="s">
        <v>383</v>
      </c>
      <c r="D1928" t="s">
        <v>383</v>
      </c>
      <c r="E1928" t="s">
        <v>383</v>
      </c>
      <c r="G1928" s="13" t="s">
        <v>19397</v>
      </c>
      <c r="H1928" t="s">
        <v>19398</v>
      </c>
      <c r="K1928" t="s">
        <v>10785</v>
      </c>
      <c r="L1928" t="s">
        <v>10785</v>
      </c>
      <c r="M1928" t="s">
        <v>7250</v>
      </c>
      <c r="N1928">
        <v>1990</v>
      </c>
      <c r="R1928">
        <v>5.84</v>
      </c>
      <c r="S1928" t="s">
        <v>8257</v>
      </c>
      <c r="T1928">
        <v>5.84</v>
      </c>
      <c r="U1928">
        <v>2717.84</v>
      </c>
      <c r="V1928">
        <v>80</v>
      </c>
      <c r="W1928">
        <v>166.33</v>
      </c>
      <c r="X1928">
        <v>80</v>
      </c>
      <c r="Y1928">
        <v>26</v>
      </c>
      <c r="Z1928" t="s">
        <v>7253</v>
      </c>
      <c r="AA1928" t="s">
        <v>10786</v>
      </c>
      <c r="AC1928" t="s">
        <v>8859</v>
      </c>
      <c r="AE1928" t="s">
        <v>10787</v>
      </c>
      <c r="AF1928" t="s">
        <v>3110</v>
      </c>
      <c r="AH1928" t="s">
        <v>3106</v>
      </c>
      <c r="AI1928" t="s">
        <v>8859</v>
      </c>
      <c r="AO1928" t="s">
        <v>19399</v>
      </c>
    </row>
    <row r="1929" spans="1:41" hidden="1" x14ac:dyDescent="0.35">
      <c r="A1929" t="s">
        <v>19400</v>
      </c>
      <c r="B1929" t="s">
        <v>7246</v>
      </c>
      <c r="C1929" t="s">
        <v>383</v>
      </c>
      <c r="D1929" t="s">
        <v>383</v>
      </c>
      <c r="E1929" t="s">
        <v>383</v>
      </c>
      <c r="G1929" s="13" t="s">
        <v>19401</v>
      </c>
      <c r="H1929" t="s">
        <v>19402</v>
      </c>
      <c r="K1929" t="s">
        <v>10612</v>
      </c>
      <c r="L1929" t="s">
        <v>10612</v>
      </c>
      <c r="M1929" t="s">
        <v>7250</v>
      </c>
      <c r="N1929">
        <v>2016</v>
      </c>
      <c r="R1929">
        <v>11.32</v>
      </c>
      <c r="S1929" t="s">
        <v>8257</v>
      </c>
      <c r="T1929">
        <v>11.32</v>
      </c>
      <c r="U1929">
        <v>5268.14</v>
      </c>
      <c r="V1929">
        <v>2239</v>
      </c>
      <c r="W1929">
        <v>1852.81</v>
      </c>
      <c r="X1929">
        <v>2239</v>
      </c>
      <c r="AC1929" t="s">
        <v>8859</v>
      </c>
      <c r="AE1929" t="s">
        <v>3089</v>
      </c>
      <c r="AH1929" t="s">
        <v>3089</v>
      </c>
      <c r="AI1929" t="s">
        <v>8859</v>
      </c>
      <c r="AO1929" t="s">
        <v>19403</v>
      </c>
    </row>
    <row r="1930" spans="1:41" hidden="1" x14ac:dyDescent="0.35">
      <c r="A1930" t="s">
        <v>19404</v>
      </c>
      <c r="B1930" t="s">
        <v>7246</v>
      </c>
      <c r="C1930" t="s">
        <v>451</v>
      </c>
      <c r="D1930" t="s">
        <v>451</v>
      </c>
      <c r="E1930" t="s">
        <v>451</v>
      </c>
      <c r="G1930" s="13" t="s">
        <v>8033</v>
      </c>
      <c r="H1930" t="s">
        <v>8034</v>
      </c>
      <c r="I1930" t="s">
        <v>19405</v>
      </c>
      <c r="K1930" t="s">
        <v>19406</v>
      </c>
      <c r="L1930" t="s">
        <v>19406</v>
      </c>
      <c r="M1930" t="s">
        <v>7415</v>
      </c>
      <c r="R1930">
        <v>15</v>
      </c>
      <c r="S1930" t="s">
        <v>7251</v>
      </c>
      <c r="T1930">
        <v>0.16</v>
      </c>
      <c r="U1930">
        <v>72.2</v>
      </c>
      <c r="V1930">
        <v>0</v>
      </c>
      <c r="W1930" t="s">
        <v>6546</v>
      </c>
      <c r="X1930">
        <v>0</v>
      </c>
      <c r="AC1930" t="s">
        <v>7255</v>
      </c>
      <c r="AE1930" t="s">
        <v>6337</v>
      </c>
      <c r="AH1930" t="s">
        <v>958</v>
      </c>
      <c r="AI1930" t="s">
        <v>7255</v>
      </c>
      <c r="AO1930" t="s">
        <v>6546</v>
      </c>
    </row>
    <row r="1931" spans="1:41" hidden="1" x14ac:dyDescent="0.35">
      <c r="A1931" t="s">
        <v>19407</v>
      </c>
      <c r="B1931" t="s">
        <v>7246</v>
      </c>
      <c r="C1931" t="s">
        <v>383</v>
      </c>
      <c r="D1931" t="s">
        <v>383</v>
      </c>
      <c r="E1931" t="s">
        <v>383</v>
      </c>
      <c r="G1931" s="13" t="s">
        <v>10609</v>
      </c>
      <c r="H1931" t="s">
        <v>10610</v>
      </c>
      <c r="I1931" t="s">
        <v>11023</v>
      </c>
      <c r="J1931" t="s">
        <v>10611</v>
      </c>
      <c r="K1931" t="s">
        <v>10612</v>
      </c>
      <c r="L1931" t="s">
        <v>10612</v>
      </c>
      <c r="M1931" t="s">
        <v>7415</v>
      </c>
      <c r="N1931">
        <v>2024</v>
      </c>
      <c r="R1931">
        <v>78.25</v>
      </c>
      <c r="S1931" t="s">
        <v>8792</v>
      </c>
      <c r="T1931">
        <v>28.58</v>
      </c>
      <c r="U1931">
        <v>13301.04</v>
      </c>
      <c r="V1931">
        <v>1446</v>
      </c>
      <c r="W1931">
        <v>1487.97</v>
      </c>
      <c r="X1931">
        <v>1446</v>
      </c>
      <c r="AB1931" t="s">
        <v>19408</v>
      </c>
      <c r="AC1931" t="s">
        <v>8859</v>
      </c>
      <c r="AE1931" t="s">
        <v>3075</v>
      </c>
      <c r="AF1931" t="s">
        <v>19409</v>
      </c>
      <c r="AH1931" t="s">
        <v>10998</v>
      </c>
      <c r="AI1931" t="s">
        <v>8859</v>
      </c>
      <c r="AO1931" t="s">
        <v>19410</v>
      </c>
    </row>
    <row r="1932" spans="1:41" hidden="1" x14ac:dyDescent="0.35">
      <c r="A1932" t="s">
        <v>19411</v>
      </c>
      <c r="B1932" t="s">
        <v>7246</v>
      </c>
      <c r="C1932" t="s">
        <v>423</v>
      </c>
      <c r="D1932" t="s">
        <v>423</v>
      </c>
      <c r="E1932" t="s">
        <v>423</v>
      </c>
      <c r="G1932" s="13" t="s">
        <v>19412</v>
      </c>
      <c r="H1932" t="s">
        <v>9846</v>
      </c>
      <c r="I1932" t="s">
        <v>19413</v>
      </c>
      <c r="K1932" t="s">
        <v>9848</v>
      </c>
      <c r="L1932" t="s">
        <v>9848</v>
      </c>
      <c r="M1932" t="s">
        <v>7269</v>
      </c>
      <c r="T1932" t="s">
        <v>6546</v>
      </c>
      <c r="U1932" t="s">
        <v>6546</v>
      </c>
      <c r="V1932" t="s">
        <v>6546</v>
      </c>
      <c r="W1932">
        <v>164.32</v>
      </c>
      <c r="X1932">
        <v>164.32</v>
      </c>
      <c r="AA1932" t="s">
        <v>9846</v>
      </c>
      <c r="AC1932" t="s">
        <v>8844</v>
      </c>
      <c r="AF1932" t="s">
        <v>19414</v>
      </c>
      <c r="AI1932" t="s">
        <v>8844</v>
      </c>
      <c r="AO1932" t="s">
        <v>19415</v>
      </c>
    </row>
    <row r="1933" spans="1:41" hidden="1" x14ac:dyDescent="0.35">
      <c r="A1933" t="s">
        <v>19416</v>
      </c>
      <c r="B1933" t="s">
        <v>7246</v>
      </c>
      <c r="C1933" t="s">
        <v>423</v>
      </c>
      <c r="D1933" t="s">
        <v>423</v>
      </c>
      <c r="E1933" t="s">
        <v>423</v>
      </c>
      <c r="G1933" s="13" t="s">
        <v>19417</v>
      </c>
      <c r="H1933" t="s">
        <v>19418</v>
      </c>
      <c r="K1933" t="s">
        <v>9848</v>
      </c>
      <c r="L1933" t="s">
        <v>9848</v>
      </c>
      <c r="M1933" t="s">
        <v>7292</v>
      </c>
      <c r="T1933" t="s">
        <v>6546</v>
      </c>
      <c r="U1933" t="s">
        <v>6546</v>
      </c>
      <c r="V1933" t="s">
        <v>6546</v>
      </c>
      <c r="W1933">
        <v>1367.59</v>
      </c>
      <c r="X1933">
        <v>1367.59</v>
      </c>
      <c r="AA1933" t="s">
        <v>19419</v>
      </c>
      <c r="AB1933" t="s">
        <v>19419</v>
      </c>
      <c r="AC1933" t="s">
        <v>8844</v>
      </c>
      <c r="AE1933" t="s">
        <v>19420</v>
      </c>
      <c r="AF1933" t="s">
        <v>19421</v>
      </c>
      <c r="AG1933" t="s">
        <v>19422</v>
      </c>
      <c r="AH1933" t="s">
        <v>14034</v>
      </c>
      <c r="AI1933" t="s">
        <v>8844</v>
      </c>
      <c r="AL1933" t="s">
        <v>19423</v>
      </c>
      <c r="AO1933" t="s">
        <v>19424</v>
      </c>
    </row>
    <row r="1934" spans="1:41" hidden="1" x14ac:dyDescent="0.35">
      <c r="A1934" t="s">
        <v>19425</v>
      </c>
      <c r="B1934" t="s">
        <v>7246</v>
      </c>
      <c r="C1934" t="s">
        <v>356</v>
      </c>
      <c r="D1934" t="s">
        <v>5858</v>
      </c>
      <c r="E1934" t="s">
        <v>19426</v>
      </c>
      <c r="G1934" s="13" t="s">
        <v>19427</v>
      </c>
      <c r="H1934" t="s">
        <v>19428</v>
      </c>
      <c r="I1934" t="s">
        <v>8683</v>
      </c>
      <c r="K1934" t="s">
        <v>19429</v>
      </c>
      <c r="L1934" t="s">
        <v>19430</v>
      </c>
      <c r="M1934" t="s">
        <v>7292</v>
      </c>
      <c r="N1934">
        <v>2023</v>
      </c>
      <c r="T1934" t="s">
        <v>6546</v>
      </c>
      <c r="U1934" t="s">
        <v>6546</v>
      </c>
      <c r="V1934">
        <v>0</v>
      </c>
      <c r="W1934" t="s">
        <v>6546</v>
      </c>
      <c r="X1934">
        <v>0</v>
      </c>
      <c r="Y1934">
        <v>600</v>
      </c>
      <c r="Z1934" t="s">
        <v>8842</v>
      </c>
      <c r="AB1934" t="s">
        <v>19431</v>
      </c>
      <c r="AC1934" t="s">
        <v>8777</v>
      </c>
      <c r="AH1934" t="s">
        <v>19432</v>
      </c>
      <c r="AI1934" t="s">
        <v>8777</v>
      </c>
      <c r="AJ1934" t="s">
        <v>9032</v>
      </c>
      <c r="AO1934" t="s">
        <v>6546</v>
      </c>
    </row>
    <row r="1935" spans="1:41" hidden="1" x14ac:dyDescent="0.35">
      <c r="A1935" t="s">
        <v>19433</v>
      </c>
      <c r="B1935" t="s">
        <v>7246</v>
      </c>
      <c r="C1935" t="s">
        <v>423</v>
      </c>
      <c r="D1935" t="s">
        <v>423</v>
      </c>
      <c r="E1935" t="s">
        <v>423</v>
      </c>
      <c r="G1935" s="13" t="s">
        <v>19434</v>
      </c>
      <c r="H1935" t="s">
        <v>19435</v>
      </c>
      <c r="K1935" t="s">
        <v>9848</v>
      </c>
      <c r="L1935" t="s">
        <v>9848</v>
      </c>
      <c r="M1935" t="s">
        <v>7415</v>
      </c>
      <c r="N1935">
        <v>2023</v>
      </c>
      <c r="T1935" t="s">
        <v>6546</v>
      </c>
      <c r="U1935" t="s">
        <v>6546</v>
      </c>
      <c r="V1935">
        <v>100</v>
      </c>
      <c r="W1935">
        <v>93.7</v>
      </c>
      <c r="X1935">
        <v>100</v>
      </c>
      <c r="AA1935" t="s">
        <v>19436</v>
      </c>
      <c r="AC1935" t="s">
        <v>8844</v>
      </c>
      <c r="AF1935" t="s">
        <v>19437</v>
      </c>
      <c r="AI1935" t="s">
        <v>8844</v>
      </c>
      <c r="AL1935" t="s">
        <v>19438</v>
      </c>
      <c r="AO1935" t="s">
        <v>19439</v>
      </c>
    </row>
    <row r="1936" spans="1:41" hidden="1" x14ac:dyDescent="0.35">
      <c r="A1936" t="s">
        <v>19440</v>
      </c>
      <c r="B1936" t="s">
        <v>7246</v>
      </c>
      <c r="C1936" t="s">
        <v>368</v>
      </c>
      <c r="D1936" t="s">
        <v>368</v>
      </c>
      <c r="E1936" t="s">
        <v>368</v>
      </c>
      <c r="G1936" s="13" t="s">
        <v>7788</v>
      </c>
      <c r="H1936" t="s">
        <v>7789</v>
      </c>
      <c r="I1936" t="s">
        <v>19441</v>
      </c>
      <c r="K1936" t="s">
        <v>12932</v>
      </c>
      <c r="L1936" t="s">
        <v>12932</v>
      </c>
      <c r="M1936" t="s">
        <v>7292</v>
      </c>
      <c r="N1936">
        <v>2022</v>
      </c>
      <c r="T1936" t="s">
        <v>6546</v>
      </c>
      <c r="U1936" t="s">
        <v>6546</v>
      </c>
      <c r="V1936">
        <v>13</v>
      </c>
      <c r="W1936" t="s">
        <v>6546</v>
      </c>
      <c r="X1936">
        <v>13</v>
      </c>
      <c r="Y1936">
        <v>48</v>
      </c>
      <c r="Z1936" t="s">
        <v>7253</v>
      </c>
      <c r="AC1936" t="s">
        <v>7255</v>
      </c>
      <c r="AE1936" t="s">
        <v>989</v>
      </c>
      <c r="AH1936" t="s">
        <v>989</v>
      </c>
      <c r="AI1936" t="s">
        <v>7255</v>
      </c>
      <c r="AO1936" t="s">
        <v>6546</v>
      </c>
    </row>
    <row r="1937" spans="1:41" hidden="1" x14ac:dyDescent="0.35">
      <c r="A1937" t="s">
        <v>19442</v>
      </c>
      <c r="B1937" t="s">
        <v>7246</v>
      </c>
      <c r="C1937" t="s">
        <v>368</v>
      </c>
      <c r="D1937" t="s">
        <v>368</v>
      </c>
      <c r="E1937" t="s">
        <v>368</v>
      </c>
      <c r="G1937" s="13" t="s">
        <v>7788</v>
      </c>
      <c r="H1937" t="s">
        <v>7789</v>
      </c>
      <c r="I1937" t="s">
        <v>19443</v>
      </c>
      <c r="K1937" t="s">
        <v>12932</v>
      </c>
      <c r="L1937" t="s">
        <v>12932</v>
      </c>
      <c r="M1937" t="s">
        <v>7292</v>
      </c>
      <c r="N1937">
        <v>2023</v>
      </c>
      <c r="T1937" t="s">
        <v>6546</v>
      </c>
      <c r="U1937" t="s">
        <v>6546</v>
      </c>
      <c r="V1937">
        <v>39</v>
      </c>
      <c r="W1937" t="s">
        <v>6546</v>
      </c>
      <c r="X1937">
        <v>39</v>
      </c>
      <c r="Y1937">
        <v>48</v>
      </c>
      <c r="Z1937" t="s">
        <v>7253</v>
      </c>
      <c r="AC1937" t="s">
        <v>7255</v>
      </c>
      <c r="AE1937" t="s">
        <v>989</v>
      </c>
      <c r="AH1937" t="s">
        <v>989</v>
      </c>
      <c r="AI1937" t="s">
        <v>7255</v>
      </c>
      <c r="AO1937" t="s">
        <v>6546</v>
      </c>
    </row>
    <row r="1938" spans="1:41" hidden="1" x14ac:dyDescent="0.35">
      <c r="A1938" t="s">
        <v>19444</v>
      </c>
      <c r="B1938" t="s">
        <v>7246</v>
      </c>
      <c r="C1938" t="s">
        <v>368</v>
      </c>
      <c r="D1938" t="s">
        <v>368</v>
      </c>
      <c r="E1938" t="s">
        <v>368</v>
      </c>
      <c r="G1938" s="13" t="s">
        <v>7788</v>
      </c>
      <c r="H1938" t="s">
        <v>7789</v>
      </c>
      <c r="I1938" t="s">
        <v>19445</v>
      </c>
      <c r="K1938" t="s">
        <v>12932</v>
      </c>
      <c r="L1938" t="s">
        <v>12932</v>
      </c>
      <c r="M1938" t="s">
        <v>7292</v>
      </c>
      <c r="N1938">
        <v>2022</v>
      </c>
      <c r="T1938" t="s">
        <v>6546</v>
      </c>
      <c r="U1938" t="s">
        <v>6546</v>
      </c>
      <c r="V1938">
        <v>29</v>
      </c>
      <c r="W1938" t="s">
        <v>6546</v>
      </c>
      <c r="X1938">
        <v>29</v>
      </c>
      <c r="Y1938">
        <v>48</v>
      </c>
      <c r="Z1938" t="s">
        <v>7253</v>
      </c>
      <c r="AC1938" t="s">
        <v>7255</v>
      </c>
      <c r="AE1938" t="s">
        <v>989</v>
      </c>
      <c r="AH1938" t="s">
        <v>989</v>
      </c>
      <c r="AI1938" t="s">
        <v>7255</v>
      </c>
      <c r="AO1938" t="s">
        <v>6546</v>
      </c>
    </row>
    <row r="1939" spans="1:41" hidden="1" x14ac:dyDescent="0.35">
      <c r="A1939" t="s">
        <v>19446</v>
      </c>
      <c r="B1939" t="s">
        <v>7246</v>
      </c>
      <c r="C1939" t="s">
        <v>368</v>
      </c>
      <c r="D1939" t="s">
        <v>368</v>
      </c>
      <c r="E1939" t="s">
        <v>368</v>
      </c>
      <c r="G1939" s="13" t="s">
        <v>7788</v>
      </c>
      <c r="H1939" t="s">
        <v>7789</v>
      </c>
      <c r="I1939" t="s">
        <v>19447</v>
      </c>
      <c r="K1939" t="s">
        <v>12932</v>
      </c>
      <c r="L1939" t="s">
        <v>12932</v>
      </c>
      <c r="M1939" t="s">
        <v>7292</v>
      </c>
      <c r="N1939">
        <v>2023</v>
      </c>
      <c r="T1939" t="s">
        <v>6546</v>
      </c>
      <c r="U1939" t="s">
        <v>6546</v>
      </c>
      <c r="V1939">
        <v>31</v>
      </c>
      <c r="W1939" t="s">
        <v>6546</v>
      </c>
      <c r="X1939">
        <v>31</v>
      </c>
      <c r="Y1939">
        <v>48</v>
      </c>
      <c r="Z1939" t="s">
        <v>7253</v>
      </c>
      <c r="AC1939" t="s">
        <v>7255</v>
      </c>
      <c r="AE1939" t="s">
        <v>989</v>
      </c>
      <c r="AH1939" t="s">
        <v>989</v>
      </c>
      <c r="AI1939" t="s">
        <v>7255</v>
      </c>
      <c r="AO1939" t="s">
        <v>6546</v>
      </c>
    </row>
    <row r="1940" spans="1:41" hidden="1" x14ac:dyDescent="0.35">
      <c r="A1940" t="s">
        <v>19448</v>
      </c>
      <c r="B1940" t="s">
        <v>7246</v>
      </c>
      <c r="C1940" t="s">
        <v>368</v>
      </c>
      <c r="D1940" t="s">
        <v>368</v>
      </c>
      <c r="E1940" t="s">
        <v>368</v>
      </c>
      <c r="G1940" s="13" t="s">
        <v>7788</v>
      </c>
      <c r="H1940" t="s">
        <v>7789</v>
      </c>
      <c r="I1940" t="s">
        <v>19449</v>
      </c>
      <c r="K1940" t="s">
        <v>12932</v>
      </c>
      <c r="L1940" t="s">
        <v>12932</v>
      </c>
      <c r="M1940" t="s">
        <v>7292</v>
      </c>
      <c r="T1940" t="s">
        <v>6546</v>
      </c>
      <c r="U1940" t="s">
        <v>6546</v>
      </c>
      <c r="V1940">
        <v>65</v>
      </c>
      <c r="W1940" t="s">
        <v>6546</v>
      </c>
      <c r="X1940">
        <v>65</v>
      </c>
      <c r="Y1940">
        <v>24</v>
      </c>
      <c r="Z1940" t="s">
        <v>7253</v>
      </c>
      <c r="AC1940" t="s">
        <v>7255</v>
      </c>
      <c r="AE1940" t="s">
        <v>989</v>
      </c>
      <c r="AH1940" t="s">
        <v>989</v>
      </c>
      <c r="AI1940" t="s">
        <v>7255</v>
      </c>
      <c r="AO1940" t="s">
        <v>6546</v>
      </c>
    </row>
    <row r="1941" spans="1:41" hidden="1" x14ac:dyDescent="0.35">
      <c r="A1941" t="s">
        <v>19450</v>
      </c>
      <c r="B1941" t="s">
        <v>7246</v>
      </c>
      <c r="C1941" t="s">
        <v>368</v>
      </c>
      <c r="D1941" t="s">
        <v>368</v>
      </c>
      <c r="E1941" t="s">
        <v>368</v>
      </c>
      <c r="G1941" s="13" t="s">
        <v>7788</v>
      </c>
      <c r="H1941" t="s">
        <v>7789</v>
      </c>
      <c r="I1941" t="s">
        <v>19451</v>
      </c>
      <c r="K1941" t="s">
        <v>12932</v>
      </c>
      <c r="L1941" t="s">
        <v>12932</v>
      </c>
      <c r="M1941" t="s">
        <v>7292</v>
      </c>
      <c r="T1941" t="s">
        <v>6546</v>
      </c>
      <c r="U1941" t="s">
        <v>6546</v>
      </c>
      <c r="V1941">
        <v>23</v>
      </c>
      <c r="W1941" t="s">
        <v>6546</v>
      </c>
      <c r="X1941">
        <v>23</v>
      </c>
      <c r="Y1941">
        <v>42</v>
      </c>
      <c r="Z1941" t="s">
        <v>7253</v>
      </c>
      <c r="AC1941" t="s">
        <v>7255</v>
      </c>
      <c r="AE1941" t="s">
        <v>989</v>
      </c>
      <c r="AH1941" t="s">
        <v>989</v>
      </c>
      <c r="AI1941" t="s">
        <v>7255</v>
      </c>
      <c r="AO1941" t="s">
        <v>6546</v>
      </c>
    </row>
    <row r="1942" spans="1:41" hidden="1" x14ac:dyDescent="0.35">
      <c r="A1942" t="s">
        <v>19452</v>
      </c>
      <c r="B1942" t="s">
        <v>7246</v>
      </c>
      <c r="C1942" t="s">
        <v>368</v>
      </c>
      <c r="D1942" t="s">
        <v>368</v>
      </c>
      <c r="E1942" t="s">
        <v>368</v>
      </c>
      <c r="G1942" s="13" t="s">
        <v>7788</v>
      </c>
      <c r="H1942" t="s">
        <v>7789</v>
      </c>
      <c r="I1942" t="s">
        <v>19453</v>
      </c>
      <c r="K1942" t="s">
        <v>12932</v>
      </c>
      <c r="L1942" t="s">
        <v>12932</v>
      </c>
      <c r="M1942" t="s">
        <v>7250</v>
      </c>
      <c r="N1942">
        <v>2020</v>
      </c>
      <c r="T1942" t="s">
        <v>6546</v>
      </c>
      <c r="U1942" t="s">
        <v>6546</v>
      </c>
      <c r="V1942">
        <v>23</v>
      </c>
      <c r="W1942" t="s">
        <v>6546</v>
      </c>
      <c r="X1942">
        <v>23</v>
      </c>
      <c r="Y1942">
        <v>42</v>
      </c>
      <c r="Z1942" t="s">
        <v>7253</v>
      </c>
      <c r="AC1942" t="s">
        <v>7255</v>
      </c>
      <c r="AE1942" t="s">
        <v>989</v>
      </c>
      <c r="AH1942" t="s">
        <v>989</v>
      </c>
      <c r="AI1942" t="s">
        <v>7255</v>
      </c>
      <c r="AO1942" t="s">
        <v>6546</v>
      </c>
    </row>
    <row r="1943" spans="1:41" hidden="1" x14ac:dyDescent="0.35">
      <c r="A1943" t="s">
        <v>19454</v>
      </c>
      <c r="B1943" t="s">
        <v>7246</v>
      </c>
      <c r="C1943" t="s">
        <v>368</v>
      </c>
      <c r="D1943" t="s">
        <v>368</v>
      </c>
      <c r="E1943" t="s">
        <v>368</v>
      </c>
      <c r="G1943" s="13" t="s">
        <v>7788</v>
      </c>
      <c r="H1943" t="s">
        <v>7789</v>
      </c>
      <c r="I1943" t="s">
        <v>19455</v>
      </c>
      <c r="K1943" t="s">
        <v>12932</v>
      </c>
      <c r="L1943" t="s">
        <v>12932</v>
      </c>
      <c r="M1943" t="s">
        <v>7292</v>
      </c>
      <c r="N1943">
        <v>2022</v>
      </c>
      <c r="T1943" t="s">
        <v>6546</v>
      </c>
      <c r="U1943" t="s">
        <v>6546</v>
      </c>
      <c r="V1943">
        <v>20</v>
      </c>
      <c r="W1943" t="s">
        <v>6546</v>
      </c>
      <c r="X1943">
        <v>20</v>
      </c>
      <c r="Y1943">
        <v>20</v>
      </c>
      <c r="Z1943" t="s">
        <v>7253</v>
      </c>
      <c r="AC1943" t="s">
        <v>7255</v>
      </c>
      <c r="AE1943" t="s">
        <v>989</v>
      </c>
      <c r="AH1943" t="s">
        <v>989</v>
      </c>
      <c r="AI1943" t="s">
        <v>7255</v>
      </c>
      <c r="AO1943" t="s">
        <v>6546</v>
      </c>
    </row>
    <row r="1944" spans="1:41" hidden="1" x14ac:dyDescent="0.35">
      <c r="A1944" t="s">
        <v>19456</v>
      </c>
      <c r="B1944" t="s">
        <v>7246</v>
      </c>
      <c r="C1944" t="s">
        <v>368</v>
      </c>
      <c r="D1944" t="s">
        <v>368</v>
      </c>
      <c r="E1944" t="s">
        <v>368</v>
      </c>
      <c r="G1944" s="13" t="s">
        <v>7788</v>
      </c>
      <c r="H1944" t="s">
        <v>7789</v>
      </c>
      <c r="I1944" t="s">
        <v>19457</v>
      </c>
      <c r="K1944" t="s">
        <v>12932</v>
      </c>
      <c r="L1944" t="s">
        <v>12932</v>
      </c>
      <c r="M1944" t="s">
        <v>7250</v>
      </c>
      <c r="N1944">
        <v>2018</v>
      </c>
      <c r="T1944" t="s">
        <v>6546</v>
      </c>
      <c r="U1944" t="s">
        <v>6546</v>
      </c>
      <c r="V1944">
        <v>21</v>
      </c>
      <c r="W1944" t="s">
        <v>6546</v>
      </c>
      <c r="X1944">
        <v>21</v>
      </c>
      <c r="Y1944">
        <v>42</v>
      </c>
      <c r="Z1944" t="s">
        <v>7253</v>
      </c>
      <c r="AC1944" t="s">
        <v>7255</v>
      </c>
      <c r="AE1944" t="s">
        <v>989</v>
      </c>
      <c r="AH1944" t="s">
        <v>989</v>
      </c>
      <c r="AI1944" t="s">
        <v>7255</v>
      </c>
      <c r="AO1944" t="s">
        <v>6546</v>
      </c>
    </row>
    <row r="1945" spans="1:41" hidden="1" x14ac:dyDescent="0.35">
      <c r="A1945" t="s">
        <v>19458</v>
      </c>
      <c r="B1945" t="s">
        <v>7246</v>
      </c>
      <c r="C1945" t="s">
        <v>368</v>
      </c>
      <c r="D1945" t="s">
        <v>368</v>
      </c>
      <c r="E1945" t="s">
        <v>368</v>
      </c>
      <c r="G1945" s="13" t="s">
        <v>7788</v>
      </c>
      <c r="H1945" t="s">
        <v>7789</v>
      </c>
      <c r="I1945" t="s">
        <v>19459</v>
      </c>
      <c r="K1945" t="s">
        <v>12932</v>
      </c>
      <c r="L1945" t="s">
        <v>12932</v>
      </c>
      <c r="M1945" t="s">
        <v>7250</v>
      </c>
      <c r="N1945">
        <v>2020</v>
      </c>
      <c r="T1945" t="s">
        <v>6546</v>
      </c>
      <c r="U1945" t="s">
        <v>6546</v>
      </c>
      <c r="V1945">
        <v>21.5</v>
      </c>
      <c r="W1945" t="s">
        <v>6546</v>
      </c>
      <c r="X1945">
        <v>21.5</v>
      </c>
      <c r="AC1945" t="s">
        <v>7255</v>
      </c>
      <c r="AE1945" t="s">
        <v>989</v>
      </c>
      <c r="AH1945" t="s">
        <v>989</v>
      </c>
      <c r="AI1945" t="s">
        <v>7255</v>
      </c>
      <c r="AO1945" t="s">
        <v>6546</v>
      </c>
    </row>
    <row r="1946" spans="1:41" hidden="1" x14ac:dyDescent="0.35">
      <c r="A1946" t="s">
        <v>19460</v>
      </c>
      <c r="B1946" t="s">
        <v>7246</v>
      </c>
      <c r="C1946" t="s">
        <v>368</v>
      </c>
      <c r="D1946" t="s">
        <v>368</v>
      </c>
      <c r="E1946" t="s">
        <v>368</v>
      </c>
      <c r="G1946" s="13" t="s">
        <v>7788</v>
      </c>
      <c r="H1946" t="s">
        <v>7789</v>
      </c>
      <c r="I1946" t="s">
        <v>19461</v>
      </c>
      <c r="K1946" t="s">
        <v>12932</v>
      </c>
      <c r="L1946" t="s">
        <v>12932</v>
      </c>
      <c r="M1946" t="s">
        <v>7292</v>
      </c>
      <c r="N1946">
        <v>2022</v>
      </c>
      <c r="T1946" t="s">
        <v>6546</v>
      </c>
      <c r="U1946" t="s">
        <v>6546</v>
      </c>
      <c r="V1946">
        <v>87</v>
      </c>
      <c r="W1946" t="s">
        <v>6546</v>
      </c>
      <c r="X1946">
        <v>87</v>
      </c>
      <c r="AC1946" t="s">
        <v>7255</v>
      </c>
      <c r="AE1946" t="s">
        <v>989</v>
      </c>
      <c r="AH1946" t="s">
        <v>989</v>
      </c>
      <c r="AI1946" t="s">
        <v>7255</v>
      </c>
      <c r="AO1946" t="s">
        <v>6546</v>
      </c>
    </row>
    <row r="1947" spans="1:41" hidden="1" x14ac:dyDescent="0.35">
      <c r="A1947" t="s">
        <v>19462</v>
      </c>
      <c r="B1947" t="s">
        <v>7246</v>
      </c>
      <c r="C1947" t="s">
        <v>368</v>
      </c>
      <c r="D1947" t="s">
        <v>368</v>
      </c>
      <c r="E1947" t="s">
        <v>368</v>
      </c>
      <c r="G1947" s="13" t="s">
        <v>19463</v>
      </c>
      <c r="H1947" t="s">
        <v>19464</v>
      </c>
      <c r="K1947" t="s">
        <v>19465</v>
      </c>
      <c r="L1947" t="s">
        <v>19465</v>
      </c>
      <c r="M1947" t="s">
        <v>7292</v>
      </c>
      <c r="N1947">
        <v>2027</v>
      </c>
      <c r="T1947" t="s">
        <v>6546</v>
      </c>
      <c r="U1947" t="s">
        <v>6546</v>
      </c>
      <c r="V1947">
        <v>8</v>
      </c>
      <c r="W1947" t="s">
        <v>6546</v>
      </c>
      <c r="X1947">
        <v>8</v>
      </c>
      <c r="Y1947">
        <v>20</v>
      </c>
      <c r="Z1947" t="s">
        <v>7253</v>
      </c>
      <c r="AA1947" t="s">
        <v>7413</v>
      </c>
      <c r="AC1947" t="s">
        <v>7255</v>
      </c>
      <c r="AI1947" t="s">
        <v>7255</v>
      </c>
      <c r="AO1947" t="s">
        <v>6546</v>
      </c>
    </row>
    <row r="1948" spans="1:41" hidden="1" x14ac:dyDescent="0.35">
      <c r="A1948" t="s">
        <v>19466</v>
      </c>
      <c r="B1948" t="s">
        <v>7246</v>
      </c>
      <c r="C1948" t="s">
        <v>392</v>
      </c>
      <c r="D1948" t="s">
        <v>370</v>
      </c>
      <c r="E1948" t="s">
        <v>8941</v>
      </c>
      <c r="G1948" s="13" t="s">
        <v>19467</v>
      </c>
      <c r="H1948" t="s">
        <v>19468</v>
      </c>
      <c r="K1948" t="s">
        <v>19469</v>
      </c>
      <c r="L1948" t="s">
        <v>19469</v>
      </c>
      <c r="M1948" t="s">
        <v>7292</v>
      </c>
      <c r="N1948">
        <v>2023</v>
      </c>
      <c r="R1948">
        <v>5</v>
      </c>
      <c r="S1948" t="s">
        <v>8257</v>
      </c>
      <c r="T1948">
        <v>5</v>
      </c>
      <c r="U1948">
        <v>2326.92</v>
      </c>
      <c r="V1948" t="s">
        <v>6546</v>
      </c>
      <c r="W1948">
        <v>79.349999999999994</v>
      </c>
      <c r="X1948">
        <v>79.349999999999994</v>
      </c>
      <c r="AA1948" t="s">
        <v>19470</v>
      </c>
      <c r="AC1948" t="s">
        <v>8747</v>
      </c>
      <c r="AI1948" t="s">
        <v>8747</v>
      </c>
      <c r="AO1948" t="s">
        <v>19471</v>
      </c>
    </row>
    <row r="1949" spans="1:41" x14ac:dyDescent="0.35">
      <c r="A1949" t="s">
        <v>19472</v>
      </c>
      <c r="B1949" t="s">
        <v>7246</v>
      </c>
      <c r="C1949" t="s">
        <v>24</v>
      </c>
      <c r="D1949" t="s">
        <v>24</v>
      </c>
      <c r="E1949" t="s">
        <v>24</v>
      </c>
      <c r="F1949" t="s">
        <v>354</v>
      </c>
      <c r="G1949" s="13" t="s">
        <v>19473</v>
      </c>
      <c r="H1949" t="s">
        <v>19474</v>
      </c>
      <c r="I1949" t="s">
        <v>19475</v>
      </c>
      <c r="K1949" t="s">
        <v>6543</v>
      </c>
      <c r="L1949" t="s">
        <v>6543</v>
      </c>
      <c r="M1949" t="s">
        <v>7292</v>
      </c>
      <c r="N1949">
        <v>2025</v>
      </c>
      <c r="R1949">
        <v>350</v>
      </c>
      <c r="S1949" t="s">
        <v>9164</v>
      </c>
      <c r="T1949">
        <v>3.58</v>
      </c>
      <c r="U1949">
        <v>1665.82</v>
      </c>
      <c r="V1949" t="s">
        <v>6546</v>
      </c>
      <c r="W1949">
        <v>86.84</v>
      </c>
      <c r="X1949">
        <v>86.84</v>
      </c>
      <c r="AC1949" t="s">
        <v>9165</v>
      </c>
      <c r="AI1949" t="s">
        <v>9165</v>
      </c>
      <c r="AO1949" t="s">
        <v>19476</v>
      </c>
    </row>
    <row r="1950" spans="1:41" x14ac:dyDescent="0.35">
      <c r="A1950" t="s">
        <v>19477</v>
      </c>
      <c r="B1950" t="s">
        <v>7246</v>
      </c>
      <c r="C1950" t="s">
        <v>24</v>
      </c>
      <c r="D1950" t="s">
        <v>24</v>
      </c>
      <c r="E1950" t="s">
        <v>24</v>
      </c>
      <c r="F1950" t="s">
        <v>354</v>
      </c>
      <c r="G1950" s="13" t="s">
        <v>19473</v>
      </c>
      <c r="H1950" t="s">
        <v>19474</v>
      </c>
      <c r="I1950" t="s">
        <v>19478</v>
      </c>
      <c r="K1950" t="s">
        <v>6543</v>
      </c>
      <c r="L1950" t="s">
        <v>6543</v>
      </c>
      <c r="M1950" t="s">
        <v>7292</v>
      </c>
      <c r="N1950">
        <v>2025</v>
      </c>
      <c r="R1950">
        <v>350</v>
      </c>
      <c r="S1950" t="s">
        <v>9164</v>
      </c>
      <c r="T1950">
        <v>3.58</v>
      </c>
      <c r="U1950">
        <v>1665.82</v>
      </c>
      <c r="V1950" t="s">
        <v>6546</v>
      </c>
      <c r="W1950">
        <v>361.14</v>
      </c>
      <c r="X1950">
        <v>361.14</v>
      </c>
      <c r="AC1950" t="s">
        <v>9165</v>
      </c>
      <c r="AI1950" t="s">
        <v>9165</v>
      </c>
      <c r="AO1950" t="s">
        <v>19479</v>
      </c>
    </row>
    <row r="1951" spans="1:41" x14ac:dyDescent="0.35">
      <c r="A1951" t="s">
        <v>19480</v>
      </c>
      <c r="B1951" t="s">
        <v>7246</v>
      </c>
      <c r="C1951" t="s">
        <v>24</v>
      </c>
      <c r="D1951" t="s">
        <v>24</v>
      </c>
      <c r="E1951" t="s">
        <v>24</v>
      </c>
      <c r="F1951" t="s">
        <v>354</v>
      </c>
      <c r="G1951" s="13" t="s">
        <v>19473</v>
      </c>
      <c r="H1951" t="s">
        <v>19474</v>
      </c>
      <c r="I1951" t="s">
        <v>19481</v>
      </c>
      <c r="K1951" t="s">
        <v>6543</v>
      </c>
      <c r="L1951" t="s">
        <v>6543</v>
      </c>
      <c r="M1951" t="s">
        <v>7292</v>
      </c>
      <c r="N1951">
        <v>2025</v>
      </c>
      <c r="R1951">
        <v>350</v>
      </c>
      <c r="S1951" t="s">
        <v>9164</v>
      </c>
      <c r="T1951">
        <v>3.58</v>
      </c>
      <c r="U1951">
        <v>1665.82</v>
      </c>
      <c r="V1951" t="s">
        <v>6546</v>
      </c>
      <c r="W1951">
        <v>748.96</v>
      </c>
      <c r="X1951">
        <v>748.96</v>
      </c>
      <c r="AC1951" t="s">
        <v>9165</v>
      </c>
      <c r="AI1951" t="s">
        <v>9165</v>
      </c>
      <c r="AO1951" t="s">
        <v>19482</v>
      </c>
    </row>
    <row r="1952" spans="1:41" x14ac:dyDescent="0.35">
      <c r="A1952" t="s">
        <v>19483</v>
      </c>
      <c r="B1952" t="s">
        <v>7246</v>
      </c>
      <c r="C1952" t="s">
        <v>24</v>
      </c>
      <c r="D1952" t="s">
        <v>24</v>
      </c>
      <c r="E1952" t="s">
        <v>24</v>
      </c>
      <c r="F1952" t="s">
        <v>354</v>
      </c>
      <c r="G1952" s="13" t="s">
        <v>19473</v>
      </c>
      <c r="H1952" t="s">
        <v>19474</v>
      </c>
      <c r="I1952" t="s">
        <v>19484</v>
      </c>
      <c r="K1952" t="s">
        <v>6543</v>
      </c>
      <c r="L1952" t="s">
        <v>6543</v>
      </c>
      <c r="M1952" t="s">
        <v>7292</v>
      </c>
      <c r="N1952">
        <v>2028</v>
      </c>
      <c r="R1952">
        <v>1350</v>
      </c>
      <c r="S1952" t="s">
        <v>9164</v>
      </c>
      <c r="T1952">
        <v>13.81</v>
      </c>
      <c r="U1952">
        <v>6425.29</v>
      </c>
      <c r="V1952">
        <v>0</v>
      </c>
      <c r="W1952" t="s">
        <v>6546</v>
      </c>
      <c r="X1952">
        <v>0</v>
      </c>
      <c r="AC1952" t="s">
        <v>9165</v>
      </c>
      <c r="AI1952" t="s">
        <v>9165</v>
      </c>
      <c r="AO1952" t="s">
        <v>6546</v>
      </c>
    </row>
    <row r="1953" spans="1:41" x14ac:dyDescent="0.35">
      <c r="A1953" t="s">
        <v>19485</v>
      </c>
      <c r="B1953" t="s">
        <v>7246</v>
      </c>
      <c r="C1953" t="s">
        <v>24</v>
      </c>
      <c r="D1953" t="s">
        <v>24</v>
      </c>
      <c r="E1953" t="s">
        <v>24</v>
      </c>
      <c r="F1953" t="s">
        <v>354</v>
      </c>
      <c r="G1953" s="13" t="s">
        <v>10745</v>
      </c>
      <c r="H1953" t="s">
        <v>10746</v>
      </c>
      <c r="I1953" t="s">
        <v>19486</v>
      </c>
      <c r="K1953" t="s">
        <v>6543</v>
      </c>
      <c r="L1953" t="s">
        <v>6543</v>
      </c>
      <c r="M1953" t="s">
        <v>7292</v>
      </c>
      <c r="N1953">
        <v>2028</v>
      </c>
      <c r="R1953">
        <v>1608</v>
      </c>
      <c r="S1953" t="s">
        <v>9164</v>
      </c>
      <c r="T1953">
        <v>16.45</v>
      </c>
      <c r="U1953">
        <v>7653.24</v>
      </c>
      <c r="V1953">
        <v>622</v>
      </c>
      <c r="W1953">
        <v>613.72</v>
      </c>
      <c r="X1953">
        <v>622</v>
      </c>
      <c r="AC1953" t="s">
        <v>9165</v>
      </c>
      <c r="AI1953" t="s">
        <v>9165</v>
      </c>
      <c r="AO1953" t="s">
        <v>10753</v>
      </c>
    </row>
    <row r="1954" spans="1:41" x14ac:dyDescent="0.35">
      <c r="A1954" t="s">
        <v>19487</v>
      </c>
      <c r="B1954" t="s">
        <v>7246</v>
      </c>
      <c r="C1954" t="s">
        <v>24</v>
      </c>
      <c r="D1954" t="s">
        <v>24</v>
      </c>
      <c r="E1954" t="s">
        <v>24</v>
      </c>
      <c r="F1954" t="s">
        <v>354</v>
      </c>
      <c r="G1954" s="13" t="s">
        <v>18731</v>
      </c>
      <c r="H1954" t="s">
        <v>18732</v>
      </c>
      <c r="I1954" t="s">
        <v>19486</v>
      </c>
      <c r="K1954" t="s">
        <v>6543</v>
      </c>
      <c r="L1954" t="s">
        <v>6543</v>
      </c>
      <c r="M1954" t="s">
        <v>7292</v>
      </c>
      <c r="N1954">
        <v>2028</v>
      </c>
      <c r="R1954">
        <v>1081</v>
      </c>
      <c r="S1954" t="s">
        <v>9164</v>
      </c>
      <c r="T1954">
        <v>11.06</v>
      </c>
      <c r="U1954">
        <v>5144.99</v>
      </c>
      <c r="V1954">
        <v>840</v>
      </c>
      <c r="W1954">
        <v>840.51</v>
      </c>
      <c r="X1954">
        <v>840</v>
      </c>
      <c r="AC1954" t="s">
        <v>9165</v>
      </c>
      <c r="AI1954" t="s">
        <v>9165</v>
      </c>
      <c r="AO1954" t="s">
        <v>18736</v>
      </c>
    </row>
    <row r="1955" spans="1:41" x14ac:dyDescent="0.35">
      <c r="A1955" t="s">
        <v>19488</v>
      </c>
      <c r="B1955" t="s">
        <v>7246</v>
      </c>
      <c r="C1955" t="s">
        <v>24</v>
      </c>
      <c r="D1955" t="s">
        <v>24</v>
      </c>
      <c r="E1955" t="s">
        <v>24</v>
      </c>
      <c r="F1955" t="s">
        <v>354</v>
      </c>
      <c r="G1955" s="13" t="s">
        <v>19171</v>
      </c>
      <c r="H1955" t="s">
        <v>19172</v>
      </c>
      <c r="I1955" t="s">
        <v>19489</v>
      </c>
      <c r="K1955" t="s">
        <v>6543</v>
      </c>
      <c r="L1955" t="s">
        <v>6543</v>
      </c>
      <c r="M1955" t="s">
        <v>7292</v>
      </c>
      <c r="N1955">
        <v>2028</v>
      </c>
      <c r="R1955">
        <v>500</v>
      </c>
      <c r="S1955" t="s">
        <v>9164</v>
      </c>
      <c r="T1955">
        <v>5.1100000000000003</v>
      </c>
      <c r="U1955">
        <v>2379.7399999999998</v>
      </c>
      <c r="V1955">
        <v>0</v>
      </c>
      <c r="W1955" t="s">
        <v>6546</v>
      </c>
      <c r="X1955">
        <v>0</v>
      </c>
      <c r="AC1955" t="s">
        <v>9165</v>
      </c>
      <c r="AI1955" t="s">
        <v>9165</v>
      </c>
      <c r="AO1955" t="s">
        <v>6546</v>
      </c>
    </row>
    <row r="1956" spans="1:41" x14ac:dyDescent="0.35">
      <c r="A1956" t="s">
        <v>19490</v>
      </c>
      <c r="B1956" t="s">
        <v>7246</v>
      </c>
      <c r="C1956" t="s">
        <v>24</v>
      </c>
      <c r="D1956" t="s">
        <v>24</v>
      </c>
      <c r="E1956" t="s">
        <v>24</v>
      </c>
      <c r="F1956" t="s">
        <v>354</v>
      </c>
      <c r="G1956" s="13" t="s">
        <v>13035</v>
      </c>
      <c r="H1956" t="s">
        <v>13036</v>
      </c>
      <c r="I1956" t="s">
        <v>19486</v>
      </c>
      <c r="K1956" t="s">
        <v>6543</v>
      </c>
      <c r="L1956" t="s">
        <v>6543</v>
      </c>
      <c r="M1956" t="s">
        <v>7292</v>
      </c>
      <c r="N1956">
        <v>2028</v>
      </c>
      <c r="R1956">
        <v>700</v>
      </c>
      <c r="S1956" t="s">
        <v>9164</v>
      </c>
      <c r="T1956">
        <v>7.16</v>
      </c>
      <c r="U1956">
        <v>3331.63</v>
      </c>
      <c r="V1956">
        <v>820</v>
      </c>
      <c r="W1956">
        <v>770.7</v>
      </c>
      <c r="X1956">
        <v>820</v>
      </c>
      <c r="AC1956" t="s">
        <v>9165</v>
      </c>
      <c r="AI1956" t="s">
        <v>9165</v>
      </c>
      <c r="AO1956" t="s">
        <v>13041</v>
      </c>
    </row>
    <row r="1957" spans="1:41" x14ac:dyDescent="0.35">
      <c r="A1957" t="s">
        <v>19491</v>
      </c>
      <c r="B1957" t="s">
        <v>7246</v>
      </c>
      <c r="C1957" t="s">
        <v>24</v>
      </c>
      <c r="D1957" t="s">
        <v>24</v>
      </c>
      <c r="E1957" t="s">
        <v>24</v>
      </c>
      <c r="F1957" t="s">
        <v>354</v>
      </c>
      <c r="G1957" s="13" t="s">
        <v>19492</v>
      </c>
      <c r="H1957" t="s">
        <v>19493</v>
      </c>
      <c r="K1957" t="s">
        <v>19494</v>
      </c>
      <c r="L1957" t="s">
        <v>19494</v>
      </c>
      <c r="M1957" t="s">
        <v>7250</v>
      </c>
      <c r="T1957" t="s">
        <v>6546</v>
      </c>
      <c r="U1957" t="s">
        <v>6546</v>
      </c>
      <c r="V1957">
        <v>127</v>
      </c>
      <c r="W1957">
        <v>118.84</v>
      </c>
      <c r="X1957">
        <v>127</v>
      </c>
      <c r="AA1957" t="s">
        <v>19495</v>
      </c>
      <c r="AC1957" t="s">
        <v>9165</v>
      </c>
      <c r="AE1957" t="s">
        <v>2973</v>
      </c>
      <c r="AF1957" t="s">
        <v>17279</v>
      </c>
      <c r="AH1957" t="s">
        <v>2973</v>
      </c>
      <c r="AI1957" t="s">
        <v>9165</v>
      </c>
      <c r="AO1957" t="s">
        <v>19496</v>
      </c>
    </row>
    <row r="1958" spans="1:41" x14ac:dyDescent="0.35">
      <c r="A1958" t="s">
        <v>19497</v>
      </c>
      <c r="B1958" t="s">
        <v>7246</v>
      </c>
      <c r="C1958" t="s">
        <v>24</v>
      </c>
      <c r="D1958" t="s">
        <v>24</v>
      </c>
      <c r="E1958" t="s">
        <v>24</v>
      </c>
      <c r="F1958" t="s">
        <v>354</v>
      </c>
      <c r="G1958" s="13" t="s">
        <v>19498</v>
      </c>
      <c r="H1958" t="s">
        <v>19499</v>
      </c>
      <c r="K1958" t="s">
        <v>19500</v>
      </c>
      <c r="L1958" t="s">
        <v>9163</v>
      </c>
      <c r="M1958" t="s">
        <v>7269</v>
      </c>
      <c r="T1958" t="s">
        <v>6546</v>
      </c>
      <c r="U1958" t="s">
        <v>6546</v>
      </c>
      <c r="V1958">
        <v>200</v>
      </c>
      <c r="W1958">
        <v>213.83</v>
      </c>
      <c r="X1958">
        <v>200</v>
      </c>
      <c r="Y1958" t="s">
        <v>19501</v>
      </c>
      <c r="Z1958" t="s">
        <v>7253</v>
      </c>
      <c r="AA1958" t="s">
        <v>19502</v>
      </c>
      <c r="AC1958" t="s">
        <v>9165</v>
      </c>
      <c r="AE1958" t="s">
        <v>2973</v>
      </c>
      <c r="AH1958" t="s">
        <v>2973</v>
      </c>
      <c r="AI1958" t="s">
        <v>9165</v>
      </c>
      <c r="AO1958" t="s">
        <v>19503</v>
      </c>
    </row>
    <row r="1959" spans="1:41" x14ac:dyDescent="0.35">
      <c r="A1959" t="s">
        <v>19504</v>
      </c>
      <c r="B1959" t="s">
        <v>7246</v>
      </c>
      <c r="C1959" t="s">
        <v>24</v>
      </c>
      <c r="D1959" t="s">
        <v>24</v>
      </c>
      <c r="E1959" t="s">
        <v>24</v>
      </c>
      <c r="F1959" t="s">
        <v>354</v>
      </c>
      <c r="G1959" s="13" t="s">
        <v>19505</v>
      </c>
      <c r="H1959" t="s">
        <v>19506</v>
      </c>
      <c r="I1959" t="s">
        <v>19507</v>
      </c>
      <c r="J1959" t="s">
        <v>19508</v>
      </c>
      <c r="K1959" t="s">
        <v>19509</v>
      </c>
      <c r="L1959" t="s">
        <v>10749</v>
      </c>
      <c r="M1959" t="s">
        <v>7250</v>
      </c>
      <c r="T1959" t="s">
        <v>6546</v>
      </c>
      <c r="U1959" t="s">
        <v>6546</v>
      </c>
      <c r="V1959" t="s">
        <v>6546</v>
      </c>
      <c r="W1959">
        <v>238.57</v>
      </c>
      <c r="X1959">
        <v>238.57</v>
      </c>
      <c r="AB1959" t="s">
        <v>2321</v>
      </c>
      <c r="AC1959" t="s">
        <v>9165</v>
      </c>
      <c r="AE1959" t="s">
        <v>4124</v>
      </c>
      <c r="AF1959" t="s">
        <v>4099</v>
      </c>
      <c r="AH1959" t="s">
        <v>4124</v>
      </c>
      <c r="AI1959" t="s">
        <v>9165</v>
      </c>
      <c r="AO1959" t="s">
        <v>19510</v>
      </c>
    </row>
    <row r="1960" spans="1:41" x14ac:dyDescent="0.35">
      <c r="A1960" t="s">
        <v>19511</v>
      </c>
      <c r="B1960" t="s">
        <v>7246</v>
      </c>
      <c r="C1960" t="s">
        <v>24</v>
      </c>
      <c r="D1960" t="s">
        <v>24</v>
      </c>
      <c r="E1960" t="s">
        <v>24</v>
      </c>
      <c r="F1960" t="s">
        <v>354</v>
      </c>
      <c r="G1960" s="13" t="s">
        <v>19505</v>
      </c>
      <c r="H1960" t="s">
        <v>19506</v>
      </c>
      <c r="I1960" t="s">
        <v>19512</v>
      </c>
      <c r="J1960" t="s">
        <v>19513</v>
      </c>
      <c r="K1960" t="s">
        <v>19509</v>
      </c>
      <c r="L1960" t="s">
        <v>10749</v>
      </c>
      <c r="M1960" t="s">
        <v>7250</v>
      </c>
      <c r="T1960" t="s">
        <v>6546</v>
      </c>
      <c r="U1960" t="s">
        <v>6546</v>
      </c>
      <c r="V1960">
        <v>421</v>
      </c>
      <c r="W1960">
        <v>32.619999999999997</v>
      </c>
      <c r="X1960">
        <v>421</v>
      </c>
      <c r="AB1960" t="s">
        <v>2321</v>
      </c>
      <c r="AC1960" t="s">
        <v>9165</v>
      </c>
      <c r="AE1960" t="s">
        <v>4124</v>
      </c>
      <c r="AF1960" t="s">
        <v>19514</v>
      </c>
      <c r="AH1960" t="s">
        <v>4124</v>
      </c>
      <c r="AI1960" t="s">
        <v>9165</v>
      </c>
      <c r="AO1960" t="s">
        <v>19515</v>
      </c>
    </row>
    <row r="1961" spans="1:41" x14ac:dyDescent="0.35">
      <c r="A1961" t="s">
        <v>19516</v>
      </c>
      <c r="B1961" t="s">
        <v>7246</v>
      </c>
      <c r="C1961" t="s">
        <v>24</v>
      </c>
      <c r="D1961" t="s">
        <v>24</v>
      </c>
      <c r="E1961" t="s">
        <v>24</v>
      </c>
      <c r="F1961" t="s">
        <v>354</v>
      </c>
      <c r="G1961" s="13" t="s">
        <v>19345</v>
      </c>
      <c r="H1961" t="s">
        <v>19346</v>
      </c>
      <c r="I1961" t="s">
        <v>19517</v>
      </c>
      <c r="K1961" t="s">
        <v>17310</v>
      </c>
      <c r="L1961" t="s">
        <v>17310</v>
      </c>
      <c r="M1961" t="s">
        <v>7250</v>
      </c>
      <c r="R1961">
        <v>446</v>
      </c>
      <c r="S1961" t="s">
        <v>9164</v>
      </c>
      <c r="T1961">
        <v>4.5599999999999996</v>
      </c>
      <c r="U1961">
        <v>2122.73</v>
      </c>
      <c r="V1961">
        <v>58</v>
      </c>
      <c r="W1961">
        <v>57.87</v>
      </c>
      <c r="X1961">
        <v>58</v>
      </c>
      <c r="AC1961" t="s">
        <v>9165</v>
      </c>
      <c r="AI1961" t="s">
        <v>9165</v>
      </c>
      <c r="AO1961" t="s">
        <v>19518</v>
      </c>
    </row>
    <row r="1962" spans="1:41" x14ac:dyDescent="0.35">
      <c r="A1962" t="s">
        <v>19519</v>
      </c>
      <c r="B1962" t="s">
        <v>7246</v>
      </c>
      <c r="C1962" t="s">
        <v>24</v>
      </c>
      <c r="D1962" t="s">
        <v>24</v>
      </c>
      <c r="E1962" t="s">
        <v>24</v>
      </c>
      <c r="F1962" t="s">
        <v>354</v>
      </c>
      <c r="G1962" s="13" t="s">
        <v>19345</v>
      </c>
      <c r="H1962" t="s">
        <v>19346</v>
      </c>
      <c r="I1962" t="s">
        <v>19520</v>
      </c>
      <c r="K1962" t="s">
        <v>17310</v>
      </c>
      <c r="L1962" t="s">
        <v>17310</v>
      </c>
      <c r="M1962" t="s">
        <v>7250</v>
      </c>
      <c r="R1962">
        <v>25</v>
      </c>
      <c r="S1962" t="s">
        <v>9164</v>
      </c>
      <c r="T1962">
        <v>0.26</v>
      </c>
      <c r="U1962">
        <v>118.99</v>
      </c>
      <c r="V1962">
        <v>245</v>
      </c>
      <c r="W1962">
        <v>264.39</v>
      </c>
      <c r="X1962">
        <v>245</v>
      </c>
      <c r="AC1962" t="s">
        <v>9165</v>
      </c>
      <c r="AI1962" t="s">
        <v>9165</v>
      </c>
      <c r="AO1962" t="s">
        <v>19521</v>
      </c>
    </row>
    <row r="1963" spans="1:41" x14ac:dyDescent="0.35">
      <c r="A1963" t="s">
        <v>19522</v>
      </c>
      <c r="B1963" t="s">
        <v>7246</v>
      </c>
      <c r="C1963" t="s">
        <v>24</v>
      </c>
      <c r="D1963" t="s">
        <v>24</v>
      </c>
      <c r="E1963" t="s">
        <v>24</v>
      </c>
      <c r="F1963" t="s">
        <v>354</v>
      </c>
      <c r="G1963" s="13" t="s">
        <v>19345</v>
      </c>
      <c r="H1963" t="s">
        <v>19346</v>
      </c>
      <c r="I1963" t="s">
        <v>19523</v>
      </c>
      <c r="K1963" t="s">
        <v>17310</v>
      </c>
      <c r="L1963" t="s">
        <v>17310</v>
      </c>
      <c r="M1963" t="s">
        <v>7250</v>
      </c>
      <c r="R1963">
        <v>223</v>
      </c>
      <c r="S1963" t="s">
        <v>9164</v>
      </c>
      <c r="T1963">
        <v>2.2799999999999998</v>
      </c>
      <c r="U1963">
        <v>1061.3599999999999</v>
      </c>
      <c r="V1963">
        <v>131</v>
      </c>
      <c r="W1963">
        <v>131.16999999999999</v>
      </c>
      <c r="X1963">
        <v>131</v>
      </c>
      <c r="AC1963" t="s">
        <v>9165</v>
      </c>
      <c r="AI1963" t="s">
        <v>9165</v>
      </c>
      <c r="AO1963" t="s">
        <v>19524</v>
      </c>
    </row>
    <row r="1964" spans="1:41" x14ac:dyDescent="0.35">
      <c r="A1964" t="s">
        <v>19525</v>
      </c>
      <c r="B1964" t="s">
        <v>7246</v>
      </c>
      <c r="C1964" t="s">
        <v>24</v>
      </c>
      <c r="D1964" t="s">
        <v>24</v>
      </c>
      <c r="E1964" t="s">
        <v>24</v>
      </c>
      <c r="F1964" t="s">
        <v>354</v>
      </c>
      <c r="G1964" s="13" t="s">
        <v>19345</v>
      </c>
      <c r="H1964" t="s">
        <v>19346</v>
      </c>
      <c r="I1964" t="s">
        <v>19526</v>
      </c>
      <c r="K1964" t="s">
        <v>17310</v>
      </c>
      <c r="L1964" t="s">
        <v>17310</v>
      </c>
      <c r="M1964" t="s">
        <v>7250</v>
      </c>
      <c r="R1964">
        <v>13</v>
      </c>
      <c r="S1964" t="s">
        <v>9164</v>
      </c>
      <c r="T1964">
        <v>0.13</v>
      </c>
      <c r="U1964">
        <v>61.87</v>
      </c>
      <c r="V1964">
        <v>179</v>
      </c>
      <c r="W1964">
        <v>178.96</v>
      </c>
      <c r="X1964">
        <v>179</v>
      </c>
      <c r="AC1964" t="s">
        <v>9165</v>
      </c>
      <c r="AI1964" t="s">
        <v>9165</v>
      </c>
      <c r="AO1964" t="s">
        <v>19527</v>
      </c>
    </row>
    <row r="1965" spans="1:41" x14ac:dyDescent="0.35">
      <c r="A1965" t="s">
        <v>19528</v>
      </c>
      <c r="B1965" t="s">
        <v>7246</v>
      </c>
      <c r="C1965" t="s">
        <v>24</v>
      </c>
      <c r="D1965" t="s">
        <v>24</v>
      </c>
      <c r="E1965" t="s">
        <v>24</v>
      </c>
      <c r="F1965" t="s">
        <v>354</v>
      </c>
      <c r="G1965" s="13" t="s">
        <v>19345</v>
      </c>
      <c r="H1965" t="s">
        <v>19346</v>
      </c>
      <c r="I1965" t="s">
        <v>19529</v>
      </c>
      <c r="K1965" t="s">
        <v>17310</v>
      </c>
      <c r="L1965" t="s">
        <v>17310</v>
      </c>
      <c r="M1965" t="s">
        <v>7250</v>
      </c>
      <c r="R1965">
        <v>223</v>
      </c>
      <c r="S1965" t="s">
        <v>9164</v>
      </c>
      <c r="T1965">
        <v>2.2799999999999998</v>
      </c>
      <c r="U1965">
        <v>1061.3599999999999</v>
      </c>
      <c r="V1965">
        <v>88</v>
      </c>
      <c r="W1965">
        <v>87.13</v>
      </c>
      <c r="X1965">
        <v>88</v>
      </c>
      <c r="AC1965" t="s">
        <v>9165</v>
      </c>
      <c r="AI1965" t="s">
        <v>9165</v>
      </c>
      <c r="AO1965" t="s">
        <v>19530</v>
      </c>
    </row>
    <row r="1966" spans="1:41" hidden="1" x14ac:dyDescent="0.35">
      <c r="A1966" t="s">
        <v>19531</v>
      </c>
      <c r="B1966" t="s">
        <v>7246</v>
      </c>
      <c r="C1966" t="s">
        <v>368</v>
      </c>
      <c r="D1966" t="s">
        <v>368</v>
      </c>
      <c r="E1966" t="s">
        <v>368</v>
      </c>
      <c r="G1966" s="13" t="s">
        <v>7788</v>
      </c>
      <c r="H1966" t="s">
        <v>7789</v>
      </c>
      <c r="I1966" t="s">
        <v>19532</v>
      </c>
      <c r="K1966" t="s">
        <v>12932</v>
      </c>
      <c r="L1966" t="s">
        <v>12932</v>
      </c>
      <c r="M1966" t="s">
        <v>7292</v>
      </c>
      <c r="N1966">
        <v>2022</v>
      </c>
      <c r="T1966" t="s">
        <v>6546</v>
      </c>
      <c r="U1966" t="s">
        <v>6546</v>
      </c>
      <c r="V1966">
        <v>24</v>
      </c>
      <c r="W1966" t="s">
        <v>6546</v>
      </c>
      <c r="X1966">
        <v>24</v>
      </c>
      <c r="Y1966">
        <v>48</v>
      </c>
      <c r="Z1966" t="s">
        <v>7253</v>
      </c>
      <c r="AC1966" t="s">
        <v>7255</v>
      </c>
      <c r="AE1966" t="s">
        <v>989</v>
      </c>
      <c r="AH1966" t="s">
        <v>989</v>
      </c>
      <c r="AI1966" t="s">
        <v>7255</v>
      </c>
      <c r="AO1966" t="s">
        <v>6546</v>
      </c>
    </row>
    <row r="1967" spans="1:41" hidden="1" x14ac:dyDescent="0.35">
      <c r="A1967" t="s">
        <v>19533</v>
      </c>
      <c r="B1967" t="s">
        <v>7246</v>
      </c>
      <c r="C1967" t="s">
        <v>368</v>
      </c>
      <c r="D1967" t="s">
        <v>368</v>
      </c>
      <c r="E1967" t="s">
        <v>368</v>
      </c>
      <c r="G1967" s="13" t="s">
        <v>7788</v>
      </c>
      <c r="H1967" t="s">
        <v>7789</v>
      </c>
      <c r="I1967" t="s">
        <v>19534</v>
      </c>
      <c r="K1967" t="s">
        <v>12932</v>
      </c>
      <c r="L1967" t="s">
        <v>12932</v>
      </c>
      <c r="M1967" t="s">
        <v>7292</v>
      </c>
      <c r="N1967">
        <v>2023</v>
      </c>
      <c r="T1967" t="s">
        <v>6546</v>
      </c>
      <c r="U1967" t="s">
        <v>6546</v>
      </c>
      <c r="V1967">
        <v>32</v>
      </c>
      <c r="W1967" t="s">
        <v>6546</v>
      </c>
      <c r="X1967">
        <v>32</v>
      </c>
      <c r="Y1967">
        <v>48</v>
      </c>
      <c r="Z1967" t="s">
        <v>7253</v>
      </c>
      <c r="AC1967" t="s">
        <v>7255</v>
      </c>
      <c r="AE1967" t="s">
        <v>989</v>
      </c>
      <c r="AH1967" t="s">
        <v>989</v>
      </c>
      <c r="AI1967" t="s">
        <v>7255</v>
      </c>
      <c r="AO1967" t="s">
        <v>6546</v>
      </c>
    </row>
    <row r="1968" spans="1:41" hidden="1" x14ac:dyDescent="0.35">
      <c r="A1968" t="s">
        <v>19535</v>
      </c>
      <c r="B1968" t="s">
        <v>7246</v>
      </c>
      <c r="C1968" t="s">
        <v>368</v>
      </c>
      <c r="D1968" t="s">
        <v>368</v>
      </c>
      <c r="E1968" t="s">
        <v>368</v>
      </c>
      <c r="G1968" s="13" t="s">
        <v>7788</v>
      </c>
      <c r="H1968" t="s">
        <v>7789</v>
      </c>
      <c r="I1968" t="s">
        <v>19536</v>
      </c>
      <c r="K1968" t="s">
        <v>12932</v>
      </c>
      <c r="L1968" t="s">
        <v>12932</v>
      </c>
      <c r="M1968" t="s">
        <v>7292</v>
      </c>
      <c r="N1968">
        <v>2023</v>
      </c>
      <c r="T1968" t="s">
        <v>6546</v>
      </c>
      <c r="U1968" t="s">
        <v>6546</v>
      </c>
      <c r="V1968">
        <v>36</v>
      </c>
      <c r="W1968" t="s">
        <v>6546</v>
      </c>
      <c r="X1968">
        <v>36</v>
      </c>
      <c r="Y1968">
        <v>36</v>
      </c>
      <c r="Z1968" t="s">
        <v>7253</v>
      </c>
      <c r="AC1968" t="s">
        <v>7255</v>
      </c>
      <c r="AE1968" t="s">
        <v>989</v>
      </c>
      <c r="AH1968" t="s">
        <v>989</v>
      </c>
      <c r="AI1968" t="s">
        <v>7255</v>
      </c>
      <c r="AO1968" t="s">
        <v>6546</v>
      </c>
    </row>
    <row r="1969" spans="1:41" x14ac:dyDescent="0.35">
      <c r="A1969" t="s">
        <v>19537</v>
      </c>
      <c r="B1969" t="s">
        <v>7246</v>
      </c>
      <c r="C1969" t="s">
        <v>24</v>
      </c>
      <c r="D1969" t="s">
        <v>24</v>
      </c>
      <c r="E1969" t="s">
        <v>24</v>
      </c>
      <c r="F1969" t="s">
        <v>354</v>
      </c>
      <c r="G1969" s="13" t="s">
        <v>19538</v>
      </c>
      <c r="H1969" t="s">
        <v>19539</v>
      </c>
      <c r="K1969" t="s">
        <v>19540</v>
      </c>
      <c r="L1969" t="s">
        <v>19540</v>
      </c>
      <c r="M1969" t="s">
        <v>7250</v>
      </c>
      <c r="N1969">
        <v>2015</v>
      </c>
      <c r="R1969">
        <v>2.4</v>
      </c>
      <c r="S1969" t="s">
        <v>19541</v>
      </c>
      <c r="T1969">
        <v>7.0000000000000007E-2</v>
      </c>
      <c r="U1969">
        <v>31.27</v>
      </c>
      <c r="V1969">
        <v>50</v>
      </c>
      <c r="W1969">
        <v>47.58</v>
      </c>
      <c r="X1969">
        <v>50</v>
      </c>
      <c r="Y1969">
        <v>100</v>
      </c>
      <c r="Z1969" t="s">
        <v>8842</v>
      </c>
      <c r="AC1969" t="s">
        <v>9165</v>
      </c>
      <c r="AE1969" t="s">
        <v>10751</v>
      </c>
      <c r="AH1969" t="s">
        <v>10751</v>
      </c>
      <c r="AI1969" t="s">
        <v>9165</v>
      </c>
      <c r="AO1969" t="s">
        <v>19542</v>
      </c>
    </row>
    <row r="1970" spans="1:41" x14ac:dyDescent="0.35">
      <c r="A1970" t="s">
        <v>19543</v>
      </c>
      <c r="B1970" t="s">
        <v>7246</v>
      </c>
      <c r="C1970" t="s">
        <v>24</v>
      </c>
      <c r="D1970" t="s">
        <v>24</v>
      </c>
      <c r="E1970" t="s">
        <v>24</v>
      </c>
      <c r="F1970" t="s">
        <v>354</v>
      </c>
      <c r="G1970" s="13" t="s">
        <v>18731</v>
      </c>
      <c r="H1970" t="s">
        <v>18732</v>
      </c>
      <c r="I1970" t="s">
        <v>19544</v>
      </c>
      <c r="K1970" t="s">
        <v>9163</v>
      </c>
      <c r="L1970" t="s">
        <v>9163</v>
      </c>
      <c r="M1970" t="s">
        <v>7250</v>
      </c>
      <c r="N1970">
        <v>1998</v>
      </c>
      <c r="R1970">
        <v>10</v>
      </c>
      <c r="S1970" t="s">
        <v>9164</v>
      </c>
      <c r="T1970">
        <v>0.1</v>
      </c>
      <c r="U1970">
        <v>47.59</v>
      </c>
      <c r="V1970">
        <v>96</v>
      </c>
      <c r="W1970">
        <v>97.8</v>
      </c>
      <c r="X1970">
        <v>96</v>
      </c>
      <c r="AA1970" t="s">
        <v>19545</v>
      </c>
      <c r="AC1970" t="s">
        <v>9165</v>
      </c>
      <c r="AE1970" t="s">
        <v>2973</v>
      </c>
      <c r="AF1970" t="s">
        <v>19546</v>
      </c>
      <c r="AH1970" t="s">
        <v>2973</v>
      </c>
      <c r="AI1970" t="s">
        <v>9165</v>
      </c>
      <c r="AO1970" t="s">
        <v>19547</v>
      </c>
    </row>
    <row r="1971" spans="1:41" x14ac:dyDescent="0.35">
      <c r="A1971" t="s">
        <v>19548</v>
      </c>
      <c r="B1971" t="s">
        <v>7246</v>
      </c>
      <c r="C1971" t="s">
        <v>24</v>
      </c>
      <c r="D1971" t="s">
        <v>24</v>
      </c>
      <c r="E1971" t="s">
        <v>24</v>
      </c>
      <c r="F1971" t="s">
        <v>354</v>
      </c>
      <c r="G1971" s="13" t="s">
        <v>19549</v>
      </c>
      <c r="H1971" t="s">
        <v>19550</v>
      </c>
      <c r="K1971" t="s">
        <v>19551</v>
      </c>
      <c r="L1971" t="s">
        <v>19551</v>
      </c>
      <c r="M1971" t="s">
        <v>7250</v>
      </c>
      <c r="N1971">
        <v>2009</v>
      </c>
      <c r="T1971" t="s">
        <v>6546</v>
      </c>
      <c r="U1971" t="s">
        <v>6546</v>
      </c>
      <c r="V1971">
        <v>110</v>
      </c>
      <c r="W1971">
        <v>75.77</v>
      </c>
      <c r="X1971">
        <v>110</v>
      </c>
      <c r="Y1971">
        <v>400</v>
      </c>
      <c r="Z1971" t="s">
        <v>8842</v>
      </c>
      <c r="AC1971" t="s">
        <v>9165</v>
      </c>
      <c r="AE1971" t="s">
        <v>2973</v>
      </c>
      <c r="AH1971" t="s">
        <v>2973</v>
      </c>
      <c r="AI1971" t="s">
        <v>9165</v>
      </c>
      <c r="AO1971" t="s">
        <v>19552</v>
      </c>
    </row>
    <row r="1972" spans="1:41" x14ac:dyDescent="0.35">
      <c r="A1972" t="s">
        <v>19553</v>
      </c>
      <c r="B1972" t="s">
        <v>7246</v>
      </c>
      <c r="C1972" t="s">
        <v>24</v>
      </c>
      <c r="D1972" t="s">
        <v>24</v>
      </c>
      <c r="E1972" t="s">
        <v>24</v>
      </c>
      <c r="F1972" t="s">
        <v>354</v>
      </c>
      <c r="G1972" s="13" t="s">
        <v>19554</v>
      </c>
      <c r="H1972" t="s">
        <v>19555</v>
      </c>
      <c r="J1972" t="s">
        <v>19556</v>
      </c>
      <c r="K1972" t="s">
        <v>17310</v>
      </c>
      <c r="L1972" t="s">
        <v>17310</v>
      </c>
      <c r="M1972" t="s">
        <v>7250</v>
      </c>
      <c r="N1972">
        <v>1999</v>
      </c>
      <c r="R1972">
        <v>2.4</v>
      </c>
      <c r="S1972" t="s">
        <v>9164</v>
      </c>
      <c r="T1972">
        <v>0.02</v>
      </c>
      <c r="U1972">
        <v>11.42</v>
      </c>
      <c r="V1972">
        <v>148</v>
      </c>
      <c r="W1972">
        <v>159.72</v>
      </c>
      <c r="X1972">
        <v>148</v>
      </c>
      <c r="Y1972">
        <v>114.3</v>
      </c>
      <c r="Z1972" t="s">
        <v>8842</v>
      </c>
      <c r="AA1972" t="s">
        <v>18720</v>
      </c>
      <c r="AB1972" t="s">
        <v>19557</v>
      </c>
      <c r="AC1972" t="s">
        <v>9165</v>
      </c>
      <c r="AE1972" t="s">
        <v>4129</v>
      </c>
      <c r="AF1972" t="s">
        <v>19558</v>
      </c>
      <c r="AH1972" t="s">
        <v>4124</v>
      </c>
      <c r="AI1972" t="s">
        <v>9165</v>
      </c>
      <c r="AO1972" t="s">
        <v>19559</v>
      </c>
    </row>
    <row r="1973" spans="1:41" x14ac:dyDescent="0.35">
      <c r="A1973" t="s">
        <v>19560</v>
      </c>
      <c r="B1973" t="s">
        <v>7246</v>
      </c>
      <c r="C1973" t="s">
        <v>24</v>
      </c>
      <c r="D1973" t="s">
        <v>24</v>
      </c>
      <c r="E1973" t="s">
        <v>24</v>
      </c>
      <c r="F1973" t="s">
        <v>354</v>
      </c>
      <c r="G1973" s="13" t="s">
        <v>19561</v>
      </c>
      <c r="H1973" t="s">
        <v>19562</v>
      </c>
      <c r="J1973" t="s">
        <v>19563</v>
      </c>
      <c r="K1973" t="s">
        <v>19564</v>
      </c>
      <c r="L1973" t="s">
        <v>19564</v>
      </c>
      <c r="M1973" t="s">
        <v>7250</v>
      </c>
      <c r="N1973">
        <v>2017</v>
      </c>
      <c r="T1973" t="s">
        <v>6546</v>
      </c>
      <c r="U1973" t="s">
        <v>6546</v>
      </c>
      <c r="V1973">
        <v>35.1</v>
      </c>
      <c r="W1973">
        <v>35.380000000000003</v>
      </c>
      <c r="X1973">
        <v>35.1</v>
      </c>
      <c r="AA1973" t="s">
        <v>19565</v>
      </c>
      <c r="AC1973" t="s">
        <v>9165</v>
      </c>
      <c r="AE1973" t="s">
        <v>2969</v>
      </c>
      <c r="AH1973" t="s">
        <v>2969</v>
      </c>
      <c r="AI1973" t="s">
        <v>9165</v>
      </c>
      <c r="AO1973" t="s">
        <v>19566</v>
      </c>
    </row>
    <row r="1974" spans="1:41" x14ac:dyDescent="0.35">
      <c r="A1974" t="s">
        <v>19567</v>
      </c>
      <c r="B1974" t="s">
        <v>7246</v>
      </c>
      <c r="C1974" t="s">
        <v>24</v>
      </c>
      <c r="D1974" t="s">
        <v>24</v>
      </c>
      <c r="E1974" t="s">
        <v>24</v>
      </c>
      <c r="F1974" t="s">
        <v>354</v>
      </c>
      <c r="G1974" s="13" t="s">
        <v>19568</v>
      </c>
      <c r="H1974" t="s">
        <v>19569</v>
      </c>
      <c r="K1974" t="s">
        <v>19570</v>
      </c>
      <c r="L1974" t="s">
        <v>19570</v>
      </c>
      <c r="M1974" t="s">
        <v>7250</v>
      </c>
      <c r="N1974">
        <v>2006</v>
      </c>
      <c r="T1974" t="s">
        <v>6546</v>
      </c>
      <c r="U1974" t="s">
        <v>6546</v>
      </c>
      <c r="V1974">
        <v>80</v>
      </c>
      <c r="W1974">
        <v>63.24</v>
      </c>
      <c r="X1974">
        <v>80</v>
      </c>
      <c r="Y1974">
        <v>20</v>
      </c>
      <c r="Z1974" t="s">
        <v>7253</v>
      </c>
      <c r="AA1974" t="s">
        <v>19571</v>
      </c>
      <c r="AC1974" t="s">
        <v>9165</v>
      </c>
      <c r="AE1974" t="s">
        <v>2969</v>
      </c>
      <c r="AH1974" t="s">
        <v>2969</v>
      </c>
      <c r="AI1974" t="s">
        <v>9165</v>
      </c>
      <c r="AO1974" t="s">
        <v>19572</v>
      </c>
    </row>
    <row r="1975" spans="1:41" x14ac:dyDescent="0.35">
      <c r="A1975" t="s">
        <v>19573</v>
      </c>
      <c r="B1975" t="s">
        <v>7246</v>
      </c>
      <c r="C1975" t="s">
        <v>24</v>
      </c>
      <c r="D1975" t="s">
        <v>24</v>
      </c>
      <c r="E1975" t="s">
        <v>24</v>
      </c>
      <c r="F1975" t="s">
        <v>354</v>
      </c>
      <c r="G1975" s="13" t="s">
        <v>19294</v>
      </c>
      <c r="H1975" t="s">
        <v>19295</v>
      </c>
      <c r="K1975" t="s">
        <v>9163</v>
      </c>
      <c r="L1975" t="s">
        <v>9163</v>
      </c>
      <c r="M1975" t="s">
        <v>7250</v>
      </c>
      <c r="N1975">
        <v>1996</v>
      </c>
      <c r="R1975">
        <v>26</v>
      </c>
      <c r="S1975" t="s">
        <v>9164</v>
      </c>
      <c r="T1975">
        <v>0.27</v>
      </c>
      <c r="U1975">
        <v>123.75</v>
      </c>
      <c r="V1975">
        <v>44.3</v>
      </c>
      <c r="W1975">
        <v>44.17</v>
      </c>
      <c r="X1975">
        <v>44.3</v>
      </c>
      <c r="Y1975">
        <v>219</v>
      </c>
      <c r="Z1975" t="s">
        <v>8842</v>
      </c>
      <c r="AA1975" t="s">
        <v>19236</v>
      </c>
      <c r="AB1975" t="s">
        <v>19238</v>
      </c>
      <c r="AC1975" t="s">
        <v>9165</v>
      </c>
      <c r="AE1975" t="s">
        <v>6388</v>
      </c>
      <c r="AF1975" t="s">
        <v>19297</v>
      </c>
      <c r="AH1975" t="s">
        <v>6388</v>
      </c>
      <c r="AI1975" t="s">
        <v>9165</v>
      </c>
      <c r="AO1975" t="s">
        <v>19574</v>
      </c>
    </row>
    <row r="1976" spans="1:41" x14ac:dyDescent="0.35">
      <c r="A1976" t="s">
        <v>19575</v>
      </c>
      <c r="B1976" t="s">
        <v>7246</v>
      </c>
      <c r="C1976" t="s">
        <v>24</v>
      </c>
      <c r="D1976" t="s">
        <v>24</v>
      </c>
      <c r="E1976" t="s">
        <v>24</v>
      </c>
      <c r="F1976" t="s">
        <v>354</v>
      </c>
      <c r="G1976" s="13" t="s">
        <v>9160</v>
      </c>
      <c r="H1976" t="s">
        <v>9161</v>
      </c>
      <c r="I1976" t="s">
        <v>19576</v>
      </c>
      <c r="K1976" t="s">
        <v>9163</v>
      </c>
      <c r="L1976" t="s">
        <v>9163</v>
      </c>
      <c r="M1976" t="s">
        <v>7250</v>
      </c>
      <c r="R1976">
        <v>45.6</v>
      </c>
      <c r="S1976" t="s">
        <v>9164</v>
      </c>
      <c r="T1976">
        <v>0.47</v>
      </c>
      <c r="U1976">
        <v>217.03</v>
      </c>
      <c r="V1976">
        <v>85</v>
      </c>
      <c r="W1976">
        <v>122.48</v>
      </c>
      <c r="X1976">
        <v>85</v>
      </c>
      <c r="AC1976" t="s">
        <v>9165</v>
      </c>
      <c r="AI1976" t="s">
        <v>9165</v>
      </c>
      <c r="AO1976" t="s">
        <v>19577</v>
      </c>
    </row>
    <row r="1977" spans="1:41" x14ac:dyDescent="0.35">
      <c r="A1977" t="s">
        <v>19578</v>
      </c>
      <c r="B1977" t="s">
        <v>7246</v>
      </c>
      <c r="C1977" t="s">
        <v>24</v>
      </c>
      <c r="D1977" t="s">
        <v>24</v>
      </c>
      <c r="E1977" t="s">
        <v>24</v>
      </c>
      <c r="F1977" t="s">
        <v>354</v>
      </c>
      <c r="G1977" s="13" t="s">
        <v>9160</v>
      </c>
      <c r="H1977" t="s">
        <v>9161</v>
      </c>
      <c r="I1977" t="s">
        <v>19579</v>
      </c>
      <c r="K1977" t="s">
        <v>9163</v>
      </c>
      <c r="L1977" t="s">
        <v>9163</v>
      </c>
      <c r="M1977" t="s">
        <v>7250</v>
      </c>
      <c r="R1977">
        <v>8</v>
      </c>
      <c r="S1977" t="s">
        <v>9164</v>
      </c>
      <c r="T1977">
        <v>0.08</v>
      </c>
      <c r="U1977">
        <v>38.08</v>
      </c>
      <c r="V1977">
        <v>5.7</v>
      </c>
      <c r="W1977" t="s">
        <v>6546</v>
      </c>
      <c r="X1977">
        <v>5.7</v>
      </c>
      <c r="AC1977" t="s">
        <v>9165</v>
      </c>
      <c r="AI1977" t="s">
        <v>9165</v>
      </c>
      <c r="AO1977" t="s">
        <v>6546</v>
      </c>
    </row>
    <row r="1978" spans="1:41" x14ac:dyDescent="0.35">
      <c r="A1978" t="s">
        <v>19580</v>
      </c>
      <c r="B1978" t="s">
        <v>7246</v>
      </c>
      <c r="C1978" t="s">
        <v>24</v>
      </c>
      <c r="D1978" t="s">
        <v>24</v>
      </c>
      <c r="E1978" t="s">
        <v>24</v>
      </c>
      <c r="F1978" t="s">
        <v>354</v>
      </c>
      <c r="G1978" s="13" t="s">
        <v>9160</v>
      </c>
      <c r="H1978" t="s">
        <v>9161</v>
      </c>
      <c r="I1978" t="s">
        <v>19581</v>
      </c>
      <c r="K1978" t="s">
        <v>9163</v>
      </c>
      <c r="L1978" t="s">
        <v>9163</v>
      </c>
      <c r="M1978" t="s">
        <v>7250</v>
      </c>
      <c r="R1978">
        <v>8</v>
      </c>
      <c r="S1978" t="s">
        <v>9164</v>
      </c>
      <c r="T1978">
        <v>0.08</v>
      </c>
      <c r="U1978">
        <v>38.08</v>
      </c>
      <c r="V1978">
        <v>5</v>
      </c>
      <c r="W1978" t="s">
        <v>6546</v>
      </c>
      <c r="X1978">
        <v>5</v>
      </c>
      <c r="AC1978" t="s">
        <v>9165</v>
      </c>
      <c r="AI1978" t="s">
        <v>9165</v>
      </c>
      <c r="AO1978" t="s">
        <v>6546</v>
      </c>
    </row>
    <row r="1979" spans="1:41" x14ac:dyDescent="0.35">
      <c r="A1979" t="s">
        <v>19582</v>
      </c>
      <c r="B1979" t="s">
        <v>7246</v>
      </c>
      <c r="C1979" t="s">
        <v>24</v>
      </c>
      <c r="D1979" t="s">
        <v>24</v>
      </c>
      <c r="E1979" t="s">
        <v>24</v>
      </c>
      <c r="F1979" t="s">
        <v>354</v>
      </c>
      <c r="G1979" s="13" t="s">
        <v>18682</v>
      </c>
      <c r="H1979" t="s">
        <v>18683</v>
      </c>
      <c r="I1979" t="s">
        <v>19489</v>
      </c>
      <c r="K1979" t="s">
        <v>6543</v>
      </c>
      <c r="L1979" t="s">
        <v>6543</v>
      </c>
      <c r="M1979" t="s">
        <v>7292</v>
      </c>
      <c r="N1979">
        <v>2025</v>
      </c>
      <c r="R1979">
        <v>350</v>
      </c>
      <c r="S1979" t="s">
        <v>9164</v>
      </c>
      <c r="T1979">
        <v>3.58</v>
      </c>
      <c r="U1979">
        <v>1665.82</v>
      </c>
      <c r="V1979">
        <v>0</v>
      </c>
      <c r="W1979" t="s">
        <v>6546</v>
      </c>
      <c r="X1979">
        <v>0</v>
      </c>
      <c r="AC1979" t="s">
        <v>9165</v>
      </c>
      <c r="AI1979" t="s">
        <v>9165</v>
      </c>
      <c r="AO1979" t="s">
        <v>6546</v>
      </c>
    </row>
    <row r="1980" spans="1:41" x14ac:dyDescent="0.35">
      <c r="A1980" t="s">
        <v>19583</v>
      </c>
      <c r="B1980" t="s">
        <v>7246</v>
      </c>
      <c r="C1980" t="s">
        <v>24</v>
      </c>
      <c r="D1980" t="s">
        <v>24</v>
      </c>
      <c r="E1980" t="s">
        <v>24</v>
      </c>
      <c r="F1980" t="s">
        <v>354</v>
      </c>
      <c r="G1980" s="13" t="s">
        <v>18731</v>
      </c>
      <c r="H1980" t="s">
        <v>18732</v>
      </c>
      <c r="I1980" t="s">
        <v>19489</v>
      </c>
      <c r="K1980" t="s">
        <v>6543</v>
      </c>
      <c r="L1980" t="s">
        <v>6543</v>
      </c>
      <c r="M1980" t="s">
        <v>7292</v>
      </c>
      <c r="N1980">
        <v>2025</v>
      </c>
      <c r="R1980">
        <v>350</v>
      </c>
      <c r="S1980" t="s">
        <v>9164</v>
      </c>
      <c r="T1980">
        <v>3.58</v>
      </c>
      <c r="U1980">
        <v>1665.82</v>
      </c>
      <c r="V1980">
        <v>0</v>
      </c>
      <c r="W1980" t="s">
        <v>6546</v>
      </c>
      <c r="X1980">
        <v>0</v>
      </c>
      <c r="AC1980" t="s">
        <v>9165</v>
      </c>
      <c r="AI1980" t="s">
        <v>9165</v>
      </c>
      <c r="AO1980" t="s">
        <v>6546</v>
      </c>
    </row>
    <row r="1981" spans="1:41" x14ac:dyDescent="0.35">
      <c r="A1981" t="s">
        <v>19584</v>
      </c>
      <c r="B1981" t="s">
        <v>7246</v>
      </c>
      <c r="C1981" t="s">
        <v>24</v>
      </c>
      <c r="D1981" t="s">
        <v>24</v>
      </c>
      <c r="E1981" t="s">
        <v>24</v>
      </c>
      <c r="F1981" t="s">
        <v>354</v>
      </c>
      <c r="G1981" s="13" t="s">
        <v>10745</v>
      </c>
      <c r="H1981" t="s">
        <v>10746</v>
      </c>
      <c r="I1981" t="s">
        <v>19489</v>
      </c>
      <c r="K1981" t="s">
        <v>6543</v>
      </c>
      <c r="L1981" t="s">
        <v>6543</v>
      </c>
      <c r="M1981" t="s">
        <v>7292</v>
      </c>
      <c r="N1981">
        <v>2025</v>
      </c>
      <c r="R1981">
        <v>350</v>
      </c>
      <c r="S1981" t="s">
        <v>9164</v>
      </c>
      <c r="T1981">
        <v>3.58</v>
      </c>
      <c r="U1981">
        <v>1665.82</v>
      </c>
      <c r="V1981">
        <v>0</v>
      </c>
      <c r="W1981" t="s">
        <v>6546</v>
      </c>
      <c r="X1981">
        <v>0</v>
      </c>
      <c r="AC1981" t="s">
        <v>9165</v>
      </c>
      <c r="AI1981" t="s">
        <v>9165</v>
      </c>
      <c r="AO1981" t="s">
        <v>6546</v>
      </c>
    </row>
    <row r="1982" spans="1:41" hidden="1" x14ac:dyDescent="0.35">
      <c r="A1982" t="s">
        <v>19585</v>
      </c>
      <c r="B1982" t="s">
        <v>7246</v>
      </c>
      <c r="C1982" t="s">
        <v>392</v>
      </c>
      <c r="D1982" t="s">
        <v>370</v>
      </c>
      <c r="E1982" t="s">
        <v>8941</v>
      </c>
      <c r="G1982" s="13" t="s">
        <v>19586</v>
      </c>
      <c r="H1982" t="s">
        <v>19587</v>
      </c>
      <c r="K1982" t="s">
        <v>19588</v>
      </c>
      <c r="L1982" t="s">
        <v>19588</v>
      </c>
      <c r="M1982" t="s">
        <v>7292</v>
      </c>
      <c r="R1982">
        <v>10</v>
      </c>
      <c r="S1982" t="s">
        <v>8257</v>
      </c>
      <c r="T1982">
        <v>10</v>
      </c>
      <c r="U1982">
        <v>4653.83</v>
      </c>
      <c r="V1982" t="s">
        <v>6546</v>
      </c>
      <c r="W1982">
        <v>592.62</v>
      </c>
      <c r="X1982">
        <v>592.62</v>
      </c>
      <c r="AA1982" t="s">
        <v>19470</v>
      </c>
      <c r="AC1982" t="s">
        <v>8747</v>
      </c>
      <c r="AI1982" t="s">
        <v>8747</v>
      </c>
      <c r="AO1982" t="s">
        <v>19589</v>
      </c>
    </row>
    <row r="1983" spans="1:41" hidden="1" x14ac:dyDescent="0.35">
      <c r="A1983" t="s">
        <v>19590</v>
      </c>
      <c r="B1983" t="s">
        <v>7246</v>
      </c>
      <c r="C1983" t="s">
        <v>392</v>
      </c>
      <c r="D1983" t="s">
        <v>398</v>
      </c>
      <c r="E1983" t="s">
        <v>9073</v>
      </c>
      <c r="G1983" s="13" t="s">
        <v>19591</v>
      </c>
      <c r="H1983" t="s">
        <v>19592</v>
      </c>
      <c r="K1983" t="s">
        <v>19588</v>
      </c>
      <c r="L1983" t="s">
        <v>19588</v>
      </c>
      <c r="M1983" t="s">
        <v>7250</v>
      </c>
      <c r="N1983">
        <v>2011</v>
      </c>
      <c r="R1983">
        <v>15</v>
      </c>
      <c r="S1983" t="s">
        <v>8257</v>
      </c>
      <c r="T1983">
        <v>15</v>
      </c>
      <c r="U1983">
        <v>6980.75</v>
      </c>
      <c r="V1983" t="s">
        <v>6546</v>
      </c>
      <c r="W1983">
        <v>618.55999999999995</v>
      </c>
      <c r="X1983">
        <v>618.55999999999995</v>
      </c>
      <c r="AC1983" t="s">
        <v>8747</v>
      </c>
      <c r="AI1983" t="s">
        <v>8747</v>
      </c>
      <c r="AO1983" t="s">
        <v>19593</v>
      </c>
    </row>
    <row r="1984" spans="1:41" hidden="1" x14ac:dyDescent="0.35">
      <c r="A1984" t="s">
        <v>19594</v>
      </c>
      <c r="B1984" t="s">
        <v>7246</v>
      </c>
      <c r="C1984" t="s">
        <v>370</v>
      </c>
      <c r="D1984" t="s">
        <v>370</v>
      </c>
      <c r="E1984" t="s">
        <v>370</v>
      </c>
      <c r="G1984" s="13" t="s">
        <v>19595</v>
      </c>
      <c r="H1984" t="s">
        <v>19596</v>
      </c>
      <c r="J1984" t="s">
        <v>19597</v>
      </c>
      <c r="K1984" t="s">
        <v>17987</v>
      </c>
      <c r="L1984" t="s">
        <v>17987</v>
      </c>
      <c r="M1984" t="s">
        <v>7250</v>
      </c>
      <c r="T1984" t="s">
        <v>6546</v>
      </c>
      <c r="U1984" t="s">
        <v>6546</v>
      </c>
      <c r="V1984">
        <v>235</v>
      </c>
      <c r="W1984">
        <v>243.43</v>
      </c>
      <c r="X1984">
        <v>235</v>
      </c>
      <c r="Y1984" t="s">
        <v>7691</v>
      </c>
      <c r="Z1984" t="s">
        <v>7253</v>
      </c>
      <c r="AA1984" s="13" t="s">
        <v>19598</v>
      </c>
      <c r="AB1984" t="s">
        <v>19599</v>
      </c>
      <c r="AC1984" t="s">
        <v>8747</v>
      </c>
      <c r="AE1984" t="s">
        <v>17989</v>
      </c>
      <c r="AF1984" t="s">
        <v>8746</v>
      </c>
      <c r="AH1984" t="s">
        <v>19600</v>
      </c>
      <c r="AI1984" t="s">
        <v>8747</v>
      </c>
      <c r="AO1984" t="s">
        <v>19601</v>
      </c>
    </row>
    <row r="1985" spans="1:41" x14ac:dyDescent="0.35">
      <c r="A1985" t="s">
        <v>19602</v>
      </c>
      <c r="B1985" t="s">
        <v>7246</v>
      </c>
      <c r="C1985" t="s">
        <v>24</v>
      </c>
      <c r="D1985" t="s">
        <v>24</v>
      </c>
      <c r="E1985" t="s">
        <v>24</v>
      </c>
      <c r="F1985" t="s">
        <v>354</v>
      </c>
      <c r="G1985" s="13" t="s">
        <v>13105</v>
      </c>
      <c r="H1985" t="s">
        <v>13106</v>
      </c>
      <c r="I1985" t="s">
        <v>19603</v>
      </c>
      <c r="K1985" t="s">
        <v>6543</v>
      </c>
      <c r="L1985" t="s">
        <v>6543</v>
      </c>
      <c r="M1985" t="s">
        <v>7250</v>
      </c>
      <c r="T1985" t="s">
        <v>6546</v>
      </c>
      <c r="U1985" t="s">
        <v>6546</v>
      </c>
      <c r="V1985">
        <v>121</v>
      </c>
      <c r="W1985">
        <v>118.53</v>
      </c>
      <c r="X1985">
        <v>121</v>
      </c>
      <c r="AA1985" t="s">
        <v>19604</v>
      </c>
      <c r="AC1985" t="s">
        <v>9165</v>
      </c>
      <c r="AI1985" t="s">
        <v>9165</v>
      </c>
      <c r="AO1985" t="s">
        <v>19605</v>
      </c>
    </row>
    <row r="1986" spans="1:41" x14ac:dyDescent="0.35">
      <c r="A1986" t="s">
        <v>19606</v>
      </c>
      <c r="B1986" t="s">
        <v>7246</v>
      </c>
      <c r="C1986" t="s">
        <v>24</v>
      </c>
      <c r="D1986" t="s">
        <v>24</v>
      </c>
      <c r="E1986" t="s">
        <v>24</v>
      </c>
      <c r="F1986" t="s">
        <v>354</v>
      </c>
      <c r="G1986" s="13" t="s">
        <v>17254</v>
      </c>
      <c r="H1986" t="s">
        <v>17255</v>
      </c>
      <c r="I1986" t="s">
        <v>19607</v>
      </c>
      <c r="K1986" t="s">
        <v>6543</v>
      </c>
      <c r="L1986" t="s">
        <v>6543</v>
      </c>
      <c r="M1986" t="s">
        <v>7250</v>
      </c>
      <c r="T1986" t="s">
        <v>6546</v>
      </c>
      <c r="U1986" t="s">
        <v>6546</v>
      </c>
      <c r="V1986">
        <v>45</v>
      </c>
      <c r="W1986">
        <v>44.85</v>
      </c>
      <c r="X1986">
        <v>45</v>
      </c>
      <c r="AC1986" t="s">
        <v>9165</v>
      </c>
      <c r="AI1986" t="s">
        <v>9165</v>
      </c>
      <c r="AO1986" t="s">
        <v>19608</v>
      </c>
    </row>
    <row r="1987" spans="1:41" x14ac:dyDescent="0.35">
      <c r="A1987" t="s">
        <v>19609</v>
      </c>
      <c r="B1987" t="s">
        <v>7246</v>
      </c>
      <c r="C1987" t="s">
        <v>24</v>
      </c>
      <c r="D1987" t="s">
        <v>24</v>
      </c>
      <c r="E1987" t="s">
        <v>24</v>
      </c>
      <c r="F1987" t="s">
        <v>354</v>
      </c>
      <c r="G1987" s="13" t="s">
        <v>19610</v>
      </c>
      <c r="H1987" t="s">
        <v>19611</v>
      </c>
      <c r="K1987" t="s">
        <v>6543</v>
      </c>
      <c r="L1987" t="s">
        <v>6543</v>
      </c>
      <c r="M1987" t="s">
        <v>7250</v>
      </c>
      <c r="T1987" t="s">
        <v>6546</v>
      </c>
      <c r="U1987" t="s">
        <v>6546</v>
      </c>
      <c r="V1987" t="s">
        <v>6546</v>
      </c>
      <c r="W1987">
        <v>30.3</v>
      </c>
      <c r="X1987">
        <v>30.3</v>
      </c>
      <c r="AC1987" t="s">
        <v>9165</v>
      </c>
      <c r="AI1987" t="s">
        <v>9165</v>
      </c>
      <c r="AO1987" t="s">
        <v>19612</v>
      </c>
    </row>
    <row r="1988" spans="1:41" hidden="1" x14ac:dyDescent="0.35">
      <c r="A1988" t="s">
        <v>19613</v>
      </c>
      <c r="B1988" t="s">
        <v>7246</v>
      </c>
      <c r="C1988" t="s">
        <v>451</v>
      </c>
      <c r="D1988" t="s">
        <v>451</v>
      </c>
      <c r="E1988" t="s">
        <v>451</v>
      </c>
      <c r="G1988" s="13" t="s">
        <v>19614</v>
      </c>
      <c r="H1988" t="s">
        <v>19615</v>
      </c>
      <c r="K1988" t="s">
        <v>6543</v>
      </c>
      <c r="L1988" t="s">
        <v>6543</v>
      </c>
      <c r="M1988" t="s">
        <v>7292</v>
      </c>
      <c r="N1988">
        <v>2024</v>
      </c>
      <c r="R1988">
        <v>1440</v>
      </c>
      <c r="S1988" t="s">
        <v>7251</v>
      </c>
      <c r="T1988">
        <v>14.89</v>
      </c>
      <c r="U1988">
        <v>6931.2</v>
      </c>
      <c r="V1988">
        <v>4.83</v>
      </c>
      <c r="W1988" t="s">
        <v>6546</v>
      </c>
      <c r="X1988">
        <v>4.83</v>
      </c>
      <c r="Y1988">
        <v>30</v>
      </c>
      <c r="Z1988" t="s">
        <v>7253</v>
      </c>
      <c r="AC1988" t="s">
        <v>7255</v>
      </c>
      <c r="AI1988" t="s">
        <v>7255</v>
      </c>
      <c r="AO1988" t="s">
        <v>6546</v>
      </c>
    </row>
    <row r="1989" spans="1:41" hidden="1" x14ac:dyDescent="0.35">
      <c r="A1989" t="s">
        <v>19616</v>
      </c>
      <c r="B1989" t="s">
        <v>7246</v>
      </c>
      <c r="C1989" t="s">
        <v>451</v>
      </c>
      <c r="D1989" t="s">
        <v>451</v>
      </c>
      <c r="E1989" t="s">
        <v>451</v>
      </c>
      <c r="G1989" s="13" t="s">
        <v>19617</v>
      </c>
      <c r="H1989" t="s">
        <v>19618</v>
      </c>
      <c r="I1989" t="s">
        <v>19619</v>
      </c>
      <c r="K1989" t="s">
        <v>19620</v>
      </c>
      <c r="L1989" t="s">
        <v>7380</v>
      </c>
      <c r="M1989" t="s">
        <v>7292</v>
      </c>
      <c r="N1989">
        <v>2025</v>
      </c>
      <c r="R1989">
        <v>2600</v>
      </c>
      <c r="S1989" t="s">
        <v>7251</v>
      </c>
      <c r="T1989">
        <v>26.89</v>
      </c>
      <c r="U1989">
        <v>12514.67</v>
      </c>
      <c r="V1989">
        <v>28.81</v>
      </c>
      <c r="W1989" t="s">
        <v>6546</v>
      </c>
      <c r="X1989">
        <v>28.81</v>
      </c>
      <c r="Y1989" t="s">
        <v>19621</v>
      </c>
      <c r="Z1989" t="s">
        <v>7253</v>
      </c>
      <c r="AC1989" t="s">
        <v>7255</v>
      </c>
      <c r="AI1989" t="s">
        <v>7255</v>
      </c>
      <c r="AO1989" t="s">
        <v>6546</v>
      </c>
    </row>
    <row r="1990" spans="1:41" hidden="1" x14ac:dyDescent="0.35">
      <c r="A1990" t="s">
        <v>19622</v>
      </c>
      <c r="B1990" t="s">
        <v>7246</v>
      </c>
      <c r="C1990" t="s">
        <v>451</v>
      </c>
      <c r="D1990" t="s">
        <v>451</v>
      </c>
      <c r="E1990" t="s">
        <v>451</v>
      </c>
      <c r="G1990" s="13" t="s">
        <v>19623</v>
      </c>
      <c r="H1990" t="s">
        <v>19624</v>
      </c>
      <c r="K1990" t="s">
        <v>6543</v>
      </c>
      <c r="L1990" t="s">
        <v>6543</v>
      </c>
      <c r="M1990" t="s">
        <v>7292</v>
      </c>
      <c r="N1990">
        <v>2023</v>
      </c>
      <c r="R1990">
        <v>900</v>
      </c>
      <c r="S1990" t="s">
        <v>7251</v>
      </c>
      <c r="T1990">
        <v>9.31</v>
      </c>
      <c r="U1990">
        <v>4332</v>
      </c>
      <c r="V1990">
        <v>31.87</v>
      </c>
      <c r="W1990" t="s">
        <v>6546</v>
      </c>
      <c r="X1990">
        <v>31.87</v>
      </c>
      <c r="Y1990">
        <v>30</v>
      </c>
      <c r="Z1990" t="s">
        <v>7253</v>
      </c>
      <c r="AC1990" t="s">
        <v>7255</v>
      </c>
      <c r="AE1990" t="s">
        <v>497</v>
      </c>
      <c r="AH1990" t="s">
        <v>497</v>
      </c>
      <c r="AI1990" t="s">
        <v>7255</v>
      </c>
      <c r="AO1990" t="s">
        <v>6546</v>
      </c>
    </row>
    <row r="1991" spans="1:41" hidden="1" x14ac:dyDescent="0.35">
      <c r="A1991" t="s">
        <v>19625</v>
      </c>
      <c r="B1991" t="s">
        <v>7246</v>
      </c>
      <c r="C1991" t="s">
        <v>451</v>
      </c>
      <c r="D1991" t="s">
        <v>451</v>
      </c>
      <c r="E1991" t="s">
        <v>451</v>
      </c>
      <c r="G1991" s="13" t="s">
        <v>19626</v>
      </c>
      <c r="H1991" t="s">
        <v>19627</v>
      </c>
      <c r="K1991" t="s">
        <v>6543</v>
      </c>
      <c r="L1991" t="s">
        <v>6543</v>
      </c>
      <c r="M1991" t="s">
        <v>7292</v>
      </c>
      <c r="N1991">
        <v>2026</v>
      </c>
      <c r="R1991">
        <v>740</v>
      </c>
      <c r="S1991" t="s">
        <v>7251</v>
      </c>
      <c r="T1991">
        <v>7.65</v>
      </c>
      <c r="U1991">
        <v>3561.87</v>
      </c>
      <c r="V1991">
        <v>17.059999999999999</v>
      </c>
      <c r="W1991" t="s">
        <v>6546</v>
      </c>
      <c r="X1991">
        <v>17.059999999999999</v>
      </c>
      <c r="Y1991">
        <v>42</v>
      </c>
      <c r="Z1991" t="s">
        <v>7253</v>
      </c>
      <c r="AC1991" t="s">
        <v>7255</v>
      </c>
      <c r="AI1991" t="s">
        <v>7255</v>
      </c>
      <c r="AO1991" t="s">
        <v>6546</v>
      </c>
    </row>
    <row r="1992" spans="1:41" hidden="1" x14ac:dyDescent="0.35">
      <c r="A1992" t="s">
        <v>19628</v>
      </c>
      <c r="B1992" t="s">
        <v>7246</v>
      </c>
      <c r="C1992" t="s">
        <v>451</v>
      </c>
      <c r="D1992" t="s">
        <v>451</v>
      </c>
      <c r="E1992" t="s">
        <v>451</v>
      </c>
      <c r="G1992" s="13" t="s">
        <v>8039</v>
      </c>
      <c r="H1992" t="s">
        <v>8040</v>
      </c>
      <c r="I1992" t="s">
        <v>16461</v>
      </c>
      <c r="K1992" t="s">
        <v>6543</v>
      </c>
      <c r="L1992" t="s">
        <v>6543</v>
      </c>
      <c r="M1992" t="s">
        <v>7292</v>
      </c>
      <c r="N1992">
        <v>2026</v>
      </c>
      <c r="R1992">
        <v>720</v>
      </c>
      <c r="S1992" t="s">
        <v>7251</v>
      </c>
      <c r="T1992">
        <v>7.45</v>
      </c>
      <c r="U1992">
        <v>3465.6</v>
      </c>
      <c r="V1992">
        <v>0</v>
      </c>
      <c r="W1992" t="s">
        <v>6546</v>
      </c>
      <c r="X1992">
        <v>0</v>
      </c>
      <c r="AC1992" t="s">
        <v>7255</v>
      </c>
      <c r="AF1992" t="s">
        <v>19629</v>
      </c>
      <c r="AI1992" t="s">
        <v>7255</v>
      </c>
      <c r="AJ1992" t="s">
        <v>9032</v>
      </c>
      <c r="AK1992">
        <v>2022</v>
      </c>
      <c r="AO1992" t="s">
        <v>6546</v>
      </c>
    </row>
    <row r="1993" spans="1:41" hidden="1" x14ac:dyDescent="0.35">
      <c r="A1993" t="s">
        <v>19630</v>
      </c>
      <c r="B1993" t="s">
        <v>7246</v>
      </c>
      <c r="C1993" t="s">
        <v>451</v>
      </c>
      <c r="D1993" t="s">
        <v>451</v>
      </c>
      <c r="E1993" t="s">
        <v>451</v>
      </c>
      <c r="G1993" s="13" t="s">
        <v>8011</v>
      </c>
      <c r="H1993" t="s">
        <v>8012</v>
      </c>
      <c r="I1993" t="s">
        <v>19631</v>
      </c>
      <c r="J1993" t="s">
        <v>19632</v>
      </c>
      <c r="K1993" t="s">
        <v>8014</v>
      </c>
      <c r="L1993" t="s">
        <v>7346</v>
      </c>
      <c r="M1993" t="s">
        <v>7269</v>
      </c>
      <c r="T1993" t="s">
        <v>6546</v>
      </c>
      <c r="U1993" t="s">
        <v>6546</v>
      </c>
      <c r="V1993" t="s">
        <v>6546</v>
      </c>
      <c r="W1993">
        <v>395.42</v>
      </c>
      <c r="X1993">
        <v>395.42</v>
      </c>
      <c r="AC1993" t="s">
        <v>7255</v>
      </c>
      <c r="AI1993" t="s">
        <v>7255</v>
      </c>
      <c r="AO1993" t="s">
        <v>19633</v>
      </c>
    </row>
    <row r="1994" spans="1:41" hidden="1" x14ac:dyDescent="0.35">
      <c r="A1994" t="s">
        <v>19634</v>
      </c>
      <c r="B1994" t="s">
        <v>7246</v>
      </c>
      <c r="C1994" t="s">
        <v>451</v>
      </c>
      <c r="D1994" t="s">
        <v>451</v>
      </c>
      <c r="E1994" t="s">
        <v>451</v>
      </c>
      <c r="G1994" s="13" t="s">
        <v>8317</v>
      </c>
      <c r="H1994" t="s">
        <v>8318</v>
      </c>
      <c r="I1994" t="s">
        <v>19635</v>
      </c>
      <c r="K1994" t="s">
        <v>8320</v>
      </c>
      <c r="L1994" t="s">
        <v>8321</v>
      </c>
      <c r="M1994" t="s">
        <v>7292</v>
      </c>
      <c r="N1994">
        <v>2022</v>
      </c>
      <c r="R1994">
        <v>2000</v>
      </c>
      <c r="S1994" t="s">
        <v>7251</v>
      </c>
      <c r="T1994">
        <v>20.69</v>
      </c>
      <c r="U1994">
        <v>9626.67</v>
      </c>
      <c r="V1994">
        <v>56.33</v>
      </c>
      <c r="W1994" t="s">
        <v>6546</v>
      </c>
      <c r="X1994">
        <v>56.33</v>
      </c>
      <c r="Y1994">
        <v>36</v>
      </c>
      <c r="Z1994" t="s">
        <v>7253</v>
      </c>
      <c r="AC1994" t="s">
        <v>7255</v>
      </c>
      <c r="AI1994" t="s">
        <v>7255</v>
      </c>
      <c r="AO1994" t="s">
        <v>6546</v>
      </c>
    </row>
    <row r="1995" spans="1:41" hidden="1" x14ac:dyDescent="0.35">
      <c r="A1995" t="s">
        <v>19636</v>
      </c>
      <c r="B1995" t="s">
        <v>7246</v>
      </c>
      <c r="C1995" t="s">
        <v>451</v>
      </c>
      <c r="D1995" t="s">
        <v>451</v>
      </c>
      <c r="E1995" t="s">
        <v>451</v>
      </c>
      <c r="G1995" s="13" t="s">
        <v>8317</v>
      </c>
      <c r="H1995" t="s">
        <v>8318</v>
      </c>
      <c r="I1995" t="s">
        <v>19637</v>
      </c>
      <c r="K1995" t="s">
        <v>8320</v>
      </c>
      <c r="L1995" t="s">
        <v>8321</v>
      </c>
      <c r="M1995" t="s">
        <v>7250</v>
      </c>
      <c r="N1995">
        <v>2021</v>
      </c>
      <c r="R1995">
        <v>2000</v>
      </c>
      <c r="S1995" t="s">
        <v>7251</v>
      </c>
      <c r="T1995">
        <v>20.69</v>
      </c>
      <c r="U1995">
        <v>9626.67</v>
      </c>
      <c r="V1995">
        <v>80.47</v>
      </c>
      <c r="W1995">
        <v>100.98</v>
      </c>
      <c r="X1995">
        <v>80.47</v>
      </c>
      <c r="Y1995" t="s">
        <v>7252</v>
      </c>
      <c r="Z1995" t="s">
        <v>7253</v>
      </c>
      <c r="AC1995" t="s">
        <v>7255</v>
      </c>
      <c r="AI1995" t="s">
        <v>7255</v>
      </c>
      <c r="AO1995" t="s">
        <v>19638</v>
      </c>
    </row>
    <row r="1996" spans="1:41" hidden="1" x14ac:dyDescent="0.35">
      <c r="A1996" t="s">
        <v>19639</v>
      </c>
      <c r="B1996" t="s">
        <v>7246</v>
      </c>
      <c r="C1996" t="s">
        <v>423</v>
      </c>
      <c r="D1996" t="s">
        <v>423</v>
      </c>
      <c r="E1996" t="s">
        <v>423</v>
      </c>
      <c r="G1996" s="13" t="s">
        <v>19640</v>
      </c>
      <c r="H1996" t="s">
        <v>19641</v>
      </c>
      <c r="K1996" t="s">
        <v>19642</v>
      </c>
      <c r="L1996" t="s">
        <v>19643</v>
      </c>
      <c r="M1996" t="s">
        <v>7250</v>
      </c>
      <c r="N1996">
        <v>2016</v>
      </c>
      <c r="T1996" t="s">
        <v>6546</v>
      </c>
      <c r="U1996" t="s">
        <v>6546</v>
      </c>
      <c r="V1996">
        <v>114</v>
      </c>
      <c r="W1996" t="s">
        <v>6546</v>
      </c>
      <c r="X1996">
        <v>114</v>
      </c>
      <c r="Y1996">
        <v>28</v>
      </c>
      <c r="Z1996" t="s">
        <v>7253</v>
      </c>
      <c r="AC1996" t="s">
        <v>8844</v>
      </c>
      <c r="AI1996" t="s">
        <v>8844</v>
      </c>
      <c r="AO1996" t="s">
        <v>6546</v>
      </c>
    </row>
    <row r="1997" spans="1:41" hidden="1" x14ac:dyDescent="0.35">
      <c r="A1997" t="s">
        <v>19644</v>
      </c>
      <c r="B1997" t="s">
        <v>7246</v>
      </c>
      <c r="C1997" t="s">
        <v>9477</v>
      </c>
      <c r="D1997" t="s">
        <v>9477</v>
      </c>
      <c r="E1997" t="s">
        <v>9477</v>
      </c>
      <c r="G1997" s="13" t="s">
        <v>13613</v>
      </c>
      <c r="H1997" t="s">
        <v>13614</v>
      </c>
      <c r="I1997" t="s">
        <v>12727</v>
      </c>
      <c r="K1997" t="s">
        <v>19645</v>
      </c>
      <c r="L1997" t="s">
        <v>19646</v>
      </c>
      <c r="M1997" t="s">
        <v>7250</v>
      </c>
      <c r="N1997">
        <v>2015</v>
      </c>
      <c r="R1997">
        <v>5.5</v>
      </c>
      <c r="S1997" t="s">
        <v>8792</v>
      </c>
      <c r="T1997">
        <v>2.0099999999999998</v>
      </c>
      <c r="U1997">
        <v>934.9</v>
      </c>
      <c r="V1997">
        <v>0</v>
      </c>
      <c r="W1997" t="s">
        <v>6546</v>
      </c>
      <c r="X1997">
        <v>0</v>
      </c>
      <c r="AC1997" t="s">
        <v>8777</v>
      </c>
      <c r="AI1997" t="s">
        <v>8777</v>
      </c>
      <c r="AO1997" t="s">
        <v>6546</v>
      </c>
    </row>
    <row r="1998" spans="1:41" hidden="1" x14ac:dyDescent="0.35">
      <c r="A1998" t="s">
        <v>19647</v>
      </c>
      <c r="B1998" t="s">
        <v>7246</v>
      </c>
      <c r="C1998" t="s">
        <v>5583</v>
      </c>
      <c r="D1998" t="s">
        <v>5844</v>
      </c>
      <c r="E1998" t="s">
        <v>19145</v>
      </c>
      <c r="G1998" s="13" t="s">
        <v>19146</v>
      </c>
      <c r="H1998" t="s">
        <v>19147</v>
      </c>
      <c r="I1998" t="s">
        <v>12727</v>
      </c>
      <c r="K1998" t="s">
        <v>19149</v>
      </c>
      <c r="L1998" t="s">
        <v>19150</v>
      </c>
      <c r="M1998" t="s">
        <v>7415</v>
      </c>
      <c r="N1998">
        <v>2022</v>
      </c>
      <c r="O1998">
        <v>2023</v>
      </c>
      <c r="R1998">
        <v>0.6</v>
      </c>
      <c r="S1998" t="s">
        <v>8257</v>
      </c>
      <c r="T1998">
        <v>0.6</v>
      </c>
      <c r="U1998">
        <v>279.23</v>
      </c>
      <c r="V1998">
        <v>0</v>
      </c>
      <c r="W1998" t="s">
        <v>6546</v>
      </c>
      <c r="X1998">
        <v>0</v>
      </c>
      <c r="AC1998" t="s">
        <v>8777</v>
      </c>
      <c r="AI1998" t="s">
        <v>8777</v>
      </c>
      <c r="AJ1998" t="s">
        <v>6407</v>
      </c>
      <c r="AK1998">
        <v>2022</v>
      </c>
      <c r="AO1998" t="s">
        <v>6546</v>
      </c>
    </row>
    <row r="1999" spans="1:41" hidden="1" x14ac:dyDescent="0.35">
      <c r="A1999" t="s">
        <v>19648</v>
      </c>
      <c r="B1999" t="s">
        <v>7246</v>
      </c>
      <c r="C1999" t="s">
        <v>5214</v>
      </c>
      <c r="D1999" t="s">
        <v>5214</v>
      </c>
      <c r="E1999" t="s">
        <v>5214</v>
      </c>
      <c r="G1999" s="13" t="s">
        <v>19649</v>
      </c>
      <c r="H1999" t="s">
        <v>19650</v>
      </c>
      <c r="K1999" t="s">
        <v>19651</v>
      </c>
      <c r="L1999" t="s">
        <v>19651</v>
      </c>
      <c r="M1999" t="s">
        <v>7415</v>
      </c>
      <c r="N1999">
        <v>2022</v>
      </c>
      <c r="T1999" t="s">
        <v>6546</v>
      </c>
      <c r="U1999" t="s">
        <v>6546</v>
      </c>
      <c r="V1999">
        <v>1.3</v>
      </c>
      <c r="W1999" t="s">
        <v>6546</v>
      </c>
      <c r="X1999">
        <v>1.3</v>
      </c>
      <c r="Y1999">
        <v>24</v>
      </c>
      <c r="Z1999" t="s">
        <v>7253</v>
      </c>
      <c r="AC1999" t="s">
        <v>10816</v>
      </c>
      <c r="AI1999" t="s">
        <v>10816</v>
      </c>
      <c r="AO1999" t="s">
        <v>6546</v>
      </c>
    </row>
    <row r="2000" spans="1:41" hidden="1" x14ac:dyDescent="0.35">
      <c r="A2000" t="s">
        <v>19652</v>
      </c>
      <c r="B2000" t="s">
        <v>7246</v>
      </c>
      <c r="C2000" t="s">
        <v>4077</v>
      </c>
      <c r="D2000" t="s">
        <v>4077</v>
      </c>
      <c r="E2000" t="s">
        <v>4077</v>
      </c>
      <c r="G2000" s="13" t="s">
        <v>19653</v>
      </c>
      <c r="H2000" t="s">
        <v>19654</v>
      </c>
      <c r="K2000" t="s">
        <v>19655</v>
      </c>
      <c r="L2000" t="s">
        <v>19655</v>
      </c>
      <c r="M2000" t="s">
        <v>7731</v>
      </c>
      <c r="T2000" t="s">
        <v>6546</v>
      </c>
      <c r="U2000" t="s">
        <v>6546</v>
      </c>
      <c r="V2000">
        <v>45</v>
      </c>
      <c r="W2000" t="s">
        <v>6546</v>
      </c>
      <c r="X2000">
        <v>45</v>
      </c>
      <c r="AC2000" t="s">
        <v>8765</v>
      </c>
      <c r="AI2000" t="s">
        <v>8765</v>
      </c>
      <c r="AO2000" t="s">
        <v>6546</v>
      </c>
    </row>
    <row r="2001" spans="1:41" hidden="1" x14ac:dyDescent="0.35">
      <c r="A2001" t="s">
        <v>19656</v>
      </c>
      <c r="B2001" t="s">
        <v>7246</v>
      </c>
      <c r="C2001" t="s">
        <v>451</v>
      </c>
      <c r="D2001" t="s">
        <v>451</v>
      </c>
      <c r="E2001" t="s">
        <v>451</v>
      </c>
      <c r="G2001" s="13" t="s">
        <v>7649</v>
      </c>
      <c r="H2001" t="s">
        <v>7650</v>
      </c>
      <c r="I2001" t="s">
        <v>19657</v>
      </c>
      <c r="K2001" t="s">
        <v>7651</v>
      </c>
      <c r="L2001" t="s">
        <v>7652</v>
      </c>
      <c r="M2001" t="s">
        <v>7292</v>
      </c>
      <c r="N2001">
        <v>2024</v>
      </c>
      <c r="R2001">
        <v>140000</v>
      </c>
      <c r="S2001" t="s">
        <v>19658</v>
      </c>
      <c r="T2001" t="s">
        <v>6546</v>
      </c>
      <c r="U2001" t="s">
        <v>6546</v>
      </c>
      <c r="V2001">
        <v>57.68</v>
      </c>
      <c r="W2001" t="s">
        <v>6546</v>
      </c>
      <c r="X2001">
        <v>57.68</v>
      </c>
      <c r="Y2001">
        <v>24</v>
      </c>
      <c r="Z2001" t="s">
        <v>7253</v>
      </c>
      <c r="AA2001" t="s">
        <v>7650</v>
      </c>
      <c r="AB2001" t="s">
        <v>19659</v>
      </c>
      <c r="AC2001" t="s">
        <v>7255</v>
      </c>
      <c r="AE2001" t="s">
        <v>653</v>
      </c>
      <c r="AF2001" t="s">
        <v>3524</v>
      </c>
      <c r="AH2001" t="s">
        <v>653</v>
      </c>
      <c r="AI2001" t="s">
        <v>7255</v>
      </c>
      <c r="AO2001" t="s">
        <v>6546</v>
      </c>
    </row>
    <row r="2002" spans="1:41" hidden="1" x14ac:dyDescent="0.35">
      <c r="A2002" t="s">
        <v>19660</v>
      </c>
      <c r="B2002" t="s">
        <v>7246</v>
      </c>
      <c r="C2002" t="s">
        <v>451</v>
      </c>
      <c r="D2002" t="s">
        <v>451</v>
      </c>
      <c r="E2002" t="s">
        <v>451</v>
      </c>
      <c r="G2002" s="13" t="s">
        <v>19661</v>
      </c>
      <c r="H2002" t="s">
        <v>19662</v>
      </c>
      <c r="K2002" t="s">
        <v>19663</v>
      </c>
      <c r="L2002" t="s">
        <v>19664</v>
      </c>
      <c r="M2002" t="s">
        <v>7292</v>
      </c>
      <c r="N2002">
        <v>2024</v>
      </c>
      <c r="R2002">
        <v>2500</v>
      </c>
      <c r="S2002" t="s">
        <v>7251</v>
      </c>
      <c r="T2002">
        <v>25.86</v>
      </c>
      <c r="U2002">
        <v>12033.34</v>
      </c>
      <c r="V2002">
        <v>788.58</v>
      </c>
      <c r="W2002">
        <v>718.11</v>
      </c>
      <c r="X2002">
        <v>788.58</v>
      </c>
      <c r="Y2002">
        <v>42</v>
      </c>
      <c r="Z2002" t="s">
        <v>7253</v>
      </c>
      <c r="AB2002" t="s">
        <v>7257</v>
      </c>
      <c r="AC2002" t="s">
        <v>7255</v>
      </c>
      <c r="AE2002" t="s">
        <v>486</v>
      </c>
      <c r="AF2002" t="s">
        <v>8288</v>
      </c>
      <c r="AH2002" t="s">
        <v>486</v>
      </c>
      <c r="AI2002" t="s">
        <v>7255</v>
      </c>
      <c r="AJ2002" t="s">
        <v>6407</v>
      </c>
      <c r="AK2002">
        <v>2022</v>
      </c>
      <c r="AO2002" t="s">
        <v>19665</v>
      </c>
    </row>
    <row r="2003" spans="1:41" hidden="1" x14ac:dyDescent="0.35">
      <c r="A2003" t="s">
        <v>19666</v>
      </c>
      <c r="B2003" t="s">
        <v>7246</v>
      </c>
      <c r="C2003" t="s">
        <v>451</v>
      </c>
      <c r="D2003" t="s">
        <v>451</v>
      </c>
      <c r="E2003" t="s">
        <v>451</v>
      </c>
      <c r="G2003" s="13" t="s">
        <v>8196</v>
      </c>
      <c r="H2003" t="s">
        <v>8197</v>
      </c>
      <c r="I2003" t="s">
        <v>16461</v>
      </c>
      <c r="K2003" t="s">
        <v>8198</v>
      </c>
      <c r="L2003" t="s">
        <v>8199</v>
      </c>
      <c r="M2003" t="s">
        <v>7292</v>
      </c>
      <c r="N2003">
        <v>2023</v>
      </c>
      <c r="R2003">
        <v>550</v>
      </c>
      <c r="S2003" t="s">
        <v>7251</v>
      </c>
      <c r="T2003">
        <v>5.69</v>
      </c>
      <c r="U2003">
        <v>2647.33</v>
      </c>
      <c r="V2003">
        <v>0</v>
      </c>
      <c r="W2003" t="s">
        <v>6546</v>
      </c>
      <c r="X2003">
        <v>0</v>
      </c>
      <c r="AA2003" t="s">
        <v>8200</v>
      </c>
      <c r="AB2003" t="s">
        <v>7257</v>
      </c>
      <c r="AC2003" t="s">
        <v>7255</v>
      </c>
      <c r="AE2003" t="s">
        <v>486</v>
      </c>
      <c r="AG2003" t="s">
        <v>8201</v>
      </c>
      <c r="AH2003" t="s">
        <v>486</v>
      </c>
      <c r="AI2003" t="s">
        <v>7255</v>
      </c>
      <c r="AJ2003" t="s">
        <v>6407</v>
      </c>
      <c r="AK2003">
        <v>2022</v>
      </c>
      <c r="AO2003" t="s">
        <v>6546</v>
      </c>
    </row>
    <row r="2004" spans="1:41" hidden="1" x14ac:dyDescent="0.35">
      <c r="A2004" t="s">
        <v>19667</v>
      </c>
      <c r="B2004" t="s">
        <v>7246</v>
      </c>
      <c r="C2004" t="s">
        <v>451</v>
      </c>
      <c r="D2004" t="s">
        <v>451</v>
      </c>
      <c r="E2004" t="s">
        <v>451</v>
      </c>
      <c r="G2004" s="13" t="s">
        <v>19668</v>
      </c>
      <c r="H2004" t="s">
        <v>19669</v>
      </c>
      <c r="K2004" t="s">
        <v>7380</v>
      </c>
      <c r="L2004" t="s">
        <v>7380</v>
      </c>
      <c r="M2004" t="s">
        <v>7292</v>
      </c>
      <c r="R2004">
        <v>2000</v>
      </c>
      <c r="S2004" t="s">
        <v>7251</v>
      </c>
      <c r="T2004">
        <v>20.69</v>
      </c>
      <c r="U2004">
        <v>9626.67</v>
      </c>
      <c r="V2004">
        <v>523.04</v>
      </c>
      <c r="W2004" t="s">
        <v>6546</v>
      </c>
      <c r="X2004">
        <v>523.04</v>
      </c>
      <c r="Y2004">
        <v>42</v>
      </c>
      <c r="Z2004" t="s">
        <v>7253</v>
      </c>
      <c r="AC2004" t="s">
        <v>7255</v>
      </c>
      <c r="AE2004" t="s">
        <v>486</v>
      </c>
      <c r="AH2004" t="s">
        <v>486</v>
      </c>
      <c r="AI2004" t="s">
        <v>7255</v>
      </c>
      <c r="AO2004" t="s">
        <v>6546</v>
      </c>
    </row>
    <row r="2005" spans="1:41" hidden="1" x14ac:dyDescent="0.35">
      <c r="A2005" t="s">
        <v>19670</v>
      </c>
      <c r="B2005" t="s">
        <v>7246</v>
      </c>
      <c r="C2005" t="s">
        <v>451</v>
      </c>
      <c r="D2005" t="s">
        <v>451</v>
      </c>
      <c r="E2005" t="s">
        <v>451</v>
      </c>
      <c r="G2005" s="13" t="s">
        <v>8461</v>
      </c>
      <c r="H2005" t="s">
        <v>8462</v>
      </c>
      <c r="I2005" t="s">
        <v>16461</v>
      </c>
      <c r="K2005" t="s">
        <v>8464</v>
      </c>
      <c r="L2005" t="s">
        <v>8465</v>
      </c>
      <c r="M2005" t="s">
        <v>7292</v>
      </c>
      <c r="N2005">
        <v>2023</v>
      </c>
      <c r="R2005">
        <v>570</v>
      </c>
      <c r="S2005" t="s">
        <v>7251</v>
      </c>
      <c r="T2005">
        <v>5.9</v>
      </c>
      <c r="U2005">
        <v>2743.6</v>
      </c>
      <c r="V2005">
        <v>0</v>
      </c>
      <c r="W2005" t="s">
        <v>6546</v>
      </c>
      <c r="X2005">
        <v>0</v>
      </c>
      <c r="AC2005" t="s">
        <v>7255</v>
      </c>
      <c r="AI2005" t="s">
        <v>7255</v>
      </c>
      <c r="AO2005" t="s">
        <v>6546</v>
      </c>
    </row>
    <row r="2006" spans="1:41" hidden="1" x14ac:dyDescent="0.35">
      <c r="A2006" t="s">
        <v>19671</v>
      </c>
      <c r="B2006" t="s">
        <v>7246</v>
      </c>
      <c r="C2006" t="s">
        <v>451</v>
      </c>
      <c r="D2006" t="s">
        <v>451</v>
      </c>
      <c r="E2006" t="s">
        <v>451</v>
      </c>
      <c r="G2006" s="13" t="s">
        <v>8317</v>
      </c>
      <c r="H2006" t="s">
        <v>8318</v>
      </c>
      <c r="I2006" t="s">
        <v>19672</v>
      </c>
      <c r="K2006" t="s">
        <v>8320</v>
      </c>
      <c r="L2006" t="s">
        <v>8321</v>
      </c>
      <c r="M2006" t="s">
        <v>7292</v>
      </c>
      <c r="N2006">
        <v>2023</v>
      </c>
      <c r="R2006">
        <v>500</v>
      </c>
      <c r="S2006" t="s">
        <v>7251</v>
      </c>
      <c r="T2006">
        <v>5.17</v>
      </c>
      <c r="U2006">
        <v>2406.67</v>
      </c>
      <c r="V2006">
        <v>0</v>
      </c>
      <c r="W2006" t="s">
        <v>6546</v>
      </c>
      <c r="X2006">
        <v>0</v>
      </c>
      <c r="AC2006" t="s">
        <v>7255</v>
      </c>
      <c r="AE2006" t="s">
        <v>486</v>
      </c>
      <c r="AH2006" t="s">
        <v>486</v>
      </c>
      <c r="AI2006" t="s">
        <v>7255</v>
      </c>
      <c r="AJ2006" t="s">
        <v>6407</v>
      </c>
      <c r="AK2006">
        <v>2022</v>
      </c>
      <c r="AO2006" t="s">
        <v>6546</v>
      </c>
    </row>
    <row r="2007" spans="1:41" hidden="1" x14ac:dyDescent="0.35">
      <c r="A2007" t="s">
        <v>19673</v>
      </c>
      <c r="B2007" t="s">
        <v>7246</v>
      </c>
      <c r="C2007" t="s">
        <v>8566</v>
      </c>
      <c r="D2007" t="s">
        <v>8566</v>
      </c>
      <c r="E2007" t="s">
        <v>8566</v>
      </c>
      <c r="G2007" s="13" t="s">
        <v>19674</v>
      </c>
      <c r="H2007" t="s">
        <v>19675</v>
      </c>
      <c r="K2007" t="s">
        <v>16845</v>
      </c>
      <c r="L2007" t="s">
        <v>16845</v>
      </c>
      <c r="M2007" t="s">
        <v>7250</v>
      </c>
      <c r="R2007">
        <v>200</v>
      </c>
      <c r="S2007" t="s">
        <v>7251</v>
      </c>
      <c r="T2007">
        <v>2.0699999999999998</v>
      </c>
      <c r="U2007">
        <v>962.67</v>
      </c>
      <c r="V2007">
        <v>100</v>
      </c>
      <c r="W2007" t="s">
        <v>6546</v>
      </c>
      <c r="X2007">
        <v>100</v>
      </c>
      <c r="Y2007">
        <v>12</v>
      </c>
      <c r="Z2007" t="s">
        <v>7253</v>
      </c>
      <c r="AC2007" t="s">
        <v>8523</v>
      </c>
      <c r="AI2007" t="s">
        <v>8523</v>
      </c>
      <c r="AL2007" t="s">
        <v>19676</v>
      </c>
      <c r="AN2007" s="13" t="s">
        <v>19677</v>
      </c>
      <c r="AO2007" t="s">
        <v>6546</v>
      </c>
    </row>
    <row r="2008" spans="1:41" hidden="1" x14ac:dyDescent="0.35">
      <c r="A2008" t="s">
        <v>19678</v>
      </c>
      <c r="B2008" t="s">
        <v>7246</v>
      </c>
      <c r="C2008" t="s">
        <v>9388</v>
      </c>
      <c r="D2008" t="s">
        <v>9388</v>
      </c>
      <c r="E2008" t="s">
        <v>9388</v>
      </c>
      <c r="G2008" s="13" t="s">
        <v>19679</v>
      </c>
      <c r="H2008" t="s">
        <v>19680</v>
      </c>
      <c r="K2008" t="s">
        <v>6839</v>
      </c>
      <c r="L2008" t="s">
        <v>6839</v>
      </c>
      <c r="M2008" t="s">
        <v>7415</v>
      </c>
      <c r="N2008">
        <v>2022</v>
      </c>
      <c r="T2008" t="s">
        <v>6546</v>
      </c>
      <c r="U2008" t="s">
        <v>6546</v>
      </c>
      <c r="V2008">
        <v>1.2</v>
      </c>
      <c r="W2008" t="s">
        <v>6546</v>
      </c>
      <c r="X2008">
        <v>1.2</v>
      </c>
      <c r="AC2008" t="s">
        <v>8777</v>
      </c>
      <c r="AI2008" t="s">
        <v>8777</v>
      </c>
      <c r="AO2008" t="s">
        <v>6546</v>
      </c>
    </row>
    <row r="2009" spans="1:41" hidden="1" x14ac:dyDescent="0.35">
      <c r="A2009" t="s">
        <v>19681</v>
      </c>
      <c r="B2009" t="s">
        <v>7246</v>
      </c>
      <c r="C2009" t="s">
        <v>423</v>
      </c>
      <c r="D2009" t="s">
        <v>84</v>
      </c>
      <c r="E2009" t="s">
        <v>19682</v>
      </c>
      <c r="G2009" s="13" t="s">
        <v>10035</v>
      </c>
      <c r="H2009" t="s">
        <v>10036</v>
      </c>
      <c r="I2009" t="s">
        <v>19683</v>
      </c>
      <c r="K2009" t="s">
        <v>9848</v>
      </c>
      <c r="L2009" t="s">
        <v>9848</v>
      </c>
      <c r="M2009" t="s">
        <v>7292</v>
      </c>
      <c r="N2009">
        <v>2024</v>
      </c>
      <c r="R2009">
        <v>10</v>
      </c>
      <c r="S2009" t="s">
        <v>8257</v>
      </c>
      <c r="T2009">
        <v>10</v>
      </c>
      <c r="U2009">
        <v>4653.83</v>
      </c>
      <c r="V2009">
        <v>0</v>
      </c>
      <c r="W2009" t="s">
        <v>6546</v>
      </c>
      <c r="X2009">
        <v>0</v>
      </c>
      <c r="AA2009" t="s">
        <v>10038</v>
      </c>
      <c r="AC2009" t="s">
        <v>8844</v>
      </c>
      <c r="AE2009" t="s">
        <v>12631</v>
      </c>
      <c r="AH2009" t="s">
        <v>3027</v>
      </c>
      <c r="AI2009" t="s">
        <v>9852</v>
      </c>
      <c r="AL2009" t="s">
        <v>19684</v>
      </c>
      <c r="AO2009" t="s">
        <v>6546</v>
      </c>
    </row>
    <row r="2010" spans="1:41" hidden="1" x14ac:dyDescent="0.35">
      <c r="A2010" t="s">
        <v>19685</v>
      </c>
      <c r="B2010" t="s">
        <v>7246</v>
      </c>
      <c r="C2010" t="s">
        <v>423</v>
      </c>
      <c r="D2010" t="s">
        <v>84</v>
      </c>
      <c r="E2010" t="s">
        <v>19682</v>
      </c>
      <c r="G2010" s="13" t="s">
        <v>10035</v>
      </c>
      <c r="H2010" t="s">
        <v>10036</v>
      </c>
      <c r="I2010" t="s">
        <v>19686</v>
      </c>
      <c r="K2010" t="s">
        <v>9848</v>
      </c>
      <c r="L2010" t="s">
        <v>9848</v>
      </c>
      <c r="M2010" t="s">
        <v>7292</v>
      </c>
      <c r="N2010">
        <v>2024</v>
      </c>
      <c r="R2010">
        <v>0</v>
      </c>
      <c r="S2010" t="s">
        <v>8257</v>
      </c>
      <c r="T2010">
        <v>0</v>
      </c>
      <c r="U2010">
        <v>0</v>
      </c>
      <c r="V2010">
        <v>25</v>
      </c>
      <c r="W2010" t="s">
        <v>6546</v>
      </c>
      <c r="X2010">
        <v>25</v>
      </c>
      <c r="AA2010" t="s">
        <v>10038</v>
      </c>
      <c r="AC2010" t="s">
        <v>8844</v>
      </c>
      <c r="AE2010" t="s">
        <v>12631</v>
      </c>
      <c r="AH2010" t="s">
        <v>3027</v>
      </c>
      <c r="AI2010" t="s">
        <v>9852</v>
      </c>
      <c r="AL2010" t="s">
        <v>19684</v>
      </c>
      <c r="AO2010" t="s">
        <v>6546</v>
      </c>
    </row>
    <row r="2011" spans="1:41" hidden="1" x14ac:dyDescent="0.35">
      <c r="A2011" t="s">
        <v>19687</v>
      </c>
      <c r="B2011" t="s">
        <v>7246</v>
      </c>
      <c r="C2011" t="s">
        <v>423</v>
      </c>
      <c r="D2011" t="s">
        <v>423</v>
      </c>
      <c r="E2011" t="s">
        <v>423</v>
      </c>
      <c r="G2011" s="13" t="s">
        <v>19688</v>
      </c>
      <c r="H2011" t="s">
        <v>19689</v>
      </c>
      <c r="K2011" t="s">
        <v>19690</v>
      </c>
      <c r="L2011" t="s">
        <v>19691</v>
      </c>
      <c r="M2011" t="s">
        <v>7292</v>
      </c>
      <c r="N2011">
        <v>2027</v>
      </c>
      <c r="R2011">
        <v>28</v>
      </c>
      <c r="S2011" t="s">
        <v>8257</v>
      </c>
      <c r="T2011">
        <v>28</v>
      </c>
      <c r="U2011">
        <v>13030.74</v>
      </c>
      <c r="V2011">
        <v>1358</v>
      </c>
      <c r="W2011" t="s">
        <v>6546</v>
      </c>
      <c r="X2011">
        <v>1358</v>
      </c>
      <c r="AA2011" t="s">
        <v>19692</v>
      </c>
      <c r="AB2011" t="s">
        <v>18123</v>
      </c>
      <c r="AC2011" t="s">
        <v>8844</v>
      </c>
      <c r="AD2011" t="s">
        <v>19693</v>
      </c>
      <c r="AE2011" t="s">
        <v>19694</v>
      </c>
      <c r="AF2011" t="s">
        <v>19695</v>
      </c>
      <c r="AH2011" t="s">
        <v>12631</v>
      </c>
      <c r="AI2011" t="s">
        <v>8844</v>
      </c>
      <c r="AK2011">
        <v>2023</v>
      </c>
      <c r="AL2011" t="s">
        <v>19696</v>
      </c>
      <c r="AO2011" t="s">
        <v>6546</v>
      </c>
    </row>
    <row r="2012" spans="1:41" hidden="1" x14ac:dyDescent="0.35">
      <c r="A2012" t="s">
        <v>19697</v>
      </c>
      <c r="B2012" t="s">
        <v>7246</v>
      </c>
      <c r="C2012" t="s">
        <v>344</v>
      </c>
      <c r="D2012" t="s">
        <v>344</v>
      </c>
      <c r="E2012" t="s">
        <v>344</v>
      </c>
      <c r="G2012" s="13" t="s">
        <v>19698</v>
      </c>
      <c r="H2012" t="s">
        <v>19699</v>
      </c>
      <c r="J2012" t="s">
        <v>19700</v>
      </c>
      <c r="K2012" t="s">
        <v>8960</v>
      </c>
      <c r="L2012" t="s">
        <v>8960</v>
      </c>
      <c r="M2012" t="s">
        <v>7250</v>
      </c>
      <c r="N2012">
        <v>2001</v>
      </c>
      <c r="R2012">
        <v>20.47</v>
      </c>
      <c r="S2012" t="s">
        <v>8257</v>
      </c>
      <c r="T2012">
        <v>20.47</v>
      </c>
      <c r="U2012">
        <v>9526.4</v>
      </c>
      <c r="V2012">
        <v>575</v>
      </c>
      <c r="W2012">
        <v>547.65</v>
      </c>
      <c r="X2012">
        <v>575</v>
      </c>
      <c r="Y2012">
        <v>42</v>
      </c>
      <c r="Z2012" t="s">
        <v>7253</v>
      </c>
      <c r="AA2012" s="13" t="s">
        <v>19701</v>
      </c>
      <c r="AB2012" t="s">
        <v>19702</v>
      </c>
      <c r="AC2012" t="s">
        <v>8747</v>
      </c>
      <c r="AE2012" t="s">
        <v>8876</v>
      </c>
      <c r="AF2012" t="s">
        <v>3132</v>
      </c>
      <c r="AH2012" t="s">
        <v>3132</v>
      </c>
      <c r="AI2012" t="s">
        <v>8747</v>
      </c>
      <c r="AO2012" t="s">
        <v>19703</v>
      </c>
    </row>
    <row r="2013" spans="1:41" hidden="1" x14ac:dyDescent="0.35">
      <c r="A2013" t="s">
        <v>19704</v>
      </c>
      <c r="B2013" t="s">
        <v>7246</v>
      </c>
      <c r="C2013" t="s">
        <v>344</v>
      </c>
      <c r="D2013" t="s">
        <v>344</v>
      </c>
      <c r="E2013" t="s">
        <v>344</v>
      </c>
      <c r="G2013" s="13" t="s">
        <v>8969</v>
      </c>
      <c r="H2013" t="s">
        <v>8970</v>
      </c>
      <c r="I2013" t="s">
        <v>19705</v>
      </c>
      <c r="J2013" t="s">
        <v>19706</v>
      </c>
      <c r="K2013" t="s">
        <v>8960</v>
      </c>
      <c r="L2013" t="s">
        <v>8960</v>
      </c>
      <c r="M2013" t="s">
        <v>7250</v>
      </c>
      <c r="N2013">
        <v>1979</v>
      </c>
      <c r="R2013">
        <v>40.65</v>
      </c>
      <c r="S2013" t="s">
        <v>8257</v>
      </c>
      <c r="T2013">
        <v>40.65</v>
      </c>
      <c r="U2013">
        <v>18916.91</v>
      </c>
      <c r="V2013">
        <v>507</v>
      </c>
      <c r="W2013">
        <v>529.5</v>
      </c>
      <c r="X2013">
        <v>507</v>
      </c>
      <c r="Y2013">
        <v>40</v>
      </c>
      <c r="Z2013" t="s">
        <v>7253</v>
      </c>
      <c r="AA2013" s="13" t="s">
        <v>19707</v>
      </c>
      <c r="AB2013" t="s">
        <v>19702</v>
      </c>
      <c r="AC2013" t="s">
        <v>8747</v>
      </c>
      <c r="AE2013" t="s">
        <v>8876</v>
      </c>
      <c r="AF2013" t="s">
        <v>3127</v>
      </c>
      <c r="AH2013" t="s">
        <v>3126</v>
      </c>
      <c r="AI2013" t="s">
        <v>8747</v>
      </c>
      <c r="AO2013" t="s">
        <v>8973</v>
      </c>
    </row>
    <row r="2014" spans="1:41" hidden="1" x14ac:dyDescent="0.35">
      <c r="A2014" t="s">
        <v>19708</v>
      </c>
      <c r="B2014" t="s">
        <v>7246</v>
      </c>
      <c r="C2014" t="s">
        <v>344</v>
      </c>
      <c r="D2014" t="s">
        <v>344</v>
      </c>
      <c r="E2014" t="s">
        <v>344</v>
      </c>
      <c r="G2014" s="13" t="s">
        <v>8969</v>
      </c>
      <c r="H2014" t="s">
        <v>8970</v>
      </c>
      <c r="I2014" t="s">
        <v>19709</v>
      </c>
      <c r="J2014" t="s">
        <v>19710</v>
      </c>
      <c r="K2014" t="s">
        <v>8960</v>
      </c>
      <c r="L2014" t="s">
        <v>8960</v>
      </c>
      <c r="M2014" t="s">
        <v>7250</v>
      </c>
      <c r="N2014">
        <v>1982</v>
      </c>
      <c r="R2014">
        <v>40.65</v>
      </c>
      <c r="S2014" t="s">
        <v>8257</v>
      </c>
      <c r="T2014">
        <v>40.65</v>
      </c>
      <c r="U2014">
        <v>18916.91</v>
      </c>
      <c r="V2014">
        <v>511</v>
      </c>
      <c r="W2014">
        <v>529.5</v>
      </c>
      <c r="X2014">
        <v>511</v>
      </c>
      <c r="Y2014">
        <v>40</v>
      </c>
      <c r="Z2014" t="s">
        <v>7253</v>
      </c>
      <c r="AA2014" s="13" t="s">
        <v>8978</v>
      </c>
      <c r="AB2014" t="s">
        <v>19702</v>
      </c>
      <c r="AC2014" t="s">
        <v>8747</v>
      </c>
      <c r="AE2014" t="s">
        <v>8876</v>
      </c>
      <c r="AF2014" t="s">
        <v>3127</v>
      </c>
      <c r="AH2014" t="s">
        <v>3126</v>
      </c>
      <c r="AI2014" t="s">
        <v>8747</v>
      </c>
      <c r="AO2014" t="s">
        <v>8973</v>
      </c>
    </row>
    <row r="2015" spans="1:41" hidden="1" x14ac:dyDescent="0.35">
      <c r="A2015" t="s">
        <v>19711</v>
      </c>
      <c r="B2015" t="s">
        <v>7246</v>
      </c>
      <c r="C2015" t="s">
        <v>344</v>
      </c>
      <c r="D2015" t="s">
        <v>344</v>
      </c>
      <c r="E2015" t="s">
        <v>344</v>
      </c>
      <c r="G2015" s="13" t="s">
        <v>8969</v>
      </c>
      <c r="H2015" t="s">
        <v>8970</v>
      </c>
      <c r="I2015" t="s">
        <v>19712</v>
      </c>
      <c r="J2015" t="s">
        <v>19713</v>
      </c>
      <c r="K2015" t="s">
        <v>8960</v>
      </c>
      <c r="L2015" t="s">
        <v>8960</v>
      </c>
      <c r="M2015" t="s">
        <v>7250</v>
      </c>
      <c r="N2015">
        <v>1989</v>
      </c>
      <c r="R2015">
        <v>40.65</v>
      </c>
      <c r="S2015" t="s">
        <v>8257</v>
      </c>
      <c r="T2015">
        <v>40.65</v>
      </c>
      <c r="U2015">
        <v>18916.91</v>
      </c>
      <c r="V2015">
        <v>517</v>
      </c>
      <c r="W2015">
        <v>529.5</v>
      </c>
      <c r="X2015">
        <v>517</v>
      </c>
      <c r="Y2015">
        <v>42</v>
      </c>
      <c r="Z2015" t="s">
        <v>7253</v>
      </c>
      <c r="AA2015" s="13" t="s">
        <v>8978</v>
      </c>
      <c r="AB2015" t="s">
        <v>19702</v>
      </c>
      <c r="AC2015" t="s">
        <v>8747</v>
      </c>
      <c r="AE2015" t="s">
        <v>8876</v>
      </c>
      <c r="AF2015" t="s">
        <v>3127</v>
      </c>
      <c r="AH2015" t="s">
        <v>3126</v>
      </c>
      <c r="AI2015" t="s">
        <v>8747</v>
      </c>
      <c r="AO2015" t="s">
        <v>8973</v>
      </c>
    </row>
    <row r="2016" spans="1:41" hidden="1" x14ac:dyDescent="0.35">
      <c r="A2016" t="s">
        <v>19714</v>
      </c>
      <c r="B2016" t="s">
        <v>7246</v>
      </c>
      <c r="C2016" t="s">
        <v>344</v>
      </c>
      <c r="D2016" t="s">
        <v>344</v>
      </c>
      <c r="E2016" t="s">
        <v>344</v>
      </c>
      <c r="G2016" s="13" t="s">
        <v>8969</v>
      </c>
      <c r="H2016" t="s">
        <v>8970</v>
      </c>
      <c r="I2016" t="s">
        <v>19715</v>
      </c>
      <c r="J2016" t="s">
        <v>12158</v>
      </c>
      <c r="K2016" t="s">
        <v>8960</v>
      </c>
      <c r="L2016" t="s">
        <v>8960</v>
      </c>
      <c r="M2016" t="s">
        <v>7250</v>
      </c>
      <c r="N2016">
        <v>1987</v>
      </c>
      <c r="R2016">
        <v>11.25</v>
      </c>
      <c r="S2016" t="s">
        <v>8257</v>
      </c>
      <c r="T2016">
        <v>11.25</v>
      </c>
      <c r="U2016">
        <v>5235.5600000000004</v>
      </c>
      <c r="V2016">
        <v>513</v>
      </c>
      <c r="W2016">
        <v>529.5</v>
      </c>
      <c r="X2016">
        <v>513</v>
      </c>
      <c r="Y2016">
        <v>48</v>
      </c>
      <c r="Z2016" t="s">
        <v>7253</v>
      </c>
      <c r="AA2016" s="13" t="s">
        <v>19716</v>
      </c>
      <c r="AB2016" t="s">
        <v>19702</v>
      </c>
      <c r="AC2016" t="s">
        <v>8747</v>
      </c>
      <c r="AE2016" t="s">
        <v>8876</v>
      </c>
      <c r="AF2016" t="s">
        <v>3127</v>
      </c>
      <c r="AH2016" t="s">
        <v>3126</v>
      </c>
      <c r="AI2016" t="s">
        <v>8747</v>
      </c>
      <c r="AO2016" t="s">
        <v>8973</v>
      </c>
    </row>
    <row r="2017" spans="1:41" hidden="1" x14ac:dyDescent="0.35">
      <c r="A2017" t="s">
        <v>19717</v>
      </c>
      <c r="B2017" t="s">
        <v>7246</v>
      </c>
      <c r="C2017" t="s">
        <v>344</v>
      </c>
      <c r="D2017" t="s">
        <v>344</v>
      </c>
      <c r="E2017" t="s">
        <v>344</v>
      </c>
      <c r="G2017" s="13" t="s">
        <v>19718</v>
      </c>
      <c r="H2017" t="s">
        <v>19719</v>
      </c>
      <c r="J2017" t="s">
        <v>19720</v>
      </c>
      <c r="K2017" t="s">
        <v>8960</v>
      </c>
      <c r="L2017" t="s">
        <v>8960</v>
      </c>
      <c r="M2017" t="s">
        <v>7250</v>
      </c>
      <c r="R2017">
        <v>11.3</v>
      </c>
      <c r="S2017" t="s">
        <v>8257</v>
      </c>
      <c r="T2017">
        <v>11.3</v>
      </c>
      <c r="U2017">
        <v>5258.83</v>
      </c>
      <c r="V2017">
        <v>437</v>
      </c>
      <c r="W2017">
        <v>189.74</v>
      </c>
      <c r="X2017">
        <v>437</v>
      </c>
      <c r="Y2017">
        <v>42</v>
      </c>
      <c r="Z2017" t="s">
        <v>7253</v>
      </c>
      <c r="AA2017" s="13" t="s">
        <v>8978</v>
      </c>
      <c r="AB2017" t="s">
        <v>19721</v>
      </c>
      <c r="AC2017" t="s">
        <v>8747</v>
      </c>
      <c r="AE2017" t="s">
        <v>19722</v>
      </c>
      <c r="AF2017" t="s">
        <v>19723</v>
      </c>
      <c r="AH2017" t="s">
        <v>8980</v>
      </c>
      <c r="AI2017" t="s">
        <v>8747</v>
      </c>
      <c r="AL2017" t="s">
        <v>19724</v>
      </c>
      <c r="AO2017" t="s">
        <v>19725</v>
      </c>
    </row>
    <row r="2018" spans="1:41" hidden="1" x14ac:dyDescent="0.35">
      <c r="A2018" t="s">
        <v>19726</v>
      </c>
      <c r="B2018" t="s">
        <v>7246</v>
      </c>
      <c r="C2018" t="s">
        <v>344</v>
      </c>
      <c r="D2018" t="s">
        <v>344</v>
      </c>
      <c r="E2018" t="s">
        <v>344</v>
      </c>
      <c r="G2018" s="13" t="s">
        <v>19727</v>
      </c>
      <c r="H2018" t="s">
        <v>19728</v>
      </c>
      <c r="J2018" t="s">
        <v>19729</v>
      </c>
      <c r="K2018" t="s">
        <v>8960</v>
      </c>
      <c r="L2018" t="s">
        <v>8960</v>
      </c>
      <c r="M2018" t="s">
        <v>7250</v>
      </c>
      <c r="R2018">
        <v>11.47</v>
      </c>
      <c r="S2018" t="s">
        <v>8257</v>
      </c>
      <c r="T2018">
        <v>11.47</v>
      </c>
      <c r="U2018">
        <v>5337.95</v>
      </c>
      <c r="V2018">
        <v>521</v>
      </c>
      <c r="W2018">
        <v>488.59</v>
      </c>
      <c r="X2018">
        <v>521</v>
      </c>
      <c r="Y2018">
        <v>48</v>
      </c>
      <c r="Z2018" t="s">
        <v>7253</v>
      </c>
      <c r="AA2018" s="13" t="s">
        <v>8978</v>
      </c>
      <c r="AB2018" t="s">
        <v>8875</v>
      </c>
      <c r="AC2018" t="s">
        <v>8747</v>
      </c>
      <c r="AE2018" t="s">
        <v>8876</v>
      </c>
      <c r="AF2018" t="s">
        <v>12134</v>
      </c>
      <c r="AH2018" t="s">
        <v>12135</v>
      </c>
      <c r="AI2018" t="s">
        <v>8747</v>
      </c>
      <c r="AL2018" t="s">
        <v>19730</v>
      </c>
      <c r="AO2018" t="s">
        <v>19731</v>
      </c>
    </row>
    <row r="2019" spans="1:41" hidden="1" x14ac:dyDescent="0.35">
      <c r="A2019" t="s">
        <v>19732</v>
      </c>
      <c r="B2019" t="s">
        <v>7246</v>
      </c>
      <c r="C2019" t="s">
        <v>344</v>
      </c>
      <c r="D2019" t="s">
        <v>344</v>
      </c>
      <c r="E2019" t="s">
        <v>344</v>
      </c>
      <c r="G2019" s="13" t="s">
        <v>19733</v>
      </c>
      <c r="H2019" t="s">
        <v>19734</v>
      </c>
      <c r="K2019" t="s">
        <v>8960</v>
      </c>
      <c r="L2019" t="s">
        <v>8960</v>
      </c>
      <c r="M2019" t="s">
        <v>7250</v>
      </c>
      <c r="N2019">
        <v>2022</v>
      </c>
      <c r="R2019">
        <v>4.8</v>
      </c>
      <c r="S2019" t="s">
        <v>8257</v>
      </c>
      <c r="T2019">
        <v>4.8</v>
      </c>
      <c r="U2019">
        <v>2233.84</v>
      </c>
      <c r="V2019">
        <v>109</v>
      </c>
      <c r="W2019" t="s">
        <v>6546</v>
      </c>
      <c r="X2019">
        <v>109</v>
      </c>
      <c r="Y2019">
        <v>12</v>
      </c>
      <c r="Z2019" t="s">
        <v>7253</v>
      </c>
      <c r="AA2019" s="13" t="s">
        <v>19735</v>
      </c>
      <c r="AC2019" t="s">
        <v>8747</v>
      </c>
      <c r="AI2019" t="s">
        <v>8747</v>
      </c>
      <c r="AL2019" t="s">
        <v>19736</v>
      </c>
      <c r="AO2019" t="s">
        <v>6546</v>
      </c>
    </row>
    <row r="2020" spans="1:41" hidden="1" x14ac:dyDescent="0.35">
      <c r="A2020" t="s">
        <v>19737</v>
      </c>
      <c r="B2020" t="s">
        <v>7246</v>
      </c>
      <c r="C2020" t="s">
        <v>383</v>
      </c>
      <c r="D2020" t="s">
        <v>383</v>
      </c>
      <c r="E2020" t="s">
        <v>383</v>
      </c>
      <c r="G2020" s="13" t="s">
        <v>19738</v>
      </c>
      <c r="H2020" t="s">
        <v>19739</v>
      </c>
      <c r="K2020" t="s">
        <v>10763</v>
      </c>
      <c r="L2020" t="s">
        <v>10763</v>
      </c>
      <c r="M2020" t="s">
        <v>7250</v>
      </c>
      <c r="N2020">
        <v>2012</v>
      </c>
      <c r="R2020">
        <v>0.08</v>
      </c>
      <c r="S2020" t="s">
        <v>8792</v>
      </c>
      <c r="T2020">
        <v>0.03</v>
      </c>
      <c r="U2020">
        <v>12.75</v>
      </c>
      <c r="V2020">
        <v>65.319999999999993</v>
      </c>
      <c r="W2020">
        <v>322.35000000000002</v>
      </c>
      <c r="X2020">
        <v>65.319999999999993</v>
      </c>
      <c r="AB2020" t="s">
        <v>19740</v>
      </c>
      <c r="AC2020" t="s">
        <v>8859</v>
      </c>
      <c r="AE2020" t="s">
        <v>10998</v>
      </c>
      <c r="AF2020" t="s">
        <v>10999</v>
      </c>
      <c r="AH2020" t="s">
        <v>10998</v>
      </c>
      <c r="AI2020" t="s">
        <v>8859</v>
      </c>
      <c r="AO2020" t="s">
        <v>19741</v>
      </c>
    </row>
    <row r="2021" spans="1:41" hidden="1" x14ac:dyDescent="0.35">
      <c r="A2021" t="s">
        <v>19742</v>
      </c>
      <c r="B2021" t="s">
        <v>7246</v>
      </c>
      <c r="C2021" t="s">
        <v>383</v>
      </c>
      <c r="D2021" t="s">
        <v>383</v>
      </c>
      <c r="E2021" t="s">
        <v>383</v>
      </c>
      <c r="G2021" s="13" t="s">
        <v>19743</v>
      </c>
      <c r="H2021" t="s">
        <v>19744</v>
      </c>
      <c r="K2021" t="s">
        <v>10763</v>
      </c>
      <c r="L2021" t="s">
        <v>10763</v>
      </c>
      <c r="M2021" t="s">
        <v>7415</v>
      </c>
      <c r="T2021" t="s">
        <v>6546</v>
      </c>
      <c r="U2021" t="s">
        <v>6546</v>
      </c>
      <c r="V2021">
        <v>54</v>
      </c>
      <c r="W2021">
        <v>39.880000000000003</v>
      </c>
      <c r="X2021">
        <v>54</v>
      </c>
      <c r="AB2021" t="s">
        <v>19745</v>
      </c>
      <c r="AC2021" t="s">
        <v>8859</v>
      </c>
      <c r="AE2021" t="s">
        <v>19746</v>
      </c>
      <c r="AF2021" t="s">
        <v>19747</v>
      </c>
      <c r="AH2021" t="s">
        <v>19748</v>
      </c>
      <c r="AI2021" t="s">
        <v>8859</v>
      </c>
      <c r="AO2021" t="s">
        <v>19749</v>
      </c>
    </row>
    <row r="2022" spans="1:41" hidden="1" x14ac:dyDescent="0.35">
      <c r="A2022" t="s">
        <v>19750</v>
      </c>
      <c r="B2022" t="s">
        <v>7246</v>
      </c>
      <c r="C2022" t="s">
        <v>5586</v>
      </c>
      <c r="D2022" t="s">
        <v>5844</v>
      </c>
      <c r="E2022" t="s">
        <v>5586</v>
      </c>
      <c r="G2022" s="13" t="s">
        <v>13376</v>
      </c>
      <c r="H2022" t="s">
        <v>13377</v>
      </c>
      <c r="I2022" t="s">
        <v>19751</v>
      </c>
      <c r="K2022" t="s">
        <v>18499</v>
      </c>
      <c r="L2022" t="s">
        <v>18499</v>
      </c>
      <c r="M2022" t="s">
        <v>7292</v>
      </c>
      <c r="N2022">
        <v>2027</v>
      </c>
      <c r="O2022">
        <v>2028</v>
      </c>
      <c r="R2022">
        <v>43</v>
      </c>
      <c r="S2022" t="s">
        <v>12003</v>
      </c>
      <c r="T2022">
        <v>1.58</v>
      </c>
      <c r="U2022">
        <v>736.77</v>
      </c>
      <c r="V2022">
        <v>30</v>
      </c>
      <c r="W2022">
        <v>29.21</v>
      </c>
      <c r="X2022">
        <v>30</v>
      </c>
      <c r="Y2022">
        <v>500</v>
      </c>
      <c r="Z2022" t="s">
        <v>8842</v>
      </c>
      <c r="AB2022" t="s">
        <v>19752</v>
      </c>
      <c r="AC2022" t="s">
        <v>8777</v>
      </c>
      <c r="AE2022" t="s">
        <v>19753</v>
      </c>
      <c r="AF2022" t="s">
        <v>18500</v>
      </c>
      <c r="AH2022" t="s">
        <v>19753</v>
      </c>
      <c r="AI2022" t="s">
        <v>8777</v>
      </c>
      <c r="AJ2022" t="s">
        <v>9032</v>
      </c>
      <c r="AL2022" t="s">
        <v>13381</v>
      </c>
      <c r="AO2022" t="s">
        <v>19754</v>
      </c>
    </row>
    <row r="2023" spans="1:41" hidden="1" x14ac:dyDescent="0.35">
      <c r="A2023" t="s">
        <v>19755</v>
      </c>
      <c r="B2023" t="s">
        <v>7246</v>
      </c>
      <c r="C2023" t="s">
        <v>383</v>
      </c>
      <c r="D2023" t="s">
        <v>383</v>
      </c>
      <c r="E2023" t="s">
        <v>383</v>
      </c>
      <c r="G2023" s="13" t="s">
        <v>19756</v>
      </c>
      <c r="H2023" t="s">
        <v>19757</v>
      </c>
      <c r="K2023" t="s">
        <v>10612</v>
      </c>
      <c r="L2023" t="s">
        <v>10612</v>
      </c>
      <c r="M2023" t="s">
        <v>7415</v>
      </c>
      <c r="N2023">
        <v>2024</v>
      </c>
      <c r="R2023">
        <v>3</v>
      </c>
      <c r="S2023" t="s">
        <v>8792</v>
      </c>
      <c r="T2023">
        <v>1.1000000000000001</v>
      </c>
      <c r="U2023">
        <v>509.94</v>
      </c>
      <c r="V2023">
        <v>100</v>
      </c>
      <c r="W2023">
        <v>114.47</v>
      </c>
      <c r="X2023">
        <v>100</v>
      </c>
      <c r="AB2023" t="s">
        <v>2733</v>
      </c>
      <c r="AC2023" t="s">
        <v>8859</v>
      </c>
      <c r="AE2023" t="s">
        <v>3089</v>
      </c>
      <c r="AF2023" t="s">
        <v>19758</v>
      </c>
      <c r="AH2023" t="s">
        <v>3089</v>
      </c>
      <c r="AI2023" t="s">
        <v>8859</v>
      </c>
      <c r="AO2023" t="s">
        <v>19759</v>
      </c>
    </row>
    <row r="2024" spans="1:41" hidden="1" x14ac:dyDescent="0.35">
      <c r="A2024" t="s">
        <v>19760</v>
      </c>
      <c r="B2024" t="s">
        <v>7246</v>
      </c>
      <c r="C2024" t="s">
        <v>383</v>
      </c>
      <c r="D2024" t="s">
        <v>383</v>
      </c>
      <c r="E2024" t="s">
        <v>383</v>
      </c>
      <c r="G2024" s="13" t="s">
        <v>19761</v>
      </c>
      <c r="H2024" t="s">
        <v>19762</v>
      </c>
      <c r="K2024" t="s">
        <v>10612</v>
      </c>
      <c r="L2024" t="s">
        <v>10612</v>
      </c>
      <c r="M2024" t="s">
        <v>7415</v>
      </c>
      <c r="N2024">
        <v>2022</v>
      </c>
      <c r="R2024">
        <v>18</v>
      </c>
      <c r="S2024" t="s">
        <v>8792</v>
      </c>
      <c r="T2024">
        <v>6.57</v>
      </c>
      <c r="U2024">
        <v>3059.66</v>
      </c>
      <c r="V2024">
        <v>85</v>
      </c>
      <c r="W2024">
        <v>114.84</v>
      </c>
      <c r="X2024">
        <v>85</v>
      </c>
      <c r="AB2024" t="s">
        <v>19763</v>
      </c>
      <c r="AC2024" t="s">
        <v>8859</v>
      </c>
      <c r="AE2024" t="s">
        <v>3089</v>
      </c>
      <c r="AF2024" t="s">
        <v>19764</v>
      </c>
      <c r="AG2024" t="s">
        <v>19765</v>
      </c>
      <c r="AH2024" t="s">
        <v>3089</v>
      </c>
      <c r="AI2024" t="s">
        <v>8859</v>
      </c>
      <c r="AO2024" t="s">
        <v>19766</v>
      </c>
    </row>
    <row r="2025" spans="1:41" hidden="1" x14ac:dyDescent="0.35">
      <c r="A2025" t="s">
        <v>19767</v>
      </c>
      <c r="B2025" t="s">
        <v>7246</v>
      </c>
      <c r="C2025" t="s">
        <v>383</v>
      </c>
      <c r="D2025" t="s">
        <v>383</v>
      </c>
      <c r="E2025" t="s">
        <v>383</v>
      </c>
      <c r="G2025" s="13" t="s">
        <v>19768</v>
      </c>
      <c r="H2025" t="s">
        <v>19769</v>
      </c>
      <c r="K2025" t="s">
        <v>10612</v>
      </c>
      <c r="L2025" t="s">
        <v>10612</v>
      </c>
      <c r="M2025" t="s">
        <v>7415</v>
      </c>
      <c r="N2025">
        <v>2024</v>
      </c>
      <c r="R2025">
        <v>18</v>
      </c>
      <c r="S2025" t="s">
        <v>8792</v>
      </c>
      <c r="T2025">
        <v>6.57</v>
      </c>
      <c r="U2025">
        <v>3059.66</v>
      </c>
      <c r="V2025">
        <v>198</v>
      </c>
      <c r="W2025">
        <v>185.35</v>
      </c>
      <c r="X2025">
        <v>198</v>
      </c>
      <c r="AB2025" t="s">
        <v>6929</v>
      </c>
      <c r="AC2025" t="s">
        <v>8859</v>
      </c>
      <c r="AE2025" t="s">
        <v>3089</v>
      </c>
      <c r="AF2025" t="s">
        <v>19770</v>
      </c>
      <c r="AH2025" t="s">
        <v>3089</v>
      </c>
      <c r="AI2025" t="s">
        <v>8859</v>
      </c>
      <c r="AO2025" t="s">
        <v>19771</v>
      </c>
    </row>
    <row r="2026" spans="1:41" hidden="1" x14ac:dyDescent="0.35">
      <c r="A2026" t="s">
        <v>19772</v>
      </c>
      <c r="B2026" t="s">
        <v>7246</v>
      </c>
      <c r="C2026" t="s">
        <v>383</v>
      </c>
      <c r="D2026" t="s">
        <v>383</v>
      </c>
      <c r="E2026" t="s">
        <v>383</v>
      </c>
      <c r="G2026" s="13" t="s">
        <v>19773</v>
      </c>
      <c r="H2026" t="s">
        <v>19774</v>
      </c>
      <c r="K2026" t="s">
        <v>10763</v>
      </c>
      <c r="L2026" t="s">
        <v>10763</v>
      </c>
      <c r="M2026" t="s">
        <v>7415</v>
      </c>
      <c r="N2026">
        <v>2024</v>
      </c>
      <c r="R2026">
        <v>7</v>
      </c>
      <c r="S2026" t="s">
        <v>8792</v>
      </c>
      <c r="T2026">
        <v>2.56</v>
      </c>
      <c r="U2026">
        <v>1189.8699999999999</v>
      </c>
      <c r="V2026">
        <v>170</v>
      </c>
      <c r="W2026">
        <v>150.76</v>
      </c>
      <c r="X2026">
        <v>170</v>
      </c>
      <c r="AB2026" t="s">
        <v>6929</v>
      </c>
      <c r="AC2026" t="s">
        <v>8859</v>
      </c>
      <c r="AE2026" t="s">
        <v>3089</v>
      </c>
      <c r="AF2026" t="s">
        <v>19775</v>
      </c>
      <c r="AH2026" t="s">
        <v>3089</v>
      </c>
      <c r="AI2026" t="s">
        <v>8859</v>
      </c>
      <c r="AO2026" t="s">
        <v>19776</v>
      </c>
    </row>
    <row r="2027" spans="1:41" hidden="1" x14ac:dyDescent="0.35">
      <c r="A2027" t="s">
        <v>19777</v>
      </c>
      <c r="B2027" t="s">
        <v>7246</v>
      </c>
      <c r="C2027" t="s">
        <v>383</v>
      </c>
      <c r="D2027" t="s">
        <v>383</v>
      </c>
      <c r="E2027" t="s">
        <v>383</v>
      </c>
      <c r="G2027" s="13" t="s">
        <v>19778</v>
      </c>
      <c r="H2027" t="s">
        <v>19779</v>
      </c>
      <c r="K2027" t="s">
        <v>10612</v>
      </c>
      <c r="L2027" t="s">
        <v>10612</v>
      </c>
      <c r="M2027" t="s">
        <v>7415</v>
      </c>
      <c r="N2027">
        <v>2022</v>
      </c>
      <c r="R2027">
        <v>42.42</v>
      </c>
      <c r="S2027" t="s">
        <v>8792</v>
      </c>
      <c r="T2027">
        <v>15.49</v>
      </c>
      <c r="U2027">
        <v>7210.61</v>
      </c>
      <c r="V2027">
        <v>392</v>
      </c>
      <c r="W2027">
        <v>206.47</v>
      </c>
      <c r="X2027">
        <v>392</v>
      </c>
      <c r="AB2027" t="s">
        <v>2700</v>
      </c>
      <c r="AC2027" t="s">
        <v>8859</v>
      </c>
      <c r="AE2027" t="s">
        <v>3539</v>
      </c>
      <c r="AF2027" t="s">
        <v>19780</v>
      </c>
      <c r="AH2027" t="s">
        <v>3539</v>
      </c>
      <c r="AI2027" t="s">
        <v>8859</v>
      </c>
      <c r="AO2027" t="s">
        <v>19781</v>
      </c>
    </row>
    <row r="2028" spans="1:41" hidden="1" x14ac:dyDescent="0.35">
      <c r="A2028" t="s">
        <v>19782</v>
      </c>
      <c r="B2028" t="s">
        <v>7246</v>
      </c>
      <c r="C2028" t="s">
        <v>5643</v>
      </c>
      <c r="D2028" t="s">
        <v>5643</v>
      </c>
      <c r="E2028" t="s">
        <v>5643</v>
      </c>
      <c r="G2028" s="13" t="s">
        <v>19783</v>
      </c>
      <c r="H2028" t="s">
        <v>19784</v>
      </c>
      <c r="K2028" t="s">
        <v>19785</v>
      </c>
      <c r="L2028" t="s">
        <v>13453</v>
      </c>
      <c r="M2028" t="s">
        <v>7292</v>
      </c>
      <c r="N2028">
        <v>2023</v>
      </c>
      <c r="R2028">
        <v>10</v>
      </c>
      <c r="S2028" t="s">
        <v>8257</v>
      </c>
      <c r="T2028">
        <v>10</v>
      </c>
      <c r="U2028">
        <v>4653.83</v>
      </c>
      <c r="V2028">
        <v>28</v>
      </c>
      <c r="W2028">
        <v>21.26</v>
      </c>
      <c r="X2028">
        <v>28</v>
      </c>
      <c r="AC2028" t="s">
        <v>8777</v>
      </c>
      <c r="AI2028" t="s">
        <v>8777</v>
      </c>
      <c r="AO2028" t="s">
        <v>19786</v>
      </c>
    </row>
    <row r="2029" spans="1:41" hidden="1" x14ac:dyDescent="0.35">
      <c r="A2029" t="s">
        <v>19787</v>
      </c>
      <c r="B2029" t="s">
        <v>7246</v>
      </c>
      <c r="C2029" t="s">
        <v>9898</v>
      </c>
      <c r="D2029" t="s">
        <v>5445</v>
      </c>
      <c r="E2029" t="s">
        <v>10094</v>
      </c>
      <c r="G2029" s="13" t="s">
        <v>10095</v>
      </c>
      <c r="H2029" t="s">
        <v>10096</v>
      </c>
      <c r="I2029" t="s">
        <v>8683</v>
      </c>
      <c r="K2029" t="s">
        <v>10098</v>
      </c>
      <c r="L2029" t="s">
        <v>10099</v>
      </c>
      <c r="M2029" t="s">
        <v>7292</v>
      </c>
      <c r="N2029">
        <v>2025</v>
      </c>
      <c r="R2029">
        <v>14</v>
      </c>
      <c r="S2029" t="s">
        <v>8257</v>
      </c>
      <c r="T2029">
        <v>14</v>
      </c>
      <c r="U2029">
        <v>6515.37</v>
      </c>
      <c r="V2029">
        <v>0</v>
      </c>
      <c r="W2029" t="s">
        <v>6546</v>
      </c>
      <c r="X2029">
        <v>0</v>
      </c>
      <c r="Y2029">
        <v>915</v>
      </c>
      <c r="Z2029" t="s">
        <v>8842</v>
      </c>
      <c r="AA2029" t="s">
        <v>10100</v>
      </c>
      <c r="AB2029" t="s">
        <v>10101</v>
      </c>
      <c r="AC2029" t="s">
        <v>8844</v>
      </c>
      <c r="AE2029" t="s">
        <v>9928</v>
      </c>
      <c r="AF2029" t="s">
        <v>9861</v>
      </c>
      <c r="AI2029" t="s">
        <v>8844</v>
      </c>
      <c r="AJ2029" t="s">
        <v>9032</v>
      </c>
      <c r="AO2029" t="s">
        <v>6546</v>
      </c>
    </row>
    <row r="2030" spans="1:41" hidden="1" x14ac:dyDescent="0.35">
      <c r="A2030" t="s">
        <v>19788</v>
      </c>
      <c r="B2030" t="s">
        <v>7246</v>
      </c>
      <c r="C2030" t="s">
        <v>5796</v>
      </c>
      <c r="D2030" t="s">
        <v>5796</v>
      </c>
      <c r="E2030" t="s">
        <v>5796</v>
      </c>
      <c r="G2030" s="13" t="s">
        <v>11959</v>
      </c>
      <c r="H2030" t="s">
        <v>11960</v>
      </c>
      <c r="I2030" t="s">
        <v>19789</v>
      </c>
      <c r="J2030" t="s">
        <v>11962</v>
      </c>
      <c r="K2030" t="s">
        <v>6543</v>
      </c>
      <c r="L2030" t="s">
        <v>6543</v>
      </c>
      <c r="M2030" t="s">
        <v>7292</v>
      </c>
      <c r="N2030">
        <v>2023</v>
      </c>
      <c r="O2030">
        <v>2024</v>
      </c>
      <c r="R2030">
        <v>76.400000000000006</v>
      </c>
      <c r="S2030" t="s">
        <v>12003</v>
      </c>
      <c r="T2030">
        <v>2.81</v>
      </c>
      <c r="U2030">
        <v>1309.05</v>
      </c>
      <c r="V2030">
        <v>68</v>
      </c>
      <c r="W2030">
        <v>50.58</v>
      </c>
      <c r="X2030">
        <v>68</v>
      </c>
      <c r="Y2030">
        <v>750</v>
      </c>
      <c r="Z2030" t="s">
        <v>8842</v>
      </c>
      <c r="AB2030" t="s">
        <v>19790</v>
      </c>
      <c r="AC2030" t="s">
        <v>8777</v>
      </c>
      <c r="AF2030" t="s">
        <v>19791</v>
      </c>
      <c r="AI2030" t="s">
        <v>8777</v>
      </c>
      <c r="AJ2030" t="s">
        <v>9032</v>
      </c>
      <c r="AO2030" t="s">
        <v>19792</v>
      </c>
    </row>
    <row r="2031" spans="1:41" hidden="1" x14ac:dyDescent="0.35">
      <c r="A2031" t="s">
        <v>19793</v>
      </c>
      <c r="B2031" t="s">
        <v>7246</v>
      </c>
      <c r="C2031" t="s">
        <v>4136</v>
      </c>
      <c r="D2031" t="s">
        <v>4136</v>
      </c>
      <c r="E2031" t="s">
        <v>4136</v>
      </c>
      <c r="G2031" s="13" t="s">
        <v>19794</v>
      </c>
      <c r="H2031" t="s">
        <v>19795</v>
      </c>
      <c r="K2031" t="s">
        <v>10372</v>
      </c>
      <c r="L2031" t="s">
        <v>6511</v>
      </c>
      <c r="M2031" t="s">
        <v>7292</v>
      </c>
      <c r="N2031">
        <v>2025</v>
      </c>
      <c r="T2031" t="s">
        <v>6546</v>
      </c>
      <c r="U2031" t="s">
        <v>6546</v>
      </c>
      <c r="V2031">
        <v>77</v>
      </c>
      <c r="W2031">
        <v>65.239999999999995</v>
      </c>
      <c r="X2031">
        <v>77</v>
      </c>
      <c r="Y2031">
        <v>30</v>
      </c>
      <c r="Z2031" t="s">
        <v>7253</v>
      </c>
      <c r="AB2031" t="s">
        <v>10446</v>
      </c>
      <c r="AC2031" t="s">
        <v>8859</v>
      </c>
      <c r="AF2031" t="s">
        <v>19796</v>
      </c>
      <c r="AI2031" t="s">
        <v>8859</v>
      </c>
      <c r="AO2031" t="s">
        <v>19797</v>
      </c>
    </row>
    <row r="2032" spans="1:41" hidden="1" x14ac:dyDescent="0.35">
      <c r="A2032" t="s">
        <v>19798</v>
      </c>
      <c r="B2032" t="s">
        <v>7246</v>
      </c>
      <c r="C2032" t="s">
        <v>4136</v>
      </c>
      <c r="D2032" t="s">
        <v>4136</v>
      </c>
      <c r="E2032" t="s">
        <v>4136</v>
      </c>
      <c r="G2032" s="13" t="s">
        <v>19799</v>
      </c>
      <c r="H2032" t="s">
        <v>19800</v>
      </c>
      <c r="K2032" t="s">
        <v>10372</v>
      </c>
      <c r="L2032" t="s">
        <v>6511</v>
      </c>
      <c r="M2032" t="s">
        <v>7292</v>
      </c>
      <c r="N2032">
        <v>2025</v>
      </c>
      <c r="T2032" t="s">
        <v>6546</v>
      </c>
      <c r="U2032" t="s">
        <v>6546</v>
      </c>
      <c r="V2032">
        <v>85</v>
      </c>
      <c r="W2032">
        <v>81.849999999999994</v>
      </c>
      <c r="X2032">
        <v>85</v>
      </c>
      <c r="Y2032">
        <v>42</v>
      </c>
      <c r="Z2032" t="s">
        <v>7253</v>
      </c>
      <c r="AB2032" t="s">
        <v>19801</v>
      </c>
      <c r="AC2032" t="s">
        <v>8859</v>
      </c>
      <c r="AF2032" t="s">
        <v>17231</v>
      </c>
      <c r="AI2032" t="s">
        <v>8859</v>
      </c>
      <c r="AO2032" t="s">
        <v>19802</v>
      </c>
    </row>
    <row r="2033" spans="1:41" hidden="1" x14ac:dyDescent="0.35">
      <c r="A2033" t="s">
        <v>19803</v>
      </c>
      <c r="B2033" t="s">
        <v>7246</v>
      </c>
      <c r="C2033" t="s">
        <v>4136</v>
      </c>
      <c r="D2033" t="s">
        <v>4136</v>
      </c>
      <c r="E2033" t="s">
        <v>4136</v>
      </c>
      <c r="G2033" s="13" t="s">
        <v>19804</v>
      </c>
      <c r="H2033" t="s">
        <v>19805</v>
      </c>
      <c r="K2033" t="s">
        <v>10372</v>
      </c>
      <c r="L2033" t="s">
        <v>6511</v>
      </c>
      <c r="M2033" t="s">
        <v>7292</v>
      </c>
      <c r="N2033">
        <v>2034</v>
      </c>
      <c r="T2033" t="s">
        <v>6546</v>
      </c>
      <c r="U2033" t="s">
        <v>6546</v>
      </c>
      <c r="V2033">
        <v>60</v>
      </c>
      <c r="W2033">
        <v>13.65</v>
      </c>
      <c r="X2033">
        <v>60</v>
      </c>
      <c r="Y2033">
        <v>30</v>
      </c>
      <c r="Z2033" t="s">
        <v>7253</v>
      </c>
      <c r="AB2033" t="s">
        <v>17344</v>
      </c>
      <c r="AC2033" t="s">
        <v>8859</v>
      </c>
      <c r="AF2033" t="s">
        <v>17231</v>
      </c>
      <c r="AI2033" t="s">
        <v>8859</v>
      </c>
      <c r="AO2033" t="s">
        <v>19806</v>
      </c>
    </row>
    <row r="2034" spans="1:41" hidden="1" x14ac:dyDescent="0.35">
      <c r="A2034" t="s">
        <v>19807</v>
      </c>
      <c r="B2034" t="s">
        <v>7246</v>
      </c>
      <c r="C2034" t="s">
        <v>4136</v>
      </c>
      <c r="D2034" t="s">
        <v>4136</v>
      </c>
      <c r="E2034" t="s">
        <v>4136</v>
      </c>
      <c r="G2034" s="13" t="s">
        <v>19808</v>
      </c>
      <c r="H2034" t="s">
        <v>19809</v>
      </c>
      <c r="K2034" t="s">
        <v>10372</v>
      </c>
      <c r="L2034" t="s">
        <v>6511</v>
      </c>
      <c r="M2034" t="s">
        <v>7292</v>
      </c>
      <c r="N2034">
        <v>2024</v>
      </c>
      <c r="T2034" t="s">
        <v>6546</v>
      </c>
      <c r="U2034" t="s">
        <v>6546</v>
      </c>
      <c r="V2034">
        <v>50</v>
      </c>
      <c r="W2034">
        <v>24.7</v>
      </c>
      <c r="X2034">
        <v>50</v>
      </c>
      <c r="Y2034">
        <v>42</v>
      </c>
      <c r="Z2034" t="s">
        <v>7253</v>
      </c>
      <c r="AB2034" t="s">
        <v>10382</v>
      </c>
      <c r="AC2034" t="s">
        <v>8859</v>
      </c>
      <c r="AF2034" t="s">
        <v>19810</v>
      </c>
      <c r="AI2034" t="s">
        <v>8859</v>
      </c>
      <c r="AO2034" t="s">
        <v>19811</v>
      </c>
    </row>
    <row r="2035" spans="1:41" hidden="1" x14ac:dyDescent="0.35">
      <c r="A2035" t="s">
        <v>19812</v>
      </c>
      <c r="B2035" t="s">
        <v>7246</v>
      </c>
      <c r="C2035" t="s">
        <v>406</v>
      </c>
      <c r="D2035" t="s">
        <v>406</v>
      </c>
      <c r="E2035" t="s">
        <v>406</v>
      </c>
      <c r="G2035" s="13" t="s">
        <v>19813</v>
      </c>
      <c r="H2035" t="s">
        <v>19814</v>
      </c>
      <c r="K2035" t="s">
        <v>19815</v>
      </c>
      <c r="L2035" t="s">
        <v>19816</v>
      </c>
      <c r="M2035" t="s">
        <v>7292</v>
      </c>
      <c r="R2035">
        <v>1300</v>
      </c>
      <c r="S2035" t="s">
        <v>7251</v>
      </c>
      <c r="T2035">
        <v>13.45</v>
      </c>
      <c r="U2035">
        <v>6257.33</v>
      </c>
      <c r="V2035">
        <v>715</v>
      </c>
      <c r="W2035">
        <v>631.79</v>
      </c>
      <c r="X2035">
        <v>715</v>
      </c>
      <c r="AB2035" t="s">
        <v>7934</v>
      </c>
      <c r="AC2035" t="s">
        <v>7255</v>
      </c>
      <c r="AE2035" t="s">
        <v>6236</v>
      </c>
      <c r="AF2035" t="s">
        <v>19817</v>
      </c>
      <c r="AH2035" t="s">
        <v>8388</v>
      </c>
      <c r="AI2035" t="s">
        <v>7255</v>
      </c>
      <c r="AJ2035" t="s">
        <v>6407</v>
      </c>
      <c r="AK2035">
        <v>2022</v>
      </c>
      <c r="AL2035" t="s">
        <v>19818</v>
      </c>
      <c r="AN2035" s="13" t="s">
        <v>19819</v>
      </c>
      <c r="AO2035" t="s">
        <v>19820</v>
      </c>
    </row>
    <row r="2036" spans="1:41" hidden="1" x14ac:dyDescent="0.35">
      <c r="A2036" t="s">
        <v>19821</v>
      </c>
      <c r="B2036" t="s">
        <v>7246</v>
      </c>
      <c r="C2036" t="s">
        <v>340</v>
      </c>
      <c r="D2036" t="s">
        <v>340</v>
      </c>
      <c r="E2036" t="s">
        <v>340</v>
      </c>
      <c r="G2036" s="13" t="s">
        <v>19822</v>
      </c>
      <c r="H2036" t="s">
        <v>19823</v>
      </c>
      <c r="K2036" t="s">
        <v>6543</v>
      </c>
      <c r="L2036" t="s">
        <v>6543</v>
      </c>
      <c r="M2036" t="s">
        <v>7731</v>
      </c>
      <c r="T2036" t="s">
        <v>6546</v>
      </c>
      <c r="U2036" t="s">
        <v>6546</v>
      </c>
      <c r="V2036">
        <v>94.5</v>
      </c>
      <c r="W2036">
        <v>129.65</v>
      </c>
      <c r="X2036">
        <v>94.5</v>
      </c>
      <c r="AA2036" t="s">
        <v>19824</v>
      </c>
      <c r="AB2036" t="s">
        <v>19825</v>
      </c>
      <c r="AC2036" t="s">
        <v>8747</v>
      </c>
      <c r="AE2036" t="s">
        <v>19826</v>
      </c>
      <c r="AF2036" t="s">
        <v>19827</v>
      </c>
      <c r="AH2036" t="s">
        <v>19828</v>
      </c>
      <c r="AI2036" t="s">
        <v>8747</v>
      </c>
      <c r="AO2036" t="s">
        <v>19829</v>
      </c>
    </row>
    <row r="2037" spans="1:41" hidden="1" x14ac:dyDescent="0.35">
      <c r="A2037" t="s">
        <v>19830</v>
      </c>
      <c r="B2037" t="s">
        <v>7246</v>
      </c>
      <c r="C2037" t="s">
        <v>344</v>
      </c>
      <c r="D2037" t="s">
        <v>344</v>
      </c>
      <c r="E2037" t="s">
        <v>344</v>
      </c>
      <c r="G2037" s="13" t="s">
        <v>19831</v>
      </c>
      <c r="H2037" t="s">
        <v>19832</v>
      </c>
      <c r="K2037" t="s">
        <v>8960</v>
      </c>
      <c r="L2037" t="s">
        <v>8960</v>
      </c>
      <c r="M2037" t="s">
        <v>7250</v>
      </c>
      <c r="N2037">
        <v>2005</v>
      </c>
      <c r="T2037" t="s">
        <v>6546</v>
      </c>
      <c r="U2037" t="s">
        <v>6546</v>
      </c>
      <c r="V2037">
        <v>79</v>
      </c>
      <c r="W2037" t="s">
        <v>6546</v>
      </c>
      <c r="X2037">
        <v>79</v>
      </c>
      <c r="AC2037" t="s">
        <v>8747</v>
      </c>
      <c r="AI2037" t="s">
        <v>8747</v>
      </c>
      <c r="AL2037" t="s">
        <v>19833</v>
      </c>
      <c r="AO2037" t="s">
        <v>6546</v>
      </c>
    </row>
    <row r="2038" spans="1:41" hidden="1" x14ac:dyDescent="0.35">
      <c r="A2038" t="s">
        <v>19834</v>
      </c>
      <c r="B2038" t="s">
        <v>7246</v>
      </c>
      <c r="C2038" t="s">
        <v>344</v>
      </c>
      <c r="D2038" t="s">
        <v>344</v>
      </c>
      <c r="E2038" t="s">
        <v>344</v>
      </c>
      <c r="G2038" s="13" t="s">
        <v>19835</v>
      </c>
      <c r="H2038" t="s">
        <v>19836</v>
      </c>
      <c r="K2038" t="s">
        <v>8960</v>
      </c>
      <c r="L2038" t="s">
        <v>8960</v>
      </c>
      <c r="M2038" t="s">
        <v>7250</v>
      </c>
      <c r="R2038">
        <v>12</v>
      </c>
      <c r="S2038" t="s">
        <v>8257</v>
      </c>
      <c r="T2038">
        <v>12</v>
      </c>
      <c r="U2038">
        <v>5584.6</v>
      </c>
      <c r="V2038">
        <v>531</v>
      </c>
      <c r="W2038">
        <v>537.29</v>
      </c>
      <c r="X2038">
        <v>531</v>
      </c>
      <c r="Y2038">
        <v>48</v>
      </c>
      <c r="Z2038" t="s">
        <v>7253</v>
      </c>
      <c r="AB2038" t="s">
        <v>9002</v>
      </c>
      <c r="AC2038" t="s">
        <v>8747</v>
      </c>
      <c r="AE2038" t="s">
        <v>3129</v>
      </c>
      <c r="AF2038" t="s">
        <v>8875</v>
      </c>
      <c r="AH2038" t="s">
        <v>8876</v>
      </c>
      <c r="AI2038" t="s">
        <v>8747</v>
      </c>
      <c r="AL2038" t="s">
        <v>19837</v>
      </c>
      <c r="AO2038" t="s">
        <v>9004</v>
      </c>
    </row>
    <row r="2039" spans="1:41" hidden="1" x14ac:dyDescent="0.35">
      <c r="A2039" t="s">
        <v>19838</v>
      </c>
      <c r="B2039" t="s">
        <v>7246</v>
      </c>
      <c r="C2039" t="s">
        <v>370</v>
      </c>
      <c r="D2039" t="s">
        <v>370</v>
      </c>
      <c r="E2039" t="s">
        <v>370</v>
      </c>
      <c r="G2039" s="13" t="s">
        <v>19839</v>
      </c>
      <c r="H2039" t="s">
        <v>19840</v>
      </c>
      <c r="K2039" t="s">
        <v>19841</v>
      </c>
      <c r="L2039" t="s">
        <v>19841</v>
      </c>
      <c r="M2039" t="s">
        <v>7250</v>
      </c>
      <c r="N2039">
        <v>2014</v>
      </c>
      <c r="R2039">
        <v>12</v>
      </c>
      <c r="S2039" t="s">
        <v>18164</v>
      </c>
      <c r="T2039">
        <v>4.38</v>
      </c>
      <c r="U2039">
        <v>2039.78</v>
      </c>
      <c r="V2039">
        <v>73</v>
      </c>
      <c r="W2039">
        <v>54.32</v>
      </c>
      <c r="X2039">
        <v>73</v>
      </c>
      <c r="Y2039">
        <v>36</v>
      </c>
      <c r="Z2039" t="s">
        <v>7253</v>
      </c>
      <c r="AB2039" t="s">
        <v>18010</v>
      </c>
      <c r="AC2039" t="s">
        <v>8747</v>
      </c>
      <c r="AE2039" t="s">
        <v>2613</v>
      </c>
      <c r="AF2039" t="s">
        <v>19842</v>
      </c>
      <c r="AH2039" t="s">
        <v>19843</v>
      </c>
      <c r="AI2039" t="s">
        <v>8747</v>
      </c>
      <c r="AL2039" t="s">
        <v>19844</v>
      </c>
      <c r="AO2039" t="s">
        <v>19845</v>
      </c>
    </row>
    <row r="2040" spans="1:41" hidden="1" x14ac:dyDescent="0.35">
      <c r="A2040" t="s">
        <v>19846</v>
      </c>
      <c r="B2040" t="s">
        <v>7246</v>
      </c>
      <c r="C2040" t="s">
        <v>370</v>
      </c>
      <c r="D2040" t="s">
        <v>370</v>
      </c>
      <c r="E2040" t="s">
        <v>370</v>
      </c>
      <c r="G2040" s="13" t="s">
        <v>19847</v>
      </c>
      <c r="H2040" t="s">
        <v>19848</v>
      </c>
      <c r="K2040" t="s">
        <v>19841</v>
      </c>
      <c r="L2040" t="s">
        <v>19841</v>
      </c>
      <c r="M2040" t="s">
        <v>7250</v>
      </c>
      <c r="N2040">
        <v>2019</v>
      </c>
      <c r="T2040" t="s">
        <v>6546</v>
      </c>
      <c r="U2040" t="s">
        <v>6546</v>
      </c>
      <c r="V2040">
        <v>65</v>
      </c>
      <c r="W2040">
        <v>32.19</v>
      </c>
      <c r="X2040">
        <v>65</v>
      </c>
      <c r="Y2040">
        <v>36</v>
      </c>
      <c r="Z2040" t="s">
        <v>7253</v>
      </c>
      <c r="AB2040" t="s">
        <v>19849</v>
      </c>
      <c r="AC2040" t="s">
        <v>8747</v>
      </c>
      <c r="AE2040" t="s">
        <v>4046</v>
      </c>
      <c r="AF2040" t="s">
        <v>4046</v>
      </c>
      <c r="AH2040" t="s">
        <v>4046</v>
      </c>
      <c r="AI2040" t="s">
        <v>8747</v>
      </c>
      <c r="AL2040" t="s">
        <v>19850</v>
      </c>
      <c r="AO2040" t="s">
        <v>19851</v>
      </c>
    </row>
    <row r="2041" spans="1:41" hidden="1" x14ac:dyDescent="0.35">
      <c r="A2041" t="s">
        <v>19852</v>
      </c>
      <c r="B2041" t="s">
        <v>7246</v>
      </c>
      <c r="C2041" t="s">
        <v>370</v>
      </c>
      <c r="D2041" t="s">
        <v>370</v>
      </c>
      <c r="E2041" t="s">
        <v>370</v>
      </c>
      <c r="G2041" s="13" t="s">
        <v>19853</v>
      </c>
      <c r="H2041" t="s">
        <v>19854</v>
      </c>
      <c r="K2041" t="s">
        <v>19841</v>
      </c>
      <c r="L2041" t="s">
        <v>19841</v>
      </c>
      <c r="M2041" t="s">
        <v>7250</v>
      </c>
      <c r="N2041">
        <v>2017</v>
      </c>
      <c r="T2041" t="s">
        <v>6546</v>
      </c>
      <c r="U2041" t="s">
        <v>6546</v>
      </c>
      <c r="V2041">
        <v>70</v>
      </c>
      <c r="W2041">
        <v>54</v>
      </c>
      <c r="X2041">
        <v>70</v>
      </c>
      <c r="Y2041">
        <v>32</v>
      </c>
      <c r="Z2041" t="s">
        <v>7253</v>
      </c>
      <c r="AA2041" s="13" t="s">
        <v>19855</v>
      </c>
      <c r="AB2041" t="s">
        <v>18153</v>
      </c>
      <c r="AC2041" t="s">
        <v>8747</v>
      </c>
      <c r="AE2041" t="s">
        <v>3281</v>
      </c>
      <c r="AF2041" t="s">
        <v>9058</v>
      </c>
      <c r="AH2041" t="s">
        <v>9059</v>
      </c>
      <c r="AI2041" t="s">
        <v>8747</v>
      </c>
      <c r="AL2041" t="s">
        <v>19856</v>
      </c>
      <c r="AO2041" t="s">
        <v>19857</v>
      </c>
    </row>
    <row r="2042" spans="1:41" hidden="1" x14ac:dyDescent="0.35">
      <c r="A2042" t="s">
        <v>19858</v>
      </c>
      <c r="B2042" t="s">
        <v>7246</v>
      </c>
      <c r="C2042" t="s">
        <v>370</v>
      </c>
      <c r="D2042" t="s">
        <v>370</v>
      </c>
      <c r="E2042" t="s">
        <v>370</v>
      </c>
      <c r="G2042" s="13" t="s">
        <v>19859</v>
      </c>
      <c r="H2042" t="s">
        <v>19860</v>
      </c>
      <c r="K2042" t="s">
        <v>19841</v>
      </c>
      <c r="L2042" t="s">
        <v>19841</v>
      </c>
      <c r="M2042" t="s">
        <v>7415</v>
      </c>
      <c r="T2042" t="s">
        <v>6546</v>
      </c>
      <c r="U2042" t="s">
        <v>6546</v>
      </c>
      <c r="V2042">
        <v>120</v>
      </c>
      <c r="W2042">
        <v>94.51</v>
      </c>
      <c r="X2042">
        <v>120</v>
      </c>
      <c r="Y2042">
        <v>32</v>
      </c>
      <c r="Z2042" t="s">
        <v>7253</v>
      </c>
      <c r="AA2042" s="13" t="s">
        <v>19861</v>
      </c>
      <c r="AB2042" t="s">
        <v>19862</v>
      </c>
      <c r="AC2042" t="s">
        <v>8747</v>
      </c>
      <c r="AE2042" t="s">
        <v>2613</v>
      </c>
      <c r="AF2042" t="s">
        <v>19863</v>
      </c>
      <c r="AH2042" t="s">
        <v>9040</v>
      </c>
      <c r="AI2042" t="s">
        <v>8747</v>
      </c>
      <c r="AL2042" t="s">
        <v>19864</v>
      </c>
      <c r="AO2042" t="s">
        <v>19865</v>
      </c>
    </row>
    <row r="2043" spans="1:41" hidden="1" x14ac:dyDescent="0.35">
      <c r="A2043" t="s">
        <v>19866</v>
      </c>
      <c r="B2043" t="s">
        <v>7246</v>
      </c>
      <c r="C2043" t="s">
        <v>370</v>
      </c>
      <c r="D2043" t="s">
        <v>370</v>
      </c>
      <c r="E2043" t="s">
        <v>370</v>
      </c>
      <c r="G2043" s="13" t="s">
        <v>19867</v>
      </c>
      <c r="H2043" t="s">
        <v>19868</v>
      </c>
      <c r="K2043" t="s">
        <v>19841</v>
      </c>
      <c r="L2043" t="s">
        <v>19841</v>
      </c>
      <c r="M2043" t="s">
        <v>7250</v>
      </c>
      <c r="R2043">
        <v>1.1000000000000001</v>
      </c>
      <c r="S2043" t="s">
        <v>18164</v>
      </c>
      <c r="T2043">
        <v>0.4</v>
      </c>
      <c r="U2043">
        <v>186.98</v>
      </c>
      <c r="V2043">
        <v>126</v>
      </c>
      <c r="W2043">
        <v>119.47</v>
      </c>
      <c r="X2043">
        <v>126</v>
      </c>
      <c r="Y2043" t="s">
        <v>12460</v>
      </c>
      <c r="Z2043" t="s">
        <v>7253</v>
      </c>
      <c r="AA2043" t="s">
        <v>19869</v>
      </c>
      <c r="AB2043" t="s">
        <v>19870</v>
      </c>
      <c r="AC2043" t="s">
        <v>8747</v>
      </c>
      <c r="AD2043" t="s">
        <v>19871</v>
      </c>
      <c r="AE2043" t="s">
        <v>19872</v>
      </c>
      <c r="AF2043" t="s">
        <v>19599</v>
      </c>
      <c r="AH2043" t="s">
        <v>17989</v>
      </c>
      <c r="AI2043" t="s">
        <v>8747</v>
      </c>
      <c r="AL2043" t="s">
        <v>19873</v>
      </c>
      <c r="AO2043" t="s">
        <v>19874</v>
      </c>
    </row>
    <row r="2044" spans="1:41" hidden="1" x14ac:dyDescent="0.35">
      <c r="A2044" t="s">
        <v>19875</v>
      </c>
      <c r="B2044" t="s">
        <v>7246</v>
      </c>
      <c r="C2044" t="s">
        <v>5925</v>
      </c>
      <c r="D2044" t="s">
        <v>5830</v>
      </c>
      <c r="E2044" t="s">
        <v>19876</v>
      </c>
      <c r="G2044" s="13" t="s">
        <v>19877</v>
      </c>
      <c r="H2044" t="s">
        <v>19878</v>
      </c>
      <c r="K2044" t="s">
        <v>19879</v>
      </c>
      <c r="L2044" t="s">
        <v>19879</v>
      </c>
      <c r="M2044" t="s">
        <v>7250</v>
      </c>
      <c r="N2044">
        <v>1988</v>
      </c>
      <c r="R2044">
        <v>27</v>
      </c>
      <c r="S2044" t="s">
        <v>8257</v>
      </c>
      <c r="T2044">
        <v>27</v>
      </c>
      <c r="U2044">
        <v>12565.35</v>
      </c>
      <c r="V2044" t="s">
        <v>6546</v>
      </c>
      <c r="W2044">
        <v>637.83000000000004</v>
      </c>
      <c r="X2044">
        <v>637.83000000000004</v>
      </c>
      <c r="AB2044" t="s">
        <v>19880</v>
      </c>
      <c r="AC2044" t="s">
        <v>8777</v>
      </c>
      <c r="AF2044" t="s">
        <v>19881</v>
      </c>
      <c r="AI2044" t="s">
        <v>8777</v>
      </c>
      <c r="AO2044" t="s">
        <v>19882</v>
      </c>
    </row>
    <row r="2045" spans="1:41" hidden="1" x14ac:dyDescent="0.35">
      <c r="A2045" t="s">
        <v>19883</v>
      </c>
      <c r="B2045" t="s">
        <v>7246</v>
      </c>
      <c r="C2045" t="s">
        <v>370</v>
      </c>
      <c r="D2045" t="s">
        <v>370</v>
      </c>
      <c r="E2045" t="s">
        <v>370</v>
      </c>
      <c r="G2045" s="13" t="s">
        <v>19884</v>
      </c>
      <c r="H2045" t="s">
        <v>19885</v>
      </c>
      <c r="K2045" t="s">
        <v>19879</v>
      </c>
      <c r="L2045" t="s">
        <v>19879</v>
      </c>
      <c r="M2045" t="s">
        <v>7250</v>
      </c>
      <c r="R2045">
        <v>950</v>
      </c>
      <c r="S2045" t="s">
        <v>7251</v>
      </c>
      <c r="T2045">
        <v>9.83</v>
      </c>
      <c r="U2045">
        <v>4572.67</v>
      </c>
      <c r="V2045">
        <v>231</v>
      </c>
      <c r="W2045" t="s">
        <v>6546</v>
      </c>
      <c r="X2045">
        <v>231</v>
      </c>
      <c r="Y2045">
        <v>34</v>
      </c>
      <c r="Z2045" t="s">
        <v>7253</v>
      </c>
      <c r="AC2045" t="s">
        <v>8747</v>
      </c>
      <c r="AE2045" t="s">
        <v>19886</v>
      </c>
      <c r="AF2045" t="s">
        <v>19887</v>
      </c>
      <c r="AH2045" t="s">
        <v>19888</v>
      </c>
      <c r="AI2045" t="s">
        <v>8747</v>
      </c>
      <c r="AO2045" t="s">
        <v>6546</v>
      </c>
    </row>
    <row r="2046" spans="1:41" hidden="1" x14ac:dyDescent="0.35">
      <c r="A2046" t="s">
        <v>19889</v>
      </c>
      <c r="B2046" t="s">
        <v>7246</v>
      </c>
      <c r="C2046" t="s">
        <v>370</v>
      </c>
      <c r="D2046" t="s">
        <v>370</v>
      </c>
      <c r="E2046" t="s">
        <v>370</v>
      </c>
      <c r="G2046" s="13" t="s">
        <v>19890</v>
      </c>
      <c r="H2046" t="s">
        <v>19891</v>
      </c>
      <c r="K2046" t="s">
        <v>19879</v>
      </c>
      <c r="L2046" t="s">
        <v>19879</v>
      </c>
      <c r="M2046" t="s">
        <v>7250</v>
      </c>
      <c r="R2046">
        <v>22</v>
      </c>
      <c r="S2046" t="s">
        <v>7251</v>
      </c>
      <c r="T2046">
        <v>0.23</v>
      </c>
      <c r="U2046">
        <v>105.89</v>
      </c>
      <c r="V2046">
        <v>75</v>
      </c>
      <c r="W2046">
        <v>485.3</v>
      </c>
      <c r="X2046">
        <v>75</v>
      </c>
      <c r="Y2046">
        <v>10</v>
      </c>
      <c r="Z2046" t="s">
        <v>7253</v>
      </c>
      <c r="AA2046" s="13" t="s">
        <v>19892</v>
      </c>
      <c r="AB2046" t="s">
        <v>19893</v>
      </c>
      <c r="AC2046" t="s">
        <v>8747</v>
      </c>
      <c r="AE2046" t="s">
        <v>19886</v>
      </c>
      <c r="AF2046" t="s">
        <v>19894</v>
      </c>
      <c r="AH2046" t="s">
        <v>9040</v>
      </c>
      <c r="AI2046" t="s">
        <v>8747</v>
      </c>
      <c r="AO2046" t="s">
        <v>19895</v>
      </c>
    </row>
    <row r="2047" spans="1:41" hidden="1" x14ac:dyDescent="0.35">
      <c r="A2047" t="s">
        <v>19896</v>
      </c>
      <c r="B2047" t="s">
        <v>7246</v>
      </c>
      <c r="C2047" t="s">
        <v>370</v>
      </c>
      <c r="D2047" t="s">
        <v>370</v>
      </c>
      <c r="E2047" t="s">
        <v>370</v>
      </c>
      <c r="G2047" s="13" t="s">
        <v>19897</v>
      </c>
      <c r="H2047" t="s">
        <v>19898</v>
      </c>
      <c r="K2047" t="s">
        <v>19879</v>
      </c>
      <c r="L2047" t="s">
        <v>19879</v>
      </c>
      <c r="M2047" t="s">
        <v>7250</v>
      </c>
      <c r="R2047">
        <v>350</v>
      </c>
      <c r="S2047" t="s">
        <v>7251</v>
      </c>
      <c r="T2047">
        <v>3.62</v>
      </c>
      <c r="U2047">
        <v>1684.67</v>
      </c>
      <c r="V2047">
        <v>160</v>
      </c>
      <c r="W2047">
        <v>170.9</v>
      </c>
      <c r="X2047">
        <v>160</v>
      </c>
      <c r="Y2047">
        <v>24</v>
      </c>
      <c r="Z2047" t="s">
        <v>7253</v>
      </c>
      <c r="AA2047" s="13" t="s">
        <v>19892</v>
      </c>
      <c r="AB2047" t="s">
        <v>19899</v>
      </c>
      <c r="AC2047" t="s">
        <v>8747</v>
      </c>
      <c r="AD2047" t="s">
        <v>19900</v>
      </c>
      <c r="AE2047" t="s">
        <v>19886</v>
      </c>
      <c r="AF2047" t="s">
        <v>19887</v>
      </c>
      <c r="AH2047" t="s">
        <v>2613</v>
      </c>
      <c r="AI2047" t="s">
        <v>8747</v>
      </c>
      <c r="AO2047" t="s">
        <v>19901</v>
      </c>
    </row>
    <row r="2048" spans="1:41" hidden="1" x14ac:dyDescent="0.35">
      <c r="A2048" t="s">
        <v>19902</v>
      </c>
      <c r="B2048" t="s">
        <v>7246</v>
      </c>
      <c r="C2048" t="s">
        <v>370</v>
      </c>
      <c r="D2048" t="s">
        <v>370</v>
      </c>
      <c r="E2048" t="s">
        <v>370</v>
      </c>
      <c r="G2048" s="13" t="s">
        <v>19903</v>
      </c>
      <c r="H2048" t="s">
        <v>19904</v>
      </c>
      <c r="I2048" t="s">
        <v>19905</v>
      </c>
      <c r="K2048" t="s">
        <v>19879</v>
      </c>
      <c r="L2048" t="s">
        <v>19879</v>
      </c>
      <c r="M2048" t="s">
        <v>7250</v>
      </c>
      <c r="R2048">
        <v>180</v>
      </c>
      <c r="S2048" t="s">
        <v>7251</v>
      </c>
      <c r="T2048">
        <v>1.86</v>
      </c>
      <c r="U2048">
        <v>866.4</v>
      </c>
      <c r="V2048">
        <v>130</v>
      </c>
      <c r="W2048" t="s">
        <v>6546</v>
      </c>
      <c r="X2048">
        <v>130</v>
      </c>
      <c r="Y2048">
        <v>20</v>
      </c>
      <c r="Z2048" t="s">
        <v>7253</v>
      </c>
      <c r="AA2048" s="13" t="s">
        <v>19892</v>
      </c>
      <c r="AB2048" t="s">
        <v>19906</v>
      </c>
      <c r="AC2048" t="s">
        <v>8747</v>
      </c>
      <c r="AE2048" t="s">
        <v>19886</v>
      </c>
      <c r="AF2048" t="s">
        <v>19907</v>
      </c>
      <c r="AG2048" t="s">
        <v>19908</v>
      </c>
      <c r="AH2048" t="s">
        <v>19909</v>
      </c>
      <c r="AI2048" t="s">
        <v>8747</v>
      </c>
      <c r="AO2048" t="s">
        <v>6546</v>
      </c>
    </row>
    <row r="2049" spans="1:41" hidden="1" x14ac:dyDescent="0.35">
      <c r="A2049" t="s">
        <v>19910</v>
      </c>
      <c r="B2049" t="s">
        <v>7246</v>
      </c>
      <c r="C2049" t="s">
        <v>370</v>
      </c>
      <c r="D2049" t="s">
        <v>370</v>
      </c>
      <c r="E2049" t="s">
        <v>370</v>
      </c>
      <c r="G2049" s="13" t="s">
        <v>19903</v>
      </c>
      <c r="H2049" t="s">
        <v>19904</v>
      </c>
      <c r="I2049" t="s">
        <v>19911</v>
      </c>
      <c r="K2049" t="s">
        <v>19879</v>
      </c>
      <c r="L2049" t="s">
        <v>19879</v>
      </c>
      <c r="M2049" t="s">
        <v>7250</v>
      </c>
      <c r="R2049">
        <v>150</v>
      </c>
      <c r="S2049" t="s">
        <v>7251</v>
      </c>
      <c r="T2049">
        <v>1.55</v>
      </c>
      <c r="U2049">
        <v>722</v>
      </c>
      <c r="V2049">
        <v>130</v>
      </c>
      <c r="W2049" t="s">
        <v>6546</v>
      </c>
      <c r="X2049">
        <v>130</v>
      </c>
      <c r="Y2049">
        <v>16</v>
      </c>
      <c r="Z2049" t="s">
        <v>7253</v>
      </c>
      <c r="AA2049" s="13" t="s">
        <v>19892</v>
      </c>
      <c r="AB2049" t="s">
        <v>19906</v>
      </c>
      <c r="AC2049" t="s">
        <v>8747</v>
      </c>
      <c r="AE2049" t="s">
        <v>19886</v>
      </c>
      <c r="AF2049" t="s">
        <v>19907</v>
      </c>
      <c r="AG2049" t="s">
        <v>19908</v>
      </c>
      <c r="AH2049" t="s">
        <v>19909</v>
      </c>
      <c r="AI2049" t="s">
        <v>8747</v>
      </c>
      <c r="AO2049" t="s">
        <v>6546</v>
      </c>
    </row>
    <row r="2050" spans="1:41" hidden="1" x14ac:dyDescent="0.35">
      <c r="A2050" t="s">
        <v>19912</v>
      </c>
      <c r="B2050" t="s">
        <v>7246</v>
      </c>
      <c r="C2050" t="s">
        <v>370</v>
      </c>
      <c r="D2050" t="s">
        <v>370</v>
      </c>
      <c r="E2050" t="s">
        <v>370</v>
      </c>
      <c r="G2050" s="13" t="s">
        <v>19913</v>
      </c>
      <c r="H2050" t="s">
        <v>19914</v>
      </c>
      <c r="K2050" t="s">
        <v>19879</v>
      </c>
      <c r="L2050" t="s">
        <v>19879</v>
      </c>
      <c r="M2050" t="s">
        <v>7250</v>
      </c>
      <c r="R2050">
        <v>120</v>
      </c>
      <c r="S2050" t="s">
        <v>7251</v>
      </c>
      <c r="T2050">
        <v>1.24</v>
      </c>
      <c r="U2050">
        <v>577.6</v>
      </c>
      <c r="V2050">
        <v>260</v>
      </c>
      <c r="W2050">
        <v>295.20999999999998</v>
      </c>
      <c r="X2050">
        <v>260</v>
      </c>
      <c r="Y2050">
        <v>24</v>
      </c>
      <c r="Z2050" t="s">
        <v>7253</v>
      </c>
      <c r="AA2050" s="13" t="s">
        <v>19892</v>
      </c>
      <c r="AB2050" t="s">
        <v>19915</v>
      </c>
      <c r="AC2050" t="s">
        <v>8747</v>
      </c>
      <c r="AD2050" t="s">
        <v>19916</v>
      </c>
      <c r="AE2050" t="s">
        <v>9040</v>
      </c>
      <c r="AF2050" t="s">
        <v>9058</v>
      </c>
      <c r="AH2050" t="s">
        <v>9059</v>
      </c>
      <c r="AI2050" t="s">
        <v>8747</v>
      </c>
      <c r="AL2050" t="s">
        <v>19917</v>
      </c>
      <c r="AO2050" t="s">
        <v>19918</v>
      </c>
    </row>
    <row r="2051" spans="1:41" hidden="1" x14ac:dyDescent="0.35">
      <c r="A2051" t="s">
        <v>19919</v>
      </c>
      <c r="B2051" t="s">
        <v>7246</v>
      </c>
      <c r="C2051" t="s">
        <v>351</v>
      </c>
      <c r="D2051" t="s">
        <v>351</v>
      </c>
      <c r="E2051" t="s">
        <v>351</v>
      </c>
      <c r="G2051" s="13" t="s">
        <v>14966</v>
      </c>
      <c r="H2051" t="s">
        <v>14967</v>
      </c>
      <c r="I2051" t="s">
        <v>12786</v>
      </c>
      <c r="J2051" t="s">
        <v>17386</v>
      </c>
      <c r="K2051" t="s">
        <v>12796</v>
      </c>
      <c r="L2051" t="s">
        <v>12797</v>
      </c>
      <c r="M2051" t="s">
        <v>7292</v>
      </c>
      <c r="R2051">
        <v>7.3</v>
      </c>
      <c r="S2051" t="s">
        <v>8257</v>
      </c>
      <c r="T2051">
        <v>7.3</v>
      </c>
      <c r="U2051">
        <v>3397.3</v>
      </c>
      <c r="V2051">
        <v>467</v>
      </c>
      <c r="W2051">
        <v>465.01</v>
      </c>
      <c r="X2051">
        <v>467</v>
      </c>
      <c r="AA2051" t="s">
        <v>12798</v>
      </c>
      <c r="AB2051" t="s">
        <v>17388</v>
      </c>
      <c r="AC2051" t="s">
        <v>8523</v>
      </c>
      <c r="AE2051" t="s">
        <v>3137</v>
      </c>
      <c r="AF2051" t="s">
        <v>14970</v>
      </c>
      <c r="AH2051" t="s">
        <v>3151</v>
      </c>
      <c r="AI2051" t="s">
        <v>8523</v>
      </c>
      <c r="AL2051" t="s">
        <v>14972</v>
      </c>
      <c r="AN2051" s="13" t="s">
        <v>14973</v>
      </c>
      <c r="AO2051" t="s">
        <v>19920</v>
      </c>
    </row>
    <row r="2052" spans="1:41" hidden="1" x14ac:dyDescent="0.35">
      <c r="A2052" t="s">
        <v>19921</v>
      </c>
      <c r="B2052" t="s">
        <v>7246</v>
      </c>
      <c r="C2052" t="s">
        <v>5802</v>
      </c>
      <c r="D2052" t="s">
        <v>5802</v>
      </c>
      <c r="E2052" t="s">
        <v>5802</v>
      </c>
      <c r="G2052" s="13" t="s">
        <v>19922</v>
      </c>
      <c r="H2052" t="s">
        <v>19923</v>
      </c>
      <c r="K2052" t="s">
        <v>11195</v>
      </c>
      <c r="L2052" t="s">
        <v>11195</v>
      </c>
      <c r="M2052" t="s">
        <v>7292</v>
      </c>
      <c r="N2052">
        <v>2020</v>
      </c>
      <c r="T2052" t="s">
        <v>6546</v>
      </c>
      <c r="U2052" t="s">
        <v>6546</v>
      </c>
      <c r="V2052">
        <v>38</v>
      </c>
      <c r="W2052">
        <v>49.92</v>
      </c>
      <c r="X2052">
        <v>38</v>
      </c>
      <c r="Y2052" t="s">
        <v>19924</v>
      </c>
      <c r="Z2052" t="s">
        <v>8842</v>
      </c>
      <c r="AB2052" t="s">
        <v>19925</v>
      </c>
      <c r="AC2052" t="s">
        <v>8777</v>
      </c>
      <c r="AE2052" t="s">
        <v>19926</v>
      </c>
      <c r="AF2052" t="s">
        <v>19927</v>
      </c>
      <c r="AH2052" t="s">
        <v>19926</v>
      </c>
      <c r="AI2052" t="s">
        <v>8777</v>
      </c>
      <c r="AJ2052" t="s">
        <v>9032</v>
      </c>
      <c r="AO2052" t="s">
        <v>19928</v>
      </c>
    </row>
    <row r="2053" spans="1:41" hidden="1" x14ac:dyDescent="0.35">
      <c r="A2053" t="s">
        <v>19929</v>
      </c>
      <c r="B2053" t="s">
        <v>7246</v>
      </c>
      <c r="C2053" t="s">
        <v>451</v>
      </c>
      <c r="D2053" t="s">
        <v>451</v>
      </c>
      <c r="E2053" t="s">
        <v>451</v>
      </c>
      <c r="G2053" s="13" t="s">
        <v>14735</v>
      </c>
      <c r="H2053" t="s">
        <v>14736</v>
      </c>
      <c r="I2053" t="s">
        <v>19930</v>
      </c>
      <c r="K2053" t="s">
        <v>14738</v>
      </c>
      <c r="L2053" t="s">
        <v>7652</v>
      </c>
      <c r="M2053" t="s">
        <v>7415</v>
      </c>
      <c r="N2053">
        <v>2021</v>
      </c>
      <c r="R2053">
        <v>45.7</v>
      </c>
      <c r="S2053" t="s">
        <v>7251</v>
      </c>
      <c r="T2053">
        <v>0.47</v>
      </c>
      <c r="U2053">
        <v>219.97</v>
      </c>
      <c r="V2053">
        <v>34.76</v>
      </c>
      <c r="W2053" t="s">
        <v>6546</v>
      </c>
      <c r="X2053">
        <v>34.76</v>
      </c>
      <c r="Y2053" t="s">
        <v>19931</v>
      </c>
      <c r="Z2053" t="s">
        <v>7253</v>
      </c>
      <c r="AC2053" t="s">
        <v>7255</v>
      </c>
      <c r="AE2053" t="s">
        <v>759</v>
      </c>
      <c r="AH2053" t="s">
        <v>759</v>
      </c>
      <c r="AI2053" t="s">
        <v>7255</v>
      </c>
      <c r="AO2053" t="s">
        <v>6546</v>
      </c>
    </row>
    <row r="2054" spans="1:41" hidden="1" x14ac:dyDescent="0.35">
      <c r="A2054" t="s">
        <v>19932</v>
      </c>
      <c r="B2054" t="s">
        <v>7246</v>
      </c>
      <c r="C2054" t="s">
        <v>451</v>
      </c>
      <c r="D2054" t="s">
        <v>451</v>
      </c>
      <c r="E2054" t="s">
        <v>451</v>
      </c>
      <c r="G2054" s="13" t="s">
        <v>14735</v>
      </c>
      <c r="H2054" t="s">
        <v>14736</v>
      </c>
      <c r="I2054" t="s">
        <v>19933</v>
      </c>
      <c r="K2054" t="s">
        <v>14738</v>
      </c>
      <c r="L2054" t="s">
        <v>7652</v>
      </c>
      <c r="M2054" t="s">
        <v>7292</v>
      </c>
      <c r="N2054">
        <v>2023</v>
      </c>
      <c r="R2054">
        <v>50.9</v>
      </c>
      <c r="S2054" t="s">
        <v>7251</v>
      </c>
      <c r="T2054">
        <v>0.53</v>
      </c>
      <c r="U2054">
        <v>245</v>
      </c>
      <c r="V2054">
        <v>14.48</v>
      </c>
      <c r="W2054" t="s">
        <v>6546</v>
      </c>
      <c r="X2054">
        <v>14.48</v>
      </c>
      <c r="Y2054" t="s">
        <v>19934</v>
      </c>
      <c r="Z2054" t="s">
        <v>7253</v>
      </c>
      <c r="AC2054" t="s">
        <v>7255</v>
      </c>
      <c r="AE2054" t="s">
        <v>759</v>
      </c>
      <c r="AH2054" t="s">
        <v>759</v>
      </c>
      <c r="AI2054" t="s">
        <v>7255</v>
      </c>
      <c r="AO2054" t="s">
        <v>6546</v>
      </c>
    </row>
    <row r="2055" spans="1:41" hidden="1" x14ac:dyDescent="0.35">
      <c r="A2055" t="s">
        <v>19935</v>
      </c>
      <c r="B2055" t="s">
        <v>7246</v>
      </c>
      <c r="C2055" t="s">
        <v>5456</v>
      </c>
      <c r="D2055" t="s">
        <v>5456</v>
      </c>
      <c r="E2055" t="s">
        <v>5456</v>
      </c>
      <c r="G2055" s="13" t="s">
        <v>19936</v>
      </c>
      <c r="H2055" t="s">
        <v>19937</v>
      </c>
      <c r="K2055" t="s">
        <v>19938</v>
      </c>
      <c r="L2055" t="s">
        <v>19939</v>
      </c>
      <c r="M2055" t="s">
        <v>7250</v>
      </c>
      <c r="N2055">
        <v>2005</v>
      </c>
      <c r="R2055">
        <v>0.7</v>
      </c>
      <c r="S2055" t="s">
        <v>8257</v>
      </c>
      <c r="T2055">
        <v>0.7</v>
      </c>
      <c r="U2055">
        <v>324.37</v>
      </c>
      <c r="V2055">
        <v>143</v>
      </c>
      <c r="W2055">
        <v>219.6</v>
      </c>
      <c r="X2055">
        <v>143</v>
      </c>
      <c r="Y2055">
        <v>530</v>
      </c>
      <c r="Z2055" t="s">
        <v>8842</v>
      </c>
      <c r="AA2055" t="s">
        <v>19940</v>
      </c>
      <c r="AB2055" t="s">
        <v>19940</v>
      </c>
      <c r="AC2055" t="s">
        <v>8844</v>
      </c>
      <c r="AF2055" t="s">
        <v>5455</v>
      </c>
      <c r="AI2055" t="s">
        <v>8844</v>
      </c>
      <c r="AL2055" t="s">
        <v>19941</v>
      </c>
      <c r="AO2055" t="s">
        <v>19942</v>
      </c>
    </row>
    <row r="2056" spans="1:41" hidden="1" x14ac:dyDescent="0.35">
      <c r="A2056" t="s">
        <v>19943</v>
      </c>
      <c r="B2056" t="s">
        <v>7246</v>
      </c>
      <c r="C2056" t="s">
        <v>5456</v>
      </c>
      <c r="D2056" t="s">
        <v>5456</v>
      </c>
      <c r="E2056" t="s">
        <v>5456</v>
      </c>
      <c r="G2056" s="13" t="s">
        <v>19944</v>
      </c>
      <c r="H2056" t="s">
        <v>19945</v>
      </c>
      <c r="K2056" t="s">
        <v>19938</v>
      </c>
      <c r="L2056" t="s">
        <v>19939</v>
      </c>
      <c r="M2056" t="s">
        <v>7250</v>
      </c>
      <c r="N2056">
        <v>2007</v>
      </c>
      <c r="R2056">
        <v>5.2</v>
      </c>
      <c r="S2056" t="s">
        <v>8257</v>
      </c>
      <c r="T2056">
        <v>5.2</v>
      </c>
      <c r="U2056">
        <v>2419.9899999999998</v>
      </c>
      <c r="V2056">
        <v>156</v>
      </c>
      <c r="W2056">
        <v>197.11</v>
      </c>
      <c r="X2056">
        <v>156</v>
      </c>
      <c r="Y2056">
        <v>813</v>
      </c>
      <c r="Z2056" t="s">
        <v>8842</v>
      </c>
      <c r="AA2056" t="s">
        <v>19940</v>
      </c>
      <c r="AB2056" t="s">
        <v>19940</v>
      </c>
      <c r="AC2056" t="s">
        <v>8844</v>
      </c>
      <c r="AF2056" t="s">
        <v>19946</v>
      </c>
      <c r="AI2056" t="s">
        <v>8844</v>
      </c>
      <c r="AL2056" t="s">
        <v>19947</v>
      </c>
      <c r="AO2056" t="s">
        <v>19948</v>
      </c>
    </row>
    <row r="2057" spans="1:41" hidden="1" x14ac:dyDescent="0.35">
      <c r="A2057" t="s">
        <v>19949</v>
      </c>
      <c r="B2057" t="s">
        <v>7246</v>
      </c>
      <c r="C2057" t="s">
        <v>5456</v>
      </c>
      <c r="D2057" t="s">
        <v>5456</v>
      </c>
      <c r="E2057" t="s">
        <v>5456</v>
      </c>
      <c r="G2057" s="13" t="s">
        <v>19950</v>
      </c>
      <c r="H2057" t="s">
        <v>19951</v>
      </c>
      <c r="K2057" t="s">
        <v>19938</v>
      </c>
      <c r="L2057" t="s">
        <v>19939</v>
      </c>
      <c r="M2057" t="s">
        <v>7250</v>
      </c>
      <c r="N2057">
        <v>2017</v>
      </c>
      <c r="T2057" t="s">
        <v>6546</v>
      </c>
      <c r="U2057" t="s">
        <v>6546</v>
      </c>
      <c r="V2057">
        <v>168</v>
      </c>
      <c r="W2057">
        <v>183.7</v>
      </c>
      <c r="X2057">
        <v>168</v>
      </c>
      <c r="Y2057">
        <v>325</v>
      </c>
      <c r="Z2057" t="s">
        <v>8842</v>
      </c>
      <c r="AA2057" t="s">
        <v>19952</v>
      </c>
      <c r="AB2057" t="s">
        <v>19952</v>
      </c>
      <c r="AC2057" t="s">
        <v>8844</v>
      </c>
      <c r="AF2057" t="s">
        <v>19953</v>
      </c>
      <c r="AI2057" t="s">
        <v>8844</v>
      </c>
      <c r="AL2057" t="s">
        <v>19954</v>
      </c>
      <c r="AO2057" t="s">
        <v>19955</v>
      </c>
    </row>
    <row r="2058" spans="1:41" hidden="1" x14ac:dyDescent="0.35">
      <c r="A2058" t="s">
        <v>19956</v>
      </c>
      <c r="B2058" t="s">
        <v>7246</v>
      </c>
      <c r="C2058" t="s">
        <v>5456</v>
      </c>
      <c r="D2058" t="s">
        <v>5456</v>
      </c>
      <c r="E2058" t="s">
        <v>5456</v>
      </c>
      <c r="G2058" s="13" t="s">
        <v>19957</v>
      </c>
      <c r="H2058" t="s">
        <v>19958</v>
      </c>
      <c r="K2058" t="s">
        <v>19938</v>
      </c>
      <c r="L2058" t="s">
        <v>19939</v>
      </c>
      <c r="M2058" t="s">
        <v>7250</v>
      </c>
      <c r="N2058">
        <v>2011</v>
      </c>
      <c r="R2058">
        <v>0.5</v>
      </c>
      <c r="S2058" t="s">
        <v>8257</v>
      </c>
      <c r="T2058">
        <v>0.5</v>
      </c>
      <c r="U2058">
        <v>232.69</v>
      </c>
      <c r="V2058">
        <v>152</v>
      </c>
      <c r="W2058">
        <v>133.4</v>
      </c>
      <c r="X2058">
        <v>152</v>
      </c>
      <c r="Y2058">
        <v>508</v>
      </c>
      <c r="Z2058" t="s">
        <v>8842</v>
      </c>
      <c r="AA2058" t="s">
        <v>19959</v>
      </c>
      <c r="AB2058" t="s">
        <v>19959</v>
      </c>
      <c r="AC2058" t="s">
        <v>8844</v>
      </c>
      <c r="AF2058" t="s">
        <v>19960</v>
      </c>
      <c r="AI2058" t="s">
        <v>8844</v>
      </c>
      <c r="AL2058" t="s">
        <v>19961</v>
      </c>
      <c r="AO2058" t="s">
        <v>19962</v>
      </c>
    </row>
    <row r="2059" spans="1:41" hidden="1" x14ac:dyDescent="0.35">
      <c r="A2059" t="s">
        <v>19963</v>
      </c>
      <c r="B2059" t="s">
        <v>7246</v>
      </c>
      <c r="C2059" t="s">
        <v>5456</v>
      </c>
      <c r="D2059" t="s">
        <v>5456</v>
      </c>
      <c r="E2059" t="s">
        <v>5456</v>
      </c>
      <c r="G2059" s="13" t="s">
        <v>19964</v>
      </c>
      <c r="H2059" t="s">
        <v>19965</v>
      </c>
      <c r="K2059" t="s">
        <v>19938</v>
      </c>
      <c r="L2059" t="s">
        <v>19939</v>
      </c>
      <c r="M2059" t="s">
        <v>7250</v>
      </c>
      <c r="N2059">
        <v>1981</v>
      </c>
      <c r="R2059">
        <v>3.4</v>
      </c>
      <c r="S2059" t="s">
        <v>8257</v>
      </c>
      <c r="T2059">
        <v>3.4</v>
      </c>
      <c r="U2059">
        <v>1582.3</v>
      </c>
      <c r="V2059">
        <v>149.1</v>
      </c>
      <c r="W2059">
        <v>137.85</v>
      </c>
      <c r="X2059">
        <v>149.1</v>
      </c>
      <c r="Y2059" t="s">
        <v>19966</v>
      </c>
      <c r="Z2059" t="s">
        <v>8842</v>
      </c>
      <c r="AA2059" t="s">
        <v>19967</v>
      </c>
      <c r="AB2059" t="s">
        <v>19967</v>
      </c>
      <c r="AC2059" t="s">
        <v>8844</v>
      </c>
      <c r="AF2059" t="s">
        <v>19968</v>
      </c>
      <c r="AI2059" t="s">
        <v>8844</v>
      </c>
      <c r="AL2059" t="s">
        <v>19969</v>
      </c>
      <c r="AO2059" t="s">
        <v>19970</v>
      </c>
    </row>
    <row r="2060" spans="1:41" hidden="1" x14ac:dyDescent="0.35">
      <c r="A2060" t="s">
        <v>19971</v>
      </c>
      <c r="B2060" t="s">
        <v>7246</v>
      </c>
      <c r="C2060" t="s">
        <v>387</v>
      </c>
      <c r="D2060" t="s">
        <v>387</v>
      </c>
      <c r="E2060" t="s">
        <v>387</v>
      </c>
      <c r="G2060" s="13" t="s">
        <v>19972</v>
      </c>
      <c r="H2060" t="s">
        <v>19973</v>
      </c>
      <c r="K2060" t="s">
        <v>19974</v>
      </c>
      <c r="L2060" t="s">
        <v>8784</v>
      </c>
      <c r="M2060" t="s">
        <v>7250</v>
      </c>
      <c r="N2060">
        <v>2013</v>
      </c>
      <c r="R2060">
        <v>500</v>
      </c>
      <c r="S2060" t="s">
        <v>7251</v>
      </c>
      <c r="T2060">
        <v>5.17</v>
      </c>
      <c r="U2060">
        <v>2406.67</v>
      </c>
      <c r="V2060">
        <v>289</v>
      </c>
      <c r="W2060">
        <v>256.95</v>
      </c>
      <c r="X2060">
        <v>289</v>
      </c>
      <c r="Y2060">
        <v>32</v>
      </c>
      <c r="Z2060" t="s">
        <v>7253</v>
      </c>
      <c r="AA2060" t="s">
        <v>19975</v>
      </c>
      <c r="AC2060" t="s">
        <v>8747</v>
      </c>
      <c r="AE2060" t="s">
        <v>13560</v>
      </c>
      <c r="AF2060" t="s">
        <v>19976</v>
      </c>
      <c r="AG2060" t="s">
        <v>19976</v>
      </c>
      <c r="AH2060" t="s">
        <v>8794</v>
      </c>
      <c r="AI2060" t="s">
        <v>8747</v>
      </c>
      <c r="AO2060" t="s">
        <v>19977</v>
      </c>
    </row>
    <row r="2061" spans="1:41" hidden="1" x14ac:dyDescent="0.35">
      <c r="A2061" t="s">
        <v>19978</v>
      </c>
      <c r="B2061" t="s">
        <v>7246</v>
      </c>
      <c r="C2061" t="s">
        <v>387</v>
      </c>
      <c r="D2061" t="s">
        <v>387</v>
      </c>
      <c r="E2061" t="s">
        <v>387</v>
      </c>
      <c r="G2061" s="13" t="s">
        <v>19979</v>
      </c>
      <c r="H2061" t="s">
        <v>19980</v>
      </c>
      <c r="K2061" t="s">
        <v>19974</v>
      </c>
      <c r="L2061" t="s">
        <v>8784</v>
      </c>
      <c r="M2061" t="s">
        <v>7250</v>
      </c>
      <c r="N2061">
        <v>2013</v>
      </c>
      <c r="T2061" t="s">
        <v>6546</v>
      </c>
      <c r="U2061" t="s">
        <v>6546</v>
      </c>
      <c r="V2061">
        <v>147</v>
      </c>
      <c r="W2061">
        <v>151.81</v>
      </c>
      <c r="X2061">
        <v>147</v>
      </c>
      <c r="Y2061">
        <v>30</v>
      </c>
      <c r="Z2061" t="s">
        <v>7253</v>
      </c>
      <c r="AA2061" t="s">
        <v>19981</v>
      </c>
      <c r="AB2061" t="s">
        <v>19982</v>
      </c>
      <c r="AC2061" t="s">
        <v>8747</v>
      </c>
      <c r="AE2061" t="s">
        <v>9179</v>
      </c>
      <c r="AF2061" t="s">
        <v>19975</v>
      </c>
      <c r="AH2061" t="s">
        <v>13560</v>
      </c>
      <c r="AI2061" t="s">
        <v>8747</v>
      </c>
      <c r="AO2061" t="s">
        <v>19983</v>
      </c>
    </row>
    <row r="2062" spans="1:41" hidden="1" x14ac:dyDescent="0.35">
      <c r="A2062" t="s">
        <v>19984</v>
      </c>
      <c r="B2062" t="s">
        <v>7246</v>
      </c>
      <c r="C2062" t="s">
        <v>387</v>
      </c>
      <c r="D2062" t="s">
        <v>387</v>
      </c>
      <c r="E2062" t="s">
        <v>387</v>
      </c>
      <c r="G2062" s="13" t="s">
        <v>19985</v>
      </c>
      <c r="H2062" t="s">
        <v>19986</v>
      </c>
      <c r="K2062" t="s">
        <v>19974</v>
      </c>
      <c r="L2062" t="s">
        <v>8784</v>
      </c>
      <c r="M2062" t="s">
        <v>7250</v>
      </c>
      <c r="T2062" t="s">
        <v>6546</v>
      </c>
      <c r="U2062" t="s">
        <v>6546</v>
      </c>
      <c r="V2062">
        <v>66</v>
      </c>
      <c r="W2062">
        <v>282.73</v>
      </c>
      <c r="X2062">
        <v>66</v>
      </c>
      <c r="Y2062">
        <v>30</v>
      </c>
      <c r="Z2062" t="s">
        <v>7253</v>
      </c>
      <c r="AA2062" t="s">
        <v>19975</v>
      </c>
      <c r="AC2062" t="s">
        <v>8747</v>
      </c>
      <c r="AE2062" t="s">
        <v>13560</v>
      </c>
      <c r="AF2062" t="s">
        <v>19987</v>
      </c>
      <c r="AH2062" t="s">
        <v>13560</v>
      </c>
      <c r="AI2062" t="s">
        <v>8747</v>
      </c>
      <c r="AO2062" t="s">
        <v>19988</v>
      </c>
    </row>
    <row r="2063" spans="1:41" hidden="1" x14ac:dyDescent="0.35">
      <c r="A2063" t="s">
        <v>19989</v>
      </c>
      <c r="B2063" t="s">
        <v>7246</v>
      </c>
      <c r="C2063" t="s">
        <v>423</v>
      </c>
      <c r="D2063" t="s">
        <v>5456</v>
      </c>
      <c r="E2063" t="s">
        <v>11127</v>
      </c>
      <c r="G2063" s="13" t="s">
        <v>19990</v>
      </c>
      <c r="H2063" t="s">
        <v>19991</v>
      </c>
      <c r="K2063" t="s">
        <v>19992</v>
      </c>
      <c r="L2063" t="s">
        <v>19993</v>
      </c>
      <c r="M2063" t="s">
        <v>7250</v>
      </c>
      <c r="N2063">
        <v>1965</v>
      </c>
      <c r="R2063">
        <v>5.36</v>
      </c>
      <c r="S2063" t="s">
        <v>8257</v>
      </c>
      <c r="T2063">
        <v>5.36</v>
      </c>
      <c r="U2063">
        <v>2494.46</v>
      </c>
      <c r="V2063">
        <v>155.80000000000001</v>
      </c>
      <c r="W2063">
        <v>210.87</v>
      </c>
      <c r="X2063">
        <v>155.80000000000001</v>
      </c>
      <c r="Y2063" t="s">
        <v>19994</v>
      </c>
      <c r="Z2063" t="s">
        <v>8842</v>
      </c>
      <c r="AA2063" t="s">
        <v>19995</v>
      </c>
      <c r="AB2063" t="s">
        <v>19996</v>
      </c>
      <c r="AC2063" t="s">
        <v>8844</v>
      </c>
      <c r="AE2063" t="s">
        <v>5472</v>
      </c>
      <c r="AF2063" t="s">
        <v>19997</v>
      </c>
      <c r="AI2063" t="s">
        <v>8844</v>
      </c>
      <c r="AL2063" t="s">
        <v>19998</v>
      </c>
      <c r="AO2063" t="s">
        <v>19999</v>
      </c>
    </row>
    <row r="2064" spans="1:41" hidden="1" x14ac:dyDescent="0.35">
      <c r="A2064" t="s">
        <v>20000</v>
      </c>
      <c r="B2064" t="s">
        <v>7246</v>
      </c>
      <c r="C2064" t="s">
        <v>5541</v>
      </c>
      <c r="D2064" t="s">
        <v>5456</v>
      </c>
      <c r="E2064" t="s">
        <v>20001</v>
      </c>
      <c r="G2064" s="13" t="s">
        <v>20002</v>
      </c>
      <c r="H2064" t="s">
        <v>20003</v>
      </c>
      <c r="J2064" t="s">
        <v>20004</v>
      </c>
      <c r="K2064" t="s">
        <v>19938</v>
      </c>
      <c r="L2064" t="s">
        <v>19939</v>
      </c>
      <c r="M2064" t="s">
        <v>7250</v>
      </c>
      <c r="N2064">
        <v>1988</v>
      </c>
      <c r="R2064">
        <v>4.3</v>
      </c>
      <c r="S2064" t="s">
        <v>8257</v>
      </c>
      <c r="T2064">
        <v>4.3</v>
      </c>
      <c r="U2064">
        <v>2001.15</v>
      </c>
      <c r="V2064">
        <v>877</v>
      </c>
      <c r="W2064">
        <v>569.91</v>
      </c>
      <c r="X2064">
        <v>877</v>
      </c>
      <c r="Y2064">
        <v>1220</v>
      </c>
      <c r="Z2064" t="s">
        <v>8842</v>
      </c>
      <c r="AA2064" t="s">
        <v>9892</v>
      </c>
      <c r="AB2064" t="s">
        <v>9892</v>
      </c>
      <c r="AC2064" t="s">
        <v>8844</v>
      </c>
      <c r="AF2064" t="s">
        <v>5462</v>
      </c>
      <c r="AI2064" t="s">
        <v>8844</v>
      </c>
      <c r="AL2064" t="s">
        <v>20005</v>
      </c>
      <c r="AO2064" t="s">
        <v>20006</v>
      </c>
    </row>
    <row r="2065" spans="1:41" hidden="1" x14ac:dyDescent="0.35">
      <c r="A2065" t="s">
        <v>20007</v>
      </c>
      <c r="B2065" t="s">
        <v>7246</v>
      </c>
      <c r="C2065" t="s">
        <v>387</v>
      </c>
      <c r="D2065" t="s">
        <v>387</v>
      </c>
      <c r="E2065" t="s">
        <v>387</v>
      </c>
      <c r="G2065" s="13" t="s">
        <v>20008</v>
      </c>
      <c r="H2065" t="s">
        <v>20009</v>
      </c>
      <c r="K2065" t="s">
        <v>19974</v>
      </c>
      <c r="L2065" t="s">
        <v>8784</v>
      </c>
      <c r="M2065" t="s">
        <v>7250</v>
      </c>
      <c r="N2065">
        <v>1970</v>
      </c>
      <c r="T2065" t="s">
        <v>6546</v>
      </c>
      <c r="U2065" t="s">
        <v>6546</v>
      </c>
      <c r="V2065">
        <v>1104</v>
      </c>
      <c r="W2065">
        <v>665.15</v>
      </c>
      <c r="X2065">
        <v>1104</v>
      </c>
      <c r="Y2065">
        <v>42</v>
      </c>
      <c r="Z2065" t="s">
        <v>7253</v>
      </c>
      <c r="AC2065" t="s">
        <v>8747</v>
      </c>
      <c r="AE2065" t="s">
        <v>3413</v>
      </c>
      <c r="AH2065" t="s">
        <v>20010</v>
      </c>
      <c r="AI2065" t="s">
        <v>8747</v>
      </c>
      <c r="AO2065" t="s">
        <v>20011</v>
      </c>
    </row>
    <row r="2066" spans="1:41" hidden="1" x14ac:dyDescent="0.35">
      <c r="A2066" t="s">
        <v>20012</v>
      </c>
      <c r="B2066" t="s">
        <v>7246</v>
      </c>
      <c r="C2066" t="s">
        <v>416</v>
      </c>
      <c r="D2066" t="s">
        <v>416</v>
      </c>
      <c r="E2066" t="s">
        <v>416</v>
      </c>
      <c r="G2066" s="13" t="s">
        <v>20013</v>
      </c>
      <c r="H2066" t="s">
        <v>20014</v>
      </c>
      <c r="K2066" t="s">
        <v>9433</v>
      </c>
      <c r="L2066" t="s">
        <v>9434</v>
      </c>
      <c r="M2066" t="s">
        <v>7731</v>
      </c>
      <c r="T2066" t="s">
        <v>6546</v>
      </c>
      <c r="U2066" t="s">
        <v>6546</v>
      </c>
      <c r="V2066">
        <v>1000</v>
      </c>
      <c r="W2066">
        <v>897.23</v>
      </c>
      <c r="X2066">
        <v>1000</v>
      </c>
      <c r="AA2066" t="s">
        <v>20015</v>
      </c>
      <c r="AB2066" t="s">
        <v>20015</v>
      </c>
      <c r="AC2066" t="s">
        <v>8777</v>
      </c>
      <c r="AE2066" t="s">
        <v>10340</v>
      </c>
      <c r="AH2066" t="s">
        <v>10340</v>
      </c>
      <c r="AI2066" t="s">
        <v>8777</v>
      </c>
      <c r="AJ2066" t="s">
        <v>9032</v>
      </c>
      <c r="AO2066" t="s">
        <v>20016</v>
      </c>
    </row>
    <row r="2067" spans="1:41" hidden="1" x14ac:dyDescent="0.35">
      <c r="A2067" t="s">
        <v>20017</v>
      </c>
      <c r="B2067" t="s">
        <v>7246</v>
      </c>
      <c r="C2067" t="s">
        <v>9023</v>
      </c>
      <c r="D2067" t="s">
        <v>9023</v>
      </c>
      <c r="E2067" t="s">
        <v>9023</v>
      </c>
      <c r="G2067" s="13" t="s">
        <v>20018</v>
      </c>
      <c r="H2067" t="s">
        <v>18476</v>
      </c>
      <c r="I2067" t="s">
        <v>20019</v>
      </c>
      <c r="K2067" t="s">
        <v>19938</v>
      </c>
      <c r="L2067" t="s">
        <v>19939</v>
      </c>
      <c r="M2067" t="s">
        <v>7292</v>
      </c>
      <c r="N2067">
        <v>2025</v>
      </c>
      <c r="R2067">
        <v>3.1</v>
      </c>
      <c r="S2067" t="s">
        <v>8257</v>
      </c>
      <c r="T2067">
        <v>3.1</v>
      </c>
      <c r="U2067">
        <v>1442.69</v>
      </c>
      <c r="V2067">
        <v>75</v>
      </c>
      <c r="W2067">
        <v>69.39</v>
      </c>
      <c r="X2067">
        <v>75</v>
      </c>
      <c r="Y2067">
        <v>40</v>
      </c>
      <c r="Z2067" t="s">
        <v>7253</v>
      </c>
      <c r="AB2067" t="s">
        <v>6809</v>
      </c>
      <c r="AC2067" t="s">
        <v>8777</v>
      </c>
      <c r="AF2067" t="s">
        <v>18481</v>
      </c>
      <c r="AI2067" t="s">
        <v>8777</v>
      </c>
      <c r="AJ2067" t="s">
        <v>9032</v>
      </c>
      <c r="AO2067" t="s">
        <v>20020</v>
      </c>
    </row>
    <row r="2068" spans="1:41" hidden="1" x14ac:dyDescent="0.35">
      <c r="A2068" t="s">
        <v>20021</v>
      </c>
      <c r="B2068" t="s">
        <v>7246</v>
      </c>
      <c r="C2068" t="s">
        <v>425</v>
      </c>
      <c r="D2068" t="s">
        <v>425</v>
      </c>
      <c r="E2068" t="s">
        <v>425</v>
      </c>
      <c r="G2068" s="13" t="s">
        <v>20022</v>
      </c>
      <c r="H2068" t="s">
        <v>20023</v>
      </c>
      <c r="K2068" t="s">
        <v>20024</v>
      </c>
      <c r="L2068" t="s">
        <v>12415</v>
      </c>
      <c r="M2068" t="s">
        <v>7415</v>
      </c>
      <c r="N2068">
        <v>2022</v>
      </c>
      <c r="R2068">
        <v>290</v>
      </c>
      <c r="S2068" t="s">
        <v>7251</v>
      </c>
      <c r="T2068">
        <v>3</v>
      </c>
      <c r="U2068">
        <v>1395.87</v>
      </c>
      <c r="V2068" t="s">
        <v>6546</v>
      </c>
      <c r="W2068">
        <v>79.63</v>
      </c>
      <c r="X2068">
        <v>79.63</v>
      </c>
      <c r="AA2068" t="s">
        <v>20025</v>
      </c>
      <c r="AC2068" t="s">
        <v>8747</v>
      </c>
      <c r="AE2068" t="s">
        <v>3678</v>
      </c>
      <c r="AF2068" t="s">
        <v>12492</v>
      </c>
      <c r="AH2068" t="s">
        <v>3678</v>
      </c>
      <c r="AI2068" t="s">
        <v>8747</v>
      </c>
      <c r="AL2068" t="s">
        <v>20026</v>
      </c>
      <c r="AO2068" t="s">
        <v>20027</v>
      </c>
    </row>
    <row r="2069" spans="1:41" hidden="1" x14ac:dyDescent="0.35">
      <c r="A2069" t="s">
        <v>20028</v>
      </c>
      <c r="B2069" t="s">
        <v>7246</v>
      </c>
      <c r="C2069" t="s">
        <v>425</v>
      </c>
      <c r="D2069" t="s">
        <v>425</v>
      </c>
      <c r="E2069" t="s">
        <v>425</v>
      </c>
      <c r="G2069" s="13" t="s">
        <v>20029</v>
      </c>
      <c r="H2069" t="s">
        <v>20030</v>
      </c>
      <c r="J2069" t="s">
        <v>20031</v>
      </c>
      <c r="K2069" t="s">
        <v>20024</v>
      </c>
      <c r="L2069" t="s">
        <v>12415</v>
      </c>
      <c r="M2069" t="s">
        <v>7250</v>
      </c>
      <c r="T2069" t="s">
        <v>6546</v>
      </c>
      <c r="U2069" t="s">
        <v>6546</v>
      </c>
      <c r="V2069">
        <v>1200</v>
      </c>
      <c r="W2069">
        <v>1189</v>
      </c>
      <c r="X2069">
        <v>1200</v>
      </c>
      <c r="Y2069">
        <v>48</v>
      </c>
      <c r="Z2069" t="s">
        <v>7253</v>
      </c>
      <c r="AA2069" t="s">
        <v>12483</v>
      </c>
      <c r="AC2069" t="s">
        <v>8747</v>
      </c>
      <c r="AE2069" t="s">
        <v>6156</v>
      </c>
      <c r="AF2069" t="s">
        <v>2345</v>
      </c>
      <c r="AG2069" t="s">
        <v>20032</v>
      </c>
      <c r="AH2069" t="s">
        <v>3668</v>
      </c>
      <c r="AI2069" t="s">
        <v>8747</v>
      </c>
      <c r="AL2069" t="s">
        <v>20033</v>
      </c>
      <c r="AO2069" t="s">
        <v>20034</v>
      </c>
    </row>
    <row r="2070" spans="1:41" hidden="1" x14ac:dyDescent="0.35">
      <c r="A2070" t="s">
        <v>20035</v>
      </c>
      <c r="B2070" t="s">
        <v>7246</v>
      </c>
      <c r="C2070" t="s">
        <v>5456</v>
      </c>
      <c r="D2070" t="s">
        <v>5456</v>
      </c>
      <c r="E2070" t="s">
        <v>5456</v>
      </c>
      <c r="G2070" s="13" t="s">
        <v>20036</v>
      </c>
      <c r="H2070" t="s">
        <v>20037</v>
      </c>
      <c r="K2070" t="s">
        <v>19938</v>
      </c>
      <c r="L2070" t="s">
        <v>19939</v>
      </c>
      <c r="M2070" t="s">
        <v>7250</v>
      </c>
      <c r="N2070">
        <v>2003</v>
      </c>
      <c r="T2070" t="s">
        <v>6546</v>
      </c>
      <c r="U2070" t="s">
        <v>6546</v>
      </c>
      <c r="V2070">
        <v>193</v>
      </c>
      <c r="W2070">
        <v>93.34</v>
      </c>
      <c r="X2070">
        <v>193</v>
      </c>
      <c r="Y2070">
        <v>530</v>
      </c>
      <c r="Z2070" t="s">
        <v>8842</v>
      </c>
      <c r="AA2070" t="s">
        <v>20038</v>
      </c>
      <c r="AB2070" t="s">
        <v>20038</v>
      </c>
      <c r="AC2070" t="s">
        <v>8844</v>
      </c>
      <c r="AF2070" t="s">
        <v>20039</v>
      </c>
      <c r="AG2070" t="s">
        <v>20040</v>
      </c>
      <c r="AI2070" t="s">
        <v>8844</v>
      </c>
      <c r="AL2070" t="s">
        <v>20041</v>
      </c>
      <c r="AO2070" t="s">
        <v>20042</v>
      </c>
    </row>
    <row r="2071" spans="1:41" hidden="1" x14ac:dyDescent="0.35">
      <c r="A2071" t="s">
        <v>20043</v>
      </c>
      <c r="B2071" t="s">
        <v>7246</v>
      </c>
      <c r="C2071" t="s">
        <v>5456</v>
      </c>
      <c r="D2071" t="s">
        <v>5456</v>
      </c>
      <c r="E2071" t="s">
        <v>5456</v>
      </c>
      <c r="G2071" s="13" t="s">
        <v>20044</v>
      </c>
      <c r="H2071" t="s">
        <v>20045</v>
      </c>
      <c r="K2071" t="s">
        <v>19938</v>
      </c>
      <c r="L2071" t="s">
        <v>19939</v>
      </c>
      <c r="M2071" t="s">
        <v>7250</v>
      </c>
      <c r="N2071">
        <v>2017</v>
      </c>
      <c r="T2071" t="s">
        <v>6546</v>
      </c>
      <c r="U2071" t="s">
        <v>6546</v>
      </c>
      <c r="V2071">
        <v>264.8</v>
      </c>
      <c r="W2071">
        <v>234.07</v>
      </c>
      <c r="X2071">
        <v>264.8</v>
      </c>
      <c r="Y2071">
        <v>530</v>
      </c>
      <c r="Z2071" t="s">
        <v>8842</v>
      </c>
      <c r="AB2071" t="s">
        <v>9894</v>
      </c>
      <c r="AC2071" t="s">
        <v>8844</v>
      </c>
      <c r="AF2071" t="s">
        <v>20046</v>
      </c>
      <c r="AI2071" t="s">
        <v>8844</v>
      </c>
      <c r="AL2071" t="s">
        <v>20047</v>
      </c>
      <c r="AO2071" t="s">
        <v>20048</v>
      </c>
    </row>
    <row r="2072" spans="1:41" hidden="1" x14ac:dyDescent="0.35">
      <c r="A2072" t="s">
        <v>20049</v>
      </c>
      <c r="B2072" t="s">
        <v>7246</v>
      </c>
      <c r="C2072" t="s">
        <v>5456</v>
      </c>
      <c r="D2072" t="s">
        <v>5456</v>
      </c>
      <c r="E2072" t="s">
        <v>5456</v>
      </c>
      <c r="G2072" s="13" t="s">
        <v>20050</v>
      </c>
      <c r="H2072" t="s">
        <v>20051</v>
      </c>
      <c r="K2072" t="s">
        <v>19938</v>
      </c>
      <c r="L2072" t="s">
        <v>19939</v>
      </c>
      <c r="M2072" t="s">
        <v>7250</v>
      </c>
      <c r="N2072">
        <v>2004</v>
      </c>
      <c r="R2072">
        <v>0.4</v>
      </c>
      <c r="S2072" t="s">
        <v>8257</v>
      </c>
      <c r="T2072">
        <v>0.4</v>
      </c>
      <c r="U2072">
        <v>186.15</v>
      </c>
      <c r="V2072">
        <v>123</v>
      </c>
      <c r="W2072">
        <v>124.44</v>
      </c>
      <c r="X2072">
        <v>123</v>
      </c>
      <c r="Y2072">
        <v>325</v>
      </c>
      <c r="Z2072" t="s">
        <v>8842</v>
      </c>
      <c r="AA2072" t="s">
        <v>20052</v>
      </c>
      <c r="AB2072" t="s">
        <v>20052</v>
      </c>
      <c r="AC2072" t="s">
        <v>8844</v>
      </c>
      <c r="AF2072" t="s">
        <v>20053</v>
      </c>
      <c r="AI2072" t="s">
        <v>8844</v>
      </c>
      <c r="AO2072" t="s">
        <v>20054</v>
      </c>
    </row>
    <row r="2073" spans="1:41" hidden="1" x14ac:dyDescent="0.35">
      <c r="A2073" t="s">
        <v>20055</v>
      </c>
      <c r="B2073" t="s">
        <v>7246</v>
      </c>
      <c r="C2073" t="s">
        <v>425</v>
      </c>
      <c r="D2073" t="s">
        <v>425</v>
      </c>
      <c r="E2073" t="s">
        <v>425</v>
      </c>
      <c r="G2073" s="13" t="s">
        <v>20029</v>
      </c>
      <c r="H2073" t="s">
        <v>20056</v>
      </c>
      <c r="I2073" t="s">
        <v>20057</v>
      </c>
      <c r="K2073" t="s">
        <v>20024</v>
      </c>
      <c r="L2073" t="s">
        <v>12415</v>
      </c>
      <c r="M2073" t="s">
        <v>7415</v>
      </c>
      <c r="N2073">
        <v>2022</v>
      </c>
      <c r="R2073">
        <v>5.2</v>
      </c>
      <c r="S2073" t="s">
        <v>18164</v>
      </c>
      <c r="T2073">
        <v>1.9</v>
      </c>
      <c r="U2073">
        <v>883.9</v>
      </c>
      <c r="V2073">
        <v>821</v>
      </c>
      <c r="W2073">
        <v>1227.19</v>
      </c>
      <c r="X2073">
        <v>821</v>
      </c>
      <c r="AA2073" t="s">
        <v>12483</v>
      </c>
      <c r="AC2073" t="s">
        <v>8747</v>
      </c>
      <c r="AE2073" t="s">
        <v>6156</v>
      </c>
      <c r="AF2073" t="s">
        <v>2345</v>
      </c>
      <c r="AG2073" t="s">
        <v>20032</v>
      </c>
      <c r="AH2073" t="s">
        <v>3668</v>
      </c>
      <c r="AI2073" t="s">
        <v>8747</v>
      </c>
      <c r="AO2073" t="s">
        <v>20058</v>
      </c>
    </row>
    <row r="2074" spans="1:41" hidden="1" x14ac:dyDescent="0.35">
      <c r="A2074" t="s">
        <v>20059</v>
      </c>
      <c r="B2074" t="s">
        <v>7246</v>
      </c>
      <c r="C2074" t="s">
        <v>356</v>
      </c>
      <c r="D2074" t="s">
        <v>356</v>
      </c>
      <c r="E2074" t="s">
        <v>356</v>
      </c>
      <c r="G2074" s="13" t="s">
        <v>20060</v>
      </c>
      <c r="H2074" t="s">
        <v>20061</v>
      </c>
      <c r="I2074" t="s">
        <v>20062</v>
      </c>
      <c r="J2074" t="s">
        <v>20063</v>
      </c>
      <c r="K2074" t="s">
        <v>10272</v>
      </c>
      <c r="L2074" t="s">
        <v>10273</v>
      </c>
      <c r="M2074" t="s">
        <v>7250</v>
      </c>
      <c r="N2074">
        <v>1996</v>
      </c>
      <c r="R2074">
        <v>118</v>
      </c>
      <c r="S2074" t="s">
        <v>12003</v>
      </c>
      <c r="T2074">
        <v>4.34</v>
      </c>
      <c r="U2074">
        <v>2021.83</v>
      </c>
      <c r="V2074">
        <v>45</v>
      </c>
      <c r="W2074">
        <v>39.729999999999997</v>
      </c>
      <c r="X2074">
        <v>45</v>
      </c>
      <c r="Y2074">
        <v>700</v>
      </c>
      <c r="Z2074" t="s">
        <v>8842</v>
      </c>
      <c r="AB2074" t="s">
        <v>9623</v>
      </c>
      <c r="AC2074" t="s">
        <v>8777</v>
      </c>
      <c r="AE2074" t="s">
        <v>3157</v>
      </c>
      <c r="AF2074" t="s">
        <v>20064</v>
      </c>
      <c r="AH2074" t="s">
        <v>3157</v>
      </c>
      <c r="AI2074" t="s">
        <v>8777</v>
      </c>
      <c r="AO2074" t="s">
        <v>20065</v>
      </c>
    </row>
    <row r="2075" spans="1:41" hidden="1" x14ac:dyDescent="0.35">
      <c r="A2075" t="s">
        <v>20066</v>
      </c>
      <c r="B2075" t="s">
        <v>7246</v>
      </c>
      <c r="C2075" t="s">
        <v>5705</v>
      </c>
      <c r="D2075" t="s">
        <v>5705</v>
      </c>
      <c r="E2075" t="s">
        <v>20067</v>
      </c>
      <c r="G2075" s="13" t="s">
        <v>20060</v>
      </c>
      <c r="H2075" t="s">
        <v>20061</v>
      </c>
      <c r="I2075" t="s">
        <v>20068</v>
      </c>
      <c r="J2075" t="s">
        <v>20063</v>
      </c>
      <c r="K2075" t="s">
        <v>13491</v>
      </c>
      <c r="L2075" t="s">
        <v>13492</v>
      </c>
      <c r="M2075" t="s">
        <v>7250</v>
      </c>
      <c r="N2075">
        <v>1996</v>
      </c>
      <c r="R2075">
        <v>118</v>
      </c>
      <c r="S2075" t="s">
        <v>12003</v>
      </c>
      <c r="T2075">
        <v>4.34</v>
      </c>
      <c r="U2075">
        <v>2021.83</v>
      </c>
      <c r="V2075" t="s">
        <v>6546</v>
      </c>
      <c r="W2075">
        <v>184.18</v>
      </c>
      <c r="X2075">
        <v>184.18</v>
      </c>
      <c r="Y2075">
        <v>700</v>
      </c>
      <c r="Z2075" t="s">
        <v>8842</v>
      </c>
      <c r="AB2075" t="s">
        <v>20069</v>
      </c>
      <c r="AC2075" t="s">
        <v>8777</v>
      </c>
      <c r="AF2075" t="s">
        <v>16240</v>
      </c>
      <c r="AI2075" t="s">
        <v>8777</v>
      </c>
      <c r="AO2075" t="s">
        <v>20070</v>
      </c>
    </row>
    <row r="2076" spans="1:41" hidden="1" x14ac:dyDescent="0.35">
      <c r="A2076" t="s">
        <v>20071</v>
      </c>
      <c r="B2076" t="s">
        <v>7246</v>
      </c>
      <c r="C2076" t="s">
        <v>451</v>
      </c>
      <c r="D2076" t="s">
        <v>451</v>
      </c>
      <c r="E2076" t="s">
        <v>451</v>
      </c>
      <c r="G2076" s="13" t="s">
        <v>8039</v>
      </c>
      <c r="H2076" t="s">
        <v>8040</v>
      </c>
      <c r="I2076" t="s">
        <v>20072</v>
      </c>
      <c r="K2076" t="s">
        <v>7268</v>
      </c>
      <c r="L2076" t="s">
        <v>7268</v>
      </c>
      <c r="M2076" t="s">
        <v>7292</v>
      </c>
      <c r="N2076">
        <v>2026</v>
      </c>
      <c r="R2076">
        <v>2600</v>
      </c>
      <c r="S2076" t="s">
        <v>7251</v>
      </c>
      <c r="T2076">
        <v>26.89</v>
      </c>
      <c r="U2076">
        <v>12514.67</v>
      </c>
      <c r="V2076">
        <v>16.09</v>
      </c>
      <c r="W2076" t="s">
        <v>6546</v>
      </c>
      <c r="X2076">
        <v>16.09</v>
      </c>
      <c r="AC2076" t="s">
        <v>7255</v>
      </c>
      <c r="AI2076" t="s">
        <v>7255</v>
      </c>
      <c r="AO2076" t="s">
        <v>6546</v>
      </c>
    </row>
    <row r="2077" spans="1:41" hidden="1" x14ac:dyDescent="0.35">
      <c r="A2077" t="s">
        <v>20073</v>
      </c>
      <c r="B2077" t="s">
        <v>7246</v>
      </c>
      <c r="C2077" t="s">
        <v>356</v>
      </c>
      <c r="D2077" t="s">
        <v>5858</v>
      </c>
      <c r="E2077" t="s">
        <v>19426</v>
      </c>
      <c r="G2077" s="13" t="s">
        <v>19427</v>
      </c>
      <c r="H2077" t="s">
        <v>20074</v>
      </c>
      <c r="K2077" t="s">
        <v>20075</v>
      </c>
      <c r="L2077" t="s">
        <v>20076</v>
      </c>
      <c r="M2077" t="s">
        <v>7250</v>
      </c>
      <c r="N2077">
        <v>1978</v>
      </c>
      <c r="T2077" t="s">
        <v>6546</v>
      </c>
      <c r="U2077" t="s">
        <v>6546</v>
      </c>
      <c r="V2077">
        <v>28</v>
      </c>
      <c r="W2077">
        <v>27.32</v>
      </c>
      <c r="X2077">
        <v>28</v>
      </c>
      <c r="Y2077">
        <v>500</v>
      </c>
      <c r="Z2077" t="s">
        <v>8842</v>
      </c>
      <c r="AB2077" t="s">
        <v>19431</v>
      </c>
      <c r="AC2077" t="s">
        <v>8777</v>
      </c>
      <c r="AF2077" t="s">
        <v>19432</v>
      </c>
      <c r="AI2077" t="s">
        <v>8777</v>
      </c>
      <c r="AO2077" t="s">
        <v>20077</v>
      </c>
    </row>
    <row r="2078" spans="1:41" hidden="1" x14ac:dyDescent="0.35">
      <c r="A2078" t="s">
        <v>20078</v>
      </c>
      <c r="B2078" t="s">
        <v>7246</v>
      </c>
      <c r="C2078" t="s">
        <v>423</v>
      </c>
      <c r="D2078" t="s">
        <v>423</v>
      </c>
      <c r="E2078" t="s">
        <v>423</v>
      </c>
      <c r="G2078" s="13" t="s">
        <v>20079</v>
      </c>
      <c r="H2078" t="s">
        <v>20080</v>
      </c>
      <c r="K2078" t="s">
        <v>9848</v>
      </c>
      <c r="L2078" t="s">
        <v>9848</v>
      </c>
      <c r="M2078" t="s">
        <v>7292</v>
      </c>
      <c r="R2078">
        <v>0.34</v>
      </c>
      <c r="S2078" t="s">
        <v>8257</v>
      </c>
      <c r="T2078">
        <v>0.34</v>
      </c>
      <c r="U2078">
        <v>156.83000000000001</v>
      </c>
      <c r="V2078">
        <v>151</v>
      </c>
      <c r="W2078">
        <v>103.43</v>
      </c>
      <c r="X2078">
        <v>151</v>
      </c>
      <c r="Y2078">
        <v>325</v>
      </c>
      <c r="Z2078" t="s">
        <v>8842</v>
      </c>
      <c r="AA2078" t="s">
        <v>20081</v>
      </c>
      <c r="AB2078" t="s">
        <v>20082</v>
      </c>
      <c r="AC2078" t="s">
        <v>8844</v>
      </c>
      <c r="AD2078" t="s">
        <v>20083</v>
      </c>
      <c r="AE2078" t="s">
        <v>20084</v>
      </c>
      <c r="AF2078" t="s">
        <v>20085</v>
      </c>
      <c r="AG2078" t="s">
        <v>20083</v>
      </c>
      <c r="AH2078" t="s">
        <v>20084</v>
      </c>
      <c r="AI2078" t="s">
        <v>8844</v>
      </c>
      <c r="AL2078" t="s">
        <v>20086</v>
      </c>
      <c r="AO2078" t="s">
        <v>20087</v>
      </c>
    </row>
    <row r="2079" spans="1:41" hidden="1" x14ac:dyDescent="0.35">
      <c r="A2079" t="s">
        <v>20088</v>
      </c>
      <c r="B2079" t="s">
        <v>7246</v>
      </c>
      <c r="C2079" t="s">
        <v>423</v>
      </c>
      <c r="D2079" t="s">
        <v>423</v>
      </c>
      <c r="E2079" t="s">
        <v>423</v>
      </c>
      <c r="G2079" s="13" t="s">
        <v>20089</v>
      </c>
      <c r="H2079" t="s">
        <v>20090</v>
      </c>
      <c r="K2079" t="s">
        <v>9848</v>
      </c>
      <c r="L2079" t="s">
        <v>9848</v>
      </c>
      <c r="M2079" t="s">
        <v>7292</v>
      </c>
      <c r="R2079">
        <v>0.87</v>
      </c>
      <c r="S2079" t="s">
        <v>8257</v>
      </c>
      <c r="T2079">
        <v>0.87</v>
      </c>
      <c r="U2079">
        <v>403.02</v>
      </c>
      <c r="V2079">
        <v>180.8</v>
      </c>
      <c r="W2079">
        <v>125.75</v>
      </c>
      <c r="X2079">
        <v>180.8</v>
      </c>
      <c r="Y2079" t="s">
        <v>20091</v>
      </c>
      <c r="Z2079" t="s">
        <v>8842</v>
      </c>
      <c r="AA2079" t="s">
        <v>20081</v>
      </c>
      <c r="AB2079" t="s">
        <v>20092</v>
      </c>
      <c r="AC2079" t="s">
        <v>8844</v>
      </c>
      <c r="AD2079" t="s">
        <v>20093</v>
      </c>
      <c r="AE2079" t="s">
        <v>20084</v>
      </c>
      <c r="AF2079" t="s">
        <v>20094</v>
      </c>
      <c r="AG2079" t="s">
        <v>20095</v>
      </c>
      <c r="AH2079" t="s">
        <v>20084</v>
      </c>
      <c r="AI2079" t="s">
        <v>8844</v>
      </c>
      <c r="AL2079" t="s">
        <v>20096</v>
      </c>
      <c r="AO2079" t="s">
        <v>20097</v>
      </c>
    </row>
    <row r="2080" spans="1:41" hidden="1" x14ac:dyDescent="0.35">
      <c r="A2080" t="s">
        <v>20098</v>
      </c>
      <c r="B2080" t="s">
        <v>7246</v>
      </c>
      <c r="C2080" t="s">
        <v>423</v>
      </c>
      <c r="D2080" t="s">
        <v>423</v>
      </c>
      <c r="E2080" t="s">
        <v>423</v>
      </c>
      <c r="G2080" s="13" t="s">
        <v>20099</v>
      </c>
      <c r="H2080" t="s">
        <v>20100</v>
      </c>
      <c r="K2080" t="s">
        <v>9848</v>
      </c>
      <c r="L2080" t="s">
        <v>9848</v>
      </c>
      <c r="M2080" t="s">
        <v>7292</v>
      </c>
      <c r="R2080">
        <v>0.61</v>
      </c>
      <c r="S2080" t="s">
        <v>18164</v>
      </c>
      <c r="T2080">
        <v>0.22</v>
      </c>
      <c r="U2080">
        <v>104.03</v>
      </c>
      <c r="V2080">
        <v>46.49</v>
      </c>
      <c r="W2080">
        <v>44.39</v>
      </c>
      <c r="X2080">
        <v>46.49</v>
      </c>
      <c r="Y2080">
        <v>100</v>
      </c>
      <c r="Z2080" t="s">
        <v>8842</v>
      </c>
      <c r="AB2080" t="s">
        <v>20101</v>
      </c>
      <c r="AC2080" t="s">
        <v>8844</v>
      </c>
      <c r="AD2080" t="s">
        <v>20102</v>
      </c>
      <c r="AE2080" t="s">
        <v>20103</v>
      </c>
      <c r="AF2080" t="s">
        <v>20104</v>
      </c>
      <c r="AG2080" t="s">
        <v>20105</v>
      </c>
      <c r="AH2080" t="s">
        <v>20103</v>
      </c>
      <c r="AI2080" t="s">
        <v>8844</v>
      </c>
      <c r="AL2080" t="s">
        <v>20106</v>
      </c>
      <c r="AO2080" t="s">
        <v>20107</v>
      </c>
    </row>
    <row r="2081" spans="1:41" hidden="1" x14ac:dyDescent="0.35">
      <c r="A2081" t="s">
        <v>20108</v>
      </c>
      <c r="B2081" t="s">
        <v>7246</v>
      </c>
      <c r="C2081" t="s">
        <v>423</v>
      </c>
      <c r="D2081" t="s">
        <v>423</v>
      </c>
      <c r="E2081" t="s">
        <v>423</v>
      </c>
      <c r="G2081" s="13" t="s">
        <v>20109</v>
      </c>
      <c r="H2081" t="s">
        <v>20110</v>
      </c>
      <c r="K2081" t="s">
        <v>9848</v>
      </c>
      <c r="L2081" t="s">
        <v>9848</v>
      </c>
      <c r="M2081" t="s">
        <v>7292</v>
      </c>
      <c r="R2081">
        <v>0.05</v>
      </c>
      <c r="S2081" t="s">
        <v>8257</v>
      </c>
      <c r="T2081">
        <v>0.05</v>
      </c>
      <c r="U2081">
        <v>25.13</v>
      </c>
      <c r="V2081">
        <v>44.53</v>
      </c>
      <c r="W2081">
        <v>34.11</v>
      </c>
      <c r="X2081">
        <v>44.53</v>
      </c>
      <c r="Y2081">
        <v>200</v>
      </c>
      <c r="Z2081" t="s">
        <v>8842</v>
      </c>
      <c r="AB2081" t="s">
        <v>20111</v>
      </c>
      <c r="AC2081" t="s">
        <v>8844</v>
      </c>
      <c r="AD2081" t="s">
        <v>20112</v>
      </c>
      <c r="AE2081" t="s">
        <v>20103</v>
      </c>
      <c r="AF2081" t="s">
        <v>20113</v>
      </c>
      <c r="AG2081" t="s">
        <v>20114</v>
      </c>
      <c r="AH2081" t="s">
        <v>20103</v>
      </c>
      <c r="AI2081" t="s">
        <v>8844</v>
      </c>
      <c r="AL2081" t="s">
        <v>20115</v>
      </c>
      <c r="AO2081" t="s">
        <v>20116</v>
      </c>
    </row>
    <row r="2082" spans="1:41" hidden="1" x14ac:dyDescent="0.35">
      <c r="A2082" t="s">
        <v>20117</v>
      </c>
      <c r="B2082" t="s">
        <v>7246</v>
      </c>
      <c r="C2082" t="s">
        <v>423</v>
      </c>
      <c r="D2082" t="s">
        <v>423</v>
      </c>
      <c r="E2082" t="s">
        <v>423</v>
      </c>
      <c r="G2082" s="13" t="s">
        <v>20118</v>
      </c>
      <c r="H2082" t="s">
        <v>20119</v>
      </c>
      <c r="K2082" t="s">
        <v>9848</v>
      </c>
      <c r="L2082" t="s">
        <v>9848</v>
      </c>
      <c r="M2082" t="s">
        <v>7250</v>
      </c>
      <c r="N2082">
        <v>2016</v>
      </c>
      <c r="T2082" t="s">
        <v>6546</v>
      </c>
      <c r="U2082" t="s">
        <v>6546</v>
      </c>
      <c r="V2082" t="s">
        <v>6546</v>
      </c>
      <c r="W2082">
        <v>92.22</v>
      </c>
      <c r="X2082">
        <v>92.22</v>
      </c>
      <c r="Y2082">
        <v>400</v>
      </c>
      <c r="Z2082" t="s">
        <v>8842</v>
      </c>
      <c r="AB2082" t="s">
        <v>20120</v>
      </c>
      <c r="AC2082" t="s">
        <v>8844</v>
      </c>
      <c r="AD2082" t="s">
        <v>20121</v>
      </c>
      <c r="AE2082" t="s">
        <v>20122</v>
      </c>
      <c r="AF2082" t="s">
        <v>20123</v>
      </c>
      <c r="AH2082" t="s">
        <v>20122</v>
      </c>
      <c r="AI2082" t="s">
        <v>8844</v>
      </c>
      <c r="AL2082" t="s">
        <v>20124</v>
      </c>
      <c r="AO2082" t="s">
        <v>20125</v>
      </c>
    </row>
    <row r="2083" spans="1:41" hidden="1" x14ac:dyDescent="0.35">
      <c r="A2083" t="s">
        <v>20126</v>
      </c>
      <c r="B2083" t="s">
        <v>7246</v>
      </c>
      <c r="C2083" t="s">
        <v>423</v>
      </c>
      <c r="D2083" t="s">
        <v>423</v>
      </c>
      <c r="E2083" t="s">
        <v>423</v>
      </c>
      <c r="G2083" s="13" t="s">
        <v>20118</v>
      </c>
      <c r="H2083" t="s">
        <v>20119</v>
      </c>
      <c r="I2083" t="s">
        <v>20127</v>
      </c>
      <c r="K2083" t="s">
        <v>9848</v>
      </c>
      <c r="L2083" t="s">
        <v>9848</v>
      </c>
      <c r="M2083" t="s">
        <v>7415</v>
      </c>
      <c r="N2083">
        <v>2022</v>
      </c>
      <c r="T2083" t="s">
        <v>6546</v>
      </c>
      <c r="U2083" t="s">
        <v>6546</v>
      </c>
      <c r="V2083">
        <v>54</v>
      </c>
      <c r="W2083">
        <v>51.22</v>
      </c>
      <c r="X2083">
        <v>54</v>
      </c>
      <c r="Y2083">
        <v>325</v>
      </c>
      <c r="Z2083" t="s">
        <v>8842</v>
      </c>
      <c r="AB2083" t="s">
        <v>20128</v>
      </c>
      <c r="AC2083" t="s">
        <v>8844</v>
      </c>
      <c r="AD2083" t="s">
        <v>20129</v>
      </c>
      <c r="AE2083" t="s">
        <v>20122</v>
      </c>
      <c r="AF2083" t="s">
        <v>20130</v>
      </c>
      <c r="AG2083" t="s">
        <v>20131</v>
      </c>
      <c r="AH2083" t="s">
        <v>20122</v>
      </c>
      <c r="AI2083" t="s">
        <v>8844</v>
      </c>
      <c r="AL2083" t="s">
        <v>20124</v>
      </c>
      <c r="AM2083" t="s">
        <v>20132</v>
      </c>
      <c r="AO2083" t="s">
        <v>20133</v>
      </c>
    </row>
    <row r="2084" spans="1:41" hidden="1" x14ac:dyDescent="0.35">
      <c r="A2084" t="s">
        <v>20134</v>
      </c>
      <c r="B2084" t="s">
        <v>7246</v>
      </c>
      <c r="C2084" t="s">
        <v>423</v>
      </c>
      <c r="D2084" t="s">
        <v>423</v>
      </c>
      <c r="E2084" t="s">
        <v>423</v>
      </c>
      <c r="G2084" s="13" t="s">
        <v>20135</v>
      </c>
      <c r="H2084" t="s">
        <v>20136</v>
      </c>
      <c r="K2084" t="s">
        <v>9848</v>
      </c>
      <c r="L2084" t="s">
        <v>9848</v>
      </c>
      <c r="M2084" t="s">
        <v>7292</v>
      </c>
      <c r="T2084" t="s">
        <v>6546</v>
      </c>
      <c r="U2084" t="s">
        <v>6546</v>
      </c>
      <c r="V2084">
        <v>38.93</v>
      </c>
      <c r="W2084">
        <v>36.909999999999997</v>
      </c>
      <c r="X2084">
        <v>38.93</v>
      </c>
      <c r="Y2084">
        <v>200</v>
      </c>
      <c r="Z2084" t="s">
        <v>8842</v>
      </c>
      <c r="AB2084" t="s">
        <v>20137</v>
      </c>
      <c r="AC2084" t="s">
        <v>8844</v>
      </c>
      <c r="AD2084" t="s">
        <v>20138</v>
      </c>
      <c r="AE2084" t="s">
        <v>20122</v>
      </c>
      <c r="AF2084" t="s">
        <v>20139</v>
      </c>
      <c r="AG2084" t="s">
        <v>20140</v>
      </c>
      <c r="AH2084" t="s">
        <v>20122</v>
      </c>
      <c r="AI2084" t="s">
        <v>8844</v>
      </c>
      <c r="AL2084" t="s">
        <v>20141</v>
      </c>
      <c r="AO2084" t="s">
        <v>20142</v>
      </c>
    </row>
    <row r="2085" spans="1:41" hidden="1" x14ac:dyDescent="0.35">
      <c r="A2085" t="s">
        <v>20143</v>
      </c>
      <c r="B2085" t="s">
        <v>7246</v>
      </c>
      <c r="C2085" t="s">
        <v>423</v>
      </c>
      <c r="D2085" t="s">
        <v>423</v>
      </c>
      <c r="E2085" t="s">
        <v>423</v>
      </c>
      <c r="G2085" s="13" t="s">
        <v>20144</v>
      </c>
      <c r="H2085" t="s">
        <v>20145</v>
      </c>
      <c r="K2085" t="s">
        <v>9848</v>
      </c>
      <c r="L2085" t="s">
        <v>9848</v>
      </c>
      <c r="M2085" t="s">
        <v>7292</v>
      </c>
      <c r="T2085" t="s">
        <v>6546</v>
      </c>
      <c r="U2085" t="s">
        <v>6546</v>
      </c>
      <c r="V2085">
        <v>48.7</v>
      </c>
      <c r="W2085">
        <v>44.76</v>
      </c>
      <c r="X2085">
        <v>48.7</v>
      </c>
      <c r="AB2085" t="s">
        <v>20146</v>
      </c>
      <c r="AC2085" t="s">
        <v>8844</v>
      </c>
      <c r="AD2085" t="s">
        <v>20147</v>
      </c>
      <c r="AE2085" t="s">
        <v>20122</v>
      </c>
      <c r="AF2085" t="s">
        <v>20148</v>
      </c>
      <c r="AG2085" t="s">
        <v>20149</v>
      </c>
      <c r="AH2085" t="s">
        <v>20122</v>
      </c>
      <c r="AI2085" t="s">
        <v>8844</v>
      </c>
      <c r="AL2085" t="s">
        <v>20150</v>
      </c>
      <c r="AO2085" t="s">
        <v>20151</v>
      </c>
    </row>
    <row r="2086" spans="1:41" hidden="1" x14ac:dyDescent="0.35">
      <c r="A2086" t="s">
        <v>20152</v>
      </c>
      <c r="B2086" t="s">
        <v>7246</v>
      </c>
      <c r="C2086" t="s">
        <v>423</v>
      </c>
      <c r="D2086" t="s">
        <v>423</v>
      </c>
      <c r="E2086" t="s">
        <v>423</v>
      </c>
      <c r="G2086" s="13" t="s">
        <v>20153</v>
      </c>
      <c r="H2086" t="s">
        <v>20154</v>
      </c>
      <c r="K2086" t="s">
        <v>9848</v>
      </c>
      <c r="L2086" t="s">
        <v>9848</v>
      </c>
      <c r="M2086" t="s">
        <v>7292</v>
      </c>
      <c r="R2086">
        <v>0.19</v>
      </c>
      <c r="S2086" t="s">
        <v>8257</v>
      </c>
      <c r="T2086">
        <v>0.19</v>
      </c>
      <c r="U2086">
        <v>88.42</v>
      </c>
      <c r="V2086" t="s">
        <v>6546</v>
      </c>
      <c r="W2086">
        <v>48.81</v>
      </c>
      <c r="X2086">
        <v>48.81</v>
      </c>
      <c r="AB2086" t="s">
        <v>20148</v>
      </c>
      <c r="AC2086" t="s">
        <v>8844</v>
      </c>
      <c r="AD2086" t="s">
        <v>20149</v>
      </c>
      <c r="AE2086" t="s">
        <v>20122</v>
      </c>
      <c r="AF2086" t="s">
        <v>20155</v>
      </c>
      <c r="AG2086" t="s">
        <v>20156</v>
      </c>
      <c r="AH2086" t="s">
        <v>20122</v>
      </c>
      <c r="AI2086" t="s">
        <v>8844</v>
      </c>
      <c r="AL2086" t="s">
        <v>20157</v>
      </c>
      <c r="AO2086" t="s">
        <v>20158</v>
      </c>
    </row>
    <row r="2087" spans="1:41" hidden="1" x14ac:dyDescent="0.35">
      <c r="A2087" t="s">
        <v>20159</v>
      </c>
      <c r="B2087" t="s">
        <v>7246</v>
      </c>
      <c r="C2087" t="s">
        <v>423</v>
      </c>
      <c r="D2087" t="s">
        <v>423</v>
      </c>
      <c r="E2087" t="s">
        <v>423</v>
      </c>
      <c r="G2087" s="13" t="s">
        <v>20160</v>
      </c>
      <c r="H2087" t="s">
        <v>20161</v>
      </c>
      <c r="K2087" t="s">
        <v>9848</v>
      </c>
      <c r="L2087" t="s">
        <v>9848</v>
      </c>
      <c r="M2087" t="s">
        <v>7292</v>
      </c>
      <c r="R2087">
        <v>0.22</v>
      </c>
      <c r="S2087" t="s">
        <v>8257</v>
      </c>
      <c r="T2087">
        <v>0.22</v>
      </c>
      <c r="U2087">
        <v>101.92</v>
      </c>
      <c r="V2087">
        <v>70.25</v>
      </c>
      <c r="W2087">
        <v>65.14</v>
      </c>
      <c r="X2087">
        <v>70.25</v>
      </c>
      <c r="Y2087">
        <v>325</v>
      </c>
      <c r="Z2087" t="s">
        <v>8842</v>
      </c>
      <c r="AB2087" t="s">
        <v>20162</v>
      </c>
      <c r="AC2087" t="s">
        <v>8844</v>
      </c>
      <c r="AE2087" t="s">
        <v>14142</v>
      </c>
      <c r="AF2087" t="s">
        <v>20163</v>
      </c>
      <c r="AG2087" t="s">
        <v>20164</v>
      </c>
      <c r="AH2087" t="s">
        <v>14142</v>
      </c>
      <c r="AI2087" t="s">
        <v>8844</v>
      </c>
      <c r="AL2087" t="s">
        <v>20165</v>
      </c>
      <c r="AO2087" t="s">
        <v>20166</v>
      </c>
    </row>
    <row r="2088" spans="1:41" hidden="1" x14ac:dyDescent="0.35">
      <c r="A2088" t="s">
        <v>20167</v>
      </c>
      <c r="B2088" t="s">
        <v>7246</v>
      </c>
      <c r="C2088" t="s">
        <v>423</v>
      </c>
      <c r="D2088" t="s">
        <v>423</v>
      </c>
      <c r="E2088" t="s">
        <v>423</v>
      </c>
      <c r="G2088" s="13" t="s">
        <v>20168</v>
      </c>
      <c r="H2088" t="s">
        <v>20169</v>
      </c>
      <c r="K2088" t="s">
        <v>9848</v>
      </c>
      <c r="L2088" t="s">
        <v>9848</v>
      </c>
      <c r="M2088" t="s">
        <v>7292</v>
      </c>
      <c r="N2088">
        <v>2025</v>
      </c>
      <c r="T2088" t="s">
        <v>6546</v>
      </c>
      <c r="U2088" t="s">
        <v>6546</v>
      </c>
      <c r="V2088">
        <v>94</v>
      </c>
      <c r="W2088">
        <v>92.35</v>
      </c>
      <c r="X2088">
        <v>94</v>
      </c>
      <c r="Y2088">
        <v>325</v>
      </c>
      <c r="Z2088" t="s">
        <v>8842</v>
      </c>
      <c r="AB2088" t="s">
        <v>20163</v>
      </c>
      <c r="AC2088" t="s">
        <v>8844</v>
      </c>
      <c r="AD2088" t="s">
        <v>20164</v>
      </c>
      <c r="AE2088" t="s">
        <v>14142</v>
      </c>
      <c r="AF2088" t="s">
        <v>20170</v>
      </c>
      <c r="AG2088" t="s">
        <v>20171</v>
      </c>
      <c r="AH2088" t="s">
        <v>14142</v>
      </c>
      <c r="AI2088" t="s">
        <v>8844</v>
      </c>
      <c r="AL2088" t="s">
        <v>20172</v>
      </c>
      <c r="AO2088" t="s">
        <v>20173</v>
      </c>
    </row>
    <row r="2089" spans="1:41" hidden="1" x14ac:dyDescent="0.35">
      <c r="A2089" t="s">
        <v>20174</v>
      </c>
      <c r="B2089" t="s">
        <v>7246</v>
      </c>
      <c r="C2089" t="s">
        <v>423</v>
      </c>
      <c r="D2089" t="s">
        <v>423</v>
      </c>
      <c r="E2089" t="s">
        <v>423</v>
      </c>
      <c r="G2089" s="13" t="s">
        <v>20175</v>
      </c>
      <c r="H2089" t="s">
        <v>20176</v>
      </c>
      <c r="K2089" t="s">
        <v>9848</v>
      </c>
      <c r="L2089" t="s">
        <v>9848</v>
      </c>
      <c r="M2089" t="s">
        <v>7292</v>
      </c>
      <c r="R2089">
        <v>0.04</v>
      </c>
      <c r="S2089" t="s">
        <v>8257</v>
      </c>
      <c r="T2089">
        <v>0.04</v>
      </c>
      <c r="U2089">
        <v>19.079999999999998</v>
      </c>
      <c r="V2089">
        <v>40</v>
      </c>
      <c r="W2089">
        <v>64.790000000000006</v>
      </c>
      <c r="X2089">
        <v>40</v>
      </c>
      <c r="AB2089" t="s">
        <v>20177</v>
      </c>
      <c r="AC2089" t="s">
        <v>8844</v>
      </c>
      <c r="AE2089" t="s">
        <v>14142</v>
      </c>
      <c r="AF2089" t="s">
        <v>20178</v>
      </c>
      <c r="AH2089" t="s">
        <v>14142</v>
      </c>
      <c r="AI2089" t="s">
        <v>8844</v>
      </c>
      <c r="AL2089" t="s">
        <v>20179</v>
      </c>
      <c r="AO2089" t="s">
        <v>20180</v>
      </c>
    </row>
    <row r="2090" spans="1:41" hidden="1" x14ac:dyDescent="0.35">
      <c r="A2090" t="s">
        <v>20181</v>
      </c>
      <c r="B2090" t="s">
        <v>7246</v>
      </c>
      <c r="C2090" t="s">
        <v>5541</v>
      </c>
      <c r="D2090" t="s">
        <v>5541</v>
      </c>
      <c r="E2090" t="s">
        <v>5541</v>
      </c>
      <c r="G2090" s="13" t="s">
        <v>13872</v>
      </c>
      <c r="H2090" t="s">
        <v>13873</v>
      </c>
      <c r="I2090" t="s">
        <v>20182</v>
      </c>
      <c r="K2090" t="s">
        <v>20183</v>
      </c>
      <c r="L2090" t="s">
        <v>20184</v>
      </c>
      <c r="M2090" t="s">
        <v>7415</v>
      </c>
      <c r="N2090">
        <v>2023</v>
      </c>
      <c r="T2090" t="s">
        <v>6546</v>
      </c>
      <c r="U2090" t="s">
        <v>6546</v>
      </c>
      <c r="V2090">
        <v>140</v>
      </c>
      <c r="W2090">
        <v>100.89</v>
      </c>
      <c r="X2090">
        <v>140</v>
      </c>
      <c r="AA2090" t="s">
        <v>9892</v>
      </c>
      <c r="AB2090" t="s">
        <v>9892</v>
      </c>
      <c r="AC2090" t="s">
        <v>8844</v>
      </c>
      <c r="AF2090" t="s">
        <v>13877</v>
      </c>
      <c r="AI2090" t="s">
        <v>8844</v>
      </c>
      <c r="AO2090" t="s">
        <v>13878</v>
      </c>
    </row>
    <row r="2091" spans="1:41" hidden="1" x14ac:dyDescent="0.35">
      <c r="A2091" t="s">
        <v>20185</v>
      </c>
      <c r="B2091" t="s">
        <v>7246</v>
      </c>
      <c r="C2091" t="s">
        <v>5541</v>
      </c>
      <c r="D2091" t="s">
        <v>5541</v>
      </c>
      <c r="E2091" t="s">
        <v>5541</v>
      </c>
      <c r="G2091" s="13" t="s">
        <v>13872</v>
      </c>
      <c r="H2091" t="s">
        <v>13873</v>
      </c>
      <c r="I2091" t="s">
        <v>20186</v>
      </c>
      <c r="K2091" t="s">
        <v>20183</v>
      </c>
      <c r="L2091" t="s">
        <v>20184</v>
      </c>
      <c r="M2091" t="s">
        <v>7250</v>
      </c>
      <c r="N2091">
        <v>2006</v>
      </c>
      <c r="R2091">
        <v>0.03</v>
      </c>
      <c r="S2091" t="s">
        <v>8257</v>
      </c>
      <c r="T2091">
        <v>0.03</v>
      </c>
      <c r="U2091">
        <v>13.96</v>
      </c>
      <c r="V2091">
        <v>48</v>
      </c>
      <c r="W2091">
        <v>100.89</v>
      </c>
      <c r="X2091">
        <v>48</v>
      </c>
      <c r="AA2091" t="s">
        <v>9892</v>
      </c>
      <c r="AB2091" t="s">
        <v>9892</v>
      </c>
      <c r="AC2091" t="s">
        <v>8844</v>
      </c>
      <c r="AF2091" t="s">
        <v>13877</v>
      </c>
      <c r="AI2091" t="s">
        <v>8844</v>
      </c>
      <c r="AO2091" t="s">
        <v>13878</v>
      </c>
    </row>
    <row r="2092" spans="1:41" hidden="1" x14ac:dyDescent="0.35">
      <c r="A2092" t="s">
        <v>20187</v>
      </c>
      <c r="B2092" t="s">
        <v>7246</v>
      </c>
      <c r="C2092" t="s">
        <v>404</v>
      </c>
      <c r="D2092" t="s">
        <v>404</v>
      </c>
      <c r="E2092" t="s">
        <v>404</v>
      </c>
      <c r="G2092" s="13" t="s">
        <v>20188</v>
      </c>
      <c r="H2092" t="s">
        <v>20189</v>
      </c>
      <c r="K2092" t="s">
        <v>9105</v>
      </c>
      <c r="L2092" t="s">
        <v>9105</v>
      </c>
      <c r="M2092" t="s">
        <v>7415</v>
      </c>
      <c r="T2092" t="s">
        <v>6546</v>
      </c>
      <c r="U2092" t="s">
        <v>6546</v>
      </c>
      <c r="V2092" t="s">
        <v>6546</v>
      </c>
      <c r="W2092" t="s">
        <v>6546</v>
      </c>
      <c r="X2092" t="s">
        <v>6546</v>
      </c>
      <c r="Y2092">
        <v>4</v>
      </c>
      <c r="Z2092" t="s">
        <v>7253</v>
      </c>
      <c r="AB2092" t="s">
        <v>12032</v>
      </c>
      <c r="AC2092" t="s">
        <v>8747</v>
      </c>
      <c r="AE2092" t="s">
        <v>20190</v>
      </c>
      <c r="AF2092" t="s">
        <v>12255</v>
      </c>
      <c r="AH2092" t="s">
        <v>12245</v>
      </c>
      <c r="AI2092" t="s">
        <v>8747</v>
      </c>
      <c r="AO2092" t="s">
        <v>6546</v>
      </c>
    </row>
    <row r="2093" spans="1:41" hidden="1" x14ac:dyDescent="0.35">
      <c r="A2093" t="s">
        <v>20191</v>
      </c>
      <c r="B2093" t="s">
        <v>7246</v>
      </c>
      <c r="C2093" t="s">
        <v>404</v>
      </c>
      <c r="D2093" t="s">
        <v>404</v>
      </c>
      <c r="E2093" t="s">
        <v>404</v>
      </c>
      <c r="G2093" s="13" t="s">
        <v>20192</v>
      </c>
      <c r="H2093" t="s">
        <v>20193</v>
      </c>
      <c r="K2093" t="s">
        <v>12263</v>
      </c>
      <c r="L2093" t="s">
        <v>12264</v>
      </c>
      <c r="M2093" t="s">
        <v>7250</v>
      </c>
      <c r="N2093">
        <v>2017</v>
      </c>
      <c r="T2093" t="s">
        <v>6546</v>
      </c>
      <c r="U2093" t="s">
        <v>6546</v>
      </c>
      <c r="V2093" t="s">
        <v>6546</v>
      </c>
      <c r="W2093">
        <v>185.11</v>
      </c>
      <c r="X2093">
        <v>185.11</v>
      </c>
      <c r="AB2093" t="s">
        <v>20194</v>
      </c>
      <c r="AC2093" t="s">
        <v>8747</v>
      </c>
      <c r="AE2093" t="s">
        <v>12245</v>
      </c>
      <c r="AF2093" t="s">
        <v>20195</v>
      </c>
      <c r="AH2093" t="s">
        <v>20196</v>
      </c>
      <c r="AI2093" t="s">
        <v>8747</v>
      </c>
      <c r="AL2093" t="s">
        <v>20197</v>
      </c>
      <c r="AO2093" t="s">
        <v>20198</v>
      </c>
    </row>
    <row r="2094" spans="1:41" hidden="1" x14ac:dyDescent="0.35">
      <c r="A2094" t="s">
        <v>20199</v>
      </c>
      <c r="B2094" t="s">
        <v>7246</v>
      </c>
      <c r="C2094" t="s">
        <v>404</v>
      </c>
      <c r="D2094" t="s">
        <v>404</v>
      </c>
      <c r="E2094" t="s">
        <v>404</v>
      </c>
      <c r="G2094" s="13" t="s">
        <v>20200</v>
      </c>
      <c r="H2094" t="s">
        <v>20201</v>
      </c>
      <c r="K2094" t="s">
        <v>20202</v>
      </c>
      <c r="L2094" t="s">
        <v>20203</v>
      </c>
      <c r="M2094" t="s">
        <v>7250</v>
      </c>
      <c r="N2094">
        <v>2020</v>
      </c>
      <c r="T2094" t="s">
        <v>6546</v>
      </c>
      <c r="U2094" t="s">
        <v>6546</v>
      </c>
      <c r="V2094">
        <v>97</v>
      </c>
      <c r="W2094" t="s">
        <v>6546</v>
      </c>
      <c r="X2094">
        <v>97</v>
      </c>
      <c r="AC2094" t="s">
        <v>8747</v>
      </c>
      <c r="AI2094" t="s">
        <v>8747</v>
      </c>
      <c r="AL2094" t="s">
        <v>20204</v>
      </c>
      <c r="AO2094" t="s">
        <v>6546</v>
      </c>
    </row>
    <row r="2095" spans="1:41" hidden="1" x14ac:dyDescent="0.35">
      <c r="A2095" t="s">
        <v>20205</v>
      </c>
      <c r="B2095" t="s">
        <v>7246</v>
      </c>
      <c r="C2095" t="s">
        <v>423</v>
      </c>
      <c r="D2095" t="s">
        <v>423</v>
      </c>
      <c r="E2095" t="s">
        <v>423</v>
      </c>
      <c r="G2095" s="13" t="s">
        <v>20206</v>
      </c>
      <c r="H2095" t="s">
        <v>20207</v>
      </c>
      <c r="K2095" t="s">
        <v>9848</v>
      </c>
      <c r="L2095" t="s">
        <v>9848</v>
      </c>
      <c r="M2095" t="s">
        <v>7292</v>
      </c>
      <c r="R2095">
        <v>0.46</v>
      </c>
      <c r="S2095" t="s">
        <v>8257</v>
      </c>
      <c r="T2095">
        <v>0.46</v>
      </c>
      <c r="U2095">
        <v>215.94</v>
      </c>
      <c r="V2095" t="s">
        <v>6546</v>
      </c>
      <c r="W2095">
        <v>77.03</v>
      </c>
      <c r="X2095">
        <v>77.03</v>
      </c>
      <c r="AB2095" t="s">
        <v>20208</v>
      </c>
      <c r="AC2095" t="s">
        <v>8844</v>
      </c>
      <c r="AD2095" t="s">
        <v>20209</v>
      </c>
      <c r="AE2095" t="s">
        <v>18848</v>
      </c>
      <c r="AF2095" t="s">
        <v>20210</v>
      </c>
      <c r="AG2095" t="s">
        <v>20211</v>
      </c>
      <c r="AH2095" t="s">
        <v>18848</v>
      </c>
      <c r="AI2095" t="s">
        <v>8844</v>
      </c>
      <c r="AL2095" t="s">
        <v>20212</v>
      </c>
      <c r="AO2095" t="s">
        <v>20213</v>
      </c>
    </row>
    <row r="2096" spans="1:41" hidden="1" x14ac:dyDescent="0.35">
      <c r="A2096" t="s">
        <v>20214</v>
      </c>
      <c r="B2096" t="s">
        <v>7246</v>
      </c>
      <c r="C2096" t="s">
        <v>423</v>
      </c>
      <c r="D2096" t="s">
        <v>423</v>
      </c>
      <c r="E2096" t="s">
        <v>423</v>
      </c>
      <c r="G2096" s="13" t="s">
        <v>20215</v>
      </c>
      <c r="H2096" t="s">
        <v>20216</v>
      </c>
      <c r="K2096" t="s">
        <v>9848</v>
      </c>
      <c r="L2096" t="s">
        <v>9848</v>
      </c>
      <c r="M2096" t="s">
        <v>7292</v>
      </c>
      <c r="N2096">
        <v>2024</v>
      </c>
      <c r="R2096">
        <v>0.24</v>
      </c>
      <c r="S2096" t="s">
        <v>18164</v>
      </c>
      <c r="T2096">
        <v>0.09</v>
      </c>
      <c r="U2096">
        <v>40.799999999999997</v>
      </c>
      <c r="V2096" t="s">
        <v>6546</v>
      </c>
      <c r="W2096">
        <v>17.96</v>
      </c>
      <c r="X2096">
        <v>17.96</v>
      </c>
      <c r="AB2096" t="s">
        <v>20217</v>
      </c>
      <c r="AC2096" t="s">
        <v>8844</v>
      </c>
      <c r="AD2096" t="s">
        <v>20211</v>
      </c>
      <c r="AE2096" t="s">
        <v>18848</v>
      </c>
      <c r="AF2096" t="s">
        <v>20218</v>
      </c>
      <c r="AH2096" t="s">
        <v>18848</v>
      </c>
      <c r="AI2096" t="s">
        <v>8844</v>
      </c>
      <c r="AL2096" t="s">
        <v>20219</v>
      </c>
      <c r="AO2096" t="s">
        <v>20220</v>
      </c>
    </row>
    <row r="2097" spans="1:41" hidden="1" x14ac:dyDescent="0.35">
      <c r="A2097" t="s">
        <v>20221</v>
      </c>
      <c r="B2097" t="s">
        <v>7246</v>
      </c>
      <c r="C2097" t="s">
        <v>423</v>
      </c>
      <c r="D2097" t="s">
        <v>423</v>
      </c>
      <c r="E2097" t="s">
        <v>423</v>
      </c>
      <c r="G2097" s="13" t="s">
        <v>20222</v>
      </c>
      <c r="H2097" t="s">
        <v>20223</v>
      </c>
      <c r="K2097" t="s">
        <v>9848</v>
      </c>
      <c r="L2097" t="s">
        <v>9848</v>
      </c>
      <c r="M2097" t="s">
        <v>7292</v>
      </c>
      <c r="R2097">
        <v>0.18</v>
      </c>
      <c r="S2097" t="s">
        <v>18164</v>
      </c>
      <c r="T2097">
        <v>7.0000000000000007E-2</v>
      </c>
      <c r="U2097">
        <v>30.6</v>
      </c>
      <c r="V2097" t="s">
        <v>6546</v>
      </c>
      <c r="W2097">
        <v>44.99</v>
      </c>
      <c r="X2097">
        <v>44.99</v>
      </c>
      <c r="AB2097" t="s">
        <v>20218</v>
      </c>
      <c r="AC2097" t="s">
        <v>8844</v>
      </c>
      <c r="AE2097" t="s">
        <v>18848</v>
      </c>
      <c r="AF2097" t="s">
        <v>20224</v>
      </c>
      <c r="AH2097" t="s">
        <v>18848</v>
      </c>
      <c r="AI2097" t="s">
        <v>8844</v>
      </c>
      <c r="AL2097" t="s">
        <v>20225</v>
      </c>
      <c r="AO2097" t="s">
        <v>20226</v>
      </c>
    </row>
    <row r="2098" spans="1:41" hidden="1" x14ac:dyDescent="0.35">
      <c r="A2098" t="s">
        <v>20227</v>
      </c>
      <c r="B2098" t="s">
        <v>7246</v>
      </c>
      <c r="C2098" t="s">
        <v>10693</v>
      </c>
      <c r="D2098" t="s">
        <v>10693</v>
      </c>
      <c r="E2098" t="s">
        <v>10693</v>
      </c>
      <c r="G2098" s="13" t="s">
        <v>13348</v>
      </c>
      <c r="H2098" t="s">
        <v>13349</v>
      </c>
      <c r="I2098" t="s">
        <v>12786</v>
      </c>
      <c r="K2098" t="s">
        <v>20228</v>
      </c>
      <c r="L2098" t="s">
        <v>20228</v>
      </c>
      <c r="M2098" t="s">
        <v>7292</v>
      </c>
      <c r="T2098" t="s">
        <v>6546</v>
      </c>
      <c r="U2098" t="s">
        <v>6546</v>
      </c>
      <c r="V2098">
        <v>139</v>
      </c>
      <c r="W2098">
        <v>139.04</v>
      </c>
      <c r="X2098">
        <v>139</v>
      </c>
      <c r="AA2098" t="s">
        <v>13351</v>
      </c>
      <c r="AB2098" t="s">
        <v>13352</v>
      </c>
      <c r="AC2098" t="s">
        <v>8523</v>
      </c>
      <c r="AE2098" t="s">
        <v>13353</v>
      </c>
      <c r="AF2098" t="s">
        <v>20229</v>
      </c>
      <c r="AH2098" t="s">
        <v>20230</v>
      </c>
      <c r="AI2098" t="s">
        <v>8523</v>
      </c>
      <c r="AL2098" t="s">
        <v>13354</v>
      </c>
      <c r="AM2098" t="s">
        <v>20231</v>
      </c>
      <c r="AN2098" s="13" t="s">
        <v>13356</v>
      </c>
      <c r="AO2098" t="s">
        <v>20232</v>
      </c>
    </row>
    <row r="2099" spans="1:41" hidden="1" x14ac:dyDescent="0.35">
      <c r="A2099" t="s">
        <v>20233</v>
      </c>
      <c r="B2099" t="s">
        <v>7246</v>
      </c>
      <c r="C2099" t="s">
        <v>10693</v>
      </c>
      <c r="D2099" t="s">
        <v>10693</v>
      </c>
      <c r="E2099" t="s">
        <v>10693</v>
      </c>
      <c r="G2099" s="13" t="s">
        <v>13348</v>
      </c>
      <c r="H2099" t="s">
        <v>13349</v>
      </c>
      <c r="I2099" t="s">
        <v>14765</v>
      </c>
      <c r="K2099" t="s">
        <v>20228</v>
      </c>
      <c r="L2099" t="s">
        <v>20228</v>
      </c>
      <c r="M2099" t="s">
        <v>7292</v>
      </c>
      <c r="N2099">
        <v>2028</v>
      </c>
      <c r="T2099" t="s">
        <v>6546</v>
      </c>
      <c r="U2099" t="s">
        <v>6546</v>
      </c>
      <c r="V2099">
        <v>105</v>
      </c>
      <c r="W2099">
        <v>111.01</v>
      </c>
      <c r="X2099">
        <v>105</v>
      </c>
      <c r="AA2099" t="s">
        <v>13351</v>
      </c>
      <c r="AB2099" t="s">
        <v>20229</v>
      </c>
      <c r="AC2099" t="s">
        <v>8523</v>
      </c>
      <c r="AE2099" t="s">
        <v>20230</v>
      </c>
      <c r="AF2099" t="s">
        <v>20234</v>
      </c>
      <c r="AH2099" t="s">
        <v>20235</v>
      </c>
      <c r="AI2099" t="s">
        <v>8523</v>
      </c>
      <c r="AL2099" t="s">
        <v>13354</v>
      </c>
      <c r="AM2099" t="s">
        <v>20236</v>
      </c>
      <c r="AN2099" s="13" t="s">
        <v>13356</v>
      </c>
      <c r="AO2099" t="s">
        <v>20237</v>
      </c>
    </row>
    <row r="2100" spans="1:41" hidden="1" x14ac:dyDescent="0.35">
      <c r="A2100" t="s">
        <v>20238</v>
      </c>
      <c r="B2100" t="s">
        <v>7246</v>
      </c>
      <c r="C2100" t="s">
        <v>451</v>
      </c>
      <c r="D2100" t="s">
        <v>451</v>
      </c>
      <c r="E2100" t="s">
        <v>451</v>
      </c>
      <c r="G2100" s="13" t="s">
        <v>20239</v>
      </c>
      <c r="H2100" t="s">
        <v>20240</v>
      </c>
      <c r="K2100" t="s">
        <v>20241</v>
      </c>
      <c r="L2100" t="s">
        <v>20241</v>
      </c>
      <c r="M2100" t="s">
        <v>7250</v>
      </c>
      <c r="N2100">
        <v>2017</v>
      </c>
      <c r="T2100" t="s">
        <v>6546</v>
      </c>
      <c r="U2100" t="s">
        <v>6546</v>
      </c>
      <c r="V2100">
        <v>65.98</v>
      </c>
      <c r="W2100" t="s">
        <v>6546</v>
      </c>
      <c r="X2100">
        <v>65.98</v>
      </c>
      <c r="AC2100" t="s">
        <v>7255</v>
      </c>
      <c r="AI2100" t="s">
        <v>7255</v>
      </c>
      <c r="AO2100" t="s">
        <v>6546</v>
      </c>
    </row>
    <row r="2101" spans="1:41" hidden="1" x14ac:dyDescent="0.35">
      <c r="A2101" t="s">
        <v>20242</v>
      </c>
      <c r="B2101" t="s">
        <v>7246</v>
      </c>
      <c r="C2101" t="s">
        <v>423</v>
      </c>
      <c r="D2101" t="s">
        <v>423</v>
      </c>
      <c r="E2101" t="s">
        <v>423</v>
      </c>
      <c r="G2101" s="13" t="s">
        <v>20243</v>
      </c>
      <c r="H2101" t="s">
        <v>20244</v>
      </c>
      <c r="K2101" t="s">
        <v>9848</v>
      </c>
      <c r="L2101" t="s">
        <v>9848</v>
      </c>
      <c r="M2101" t="s">
        <v>7292</v>
      </c>
      <c r="R2101">
        <v>22.6</v>
      </c>
      <c r="S2101" t="s">
        <v>18164</v>
      </c>
      <c r="T2101">
        <v>8.25</v>
      </c>
      <c r="U2101">
        <v>3841.58</v>
      </c>
      <c r="V2101">
        <v>1</v>
      </c>
      <c r="W2101">
        <v>6.93</v>
      </c>
      <c r="X2101">
        <v>1</v>
      </c>
      <c r="AB2101" t="s">
        <v>20245</v>
      </c>
      <c r="AC2101" t="s">
        <v>8844</v>
      </c>
      <c r="AD2101" t="s">
        <v>20246</v>
      </c>
      <c r="AE2101" t="s">
        <v>5516</v>
      </c>
      <c r="AF2101" t="s">
        <v>20247</v>
      </c>
      <c r="AG2101" t="s">
        <v>20246</v>
      </c>
      <c r="AH2101" t="s">
        <v>5516</v>
      </c>
      <c r="AI2101" t="s">
        <v>8844</v>
      </c>
      <c r="AL2101" t="s">
        <v>20248</v>
      </c>
      <c r="AO2101" t="s">
        <v>20249</v>
      </c>
    </row>
    <row r="2102" spans="1:41" hidden="1" x14ac:dyDescent="0.35">
      <c r="A2102" t="s">
        <v>20250</v>
      </c>
      <c r="B2102" t="s">
        <v>7246</v>
      </c>
      <c r="C2102" t="s">
        <v>423</v>
      </c>
      <c r="D2102" t="s">
        <v>423</v>
      </c>
      <c r="E2102" t="s">
        <v>423</v>
      </c>
      <c r="G2102" s="13" t="s">
        <v>20243</v>
      </c>
      <c r="H2102" t="s">
        <v>20244</v>
      </c>
      <c r="I2102" t="s">
        <v>20251</v>
      </c>
      <c r="K2102" t="s">
        <v>9848</v>
      </c>
      <c r="L2102" t="s">
        <v>9848</v>
      </c>
      <c r="M2102" t="s">
        <v>7292</v>
      </c>
      <c r="T2102" t="s">
        <v>6546</v>
      </c>
      <c r="U2102" t="s">
        <v>6546</v>
      </c>
      <c r="V2102" t="s">
        <v>6546</v>
      </c>
      <c r="W2102">
        <v>4.16</v>
      </c>
      <c r="X2102">
        <v>4.16</v>
      </c>
      <c r="AB2102" t="s">
        <v>20247</v>
      </c>
      <c r="AC2102" t="s">
        <v>8844</v>
      </c>
      <c r="AD2102" t="s">
        <v>20246</v>
      </c>
      <c r="AE2102" t="s">
        <v>5516</v>
      </c>
      <c r="AF2102" t="s">
        <v>20252</v>
      </c>
      <c r="AG2102" t="s">
        <v>20246</v>
      </c>
      <c r="AH2102" t="s">
        <v>5516</v>
      </c>
      <c r="AI2102" t="s">
        <v>8844</v>
      </c>
      <c r="AL2102" t="s">
        <v>20253</v>
      </c>
      <c r="AO2102" t="s">
        <v>20254</v>
      </c>
    </row>
    <row r="2103" spans="1:41" hidden="1" x14ac:dyDescent="0.35">
      <c r="A2103" t="s">
        <v>20255</v>
      </c>
      <c r="B2103" t="s">
        <v>7246</v>
      </c>
      <c r="C2103" t="s">
        <v>423</v>
      </c>
      <c r="D2103" t="s">
        <v>423</v>
      </c>
      <c r="E2103" t="s">
        <v>423</v>
      </c>
      <c r="G2103" s="13" t="s">
        <v>20256</v>
      </c>
      <c r="H2103" t="s">
        <v>20257</v>
      </c>
      <c r="K2103" t="s">
        <v>9848</v>
      </c>
      <c r="L2103" t="s">
        <v>9848</v>
      </c>
      <c r="M2103" t="s">
        <v>7292</v>
      </c>
      <c r="T2103" t="s">
        <v>6546</v>
      </c>
      <c r="U2103" t="s">
        <v>6546</v>
      </c>
      <c r="V2103">
        <v>26.9</v>
      </c>
      <c r="W2103">
        <v>17.34</v>
      </c>
      <c r="X2103">
        <v>26.9</v>
      </c>
      <c r="AB2103" t="s">
        <v>20247</v>
      </c>
      <c r="AC2103" t="s">
        <v>8844</v>
      </c>
      <c r="AD2103" t="s">
        <v>20246</v>
      </c>
      <c r="AE2103" t="s">
        <v>5516</v>
      </c>
      <c r="AF2103" t="s">
        <v>20258</v>
      </c>
      <c r="AH2103" t="s">
        <v>5516</v>
      </c>
      <c r="AI2103" t="s">
        <v>8844</v>
      </c>
      <c r="AL2103" t="s">
        <v>20259</v>
      </c>
      <c r="AO2103" t="s">
        <v>20260</v>
      </c>
    </row>
    <row r="2104" spans="1:41" hidden="1" x14ac:dyDescent="0.35">
      <c r="A2104" t="s">
        <v>20261</v>
      </c>
      <c r="B2104" t="s">
        <v>7246</v>
      </c>
      <c r="C2104" t="s">
        <v>5456</v>
      </c>
      <c r="D2104" t="s">
        <v>423</v>
      </c>
      <c r="E2104" t="s">
        <v>11127</v>
      </c>
      <c r="G2104" s="13" t="s">
        <v>11128</v>
      </c>
      <c r="H2104" t="s">
        <v>11129</v>
      </c>
      <c r="I2104" t="s">
        <v>20262</v>
      </c>
      <c r="K2104" t="s">
        <v>10248</v>
      </c>
      <c r="L2104" t="s">
        <v>10248</v>
      </c>
      <c r="M2104" t="s">
        <v>7292</v>
      </c>
      <c r="N2104">
        <v>2023</v>
      </c>
      <c r="T2104" t="s">
        <v>6546</v>
      </c>
      <c r="U2104" t="s">
        <v>6546</v>
      </c>
      <c r="V2104">
        <v>130</v>
      </c>
      <c r="W2104" t="s">
        <v>6546</v>
      </c>
      <c r="X2104">
        <v>130</v>
      </c>
      <c r="Y2104">
        <v>1020</v>
      </c>
      <c r="Z2104" t="s">
        <v>8842</v>
      </c>
      <c r="AC2104" t="s">
        <v>8844</v>
      </c>
      <c r="AI2104" t="s">
        <v>8844</v>
      </c>
      <c r="AO2104" t="s">
        <v>6546</v>
      </c>
    </row>
    <row r="2105" spans="1:41" hidden="1" x14ac:dyDescent="0.35">
      <c r="A2105" t="s">
        <v>20263</v>
      </c>
      <c r="B2105" t="s">
        <v>7246</v>
      </c>
      <c r="C2105" t="s">
        <v>5643</v>
      </c>
      <c r="D2105" t="s">
        <v>5643</v>
      </c>
      <c r="E2105" t="s">
        <v>5643</v>
      </c>
      <c r="G2105" s="13" t="s">
        <v>20264</v>
      </c>
      <c r="H2105" t="s">
        <v>20265</v>
      </c>
      <c r="K2105" t="s">
        <v>15725</v>
      </c>
      <c r="L2105" t="s">
        <v>15726</v>
      </c>
      <c r="M2105" t="s">
        <v>7292</v>
      </c>
      <c r="N2105">
        <v>2024</v>
      </c>
      <c r="R2105">
        <v>650000</v>
      </c>
      <c r="S2105" t="s">
        <v>20266</v>
      </c>
      <c r="T2105" t="s">
        <v>6546</v>
      </c>
      <c r="U2105" t="s">
        <v>6546</v>
      </c>
      <c r="V2105">
        <v>41</v>
      </c>
      <c r="W2105">
        <v>36.270000000000003</v>
      </c>
      <c r="X2105">
        <v>41</v>
      </c>
      <c r="Y2105">
        <v>700</v>
      </c>
      <c r="Z2105" t="s">
        <v>8842</v>
      </c>
      <c r="AB2105" t="s">
        <v>20267</v>
      </c>
      <c r="AC2105" t="s">
        <v>8777</v>
      </c>
      <c r="AF2105" t="s">
        <v>20268</v>
      </c>
      <c r="AI2105" t="s">
        <v>8777</v>
      </c>
      <c r="AO2105" t="s">
        <v>20269</v>
      </c>
    </row>
    <row r="2106" spans="1:41" hidden="1" x14ac:dyDescent="0.35">
      <c r="A2106" t="s">
        <v>20270</v>
      </c>
      <c r="B2106" t="s">
        <v>7246</v>
      </c>
      <c r="C2106" t="s">
        <v>420</v>
      </c>
      <c r="D2106" t="s">
        <v>420</v>
      </c>
      <c r="E2106" t="s">
        <v>420</v>
      </c>
      <c r="G2106" s="13" t="s">
        <v>20271</v>
      </c>
      <c r="H2106" t="s">
        <v>20272</v>
      </c>
      <c r="I2106" t="s">
        <v>20273</v>
      </c>
      <c r="K2106" t="s">
        <v>9219</v>
      </c>
      <c r="L2106" t="s">
        <v>9155</v>
      </c>
      <c r="M2106" t="s">
        <v>7250</v>
      </c>
      <c r="N2106">
        <v>1999</v>
      </c>
      <c r="R2106">
        <v>1200</v>
      </c>
      <c r="S2106" t="s">
        <v>7251</v>
      </c>
      <c r="T2106">
        <v>12.41</v>
      </c>
      <c r="U2106">
        <v>5776</v>
      </c>
      <c r="V2106">
        <v>92</v>
      </c>
      <c r="W2106" t="s">
        <v>6546</v>
      </c>
      <c r="X2106">
        <v>92</v>
      </c>
      <c r="Y2106">
        <v>32</v>
      </c>
      <c r="Z2106" t="s">
        <v>7253</v>
      </c>
      <c r="AC2106" t="s">
        <v>8747</v>
      </c>
      <c r="AI2106" t="s">
        <v>8747</v>
      </c>
      <c r="AO2106" t="s">
        <v>6546</v>
      </c>
    </row>
    <row r="2107" spans="1:41" hidden="1" x14ac:dyDescent="0.35">
      <c r="A2107" t="s">
        <v>20274</v>
      </c>
      <c r="B2107" t="s">
        <v>7246</v>
      </c>
      <c r="C2107" t="s">
        <v>420</v>
      </c>
      <c r="D2107" t="s">
        <v>420</v>
      </c>
      <c r="E2107" t="s">
        <v>420</v>
      </c>
      <c r="G2107" s="13" t="s">
        <v>20271</v>
      </c>
      <c r="H2107" t="s">
        <v>20272</v>
      </c>
      <c r="I2107" t="s">
        <v>20275</v>
      </c>
      <c r="K2107" t="s">
        <v>9219</v>
      </c>
      <c r="L2107" t="s">
        <v>9155</v>
      </c>
      <c r="M2107" t="s">
        <v>7250</v>
      </c>
      <c r="N2107">
        <v>2004</v>
      </c>
      <c r="R2107">
        <v>2400</v>
      </c>
      <c r="S2107" t="s">
        <v>7251</v>
      </c>
      <c r="T2107">
        <v>24.82</v>
      </c>
      <c r="U2107">
        <v>11552</v>
      </c>
      <c r="V2107" t="s">
        <v>6546</v>
      </c>
      <c r="W2107" t="s">
        <v>6546</v>
      </c>
      <c r="X2107" t="s">
        <v>6546</v>
      </c>
      <c r="Y2107">
        <v>38</v>
      </c>
      <c r="Z2107" t="s">
        <v>7253</v>
      </c>
      <c r="AC2107" t="s">
        <v>8747</v>
      </c>
      <c r="AI2107" t="s">
        <v>8747</v>
      </c>
      <c r="AO2107" t="s">
        <v>6546</v>
      </c>
    </row>
    <row r="2108" spans="1:41" hidden="1" x14ac:dyDescent="0.35">
      <c r="A2108" t="s">
        <v>20276</v>
      </c>
      <c r="B2108" t="s">
        <v>7246</v>
      </c>
      <c r="C2108" t="s">
        <v>420</v>
      </c>
      <c r="D2108" t="s">
        <v>420</v>
      </c>
      <c r="E2108" t="s">
        <v>420</v>
      </c>
      <c r="G2108" s="13" t="s">
        <v>20277</v>
      </c>
      <c r="H2108" t="s">
        <v>20278</v>
      </c>
      <c r="I2108" t="s">
        <v>20279</v>
      </c>
      <c r="K2108" t="s">
        <v>9155</v>
      </c>
      <c r="L2108" t="s">
        <v>9155</v>
      </c>
      <c r="M2108" t="s">
        <v>7250</v>
      </c>
      <c r="T2108" t="s">
        <v>6546</v>
      </c>
      <c r="U2108" t="s">
        <v>6546</v>
      </c>
      <c r="V2108">
        <v>32.19</v>
      </c>
      <c r="W2108" t="s">
        <v>6546</v>
      </c>
      <c r="X2108">
        <v>32.19</v>
      </c>
      <c r="Y2108">
        <v>6</v>
      </c>
      <c r="Z2108" t="s">
        <v>7253</v>
      </c>
      <c r="AC2108" t="s">
        <v>8747</v>
      </c>
      <c r="AI2108" t="s">
        <v>8747</v>
      </c>
      <c r="AL2108" t="s">
        <v>20280</v>
      </c>
      <c r="AO2108" t="s">
        <v>6546</v>
      </c>
    </row>
    <row r="2109" spans="1:41" hidden="1" x14ac:dyDescent="0.35">
      <c r="A2109" t="s">
        <v>20281</v>
      </c>
      <c r="B2109" t="s">
        <v>7246</v>
      </c>
      <c r="C2109" t="s">
        <v>420</v>
      </c>
      <c r="D2109" t="s">
        <v>420</v>
      </c>
      <c r="E2109" t="s">
        <v>420</v>
      </c>
      <c r="G2109" s="13" t="s">
        <v>20277</v>
      </c>
      <c r="H2109" t="s">
        <v>20278</v>
      </c>
      <c r="I2109" t="s">
        <v>20282</v>
      </c>
      <c r="K2109" t="s">
        <v>9155</v>
      </c>
      <c r="L2109" t="s">
        <v>9155</v>
      </c>
      <c r="M2109" t="s">
        <v>7250</v>
      </c>
      <c r="T2109" t="s">
        <v>6546</v>
      </c>
      <c r="U2109" t="s">
        <v>6546</v>
      </c>
      <c r="V2109">
        <v>59.55</v>
      </c>
      <c r="W2109" t="s">
        <v>6546</v>
      </c>
      <c r="X2109">
        <v>59.55</v>
      </c>
      <c r="Y2109">
        <v>10</v>
      </c>
      <c r="Z2109" t="s">
        <v>7253</v>
      </c>
      <c r="AC2109" t="s">
        <v>8747</v>
      </c>
      <c r="AI2109" t="s">
        <v>8747</v>
      </c>
      <c r="AO2109" t="s">
        <v>6546</v>
      </c>
    </row>
    <row r="2110" spans="1:41" hidden="1" x14ac:dyDescent="0.35">
      <c r="A2110" t="s">
        <v>20283</v>
      </c>
      <c r="B2110" t="s">
        <v>7246</v>
      </c>
      <c r="C2110" t="s">
        <v>420</v>
      </c>
      <c r="D2110" t="s">
        <v>420</v>
      </c>
      <c r="E2110" t="s">
        <v>420</v>
      </c>
      <c r="G2110" s="13" t="s">
        <v>9183</v>
      </c>
      <c r="H2110" t="s">
        <v>9184</v>
      </c>
      <c r="I2110" t="s">
        <v>20284</v>
      </c>
      <c r="K2110" t="s">
        <v>9155</v>
      </c>
      <c r="L2110" t="s">
        <v>9155</v>
      </c>
      <c r="M2110" t="s">
        <v>7250</v>
      </c>
      <c r="T2110" t="s">
        <v>6546</v>
      </c>
      <c r="U2110" t="s">
        <v>6546</v>
      </c>
      <c r="V2110">
        <v>154</v>
      </c>
      <c r="W2110">
        <v>78.650000000000006</v>
      </c>
      <c r="X2110">
        <v>154</v>
      </c>
      <c r="Y2110">
        <v>12</v>
      </c>
      <c r="Z2110" t="s">
        <v>7253</v>
      </c>
      <c r="AA2110" t="s">
        <v>9177</v>
      </c>
      <c r="AB2110" t="s">
        <v>9186</v>
      </c>
      <c r="AC2110" t="s">
        <v>8747</v>
      </c>
      <c r="AE2110" t="s">
        <v>9179</v>
      </c>
      <c r="AF2110" t="s">
        <v>8756</v>
      </c>
      <c r="AH2110" t="s">
        <v>8757</v>
      </c>
      <c r="AI2110" t="s">
        <v>8747</v>
      </c>
      <c r="AO2110" t="s">
        <v>9187</v>
      </c>
    </row>
    <row r="2111" spans="1:41" hidden="1" x14ac:dyDescent="0.35">
      <c r="A2111" t="s">
        <v>20285</v>
      </c>
      <c r="B2111" t="s">
        <v>7246</v>
      </c>
      <c r="C2111" t="s">
        <v>423</v>
      </c>
      <c r="D2111" t="s">
        <v>423</v>
      </c>
      <c r="E2111" t="s">
        <v>423</v>
      </c>
      <c r="G2111" s="13" t="s">
        <v>13979</v>
      </c>
      <c r="H2111" t="s">
        <v>13980</v>
      </c>
      <c r="I2111" t="s">
        <v>20286</v>
      </c>
      <c r="K2111" t="s">
        <v>9848</v>
      </c>
      <c r="L2111" t="s">
        <v>9848</v>
      </c>
      <c r="M2111" t="s">
        <v>7292</v>
      </c>
      <c r="T2111" t="s">
        <v>6546</v>
      </c>
      <c r="U2111" t="s">
        <v>6546</v>
      </c>
      <c r="V2111" t="s">
        <v>6546</v>
      </c>
      <c r="W2111">
        <v>108.54</v>
      </c>
      <c r="X2111">
        <v>108.54</v>
      </c>
      <c r="AB2111" t="s">
        <v>20287</v>
      </c>
      <c r="AC2111" t="s">
        <v>8844</v>
      </c>
      <c r="AE2111" t="s">
        <v>14231</v>
      </c>
      <c r="AF2111" t="s">
        <v>20288</v>
      </c>
      <c r="AH2111" t="s">
        <v>14231</v>
      </c>
      <c r="AI2111" t="s">
        <v>8844</v>
      </c>
      <c r="AL2111" t="s">
        <v>13981</v>
      </c>
      <c r="AM2111" t="s">
        <v>20289</v>
      </c>
      <c r="AO2111" t="s">
        <v>20290</v>
      </c>
    </row>
    <row r="2112" spans="1:41" hidden="1" x14ac:dyDescent="0.35">
      <c r="A2112" t="s">
        <v>20291</v>
      </c>
      <c r="B2112" t="s">
        <v>7246</v>
      </c>
      <c r="C2112" t="s">
        <v>423</v>
      </c>
      <c r="D2112" t="s">
        <v>423</v>
      </c>
      <c r="E2112" t="s">
        <v>423</v>
      </c>
      <c r="G2112" s="13" t="s">
        <v>20292</v>
      </c>
      <c r="H2112" t="s">
        <v>20293</v>
      </c>
      <c r="K2112" t="s">
        <v>9848</v>
      </c>
      <c r="L2112" t="s">
        <v>9848</v>
      </c>
      <c r="M2112" t="s">
        <v>7292</v>
      </c>
      <c r="R2112">
        <v>0.01</v>
      </c>
      <c r="S2112" t="s">
        <v>8257</v>
      </c>
      <c r="T2112">
        <v>0.01</v>
      </c>
      <c r="U2112">
        <v>6.05</v>
      </c>
      <c r="V2112" t="s">
        <v>6546</v>
      </c>
      <c r="W2112">
        <v>33.119999999999997</v>
      </c>
      <c r="X2112">
        <v>33.119999999999997</v>
      </c>
      <c r="AB2112" t="s">
        <v>20294</v>
      </c>
      <c r="AC2112" t="s">
        <v>8844</v>
      </c>
      <c r="AE2112" t="s">
        <v>14231</v>
      </c>
      <c r="AF2112" t="s">
        <v>20295</v>
      </c>
      <c r="AH2112" t="s">
        <v>14231</v>
      </c>
      <c r="AI2112" t="s">
        <v>8844</v>
      </c>
      <c r="AL2112" t="s">
        <v>20296</v>
      </c>
      <c r="AO2112" t="s">
        <v>20297</v>
      </c>
    </row>
    <row r="2113" spans="1:41" hidden="1" x14ac:dyDescent="0.35">
      <c r="A2113" t="s">
        <v>20298</v>
      </c>
      <c r="B2113" t="s">
        <v>7246</v>
      </c>
      <c r="C2113" t="s">
        <v>5205</v>
      </c>
      <c r="D2113" t="s">
        <v>5205</v>
      </c>
      <c r="E2113" t="s">
        <v>5205</v>
      </c>
      <c r="G2113" s="13" t="s">
        <v>20299</v>
      </c>
      <c r="H2113" t="s">
        <v>20300</v>
      </c>
      <c r="J2113" t="s">
        <v>20301</v>
      </c>
      <c r="K2113" t="s">
        <v>17106</v>
      </c>
      <c r="L2113" t="s">
        <v>17107</v>
      </c>
      <c r="M2113" t="s">
        <v>7250</v>
      </c>
      <c r="R2113">
        <v>80</v>
      </c>
      <c r="S2113" t="s">
        <v>7251</v>
      </c>
      <c r="T2113">
        <v>0.83</v>
      </c>
      <c r="U2113">
        <v>385.07</v>
      </c>
      <c r="V2113">
        <v>290</v>
      </c>
      <c r="W2113">
        <v>209.01</v>
      </c>
      <c r="X2113">
        <v>290</v>
      </c>
      <c r="Y2113">
        <v>16</v>
      </c>
      <c r="Z2113" t="s">
        <v>7253</v>
      </c>
      <c r="AB2113" t="s">
        <v>8866</v>
      </c>
      <c r="AC2113" t="s">
        <v>8859</v>
      </c>
      <c r="AE2113" t="s">
        <v>3542</v>
      </c>
      <c r="AF2113" t="s">
        <v>3543</v>
      </c>
      <c r="AH2113" t="s">
        <v>3542</v>
      </c>
      <c r="AI2113" t="s">
        <v>8859</v>
      </c>
      <c r="AO2113" t="s">
        <v>20302</v>
      </c>
    </row>
    <row r="2114" spans="1:41" hidden="1" x14ac:dyDescent="0.35">
      <c r="A2114" t="s">
        <v>20303</v>
      </c>
      <c r="B2114" t="s">
        <v>7246</v>
      </c>
      <c r="C2114" t="s">
        <v>5205</v>
      </c>
      <c r="D2114" t="s">
        <v>5205</v>
      </c>
      <c r="E2114" t="s">
        <v>5205</v>
      </c>
      <c r="G2114" s="13" t="s">
        <v>20304</v>
      </c>
      <c r="H2114" t="s">
        <v>20305</v>
      </c>
      <c r="K2114" t="s">
        <v>17106</v>
      </c>
      <c r="L2114" t="s">
        <v>17107</v>
      </c>
      <c r="M2114" t="s">
        <v>7250</v>
      </c>
      <c r="R2114">
        <v>180</v>
      </c>
      <c r="S2114" t="s">
        <v>7251</v>
      </c>
      <c r="T2114">
        <v>1.86</v>
      </c>
      <c r="U2114">
        <v>866.4</v>
      </c>
      <c r="V2114">
        <v>412</v>
      </c>
      <c r="W2114">
        <v>343.05</v>
      </c>
      <c r="X2114">
        <v>412</v>
      </c>
      <c r="Y2114" t="s">
        <v>20306</v>
      </c>
      <c r="Z2114" t="s">
        <v>7253</v>
      </c>
      <c r="AB2114" t="s">
        <v>20307</v>
      </c>
      <c r="AC2114" t="s">
        <v>8859</v>
      </c>
      <c r="AE2114" t="s">
        <v>3542</v>
      </c>
      <c r="AF2114" t="s">
        <v>3543</v>
      </c>
      <c r="AH2114" t="s">
        <v>3542</v>
      </c>
      <c r="AI2114" t="s">
        <v>8859</v>
      </c>
      <c r="AO2114" t="s">
        <v>20308</v>
      </c>
    </row>
    <row r="2115" spans="1:41" hidden="1" x14ac:dyDescent="0.35">
      <c r="A2115" t="s">
        <v>20309</v>
      </c>
      <c r="B2115" t="s">
        <v>7246</v>
      </c>
      <c r="C2115" t="s">
        <v>5205</v>
      </c>
      <c r="D2115" t="s">
        <v>5205</v>
      </c>
      <c r="E2115" t="s">
        <v>5205</v>
      </c>
      <c r="G2115" s="13" t="s">
        <v>20310</v>
      </c>
      <c r="H2115" t="s">
        <v>20311</v>
      </c>
      <c r="K2115" t="s">
        <v>17106</v>
      </c>
      <c r="L2115" t="s">
        <v>17107</v>
      </c>
      <c r="M2115" t="s">
        <v>7250</v>
      </c>
      <c r="R2115">
        <v>60</v>
      </c>
      <c r="S2115" t="s">
        <v>7251</v>
      </c>
      <c r="T2115">
        <v>0.62</v>
      </c>
      <c r="U2115">
        <v>288.8</v>
      </c>
      <c r="V2115">
        <v>116</v>
      </c>
      <c r="W2115">
        <v>101.92</v>
      </c>
      <c r="X2115">
        <v>116</v>
      </c>
      <c r="Y2115">
        <v>24</v>
      </c>
      <c r="Z2115" t="s">
        <v>7253</v>
      </c>
      <c r="AB2115" t="s">
        <v>20312</v>
      </c>
      <c r="AC2115" t="s">
        <v>8859</v>
      </c>
      <c r="AE2115" t="s">
        <v>3542</v>
      </c>
      <c r="AF2115" t="s">
        <v>20313</v>
      </c>
      <c r="AH2115" t="s">
        <v>3542</v>
      </c>
      <c r="AI2115" t="s">
        <v>8859</v>
      </c>
      <c r="AO2115" t="s">
        <v>20314</v>
      </c>
    </row>
    <row r="2116" spans="1:41" hidden="1" x14ac:dyDescent="0.35">
      <c r="A2116" t="s">
        <v>20315</v>
      </c>
      <c r="B2116" t="s">
        <v>7246</v>
      </c>
      <c r="C2116" t="s">
        <v>5205</v>
      </c>
      <c r="D2116" t="s">
        <v>5205</v>
      </c>
      <c r="E2116" t="s">
        <v>5205</v>
      </c>
      <c r="G2116" s="13" t="s">
        <v>20316</v>
      </c>
      <c r="H2116" t="s">
        <v>20317</v>
      </c>
      <c r="K2116" t="s">
        <v>17106</v>
      </c>
      <c r="L2116" t="s">
        <v>17107</v>
      </c>
      <c r="M2116" t="s">
        <v>7250</v>
      </c>
      <c r="R2116">
        <v>85</v>
      </c>
      <c r="S2116" t="s">
        <v>7251</v>
      </c>
      <c r="T2116">
        <v>0.88</v>
      </c>
      <c r="U2116">
        <v>409.13</v>
      </c>
      <c r="V2116">
        <v>81</v>
      </c>
      <c r="W2116">
        <v>58.64</v>
      </c>
      <c r="X2116">
        <v>81</v>
      </c>
      <c r="Y2116">
        <v>24</v>
      </c>
      <c r="Z2116" t="s">
        <v>7253</v>
      </c>
      <c r="AB2116" t="s">
        <v>8866</v>
      </c>
      <c r="AC2116" t="s">
        <v>8859</v>
      </c>
      <c r="AE2116" t="s">
        <v>3542</v>
      </c>
      <c r="AF2116" t="s">
        <v>20318</v>
      </c>
      <c r="AH2116" t="s">
        <v>3542</v>
      </c>
      <c r="AI2116" t="s">
        <v>8859</v>
      </c>
      <c r="AO2116" t="s">
        <v>20319</v>
      </c>
    </row>
    <row r="2117" spans="1:41" hidden="1" x14ac:dyDescent="0.35">
      <c r="A2117" t="s">
        <v>20320</v>
      </c>
      <c r="B2117" t="s">
        <v>7246</v>
      </c>
      <c r="C2117" t="s">
        <v>5205</v>
      </c>
      <c r="D2117" t="s">
        <v>5205</v>
      </c>
      <c r="E2117" t="s">
        <v>5205</v>
      </c>
      <c r="G2117" s="13" t="s">
        <v>20321</v>
      </c>
      <c r="H2117" t="s">
        <v>20322</v>
      </c>
      <c r="K2117" t="s">
        <v>17106</v>
      </c>
      <c r="L2117" t="s">
        <v>17107</v>
      </c>
      <c r="M2117" t="s">
        <v>7250</v>
      </c>
      <c r="N2117">
        <v>1988</v>
      </c>
      <c r="R2117">
        <v>200</v>
      </c>
      <c r="S2117" t="s">
        <v>7251</v>
      </c>
      <c r="T2117">
        <v>2.0699999999999998</v>
      </c>
      <c r="U2117">
        <v>962.67</v>
      </c>
      <c r="V2117">
        <v>101</v>
      </c>
      <c r="W2117">
        <v>97.09</v>
      </c>
      <c r="X2117">
        <v>101</v>
      </c>
      <c r="Y2117">
        <v>18</v>
      </c>
      <c r="Z2117" t="s">
        <v>7253</v>
      </c>
      <c r="AB2117" t="s">
        <v>20323</v>
      </c>
      <c r="AC2117" t="s">
        <v>8859</v>
      </c>
      <c r="AE2117" t="s">
        <v>3542</v>
      </c>
      <c r="AF2117" t="s">
        <v>20324</v>
      </c>
      <c r="AH2117" t="s">
        <v>3542</v>
      </c>
      <c r="AI2117" t="s">
        <v>8859</v>
      </c>
      <c r="AO2117" t="s">
        <v>20325</v>
      </c>
    </row>
    <row r="2118" spans="1:41" hidden="1" x14ac:dyDescent="0.35">
      <c r="A2118" t="s">
        <v>20326</v>
      </c>
      <c r="B2118" t="s">
        <v>7246</v>
      </c>
      <c r="C2118" t="s">
        <v>5205</v>
      </c>
      <c r="D2118" t="s">
        <v>5205</v>
      </c>
      <c r="E2118" t="s">
        <v>5205</v>
      </c>
      <c r="G2118" s="13" t="s">
        <v>20327</v>
      </c>
      <c r="H2118" t="s">
        <v>20328</v>
      </c>
      <c r="K2118" t="s">
        <v>17106</v>
      </c>
      <c r="L2118" t="s">
        <v>17107</v>
      </c>
      <c r="M2118" t="s">
        <v>7250</v>
      </c>
      <c r="R2118">
        <v>400</v>
      </c>
      <c r="S2118" t="s">
        <v>7251</v>
      </c>
      <c r="T2118">
        <v>4.1399999999999997</v>
      </c>
      <c r="U2118">
        <v>1925.33</v>
      </c>
      <c r="V2118">
        <v>250</v>
      </c>
      <c r="W2118">
        <v>233.37</v>
      </c>
      <c r="X2118">
        <v>250</v>
      </c>
      <c r="Y2118" t="s">
        <v>20329</v>
      </c>
      <c r="Z2118" t="s">
        <v>7253</v>
      </c>
      <c r="AB2118" t="s">
        <v>20330</v>
      </c>
      <c r="AC2118" t="s">
        <v>8859</v>
      </c>
      <c r="AE2118" t="s">
        <v>3542</v>
      </c>
      <c r="AF2118" t="s">
        <v>3543</v>
      </c>
      <c r="AH2118" t="s">
        <v>3542</v>
      </c>
      <c r="AI2118" t="s">
        <v>8859</v>
      </c>
      <c r="AO2118" t="s">
        <v>20331</v>
      </c>
    </row>
    <row r="2119" spans="1:41" hidden="1" x14ac:dyDescent="0.35">
      <c r="A2119" t="s">
        <v>20332</v>
      </c>
      <c r="B2119" t="s">
        <v>7246</v>
      </c>
      <c r="C2119" t="s">
        <v>5205</v>
      </c>
      <c r="D2119" t="s">
        <v>5205</v>
      </c>
      <c r="E2119" t="s">
        <v>5205</v>
      </c>
      <c r="G2119" s="13" t="s">
        <v>20333</v>
      </c>
      <c r="H2119" t="s">
        <v>20334</v>
      </c>
      <c r="K2119" t="s">
        <v>17106</v>
      </c>
      <c r="L2119" t="s">
        <v>17107</v>
      </c>
      <c r="M2119" t="s">
        <v>7250</v>
      </c>
      <c r="R2119">
        <v>240</v>
      </c>
      <c r="S2119" t="s">
        <v>7251</v>
      </c>
      <c r="T2119">
        <v>2.48</v>
      </c>
      <c r="U2119">
        <v>1155.2</v>
      </c>
      <c r="V2119">
        <v>200</v>
      </c>
      <c r="W2119">
        <v>221.55</v>
      </c>
      <c r="X2119">
        <v>200</v>
      </c>
      <c r="Y2119">
        <v>24</v>
      </c>
      <c r="Z2119" t="s">
        <v>7253</v>
      </c>
      <c r="AB2119" t="s">
        <v>20330</v>
      </c>
      <c r="AC2119" t="s">
        <v>8859</v>
      </c>
      <c r="AE2119" t="s">
        <v>3542</v>
      </c>
      <c r="AF2119" t="s">
        <v>3543</v>
      </c>
      <c r="AH2119" t="s">
        <v>3542</v>
      </c>
      <c r="AI2119" t="s">
        <v>8859</v>
      </c>
      <c r="AO2119" t="s">
        <v>20335</v>
      </c>
    </row>
    <row r="2120" spans="1:41" hidden="1" x14ac:dyDescent="0.35">
      <c r="A2120" t="s">
        <v>20336</v>
      </c>
      <c r="B2120" t="s">
        <v>7246</v>
      </c>
      <c r="C2120" t="s">
        <v>5205</v>
      </c>
      <c r="D2120" t="s">
        <v>5205</v>
      </c>
      <c r="E2120" t="s">
        <v>5205</v>
      </c>
      <c r="G2120" s="13" t="s">
        <v>20337</v>
      </c>
      <c r="H2120" t="s">
        <v>20338</v>
      </c>
      <c r="J2120" t="s">
        <v>20339</v>
      </c>
      <c r="K2120" t="s">
        <v>17106</v>
      </c>
      <c r="L2120" t="s">
        <v>17107</v>
      </c>
      <c r="M2120" t="s">
        <v>7250</v>
      </c>
      <c r="R2120">
        <v>90</v>
      </c>
      <c r="S2120" t="s">
        <v>7251</v>
      </c>
      <c r="T2120">
        <v>0.93</v>
      </c>
      <c r="U2120">
        <v>433.2</v>
      </c>
      <c r="V2120">
        <v>344</v>
      </c>
      <c r="W2120">
        <v>253.52</v>
      </c>
      <c r="X2120">
        <v>344</v>
      </c>
      <c r="Y2120" t="s">
        <v>20340</v>
      </c>
      <c r="Z2120" t="s">
        <v>7253</v>
      </c>
      <c r="AB2120" t="s">
        <v>20341</v>
      </c>
      <c r="AC2120" t="s">
        <v>8859</v>
      </c>
      <c r="AE2120" t="s">
        <v>3542</v>
      </c>
      <c r="AF2120" t="s">
        <v>20342</v>
      </c>
      <c r="AH2120" t="s">
        <v>17083</v>
      </c>
      <c r="AI2120" t="s">
        <v>8859</v>
      </c>
      <c r="AO2120" t="s">
        <v>20343</v>
      </c>
    </row>
    <row r="2121" spans="1:41" hidden="1" x14ac:dyDescent="0.35">
      <c r="A2121" t="s">
        <v>20344</v>
      </c>
      <c r="B2121" t="s">
        <v>7246</v>
      </c>
      <c r="C2121" t="s">
        <v>5205</v>
      </c>
      <c r="D2121" t="s">
        <v>5205</v>
      </c>
      <c r="E2121" t="s">
        <v>5205</v>
      </c>
      <c r="G2121" s="13" t="s">
        <v>20345</v>
      </c>
      <c r="H2121" t="s">
        <v>20346</v>
      </c>
      <c r="K2121" t="s">
        <v>17106</v>
      </c>
      <c r="L2121" t="s">
        <v>17107</v>
      </c>
      <c r="M2121" t="s">
        <v>7250</v>
      </c>
      <c r="N2121">
        <v>2014</v>
      </c>
      <c r="R2121">
        <v>25</v>
      </c>
      <c r="S2121" t="s">
        <v>7251</v>
      </c>
      <c r="T2121">
        <v>0.26</v>
      </c>
      <c r="U2121">
        <v>120.33</v>
      </c>
      <c r="V2121">
        <v>61</v>
      </c>
      <c r="W2121">
        <v>79.150000000000006</v>
      </c>
      <c r="X2121">
        <v>61</v>
      </c>
      <c r="Y2121">
        <v>12</v>
      </c>
      <c r="Z2121" t="s">
        <v>7253</v>
      </c>
      <c r="AB2121" t="s">
        <v>20347</v>
      </c>
      <c r="AC2121" t="s">
        <v>8859</v>
      </c>
      <c r="AE2121" t="s">
        <v>17083</v>
      </c>
      <c r="AF2121" t="s">
        <v>20342</v>
      </c>
      <c r="AH2121" t="s">
        <v>17083</v>
      </c>
      <c r="AI2121" t="s">
        <v>8859</v>
      </c>
      <c r="AO2121" t="s">
        <v>20348</v>
      </c>
    </row>
    <row r="2122" spans="1:41" hidden="1" x14ac:dyDescent="0.35">
      <c r="A2122" t="s">
        <v>20349</v>
      </c>
      <c r="B2122" t="s">
        <v>7246</v>
      </c>
      <c r="C2122" t="s">
        <v>5205</v>
      </c>
      <c r="D2122" t="s">
        <v>5205</v>
      </c>
      <c r="E2122" t="s">
        <v>5205</v>
      </c>
      <c r="G2122" s="13" t="s">
        <v>20350</v>
      </c>
      <c r="H2122" t="s">
        <v>20351</v>
      </c>
      <c r="K2122" t="s">
        <v>17106</v>
      </c>
      <c r="L2122" t="s">
        <v>17107</v>
      </c>
      <c r="M2122" t="s">
        <v>7250</v>
      </c>
      <c r="R2122">
        <v>170</v>
      </c>
      <c r="S2122" t="s">
        <v>7251</v>
      </c>
      <c r="T2122">
        <v>1.76</v>
      </c>
      <c r="U2122">
        <v>818.27</v>
      </c>
      <c r="V2122">
        <v>266</v>
      </c>
      <c r="W2122">
        <v>253.48</v>
      </c>
      <c r="X2122">
        <v>266</v>
      </c>
      <c r="Y2122">
        <v>20</v>
      </c>
      <c r="Z2122" t="s">
        <v>7253</v>
      </c>
      <c r="AB2122" t="s">
        <v>20330</v>
      </c>
      <c r="AC2122" t="s">
        <v>8859</v>
      </c>
      <c r="AE2122" t="s">
        <v>3542</v>
      </c>
      <c r="AF2122" t="s">
        <v>20352</v>
      </c>
      <c r="AH2122" t="s">
        <v>17083</v>
      </c>
      <c r="AI2122" t="s">
        <v>8859</v>
      </c>
      <c r="AO2122" t="s">
        <v>20353</v>
      </c>
    </row>
    <row r="2123" spans="1:41" hidden="1" x14ac:dyDescent="0.35">
      <c r="A2123" t="s">
        <v>20354</v>
      </c>
      <c r="B2123" t="s">
        <v>7246</v>
      </c>
      <c r="C2123" t="s">
        <v>5205</v>
      </c>
      <c r="D2123" t="s">
        <v>5205</v>
      </c>
      <c r="E2123" t="s">
        <v>5205</v>
      </c>
      <c r="G2123" s="13" t="s">
        <v>20355</v>
      </c>
      <c r="H2123" t="s">
        <v>20356</v>
      </c>
      <c r="K2123" t="s">
        <v>17106</v>
      </c>
      <c r="L2123" t="s">
        <v>17107</v>
      </c>
      <c r="M2123" t="s">
        <v>7250</v>
      </c>
      <c r="R2123">
        <v>30</v>
      </c>
      <c r="S2123" t="s">
        <v>7251</v>
      </c>
      <c r="T2123">
        <v>0.31</v>
      </c>
      <c r="U2123">
        <v>144.4</v>
      </c>
      <c r="V2123">
        <v>58</v>
      </c>
      <c r="W2123">
        <v>73.760000000000005</v>
      </c>
      <c r="X2123">
        <v>58</v>
      </c>
      <c r="Y2123">
        <v>16</v>
      </c>
      <c r="Z2123" t="s">
        <v>7253</v>
      </c>
      <c r="AB2123" t="s">
        <v>20357</v>
      </c>
      <c r="AC2123" t="s">
        <v>8859</v>
      </c>
      <c r="AE2123" t="s">
        <v>3542</v>
      </c>
      <c r="AF2123" t="s">
        <v>20352</v>
      </c>
      <c r="AH2123" t="s">
        <v>17083</v>
      </c>
      <c r="AI2123" t="s">
        <v>8859</v>
      </c>
      <c r="AO2123" t="s">
        <v>20358</v>
      </c>
    </row>
    <row r="2124" spans="1:41" hidden="1" x14ac:dyDescent="0.35">
      <c r="A2124" t="s">
        <v>20359</v>
      </c>
      <c r="B2124" t="s">
        <v>7246</v>
      </c>
      <c r="C2124" t="s">
        <v>420</v>
      </c>
      <c r="D2124" t="s">
        <v>420</v>
      </c>
      <c r="E2124" t="s">
        <v>8752</v>
      </c>
      <c r="G2124" s="13" t="s">
        <v>20360</v>
      </c>
      <c r="H2124" t="s">
        <v>20361</v>
      </c>
      <c r="I2124" t="s">
        <v>20362</v>
      </c>
      <c r="K2124" t="s">
        <v>20363</v>
      </c>
      <c r="L2124" t="s">
        <v>20364</v>
      </c>
      <c r="M2124" t="s">
        <v>7250</v>
      </c>
      <c r="N2124">
        <v>2007</v>
      </c>
      <c r="R2124">
        <v>1300</v>
      </c>
      <c r="S2124" t="s">
        <v>7251</v>
      </c>
      <c r="T2124">
        <v>13.45</v>
      </c>
      <c r="U2124">
        <v>6257.33</v>
      </c>
      <c r="V2124">
        <v>163</v>
      </c>
      <c r="W2124">
        <v>69.87</v>
      </c>
      <c r="X2124">
        <v>163</v>
      </c>
      <c r="Y2124">
        <v>36</v>
      </c>
      <c r="Z2124" t="s">
        <v>7253</v>
      </c>
      <c r="AA2124" t="s">
        <v>9177</v>
      </c>
      <c r="AC2124" t="s">
        <v>8747</v>
      </c>
      <c r="AF2124" t="s">
        <v>8756</v>
      </c>
      <c r="AH2124" t="s">
        <v>8757</v>
      </c>
      <c r="AI2124" t="s">
        <v>8747</v>
      </c>
      <c r="AL2124" t="s">
        <v>20365</v>
      </c>
      <c r="AO2124" t="s">
        <v>20366</v>
      </c>
    </row>
    <row r="2125" spans="1:41" hidden="1" x14ac:dyDescent="0.35">
      <c r="A2125" t="s">
        <v>20367</v>
      </c>
      <c r="B2125" t="s">
        <v>7246</v>
      </c>
      <c r="C2125" t="s">
        <v>420</v>
      </c>
      <c r="D2125" t="s">
        <v>420</v>
      </c>
      <c r="E2125" t="s">
        <v>8752</v>
      </c>
      <c r="G2125" s="13" t="s">
        <v>20368</v>
      </c>
      <c r="H2125" t="s">
        <v>20369</v>
      </c>
      <c r="K2125" t="s">
        <v>9155</v>
      </c>
      <c r="L2125" t="s">
        <v>9155</v>
      </c>
      <c r="M2125" t="s">
        <v>7250</v>
      </c>
      <c r="T2125" t="s">
        <v>6546</v>
      </c>
      <c r="U2125" t="s">
        <v>6546</v>
      </c>
      <c r="V2125">
        <v>125.53</v>
      </c>
      <c r="W2125" t="s">
        <v>6546</v>
      </c>
      <c r="X2125">
        <v>125.53</v>
      </c>
      <c r="Y2125">
        <v>32</v>
      </c>
      <c r="Z2125" t="s">
        <v>7253</v>
      </c>
      <c r="AA2125" t="s">
        <v>9177</v>
      </c>
      <c r="AC2125" t="s">
        <v>8747</v>
      </c>
      <c r="AF2125" t="s">
        <v>8756</v>
      </c>
      <c r="AH2125" t="s">
        <v>8757</v>
      </c>
      <c r="AI2125" t="s">
        <v>8747</v>
      </c>
      <c r="AL2125" t="s">
        <v>20370</v>
      </c>
      <c r="AO2125" t="s">
        <v>6546</v>
      </c>
    </row>
    <row r="2126" spans="1:41" hidden="1" x14ac:dyDescent="0.35">
      <c r="A2126" t="s">
        <v>20371</v>
      </c>
      <c r="B2126" t="s">
        <v>7246</v>
      </c>
      <c r="C2126" t="s">
        <v>451</v>
      </c>
      <c r="D2126" t="s">
        <v>451</v>
      </c>
      <c r="E2126" t="s">
        <v>451</v>
      </c>
      <c r="G2126" s="13" t="s">
        <v>7550</v>
      </c>
      <c r="H2126" t="s">
        <v>7551</v>
      </c>
      <c r="I2126" t="s">
        <v>20372</v>
      </c>
      <c r="K2126" t="s">
        <v>7552</v>
      </c>
      <c r="L2126" t="s">
        <v>7553</v>
      </c>
      <c r="M2126" t="s">
        <v>7250</v>
      </c>
      <c r="N2126">
        <v>2018</v>
      </c>
      <c r="R2126">
        <v>69</v>
      </c>
      <c r="S2126" t="s">
        <v>7251</v>
      </c>
      <c r="T2126">
        <v>0.71</v>
      </c>
      <c r="U2126">
        <v>332.12</v>
      </c>
      <c r="V2126">
        <v>1.61</v>
      </c>
      <c r="W2126" t="s">
        <v>6546</v>
      </c>
      <c r="X2126">
        <v>1.61</v>
      </c>
      <c r="Y2126" t="s">
        <v>20373</v>
      </c>
      <c r="Z2126" t="s">
        <v>7253</v>
      </c>
      <c r="AC2126" t="s">
        <v>7255</v>
      </c>
      <c r="AI2126" t="s">
        <v>7255</v>
      </c>
      <c r="AO2126" t="s">
        <v>6546</v>
      </c>
    </row>
    <row r="2127" spans="1:41" hidden="1" x14ac:dyDescent="0.35">
      <c r="A2127" t="s">
        <v>20374</v>
      </c>
      <c r="B2127" t="s">
        <v>7246</v>
      </c>
      <c r="C2127" t="s">
        <v>451</v>
      </c>
      <c r="D2127" t="s">
        <v>451</v>
      </c>
      <c r="E2127" t="s">
        <v>451</v>
      </c>
      <c r="G2127" s="13" t="s">
        <v>7550</v>
      </c>
      <c r="H2127" t="s">
        <v>7551</v>
      </c>
      <c r="I2127" t="s">
        <v>20375</v>
      </c>
      <c r="K2127" t="s">
        <v>7552</v>
      </c>
      <c r="L2127" t="s">
        <v>7553</v>
      </c>
      <c r="M2127" t="s">
        <v>7250</v>
      </c>
      <c r="N2127">
        <v>2011</v>
      </c>
      <c r="R2127">
        <v>820</v>
      </c>
      <c r="S2127" t="s">
        <v>7251</v>
      </c>
      <c r="T2127">
        <v>8.48</v>
      </c>
      <c r="U2127">
        <v>3946.93</v>
      </c>
      <c r="V2127">
        <v>777.31</v>
      </c>
      <c r="W2127" t="s">
        <v>6546</v>
      </c>
      <c r="X2127">
        <v>777.31</v>
      </c>
      <c r="Y2127" t="s">
        <v>20376</v>
      </c>
      <c r="Z2127" t="s">
        <v>7253</v>
      </c>
      <c r="AC2127" t="s">
        <v>7255</v>
      </c>
      <c r="AI2127" t="s">
        <v>7255</v>
      </c>
      <c r="AO2127" t="s">
        <v>6546</v>
      </c>
    </row>
    <row r="2128" spans="1:41" hidden="1" x14ac:dyDescent="0.35">
      <c r="A2128" t="s">
        <v>20377</v>
      </c>
      <c r="B2128" t="s">
        <v>7246</v>
      </c>
      <c r="C2128" t="s">
        <v>451</v>
      </c>
      <c r="D2128" t="s">
        <v>451</v>
      </c>
      <c r="E2128" t="s">
        <v>451</v>
      </c>
      <c r="G2128" s="13" t="s">
        <v>7550</v>
      </c>
      <c r="H2128" t="s">
        <v>7551</v>
      </c>
      <c r="I2128" t="s">
        <v>20378</v>
      </c>
      <c r="K2128" t="s">
        <v>7552</v>
      </c>
      <c r="L2128" t="s">
        <v>7553</v>
      </c>
      <c r="M2128" t="s">
        <v>7250</v>
      </c>
      <c r="N2128">
        <v>2017</v>
      </c>
      <c r="R2128">
        <v>15</v>
      </c>
      <c r="S2128" t="s">
        <v>7251</v>
      </c>
      <c r="T2128">
        <v>0.16</v>
      </c>
      <c r="U2128">
        <v>72.2</v>
      </c>
      <c r="V2128">
        <v>14.48</v>
      </c>
      <c r="W2128" t="s">
        <v>6546</v>
      </c>
      <c r="X2128">
        <v>14.48</v>
      </c>
      <c r="Y2128" t="s">
        <v>12041</v>
      </c>
      <c r="Z2128" t="s">
        <v>7253</v>
      </c>
      <c r="AC2128" t="s">
        <v>7255</v>
      </c>
      <c r="AI2128" t="s">
        <v>7255</v>
      </c>
      <c r="AO2128" t="s">
        <v>6546</v>
      </c>
    </row>
    <row r="2129" spans="1:41" hidden="1" x14ac:dyDescent="0.35">
      <c r="A2129" t="s">
        <v>20379</v>
      </c>
      <c r="B2129" t="s">
        <v>7246</v>
      </c>
      <c r="C2129" t="s">
        <v>451</v>
      </c>
      <c r="D2129" t="s">
        <v>451</v>
      </c>
      <c r="E2129" t="s">
        <v>451</v>
      </c>
      <c r="G2129" s="13" t="s">
        <v>7550</v>
      </c>
      <c r="H2129" t="s">
        <v>7551</v>
      </c>
      <c r="I2129" t="s">
        <v>20380</v>
      </c>
      <c r="K2129" t="s">
        <v>7552</v>
      </c>
      <c r="L2129" t="s">
        <v>7553</v>
      </c>
      <c r="M2129" t="s">
        <v>7250</v>
      </c>
      <c r="N2129">
        <v>2008</v>
      </c>
      <c r="R2129">
        <v>10</v>
      </c>
      <c r="S2129" t="s">
        <v>7251</v>
      </c>
      <c r="T2129">
        <v>0.1</v>
      </c>
      <c r="U2129">
        <v>48.13</v>
      </c>
      <c r="V2129">
        <v>11.27</v>
      </c>
      <c r="W2129" t="s">
        <v>6546</v>
      </c>
      <c r="X2129">
        <v>11.27</v>
      </c>
      <c r="Y2129">
        <v>30</v>
      </c>
      <c r="Z2129" t="s">
        <v>7253</v>
      </c>
      <c r="AC2129" t="s">
        <v>7255</v>
      </c>
      <c r="AI2129" t="s">
        <v>7255</v>
      </c>
      <c r="AO2129" t="s">
        <v>6546</v>
      </c>
    </row>
    <row r="2130" spans="1:41" hidden="1" x14ac:dyDescent="0.35">
      <c r="A2130" t="s">
        <v>20381</v>
      </c>
      <c r="B2130" t="s">
        <v>7246</v>
      </c>
      <c r="C2130" t="s">
        <v>451</v>
      </c>
      <c r="D2130" t="s">
        <v>451</v>
      </c>
      <c r="E2130" t="s">
        <v>451</v>
      </c>
      <c r="G2130" s="13" t="s">
        <v>7550</v>
      </c>
      <c r="H2130" t="s">
        <v>7551</v>
      </c>
      <c r="I2130" t="s">
        <v>20382</v>
      </c>
      <c r="K2130" t="s">
        <v>7552</v>
      </c>
      <c r="L2130" t="s">
        <v>7553</v>
      </c>
      <c r="M2130" t="s">
        <v>7250</v>
      </c>
      <c r="N2130">
        <v>2007</v>
      </c>
      <c r="R2130">
        <v>95</v>
      </c>
      <c r="S2130" t="s">
        <v>7251</v>
      </c>
      <c r="T2130">
        <v>0.98</v>
      </c>
      <c r="U2130">
        <v>457.27</v>
      </c>
      <c r="V2130">
        <v>27.84</v>
      </c>
      <c r="W2130" t="s">
        <v>6546</v>
      </c>
      <c r="X2130">
        <v>27.84</v>
      </c>
      <c r="Y2130">
        <v>36</v>
      </c>
      <c r="Z2130" t="s">
        <v>7253</v>
      </c>
      <c r="AC2130" t="s">
        <v>7255</v>
      </c>
      <c r="AI2130" t="s">
        <v>7255</v>
      </c>
      <c r="AO2130" t="s">
        <v>6546</v>
      </c>
    </row>
    <row r="2131" spans="1:41" hidden="1" x14ac:dyDescent="0.35">
      <c r="A2131" t="s">
        <v>20383</v>
      </c>
      <c r="B2131" t="s">
        <v>7246</v>
      </c>
      <c r="C2131" t="s">
        <v>451</v>
      </c>
      <c r="D2131" t="s">
        <v>451</v>
      </c>
      <c r="E2131" t="s">
        <v>451</v>
      </c>
      <c r="G2131" s="13" t="s">
        <v>7550</v>
      </c>
      <c r="H2131" t="s">
        <v>7551</v>
      </c>
      <c r="I2131" t="s">
        <v>20384</v>
      </c>
      <c r="K2131" t="s">
        <v>7552</v>
      </c>
      <c r="L2131" t="s">
        <v>7553</v>
      </c>
      <c r="M2131" t="s">
        <v>7250</v>
      </c>
      <c r="N2131">
        <v>2006</v>
      </c>
      <c r="R2131">
        <v>100</v>
      </c>
      <c r="S2131" t="s">
        <v>7251</v>
      </c>
      <c r="T2131">
        <v>1.03</v>
      </c>
      <c r="U2131">
        <v>481.33</v>
      </c>
      <c r="V2131">
        <v>0.48</v>
      </c>
      <c r="W2131" t="s">
        <v>6546</v>
      </c>
      <c r="X2131">
        <v>0.48</v>
      </c>
      <c r="Y2131">
        <v>24</v>
      </c>
      <c r="Z2131" t="s">
        <v>7253</v>
      </c>
      <c r="AC2131" t="s">
        <v>7255</v>
      </c>
      <c r="AI2131" t="s">
        <v>7255</v>
      </c>
      <c r="AO2131" t="s">
        <v>6546</v>
      </c>
    </row>
    <row r="2132" spans="1:41" hidden="1" x14ac:dyDescent="0.35">
      <c r="A2132" t="s">
        <v>20385</v>
      </c>
      <c r="B2132" t="s">
        <v>7246</v>
      </c>
      <c r="C2132" t="s">
        <v>451</v>
      </c>
      <c r="D2132" t="s">
        <v>451</v>
      </c>
      <c r="E2132" t="s">
        <v>451</v>
      </c>
      <c r="G2132" s="13" t="s">
        <v>7550</v>
      </c>
      <c r="H2132" t="s">
        <v>7551</v>
      </c>
      <c r="I2132" t="s">
        <v>20386</v>
      </c>
      <c r="K2132" t="s">
        <v>7552</v>
      </c>
      <c r="L2132" t="s">
        <v>7553</v>
      </c>
      <c r="M2132" t="s">
        <v>7250</v>
      </c>
      <c r="N2132">
        <v>2003</v>
      </c>
      <c r="R2132">
        <v>121</v>
      </c>
      <c r="S2132" t="s">
        <v>7251</v>
      </c>
      <c r="T2132">
        <v>1.25</v>
      </c>
      <c r="U2132">
        <v>582.41</v>
      </c>
      <c r="V2132">
        <v>53.11</v>
      </c>
      <c r="W2132" t="s">
        <v>6546</v>
      </c>
      <c r="X2132">
        <v>53.11</v>
      </c>
      <c r="Y2132">
        <v>36</v>
      </c>
      <c r="Z2132" t="s">
        <v>7253</v>
      </c>
      <c r="AC2132" t="s">
        <v>7255</v>
      </c>
      <c r="AI2132" t="s">
        <v>7255</v>
      </c>
      <c r="AO2132" t="s">
        <v>6546</v>
      </c>
    </row>
    <row r="2133" spans="1:41" hidden="1" x14ac:dyDescent="0.35">
      <c r="A2133" t="s">
        <v>20387</v>
      </c>
      <c r="B2133" t="s">
        <v>7246</v>
      </c>
      <c r="C2133" t="s">
        <v>451</v>
      </c>
      <c r="D2133" t="s">
        <v>451</v>
      </c>
      <c r="E2133" t="s">
        <v>451</v>
      </c>
      <c r="G2133" s="13" t="s">
        <v>7550</v>
      </c>
      <c r="H2133" t="s">
        <v>7551</v>
      </c>
      <c r="I2133" t="s">
        <v>20388</v>
      </c>
      <c r="K2133" t="s">
        <v>7552</v>
      </c>
      <c r="L2133" t="s">
        <v>7553</v>
      </c>
      <c r="M2133" t="s">
        <v>7250</v>
      </c>
      <c r="N2133">
        <v>2003</v>
      </c>
      <c r="R2133">
        <v>130</v>
      </c>
      <c r="S2133" t="s">
        <v>7251</v>
      </c>
      <c r="T2133">
        <v>1.34</v>
      </c>
      <c r="U2133">
        <v>625.73</v>
      </c>
      <c r="V2133">
        <v>218.87</v>
      </c>
      <c r="W2133" t="s">
        <v>6546</v>
      </c>
      <c r="X2133">
        <v>218.87</v>
      </c>
      <c r="Y2133" t="s">
        <v>20389</v>
      </c>
      <c r="Z2133" t="s">
        <v>7253</v>
      </c>
      <c r="AC2133" t="s">
        <v>7255</v>
      </c>
      <c r="AI2133" t="s">
        <v>7255</v>
      </c>
      <c r="AO2133" t="s">
        <v>6546</v>
      </c>
    </row>
    <row r="2134" spans="1:41" hidden="1" x14ac:dyDescent="0.35">
      <c r="A2134" t="s">
        <v>20390</v>
      </c>
      <c r="B2134" t="s">
        <v>7246</v>
      </c>
      <c r="C2134" t="s">
        <v>451</v>
      </c>
      <c r="D2134" t="s">
        <v>451</v>
      </c>
      <c r="E2134" t="s">
        <v>451</v>
      </c>
      <c r="G2134" s="13" t="s">
        <v>7550</v>
      </c>
      <c r="H2134" t="s">
        <v>7551</v>
      </c>
      <c r="I2134" t="s">
        <v>20391</v>
      </c>
      <c r="K2134" t="s">
        <v>7552</v>
      </c>
      <c r="L2134" t="s">
        <v>7553</v>
      </c>
      <c r="M2134" t="s">
        <v>7250</v>
      </c>
      <c r="N2134">
        <v>2002</v>
      </c>
      <c r="R2134">
        <v>180</v>
      </c>
      <c r="S2134" t="s">
        <v>7251</v>
      </c>
      <c r="T2134">
        <v>1.86</v>
      </c>
      <c r="U2134">
        <v>866.4</v>
      </c>
      <c r="V2134">
        <v>24.14</v>
      </c>
      <c r="W2134" t="s">
        <v>6546</v>
      </c>
      <c r="X2134">
        <v>24.14</v>
      </c>
      <c r="Y2134">
        <v>24</v>
      </c>
      <c r="Z2134" t="s">
        <v>7253</v>
      </c>
      <c r="AC2134" t="s">
        <v>7255</v>
      </c>
      <c r="AI2134" t="s">
        <v>7255</v>
      </c>
      <c r="AO2134" t="s">
        <v>6546</v>
      </c>
    </row>
    <row r="2135" spans="1:41" hidden="1" x14ac:dyDescent="0.35">
      <c r="A2135" t="s">
        <v>20392</v>
      </c>
      <c r="B2135" t="s">
        <v>7246</v>
      </c>
      <c r="C2135" t="s">
        <v>451</v>
      </c>
      <c r="D2135" t="s">
        <v>451</v>
      </c>
      <c r="E2135" t="s">
        <v>451</v>
      </c>
      <c r="G2135" s="13" t="s">
        <v>7550</v>
      </c>
      <c r="H2135" t="s">
        <v>7551</v>
      </c>
      <c r="I2135" t="s">
        <v>20393</v>
      </c>
      <c r="K2135" t="s">
        <v>7552</v>
      </c>
      <c r="L2135" t="s">
        <v>7553</v>
      </c>
      <c r="M2135" t="s">
        <v>7250</v>
      </c>
      <c r="N2135">
        <v>2002</v>
      </c>
      <c r="R2135">
        <v>298</v>
      </c>
      <c r="S2135" t="s">
        <v>7251</v>
      </c>
      <c r="T2135">
        <v>3.08</v>
      </c>
      <c r="U2135">
        <v>1434.37</v>
      </c>
      <c r="V2135">
        <v>103</v>
      </c>
      <c r="W2135" t="s">
        <v>6546</v>
      </c>
      <c r="X2135">
        <v>103</v>
      </c>
      <c r="Y2135" t="s">
        <v>20389</v>
      </c>
      <c r="Z2135" t="s">
        <v>7253</v>
      </c>
      <c r="AC2135" t="s">
        <v>7255</v>
      </c>
      <c r="AI2135" t="s">
        <v>7255</v>
      </c>
      <c r="AO2135" t="s">
        <v>6546</v>
      </c>
    </row>
    <row r="2136" spans="1:41" hidden="1" x14ac:dyDescent="0.35">
      <c r="A2136" t="s">
        <v>20394</v>
      </c>
      <c r="B2136" t="s">
        <v>7246</v>
      </c>
      <c r="C2136" t="s">
        <v>451</v>
      </c>
      <c r="D2136" t="s">
        <v>451</v>
      </c>
      <c r="E2136" t="s">
        <v>451</v>
      </c>
      <c r="G2136" s="13" t="s">
        <v>7550</v>
      </c>
      <c r="H2136" t="s">
        <v>7551</v>
      </c>
      <c r="I2136" t="s">
        <v>20395</v>
      </c>
      <c r="K2136" t="s">
        <v>7552</v>
      </c>
      <c r="L2136" t="s">
        <v>7553</v>
      </c>
      <c r="M2136" t="s">
        <v>7250</v>
      </c>
      <c r="N2136">
        <v>2001</v>
      </c>
      <c r="R2136">
        <v>80</v>
      </c>
      <c r="S2136" t="s">
        <v>7251</v>
      </c>
      <c r="T2136">
        <v>0.83</v>
      </c>
      <c r="U2136">
        <v>385.07</v>
      </c>
      <c r="V2136">
        <v>0</v>
      </c>
      <c r="W2136" t="s">
        <v>6546</v>
      </c>
      <c r="X2136">
        <v>0</v>
      </c>
      <c r="Y2136" t="s">
        <v>11778</v>
      </c>
      <c r="Z2136" t="s">
        <v>7253</v>
      </c>
      <c r="AC2136" t="s">
        <v>7255</v>
      </c>
      <c r="AI2136" t="s">
        <v>7255</v>
      </c>
      <c r="AO2136" t="s">
        <v>6546</v>
      </c>
    </row>
    <row r="2137" spans="1:41" hidden="1" x14ac:dyDescent="0.35">
      <c r="A2137" t="s">
        <v>20396</v>
      </c>
      <c r="B2137" t="s">
        <v>7246</v>
      </c>
      <c r="C2137" t="s">
        <v>451</v>
      </c>
      <c r="D2137" t="s">
        <v>451</v>
      </c>
      <c r="E2137" t="s">
        <v>451</v>
      </c>
      <c r="G2137" s="13" t="s">
        <v>7550</v>
      </c>
      <c r="H2137" t="s">
        <v>7551</v>
      </c>
      <c r="I2137" t="s">
        <v>20397</v>
      </c>
      <c r="K2137" t="s">
        <v>7552</v>
      </c>
      <c r="L2137" t="s">
        <v>7553</v>
      </c>
      <c r="M2137" t="s">
        <v>7250</v>
      </c>
      <c r="N2137">
        <v>2001</v>
      </c>
      <c r="R2137">
        <v>200</v>
      </c>
      <c r="S2137" t="s">
        <v>7251</v>
      </c>
      <c r="T2137">
        <v>2.0699999999999998</v>
      </c>
      <c r="U2137">
        <v>962.67</v>
      </c>
      <c r="V2137">
        <v>223.7</v>
      </c>
      <c r="W2137" t="s">
        <v>6546</v>
      </c>
      <c r="X2137">
        <v>223.7</v>
      </c>
      <c r="Y2137" t="s">
        <v>11778</v>
      </c>
      <c r="Z2137" t="s">
        <v>7253</v>
      </c>
      <c r="AC2137" t="s">
        <v>7255</v>
      </c>
      <c r="AI2137" t="s">
        <v>7255</v>
      </c>
      <c r="AO2137" t="s">
        <v>6546</v>
      </c>
    </row>
    <row r="2138" spans="1:41" hidden="1" x14ac:dyDescent="0.35">
      <c r="A2138" t="s">
        <v>20398</v>
      </c>
      <c r="B2138" t="s">
        <v>7246</v>
      </c>
      <c r="C2138" t="s">
        <v>451</v>
      </c>
      <c r="D2138" t="s">
        <v>451</v>
      </c>
      <c r="E2138" t="s">
        <v>451</v>
      </c>
      <c r="G2138" s="13" t="s">
        <v>7550</v>
      </c>
      <c r="H2138" t="s">
        <v>7551</v>
      </c>
      <c r="I2138" t="s">
        <v>20399</v>
      </c>
      <c r="K2138" t="s">
        <v>7552</v>
      </c>
      <c r="L2138" t="s">
        <v>7553</v>
      </c>
      <c r="M2138" t="s">
        <v>7250</v>
      </c>
      <c r="N2138">
        <v>1998</v>
      </c>
      <c r="R2138">
        <v>62</v>
      </c>
      <c r="S2138" t="s">
        <v>7251</v>
      </c>
      <c r="T2138">
        <v>0.64</v>
      </c>
      <c r="U2138">
        <v>298.43</v>
      </c>
      <c r="V2138">
        <v>1.61</v>
      </c>
      <c r="W2138" t="s">
        <v>6546</v>
      </c>
      <c r="X2138">
        <v>1.61</v>
      </c>
      <c r="Y2138">
        <v>12</v>
      </c>
      <c r="Z2138" t="s">
        <v>7253</v>
      </c>
      <c r="AC2138" t="s">
        <v>7255</v>
      </c>
      <c r="AI2138" t="s">
        <v>7255</v>
      </c>
      <c r="AO2138" t="s">
        <v>6546</v>
      </c>
    </row>
    <row r="2139" spans="1:41" hidden="1" x14ac:dyDescent="0.35">
      <c r="A2139" t="s">
        <v>20400</v>
      </c>
      <c r="B2139" t="s">
        <v>7246</v>
      </c>
      <c r="C2139" t="s">
        <v>390</v>
      </c>
      <c r="D2139" t="s">
        <v>390</v>
      </c>
      <c r="E2139" t="s">
        <v>390</v>
      </c>
      <c r="G2139" s="13" t="s">
        <v>20401</v>
      </c>
      <c r="H2139" t="s">
        <v>20402</v>
      </c>
      <c r="K2139" t="s">
        <v>12230</v>
      </c>
      <c r="L2139" t="s">
        <v>12230</v>
      </c>
      <c r="M2139" t="s">
        <v>7415</v>
      </c>
      <c r="T2139" t="s">
        <v>6546</v>
      </c>
      <c r="U2139" t="s">
        <v>6546</v>
      </c>
      <c r="V2139">
        <v>350</v>
      </c>
      <c r="W2139">
        <v>518.80999999999995</v>
      </c>
      <c r="X2139">
        <v>350</v>
      </c>
      <c r="AA2139" t="s">
        <v>12219</v>
      </c>
      <c r="AC2139" t="s">
        <v>8747</v>
      </c>
      <c r="AE2139" t="s">
        <v>3388</v>
      </c>
      <c r="AF2139" t="s">
        <v>20403</v>
      </c>
      <c r="AH2139" t="s">
        <v>20404</v>
      </c>
      <c r="AI2139" t="s">
        <v>8747</v>
      </c>
      <c r="AL2139" t="s">
        <v>20405</v>
      </c>
      <c r="AO2139" t="s">
        <v>20406</v>
      </c>
    </row>
    <row r="2140" spans="1:41" hidden="1" x14ac:dyDescent="0.35">
      <c r="A2140" t="s">
        <v>20407</v>
      </c>
      <c r="B2140" t="s">
        <v>7246</v>
      </c>
      <c r="C2140" t="s">
        <v>420</v>
      </c>
      <c r="D2140" t="s">
        <v>420</v>
      </c>
      <c r="E2140" t="s">
        <v>420</v>
      </c>
      <c r="G2140" s="13" t="s">
        <v>20408</v>
      </c>
      <c r="H2140" t="s">
        <v>20409</v>
      </c>
      <c r="I2140" t="s">
        <v>1694</v>
      </c>
      <c r="K2140" t="s">
        <v>9155</v>
      </c>
      <c r="L2140" t="s">
        <v>9155</v>
      </c>
      <c r="M2140" t="s">
        <v>7250</v>
      </c>
      <c r="N2140">
        <v>2022</v>
      </c>
      <c r="R2140">
        <v>1700</v>
      </c>
      <c r="S2140" t="s">
        <v>7251</v>
      </c>
      <c r="T2140">
        <v>17.579999999999998</v>
      </c>
      <c r="U2140">
        <v>8182.67</v>
      </c>
      <c r="V2140">
        <v>135.18</v>
      </c>
      <c r="W2140">
        <v>51.08</v>
      </c>
      <c r="X2140">
        <v>135.18</v>
      </c>
      <c r="Y2140">
        <v>32</v>
      </c>
      <c r="Z2140" t="s">
        <v>7253</v>
      </c>
      <c r="AA2140" t="s">
        <v>9177</v>
      </c>
      <c r="AC2140" t="s">
        <v>8747</v>
      </c>
      <c r="AE2140" t="s">
        <v>9179</v>
      </c>
      <c r="AF2140" t="s">
        <v>8756</v>
      </c>
      <c r="AH2140" t="s">
        <v>8757</v>
      </c>
      <c r="AI2140" t="s">
        <v>8747</v>
      </c>
      <c r="AL2140" t="s">
        <v>20410</v>
      </c>
      <c r="AO2140" t="s">
        <v>20411</v>
      </c>
    </row>
    <row r="2141" spans="1:41" hidden="1" x14ac:dyDescent="0.35">
      <c r="A2141" t="s">
        <v>20412</v>
      </c>
      <c r="B2141" t="s">
        <v>7246</v>
      </c>
      <c r="C2141" t="s">
        <v>420</v>
      </c>
      <c r="D2141" t="s">
        <v>420</v>
      </c>
      <c r="E2141" t="s">
        <v>420</v>
      </c>
      <c r="G2141" s="13" t="s">
        <v>9174</v>
      </c>
      <c r="H2141" t="s">
        <v>9175</v>
      </c>
      <c r="I2141" t="s">
        <v>20413</v>
      </c>
      <c r="K2141" t="s">
        <v>6543</v>
      </c>
      <c r="L2141" t="s">
        <v>6543</v>
      </c>
      <c r="M2141" t="s">
        <v>7250</v>
      </c>
      <c r="N2141">
        <v>2008</v>
      </c>
      <c r="T2141" t="s">
        <v>6546</v>
      </c>
      <c r="U2141" t="s">
        <v>6546</v>
      </c>
      <c r="V2141">
        <v>52</v>
      </c>
      <c r="W2141">
        <v>65.78</v>
      </c>
      <c r="X2141">
        <v>52</v>
      </c>
      <c r="Y2141">
        <v>30</v>
      </c>
      <c r="Z2141" t="s">
        <v>7253</v>
      </c>
      <c r="AA2141" t="s">
        <v>9178</v>
      </c>
      <c r="AC2141" t="s">
        <v>8747</v>
      </c>
      <c r="AE2141" t="s">
        <v>9179</v>
      </c>
      <c r="AF2141" t="s">
        <v>8756</v>
      </c>
      <c r="AH2141" t="s">
        <v>8757</v>
      </c>
      <c r="AI2141" t="s">
        <v>8747</v>
      </c>
      <c r="AL2141" t="s">
        <v>20414</v>
      </c>
      <c r="AO2141" t="s">
        <v>9181</v>
      </c>
    </row>
    <row r="2142" spans="1:41" hidden="1" x14ac:dyDescent="0.35">
      <c r="A2142" t="s">
        <v>20415</v>
      </c>
      <c r="B2142" t="s">
        <v>7246</v>
      </c>
      <c r="C2142" t="s">
        <v>12635</v>
      </c>
      <c r="D2142" t="s">
        <v>12635</v>
      </c>
      <c r="E2142" t="s">
        <v>12635</v>
      </c>
      <c r="G2142" s="13" t="s">
        <v>20416</v>
      </c>
      <c r="H2142" t="s">
        <v>20417</v>
      </c>
      <c r="K2142" t="s">
        <v>9976</v>
      </c>
      <c r="L2142" t="s">
        <v>9976</v>
      </c>
      <c r="M2142" t="s">
        <v>7292</v>
      </c>
      <c r="R2142">
        <v>0.36</v>
      </c>
      <c r="S2142" t="s">
        <v>8257</v>
      </c>
      <c r="T2142">
        <v>0.36</v>
      </c>
      <c r="U2142">
        <v>168</v>
      </c>
      <c r="V2142" t="s">
        <v>6546</v>
      </c>
      <c r="W2142" t="s">
        <v>6546</v>
      </c>
      <c r="X2142" t="s">
        <v>6546</v>
      </c>
      <c r="AC2142" t="s">
        <v>8844</v>
      </c>
      <c r="AI2142" t="s">
        <v>8844</v>
      </c>
      <c r="AL2142" t="s">
        <v>20418</v>
      </c>
      <c r="AO2142" t="s">
        <v>6546</v>
      </c>
    </row>
    <row r="2143" spans="1:41" hidden="1" x14ac:dyDescent="0.35">
      <c r="A2143" t="s">
        <v>20419</v>
      </c>
      <c r="B2143" t="s">
        <v>7246</v>
      </c>
      <c r="C2143" t="s">
        <v>5583</v>
      </c>
      <c r="D2143" t="s">
        <v>5694</v>
      </c>
      <c r="E2143" t="s">
        <v>20420</v>
      </c>
      <c r="G2143" s="13" t="s">
        <v>20421</v>
      </c>
      <c r="H2143" t="s">
        <v>20422</v>
      </c>
      <c r="K2143" t="s">
        <v>20423</v>
      </c>
      <c r="L2143" t="s">
        <v>20424</v>
      </c>
      <c r="M2143" t="s">
        <v>7250</v>
      </c>
      <c r="T2143" t="s">
        <v>6546</v>
      </c>
      <c r="U2143" t="s">
        <v>6546</v>
      </c>
      <c r="V2143" t="s">
        <v>6546</v>
      </c>
      <c r="W2143">
        <v>92.46</v>
      </c>
      <c r="X2143">
        <v>92.46</v>
      </c>
      <c r="AB2143" t="s">
        <v>15948</v>
      </c>
      <c r="AC2143" t="s">
        <v>8777</v>
      </c>
      <c r="AF2143" t="s">
        <v>20425</v>
      </c>
      <c r="AI2143" t="s">
        <v>8777</v>
      </c>
      <c r="AO2143" t="s">
        <v>20426</v>
      </c>
    </row>
    <row r="2144" spans="1:41" hidden="1" x14ac:dyDescent="0.35">
      <c r="A2144" t="s">
        <v>20427</v>
      </c>
      <c r="B2144" t="s">
        <v>7246</v>
      </c>
      <c r="C2144" t="s">
        <v>5796</v>
      </c>
      <c r="D2144" t="s">
        <v>5583</v>
      </c>
      <c r="E2144" t="s">
        <v>17934</v>
      </c>
      <c r="G2144" s="13" t="s">
        <v>20428</v>
      </c>
      <c r="H2144" t="s">
        <v>20429</v>
      </c>
      <c r="K2144" t="s">
        <v>20430</v>
      </c>
      <c r="L2144" t="s">
        <v>20430</v>
      </c>
      <c r="M2144" t="s">
        <v>7250</v>
      </c>
      <c r="T2144" t="s">
        <v>6546</v>
      </c>
      <c r="U2144" t="s">
        <v>6546</v>
      </c>
      <c r="V2144" t="s">
        <v>6546</v>
      </c>
      <c r="W2144">
        <v>86.06</v>
      </c>
      <c r="X2144">
        <v>86.06</v>
      </c>
      <c r="AB2144" t="s">
        <v>3596</v>
      </c>
      <c r="AC2144" t="s">
        <v>8777</v>
      </c>
      <c r="AF2144" t="s">
        <v>20431</v>
      </c>
      <c r="AI2144" t="s">
        <v>8777</v>
      </c>
      <c r="AO2144" t="s">
        <v>20432</v>
      </c>
    </row>
    <row r="2145" spans="1:41" hidden="1" x14ac:dyDescent="0.35">
      <c r="A2145" t="s">
        <v>20433</v>
      </c>
      <c r="B2145" t="s">
        <v>7246</v>
      </c>
      <c r="C2145" t="s">
        <v>390</v>
      </c>
      <c r="D2145" t="s">
        <v>390</v>
      </c>
      <c r="E2145" t="s">
        <v>390</v>
      </c>
      <c r="G2145" s="13" t="s">
        <v>20434</v>
      </c>
      <c r="H2145" t="s">
        <v>20435</v>
      </c>
      <c r="K2145" t="s">
        <v>20436</v>
      </c>
      <c r="L2145" t="s">
        <v>20436</v>
      </c>
      <c r="M2145" t="s">
        <v>7415</v>
      </c>
      <c r="O2145">
        <v>2024</v>
      </c>
      <c r="T2145" t="s">
        <v>6546</v>
      </c>
      <c r="U2145" t="s">
        <v>6546</v>
      </c>
      <c r="V2145" t="s">
        <v>6546</v>
      </c>
      <c r="W2145">
        <v>139.82</v>
      </c>
      <c r="X2145">
        <v>139.82</v>
      </c>
      <c r="Y2145">
        <v>36</v>
      </c>
      <c r="Z2145" t="s">
        <v>7253</v>
      </c>
      <c r="AA2145" t="s">
        <v>20437</v>
      </c>
      <c r="AC2145" t="s">
        <v>8747</v>
      </c>
      <c r="AE2145" t="s">
        <v>20438</v>
      </c>
      <c r="AF2145" t="s">
        <v>6136</v>
      </c>
      <c r="AH2145" t="s">
        <v>20438</v>
      </c>
      <c r="AI2145" t="s">
        <v>8747</v>
      </c>
      <c r="AL2145" t="s">
        <v>20439</v>
      </c>
      <c r="AO2145" t="s">
        <v>20440</v>
      </c>
    </row>
    <row r="2146" spans="1:41" hidden="1" x14ac:dyDescent="0.35">
      <c r="A2146" t="s">
        <v>20441</v>
      </c>
      <c r="B2146" t="s">
        <v>7246</v>
      </c>
      <c r="C2146" t="s">
        <v>9898</v>
      </c>
      <c r="D2146" t="s">
        <v>9898</v>
      </c>
      <c r="E2146" t="s">
        <v>20442</v>
      </c>
      <c r="G2146" s="13" t="s">
        <v>20443</v>
      </c>
      <c r="H2146" t="s">
        <v>20444</v>
      </c>
      <c r="K2146" t="s">
        <v>20445</v>
      </c>
      <c r="L2146" t="s">
        <v>20445</v>
      </c>
      <c r="M2146" t="s">
        <v>7250</v>
      </c>
      <c r="O2146">
        <v>2011</v>
      </c>
      <c r="R2146">
        <v>0.15</v>
      </c>
      <c r="S2146" t="s">
        <v>8257</v>
      </c>
      <c r="T2146">
        <v>0.15</v>
      </c>
      <c r="U2146">
        <v>69.81</v>
      </c>
      <c r="V2146">
        <v>3244.2</v>
      </c>
      <c r="W2146">
        <v>584.22</v>
      </c>
      <c r="X2146">
        <v>3244.2</v>
      </c>
      <c r="Y2146" t="s">
        <v>20446</v>
      </c>
      <c r="Z2146" t="s">
        <v>8842</v>
      </c>
      <c r="AA2146" t="s">
        <v>13892</v>
      </c>
      <c r="AB2146" t="s">
        <v>20447</v>
      </c>
      <c r="AC2146" t="s">
        <v>8844</v>
      </c>
      <c r="AF2146" t="s">
        <v>20448</v>
      </c>
      <c r="AI2146" t="s">
        <v>8844</v>
      </c>
      <c r="AL2146" t="s">
        <v>20449</v>
      </c>
      <c r="AO2146" t="s">
        <v>20450</v>
      </c>
    </row>
    <row r="2147" spans="1:41" hidden="1" x14ac:dyDescent="0.35">
      <c r="A2147" t="s">
        <v>20451</v>
      </c>
      <c r="B2147" t="s">
        <v>7246</v>
      </c>
      <c r="C2147" t="s">
        <v>9898</v>
      </c>
      <c r="D2147" t="s">
        <v>9898</v>
      </c>
      <c r="E2147" t="s">
        <v>9898</v>
      </c>
      <c r="G2147" s="13" t="s">
        <v>20452</v>
      </c>
      <c r="H2147" t="s">
        <v>20453</v>
      </c>
      <c r="K2147" t="s">
        <v>9924</v>
      </c>
      <c r="L2147" t="s">
        <v>9924</v>
      </c>
      <c r="M2147" t="s">
        <v>7250</v>
      </c>
      <c r="T2147" t="s">
        <v>6546</v>
      </c>
      <c r="U2147" t="s">
        <v>6546</v>
      </c>
      <c r="V2147">
        <v>942</v>
      </c>
      <c r="W2147" t="s">
        <v>6546</v>
      </c>
      <c r="X2147">
        <v>942</v>
      </c>
      <c r="Y2147" t="s">
        <v>10012</v>
      </c>
      <c r="Z2147" t="s">
        <v>8842</v>
      </c>
      <c r="AA2147" t="s">
        <v>20454</v>
      </c>
      <c r="AB2147" t="s">
        <v>20454</v>
      </c>
      <c r="AC2147" t="s">
        <v>8844</v>
      </c>
      <c r="AF2147" t="s">
        <v>20448</v>
      </c>
      <c r="AI2147" t="s">
        <v>8844</v>
      </c>
      <c r="AO2147" t="s">
        <v>6546</v>
      </c>
    </row>
    <row r="2148" spans="1:41" hidden="1" x14ac:dyDescent="0.35">
      <c r="A2148" t="s">
        <v>20455</v>
      </c>
      <c r="B2148" t="s">
        <v>7246</v>
      </c>
      <c r="C2148" t="s">
        <v>451</v>
      </c>
      <c r="D2148" t="s">
        <v>451</v>
      </c>
      <c r="E2148" t="s">
        <v>451</v>
      </c>
      <c r="G2148" s="13" t="s">
        <v>7550</v>
      </c>
      <c r="H2148" t="s">
        <v>7551</v>
      </c>
      <c r="I2148" t="s">
        <v>20456</v>
      </c>
      <c r="K2148" t="s">
        <v>7552</v>
      </c>
      <c r="L2148" t="s">
        <v>7553</v>
      </c>
      <c r="M2148" t="s">
        <v>7250</v>
      </c>
      <c r="N2148">
        <v>2019</v>
      </c>
      <c r="R2148">
        <v>36</v>
      </c>
      <c r="S2148" t="s">
        <v>7251</v>
      </c>
      <c r="T2148">
        <v>0.37</v>
      </c>
      <c r="U2148">
        <v>173.28</v>
      </c>
      <c r="V2148">
        <v>0.64</v>
      </c>
      <c r="W2148" t="s">
        <v>6546</v>
      </c>
      <c r="X2148">
        <v>0.64</v>
      </c>
      <c r="Y2148">
        <v>20</v>
      </c>
      <c r="Z2148" t="s">
        <v>7253</v>
      </c>
      <c r="AC2148" t="s">
        <v>7255</v>
      </c>
      <c r="AI2148" t="s">
        <v>7255</v>
      </c>
      <c r="AO2148" t="s">
        <v>6546</v>
      </c>
    </row>
    <row r="2149" spans="1:41" hidden="1" x14ac:dyDescent="0.35">
      <c r="A2149" t="s">
        <v>20457</v>
      </c>
      <c r="B2149" t="s">
        <v>7246</v>
      </c>
      <c r="C2149" t="s">
        <v>451</v>
      </c>
      <c r="D2149" t="s">
        <v>451</v>
      </c>
      <c r="E2149" t="s">
        <v>451</v>
      </c>
      <c r="G2149" s="13" t="s">
        <v>7550</v>
      </c>
      <c r="H2149" t="s">
        <v>7551</v>
      </c>
      <c r="I2149" t="s">
        <v>20458</v>
      </c>
      <c r="K2149" t="s">
        <v>7552</v>
      </c>
      <c r="L2149" t="s">
        <v>7553</v>
      </c>
      <c r="M2149" t="s">
        <v>7250</v>
      </c>
      <c r="N2149">
        <v>2019</v>
      </c>
      <c r="R2149">
        <v>275</v>
      </c>
      <c r="S2149" t="s">
        <v>7251</v>
      </c>
      <c r="T2149">
        <v>2.84</v>
      </c>
      <c r="U2149">
        <v>1323.67</v>
      </c>
      <c r="V2149">
        <v>39.75</v>
      </c>
      <c r="W2149" t="s">
        <v>6546</v>
      </c>
      <c r="X2149">
        <v>39.75</v>
      </c>
      <c r="AC2149" t="s">
        <v>7255</v>
      </c>
      <c r="AI2149" t="s">
        <v>7255</v>
      </c>
      <c r="AO2149" t="s">
        <v>6546</v>
      </c>
    </row>
    <row r="2150" spans="1:41" hidden="1" x14ac:dyDescent="0.35">
      <c r="A2150" t="s">
        <v>20459</v>
      </c>
      <c r="B2150" t="s">
        <v>7246</v>
      </c>
      <c r="C2150" t="s">
        <v>5796</v>
      </c>
      <c r="D2150" t="s">
        <v>5796</v>
      </c>
      <c r="E2150" t="s">
        <v>5796</v>
      </c>
      <c r="G2150" s="13" t="s">
        <v>20460</v>
      </c>
      <c r="H2150" t="s">
        <v>20461</v>
      </c>
      <c r="K2150" t="s">
        <v>20430</v>
      </c>
      <c r="L2150" t="s">
        <v>20430</v>
      </c>
      <c r="M2150" t="s">
        <v>7250</v>
      </c>
      <c r="N2150">
        <v>2016</v>
      </c>
      <c r="T2150" t="s">
        <v>6546</v>
      </c>
      <c r="U2150" t="s">
        <v>6546</v>
      </c>
      <c r="V2150">
        <v>61</v>
      </c>
      <c r="W2150">
        <v>82.14</v>
      </c>
      <c r="X2150">
        <v>61</v>
      </c>
      <c r="Y2150" t="s">
        <v>20462</v>
      </c>
      <c r="Z2150" t="s">
        <v>8842</v>
      </c>
      <c r="AA2150" t="s">
        <v>20429</v>
      </c>
      <c r="AB2150" t="s">
        <v>20463</v>
      </c>
      <c r="AC2150" t="s">
        <v>8777</v>
      </c>
      <c r="AF2150" t="s">
        <v>19791</v>
      </c>
      <c r="AI2150" t="s">
        <v>8777</v>
      </c>
      <c r="AO2150" t="s">
        <v>20464</v>
      </c>
    </row>
    <row r="2151" spans="1:41" hidden="1" x14ac:dyDescent="0.35">
      <c r="A2151" t="s">
        <v>20465</v>
      </c>
      <c r="B2151" t="s">
        <v>7246</v>
      </c>
      <c r="C2151" t="s">
        <v>390</v>
      </c>
      <c r="D2151" t="s">
        <v>390</v>
      </c>
      <c r="E2151" t="s">
        <v>390</v>
      </c>
      <c r="G2151" s="13" t="s">
        <v>20466</v>
      </c>
      <c r="H2151" t="s">
        <v>20467</v>
      </c>
      <c r="K2151" t="s">
        <v>20436</v>
      </c>
      <c r="L2151" t="s">
        <v>20436</v>
      </c>
      <c r="M2151" t="s">
        <v>7415</v>
      </c>
      <c r="O2151">
        <v>2024</v>
      </c>
      <c r="T2151" t="s">
        <v>6546</v>
      </c>
      <c r="U2151" t="s">
        <v>6546</v>
      </c>
      <c r="V2151" t="s">
        <v>6546</v>
      </c>
      <c r="W2151">
        <v>117.42</v>
      </c>
      <c r="X2151">
        <v>117.42</v>
      </c>
      <c r="Y2151">
        <v>52</v>
      </c>
      <c r="Z2151" t="s">
        <v>7253</v>
      </c>
      <c r="AA2151" t="s">
        <v>20468</v>
      </c>
      <c r="AC2151" t="s">
        <v>8747</v>
      </c>
      <c r="AE2151" t="s">
        <v>20438</v>
      </c>
      <c r="AF2151" t="s">
        <v>20469</v>
      </c>
      <c r="AG2151" t="s">
        <v>20469</v>
      </c>
      <c r="AH2151" t="s">
        <v>6090</v>
      </c>
      <c r="AI2151" t="s">
        <v>8747</v>
      </c>
      <c r="AL2151" t="s">
        <v>20470</v>
      </c>
      <c r="AO2151" t="s">
        <v>20471</v>
      </c>
    </row>
    <row r="2152" spans="1:41" hidden="1" x14ac:dyDescent="0.35">
      <c r="A2152" t="s">
        <v>20472</v>
      </c>
      <c r="B2152" t="s">
        <v>7246</v>
      </c>
      <c r="C2152" t="s">
        <v>390</v>
      </c>
      <c r="D2152" t="s">
        <v>390</v>
      </c>
      <c r="E2152" t="s">
        <v>390</v>
      </c>
      <c r="G2152" s="13" t="s">
        <v>20473</v>
      </c>
      <c r="H2152" t="s">
        <v>20474</v>
      </c>
      <c r="K2152" t="s">
        <v>12230</v>
      </c>
      <c r="L2152" t="s">
        <v>12230</v>
      </c>
      <c r="M2152" t="s">
        <v>7250</v>
      </c>
      <c r="R2152">
        <v>94</v>
      </c>
      <c r="S2152" t="s">
        <v>7251</v>
      </c>
      <c r="T2152">
        <v>0.97</v>
      </c>
      <c r="U2152">
        <v>452.45</v>
      </c>
      <c r="V2152" t="s">
        <v>6546</v>
      </c>
      <c r="W2152" t="s">
        <v>6546</v>
      </c>
      <c r="X2152" t="s">
        <v>6546</v>
      </c>
      <c r="Y2152">
        <v>18</v>
      </c>
      <c r="Z2152" t="s">
        <v>7253</v>
      </c>
      <c r="AA2152" t="s">
        <v>12197</v>
      </c>
      <c r="AC2152" t="s">
        <v>8747</v>
      </c>
      <c r="AE2152" t="s">
        <v>12198</v>
      </c>
      <c r="AF2152" t="s">
        <v>20475</v>
      </c>
      <c r="AG2152" t="s">
        <v>20476</v>
      </c>
      <c r="AH2152" t="s">
        <v>20477</v>
      </c>
      <c r="AI2152" t="s">
        <v>8747</v>
      </c>
      <c r="AL2152" t="s">
        <v>20478</v>
      </c>
      <c r="AO2152" t="s">
        <v>6546</v>
      </c>
    </row>
    <row r="2153" spans="1:41" hidden="1" x14ac:dyDescent="0.35">
      <c r="A2153" t="s">
        <v>20479</v>
      </c>
      <c r="B2153" t="s">
        <v>7246</v>
      </c>
      <c r="C2153" t="s">
        <v>5796</v>
      </c>
      <c r="D2153" t="s">
        <v>5796</v>
      </c>
      <c r="E2153" t="s">
        <v>5796</v>
      </c>
      <c r="G2153" s="13" t="s">
        <v>20480</v>
      </c>
      <c r="H2153" t="s">
        <v>20481</v>
      </c>
      <c r="K2153" t="s">
        <v>20430</v>
      </c>
      <c r="L2153" t="s">
        <v>20430</v>
      </c>
      <c r="M2153" t="s">
        <v>7415</v>
      </c>
      <c r="N2153">
        <v>2021</v>
      </c>
      <c r="O2153">
        <v>2022</v>
      </c>
      <c r="T2153" t="s">
        <v>6546</v>
      </c>
      <c r="U2153" t="s">
        <v>6546</v>
      </c>
      <c r="V2153">
        <v>92</v>
      </c>
      <c r="W2153">
        <v>107.66</v>
      </c>
      <c r="X2153">
        <v>92</v>
      </c>
      <c r="Y2153">
        <v>500</v>
      </c>
      <c r="Z2153" t="s">
        <v>8842</v>
      </c>
      <c r="AB2153" t="s">
        <v>19791</v>
      </c>
      <c r="AC2153" t="s">
        <v>8777</v>
      </c>
      <c r="AF2153" t="s">
        <v>17925</v>
      </c>
      <c r="AI2153" t="s">
        <v>8777</v>
      </c>
      <c r="AJ2153" t="s">
        <v>6407</v>
      </c>
      <c r="AO2153" t="s">
        <v>20482</v>
      </c>
    </row>
    <row r="2154" spans="1:41" hidden="1" x14ac:dyDescent="0.35">
      <c r="A2154" t="s">
        <v>20483</v>
      </c>
      <c r="B2154" t="s">
        <v>7246</v>
      </c>
      <c r="C2154" t="s">
        <v>423</v>
      </c>
      <c r="D2154" t="s">
        <v>423</v>
      </c>
      <c r="E2154" t="s">
        <v>423</v>
      </c>
      <c r="G2154" s="13" t="s">
        <v>20484</v>
      </c>
      <c r="H2154" t="s">
        <v>20485</v>
      </c>
      <c r="K2154" t="s">
        <v>9848</v>
      </c>
      <c r="L2154" t="s">
        <v>9848</v>
      </c>
      <c r="M2154" t="s">
        <v>7292</v>
      </c>
      <c r="R2154">
        <v>0.78</v>
      </c>
      <c r="S2154" t="s">
        <v>8257</v>
      </c>
      <c r="T2154">
        <v>0.78</v>
      </c>
      <c r="U2154">
        <v>362.07</v>
      </c>
      <c r="V2154" t="s">
        <v>6546</v>
      </c>
      <c r="W2154">
        <v>23.57</v>
      </c>
      <c r="X2154">
        <v>23.57</v>
      </c>
      <c r="AB2154" t="s">
        <v>5483</v>
      </c>
      <c r="AC2154" t="s">
        <v>8844</v>
      </c>
      <c r="AE2154" t="s">
        <v>14117</v>
      </c>
      <c r="AF2154" t="s">
        <v>20486</v>
      </c>
      <c r="AH2154" t="s">
        <v>14117</v>
      </c>
      <c r="AI2154" t="s">
        <v>8844</v>
      </c>
      <c r="AL2154" t="s">
        <v>20487</v>
      </c>
      <c r="AO2154" t="s">
        <v>20488</v>
      </c>
    </row>
    <row r="2155" spans="1:41" hidden="1" x14ac:dyDescent="0.35">
      <c r="A2155" t="s">
        <v>20489</v>
      </c>
      <c r="B2155" t="s">
        <v>7246</v>
      </c>
      <c r="C2155" t="s">
        <v>5796</v>
      </c>
      <c r="D2155" t="s">
        <v>5796</v>
      </c>
      <c r="E2155" t="s">
        <v>5796</v>
      </c>
      <c r="G2155" s="13" t="s">
        <v>20490</v>
      </c>
      <c r="H2155" t="s">
        <v>20491</v>
      </c>
      <c r="K2155" t="s">
        <v>20430</v>
      </c>
      <c r="L2155" t="s">
        <v>20430</v>
      </c>
      <c r="M2155" t="s">
        <v>7415</v>
      </c>
      <c r="N2155">
        <v>2021</v>
      </c>
      <c r="O2155">
        <v>2022</v>
      </c>
      <c r="T2155" t="s">
        <v>6546</v>
      </c>
      <c r="U2155" t="s">
        <v>6546</v>
      </c>
      <c r="V2155">
        <v>87</v>
      </c>
      <c r="W2155">
        <v>69.290000000000006</v>
      </c>
      <c r="X2155">
        <v>87</v>
      </c>
      <c r="Y2155" t="s">
        <v>20492</v>
      </c>
      <c r="Z2155" t="s">
        <v>8842</v>
      </c>
      <c r="AB2155" t="s">
        <v>3596</v>
      </c>
      <c r="AC2155" t="s">
        <v>8777</v>
      </c>
      <c r="AF2155" t="s">
        <v>20493</v>
      </c>
      <c r="AI2155" t="s">
        <v>8777</v>
      </c>
      <c r="AJ2155" t="s">
        <v>6407</v>
      </c>
      <c r="AO2155" t="s">
        <v>20494</v>
      </c>
    </row>
    <row r="2156" spans="1:41" hidden="1" x14ac:dyDescent="0.35">
      <c r="A2156" t="s">
        <v>20495</v>
      </c>
      <c r="B2156" t="s">
        <v>7246</v>
      </c>
      <c r="C2156" t="s">
        <v>390</v>
      </c>
      <c r="D2156" t="s">
        <v>390</v>
      </c>
      <c r="E2156" t="s">
        <v>390</v>
      </c>
      <c r="G2156" s="13" t="s">
        <v>20496</v>
      </c>
      <c r="H2156" t="s">
        <v>20497</v>
      </c>
      <c r="K2156" t="s">
        <v>12230</v>
      </c>
      <c r="L2156" t="s">
        <v>12230</v>
      </c>
      <c r="M2156" t="s">
        <v>7250</v>
      </c>
      <c r="R2156">
        <v>350</v>
      </c>
      <c r="S2156" t="s">
        <v>7251</v>
      </c>
      <c r="T2156">
        <v>3.62</v>
      </c>
      <c r="U2156">
        <v>1684.67</v>
      </c>
      <c r="V2156" t="s">
        <v>6546</v>
      </c>
      <c r="W2156" t="s">
        <v>6546</v>
      </c>
      <c r="X2156" t="s">
        <v>6546</v>
      </c>
      <c r="Y2156">
        <v>48</v>
      </c>
      <c r="Z2156" t="s">
        <v>7253</v>
      </c>
      <c r="AC2156" t="s">
        <v>8747</v>
      </c>
      <c r="AI2156" t="s">
        <v>8747</v>
      </c>
      <c r="AO2156" t="s">
        <v>6546</v>
      </c>
    </row>
    <row r="2157" spans="1:41" hidden="1" x14ac:dyDescent="0.35">
      <c r="A2157" t="s">
        <v>20498</v>
      </c>
      <c r="B2157" t="s">
        <v>7246</v>
      </c>
      <c r="C2157" t="s">
        <v>451</v>
      </c>
      <c r="D2157" t="s">
        <v>451</v>
      </c>
      <c r="E2157" t="s">
        <v>451</v>
      </c>
      <c r="G2157" s="13" t="s">
        <v>7550</v>
      </c>
      <c r="H2157" t="s">
        <v>7551</v>
      </c>
      <c r="I2157" t="s">
        <v>20499</v>
      </c>
      <c r="K2157" t="s">
        <v>7552</v>
      </c>
      <c r="L2157" t="s">
        <v>7553</v>
      </c>
      <c r="M2157" t="s">
        <v>7292</v>
      </c>
      <c r="N2157">
        <v>2022</v>
      </c>
      <c r="R2157">
        <v>175</v>
      </c>
      <c r="S2157" t="s">
        <v>7251</v>
      </c>
      <c r="T2157">
        <v>1.81</v>
      </c>
      <c r="U2157">
        <v>842.33</v>
      </c>
      <c r="V2157">
        <v>0</v>
      </c>
      <c r="W2157" t="s">
        <v>6546</v>
      </c>
      <c r="X2157">
        <v>0</v>
      </c>
      <c r="AC2157" t="s">
        <v>7255</v>
      </c>
      <c r="AE2157" t="s">
        <v>799</v>
      </c>
      <c r="AH2157" t="s">
        <v>643</v>
      </c>
      <c r="AI2157" t="s">
        <v>7255</v>
      </c>
      <c r="AO2157" t="s">
        <v>6546</v>
      </c>
    </row>
    <row r="2158" spans="1:41" hidden="1" x14ac:dyDescent="0.35">
      <c r="A2158" t="s">
        <v>20500</v>
      </c>
      <c r="B2158" t="s">
        <v>7246</v>
      </c>
      <c r="C2158" t="s">
        <v>451</v>
      </c>
      <c r="D2158" t="s">
        <v>451</v>
      </c>
      <c r="E2158" t="s">
        <v>451</v>
      </c>
      <c r="G2158" s="13" t="s">
        <v>7550</v>
      </c>
      <c r="H2158" t="s">
        <v>7551</v>
      </c>
      <c r="I2158" t="s">
        <v>20501</v>
      </c>
      <c r="K2158" t="s">
        <v>7552</v>
      </c>
      <c r="L2158" t="s">
        <v>7553</v>
      </c>
      <c r="M2158" t="s">
        <v>7250</v>
      </c>
      <c r="N2158">
        <v>2022</v>
      </c>
      <c r="R2158">
        <v>100</v>
      </c>
      <c r="S2158" t="s">
        <v>7251</v>
      </c>
      <c r="T2158">
        <v>1.03</v>
      </c>
      <c r="U2158">
        <v>481.33</v>
      </c>
      <c r="V2158">
        <v>0</v>
      </c>
      <c r="W2158" t="s">
        <v>6546</v>
      </c>
      <c r="X2158">
        <v>0</v>
      </c>
      <c r="AC2158" t="s">
        <v>7255</v>
      </c>
      <c r="AE2158" t="s">
        <v>799</v>
      </c>
      <c r="AH2158" t="s">
        <v>643</v>
      </c>
      <c r="AI2158" t="s">
        <v>7255</v>
      </c>
      <c r="AO2158" t="s">
        <v>6546</v>
      </c>
    </row>
    <row r="2159" spans="1:41" hidden="1" x14ac:dyDescent="0.35">
      <c r="A2159" t="s">
        <v>20502</v>
      </c>
      <c r="B2159" t="s">
        <v>7246</v>
      </c>
      <c r="C2159" t="s">
        <v>390</v>
      </c>
      <c r="D2159" t="s">
        <v>390</v>
      </c>
      <c r="E2159" t="s">
        <v>390</v>
      </c>
      <c r="G2159" s="13" t="s">
        <v>20503</v>
      </c>
      <c r="H2159" t="s">
        <v>20504</v>
      </c>
      <c r="K2159" t="s">
        <v>12230</v>
      </c>
      <c r="L2159" t="s">
        <v>12230</v>
      </c>
      <c r="M2159" t="s">
        <v>7250</v>
      </c>
      <c r="R2159">
        <v>850</v>
      </c>
      <c r="S2159" t="s">
        <v>7251</v>
      </c>
      <c r="T2159">
        <v>8.7899999999999991</v>
      </c>
      <c r="U2159">
        <v>4091.33</v>
      </c>
      <c r="V2159" t="s">
        <v>6546</v>
      </c>
      <c r="W2159">
        <v>375.74</v>
      </c>
      <c r="X2159">
        <v>375.74</v>
      </c>
      <c r="Y2159">
        <v>42</v>
      </c>
      <c r="Z2159" t="s">
        <v>7253</v>
      </c>
      <c r="AA2159" t="s">
        <v>12182</v>
      </c>
      <c r="AC2159" t="s">
        <v>8747</v>
      </c>
      <c r="AE2159" t="s">
        <v>12182</v>
      </c>
      <c r="AF2159" t="s">
        <v>6134</v>
      </c>
      <c r="AH2159" t="s">
        <v>6134</v>
      </c>
      <c r="AI2159" t="s">
        <v>8747</v>
      </c>
      <c r="AL2159" t="s">
        <v>20505</v>
      </c>
      <c r="AO2159" t="s">
        <v>20506</v>
      </c>
    </row>
    <row r="2160" spans="1:41" hidden="1" x14ac:dyDescent="0.35">
      <c r="A2160" t="s">
        <v>20507</v>
      </c>
      <c r="B2160" t="s">
        <v>7246</v>
      </c>
      <c r="C2160" t="s">
        <v>390</v>
      </c>
      <c r="D2160" t="s">
        <v>390</v>
      </c>
      <c r="E2160" t="s">
        <v>390</v>
      </c>
      <c r="G2160" s="13" t="s">
        <v>20508</v>
      </c>
      <c r="H2160" t="s">
        <v>20509</v>
      </c>
      <c r="K2160" t="s">
        <v>12230</v>
      </c>
      <c r="L2160" t="s">
        <v>12230</v>
      </c>
      <c r="M2160" t="s">
        <v>7250</v>
      </c>
      <c r="T2160" t="s">
        <v>6546</v>
      </c>
      <c r="U2160" t="s">
        <v>6546</v>
      </c>
      <c r="V2160">
        <v>40.229999999999997</v>
      </c>
      <c r="W2160" t="s">
        <v>6546</v>
      </c>
      <c r="X2160">
        <v>40.229999999999997</v>
      </c>
      <c r="Y2160">
        <v>24</v>
      </c>
      <c r="Z2160" t="s">
        <v>7253</v>
      </c>
      <c r="AC2160" t="s">
        <v>8747</v>
      </c>
      <c r="AI2160" t="s">
        <v>8747</v>
      </c>
      <c r="AO2160" t="s">
        <v>6546</v>
      </c>
    </row>
    <row r="2161" spans="1:41" hidden="1" x14ac:dyDescent="0.35">
      <c r="A2161" t="s">
        <v>20510</v>
      </c>
      <c r="B2161" t="s">
        <v>7246</v>
      </c>
      <c r="C2161" t="s">
        <v>423</v>
      </c>
      <c r="D2161" t="s">
        <v>423</v>
      </c>
      <c r="E2161" t="s">
        <v>423</v>
      </c>
      <c r="G2161" s="13" t="s">
        <v>20511</v>
      </c>
      <c r="H2161" t="s">
        <v>20512</v>
      </c>
      <c r="K2161" t="s">
        <v>9848</v>
      </c>
      <c r="L2161" t="s">
        <v>9848</v>
      </c>
      <c r="M2161" t="s">
        <v>7292</v>
      </c>
      <c r="T2161" t="s">
        <v>6546</v>
      </c>
      <c r="U2161" t="s">
        <v>6546</v>
      </c>
      <c r="V2161">
        <v>36</v>
      </c>
      <c r="W2161">
        <v>45.49</v>
      </c>
      <c r="X2161">
        <v>36</v>
      </c>
      <c r="AB2161" t="s">
        <v>20513</v>
      </c>
      <c r="AC2161" t="s">
        <v>8844</v>
      </c>
      <c r="AE2161" t="s">
        <v>14086</v>
      </c>
      <c r="AF2161" t="s">
        <v>20514</v>
      </c>
      <c r="AH2161" t="s">
        <v>14086</v>
      </c>
      <c r="AI2161" t="s">
        <v>8844</v>
      </c>
      <c r="AL2161" t="s">
        <v>20515</v>
      </c>
      <c r="AO2161" t="s">
        <v>20516</v>
      </c>
    </row>
    <row r="2162" spans="1:41" hidden="1" x14ac:dyDescent="0.35">
      <c r="A2162" t="s">
        <v>20517</v>
      </c>
      <c r="B2162" t="s">
        <v>7246</v>
      </c>
      <c r="C2162" t="s">
        <v>390</v>
      </c>
      <c r="D2162" t="s">
        <v>390</v>
      </c>
      <c r="E2162" t="s">
        <v>390</v>
      </c>
      <c r="G2162" s="13" t="s">
        <v>20518</v>
      </c>
      <c r="H2162" t="s">
        <v>20519</v>
      </c>
      <c r="K2162" t="s">
        <v>12230</v>
      </c>
      <c r="L2162" t="s">
        <v>12230</v>
      </c>
      <c r="M2162" t="s">
        <v>7250</v>
      </c>
      <c r="T2162" t="s">
        <v>6546</v>
      </c>
      <c r="U2162" t="s">
        <v>6546</v>
      </c>
      <c r="V2162">
        <v>119.09</v>
      </c>
      <c r="W2162" t="s">
        <v>6546</v>
      </c>
      <c r="X2162">
        <v>119.09</v>
      </c>
      <c r="Y2162">
        <v>24</v>
      </c>
      <c r="Z2162" t="s">
        <v>7253</v>
      </c>
      <c r="AC2162" t="s">
        <v>8747</v>
      </c>
      <c r="AI2162" t="s">
        <v>8747</v>
      </c>
      <c r="AO2162" t="s">
        <v>6546</v>
      </c>
    </row>
    <row r="2163" spans="1:41" hidden="1" x14ac:dyDescent="0.35">
      <c r="A2163" t="s">
        <v>20520</v>
      </c>
      <c r="B2163" t="s">
        <v>7246</v>
      </c>
      <c r="C2163" t="s">
        <v>390</v>
      </c>
      <c r="D2163" t="s">
        <v>390</v>
      </c>
      <c r="E2163" t="s">
        <v>390</v>
      </c>
      <c r="G2163" s="13" t="s">
        <v>20521</v>
      </c>
      <c r="H2163" t="s">
        <v>20522</v>
      </c>
      <c r="K2163" t="s">
        <v>12230</v>
      </c>
      <c r="L2163" t="s">
        <v>12230</v>
      </c>
      <c r="M2163" t="s">
        <v>7250</v>
      </c>
      <c r="T2163" t="s">
        <v>6546</v>
      </c>
      <c r="U2163" t="s">
        <v>6546</v>
      </c>
      <c r="V2163">
        <v>80.47</v>
      </c>
      <c r="W2163" t="s">
        <v>6546</v>
      </c>
      <c r="X2163">
        <v>80.47</v>
      </c>
      <c r="Y2163">
        <v>24</v>
      </c>
      <c r="Z2163" t="s">
        <v>7253</v>
      </c>
      <c r="AC2163" t="s">
        <v>8747</v>
      </c>
      <c r="AI2163" t="s">
        <v>8747</v>
      </c>
      <c r="AO2163" t="s">
        <v>6546</v>
      </c>
    </row>
    <row r="2164" spans="1:41" hidden="1" x14ac:dyDescent="0.35">
      <c r="A2164" t="s">
        <v>20523</v>
      </c>
      <c r="B2164" t="s">
        <v>7246</v>
      </c>
      <c r="C2164" t="s">
        <v>390</v>
      </c>
      <c r="D2164" t="s">
        <v>390</v>
      </c>
      <c r="E2164" t="s">
        <v>390</v>
      </c>
      <c r="G2164" s="13" t="s">
        <v>20524</v>
      </c>
      <c r="H2164" t="s">
        <v>20525</v>
      </c>
      <c r="K2164" t="s">
        <v>12230</v>
      </c>
      <c r="L2164" t="s">
        <v>12230</v>
      </c>
      <c r="M2164" t="s">
        <v>7250</v>
      </c>
      <c r="T2164" t="s">
        <v>6546</v>
      </c>
      <c r="U2164" t="s">
        <v>6546</v>
      </c>
      <c r="V2164">
        <v>46.67</v>
      </c>
      <c r="W2164" t="s">
        <v>6546</v>
      </c>
      <c r="X2164">
        <v>46.67</v>
      </c>
      <c r="Y2164">
        <v>18</v>
      </c>
      <c r="Z2164" t="s">
        <v>7253</v>
      </c>
      <c r="AC2164" t="s">
        <v>8747</v>
      </c>
      <c r="AI2164" t="s">
        <v>8747</v>
      </c>
      <c r="AO2164" t="s">
        <v>6546</v>
      </c>
    </row>
    <row r="2165" spans="1:41" hidden="1" x14ac:dyDescent="0.35">
      <c r="A2165" t="s">
        <v>20526</v>
      </c>
      <c r="B2165" t="s">
        <v>7246</v>
      </c>
      <c r="C2165" t="s">
        <v>390</v>
      </c>
      <c r="D2165" t="s">
        <v>390</v>
      </c>
      <c r="E2165" t="s">
        <v>390</v>
      </c>
      <c r="G2165" s="13" t="s">
        <v>20527</v>
      </c>
      <c r="H2165" t="s">
        <v>20528</v>
      </c>
      <c r="K2165" t="s">
        <v>12230</v>
      </c>
      <c r="L2165" t="s">
        <v>12230</v>
      </c>
      <c r="M2165" t="s">
        <v>7250</v>
      </c>
      <c r="T2165" t="s">
        <v>6546</v>
      </c>
      <c r="U2165" t="s">
        <v>6546</v>
      </c>
      <c r="V2165">
        <v>117.48</v>
      </c>
      <c r="W2165">
        <v>66.930000000000007</v>
      </c>
      <c r="X2165">
        <v>117.48</v>
      </c>
      <c r="Y2165">
        <v>16</v>
      </c>
      <c r="Z2165" t="s">
        <v>7253</v>
      </c>
      <c r="AA2165" t="s">
        <v>20529</v>
      </c>
      <c r="AC2165" t="s">
        <v>8747</v>
      </c>
      <c r="AE2165" t="s">
        <v>20530</v>
      </c>
      <c r="AF2165" t="s">
        <v>20531</v>
      </c>
      <c r="AH2165" t="s">
        <v>20530</v>
      </c>
      <c r="AI2165" t="s">
        <v>8747</v>
      </c>
      <c r="AL2165" t="s">
        <v>20532</v>
      </c>
      <c r="AO2165" t="s">
        <v>20533</v>
      </c>
    </row>
    <row r="2166" spans="1:41" hidden="1" x14ac:dyDescent="0.35">
      <c r="A2166" t="s">
        <v>20534</v>
      </c>
      <c r="B2166" t="s">
        <v>7246</v>
      </c>
      <c r="C2166" t="s">
        <v>390</v>
      </c>
      <c r="D2166" t="s">
        <v>390</v>
      </c>
      <c r="E2166" t="s">
        <v>390</v>
      </c>
      <c r="G2166" s="13" t="s">
        <v>20535</v>
      </c>
      <c r="H2166" t="s">
        <v>20536</v>
      </c>
      <c r="K2166" t="s">
        <v>12230</v>
      </c>
      <c r="L2166" t="s">
        <v>12230</v>
      </c>
      <c r="M2166" t="s">
        <v>7250</v>
      </c>
      <c r="T2166" t="s">
        <v>6546</v>
      </c>
      <c r="U2166" t="s">
        <v>6546</v>
      </c>
      <c r="V2166">
        <v>61.16</v>
      </c>
      <c r="W2166" t="s">
        <v>6546</v>
      </c>
      <c r="X2166">
        <v>61.16</v>
      </c>
      <c r="Y2166">
        <v>12</v>
      </c>
      <c r="Z2166" t="s">
        <v>7253</v>
      </c>
      <c r="AA2166" t="s">
        <v>12190</v>
      </c>
      <c r="AC2166" t="s">
        <v>8747</v>
      </c>
      <c r="AE2166" t="s">
        <v>12191</v>
      </c>
      <c r="AF2166" t="s">
        <v>12191</v>
      </c>
      <c r="AH2166" t="s">
        <v>12191</v>
      </c>
      <c r="AI2166" t="s">
        <v>8747</v>
      </c>
      <c r="AO2166" t="s">
        <v>6546</v>
      </c>
    </row>
    <row r="2167" spans="1:41" hidden="1" x14ac:dyDescent="0.35">
      <c r="A2167" t="s">
        <v>20537</v>
      </c>
      <c r="B2167" t="s">
        <v>7246</v>
      </c>
      <c r="C2167" t="s">
        <v>451</v>
      </c>
      <c r="D2167" t="s">
        <v>451</v>
      </c>
      <c r="E2167" t="s">
        <v>451</v>
      </c>
      <c r="G2167" s="13" t="s">
        <v>20538</v>
      </c>
      <c r="H2167" t="s">
        <v>20539</v>
      </c>
      <c r="J2167" t="s">
        <v>20540</v>
      </c>
      <c r="K2167" t="s">
        <v>8014</v>
      </c>
      <c r="L2167" t="s">
        <v>7346</v>
      </c>
      <c r="M2167" t="s">
        <v>7292</v>
      </c>
      <c r="N2167">
        <v>2023</v>
      </c>
      <c r="R2167">
        <v>400000</v>
      </c>
      <c r="S2167" t="s">
        <v>20541</v>
      </c>
      <c r="T2167" t="s">
        <v>6546</v>
      </c>
      <c r="U2167" t="s">
        <v>6546</v>
      </c>
      <c r="V2167">
        <v>37.82</v>
      </c>
      <c r="W2167" t="s">
        <v>6546</v>
      </c>
      <c r="X2167">
        <v>37.82</v>
      </c>
      <c r="Y2167">
        <v>26</v>
      </c>
      <c r="Z2167" t="s">
        <v>7253</v>
      </c>
      <c r="AC2167" t="s">
        <v>7255</v>
      </c>
      <c r="AE2167" t="s">
        <v>513</v>
      </c>
      <c r="AF2167" t="s">
        <v>20542</v>
      </c>
      <c r="AH2167" t="s">
        <v>548</v>
      </c>
      <c r="AI2167" t="s">
        <v>7255</v>
      </c>
      <c r="AO2167" t="s">
        <v>6546</v>
      </c>
    </row>
    <row r="2168" spans="1:41" hidden="1" x14ac:dyDescent="0.35">
      <c r="A2168" t="s">
        <v>20543</v>
      </c>
      <c r="B2168" t="s">
        <v>7246</v>
      </c>
      <c r="C2168" t="s">
        <v>451</v>
      </c>
      <c r="D2168" t="s">
        <v>451</v>
      </c>
      <c r="E2168" t="s">
        <v>451</v>
      </c>
      <c r="G2168" s="13" t="s">
        <v>20544</v>
      </c>
      <c r="H2168" t="s">
        <v>20545</v>
      </c>
      <c r="J2168" t="s">
        <v>20546</v>
      </c>
      <c r="K2168" t="s">
        <v>6543</v>
      </c>
      <c r="L2168" t="s">
        <v>6543</v>
      </c>
      <c r="M2168" t="s">
        <v>7415</v>
      </c>
      <c r="N2168">
        <v>2022</v>
      </c>
      <c r="R2168">
        <v>250</v>
      </c>
      <c r="S2168" t="s">
        <v>7251</v>
      </c>
      <c r="T2168">
        <v>2.59</v>
      </c>
      <c r="U2168">
        <v>1203.33</v>
      </c>
      <c r="V2168">
        <v>11.27</v>
      </c>
      <c r="W2168" t="s">
        <v>6546</v>
      </c>
      <c r="X2168">
        <v>11.27</v>
      </c>
      <c r="Y2168">
        <v>30</v>
      </c>
      <c r="Z2168" t="s">
        <v>7253</v>
      </c>
      <c r="AB2168" t="s">
        <v>20547</v>
      </c>
      <c r="AC2168" t="s">
        <v>7255</v>
      </c>
      <c r="AD2168" t="s">
        <v>20548</v>
      </c>
      <c r="AE2168" t="s">
        <v>548</v>
      </c>
      <c r="AF2168" t="s">
        <v>20549</v>
      </c>
      <c r="AG2168" t="s">
        <v>20548</v>
      </c>
      <c r="AH2168" t="s">
        <v>548</v>
      </c>
      <c r="AI2168" t="s">
        <v>7255</v>
      </c>
      <c r="AO2168" t="s">
        <v>6546</v>
      </c>
    </row>
    <row r="2169" spans="1:41" hidden="1" x14ac:dyDescent="0.35">
      <c r="A2169" t="s">
        <v>20550</v>
      </c>
      <c r="B2169" t="s">
        <v>7246</v>
      </c>
      <c r="C2169" t="s">
        <v>5541</v>
      </c>
      <c r="D2169" t="s">
        <v>5541</v>
      </c>
      <c r="E2169" t="s">
        <v>5541</v>
      </c>
      <c r="G2169" s="13" t="s">
        <v>20551</v>
      </c>
      <c r="H2169" t="s">
        <v>20552</v>
      </c>
      <c r="K2169" t="s">
        <v>6543</v>
      </c>
      <c r="L2169" t="s">
        <v>6543</v>
      </c>
      <c r="M2169" t="s">
        <v>7250</v>
      </c>
      <c r="N2169">
        <v>2009</v>
      </c>
      <c r="R2169">
        <v>10</v>
      </c>
      <c r="S2169" t="s">
        <v>8257</v>
      </c>
      <c r="T2169">
        <v>10</v>
      </c>
      <c r="U2169">
        <v>4653.83</v>
      </c>
      <c r="V2169">
        <v>165</v>
      </c>
      <c r="W2169">
        <v>102.63</v>
      </c>
      <c r="X2169">
        <v>165</v>
      </c>
      <c r="AB2169" t="s">
        <v>20553</v>
      </c>
      <c r="AC2169" t="s">
        <v>8844</v>
      </c>
      <c r="AF2169" t="s">
        <v>20554</v>
      </c>
      <c r="AH2169" t="s">
        <v>20555</v>
      </c>
      <c r="AI2169" t="s">
        <v>8844</v>
      </c>
      <c r="AL2169" t="s">
        <v>20556</v>
      </c>
      <c r="AO2169" t="s">
        <v>20557</v>
      </c>
    </row>
    <row r="2170" spans="1:41" hidden="1" x14ac:dyDescent="0.35">
      <c r="A2170" t="s">
        <v>20558</v>
      </c>
      <c r="B2170" t="s">
        <v>7246</v>
      </c>
      <c r="C2170" t="s">
        <v>5541</v>
      </c>
      <c r="D2170" t="s">
        <v>5541</v>
      </c>
      <c r="E2170" t="s">
        <v>5541</v>
      </c>
      <c r="G2170" s="13" t="s">
        <v>20551</v>
      </c>
      <c r="H2170" t="s">
        <v>20552</v>
      </c>
      <c r="I2170" t="s">
        <v>8683</v>
      </c>
      <c r="K2170" t="s">
        <v>6543</v>
      </c>
      <c r="L2170" t="s">
        <v>6543</v>
      </c>
      <c r="M2170" t="s">
        <v>7415</v>
      </c>
      <c r="N2170">
        <v>2022</v>
      </c>
      <c r="T2170" t="s">
        <v>6546</v>
      </c>
      <c r="U2170" t="s">
        <v>6546</v>
      </c>
      <c r="V2170">
        <v>25</v>
      </c>
      <c r="W2170" t="s">
        <v>6546</v>
      </c>
      <c r="X2170">
        <v>25</v>
      </c>
      <c r="AB2170" t="s">
        <v>20553</v>
      </c>
      <c r="AC2170" t="s">
        <v>8844</v>
      </c>
      <c r="AF2170" t="s">
        <v>20554</v>
      </c>
      <c r="AH2170" t="s">
        <v>20555</v>
      </c>
      <c r="AI2170" t="s">
        <v>8844</v>
      </c>
      <c r="AO2170" t="s">
        <v>6546</v>
      </c>
    </row>
    <row r="2171" spans="1:41" hidden="1" x14ac:dyDescent="0.35">
      <c r="A2171" t="s">
        <v>20559</v>
      </c>
      <c r="B2171" t="s">
        <v>7246</v>
      </c>
      <c r="C2171" t="s">
        <v>5541</v>
      </c>
      <c r="D2171" t="s">
        <v>5541</v>
      </c>
      <c r="E2171" t="s">
        <v>5541</v>
      </c>
      <c r="G2171" s="13" t="s">
        <v>20560</v>
      </c>
      <c r="H2171" t="s">
        <v>20561</v>
      </c>
      <c r="K2171" t="s">
        <v>6543</v>
      </c>
      <c r="L2171" t="s">
        <v>6543</v>
      </c>
      <c r="M2171" t="s">
        <v>7250</v>
      </c>
      <c r="N2171">
        <v>1997</v>
      </c>
      <c r="T2171" t="s">
        <v>6546</v>
      </c>
      <c r="U2171" t="s">
        <v>6546</v>
      </c>
      <c r="V2171">
        <v>350</v>
      </c>
      <c r="W2171">
        <v>413.12</v>
      </c>
      <c r="X2171">
        <v>350</v>
      </c>
      <c r="Y2171">
        <v>1220</v>
      </c>
      <c r="Z2171" t="s">
        <v>8842</v>
      </c>
      <c r="AA2171" t="s">
        <v>9892</v>
      </c>
      <c r="AB2171" t="s">
        <v>9892</v>
      </c>
      <c r="AC2171" t="s">
        <v>8844</v>
      </c>
      <c r="AF2171" t="s">
        <v>20562</v>
      </c>
      <c r="AI2171" t="s">
        <v>8844</v>
      </c>
      <c r="AO2171" t="s">
        <v>20563</v>
      </c>
    </row>
    <row r="2172" spans="1:41" hidden="1" x14ac:dyDescent="0.35">
      <c r="A2172" t="s">
        <v>20564</v>
      </c>
      <c r="B2172" t="s">
        <v>7246</v>
      </c>
      <c r="C2172" t="s">
        <v>5205</v>
      </c>
      <c r="D2172" t="s">
        <v>5205</v>
      </c>
      <c r="E2172" t="s">
        <v>5205</v>
      </c>
      <c r="G2172" s="13" t="s">
        <v>20565</v>
      </c>
      <c r="H2172" t="s">
        <v>20566</v>
      </c>
      <c r="K2172" t="s">
        <v>17113</v>
      </c>
      <c r="L2172" t="s">
        <v>17107</v>
      </c>
      <c r="M2172" t="s">
        <v>7250</v>
      </c>
      <c r="T2172" t="s">
        <v>6546</v>
      </c>
      <c r="U2172" t="s">
        <v>6546</v>
      </c>
      <c r="V2172">
        <v>55.23</v>
      </c>
      <c r="W2172">
        <v>18.100000000000001</v>
      </c>
      <c r="X2172">
        <v>55.23</v>
      </c>
      <c r="Y2172">
        <v>16</v>
      </c>
      <c r="Z2172" t="s">
        <v>7253</v>
      </c>
      <c r="AB2172" t="s">
        <v>20567</v>
      </c>
      <c r="AC2172" t="s">
        <v>8859</v>
      </c>
      <c r="AE2172" t="s">
        <v>3542</v>
      </c>
      <c r="AF2172" t="s">
        <v>20568</v>
      </c>
      <c r="AH2172" t="s">
        <v>3542</v>
      </c>
      <c r="AI2172" t="s">
        <v>8859</v>
      </c>
      <c r="AO2172" t="s">
        <v>20569</v>
      </c>
    </row>
    <row r="2173" spans="1:41" hidden="1" x14ac:dyDescent="0.35">
      <c r="A2173" t="s">
        <v>20570</v>
      </c>
      <c r="B2173" t="s">
        <v>7246</v>
      </c>
      <c r="C2173" t="s">
        <v>5205</v>
      </c>
      <c r="D2173" t="s">
        <v>5205</v>
      </c>
      <c r="E2173" t="s">
        <v>5205</v>
      </c>
      <c r="G2173" s="13" t="s">
        <v>20571</v>
      </c>
      <c r="H2173" t="s">
        <v>20572</v>
      </c>
      <c r="K2173" t="s">
        <v>17113</v>
      </c>
      <c r="L2173" t="s">
        <v>17107</v>
      </c>
      <c r="M2173" t="s">
        <v>7250</v>
      </c>
      <c r="T2173" t="s">
        <v>6546</v>
      </c>
      <c r="U2173" t="s">
        <v>6546</v>
      </c>
      <c r="V2173">
        <v>70.5</v>
      </c>
      <c r="W2173">
        <v>55.23</v>
      </c>
      <c r="X2173">
        <v>70.5</v>
      </c>
      <c r="Y2173">
        <v>24</v>
      </c>
      <c r="Z2173" t="s">
        <v>7253</v>
      </c>
      <c r="AB2173" t="s">
        <v>20573</v>
      </c>
      <c r="AC2173" t="s">
        <v>8859</v>
      </c>
      <c r="AE2173" t="s">
        <v>17083</v>
      </c>
      <c r="AF2173" t="s">
        <v>20352</v>
      </c>
      <c r="AH2173" t="s">
        <v>17083</v>
      </c>
      <c r="AI2173" t="s">
        <v>8859</v>
      </c>
      <c r="AO2173" t="s">
        <v>20574</v>
      </c>
    </row>
    <row r="2174" spans="1:41" hidden="1" x14ac:dyDescent="0.35">
      <c r="A2174" t="s">
        <v>20575</v>
      </c>
      <c r="B2174" t="s">
        <v>7246</v>
      </c>
      <c r="C2174" t="s">
        <v>423</v>
      </c>
      <c r="D2174" t="s">
        <v>423</v>
      </c>
      <c r="E2174" t="s">
        <v>423</v>
      </c>
      <c r="G2174" s="13" t="s">
        <v>20576</v>
      </c>
      <c r="H2174" t="s">
        <v>20577</v>
      </c>
      <c r="I2174" t="s">
        <v>20578</v>
      </c>
      <c r="K2174" t="s">
        <v>9848</v>
      </c>
      <c r="L2174" t="s">
        <v>9848</v>
      </c>
      <c r="M2174" t="s">
        <v>7292</v>
      </c>
      <c r="R2174">
        <v>0.74</v>
      </c>
      <c r="S2174" t="s">
        <v>8257</v>
      </c>
      <c r="T2174">
        <v>0.74</v>
      </c>
      <c r="U2174">
        <v>344.38</v>
      </c>
      <c r="V2174">
        <v>123.1</v>
      </c>
      <c r="W2174">
        <v>89.76</v>
      </c>
      <c r="X2174">
        <v>123.1</v>
      </c>
      <c r="Y2174" t="s">
        <v>20579</v>
      </c>
      <c r="Z2174" t="s">
        <v>8842</v>
      </c>
      <c r="AB2174" t="s">
        <v>20580</v>
      </c>
      <c r="AC2174" t="s">
        <v>8844</v>
      </c>
      <c r="AE2174" t="s">
        <v>9935</v>
      </c>
      <c r="AF2174" t="s">
        <v>20581</v>
      </c>
      <c r="AH2174" t="s">
        <v>9935</v>
      </c>
      <c r="AI2174" t="s">
        <v>8844</v>
      </c>
      <c r="AL2174" t="s">
        <v>20582</v>
      </c>
      <c r="AM2174" t="s">
        <v>20583</v>
      </c>
      <c r="AO2174" t="s">
        <v>20584</v>
      </c>
    </row>
    <row r="2175" spans="1:41" hidden="1" x14ac:dyDescent="0.35">
      <c r="A2175" t="s">
        <v>20585</v>
      </c>
      <c r="B2175" t="s">
        <v>7246</v>
      </c>
      <c r="C2175" t="s">
        <v>423</v>
      </c>
      <c r="D2175" t="s">
        <v>423</v>
      </c>
      <c r="E2175" t="s">
        <v>423</v>
      </c>
      <c r="G2175" s="13" t="s">
        <v>20576</v>
      </c>
      <c r="H2175" t="s">
        <v>20577</v>
      </c>
      <c r="I2175" t="s">
        <v>20586</v>
      </c>
      <c r="K2175" t="s">
        <v>9848</v>
      </c>
      <c r="L2175" t="s">
        <v>9848</v>
      </c>
      <c r="M2175" t="s">
        <v>7292</v>
      </c>
      <c r="R2175">
        <v>0.74</v>
      </c>
      <c r="S2175" t="s">
        <v>8257</v>
      </c>
      <c r="T2175">
        <v>0.74</v>
      </c>
      <c r="U2175">
        <v>344.38</v>
      </c>
      <c r="V2175">
        <v>55.5</v>
      </c>
      <c r="W2175">
        <v>50.16</v>
      </c>
      <c r="X2175">
        <v>55.5</v>
      </c>
      <c r="Y2175" t="s">
        <v>13948</v>
      </c>
      <c r="Z2175" t="s">
        <v>8842</v>
      </c>
      <c r="AB2175" t="s">
        <v>20581</v>
      </c>
      <c r="AC2175" t="s">
        <v>8844</v>
      </c>
      <c r="AE2175" t="s">
        <v>9935</v>
      </c>
      <c r="AF2175" t="s">
        <v>20587</v>
      </c>
      <c r="AH2175" t="s">
        <v>9935</v>
      </c>
      <c r="AI2175" t="s">
        <v>8844</v>
      </c>
      <c r="AL2175" t="s">
        <v>20582</v>
      </c>
      <c r="AM2175" t="s">
        <v>20588</v>
      </c>
      <c r="AO2175" t="s">
        <v>20589</v>
      </c>
    </row>
    <row r="2176" spans="1:41" hidden="1" x14ac:dyDescent="0.35">
      <c r="A2176" t="s">
        <v>20590</v>
      </c>
      <c r="B2176" t="s">
        <v>7246</v>
      </c>
      <c r="C2176" t="s">
        <v>423</v>
      </c>
      <c r="D2176" t="s">
        <v>423</v>
      </c>
      <c r="E2176" t="s">
        <v>423</v>
      </c>
      <c r="G2176" s="13" t="s">
        <v>20576</v>
      </c>
      <c r="H2176" t="s">
        <v>20577</v>
      </c>
      <c r="I2176" t="s">
        <v>20591</v>
      </c>
      <c r="K2176" t="s">
        <v>9848</v>
      </c>
      <c r="L2176" t="s">
        <v>9848</v>
      </c>
      <c r="M2176" t="s">
        <v>7292</v>
      </c>
      <c r="R2176">
        <v>0.74</v>
      </c>
      <c r="S2176" t="s">
        <v>8257</v>
      </c>
      <c r="T2176">
        <v>0.74</v>
      </c>
      <c r="U2176">
        <v>344.38</v>
      </c>
      <c r="V2176">
        <v>130.69999999999999</v>
      </c>
      <c r="W2176">
        <v>117.45</v>
      </c>
      <c r="X2176">
        <v>130.69999999999999</v>
      </c>
      <c r="Y2176" t="s">
        <v>20592</v>
      </c>
      <c r="Z2176" t="s">
        <v>8842</v>
      </c>
      <c r="AB2176" t="s">
        <v>20587</v>
      </c>
      <c r="AC2176" t="s">
        <v>8844</v>
      </c>
      <c r="AE2176" t="s">
        <v>9935</v>
      </c>
      <c r="AF2176" t="s">
        <v>20593</v>
      </c>
      <c r="AH2176" t="s">
        <v>9935</v>
      </c>
      <c r="AI2176" t="s">
        <v>8844</v>
      </c>
      <c r="AL2176" t="s">
        <v>20582</v>
      </c>
      <c r="AM2176" t="s">
        <v>20594</v>
      </c>
      <c r="AO2176" t="s">
        <v>20595</v>
      </c>
    </row>
    <row r="2177" spans="1:41" hidden="1" x14ac:dyDescent="0.35">
      <c r="A2177" t="s">
        <v>20596</v>
      </c>
      <c r="B2177" t="s">
        <v>7246</v>
      </c>
      <c r="C2177" t="s">
        <v>5205</v>
      </c>
      <c r="D2177" t="s">
        <v>5205</v>
      </c>
      <c r="E2177" t="s">
        <v>5205</v>
      </c>
      <c r="G2177" s="13" t="s">
        <v>20597</v>
      </c>
      <c r="H2177" t="s">
        <v>20598</v>
      </c>
      <c r="K2177" t="s">
        <v>17113</v>
      </c>
      <c r="L2177" t="s">
        <v>17107</v>
      </c>
      <c r="M2177" t="s">
        <v>7250</v>
      </c>
      <c r="T2177" t="s">
        <v>6546</v>
      </c>
      <c r="U2177" t="s">
        <v>6546</v>
      </c>
      <c r="V2177">
        <v>131</v>
      </c>
      <c r="W2177">
        <v>125.76</v>
      </c>
      <c r="X2177">
        <v>131</v>
      </c>
      <c r="Y2177">
        <v>24</v>
      </c>
      <c r="Z2177" t="s">
        <v>7253</v>
      </c>
      <c r="AB2177" t="s">
        <v>17108</v>
      </c>
      <c r="AC2177" t="s">
        <v>8859</v>
      </c>
      <c r="AE2177" t="s">
        <v>3542</v>
      </c>
      <c r="AF2177" t="s">
        <v>20599</v>
      </c>
      <c r="AH2177" t="s">
        <v>3542</v>
      </c>
      <c r="AI2177" t="s">
        <v>8859</v>
      </c>
      <c r="AO2177" t="s">
        <v>20600</v>
      </c>
    </row>
    <row r="2178" spans="1:41" hidden="1" x14ac:dyDescent="0.35">
      <c r="A2178" t="s">
        <v>20601</v>
      </c>
      <c r="B2178" t="s">
        <v>7246</v>
      </c>
      <c r="C2178" t="s">
        <v>423</v>
      </c>
      <c r="D2178" t="s">
        <v>423</v>
      </c>
      <c r="E2178" t="s">
        <v>423</v>
      </c>
      <c r="G2178" s="13" t="s">
        <v>20602</v>
      </c>
      <c r="H2178" t="s">
        <v>20603</v>
      </c>
      <c r="K2178" t="s">
        <v>9848</v>
      </c>
      <c r="L2178" t="s">
        <v>9848</v>
      </c>
      <c r="M2178" t="s">
        <v>7292</v>
      </c>
      <c r="R2178">
        <v>0.55000000000000004</v>
      </c>
      <c r="S2178" t="s">
        <v>8257</v>
      </c>
      <c r="T2178">
        <v>0.55000000000000004</v>
      </c>
      <c r="U2178">
        <v>255.96</v>
      </c>
      <c r="V2178">
        <v>80.099999999999994</v>
      </c>
      <c r="W2178">
        <v>56.76</v>
      </c>
      <c r="X2178">
        <v>80.099999999999994</v>
      </c>
      <c r="Y2178">
        <v>300</v>
      </c>
      <c r="Z2178" t="s">
        <v>8842</v>
      </c>
      <c r="AB2178" t="s">
        <v>20604</v>
      </c>
      <c r="AC2178" t="s">
        <v>8844</v>
      </c>
      <c r="AE2178" t="s">
        <v>9935</v>
      </c>
      <c r="AF2178" t="s">
        <v>20605</v>
      </c>
      <c r="AH2178" t="s">
        <v>9935</v>
      </c>
      <c r="AI2178" t="s">
        <v>8844</v>
      </c>
      <c r="AL2178" t="s">
        <v>20606</v>
      </c>
      <c r="AO2178" t="s">
        <v>20607</v>
      </c>
    </row>
    <row r="2179" spans="1:41" hidden="1" x14ac:dyDescent="0.35">
      <c r="A2179" t="s">
        <v>20608</v>
      </c>
      <c r="B2179" t="s">
        <v>7246</v>
      </c>
      <c r="C2179" t="s">
        <v>423</v>
      </c>
      <c r="D2179" t="s">
        <v>423</v>
      </c>
      <c r="E2179" t="s">
        <v>423</v>
      </c>
      <c r="G2179" s="13" t="s">
        <v>20609</v>
      </c>
      <c r="H2179" t="s">
        <v>20610</v>
      </c>
      <c r="J2179" t="s">
        <v>20611</v>
      </c>
      <c r="K2179" t="s">
        <v>9848</v>
      </c>
      <c r="L2179" t="s">
        <v>9848</v>
      </c>
      <c r="M2179" t="s">
        <v>7292</v>
      </c>
      <c r="T2179" t="s">
        <v>6546</v>
      </c>
      <c r="U2179" t="s">
        <v>6546</v>
      </c>
      <c r="V2179">
        <v>176</v>
      </c>
      <c r="W2179">
        <v>33.31</v>
      </c>
      <c r="X2179">
        <v>176</v>
      </c>
      <c r="Y2179">
        <v>700</v>
      </c>
      <c r="Z2179" t="s">
        <v>8842</v>
      </c>
      <c r="AB2179" t="s">
        <v>20612</v>
      </c>
      <c r="AC2179" t="s">
        <v>8844</v>
      </c>
      <c r="AE2179" t="s">
        <v>9935</v>
      </c>
      <c r="AF2179" t="s">
        <v>5536</v>
      </c>
      <c r="AH2179" t="s">
        <v>9935</v>
      </c>
      <c r="AI2179" t="s">
        <v>8844</v>
      </c>
      <c r="AL2179" t="s">
        <v>20613</v>
      </c>
      <c r="AO2179" t="s">
        <v>20614</v>
      </c>
    </row>
    <row r="2180" spans="1:41" hidden="1" x14ac:dyDescent="0.35">
      <c r="A2180" t="s">
        <v>20615</v>
      </c>
      <c r="B2180" t="s">
        <v>7246</v>
      </c>
      <c r="C2180" t="s">
        <v>5613</v>
      </c>
      <c r="D2180" t="s">
        <v>5613</v>
      </c>
      <c r="E2180" t="s">
        <v>5613</v>
      </c>
      <c r="G2180" s="13" t="s">
        <v>20616</v>
      </c>
      <c r="H2180" t="s">
        <v>20617</v>
      </c>
      <c r="K2180" t="s">
        <v>20618</v>
      </c>
      <c r="L2180" t="s">
        <v>6524</v>
      </c>
      <c r="M2180" t="s">
        <v>7250</v>
      </c>
      <c r="T2180" t="s">
        <v>6546</v>
      </c>
      <c r="U2180" t="s">
        <v>6546</v>
      </c>
      <c r="V2180" t="s">
        <v>6546</v>
      </c>
      <c r="W2180">
        <v>195.75</v>
      </c>
      <c r="X2180">
        <v>195.75</v>
      </c>
      <c r="AB2180" t="s">
        <v>11731</v>
      </c>
      <c r="AC2180" t="s">
        <v>8777</v>
      </c>
      <c r="AF2180" t="s">
        <v>20619</v>
      </c>
      <c r="AI2180" t="s">
        <v>8777</v>
      </c>
      <c r="AO2180" t="s">
        <v>20620</v>
      </c>
    </row>
    <row r="2181" spans="1:41" hidden="1" x14ac:dyDescent="0.35">
      <c r="A2181" t="s">
        <v>20621</v>
      </c>
      <c r="B2181" t="s">
        <v>7246</v>
      </c>
      <c r="C2181" t="s">
        <v>423</v>
      </c>
      <c r="D2181" t="s">
        <v>423</v>
      </c>
      <c r="E2181" t="s">
        <v>423</v>
      </c>
      <c r="G2181" s="13" t="s">
        <v>20622</v>
      </c>
      <c r="H2181" t="s">
        <v>20623</v>
      </c>
      <c r="K2181" t="s">
        <v>9848</v>
      </c>
      <c r="L2181" t="s">
        <v>9848</v>
      </c>
      <c r="M2181" t="s">
        <v>7292</v>
      </c>
      <c r="R2181">
        <v>0.19</v>
      </c>
      <c r="S2181" t="s">
        <v>8257</v>
      </c>
      <c r="T2181">
        <v>0.19</v>
      </c>
      <c r="U2181">
        <v>87.96</v>
      </c>
      <c r="V2181">
        <v>64.599999999999994</v>
      </c>
      <c r="W2181">
        <v>54.32</v>
      </c>
      <c r="X2181">
        <v>64.599999999999994</v>
      </c>
      <c r="Y2181">
        <v>300</v>
      </c>
      <c r="Z2181" t="s">
        <v>8842</v>
      </c>
      <c r="AB2181" t="s">
        <v>20624</v>
      </c>
      <c r="AC2181" t="s">
        <v>8844</v>
      </c>
      <c r="AE2181" t="s">
        <v>9935</v>
      </c>
      <c r="AF2181" t="s">
        <v>20625</v>
      </c>
      <c r="AH2181" t="s">
        <v>9935</v>
      </c>
      <c r="AI2181" t="s">
        <v>8844</v>
      </c>
      <c r="AL2181" t="s">
        <v>20626</v>
      </c>
      <c r="AO2181" t="s">
        <v>20627</v>
      </c>
    </row>
    <row r="2182" spans="1:41" hidden="1" x14ac:dyDescent="0.35">
      <c r="A2182" t="s">
        <v>20628</v>
      </c>
      <c r="B2182" t="s">
        <v>7246</v>
      </c>
      <c r="C2182" t="s">
        <v>5613</v>
      </c>
      <c r="D2182" t="s">
        <v>5613</v>
      </c>
      <c r="E2182" t="s">
        <v>5613</v>
      </c>
      <c r="G2182" s="13" t="s">
        <v>20629</v>
      </c>
      <c r="H2182" t="s">
        <v>16346</v>
      </c>
      <c r="I2182" t="s">
        <v>20630</v>
      </c>
      <c r="K2182" t="s">
        <v>11729</v>
      </c>
      <c r="L2182" t="s">
        <v>11729</v>
      </c>
      <c r="M2182" t="s">
        <v>7250</v>
      </c>
      <c r="N2182">
        <v>2016</v>
      </c>
      <c r="R2182">
        <v>8</v>
      </c>
      <c r="S2182" t="s">
        <v>8257</v>
      </c>
      <c r="T2182">
        <v>8</v>
      </c>
      <c r="U2182">
        <v>3723.07</v>
      </c>
      <c r="V2182">
        <v>23</v>
      </c>
      <c r="W2182">
        <v>18.440000000000001</v>
      </c>
      <c r="X2182">
        <v>23</v>
      </c>
      <c r="Y2182">
        <v>1000</v>
      </c>
      <c r="Z2182" t="s">
        <v>8842</v>
      </c>
      <c r="AB2182" t="s">
        <v>20631</v>
      </c>
      <c r="AC2182" t="s">
        <v>8777</v>
      </c>
      <c r="AD2182" t="s">
        <v>9547</v>
      </c>
      <c r="AF2182" t="s">
        <v>20632</v>
      </c>
      <c r="AG2182" t="s">
        <v>9547</v>
      </c>
      <c r="AI2182" t="s">
        <v>8777</v>
      </c>
      <c r="AO2182" t="s">
        <v>20633</v>
      </c>
    </row>
    <row r="2183" spans="1:41" hidden="1" x14ac:dyDescent="0.35">
      <c r="A2183" t="s">
        <v>20634</v>
      </c>
      <c r="B2183" t="s">
        <v>7246</v>
      </c>
      <c r="C2183" t="s">
        <v>423</v>
      </c>
      <c r="D2183" t="s">
        <v>423</v>
      </c>
      <c r="E2183" t="s">
        <v>423</v>
      </c>
      <c r="G2183" s="13" t="s">
        <v>20635</v>
      </c>
      <c r="H2183" t="s">
        <v>20636</v>
      </c>
      <c r="K2183" t="s">
        <v>9848</v>
      </c>
      <c r="L2183" t="s">
        <v>9848</v>
      </c>
      <c r="M2183" t="s">
        <v>7292</v>
      </c>
      <c r="R2183">
        <v>0.11</v>
      </c>
      <c r="S2183" t="s">
        <v>8257</v>
      </c>
      <c r="T2183">
        <v>0.11</v>
      </c>
      <c r="U2183">
        <v>52.54</v>
      </c>
      <c r="V2183">
        <v>122.75</v>
      </c>
      <c r="W2183">
        <v>103.66</v>
      </c>
      <c r="X2183">
        <v>122.75</v>
      </c>
      <c r="Y2183">
        <v>325</v>
      </c>
      <c r="Z2183" t="s">
        <v>8842</v>
      </c>
      <c r="AB2183" t="s">
        <v>20637</v>
      </c>
      <c r="AC2183" t="s">
        <v>8844</v>
      </c>
      <c r="AE2183" t="s">
        <v>20638</v>
      </c>
      <c r="AF2183" t="s">
        <v>20639</v>
      </c>
      <c r="AH2183" t="s">
        <v>20638</v>
      </c>
      <c r="AI2183" t="s">
        <v>8844</v>
      </c>
      <c r="AL2183" t="s">
        <v>20640</v>
      </c>
      <c r="AO2183" t="s">
        <v>20641</v>
      </c>
    </row>
    <row r="2184" spans="1:41" hidden="1" x14ac:dyDescent="0.35">
      <c r="A2184" t="s">
        <v>20642</v>
      </c>
      <c r="B2184" t="s">
        <v>7246</v>
      </c>
      <c r="C2184" t="s">
        <v>5205</v>
      </c>
      <c r="D2184" t="s">
        <v>5205</v>
      </c>
      <c r="E2184" t="s">
        <v>5205</v>
      </c>
      <c r="G2184" s="13" t="s">
        <v>20643</v>
      </c>
      <c r="H2184" t="s">
        <v>20644</v>
      </c>
      <c r="K2184" t="s">
        <v>17113</v>
      </c>
      <c r="L2184" t="s">
        <v>17107</v>
      </c>
      <c r="M2184" t="s">
        <v>7250</v>
      </c>
      <c r="T2184" t="s">
        <v>6546</v>
      </c>
      <c r="U2184" t="s">
        <v>6546</v>
      </c>
      <c r="V2184">
        <v>53.13</v>
      </c>
      <c r="W2184">
        <v>66.180000000000007</v>
      </c>
      <c r="X2184">
        <v>53.13</v>
      </c>
      <c r="Y2184">
        <v>30</v>
      </c>
      <c r="Z2184" t="s">
        <v>7253</v>
      </c>
      <c r="AB2184" t="s">
        <v>20599</v>
      </c>
      <c r="AC2184" t="s">
        <v>8859</v>
      </c>
      <c r="AE2184" t="s">
        <v>3542</v>
      </c>
      <c r="AF2184" t="s">
        <v>20645</v>
      </c>
      <c r="AH2184" t="s">
        <v>3539</v>
      </c>
      <c r="AI2184" t="s">
        <v>8859</v>
      </c>
      <c r="AO2184" t="s">
        <v>20646</v>
      </c>
    </row>
    <row r="2185" spans="1:41" hidden="1" x14ac:dyDescent="0.35">
      <c r="A2185" t="s">
        <v>20647</v>
      </c>
      <c r="B2185" t="s">
        <v>7246</v>
      </c>
      <c r="C2185" t="s">
        <v>5205</v>
      </c>
      <c r="D2185" t="s">
        <v>5205</v>
      </c>
      <c r="E2185" t="s">
        <v>5205</v>
      </c>
      <c r="G2185" s="13" t="s">
        <v>20648</v>
      </c>
      <c r="H2185" t="s">
        <v>20649</v>
      </c>
      <c r="K2185" t="s">
        <v>17113</v>
      </c>
      <c r="L2185" t="s">
        <v>17107</v>
      </c>
      <c r="M2185" t="s">
        <v>7250</v>
      </c>
      <c r="T2185" t="s">
        <v>6546</v>
      </c>
      <c r="U2185" t="s">
        <v>6546</v>
      </c>
      <c r="V2185">
        <v>53.14</v>
      </c>
      <c r="W2185">
        <v>92.63</v>
      </c>
      <c r="X2185">
        <v>53.14</v>
      </c>
      <c r="Y2185">
        <v>36</v>
      </c>
      <c r="Z2185" t="s">
        <v>7253</v>
      </c>
      <c r="AB2185" t="s">
        <v>20599</v>
      </c>
      <c r="AC2185" t="s">
        <v>8859</v>
      </c>
      <c r="AE2185" t="s">
        <v>3542</v>
      </c>
      <c r="AF2185" t="s">
        <v>20645</v>
      </c>
      <c r="AH2185" t="s">
        <v>3539</v>
      </c>
      <c r="AI2185" t="s">
        <v>8859</v>
      </c>
      <c r="AO2185" t="s">
        <v>20650</v>
      </c>
    </row>
    <row r="2186" spans="1:41" hidden="1" x14ac:dyDescent="0.35">
      <c r="A2186" t="s">
        <v>20651</v>
      </c>
      <c r="B2186" t="s">
        <v>7246</v>
      </c>
      <c r="C2186" t="s">
        <v>5205</v>
      </c>
      <c r="D2186" t="s">
        <v>5205</v>
      </c>
      <c r="E2186" t="s">
        <v>5205</v>
      </c>
      <c r="G2186" s="13" t="s">
        <v>20652</v>
      </c>
      <c r="H2186" t="s">
        <v>20653</v>
      </c>
      <c r="K2186" t="s">
        <v>17113</v>
      </c>
      <c r="L2186" t="s">
        <v>17107</v>
      </c>
      <c r="M2186" t="s">
        <v>7250</v>
      </c>
      <c r="T2186" t="s">
        <v>6546</v>
      </c>
      <c r="U2186" t="s">
        <v>6546</v>
      </c>
      <c r="V2186">
        <v>53.14</v>
      </c>
      <c r="W2186">
        <v>106.74</v>
      </c>
      <c r="X2186">
        <v>53.14</v>
      </c>
      <c r="Y2186">
        <v>42</v>
      </c>
      <c r="Z2186" t="s">
        <v>7253</v>
      </c>
      <c r="AB2186" t="s">
        <v>20599</v>
      </c>
      <c r="AC2186" t="s">
        <v>8859</v>
      </c>
      <c r="AE2186" t="s">
        <v>3542</v>
      </c>
      <c r="AF2186" t="s">
        <v>20645</v>
      </c>
      <c r="AH2186" t="s">
        <v>3539</v>
      </c>
      <c r="AI2186" t="s">
        <v>8859</v>
      </c>
      <c r="AO2186" t="s">
        <v>20654</v>
      </c>
    </row>
    <row r="2187" spans="1:41" hidden="1" x14ac:dyDescent="0.35">
      <c r="A2187" t="s">
        <v>20655</v>
      </c>
      <c r="B2187" t="s">
        <v>7246</v>
      </c>
      <c r="C2187" t="s">
        <v>5205</v>
      </c>
      <c r="D2187" t="s">
        <v>5205</v>
      </c>
      <c r="E2187" t="s">
        <v>5205</v>
      </c>
      <c r="G2187" s="13" t="s">
        <v>20656</v>
      </c>
      <c r="H2187" t="s">
        <v>20657</v>
      </c>
      <c r="K2187" t="s">
        <v>17113</v>
      </c>
      <c r="L2187" t="s">
        <v>17107</v>
      </c>
      <c r="M2187" t="s">
        <v>7250</v>
      </c>
      <c r="T2187" t="s">
        <v>6546</v>
      </c>
      <c r="U2187" t="s">
        <v>6546</v>
      </c>
      <c r="V2187">
        <v>288.06</v>
      </c>
      <c r="W2187">
        <v>285.3</v>
      </c>
      <c r="X2187">
        <v>288.06</v>
      </c>
      <c r="Y2187">
        <v>24</v>
      </c>
      <c r="Z2187" t="s">
        <v>7253</v>
      </c>
      <c r="AB2187" t="s">
        <v>20352</v>
      </c>
      <c r="AC2187" t="s">
        <v>8859</v>
      </c>
      <c r="AE2187" t="s">
        <v>17083</v>
      </c>
      <c r="AF2187" t="s">
        <v>20658</v>
      </c>
      <c r="AH2187" t="s">
        <v>3539</v>
      </c>
      <c r="AI2187" t="s">
        <v>8859</v>
      </c>
      <c r="AO2187" t="s">
        <v>20659</v>
      </c>
    </row>
    <row r="2188" spans="1:41" hidden="1" x14ac:dyDescent="0.35">
      <c r="A2188" t="s">
        <v>20660</v>
      </c>
      <c r="B2188" t="s">
        <v>7246</v>
      </c>
      <c r="C2188" t="s">
        <v>5205</v>
      </c>
      <c r="D2188" t="s">
        <v>5205</v>
      </c>
      <c r="E2188" t="s">
        <v>5205</v>
      </c>
      <c r="G2188" s="13" t="s">
        <v>20661</v>
      </c>
      <c r="H2188" t="s">
        <v>20662</v>
      </c>
      <c r="K2188" t="s">
        <v>17113</v>
      </c>
      <c r="L2188" t="s">
        <v>17107</v>
      </c>
      <c r="M2188" t="s">
        <v>7250</v>
      </c>
      <c r="T2188" t="s">
        <v>6546</v>
      </c>
      <c r="U2188" t="s">
        <v>6546</v>
      </c>
      <c r="V2188">
        <v>313.77999999999997</v>
      </c>
      <c r="W2188">
        <v>289.25</v>
      </c>
      <c r="X2188">
        <v>313.77999999999997</v>
      </c>
      <c r="Y2188">
        <v>30</v>
      </c>
      <c r="Z2188" t="s">
        <v>7253</v>
      </c>
      <c r="AB2188" t="s">
        <v>20352</v>
      </c>
      <c r="AC2188" t="s">
        <v>8859</v>
      </c>
      <c r="AE2188" t="s">
        <v>17083</v>
      </c>
      <c r="AF2188" t="s">
        <v>20658</v>
      </c>
      <c r="AH2188" t="s">
        <v>3539</v>
      </c>
      <c r="AI2188" t="s">
        <v>8859</v>
      </c>
      <c r="AO2188" t="s">
        <v>20663</v>
      </c>
    </row>
    <row r="2189" spans="1:41" hidden="1" x14ac:dyDescent="0.35">
      <c r="A2189" t="s">
        <v>20664</v>
      </c>
      <c r="B2189" t="s">
        <v>7246</v>
      </c>
      <c r="C2189" t="s">
        <v>423</v>
      </c>
      <c r="D2189" t="s">
        <v>423</v>
      </c>
      <c r="E2189" t="s">
        <v>423</v>
      </c>
      <c r="G2189" s="13" t="s">
        <v>20665</v>
      </c>
      <c r="H2189" t="s">
        <v>20666</v>
      </c>
      <c r="K2189" t="s">
        <v>9848</v>
      </c>
      <c r="L2189" t="s">
        <v>9848</v>
      </c>
      <c r="M2189" t="s">
        <v>7292</v>
      </c>
      <c r="R2189">
        <v>0.03</v>
      </c>
      <c r="S2189" t="s">
        <v>8257</v>
      </c>
      <c r="T2189">
        <v>0.03</v>
      </c>
      <c r="U2189">
        <v>13.96</v>
      </c>
      <c r="V2189">
        <v>114.5</v>
      </c>
      <c r="W2189">
        <v>50.42</v>
      </c>
      <c r="X2189">
        <v>114.5</v>
      </c>
      <c r="Y2189">
        <v>325</v>
      </c>
      <c r="Z2189" t="s">
        <v>8842</v>
      </c>
      <c r="AB2189" t="s">
        <v>20667</v>
      </c>
      <c r="AC2189" t="s">
        <v>8844</v>
      </c>
      <c r="AE2189" t="s">
        <v>9996</v>
      </c>
      <c r="AF2189" t="s">
        <v>20668</v>
      </c>
      <c r="AH2189" t="s">
        <v>20638</v>
      </c>
      <c r="AI2189" t="s">
        <v>8844</v>
      </c>
      <c r="AL2189" t="s">
        <v>20669</v>
      </c>
      <c r="AO2189" t="s">
        <v>20670</v>
      </c>
    </row>
    <row r="2190" spans="1:41" hidden="1" x14ac:dyDescent="0.35">
      <c r="A2190" t="s">
        <v>20671</v>
      </c>
      <c r="B2190" t="s">
        <v>7246</v>
      </c>
      <c r="C2190" t="s">
        <v>423</v>
      </c>
      <c r="D2190" t="s">
        <v>423</v>
      </c>
      <c r="E2190" t="s">
        <v>423</v>
      </c>
      <c r="G2190" s="13" t="s">
        <v>20672</v>
      </c>
      <c r="H2190" t="s">
        <v>20673</v>
      </c>
      <c r="K2190" t="s">
        <v>9848</v>
      </c>
      <c r="L2190" t="s">
        <v>9848</v>
      </c>
      <c r="M2190" t="s">
        <v>7292</v>
      </c>
      <c r="R2190">
        <v>7.0000000000000007E-2</v>
      </c>
      <c r="S2190" t="s">
        <v>8257</v>
      </c>
      <c r="T2190">
        <v>7.0000000000000007E-2</v>
      </c>
      <c r="U2190">
        <v>32.11</v>
      </c>
      <c r="V2190">
        <v>46</v>
      </c>
      <c r="W2190">
        <v>42.33</v>
      </c>
      <c r="X2190">
        <v>46</v>
      </c>
      <c r="Y2190">
        <v>325</v>
      </c>
      <c r="Z2190" t="s">
        <v>8842</v>
      </c>
      <c r="AB2190" t="s">
        <v>20668</v>
      </c>
      <c r="AC2190" t="s">
        <v>8844</v>
      </c>
      <c r="AE2190" t="s">
        <v>20638</v>
      </c>
      <c r="AF2190" t="s">
        <v>20674</v>
      </c>
      <c r="AH2190" t="s">
        <v>20638</v>
      </c>
      <c r="AI2190" t="s">
        <v>8844</v>
      </c>
      <c r="AL2190" t="s">
        <v>20675</v>
      </c>
      <c r="AO2190" t="s">
        <v>20676</v>
      </c>
    </row>
    <row r="2191" spans="1:41" hidden="1" x14ac:dyDescent="0.35">
      <c r="A2191" t="s">
        <v>20677</v>
      </c>
      <c r="B2191" t="s">
        <v>7246</v>
      </c>
      <c r="C2191" t="s">
        <v>423</v>
      </c>
      <c r="D2191" t="s">
        <v>423</v>
      </c>
      <c r="E2191" t="s">
        <v>423</v>
      </c>
      <c r="G2191" s="13" t="s">
        <v>20678</v>
      </c>
      <c r="H2191" t="s">
        <v>20679</v>
      </c>
      <c r="I2191" t="s">
        <v>20680</v>
      </c>
      <c r="K2191" t="s">
        <v>9848</v>
      </c>
      <c r="L2191" t="s">
        <v>9848</v>
      </c>
      <c r="M2191" t="s">
        <v>7292</v>
      </c>
      <c r="R2191">
        <v>1.9</v>
      </c>
      <c r="S2191" t="s">
        <v>8257</v>
      </c>
      <c r="T2191">
        <v>1.9</v>
      </c>
      <c r="U2191">
        <v>884.23</v>
      </c>
      <c r="V2191">
        <v>239</v>
      </c>
      <c r="W2191">
        <v>369.81</v>
      </c>
      <c r="X2191">
        <v>239</v>
      </c>
      <c r="AB2191" t="s">
        <v>20681</v>
      </c>
      <c r="AC2191" t="s">
        <v>8844</v>
      </c>
      <c r="AE2191" t="s">
        <v>9996</v>
      </c>
      <c r="AF2191" t="s">
        <v>20682</v>
      </c>
      <c r="AH2191" t="s">
        <v>20638</v>
      </c>
      <c r="AI2191" t="s">
        <v>8844</v>
      </c>
      <c r="AL2191" t="s">
        <v>20683</v>
      </c>
      <c r="AO2191" t="s">
        <v>20684</v>
      </c>
    </row>
    <row r="2192" spans="1:41" hidden="1" x14ac:dyDescent="0.35">
      <c r="A2192" t="s">
        <v>20685</v>
      </c>
      <c r="B2192" t="s">
        <v>7246</v>
      </c>
      <c r="C2192" t="s">
        <v>423</v>
      </c>
      <c r="D2192" t="s">
        <v>423</v>
      </c>
      <c r="E2192" t="s">
        <v>423</v>
      </c>
      <c r="G2192" s="13" t="s">
        <v>20678</v>
      </c>
      <c r="H2192" t="s">
        <v>20679</v>
      </c>
      <c r="I2192" t="s">
        <v>20686</v>
      </c>
      <c r="K2192" t="s">
        <v>9848</v>
      </c>
      <c r="L2192" t="s">
        <v>9848</v>
      </c>
      <c r="M2192" t="s">
        <v>7292</v>
      </c>
      <c r="R2192">
        <v>1.9</v>
      </c>
      <c r="S2192" t="s">
        <v>8257</v>
      </c>
      <c r="T2192">
        <v>1.9</v>
      </c>
      <c r="U2192">
        <v>884.23</v>
      </c>
      <c r="V2192">
        <v>229</v>
      </c>
      <c r="W2192">
        <v>92.8</v>
      </c>
      <c r="X2192">
        <v>229</v>
      </c>
      <c r="AB2192" t="s">
        <v>20682</v>
      </c>
      <c r="AC2192" t="s">
        <v>8844</v>
      </c>
      <c r="AE2192" t="s">
        <v>20638</v>
      </c>
      <c r="AF2192" t="s">
        <v>20687</v>
      </c>
      <c r="AH2192" t="s">
        <v>20638</v>
      </c>
      <c r="AI2192" t="s">
        <v>8844</v>
      </c>
      <c r="AL2192" t="s">
        <v>20688</v>
      </c>
      <c r="AO2192" t="s">
        <v>20689</v>
      </c>
    </row>
    <row r="2193" spans="1:41" hidden="1" x14ac:dyDescent="0.35">
      <c r="A2193" t="s">
        <v>20690</v>
      </c>
      <c r="B2193" t="s">
        <v>7246</v>
      </c>
      <c r="C2193" t="s">
        <v>423</v>
      </c>
      <c r="D2193" t="s">
        <v>423</v>
      </c>
      <c r="E2193" t="s">
        <v>423</v>
      </c>
      <c r="G2193" s="13" t="s">
        <v>20678</v>
      </c>
      <c r="H2193" t="s">
        <v>20679</v>
      </c>
      <c r="I2193" t="s">
        <v>20691</v>
      </c>
      <c r="K2193" t="s">
        <v>9848</v>
      </c>
      <c r="L2193" t="s">
        <v>9848</v>
      </c>
      <c r="M2193" t="s">
        <v>7292</v>
      </c>
      <c r="T2193" t="s">
        <v>6546</v>
      </c>
      <c r="U2193" t="s">
        <v>6546</v>
      </c>
      <c r="V2193" t="s">
        <v>6546</v>
      </c>
      <c r="W2193">
        <v>202.86</v>
      </c>
      <c r="X2193">
        <v>202.86</v>
      </c>
      <c r="AB2193" t="s">
        <v>20687</v>
      </c>
      <c r="AC2193" t="s">
        <v>8844</v>
      </c>
      <c r="AE2193" t="s">
        <v>20638</v>
      </c>
      <c r="AF2193" t="s">
        <v>20692</v>
      </c>
      <c r="AH2193" t="s">
        <v>20638</v>
      </c>
      <c r="AI2193" t="s">
        <v>8844</v>
      </c>
      <c r="AL2193" t="s">
        <v>20693</v>
      </c>
      <c r="AO2193" t="s">
        <v>20694</v>
      </c>
    </row>
    <row r="2194" spans="1:41" hidden="1" x14ac:dyDescent="0.35">
      <c r="A2194" t="s">
        <v>20695</v>
      </c>
      <c r="B2194" t="s">
        <v>7246</v>
      </c>
      <c r="C2194" t="s">
        <v>5205</v>
      </c>
      <c r="D2194" t="s">
        <v>5205</v>
      </c>
      <c r="E2194" t="s">
        <v>5205</v>
      </c>
      <c r="G2194" s="13" t="s">
        <v>20696</v>
      </c>
      <c r="H2194" t="s">
        <v>20697</v>
      </c>
      <c r="K2194" t="s">
        <v>17113</v>
      </c>
      <c r="L2194" t="s">
        <v>17107</v>
      </c>
      <c r="M2194" t="s">
        <v>7250</v>
      </c>
      <c r="T2194" t="s">
        <v>6546</v>
      </c>
      <c r="U2194" t="s">
        <v>6546</v>
      </c>
      <c r="V2194">
        <v>256.82</v>
      </c>
      <c r="W2194">
        <v>247.54</v>
      </c>
      <c r="X2194">
        <v>256.82</v>
      </c>
      <c r="Y2194">
        <v>18</v>
      </c>
      <c r="Z2194" t="s">
        <v>7253</v>
      </c>
      <c r="AB2194" t="s">
        <v>20645</v>
      </c>
      <c r="AC2194" t="s">
        <v>8859</v>
      </c>
      <c r="AE2194" t="s">
        <v>3539</v>
      </c>
      <c r="AF2194" t="s">
        <v>20658</v>
      </c>
      <c r="AH2194" t="s">
        <v>3539</v>
      </c>
      <c r="AI2194" t="s">
        <v>8859</v>
      </c>
      <c r="AO2194" t="s">
        <v>20698</v>
      </c>
    </row>
    <row r="2195" spans="1:41" hidden="1" x14ac:dyDescent="0.35">
      <c r="A2195" t="s">
        <v>20699</v>
      </c>
      <c r="B2195" t="s">
        <v>7246</v>
      </c>
      <c r="C2195" t="s">
        <v>5205</v>
      </c>
      <c r="D2195" t="s">
        <v>5205</v>
      </c>
      <c r="E2195" t="s">
        <v>5205</v>
      </c>
      <c r="G2195" s="13" t="s">
        <v>20700</v>
      </c>
      <c r="H2195" t="s">
        <v>20701</v>
      </c>
      <c r="K2195" t="s">
        <v>17113</v>
      </c>
      <c r="L2195" t="s">
        <v>17107</v>
      </c>
      <c r="M2195" t="s">
        <v>7250</v>
      </c>
      <c r="T2195" t="s">
        <v>6546</v>
      </c>
      <c r="U2195" t="s">
        <v>6546</v>
      </c>
      <c r="V2195">
        <v>213.68</v>
      </c>
      <c r="W2195">
        <v>251.63</v>
      </c>
      <c r="X2195">
        <v>213.68</v>
      </c>
      <c r="Y2195">
        <v>36</v>
      </c>
      <c r="Z2195" t="s">
        <v>7253</v>
      </c>
      <c r="AB2195" t="s">
        <v>20645</v>
      </c>
      <c r="AC2195" t="s">
        <v>8859</v>
      </c>
      <c r="AE2195" t="s">
        <v>3539</v>
      </c>
      <c r="AF2195" t="s">
        <v>20658</v>
      </c>
      <c r="AH2195" t="s">
        <v>3539</v>
      </c>
      <c r="AI2195" t="s">
        <v>8859</v>
      </c>
      <c r="AO2195" t="s">
        <v>20702</v>
      </c>
    </row>
    <row r="2196" spans="1:41" hidden="1" x14ac:dyDescent="0.35">
      <c r="A2196" t="s">
        <v>20703</v>
      </c>
      <c r="B2196" t="s">
        <v>7246</v>
      </c>
      <c r="C2196" t="s">
        <v>5205</v>
      </c>
      <c r="D2196" t="s">
        <v>5205</v>
      </c>
      <c r="E2196" t="s">
        <v>5205</v>
      </c>
      <c r="G2196" s="13" t="s">
        <v>20704</v>
      </c>
      <c r="H2196" t="s">
        <v>20705</v>
      </c>
      <c r="K2196" t="s">
        <v>17113</v>
      </c>
      <c r="L2196" t="s">
        <v>17107</v>
      </c>
      <c r="M2196" t="s">
        <v>7250</v>
      </c>
      <c r="T2196" t="s">
        <v>6546</v>
      </c>
      <c r="U2196" t="s">
        <v>6546</v>
      </c>
      <c r="V2196">
        <v>68.16</v>
      </c>
      <c r="W2196">
        <v>68.11</v>
      </c>
      <c r="X2196">
        <v>68.16</v>
      </c>
      <c r="Y2196">
        <v>24</v>
      </c>
      <c r="Z2196" t="s">
        <v>7253</v>
      </c>
      <c r="AB2196" t="s">
        <v>20706</v>
      </c>
      <c r="AC2196" t="s">
        <v>8859</v>
      </c>
      <c r="AE2196" t="s">
        <v>3539</v>
      </c>
      <c r="AF2196" t="s">
        <v>20707</v>
      </c>
      <c r="AH2196" t="s">
        <v>3539</v>
      </c>
      <c r="AI2196" t="s">
        <v>8859</v>
      </c>
      <c r="AO2196" t="s">
        <v>20708</v>
      </c>
    </row>
    <row r="2197" spans="1:41" hidden="1" x14ac:dyDescent="0.35">
      <c r="A2197" t="s">
        <v>20709</v>
      </c>
      <c r="B2197" t="s">
        <v>7246</v>
      </c>
      <c r="C2197" t="s">
        <v>5205</v>
      </c>
      <c r="D2197" t="s">
        <v>5205</v>
      </c>
      <c r="E2197" t="s">
        <v>5205</v>
      </c>
      <c r="G2197" s="13" t="s">
        <v>20710</v>
      </c>
      <c r="H2197" t="s">
        <v>20711</v>
      </c>
      <c r="K2197" t="s">
        <v>17113</v>
      </c>
      <c r="L2197" t="s">
        <v>17107</v>
      </c>
      <c r="M2197" t="s">
        <v>7250</v>
      </c>
      <c r="T2197" t="s">
        <v>6546</v>
      </c>
      <c r="U2197" t="s">
        <v>6546</v>
      </c>
      <c r="V2197">
        <v>77.3</v>
      </c>
      <c r="W2197">
        <v>77.7</v>
      </c>
      <c r="X2197">
        <v>77.3</v>
      </c>
      <c r="Y2197">
        <v>24</v>
      </c>
      <c r="Z2197" t="s">
        <v>7253</v>
      </c>
      <c r="AB2197" t="s">
        <v>20707</v>
      </c>
      <c r="AC2197" t="s">
        <v>8859</v>
      </c>
      <c r="AE2197" t="s">
        <v>3539</v>
      </c>
      <c r="AF2197" t="s">
        <v>20712</v>
      </c>
      <c r="AH2197" t="s">
        <v>3539</v>
      </c>
      <c r="AI2197" t="s">
        <v>8859</v>
      </c>
      <c r="AO2197" t="s">
        <v>20713</v>
      </c>
    </row>
    <row r="2198" spans="1:41" hidden="1" x14ac:dyDescent="0.35">
      <c r="A2198" t="s">
        <v>20714</v>
      </c>
      <c r="B2198" t="s">
        <v>7246</v>
      </c>
      <c r="C2198" t="s">
        <v>5205</v>
      </c>
      <c r="D2198" t="s">
        <v>5205</v>
      </c>
      <c r="E2198" t="s">
        <v>5205</v>
      </c>
      <c r="G2198" s="13" t="s">
        <v>20715</v>
      </c>
      <c r="H2198" t="s">
        <v>20716</v>
      </c>
      <c r="K2198" t="s">
        <v>17113</v>
      </c>
      <c r="L2198" t="s">
        <v>17107</v>
      </c>
      <c r="M2198" t="s">
        <v>7250</v>
      </c>
      <c r="T2198" t="s">
        <v>6546</v>
      </c>
      <c r="U2198" t="s">
        <v>6546</v>
      </c>
      <c r="V2198">
        <v>130.77000000000001</v>
      </c>
      <c r="W2198">
        <v>117.74</v>
      </c>
      <c r="X2198">
        <v>130.77000000000001</v>
      </c>
      <c r="Y2198">
        <v>42</v>
      </c>
      <c r="Z2198" t="s">
        <v>7253</v>
      </c>
      <c r="AB2198" t="s">
        <v>17108</v>
      </c>
      <c r="AC2198" t="s">
        <v>8859</v>
      </c>
      <c r="AE2198" t="s">
        <v>3542</v>
      </c>
      <c r="AF2198" t="s">
        <v>20599</v>
      </c>
      <c r="AH2198" t="s">
        <v>3542</v>
      </c>
      <c r="AI2198" t="s">
        <v>8859</v>
      </c>
      <c r="AO2198" t="s">
        <v>20717</v>
      </c>
    </row>
    <row r="2199" spans="1:41" hidden="1" x14ac:dyDescent="0.35">
      <c r="A2199" t="s">
        <v>20718</v>
      </c>
      <c r="B2199" t="s">
        <v>7246</v>
      </c>
      <c r="C2199" t="s">
        <v>5205</v>
      </c>
      <c r="D2199" t="s">
        <v>5205</v>
      </c>
      <c r="E2199" t="s">
        <v>5205</v>
      </c>
      <c r="G2199" s="13" t="s">
        <v>20719</v>
      </c>
      <c r="H2199" t="s">
        <v>20720</v>
      </c>
      <c r="K2199" t="s">
        <v>17113</v>
      </c>
      <c r="L2199" t="s">
        <v>17107</v>
      </c>
      <c r="M2199" t="s">
        <v>7250</v>
      </c>
      <c r="T2199" t="s">
        <v>6546</v>
      </c>
      <c r="U2199" t="s">
        <v>6546</v>
      </c>
      <c r="V2199">
        <v>69.650000000000006</v>
      </c>
      <c r="W2199">
        <v>69.27</v>
      </c>
      <c r="X2199">
        <v>69.650000000000006</v>
      </c>
      <c r="Y2199">
        <v>16</v>
      </c>
      <c r="Z2199" t="s">
        <v>7253</v>
      </c>
      <c r="AB2199" t="s">
        <v>20721</v>
      </c>
      <c r="AC2199" t="s">
        <v>8859</v>
      </c>
      <c r="AD2199" t="s">
        <v>20658</v>
      </c>
      <c r="AE2199" t="s">
        <v>3539</v>
      </c>
      <c r="AF2199" t="s">
        <v>20722</v>
      </c>
      <c r="AH2199" t="s">
        <v>3539</v>
      </c>
      <c r="AI2199" t="s">
        <v>8859</v>
      </c>
      <c r="AO2199" t="s">
        <v>20723</v>
      </c>
    </row>
    <row r="2200" spans="1:41" hidden="1" x14ac:dyDescent="0.35">
      <c r="A2200" t="s">
        <v>20724</v>
      </c>
      <c r="B2200" t="s">
        <v>7246</v>
      </c>
      <c r="C2200" t="s">
        <v>5205</v>
      </c>
      <c r="D2200" t="s">
        <v>5205</v>
      </c>
      <c r="E2200" t="s">
        <v>5205</v>
      </c>
      <c r="G2200" s="13" t="s">
        <v>20725</v>
      </c>
      <c r="H2200" t="s">
        <v>20726</v>
      </c>
      <c r="K2200" t="s">
        <v>17113</v>
      </c>
      <c r="L2200" t="s">
        <v>17107</v>
      </c>
      <c r="M2200" t="s">
        <v>7250</v>
      </c>
      <c r="T2200" t="s">
        <v>6546</v>
      </c>
      <c r="U2200" t="s">
        <v>6546</v>
      </c>
      <c r="V2200">
        <v>72.06</v>
      </c>
      <c r="W2200">
        <v>56.81</v>
      </c>
      <c r="X2200">
        <v>72.06</v>
      </c>
      <c r="Y2200">
        <v>8</v>
      </c>
      <c r="Z2200" t="s">
        <v>7253</v>
      </c>
      <c r="AB2200" t="s">
        <v>20727</v>
      </c>
      <c r="AC2200" t="s">
        <v>8859</v>
      </c>
      <c r="AE2200" t="s">
        <v>3539</v>
      </c>
      <c r="AF2200" t="s">
        <v>20722</v>
      </c>
      <c r="AH2200" t="s">
        <v>3539</v>
      </c>
      <c r="AI2200" t="s">
        <v>8859</v>
      </c>
      <c r="AO2200" t="s">
        <v>20728</v>
      </c>
    </row>
    <row r="2201" spans="1:41" hidden="1" x14ac:dyDescent="0.35">
      <c r="A2201" t="s">
        <v>20729</v>
      </c>
      <c r="B2201" t="s">
        <v>7246</v>
      </c>
      <c r="C2201" t="s">
        <v>5205</v>
      </c>
      <c r="D2201" t="s">
        <v>5205</v>
      </c>
      <c r="E2201" t="s">
        <v>5205</v>
      </c>
      <c r="G2201" s="13" t="s">
        <v>20730</v>
      </c>
      <c r="H2201" t="s">
        <v>20731</v>
      </c>
      <c r="K2201" t="s">
        <v>17113</v>
      </c>
      <c r="L2201" t="s">
        <v>17107</v>
      </c>
      <c r="M2201" t="s">
        <v>7250</v>
      </c>
      <c r="T2201" t="s">
        <v>6546</v>
      </c>
      <c r="U2201" t="s">
        <v>6546</v>
      </c>
      <c r="V2201">
        <v>77.790000000000006</v>
      </c>
      <c r="W2201">
        <v>48.81</v>
      </c>
      <c r="X2201">
        <v>77.790000000000006</v>
      </c>
      <c r="Y2201">
        <v>16</v>
      </c>
      <c r="Z2201" t="s">
        <v>7253</v>
      </c>
      <c r="AB2201" t="s">
        <v>20732</v>
      </c>
      <c r="AC2201" t="s">
        <v>8859</v>
      </c>
      <c r="AD2201" t="s">
        <v>20727</v>
      </c>
      <c r="AE2201" t="s">
        <v>3539</v>
      </c>
      <c r="AF2201" t="s">
        <v>20722</v>
      </c>
      <c r="AH2201" t="s">
        <v>3539</v>
      </c>
      <c r="AI2201" t="s">
        <v>8859</v>
      </c>
      <c r="AO2201" t="s">
        <v>20733</v>
      </c>
    </row>
    <row r="2202" spans="1:41" hidden="1" x14ac:dyDescent="0.35">
      <c r="A2202" t="s">
        <v>20734</v>
      </c>
      <c r="B2202" t="s">
        <v>7246</v>
      </c>
      <c r="C2202" t="s">
        <v>5205</v>
      </c>
      <c r="D2202" t="s">
        <v>5205</v>
      </c>
      <c r="E2202" t="s">
        <v>5205</v>
      </c>
      <c r="G2202" s="13" t="s">
        <v>20735</v>
      </c>
      <c r="H2202" t="s">
        <v>20736</v>
      </c>
      <c r="K2202" t="s">
        <v>17113</v>
      </c>
      <c r="L2202" t="s">
        <v>17107</v>
      </c>
      <c r="M2202" t="s">
        <v>7250</v>
      </c>
      <c r="T2202" t="s">
        <v>6546</v>
      </c>
      <c r="U2202" t="s">
        <v>6546</v>
      </c>
      <c r="V2202">
        <v>145.46</v>
      </c>
      <c r="W2202">
        <v>143.83000000000001</v>
      </c>
      <c r="X2202">
        <v>145.46</v>
      </c>
      <c r="Y2202">
        <v>36</v>
      </c>
      <c r="Z2202" t="s">
        <v>7253</v>
      </c>
      <c r="AB2202" t="s">
        <v>20706</v>
      </c>
      <c r="AC2202" t="s">
        <v>8859</v>
      </c>
      <c r="AE2202" t="s">
        <v>3539</v>
      </c>
      <c r="AF2202" t="s">
        <v>20712</v>
      </c>
      <c r="AH2202" t="s">
        <v>3539</v>
      </c>
      <c r="AI2202" t="s">
        <v>8859</v>
      </c>
      <c r="AO2202" t="s">
        <v>20737</v>
      </c>
    </row>
    <row r="2203" spans="1:41" hidden="1" x14ac:dyDescent="0.35">
      <c r="A2203" t="s">
        <v>20738</v>
      </c>
      <c r="B2203" t="s">
        <v>7246</v>
      </c>
      <c r="C2203" t="s">
        <v>5205</v>
      </c>
      <c r="D2203" t="s">
        <v>5205</v>
      </c>
      <c r="E2203" t="s">
        <v>5205</v>
      </c>
      <c r="G2203" s="13" t="s">
        <v>20739</v>
      </c>
      <c r="H2203" t="s">
        <v>20740</v>
      </c>
      <c r="K2203" t="s">
        <v>17113</v>
      </c>
      <c r="L2203" t="s">
        <v>17107</v>
      </c>
      <c r="M2203" t="s">
        <v>7250</v>
      </c>
      <c r="T2203" t="s">
        <v>6546</v>
      </c>
      <c r="U2203" t="s">
        <v>6546</v>
      </c>
      <c r="V2203">
        <v>163.58000000000001</v>
      </c>
      <c r="W2203">
        <v>138.05000000000001</v>
      </c>
      <c r="X2203">
        <v>163.58000000000001</v>
      </c>
      <c r="Y2203">
        <v>18</v>
      </c>
      <c r="Z2203" t="s">
        <v>7253</v>
      </c>
      <c r="AB2203" t="s">
        <v>20741</v>
      </c>
      <c r="AC2203" t="s">
        <v>8859</v>
      </c>
      <c r="AD2203" t="s">
        <v>20742</v>
      </c>
      <c r="AE2203" t="s">
        <v>3539</v>
      </c>
      <c r="AF2203" t="s">
        <v>5207</v>
      </c>
      <c r="AH2203" t="s">
        <v>3539</v>
      </c>
      <c r="AI2203" t="s">
        <v>8859</v>
      </c>
      <c r="AO2203" t="s">
        <v>20743</v>
      </c>
    </row>
    <row r="2204" spans="1:41" hidden="1" x14ac:dyDescent="0.35">
      <c r="A2204" t="s">
        <v>20744</v>
      </c>
      <c r="B2204" t="s">
        <v>7246</v>
      </c>
      <c r="C2204" t="s">
        <v>5205</v>
      </c>
      <c r="D2204" t="s">
        <v>5205</v>
      </c>
      <c r="E2204" t="s">
        <v>5205</v>
      </c>
      <c r="G2204" s="13" t="s">
        <v>20745</v>
      </c>
      <c r="H2204" t="s">
        <v>20746</v>
      </c>
      <c r="K2204" t="s">
        <v>17113</v>
      </c>
      <c r="L2204" t="s">
        <v>17107</v>
      </c>
      <c r="M2204" t="s">
        <v>7250</v>
      </c>
      <c r="T2204" t="s">
        <v>6546</v>
      </c>
      <c r="U2204" t="s">
        <v>6546</v>
      </c>
      <c r="V2204">
        <v>129.94999999999999</v>
      </c>
      <c r="W2204">
        <v>130.66</v>
      </c>
      <c r="X2204">
        <v>129.94999999999999</v>
      </c>
      <c r="Y2204" t="s">
        <v>20747</v>
      </c>
      <c r="Z2204" t="s">
        <v>7253</v>
      </c>
      <c r="AB2204" t="s">
        <v>20741</v>
      </c>
      <c r="AC2204" t="s">
        <v>8859</v>
      </c>
      <c r="AD2204" t="s">
        <v>20742</v>
      </c>
      <c r="AE2204" t="s">
        <v>3539</v>
      </c>
      <c r="AF2204" t="s">
        <v>5207</v>
      </c>
      <c r="AH2204" t="s">
        <v>3539</v>
      </c>
      <c r="AI2204" t="s">
        <v>8859</v>
      </c>
      <c r="AO2204" t="s">
        <v>20748</v>
      </c>
    </row>
    <row r="2205" spans="1:41" hidden="1" x14ac:dyDescent="0.35">
      <c r="A2205" t="s">
        <v>20749</v>
      </c>
      <c r="B2205" t="s">
        <v>7246</v>
      </c>
      <c r="C2205" t="s">
        <v>5205</v>
      </c>
      <c r="D2205" t="s">
        <v>5205</v>
      </c>
      <c r="E2205" t="s">
        <v>5205</v>
      </c>
      <c r="G2205" s="13" t="s">
        <v>20750</v>
      </c>
      <c r="H2205" t="s">
        <v>20751</v>
      </c>
      <c r="K2205" t="s">
        <v>17113</v>
      </c>
      <c r="L2205" t="s">
        <v>17107</v>
      </c>
      <c r="M2205" t="s">
        <v>7250</v>
      </c>
      <c r="T2205" t="s">
        <v>6546</v>
      </c>
      <c r="U2205" t="s">
        <v>6546</v>
      </c>
      <c r="V2205">
        <v>142.93</v>
      </c>
      <c r="W2205">
        <v>151.86000000000001</v>
      </c>
      <c r="X2205">
        <v>142.93</v>
      </c>
      <c r="Y2205">
        <v>18</v>
      </c>
      <c r="Z2205" t="s">
        <v>7253</v>
      </c>
      <c r="AB2205" t="s">
        <v>20712</v>
      </c>
      <c r="AC2205" t="s">
        <v>8859</v>
      </c>
      <c r="AE2205" t="s">
        <v>3539</v>
      </c>
      <c r="AF2205" t="s">
        <v>16807</v>
      </c>
      <c r="AH2205" t="s">
        <v>3539</v>
      </c>
      <c r="AI2205" t="s">
        <v>8859</v>
      </c>
      <c r="AO2205" t="s">
        <v>20752</v>
      </c>
    </row>
    <row r="2206" spans="1:41" hidden="1" x14ac:dyDescent="0.35">
      <c r="A2206" t="s">
        <v>20753</v>
      </c>
      <c r="B2206" t="s">
        <v>7246</v>
      </c>
      <c r="C2206" t="s">
        <v>423</v>
      </c>
      <c r="D2206" t="s">
        <v>423</v>
      </c>
      <c r="E2206" t="s">
        <v>423</v>
      </c>
      <c r="G2206" s="13" t="s">
        <v>20754</v>
      </c>
      <c r="H2206" t="s">
        <v>20755</v>
      </c>
      <c r="K2206" t="s">
        <v>9848</v>
      </c>
      <c r="L2206" t="s">
        <v>9848</v>
      </c>
      <c r="M2206" t="s">
        <v>7292</v>
      </c>
      <c r="R2206">
        <v>0.74</v>
      </c>
      <c r="S2206" t="s">
        <v>8257</v>
      </c>
      <c r="T2206">
        <v>0.74</v>
      </c>
      <c r="U2206">
        <v>344.38</v>
      </c>
      <c r="V2206" t="s">
        <v>6546</v>
      </c>
      <c r="W2206">
        <v>21.29</v>
      </c>
      <c r="X2206">
        <v>21.29</v>
      </c>
      <c r="AB2206" t="s">
        <v>20756</v>
      </c>
      <c r="AC2206" t="s">
        <v>8844</v>
      </c>
      <c r="AE2206" t="s">
        <v>9996</v>
      </c>
      <c r="AF2206" t="s">
        <v>20757</v>
      </c>
      <c r="AH2206" t="s">
        <v>9996</v>
      </c>
      <c r="AI2206" t="s">
        <v>8844</v>
      </c>
      <c r="AL2206" t="s">
        <v>20758</v>
      </c>
      <c r="AO2206" t="s">
        <v>20759</v>
      </c>
    </row>
    <row r="2207" spans="1:41" hidden="1" x14ac:dyDescent="0.35">
      <c r="A2207" t="s">
        <v>20760</v>
      </c>
      <c r="B2207" t="s">
        <v>7246</v>
      </c>
      <c r="C2207" t="s">
        <v>423</v>
      </c>
      <c r="D2207" t="s">
        <v>423</v>
      </c>
      <c r="E2207" t="s">
        <v>423</v>
      </c>
      <c r="G2207" s="13" t="s">
        <v>20761</v>
      </c>
      <c r="H2207" t="s">
        <v>20762</v>
      </c>
      <c r="K2207" t="s">
        <v>9848</v>
      </c>
      <c r="L2207" t="s">
        <v>9848</v>
      </c>
      <c r="M2207" t="s">
        <v>7292</v>
      </c>
      <c r="T2207" t="s">
        <v>6546</v>
      </c>
      <c r="U2207" t="s">
        <v>6546</v>
      </c>
      <c r="V2207" t="s">
        <v>6546</v>
      </c>
      <c r="W2207">
        <v>206.86</v>
      </c>
      <c r="X2207">
        <v>206.86</v>
      </c>
      <c r="AB2207" t="s">
        <v>20763</v>
      </c>
      <c r="AC2207" t="s">
        <v>8844</v>
      </c>
      <c r="AE2207" t="s">
        <v>13827</v>
      </c>
      <c r="AF2207" t="s">
        <v>20764</v>
      </c>
      <c r="AH2207" t="s">
        <v>13827</v>
      </c>
      <c r="AI2207" t="s">
        <v>8844</v>
      </c>
      <c r="AL2207" t="s">
        <v>20765</v>
      </c>
      <c r="AO2207" t="s">
        <v>20766</v>
      </c>
    </row>
    <row r="2208" spans="1:41" hidden="1" x14ac:dyDescent="0.35">
      <c r="A2208" t="s">
        <v>20767</v>
      </c>
      <c r="B2208" t="s">
        <v>7246</v>
      </c>
      <c r="C2208" t="s">
        <v>423</v>
      </c>
      <c r="D2208" t="s">
        <v>423</v>
      </c>
      <c r="E2208" t="s">
        <v>423</v>
      </c>
      <c r="G2208" s="13" t="s">
        <v>20768</v>
      </c>
      <c r="H2208" t="s">
        <v>20769</v>
      </c>
      <c r="K2208" t="s">
        <v>9848</v>
      </c>
      <c r="L2208" t="s">
        <v>9848</v>
      </c>
      <c r="M2208" t="s">
        <v>7292</v>
      </c>
      <c r="R2208">
        <v>7.7</v>
      </c>
      <c r="S2208" t="s">
        <v>8257</v>
      </c>
      <c r="T2208">
        <v>7.7</v>
      </c>
      <c r="U2208">
        <v>3583.45</v>
      </c>
      <c r="V2208">
        <v>54.5</v>
      </c>
      <c r="W2208">
        <v>74.98</v>
      </c>
      <c r="X2208">
        <v>54.5</v>
      </c>
      <c r="Y2208" t="s">
        <v>20770</v>
      </c>
      <c r="Z2208" t="s">
        <v>8842</v>
      </c>
      <c r="AB2208" t="s">
        <v>20771</v>
      </c>
      <c r="AC2208" t="s">
        <v>8844</v>
      </c>
      <c r="AE2208" t="s">
        <v>10040</v>
      </c>
      <c r="AF2208" t="s">
        <v>20772</v>
      </c>
      <c r="AH2208" t="s">
        <v>10040</v>
      </c>
      <c r="AI2208" t="s">
        <v>8844</v>
      </c>
      <c r="AL2208" t="s">
        <v>20773</v>
      </c>
      <c r="AO2208" t="s">
        <v>20774</v>
      </c>
    </row>
    <row r="2209" spans="1:41" hidden="1" x14ac:dyDescent="0.35">
      <c r="A2209" t="s">
        <v>20775</v>
      </c>
      <c r="B2209" t="s">
        <v>7246</v>
      </c>
      <c r="C2209" t="s">
        <v>423</v>
      </c>
      <c r="D2209" t="s">
        <v>423</v>
      </c>
      <c r="E2209" t="s">
        <v>423</v>
      </c>
      <c r="G2209" s="13" t="s">
        <v>20776</v>
      </c>
      <c r="H2209" t="s">
        <v>20777</v>
      </c>
      <c r="K2209" t="s">
        <v>9848</v>
      </c>
      <c r="L2209" t="s">
        <v>9848</v>
      </c>
      <c r="M2209" t="s">
        <v>7292</v>
      </c>
      <c r="N2209">
        <v>2023</v>
      </c>
      <c r="R2209">
        <v>0.21</v>
      </c>
      <c r="S2209" t="s">
        <v>8257</v>
      </c>
      <c r="T2209">
        <v>0.21</v>
      </c>
      <c r="U2209">
        <v>97.73</v>
      </c>
      <c r="V2209">
        <v>30.5</v>
      </c>
      <c r="W2209">
        <v>14.68</v>
      </c>
      <c r="X2209">
        <v>30.5</v>
      </c>
      <c r="AB2209" t="s">
        <v>20778</v>
      </c>
      <c r="AC2209" t="s">
        <v>8844</v>
      </c>
      <c r="AE2209" t="s">
        <v>20779</v>
      </c>
      <c r="AF2209" t="s">
        <v>20780</v>
      </c>
      <c r="AH2209" t="s">
        <v>20779</v>
      </c>
      <c r="AI2209" t="s">
        <v>8844</v>
      </c>
      <c r="AL2209" t="s">
        <v>20781</v>
      </c>
      <c r="AO2209" t="s">
        <v>20782</v>
      </c>
    </row>
    <row r="2210" spans="1:41" hidden="1" x14ac:dyDescent="0.35">
      <c r="A2210" t="s">
        <v>20783</v>
      </c>
      <c r="B2210" t="s">
        <v>7246</v>
      </c>
      <c r="C2210" t="s">
        <v>5566</v>
      </c>
      <c r="D2210" t="s">
        <v>5779</v>
      </c>
      <c r="E2210" t="s">
        <v>20784</v>
      </c>
      <c r="G2210" s="13" t="s">
        <v>20785</v>
      </c>
      <c r="H2210" t="s">
        <v>20786</v>
      </c>
      <c r="K2210" t="s">
        <v>20618</v>
      </c>
      <c r="L2210" t="s">
        <v>6524</v>
      </c>
      <c r="M2210" t="s">
        <v>7250</v>
      </c>
      <c r="T2210" t="s">
        <v>6546</v>
      </c>
      <c r="U2210" t="s">
        <v>6546</v>
      </c>
      <c r="V2210" t="s">
        <v>6546</v>
      </c>
      <c r="W2210">
        <v>139.22</v>
      </c>
      <c r="X2210">
        <v>139.22</v>
      </c>
      <c r="AB2210" t="s">
        <v>20787</v>
      </c>
      <c r="AC2210" t="s">
        <v>8777</v>
      </c>
      <c r="AF2210" t="s">
        <v>20788</v>
      </c>
      <c r="AI2210" t="s">
        <v>8777</v>
      </c>
      <c r="AO2210" t="s">
        <v>20789</v>
      </c>
    </row>
    <row r="2211" spans="1:41" hidden="1" x14ac:dyDescent="0.35">
      <c r="A2211" t="s">
        <v>20790</v>
      </c>
      <c r="B2211" t="s">
        <v>7246</v>
      </c>
      <c r="C2211" t="s">
        <v>5787</v>
      </c>
      <c r="D2211" t="s">
        <v>5566</v>
      </c>
      <c r="E2211" t="s">
        <v>5566</v>
      </c>
      <c r="G2211" s="13" t="s">
        <v>20791</v>
      </c>
      <c r="H2211" t="s">
        <v>20792</v>
      </c>
      <c r="K2211" t="s">
        <v>20618</v>
      </c>
      <c r="L2211" t="s">
        <v>6524</v>
      </c>
      <c r="M2211" t="s">
        <v>7250</v>
      </c>
      <c r="T2211" t="s">
        <v>6546</v>
      </c>
      <c r="U2211" t="s">
        <v>6546</v>
      </c>
      <c r="V2211" t="s">
        <v>6546</v>
      </c>
      <c r="W2211">
        <v>28.67</v>
      </c>
      <c r="X2211">
        <v>28.67</v>
      </c>
      <c r="AB2211" t="s">
        <v>16080</v>
      </c>
      <c r="AC2211" t="s">
        <v>8777</v>
      </c>
      <c r="AF2211" t="s">
        <v>20793</v>
      </c>
      <c r="AI2211" t="s">
        <v>8777</v>
      </c>
      <c r="AO2211" t="s">
        <v>20794</v>
      </c>
    </row>
    <row r="2212" spans="1:41" hidden="1" x14ac:dyDescent="0.35">
      <c r="A2212" t="s">
        <v>20795</v>
      </c>
      <c r="B2212" t="s">
        <v>7246</v>
      </c>
      <c r="C2212" t="s">
        <v>5566</v>
      </c>
      <c r="D2212" t="s">
        <v>5566</v>
      </c>
      <c r="E2212" t="s">
        <v>5566</v>
      </c>
      <c r="G2212" s="13" t="s">
        <v>20796</v>
      </c>
      <c r="H2212" t="s">
        <v>20797</v>
      </c>
      <c r="K2212" t="s">
        <v>20618</v>
      </c>
      <c r="L2212" t="s">
        <v>6524</v>
      </c>
      <c r="M2212" t="s">
        <v>7250</v>
      </c>
      <c r="T2212" t="s">
        <v>6546</v>
      </c>
      <c r="U2212" t="s">
        <v>6546</v>
      </c>
      <c r="V2212" t="s">
        <v>6546</v>
      </c>
      <c r="W2212">
        <v>4.32</v>
      </c>
      <c r="X2212">
        <v>4.32</v>
      </c>
      <c r="AB2212" t="s">
        <v>20798</v>
      </c>
      <c r="AC2212" t="s">
        <v>8777</v>
      </c>
      <c r="AF2212" t="s">
        <v>20793</v>
      </c>
      <c r="AI2212" t="s">
        <v>8777</v>
      </c>
      <c r="AO2212" t="s">
        <v>20799</v>
      </c>
    </row>
    <row r="2213" spans="1:41" hidden="1" x14ac:dyDescent="0.35">
      <c r="A2213" t="s">
        <v>20800</v>
      </c>
      <c r="B2213" t="s">
        <v>7246</v>
      </c>
      <c r="C2213" t="s">
        <v>5566</v>
      </c>
      <c r="D2213" t="s">
        <v>5566</v>
      </c>
      <c r="E2213" t="s">
        <v>5566</v>
      </c>
      <c r="G2213" s="13" t="s">
        <v>20801</v>
      </c>
      <c r="H2213" t="s">
        <v>20802</v>
      </c>
      <c r="K2213" t="s">
        <v>20618</v>
      </c>
      <c r="L2213" t="s">
        <v>6524</v>
      </c>
      <c r="M2213" t="s">
        <v>7250</v>
      </c>
      <c r="T2213" t="s">
        <v>6546</v>
      </c>
      <c r="U2213" t="s">
        <v>6546</v>
      </c>
      <c r="V2213" t="s">
        <v>6546</v>
      </c>
      <c r="W2213">
        <v>43.59</v>
      </c>
      <c r="X2213">
        <v>43.59</v>
      </c>
      <c r="AB2213" t="s">
        <v>16206</v>
      </c>
      <c r="AC2213" t="s">
        <v>8777</v>
      </c>
      <c r="AF2213" t="s">
        <v>20803</v>
      </c>
      <c r="AI2213" t="s">
        <v>8777</v>
      </c>
      <c r="AO2213" t="s">
        <v>20804</v>
      </c>
    </row>
    <row r="2214" spans="1:41" hidden="1" x14ac:dyDescent="0.35">
      <c r="A2214" t="s">
        <v>20805</v>
      </c>
      <c r="B2214" t="s">
        <v>7246</v>
      </c>
      <c r="C2214" t="s">
        <v>5566</v>
      </c>
      <c r="D2214" t="s">
        <v>5779</v>
      </c>
      <c r="E2214" t="s">
        <v>20784</v>
      </c>
      <c r="G2214" s="13" t="s">
        <v>20806</v>
      </c>
      <c r="H2214" t="s">
        <v>20807</v>
      </c>
      <c r="K2214" t="s">
        <v>20618</v>
      </c>
      <c r="L2214" t="s">
        <v>6524</v>
      </c>
      <c r="M2214" t="s">
        <v>7250</v>
      </c>
      <c r="T2214" t="s">
        <v>6546</v>
      </c>
      <c r="U2214" t="s">
        <v>6546</v>
      </c>
      <c r="V2214" t="s">
        <v>6546</v>
      </c>
      <c r="W2214">
        <v>114.48</v>
      </c>
      <c r="X2214">
        <v>114.48</v>
      </c>
      <c r="AB2214" t="s">
        <v>15316</v>
      </c>
      <c r="AC2214" t="s">
        <v>8777</v>
      </c>
      <c r="AF2214" t="s">
        <v>20808</v>
      </c>
      <c r="AI2214" t="s">
        <v>8777</v>
      </c>
      <c r="AO2214" t="s">
        <v>20809</v>
      </c>
    </row>
    <row r="2215" spans="1:41" hidden="1" x14ac:dyDescent="0.35">
      <c r="A2215" t="s">
        <v>20810</v>
      </c>
      <c r="B2215" t="s">
        <v>7246</v>
      </c>
      <c r="C2215" t="s">
        <v>5779</v>
      </c>
      <c r="D2215" t="s">
        <v>5779</v>
      </c>
      <c r="E2215" t="s">
        <v>5779</v>
      </c>
      <c r="G2215" s="13" t="s">
        <v>20811</v>
      </c>
      <c r="H2215" t="s">
        <v>20812</v>
      </c>
      <c r="K2215" t="s">
        <v>20813</v>
      </c>
      <c r="L2215" t="s">
        <v>20814</v>
      </c>
      <c r="M2215" t="s">
        <v>7250</v>
      </c>
      <c r="T2215" t="s">
        <v>6546</v>
      </c>
      <c r="U2215" t="s">
        <v>6546</v>
      </c>
      <c r="V2215" t="s">
        <v>6546</v>
      </c>
      <c r="W2215">
        <v>10.92</v>
      </c>
      <c r="X2215">
        <v>10.92</v>
      </c>
      <c r="AB2215" t="s">
        <v>20788</v>
      </c>
      <c r="AC2215" t="s">
        <v>8777</v>
      </c>
      <c r="AF2215" t="s">
        <v>5778</v>
      </c>
      <c r="AI2215" t="s">
        <v>8777</v>
      </c>
      <c r="AO2215" t="s">
        <v>20815</v>
      </c>
    </row>
    <row r="2216" spans="1:41" hidden="1" x14ac:dyDescent="0.35">
      <c r="A2216" t="s">
        <v>20816</v>
      </c>
      <c r="B2216" t="s">
        <v>7246</v>
      </c>
      <c r="C2216" t="s">
        <v>5779</v>
      </c>
      <c r="D2216" t="s">
        <v>5779</v>
      </c>
      <c r="E2216" t="s">
        <v>5779</v>
      </c>
      <c r="G2216" s="13" t="s">
        <v>20817</v>
      </c>
      <c r="H2216" t="s">
        <v>20818</v>
      </c>
      <c r="K2216" t="s">
        <v>20813</v>
      </c>
      <c r="L2216" t="s">
        <v>20814</v>
      </c>
      <c r="M2216" t="s">
        <v>7250</v>
      </c>
      <c r="T2216" t="s">
        <v>6546</v>
      </c>
      <c r="U2216" t="s">
        <v>6546</v>
      </c>
      <c r="V2216" t="s">
        <v>6546</v>
      </c>
      <c r="W2216">
        <v>38.590000000000003</v>
      </c>
      <c r="X2216">
        <v>38.590000000000003</v>
      </c>
      <c r="AB2216" t="s">
        <v>5778</v>
      </c>
      <c r="AC2216" t="s">
        <v>8777</v>
      </c>
      <c r="AF2216" t="s">
        <v>16195</v>
      </c>
      <c r="AI2216" t="s">
        <v>8777</v>
      </c>
      <c r="AO2216" t="s">
        <v>20819</v>
      </c>
    </row>
    <row r="2217" spans="1:41" hidden="1" x14ac:dyDescent="0.35">
      <c r="A2217" t="s">
        <v>20820</v>
      </c>
      <c r="B2217" t="s">
        <v>7246</v>
      </c>
      <c r="C2217" t="s">
        <v>5779</v>
      </c>
      <c r="D2217" t="s">
        <v>5779</v>
      </c>
      <c r="E2217" t="s">
        <v>5779</v>
      </c>
      <c r="G2217" s="13" t="s">
        <v>20821</v>
      </c>
      <c r="H2217" t="s">
        <v>20822</v>
      </c>
      <c r="K2217" t="s">
        <v>20813</v>
      </c>
      <c r="L2217" t="s">
        <v>20814</v>
      </c>
      <c r="M2217" t="s">
        <v>7250</v>
      </c>
      <c r="T2217" t="s">
        <v>6546</v>
      </c>
      <c r="U2217" t="s">
        <v>6546</v>
      </c>
      <c r="V2217" t="s">
        <v>6546</v>
      </c>
      <c r="W2217">
        <v>34.979999999999997</v>
      </c>
      <c r="X2217">
        <v>34.979999999999997</v>
      </c>
      <c r="AB2217" t="s">
        <v>20823</v>
      </c>
      <c r="AC2217" t="s">
        <v>8777</v>
      </c>
      <c r="AF2217" t="s">
        <v>20824</v>
      </c>
      <c r="AI2217" t="s">
        <v>8777</v>
      </c>
      <c r="AO2217" t="s">
        <v>20825</v>
      </c>
    </row>
    <row r="2218" spans="1:41" hidden="1" x14ac:dyDescent="0.35">
      <c r="A2218" t="s">
        <v>20826</v>
      </c>
      <c r="B2218" t="s">
        <v>7246</v>
      </c>
      <c r="C2218" t="s">
        <v>5779</v>
      </c>
      <c r="D2218" t="s">
        <v>5779</v>
      </c>
      <c r="E2218" t="s">
        <v>5779</v>
      </c>
      <c r="G2218" s="13" t="s">
        <v>20827</v>
      </c>
      <c r="H2218" t="s">
        <v>20828</v>
      </c>
      <c r="K2218" t="s">
        <v>20813</v>
      </c>
      <c r="L2218" t="s">
        <v>20814</v>
      </c>
      <c r="M2218" t="s">
        <v>7250</v>
      </c>
      <c r="T2218" t="s">
        <v>6546</v>
      </c>
      <c r="U2218" t="s">
        <v>6546</v>
      </c>
      <c r="V2218" t="s">
        <v>6546</v>
      </c>
      <c r="W2218">
        <v>57.93</v>
      </c>
      <c r="X2218">
        <v>57.93</v>
      </c>
      <c r="AB2218" t="s">
        <v>20808</v>
      </c>
      <c r="AC2218" t="s">
        <v>8777</v>
      </c>
      <c r="AF2218" t="s">
        <v>20823</v>
      </c>
      <c r="AI2218" t="s">
        <v>8777</v>
      </c>
      <c r="AO2218" t="s">
        <v>20829</v>
      </c>
    </row>
    <row r="2219" spans="1:41" hidden="1" x14ac:dyDescent="0.35">
      <c r="A2219" t="s">
        <v>20830</v>
      </c>
      <c r="B2219" t="s">
        <v>7246</v>
      </c>
      <c r="C2219" t="s">
        <v>5613</v>
      </c>
      <c r="D2219" t="s">
        <v>5566</v>
      </c>
      <c r="E2219" t="s">
        <v>11556</v>
      </c>
      <c r="G2219" s="13" t="s">
        <v>20831</v>
      </c>
      <c r="H2219" t="s">
        <v>20832</v>
      </c>
      <c r="K2219" t="s">
        <v>20833</v>
      </c>
      <c r="L2219" t="s">
        <v>20834</v>
      </c>
      <c r="M2219" t="s">
        <v>7250</v>
      </c>
      <c r="T2219" t="s">
        <v>6546</v>
      </c>
      <c r="U2219" t="s">
        <v>6546</v>
      </c>
      <c r="V2219" t="s">
        <v>6546</v>
      </c>
      <c r="W2219">
        <v>18</v>
      </c>
      <c r="X2219">
        <v>18</v>
      </c>
      <c r="AB2219" t="s">
        <v>11730</v>
      </c>
      <c r="AC2219" t="s">
        <v>8777</v>
      </c>
      <c r="AF2219" t="s">
        <v>15733</v>
      </c>
      <c r="AI2219" t="s">
        <v>8777</v>
      </c>
      <c r="AO2219" t="s">
        <v>20835</v>
      </c>
    </row>
    <row r="2220" spans="1:41" hidden="1" x14ac:dyDescent="0.35">
      <c r="A2220" t="s">
        <v>20836</v>
      </c>
      <c r="B2220" t="s">
        <v>7246</v>
      </c>
      <c r="C2220" t="s">
        <v>5205</v>
      </c>
      <c r="D2220" t="s">
        <v>5205</v>
      </c>
      <c r="E2220" t="s">
        <v>5205</v>
      </c>
      <c r="G2220" s="13" t="s">
        <v>20837</v>
      </c>
      <c r="H2220" t="s">
        <v>20838</v>
      </c>
      <c r="K2220" t="s">
        <v>17113</v>
      </c>
      <c r="L2220" t="s">
        <v>17107</v>
      </c>
      <c r="M2220" t="s">
        <v>7250</v>
      </c>
      <c r="T2220" t="s">
        <v>6546</v>
      </c>
      <c r="U2220" t="s">
        <v>6546</v>
      </c>
      <c r="V2220">
        <v>66.69</v>
      </c>
      <c r="W2220">
        <v>62.12</v>
      </c>
      <c r="X2220">
        <v>66.69</v>
      </c>
      <c r="Y2220">
        <v>24</v>
      </c>
      <c r="Z2220" t="s">
        <v>7253</v>
      </c>
      <c r="AB2220" t="s">
        <v>20712</v>
      </c>
      <c r="AC2220" t="s">
        <v>8859</v>
      </c>
      <c r="AE2220" t="s">
        <v>3539</v>
      </c>
      <c r="AF2220" t="s">
        <v>20839</v>
      </c>
      <c r="AH2220" t="s">
        <v>3539</v>
      </c>
      <c r="AI2220" t="s">
        <v>8859</v>
      </c>
      <c r="AO2220" t="s">
        <v>20840</v>
      </c>
    </row>
    <row r="2221" spans="1:41" hidden="1" x14ac:dyDescent="0.35">
      <c r="A2221" t="s">
        <v>20841</v>
      </c>
      <c r="B2221" t="s">
        <v>7246</v>
      </c>
      <c r="C2221" t="s">
        <v>5566</v>
      </c>
      <c r="D2221" t="s">
        <v>5566</v>
      </c>
      <c r="E2221" t="s">
        <v>5566</v>
      </c>
      <c r="G2221" s="13" t="s">
        <v>20842</v>
      </c>
      <c r="H2221" t="s">
        <v>20843</v>
      </c>
      <c r="K2221" t="s">
        <v>11559</v>
      </c>
      <c r="L2221" t="s">
        <v>11560</v>
      </c>
      <c r="M2221" t="s">
        <v>7250</v>
      </c>
      <c r="T2221" t="s">
        <v>6546</v>
      </c>
      <c r="U2221" t="s">
        <v>6546</v>
      </c>
      <c r="V2221" t="s">
        <v>6546</v>
      </c>
      <c r="W2221">
        <v>135.21</v>
      </c>
      <c r="X2221">
        <v>135.21</v>
      </c>
      <c r="AC2221" t="s">
        <v>8777</v>
      </c>
      <c r="AI2221" t="s">
        <v>8777</v>
      </c>
      <c r="AO2221" t="s">
        <v>20844</v>
      </c>
    </row>
    <row r="2222" spans="1:41" hidden="1" x14ac:dyDescent="0.35">
      <c r="A2222" t="s">
        <v>20845</v>
      </c>
      <c r="B2222" t="s">
        <v>7246</v>
      </c>
      <c r="C2222" t="s">
        <v>5205</v>
      </c>
      <c r="D2222" t="s">
        <v>5205</v>
      </c>
      <c r="E2222" t="s">
        <v>5205</v>
      </c>
      <c r="G2222" s="13" t="s">
        <v>20846</v>
      </c>
      <c r="H2222" t="s">
        <v>20847</v>
      </c>
      <c r="K2222" t="s">
        <v>17113</v>
      </c>
      <c r="L2222" t="s">
        <v>17107</v>
      </c>
      <c r="M2222" t="s">
        <v>7250</v>
      </c>
      <c r="T2222" t="s">
        <v>6546</v>
      </c>
      <c r="U2222" t="s">
        <v>6546</v>
      </c>
      <c r="V2222">
        <v>158.66999999999999</v>
      </c>
      <c r="W2222">
        <v>121.88</v>
      </c>
      <c r="X2222">
        <v>158.66999999999999</v>
      </c>
      <c r="Y2222">
        <v>16</v>
      </c>
      <c r="Z2222" t="s">
        <v>7253</v>
      </c>
      <c r="AB2222" t="s">
        <v>5207</v>
      </c>
      <c r="AC2222" t="s">
        <v>8859</v>
      </c>
      <c r="AE2222" t="s">
        <v>3539</v>
      </c>
      <c r="AF2222" t="s">
        <v>20848</v>
      </c>
      <c r="AH2222" t="s">
        <v>3539</v>
      </c>
      <c r="AI2222" t="s">
        <v>8859</v>
      </c>
      <c r="AO2222" t="s">
        <v>20849</v>
      </c>
    </row>
    <row r="2223" spans="1:41" hidden="1" x14ac:dyDescent="0.35">
      <c r="A2223" t="s">
        <v>20850</v>
      </c>
      <c r="B2223" t="s">
        <v>7246</v>
      </c>
      <c r="C2223" t="s">
        <v>5205</v>
      </c>
      <c r="D2223" t="s">
        <v>5205</v>
      </c>
      <c r="E2223" t="s">
        <v>5205</v>
      </c>
      <c r="G2223" s="13" t="s">
        <v>20851</v>
      </c>
      <c r="H2223" t="s">
        <v>20852</v>
      </c>
      <c r="K2223" t="s">
        <v>17113</v>
      </c>
      <c r="L2223" t="s">
        <v>17107</v>
      </c>
      <c r="M2223" t="s">
        <v>7250</v>
      </c>
      <c r="T2223" t="s">
        <v>6546</v>
      </c>
      <c r="U2223" t="s">
        <v>6546</v>
      </c>
      <c r="V2223">
        <v>90.82</v>
      </c>
      <c r="W2223">
        <v>122.43</v>
      </c>
      <c r="X2223">
        <v>90.82</v>
      </c>
      <c r="Y2223">
        <v>30</v>
      </c>
      <c r="Z2223" t="s">
        <v>7253</v>
      </c>
      <c r="AB2223" t="s">
        <v>5207</v>
      </c>
      <c r="AC2223" t="s">
        <v>8859</v>
      </c>
      <c r="AE2223" t="s">
        <v>3539</v>
      </c>
      <c r="AF2223" t="s">
        <v>20848</v>
      </c>
      <c r="AH2223" t="s">
        <v>3539</v>
      </c>
      <c r="AI2223" t="s">
        <v>8859</v>
      </c>
      <c r="AO2223" t="s">
        <v>20853</v>
      </c>
    </row>
    <row r="2224" spans="1:41" hidden="1" x14ac:dyDescent="0.35">
      <c r="A2224" t="s">
        <v>20854</v>
      </c>
      <c r="B2224" t="s">
        <v>7246</v>
      </c>
      <c r="C2224" t="s">
        <v>423</v>
      </c>
      <c r="D2224" t="s">
        <v>423</v>
      </c>
      <c r="E2224" t="s">
        <v>423</v>
      </c>
      <c r="G2224" s="13" t="s">
        <v>20855</v>
      </c>
      <c r="H2224" t="s">
        <v>20856</v>
      </c>
      <c r="J2224" t="s">
        <v>20857</v>
      </c>
      <c r="K2224" t="s">
        <v>9848</v>
      </c>
      <c r="L2224" t="s">
        <v>9848</v>
      </c>
      <c r="M2224" t="s">
        <v>7292</v>
      </c>
      <c r="R2224">
        <v>0.08</v>
      </c>
      <c r="S2224" t="s">
        <v>8257</v>
      </c>
      <c r="T2224">
        <v>0.08</v>
      </c>
      <c r="U2224">
        <v>39.090000000000003</v>
      </c>
      <c r="V2224">
        <v>67</v>
      </c>
      <c r="W2224">
        <v>68.84</v>
      </c>
      <c r="X2224">
        <v>67</v>
      </c>
      <c r="AB2224" t="s">
        <v>20858</v>
      </c>
      <c r="AC2224" t="s">
        <v>8844</v>
      </c>
      <c r="AE2224" t="s">
        <v>13860</v>
      </c>
      <c r="AF2224" t="s">
        <v>20859</v>
      </c>
      <c r="AG2224" t="s">
        <v>20860</v>
      </c>
      <c r="AH2224" t="s">
        <v>13860</v>
      </c>
      <c r="AI2224" t="s">
        <v>8844</v>
      </c>
      <c r="AL2224" t="s">
        <v>20861</v>
      </c>
      <c r="AO2224" t="s">
        <v>20862</v>
      </c>
    </row>
    <row r="2225" spans="1:41" hidden="1" x14ac:dyDescent="0.35">
      <c r="A2225" t="s">
        <v>20863</v>
      </c>
      <c r="B2225" t="s">
        <v>7246</v>
      </c>
      <c r="C2225" t="s">
        <v>423</v>
      </c>
      <c r="D2225" t="s">
        <v>423</v>
      </c>
      <c r="E2225" t="s">
        <v>423</v>
      </c>
      <c r="G2225" s="13" t="s">
        <v>20864</v>
      </c>
      <c r="H2225" t="s">
        <v>20865</v>
      </c>
      <c r="K2225" t="s">
        <v>9848</v>
      </c>
      <c r="L2225" t="s">
        <v>9848</v>
      </c>
      <c r="M2225" t="s">
        <v>7292</v>
      </c>
      <c r="R2225">
        <v>0.1</v>
      </c>
      <c r="S2225" t="s">
        <v>8257</v>
      </c>
      <c r="T2225">
        <v>0.1</v>
      </c>
      <c r="U2225">
        <v>44.21</v>
      </c>
      <c r="V2225">
        <v>36.4</v>
      </c>
      <c r="W2225">
        <v>24.08</v>
      </c>
      <c r="X2225">
        <v>36.4</v>
      </c>
      <c r="AB2225" t="s">
        <v>20866</v>
      </c>
      <c r="AC2225" t="s">
        <v>8844</v>
      </c>
      <c r="AE2225" t="s">
        <v>13860</v>
      </c>
      <c r="AF2225" t="s">
        <v>20867</v>
      </c>
      <c r="AH2225" t="s">
        <v>13860</v>
      </c>
      <c r="AI2225" t="s">
        <v>8844</v>
      </c>
      <c r="AL2225" t="s">
        <v>20868</v>
      </c>
      <c r="AO2225" t="s">
        <v>20869</v>
      </c>
    </row>
    <row r="2226" spans="1:41" hidden="1" x14ac:dyDescent="0.35">
      <c r="A2226" t="s">
        <v>20870</v>
      </c>
      <c r="B2226" t="s">
        <v>7246</v>
      </c>
      <c r="C2226" t="s">
        <v>423</v>
      </c>
      <c r="D2226" t="s">
        <v>423</v>
      </c>
      <c r="E2226" t="s">
        <v>423</v>
      </c>
      <c r="G2226" s="13" t="s">
        <v>20871</v>
      </c>
      <c r="H2226" t="s">
        <v>20872</v>
      </c>
      <c r="K2226" t="s">
        <v>9848</v>
      </c>
      <c r="L2226" t="s">
        <v>9848</v>
      </c>
      <c r="M2226" t="s">
        <v>7292</v>
      </c>
      <c r="T2226" t="s">
        <v>6546</v>
      </c>
      <c r="U2226" t="s">
        <v>6546</v>
      </c>
      <c r="V2226">
        <v>35.4</v>
      </c>
      <c r="W2226">
        <v>27.81</v>
      </c>
      <c r="X2226">
        <v>35.4</v>
      </c>
      <c r="AB2226" t="s">
        <v>20873</v>
      </c>
      <c r="AC2226" t="s">
        <v>8844</v>
      </c>
      <c r="AE2226" t="s">
        <v>13860</v>
      </c>
      <c r="AF2226" t="s">
        <v>20874</v>
      </c>
      <c r="AH2226" t="s">
        <v>10024</v>
      </c>
      <c r="AI2226" t="s">
        <v>8844</v>
      </c>
      <c r="AL2226" t="s">
        <v>20875</v>
      </c>
      <c r="AO2226" t="s">
        <v>20876</v>
      </c>
    </row>
    <row r="2227" spans="1:41" hidden="1" x14ac:dyDescent="0.35">
      <c r="A2227" t="s">
        <v>20877</v>
      </c>
      <c r="B2227" t="s">
        <v>7246</v>
      </c>
      <c r="C2227" t="s">
        <v>5205</v>
      </c>
      <c r="D2227" t="s">
        <v>5205</v>
      </c>
      <c r="E2227" t="s">
        <v>5205</v>
      </c>
      <c r="G2227" s="13" t="s">
        <v>20878</v>
      </c>
      <c r="H2227" t="s">
        <v>20879</v>
      </c>
      <c r="K2227" t="s">
        <v>17113</v>
      </c>
      <c r="L2227" t="s">
        <v>17107</v>
      </c>
      <c r="M2227" t="s">
        <v>7250</v>
      </c>
      <c r="T2227" t="s">
        <v>6546</v>
      </c>
      <c r="U2227" t="s">
        <v>6546</v>
      </c>
      <c r="V2227">
        <v>72.41</v>
      </c>
      <c r="W2227">
        <v>71.989999999999995</v>
      </c>
      <c r="X2227">
        <v>72.41</v>
      </c>
      <c r="Y2227">
        <v>8</v>
      </c>
      <c r="Z2227" t="s">
        <v>7253</v>
      </c>
      <c r="AB2227" t="s">
        <v>20880</v>
      </c>
      <c r="AC2227" t="s">
        <v>8859</v>
      </c>
      <c r="AE2227" t="s">
        <v>3539</v>
      </c>
      <c r="AF2227" t="s">
        <v>20881</v>
      </c>
      <c r="AH2227" t="s">
        <v>3539</v>
      </c>
      <c r="AI2227" t="s">
        <v>8859</v>
      </c>
      <c r="AO2227" t="s">
        <v>20882</v>
      </c>
    </row>
    <row r="2228" spans="1:41" hidden="1" x14ac:dyDescent="0.35">
      <c r="A2228" t="s">
        <v>20883</v>
      </c>
      <c r="B2228" t="s">
        <v>7246</v>
      </c>
      <c r="C2228" t="s">
        <v>5205</v>
      </c>
      <c r="D2228" t="s">
        <v>5205</v>
      </c>
      <c r="E2228" t="s">
        <v>5205</v>
      </c>
      <c r="G2228" s="13" t="s">
        <v>20884</v>
      </c>
      <c r="H2228" t="s">
        <v>20885</v>
      </c>
      <c r="K2228" t="s">
        <v>17113</v>
      </c>
      <c r="L2228" t="s">
        <v>17107</v>
      </c>
      <c r="M2228" t="s">
        <v>7250</v>
      </c>
      <c r="T2228" t="s">
        <v>6546</v>
      </c>
      <c r="U2228" t="s">
        <v>6546</v>
      </c>
      <c r="V2228">
        <v>82.21</v>
      </c>
      <c r="W2228">
        <v>78.489999999999995</v>
      </c>
      <c r="X2228">
        <v>82.21</v>
      </c>
      <c r="Y2228">
        <v>8</v>
      </c>
      <c r="Z2228" t="s">
        <v>7253</v>
      </c>
      <c r="AB2228" t="s">
        <v>20881</v>
      </c>
      <c r="AC2228" t="s">
        <v>8859</v>
      </c>
      <c r="AE2228" t="s">
        <v>3539</v>
      </c>
      <c r="AF2228" t="s">
        <v>20886</v>
      </c>
      <c r="AH2228" t="s">
        <v>3539</v>
      </c>
      <c r="AI2228" t="s">
        <v>8859</v>
      </c>
      <c r="AO2228" t="s">
        <v>20887</v>
      </c>
    </row>
    <row r="2229" spans="1:41" hidden="1" x14ac:dyDescent="0.35">
      <c r="A2229" t="s">
        <v>20888</v>
      </c>
      <c r="B2229" t="s">
        <v>7246</v>
      </c>
      <c r="C2229" t="s">
        <v>5205</v>
      </c>
      <c r="D2229" t="s">
        <v>5205</v>
      </c>
      <c r="E2229" t="s">
        <v>5205</v>
      </c>
      <c r="G2229" s="13" t="s">
        <v>20889</v>
      </c>
      <c r="H2229" t="s">
        <v>20890</v>
      </c>
      <c r="K2229" t="s">
        <v>17113</v>
      </c>
      <c r="L2229" t="s">
        <v>17107</v>
      </c>
      <c r="M2229" t="s">
        <v>7250</v>
      </c>
      <c r="T2229" t="s">
        <v>6546</v>
      </c>
      <c r="U2229" t="s">
        <v>6546</v>
      </c>
      <c r="V2229">
        <v>119.25</v>
      </c>
      <c r="W2229">
        <v>110.1</v>
      </c>
      <c r="X2229">
        <v>119.25</v>
      </c>
      <c r="Y2229">
        <v>16</v>
      </c>
      <c r="Z2229" t="s">
        <v>7253</v>
      </c>
      <c r="AB2229" t="s">
        <v>5207</v>
      </c>
      <c r="AC2229" t="s">
        <v>8859</v>
      </c>
      <c r="AE2229" t="s">
        <v>3539</v>
      </c>
      <c r="AF2229" t="s">
        <v>20891</v>
      </c>
      <c r="AH2229" t="s">
        <v>3539</v>
      </c>
      <c r="AI2229" t="s">
        <v>8859</v>
      </c>
      <c r="AO2229" t="s">
        <v>20892</v>
      </c>
    </row>
    <row r="2230" spans="1:41" hidden="1" x14ac:dyDescent="0.35">
      <c r="A2230" t="s">
        <v>20893</v>
      </c>
      <c r="B2230" t="s">
        <v>7246</v>
      </c>
      <c r="C2230" t="s">
        <v>5205</v>
      </c>
      <c r="D2230" t="s">
        <v>5205</v>
      </c>
      <c r="E2230" t="s">
        <v>5205</v>
      </c>
      <c r="G2230" s="13" t="s">
        <v>20894</v>
      </c>
      <c r="H2230" t="s">
        <v>20895</v>
      </c>
      <c r="K2230" t="s">
        <v>17113</v>
      </c>
      <c r="L2230" t="s">
        <v>17107</v>
      </c>
      <c r="M2230" t="s">
        <v>7250</v>
      </c>
      <c r="T2230" t="s">
        <v>6546</v>
      </c>
      <c r="U2230" t="s">
        <v>6546</v>
      </c>
      <c r="V2230">
        <v>112.51</v>
      </c>
      <c r="W2230">
        <v>110.1</v>
      </c>
      <c r="X2230">
        <v>112.51</v>
      </c>
      <c r="Y2230" t="s">
        <v>11751</v>
      </c>
      <c r="Z2230" t="s">
        <v>7253</v>
      </c>
      <c r="AB2230" t="s">
        <v>5207</v>
      </c>
      <c r="AC2230" t="s">
        <v>8859</v>
      </c>
      <c r="AE2230" t="s">
        <v>3539</v>
      </c>
      <c r="AF2230" t="s">
        <v>20891</v>
      </c>
      <c r="AH2230" t="s">
        <v>3539</v>
      </c>
      <c r="AI2230" t="s">
        <v>8859</v>
      </c>
      <c r="AO2230" t="s">
        <v>20892</v>
      </c>
    </row>
    <row r="2231" spans="1:41" hidden="1" x14ac:dyDescent="0.35">
      <c r="A2231" t="s">
        <v>20896</v>
      </c>
      <c r="B2231" t="s">
        <v>7246</v>
      </c>
      <c r="C2231" t="s">
        <v>5205</v>
      </c>
      <c r="D2231" t="s">
        <v>5205</v>
      </c>
      <c r="E2231" t="s">
        <v>5205</v>
      </c>
      <c r="G2231" s="13" t="s">
        <v>20897</v>
      </c>
      <c r="H2231" t="s">
        <v>20898</v>
      </c>
      <c r="K2231" t="s">
        <v>17113</v>
      </c>
      <c r="L2231" t="s">
        <v>17107</v>
      </c>
      <c r="M2231" t="s">
        <v>7250</v>
      </c>
      <c r="T2231" t="s">
        <v>6546</v>
      </c>
      <c r="U2231" t="s">
        <v>6546</v>
      </c>
      <c r="V2231">
        <v>59.44</v>
      </c>
      <c r="W2231">
        <v>56.41</v>
      </c>
      <c r="X2231">
        <v>59.44</v>
      </c>
      <c r="Y2231">
        <v>10</v>
      </c>
      <c r="Z2231" t="s">
        <v>7253</v>
      </c>
      <c r="AB2231" t="s">
        <v>2808</v>
      </c>
      <c r="AC2231" t="s">
        <v>8859</v>
      </c>
      <c r="AE2231" t="s">
        <v>3539</v>
      </c>
      <c r="AF2231" t="s">
        <v>20899</v>
      </c>
      <c r="AH2231" t="s">
        <v>3539</v>
      </c>
      <c r="AI2231" t="s">
        <v>8859</v>
      </c>
      <c r="AO2231" t="s">
        <v>20900</v>
      </c>
    </row>
    <row r="2232" spans="1:41" hidden="1" x14ac:dyDescent="0.35">
      <c r="A2232" t="s">
        <v>20901</v>
      </c>
      <c r="B2232" t="s">
        <v>7246</v>
      </c>
      <c r="C2232" t="s">
        <v>5205</v>
      </c>
      <c r="D2232" t="s">
        <v>5205</v>
      </c>
      <c r="E2232" t="s">
        <v>5205</v>
      </c>
      <c r="G2232" s="13" t="s">
        <v>20902</v>
      </c>
      <c r="H2232" t="s">
        <v>20903</v>
      </c>
      <c r="K2232" t="s">
        <v>17113</v>
      </c>
      <c r="L2232" t="s">
        <v>17107</v>
      </c>
      <c r="M2232" t="s">
        <v>7250</v>
      </c>
      <c r="T2232" t="s">
        <v>6546</v>
      </c>
      <c r="U2232" t="s">
        <v>6546</v>
      </c>
      <c r="V2232">
        <v>76.400000000000006</v>
      </c>
      <c r="W2232">
        <v>67.22</v>
      </c>
      <c r="X2232">
        <v>76.400000000000006</v>
      </c>
      <c r="Y2232">
        <v>24</v>
      </c>
      <c r="Z2232" t="s">
        <v>7253</v>
      </c>
      <c r="AB2232" t="s">
        <v>20904</v>
      </c>
      <c r="AC2232" t="s">
        <v>8859</v>
      </c>
      <c r="AE2232" t="s">
        <v>3539</v>
      </c>
      <c r="AF2232" t="s">
        <v>2808</v>
      </c>
      <c r="AH2232" t="s">
        <v>3539</v>
      </c>
      <c r="AI2232" t="s">
        <v>8859</v>
      </c>
      <c r="AO2232" t="s">
        <v>20905</v>
      </c>
    </row>
    <row r="2233" spans="1:41" hidden="1" x14ac:dyDescent="0.35">
      <c r="A2233" t="s">
        <v>20906</v>
      </c>
      <c r="B2233" t="s">
        <v>7246</v>
      </c>
      <c r="C2233" t="s">
        <v>5205</v>
      </c>
      <c r="D2233" t="s">
        <v>5205</v>
      </c>
      <c r="E2233" t="s">
        <v>5205</v>
      </c>
      <c r="G2233" s="13" t="s">
        <v>20907</v>
      </c>
      <c r="H2233" t="s">
        <v>20908</v>
      </c>
      <c r="K2233" t="s">
        <v>17113</v>
      </c>
      <c r="L2233" t="s">
        <v>17107</v>
      </c>
      <c r="M2233" t="s">
        <v>7250</v>
      </c>
      <c r="T2233" t="s">
        <v>6546</v>
      </c>
      <c r="U2233" t="s">
        <v>6546</v>
      </c>
      <c r="V2233">
        <v>73.400000000000006</v>
      </c>
      <c r="W2233">
        <v>70.06</v>
      </c>
      <c r="X2233">
        <v>73.400000000000006</v>
      </c>
      <c r="Y2233">
        <v>10</v>
      </c>
      <c r="Z2233" t="s">
        <v>7253</v>
      </c>
      <c r="AB2233" t="s">
        <v>20891</v>
      </c>
      <c r="AC2233" t="s">
        <v>8859</v>
      </c>
      <c r="AE2233" t="s">
        <v>3539</v>
      </c>
      <c r="AF2233" t="s">
        <v>20909</v>
      </c>
      <c r="AH2233" t="s">
        <v>3539</v>
      </c>
      <c r="AI2233" t="s">
        <v>8859</v>
      </c>
      <c r="AO2233" t="s">
        <v>20910</v>
      </c>
    </row>
    <row r="2234" spans="1:41" hidden="1" x14ac:dyDescent="0.35">
      <c r="A2234" t="s">
        <v>20911</v>
      </c>
      <c r="B2234" t="s">
        <v>7246</v>
      </c>
      <c r="C2234" t="s">
        <v>5205</v>
      </c>
      <c r="D2234" t="s">
        <v>5205</v>
      </c>
      <c r="E2234" t="s">
        <v>5205</v>
      </c>
      <c r="G2234" s="13" t="s">
        <v>20912</v>
      </c>
      <c r="H2234" t="s">
        <v>20913</v>
      </c>
      <c r="K2234" t="s">
        <v>17113</v>
      </c>
      <c r="L2234" t="s">
        <v>17107</v>
      </c>
      <c r="M2234" t="s">
        <v>7250</v>
      </c>
      <c r="T2234" t="s">
        <v>6546</v>
      </c>
      <c r="U2234" t="s">
        <v>6546</v>
      </c>
      <c r="V2234">
        <v>76.67</v>
      </c>
      <c r="W2234">
        <v>152.05000000000001</v>
      </c>
      <c r="X2234">
        <v>76.67</v>
      </c>
      <c r="Y2234">
        <v>16</v>
      </c>
      <c r="Z2234" t="s">
        <v>7253</v>
      </c>
      <c r="AB2234" t="s">
        <v>20712</v>
      </c>
      <c r="AC2234" t="s">
        <v>8859</v>
      </c>
      <c r="AE2234" t="s">
        <v>3539</v>
      </c>
      <c r="AF2234" t="s">
        <v>16807</v>
      </c>
      <c r="AH2234" t="s">
        <v>3539</v>
      </c>
      <c r="AI2234" t="s">
        <v>8859</v>
      </c>
      <c r="AO2234" t="s">
        <v>20914</v>
      </c>
    </row>
    <row r="2235" spans="1:41" hidden="1" x14ac:dyDescent="0.35">
      <c r="A2235" t="s">
        <v>20915</v>
      </c>
      <c r="B2235" t="s">
        <v>7246</v>
      </c>
      <c r="C2235" t="s">
        <v>5205</v>
      </c>
      <c r="D2235" t="s">
        <v>5205</v>
      </c>
      <c r="E2235" t="s">
        <v>5205</v>
      </c>
      <c r="G2235" s="13" t="s">
        <v>20916</v>
      </c>
      <c r="H2235" t="s">
        <v>20917</v>
      </c>
      <c r="K2235" t="s">
        <v>17113</v>
      </c>
      <c r="L2235" t="s">
        <v>17107</v>
      </c>
      <c r="M2235" t="s">
        <v>7250</v>
      </c>
      <c r="T2235" t="s">
        <v>6546</v>
      </c>
      <c r="U2235" t="s">
        <v>6546</v>
      </c>
      <c r="V2235">
        <v>52.34</v>
      </c>
      <c r="W2235">
        <v>54.28</v>
      </c>
      <c r="X2235">
        <v>52.34</v>
      </c>
      <c r="Y2235">
        <v>18</v>
      </c>
      <c r="Z2235" t="s">
        <v>7253</v>
      </c>
      <c r="AB2235" t="s">
        <v>20918</v>
      </c>
      <c r="AC2235" t="s">
        <v>8859</v>
      </c>
      <c r="AE2235" t="s">
        <v>3539</v>
      </c>
      <c r="AF2235" t="s">
        <v>2808</v>
      </c>
      <c r="AH2235" t="s">
        <v>3539</v>
      </c>
      <c r="AI2235" t="s">
        <v>8859</v>
      </c>
      <c r="AO2235" t="s">
        <v>20919</v>
      </c>
    </row>
    <row r="2236" spans="1:41" hidden="1" x14ac:dyDescent="0.35">
      <c r="A2236" t="s">
        <v>20920</v>
      </c>
      <c r="B2236" t="s">
        <v>7246</v>
      </c>
      <c r="C2236" t="s">
        <v>423</v>
      </c>
      <c r="D2236" t="s">
        <v>423</v>
      </c>
      <c r="E2236" t="s">
        <v>423</v>
      </c>
      <c r="G2236" s="13" t="s">
        <v>20921</v>
      </c>
      <c r="H2236" t="s">
        <v>20922</v>
      </c>
      <c r="K2236" t="s">
        <v>9848</v>
      </c>
      <c r="L2236" t="s">
        <v>9848</v>
      </c>
      <c r="M2236" t="s">
        <v>7292</v>
      </c>
      <c r="T2236" t="s">
        <v>6546</v>
      </c>
      <c r="U2236" t="s">
        <v>6546</v>
      </c>
      <c r="V2236">
        <v>148.30000000000001</v>
      </c>
      <c r="W2236">
        <v>139.31</v>
      </c>
      <c r="X2236">
        <v>148.30000000000001</v>
      </c>
      <c r="AB2236" t="s">
        <v>20923</v>
      </c>
      <c r="AC2236" t="s">
        <v>8844</v>
      </c>
      <c r="AE2236" t="s">
        <v>10024</v>
      </c>
      <c r="AF2236" t="s">
        <v>20924</v>
      </c>
      <c r="AH2236" t="s">
        <v>10024</v>
      </c>
      <c r="AI2236" t="s">
        <v>8844</v>
      </c>
      <c r="AL2236" t="s">
        <v>20925</v>
      </c>
      <c r="AO2236" t="s">
        <v>20926</v>
      </c>
    </row>
    <row r="2237" spans="1:41" hidden="1" x14ac:dyDescent="0.35">
      <c r="A2237" t="s">
        <v>20927</v>
      </c>
      <c r="B2237" t="s">
        <v>7246</v>
      </c>
      <c r="C2237" t="s">
        <v>423</v>
      </c>
      <c r="D2237" t="s">
        <v>423</v>
      </c>
      <c r="E2237" t="s">
        <v>423</v>
      </c>
      <c r="G2237" s="13" t="s">
        <v>20921</v>
      </c>
      <c r="H2237" t="s">
        <v>20922</v>
      </c>
      <c r="I2237" t="s">
        <v>20928</v>
      </c>
      <c r="K2237" t="s">
        <v>9848</v>
      </c>
      <c r="L2237" t="s">
        <v>9848</v>
      </c>
      <c r="M2237" t="s">
        <v>7292</v>
      </c>
      <c r="T2237" t="s">
        <v>6546</v>
      </c>
      <c r="U2237" t="s">
        <v>6546</v>
      </c>
      <c r="V2237" t="s">
        <v>6546</v>
      </c>
      <c r="W2237">
        <v>5.79</v>
      </c>
      <c r="X2237">
        <v>5.79</v>
      </c>
      <c r="AB2237" t="s">
        <v>20929</v>
      </c>
      <c r="AC2237" t="s">
        <v>8844</v>
      </c>
      <c r="AE2237" t="s">
        <v>10024</v>
      </c>
      <c r="AF2237" t="s">
        <v>20930</v>
      </c>
      <c r="AH2237" t="s">
        <v>10024</v>
      </c>
      <c r="AI2237" t="s">
        <v>8844</v>
      </c>
      <c r="AL2237" t="s">
        <v>20925</v>
      </c>
      <c r="AM2237" t="s">
        <v>20931</v>
      </c>
      <c r="AO2237" t="s">
        <v>20932</v>
      </c>
    </row>
    <row r="2238" spans="1:41" hidden="1" x14ac:dyDescent="0.35">
      <c r="A2238" t="s">
        <v>20933</v>
      </c>
      <c r="B2238" t="s">
        <v>7246</v>
      </c>
      <c r="C2238" t="s">
        <v>423</v>
      </c>
      <c r="D2238" t="s">
        <v>423</v>
      </c>
      <c r="E2238" t="s">
        <v>423</v>
      </c>
      <c r="G2238" s="13" t="s">
        <v>20934</v>
      </c>
      <c r="H2238" t="s">
        <v>20935</v>
      </c>
      <c r="K2238" t="s">
        <v>9848</v>
      </c>
      <c r="L2238" t="s">
        <v>9848</v>
      </c>
      <c r="M2238" t="s">
        <v>7292</v>
      </c>
      <c r="N2238">
        <v>2024</v>
      </c>
      <c r="R2238">
        <v>0.18</v>
      </c>
      <c r="S2238" t="s">
        <v>8257</v>
      </c>
      <c r="T2238">
        <v>0.18</v>
      </c>
      <c r="U2238">
        <v>81.44</v>
      </c>
      <c r="V2238">
        <v>28.5</v>
      </c>
      <c r="W2238">
        <v>19.600000000000001</v>
      </c>
      <c r="X2238">
        <v>28.5</v>
      </c>
      <c r="Y2238">
        <v>300</v>
      </c>
      <c r="Z2238" t="s">
        <v>8842</v>
      </c>
      <c r="AB2238" t="s">
        <v>20936</v>
      </c>
      <c r="AC2238" t="s">
        <v>8844</v>
      </c>
      <c r="AE2238" t="s">
        <v>20937</v>
      </c>
      <c r="AF2238" t="s">
        <v>20938</v>
      </c>
      <c r="AH2238" t="s">
        <v>20937</v>
      </c>
      <c r="AI2238" t="s">
        <v>8844</v>
      </c>
      <c r="AL2238" t="s">
        <v>20939</v>
      </c>
      <c r="AO2238" t="s">
        <v>20940</v>
      </c>
    </row>
    <row r="2239" spans="1:41" hidden="1" x14ac:dyDescent="0.35">
      <c r="A2239" t="s">
        <v>20941</v>
      </c>
      <c r="B2239" t="s">
        <v>7246</v>
      </c>
      <c r="C2239" t="s">
        <v>423</v>
      </c>
      <c r="D2239" t="s">
        <v>423</v>
      </c>
      <c r="E2239" t="s">
        <v>423</v>
      </c>
      <c r="G2239" s="13" t="s">
        <v>14103</v>
      </c>
      <c r="H2239" t="s">
        <v>14104</v>
      </c>
      <c r="I2239" t="s">
        <v>9883</v>
      </c>
      <c r="K2239" t="s">
        <v>6543</v>
      </c>
      <c r="L2239" t="s">
        <v>6543</v>
      </c>
      <c r="M2239" t="s">
        <v>7250</v>
      </c>
      <c r="N2239">
        <v>1973</v>
      </c>
      <c r="R2239">
        <v>14.5</v>
      </c>
      <c r="S2239" t="s">
        <v>8257</v>
      </c>
      <c r="T2239">
        <v>14.5</v>
      </c>
      <c r="U2239">
        <v>6748.06</v>
      </c>
      <c r="V2239">
        <v>572</v>
      </c>
      <c r="W2239">
        <v>564.54</v>
      </c>
      <c r="X2239">
        <v>572</v>
      </c>
      <c r="Y2239">
        <v>1420</v>
      </c>
      <c r="Z2239" t="s">
        <v>8842</v>
      </c>
      <c r="AB2239" t="s">
        <v>14105</v>
      </c>
      <c r="AC2239" t="s">
        <v>8844</v>
      </c>
      <c r="AD2239" t="s">
        <v>14106</v>
      </c>
      <c r="AE2239" t="s">
        <v>13851</v>
      </c>
      <c r="AF2239" t="s">
        <v>14107</v>
      </c>
      <c r="AG2239" t="s">
        <v>14108</v>
      </c>
      <c r="AH2239" t="s">
        <v>14109</v>
      </c>
      <c r="AI2239" t="s">
        <v>8844</v>
      </c>
      <c r="AO2239" t="s">
        <v>14110</v>
      </c>
    </row>
    <row r="2240" spans="1:41" hidden="1" x14ac:dyDescent="0.35">
      <c r="A2240" t="s">
        <v>20942</v>
      </c>
      <c r="B2240" t="s">
        <v>7246</v>
      </c>
      <c r="C2240" t="s">
        <v>423</v>
      </c>
      <c r="D2240" t="s">
        <v>423</v>
      </c>
      <c r="E2240" t="s">
        <v>423</v>
      </c>
      <c r="G2240" s="13" t="s">
        <v>14103</v>
      </c>
      <c r="H2240" t="s">
        <v>14104</v>
      </c>
      <c r="I2240" t="s">
        <v>13847</v>
      </c>
      <c r="K2240" t="s">
        <v>6543</v>
      </c>
      <c r="L2240" t="s">
        <v>6543</v>
      </c>
      <c r="M2240" t="s">
        <v>7250</v>
      </c>
      <c r="N2240">
        <v>1975</v>
      </c>
      <c r="R2240">
        <v>31</v>
      </c>
      <c r="S2240" t="s">
        <v>8257</v>
      </c>
      <c r="T2240">
        <v>31</v>
      </c>
      <c r="U2240">
        <v>14426.89</v>
      </c>
      <c r="V2240">
        <v>566</v>
      </c>
      <c r="W2240">
        <v>564.54</v>
      </c>
      <c r="X2240">
        <v>566</v>
      </c>
      <c r="Y2240">
        <v>1420</v>
      </c>
      <c r="Z2240" t="s">
        <v>8842</v>
      </c>
      <c r="AB2240" t="s">
        <v>14105</v>
      </c>
      <c r="AC2240" t="s">
        <v>8844</v>
      </c>
      <c r="AD2240" t="s">
        <v>14106</v>
      </c>
      <c r="AE2240" t="s">
        <v>13851</v>
      </c>
      <c r="AF2240" t="s">
        <v>14107</v>
      </c>
      <c r="AG2240" t="s">
        <v>14108</v>
      </c>
      <c r="AH2240" t="s">
        <v>14109</v>
      </c>
      <c r="AI2240" t="s">
        <v>8844</v>
      </c>
      <c r="AO2240" t="s">
        <v>20943</v>
      </c>
    </row>
    <row r="2241" spans="1:41" hidden="1" x14ac:dyDescent="0.35">
      <c r="A2241" t="s">
        <v>20944</v>
      </c>
      <c r="B2241" t="s">
        <v>7246</v>
      </c>
      <c r="C2241" t="s">
        <v>423</v>
      </c>
      <c r="D2241" t="s">
        <v>423</v>
      </c>
      <c r="E2241" t="s">
        <v>423</v>
      </c>
      <c r="G2241" s="13" t="s">
        <v>14103</v>
      </c>
      <c r="H2241" t="s">
        <v>14104</v>
      </c>
      <c r="I2241" t="s">
        <v>20945</v>
      </c>
      <c r="K2241" t="s">
        <v>6543</v>
      </c>
      <c r="L2241" t="s">
        <v>6543</v>
      </c>
      <c r="M2241" t="s">
        <v>7250</v>
      </c>
      <c r="N2241">
        <v>1980</v>
      </c>
      <c r="R2241">
        <v>31</v>
      </c>
      <c r="S2241" t="s">
        <v>8257</v>
      </c>
      <c r="T2241">
        <v>31</v>
      </c>
      <c r="U2241">
        <v>14426.89</v>
      </c>
      <c r="V2241">
        <v>567</v>
      </c>
      <c r="W2241">
        <v>564.53</v>
      </c>
      <c r="X2241">
        <v>567</v>
      </c>
      <c r="Y2241">
        <v>1420</v>
      </c>
      <c r="Z2241" t="s">
        <v>8842</v>
      </c>
      <c r="AB2241" t="s">
        <v>14105</v>
      </c>
      <c r="AC2241" t="s">
        <v>8844</v>
      </c>
      <c r="AD2241" t="s">
        <v>14106</v>
      </c>
      <c r="AE2241" t="s">
        <v>13851</v>
      </c>
      <c r="AF2241" t="s">
        <v>14107</v>
      </c>
      <c r="AG2241" t="s">
        <v>14108</v>
      </c>
      <c r="AH2241" t="s">
        <v>14109</v>
      </c>
      <c r="AI2241" t="s">
        <v>8844</v>
      </c>
      <c r="AO2241" t="s">
        <v>20946</v>
      </c>
    </row>
    <row r="2242" spans="1:41" hidden="1" x14ac:dyDescent="0.35">
      <c r="A2242" t="s">
        <v>20947</v>
      </c>
      <c r="B2242" t="s">
        <v>7246</v>
      </c>
      <c r="C2242" t="s">
        <v>423</v>
      </c>
      <c r="D2242" t="s">
        <v>423</v>
      </c>
      <c r="E2242" t="s">
        <v>423</v>
      </c>
      <c r="G2242" s="13" t="s">
        <v>14103</v>
      </c>
      <c r="H2242" t="s">
        <v>14104</v>
      </c>
      <c r="I2242" t="s">
        <v>20948</v>
      </c>
      <c r="K2242" t="s">
        <v>6543</v>
      </c>
      <c r="L2242" t="s">
        <v>6543</v>
      </c>
      <c r="M2242" t="s">
        <v>7250</v>
      </c>
      <c r="N2242">
        <v>1981</v>
      </c>
      <c r="R2242">
        <v>31</v>
      </c>
      <c r="S2242" t="s">
        <v>8257</v>
      </c>
      <c r="T2242">
        <v>31</v>
      </c>
      <c r="U2242">
        <v>14426.89</v>
      </c>
      <c r="V2242">
        <v>571</v>
      </c>
      <c r="W2242">
        <v>564.53</v>
      </c>
      <c r="X2242">
        <v>571</v>
      </c>
      <c r="Y2242">
        <v>1420</v>
      </c>
      <c r="Z2242" t="s">
        <v>8842</v>
      </c>
      <c r="AB2242" t="s">
        <v>14105</v>
      </c>
      <c r="AC2242" t="s">
        <v>8844</v>
      </c>
      <c r="AD2242" t="s">
        <v>14106</v>
      </c>
      <c r="AE2242" t="s">
        <v>13851</v>
      </c>
      <c r="AF2242" t="s">
        <v>14107</v>
      </c>
      <c r="AG2242" t="s">
        <v>14108</v>
      </c>
      <c r="AH2242" t="s">
        <v>14109</v>
      </c>
      <c r="AI2242" t="s">
        <v>8844</v>
      </c>
      <c r="AO2242" t="s">
        <v>20949</v>
      </c>
    </row>
    <row r="2243" spans="1:41" hidden="1" x14ac:dyDescent="0.35">
      <c r="A2243" t="s">
        <v>20950</v>
      </c>
      <c r="B2243" t="s">
        <v>7246</v>
      </c>
      <c r="C2243" t="s">
        <v>423</v>
      </c>
      <c r="D2243" t="s">
        <v>423</v>
      </c>
      <c r="E2243" t="s">
        <v>423</v>
      </c>
      <c r="G2243" s="13" t="s">
        <v>20951</v>
      </c>
      <c r="H2243" t="s">
        <v>20952</v>
      </c>
      <c r="K2243" t="s">
        <v>9848</v>
      </c>
      <c r="L2243" t="s">
        <v>9848</v>
      </c>
      <c r="M2243" t="s">
        <v>7292</v>
      </c>
      <c r="R2243">
        <v>7.0000000000000007E-2</v>
      </c>
      <c r="S2243" t="s">
        <v>8257</v>
      </c>
      <c r="T2243">
        <v>7.0000000000000007E-2</v>
      </c>
      <c r="U2243">
        <v>33.04</v>
      </c>
      <c r="V2243">
        <v>36</v>
      </c>
      <c r="W2243">
        <v>30.74</v>
      </c>
      <c r="X2243">
        <v>36</v>
      </c>
      <c r="AB2243" t="s">
        <v>20953</v>
      </c>
      <c r="AC2243" t="s">
        <v>8844</v>
      </c>
      <c r="AE2243" t="s">
        <v>20954</v>
      </c>
      <c r="AF2243" t="s">
        <v>20955</v>
      </c>
      <c r="AH2243" t="s">
        <v>20954</v>
      </c>
      <c r="AI2243" t="s">
        <v>8844</v>
      </c>
      <c r="AL2243" t="s">
        <v>20956</v>
      </c>
      <c r="AO2243" t="s">
        <v>20957</v>
      </c>
    </row>
    <row r="2244" spans="1:41" hidden="1" x14ac:dyDescent="0.35">
      <c r="A2244" t="s">
        <v>20958</v>
      </c>
      <c r="B2244" t="s">
        <v>7246</v>
      </c>
      <c r="C2244" t="s">
        <v>423</v>
      </c>
      <c r="D2244" t="s">
        <v>423</v>
      </c>
      <c r="E2244" t="s">
        <v>423</v>
      </c>
      <c r="G2244" s="13" t="s">
        <v>20959</v>
      </c>
      <c r="H2244" t="s">
        <v>20960</v>
      </c>
      <c r="K2244" t="s">
        <v>9848</v>
      </c>
      <c r="L2244" t="s">
        <v>9848</v>
      </c>
      <c r="M2244" t="s">
        <v>7292</v>
      </c>
      <c r="R2244">
        <v>0.05</v>
      </c>
      <c r="S2244" t="s">
        <v>8257</v>
      </c>
      <c r="T2244">
        <v>0.05</v>
      </c>
      <c r="U2244">
        <v>24.67</v>
      </c>
      <c r="V2244" t="s">
        <v>6546</v>
      </c>
      <c r="W2244">
        <v>24.94</v>
      </c>
      <c r="X2244">
        <v>24.94</v>
      </c>
      <c r="AB2244" t="s">
        <v>20955</v>
      </c>
      <c r="AC2244" t="s">
        <v>8844</v>
      </c>
      <c r="AE2244" t="s">
        <v>20954</v>
      </c>
      <c r="AF2244" t="s">
        <v>20961</v>
      </c>
      <c r="AH2244" t="s">
        <v>20954</v>
      </c>
      <c r="AI2244" t="s">
        <v>8844</v>
      </c>
      <c r="AL2244" t="s">
        <v>20962</v>
      </c>
      <c r="AO2244" t="s">
        <v>20963</v>
      </c>
    </row>
    <row r="2245" spans="1:41" hidden="1" x14ac:dyDescent="0.35">
      <c r="A2245" t="s">
        <v>20964</v>
      </c>
      <c r="B2245" t="s">
        <v>7246</v>
      </c>
      <c r="C2245" t="s">
        <v>420</v>
      </c>
      <c r="D2245" t="s">
        <v>420</v>
      </c>
      <c r="E2245" t="s">
        <v>420</v>
      </c>
      <c r="G2245" s="13" t="s">
        <v>20271</v>
      </c>
      <c r="H2245" t="s">
        <v>20272</v>
      </c>
      <c r="I2245" t="s">
        <v>20965</v>
      </c>
      <c r="K2245" t="s">
        <v>9219</v>
      </c>
      <c r="L2245" t="s">
        <v>9155</v>
      </c>
      <c r="M2245" t="s">
        <v>7250</v>
      </c>
      <c r="N2245">
        <v>2004</v>
      </c>
      <c r="R2245">
        <v>2400</v>
      </c>
      <c r="S2245" t="s">
        <v>7251</v>
      </c>
      <c r="T2245">
        <v>24.82</v>
      </c>
      <c r="U2245">
        <v>11552</v>
      </c>
      <c r="V2245" t="s">
        <v>6546</v>
      </c>
      <c r="W2245" t="s">
        <v>6546</v>
      </c>
      <c r="X2245" t="s">
        <v>6546</v>
      </c>
      <c r="Y2245">
        <v>38</v>
      </c>
      <c r="Z2245" t="s">
        <v>7253</v>
      </c>
      <c r="AC2245" t="s">
        <v>8747</v>
      </c>
      <c r="AI2245" t="s">
        <v>8747</v>
      </c>
      <c r="AO2245" t="s">
        <v>6546</v>
      </c>
    </row>
    <row r="2246" spans="1:41" hidden="1" x14ac:dyDescent="0.35">
      <c r="A2246" t="s">
        <v>20966</v>
      </c>
      <c r="B2246" t="s">
        <v>7246</v>
      </c>
      <c r="C2246" t="s">
        <v>420</v>
      </c>
      <c r="D2246" t="s">
        <v>420</v>
      </c>
      <c r="E2246" t="s">
        <v>420</v>
      </c>
      <c r="G2246" s="13" t="s">
        <v>20271</v>
      </c>
      <c r="H2246" t="s">
        <v>20272</v>
      </c>
      <c r="I2246" t="s">
        <v>20967</v>
      </c>
      <c r="K2246" t="s">
        <v>9219</v>
      </c>
      <c r="L2246" t="s">
        <v>9155</v>
      </c>
      <c r="M2246" t="s">
        <v>7250</v>
      </c>
      <c r="N2246">
        <v>2009</v>
      </c>
      <c r="R2246">
        <v>3200</v>
      </c>
      <c r="S2246" t="s">
        <v>7251</v>
      </c>
      <c r="T2246">
        <v>33.1</v>
      </c>
      <c r="U2246">
        <v>15402.67</v>
      </c>
      <c r="V2246">
        <v>100</v>
      </c>
      <c r="W2246" t="s">
        <v>6546</v>
      </c>
      <c r="X2246">
        <v>100</v>
      </c>
      <c r="Y2246">
        <v>38</v>
      </c>
      <c r="Z2246" t="s">
        <v>7253</v>
      </c>
      <c r="AC2246" t="s">
        <v>8747</v>
      </c>
      <c r="AI2246" t="s">
        <v>8747</v>
      </c>
      <c r="AO2246" t="s">
        <v>6546</v>
      </c>
    </row>
    <row r="2247" spans="1:41" hidden="1" x14ac:dyDescent="0.35">
      <c r="A2247" t="s">
        <v>20968</v>
      </c>
      <c r="B2247" t="s">
        <v>7246</v>
      </c>
      <c r="C2247" t="s">
        <v>420</v>
      </c>
      <c r="D2247" t="s">
        <v>420</v>
      </c>
      <c r="E2247" t="s">
        <v>420</v>
      </c>
      <c r="G2247" s="13" t="s">
        <v>20271</v>
      </c>
      <c r="H2247" t="s">
        <v>20272</v>
      </c>
      <c r="I2247" t="s">
        <v>20969</v>
      </c>
      <c r="K2247" t="s">
        <v>9219</v>
      </c>
      <c r="L2247" t="s">
        <v>9155</v>
      </c>
      <c r="M2247" t="s">
        <v>7250</v>
      </c>
      <c r="N2247">
        <v>2009</v>
      </c>
      <c r="R2247">
        <v>3200</v>
      </c>
      <c r="S2247" t="s">
        <v>7251</v>
      </c>
      <c r="T2247">
        <v>33.1</v>
      </c>
      <c r="U2247">
        <v>15402.67</v>
      </c>
      <c r="V2247">
        <v>100</v>
      </c>
      <c r="W2247" t="s">
        <v>6546</v>
      </c>
      <c r="X2247">
        <v>100</v>
      </c>
      <c r="Y2247">
        <v>38</v>
      </c>
      <c r="Z2247" t="s">
        <v>7253</v>
      </c>
      <c r="AC2247" t="s">
        <v>8747</v>
      </c>
      <c r="AI2247" t="s">
        <v>8747</v>
      </c>
      <c r="AO2247" t="s">
        <v>6546</v>
      </c>
    </row>
    <row r="2248" spans="1:41" hidden="1" x14ac:dyDescent="0.35">
      <c r="A2248" t="s">
        <v>20970</v>
      </c>
      <c r="B2248" t="s">
        <v>7246</v>
      </c>
      <c r="C2248" t="s">
        <v>420</v>
      </c>
      <c r="D2248" t="s">
        <v>420</v>
      </c>
      <c r="E2248" t="s">
        <v>420</v>
      </c>
      <c r="G2248" s="13" t="s">
        <v>20971</v>
      </c>
      <c r="H2248" t="s">
        <v>20972</v>
      </c>
      <c r="I2248" t="s">
        <v>20973</v>
      </c>
      <c r="K2248" t="s">
        <v>9219</v>
      </c>
      <c r="L2248" t="s">
        <v>9155</v>
      </c>
      <c r="M2248" t="s">
        <v>7250</v>
      </c>
      <c r="N2248">
        <v>2009</v>
      </c>
      <c r="R2248">
        <v>1600</v>
      </c>
      <c r="S2248" t="s">
        <v>7251</v>
      </c>
      <c r="T2248">
        <v>16.55</v>
      </c>
      <c r="U2248">
        <v>7701.34</v>
      </c>
      <c r="V2248" t="s">
        <v>6546</v>
      </c>
      <c r="W2248">
        <v>51.08</v>
      </c>
      <c r="X2248">
        <v>51.08</v>
      </c>
      <c r="Y2248">
        <v>32</v>
      </c>
      <c r="Z2248" t="s">
        <v>7253</v>
      </c>
      <c r="AA2248" t="s">
        <v>9177</v>
      </c>
      <c r="AC2248" t="s">
        <v>8747</v>
      </c>
      <c r="AE2248" t="s">
        <v>9179</v>
      </c>
      <c r="AF2248" t="s">
        <v>8756</v>
      </c>
      <c r="AH2248" t="s">
        <v>8757</v>
      </c>
      <c r="AI2248" t="s">
        <v>8747</v>
      </c>
      <c r="AO2248" t="s">
        <v>20411</v>
      </c>
    </row>
    <row r="2249" spans="1:41" hidden="1" x14ac:dyDescent="0.35">
      <c r="A2249" t="s">
        <v>20974</v>
      </c>
      <c r="B2249" t="s">
        <v>7246</v>
      </c>
      <c r="C2249" t="s">
        <v>420</v>
      </c>
      <c r="D2249" t="s">
        <v>420</v>
      </c>
      <c r="E2249" t="s">
        <v>420</v>
      </c>
      <c r="G2249" s="13" t="s">
        <v>20971</v>
      </c>
      <c r="H2249" t="s">
        <v>20972</v>
      </c>
      <c r="I2249" t="s">
        <v>20975</v>
      </c>
      <c r="K2249" t="s">
        <v>9219</v>
      </c>
      <c r="L2249" t="s">
        <v>9155</v>
      </c>
      <c r="M2249" t="s">
        <v>7250</v>
      </c>
      <c r="N2249">
        <v>2009</v>
      </c>
      <c r="R2249">
        <v>3200</v>
      </c>
      <c r="S2249" t="s">
        <v>7251</v>
      </c>
      <c r="T2249">
        <v>33.1</v>
      </c>
      <c r="U2249">
        <v>15402.67</v>
      </c>
      <c r="V2249" t="s">
        <v>6546</v>
      </c>
      <c r="W2249">
        <v>51.08</v>
      </c>
      <c r="X2249">
        <v>51.08</v>
      </c>
      <c r="Y2249">
        <v>34</v>
      </c>
      <c r="Z2249" t="s">
        <v>7253</v>
      </c>
      <c r="AA2249" t="s">
        <v>9177</v>
      </c>
      <c r="AC2249" t="s">
        <v>8747</v>
      </c>
      <c r="AE2249" t="s">
        <v>9179</v>
      </c>
      <c r="AF2249" t="s">
        <v>8756</v>
      </c>
      <c r="AH2249" t="s">
        <v>8757</v>
      </c>
      <c r="AI2249" t="s">
        <v>8747</v>
      </c>
      <c r="AO2249" t="s">
        <v>20976</v>
      </c>
    </row>
    <row r="2250" spans="1:41" hidden="1" x14ac:dyDescent="0.35">
      <c r="A2250" t="s">
        <v>20977</v>
      </c>
      <c r="B2250" t="s">
        <v>7246</v>
      </c>
      <c r="C2250" t="s">
        <v>423</v>
      </c>
      <c r="D2250" t="s">
        <v>423</v>
      </c>
      <c r="E2250" t="s">
        <v>423</v>
      </c>
      <c r="G2250" s="13" t="s">
        <v>20978</v>
      </c>
      <c r="H2250" t="s">
        <v>20979</v>
      </c>
      <c r="K2250" t="s">
        <v>9848</v>
      </c>
      <c r="L2250" t="s">
        <v>9848</v>
      </c>
      <c r="M2250" t="s">
        <v>7292</v>
      </c>
      <c r="T2250" t="s">
        <v>6546</v>
      </c>
      <c r="U2250" t="s">
        <v>6546</v>
      </c>
      <c r="V2250" t="s">
        <v>6546</v>
      </c>
      <c r="W2250">
        <v>37.1</v>
      </c>
      <c r="X2250">
        <v>37.1</v>
      </c>
      <c r="AB2250" t="s">
        <v>20961</v>
      </c>
      <c r="AC2250" t="s">
        <v>8844</v>
      </c>
      <c r="AE2250" t="s">
        <v>20954</v>
      </c>
      <c r="AF2250" t="s">
        <v>20980</v>
      </c>
      <c r="AH2250" t="s">
        <v>20954</v>
      </c>
      <c r="AI2250" t="s">
        <v>8844</v>
      </c>
      <c r="AL2250" t="s">
        <v>20981</v>
      </c>
      <c r="AO2250" t="s">
        <v>20982</v>
      </c>
    </row>
    <row r="2251" spans="1:41" hidden="1" x14ac:dyDescent="0.35">
      <c r="A2251" t="s">
        <v>20983</v>
      </c>
      <c r="B2251" t="s">
        <v>7246</v>
      </c>
      <c r="C2251" t="s">
        <v>5205</v>
      </c>
      <c r="D2251" t="s">
        <v>5205</v>
      </c>
      <c r="E2251" t="s">
        <v>5205</v>
      </c>
      <c r="G2251" s="13" t="s">
        <v>20984</v>
      </c>
      <c r="H2251" t="s">
        <v>20985</v>
      </c>
      <c r="K2251" t="s">
        <v>17113</v>
      </c>
      <c r="L2251" t="s">
        <v>17107</v>
      </c>
      <c r="M2251" t="s">
        <v>7250</v>
      </c>
      <c r="T2251" t="s">
        <v>6546</v>
      </c>
      <c r="U2251" t="s">
        <v>6546</v>
      </c>
      <c r="V2251">
        <v>62.38</v>
      </c>
      <c r="W2251">
        <v>56.09</v>
      </c>
      <c r="X2251">
        <v>62.38</v>
      </c>
      <c r="Y2251">
        <v>16</v>
      </c>
      <c r="Z2251" t="s">
        <v>7253</v>
      </c>
      <c r="AB2251" t="s">
        <v>20986</v>
      </c>
      <c r="AC2251" t="s">
        <v>8859</v>
      </c>
      <c r="AD2251" t="s">
        <v>20987</v>
      </c>
      <c r="AE2251" t="s">
        <v>3539</v>
      </c>
      <c r="AF2251" t="s">
        <v>2808</v>
      </c>
      <c r="AH2251" t="s">
        <v>3539</v>
      </c>
      <c r="AI2251" t="s">
        <v>8859</v>
      </c>
      <c r="AO2251" t="s">
        <v>20988</v>
      </c>
    </row>
    <row r="2252" spans="1:41" hidden="1" x14ac:dyDescent="0.35">
      <c r="A2252" t="s">
        <v>20989</v>
      </c>
      <c r="B2252" t="s">
        <v>7246</v>
      </c>
      <c r="C2252" t="s">
        <v>5205</v>
      </c>
      <c r="D2252" t="s">
        <v>5205</v>
      </c>
      <c r="E2252" t="s">
        <v>5205</v>
      </c>
      <c r="G2252" s="13" t="s">
        <v>20990</v>
      </c>
      <c r="H2252" t="s">
        <v>20991</v>
      </c>
      <c r="K2252" t="s">
        <v>17113</v>
      </c>
      <c r="L2252" t="s">
        <v>17107</v>
      </c>
      <c r="M2252" t="s">
        <v>7250</v>
      </c>
      <c r="T2252" t="s">
        <v>6546</v>
      </c>
      <c r="U2252" t="s">
        <v>6546</v>
      </c>
      <c r="V2252">
        <v>65.47</v>
      </c>
      <c r="W2252">
        <v>60.35</v>
      </c>
      <c r="X2252">
        <v>65.47</v>
      </c>
      <c r="Y2252">
        <v>24</v>
      </c>
      <c r="Z2252" t="s">
        <v>7253</v>
      </c>
      <c r="AB2252" t="s">
        <v>20986</v>
      </c>
      <c r="AC2252" t="s">
        <v>8859</v>
      </c>
      <c r="AD2252" t="s">
        <v>20987</v>
      </c>
      <c r="AE2252" t="s">
        <v>3539</v>
      </c>
      <c r="AF2252" t="s">
        <v>2808</v>
      </c>
      <c r="AH2252" t="s">
        <v>3539</v>
      </c>
      <c r="AI2252" t="s">
        <v>8859</v>
      </c>
      <c r="AO2252" t="s">
        <v>20992</v>
      </c>
    </row>
    <row r="2253" spans="1:41" hidden="1" x14ac:dyDescent="0.35">
      <c r="A2253" t="s">
        <v>20993</v>
      </c>
      <c r="B2253" t="s">
        <v>7246</v>
      </c>
      <c r="C2253" t="s">
        <v>5205</v>
      </c>
      <c r="D2253" t="s">
        <v>5205</v>
      </c>
      <c r="E2253" t="s">
        <v>5205</v>
      </c>
      <c r="G2253" s="13" t="s">
        <v>20994</v>
      </c>
      <c r="H2253" t="s">
        <v>20995</v>
      </c>
      <c r="K2253" t="s">
        <v>17113</v>
      </c>
      <c r="L2253" t="s">
        <v>17107</v>
      </c>
      <c r="M2253" t="s">
        <v>7250</v>
      </c>
      <c r="T2253" t="s">
        <v>6546</v>
      </c>
      <c r="U2253" t="s">
        <v>6546</v>
      </c>
      <c r="V2253">
        <v>54.27</v>
      </c>
      <c r="W2253">
        <v>54.18</v>
      </c>
      <c r="X2253">
        <v>54.27</v>
      </c>
      <c r="Y2253">
        <v>8</v>
      </c>
      <c r="Z2253" t="s">
        <v>7253</v>
      </c>
      <c r="AB2253" t="s">
        <v>20996</v>
      </c>
      <c r="AC2253" t="s">
        <v>8859</v>
      </c>
      <c r="AE2253" t="s">
        <v>3539</v>
      </c>
      <c r="AF2253" t="s">
        <v>20997</v>
      </c>
      <c r="AH2253" t="s">
        <v>3539</v>
      </c>
      <c r="AI2253" t="s">
        <v>8859</v>
      </c>
      <c r="AO2253" t="s">
        <v>20998</v>
      </c>
    </row>
    <row r="2254" spans="1:41" hidden="1" x14ac:dyDescent="0.35">
      <c r="A2254" t="s">
        <v>20999</v>
      </c>
      <c r="B2254" t="s">
        <v>7246</v>
      </c>
      <c r="C2254" t="s">
        <v>5613</v>
      </c>
      <c r="D2254" t="s">
        <v>5613</v>
      </c>
      <c r="E2254" t="s">
        <v>5613</v>
      </c>
      <c r="G2254" s="13" t="s">
        <v>21000</v>
      </c>
      <c r="H2254" t="s">
        <v>21001</v>
      </c>
      <c r="K2254" t="s">
        <v>11729</v>
      </c>
      <c r="L2254" t="s">
        <v>11729</v>
      </c>
      <c r="M2254" t="s">
        <v>7250</v>
      </c>
      <c r="T2254" t="s">
        <v>6546</v>
      </c>
      <c r="U2254" t="s">
        <v>6546</v>
      </c>
      <c r="V2254" t="s">
        <v>6546</v>
      </c>
      <c r="W2254">
        <v>94.03</v>
      </c>
      <c r="X2254">
        <v>94.03</v>
      </c>
      <c r="AB2254" t="s">
        <v>15461</v>
      </c>
      <c r="AC2254" t="s">
        <v>8777</v>
      </c>
      <c r="AF2254" t="s">
        <v>15493</v>
      </c>
      <c r="AI2254" t="s">
        <v>8777</v>
      </c>
      <c r="AO2254" t="s">
        <v>21002</v>
      </c>
    </row>
    <row r="2255" spans="1:41" hidden="1" x14ac:dyDescent="0.35">
      <c r="A2255" t="s">
        <v>21003</v>
      </c>
      <c r="B2255" t="s">
        <v>7246</v>
      </c>
      <c r="C2255" t="s">
        <v>5205</v>
      </c>
      <c r="D2255" t="s">
        <v>5205</v>
      </c>
      <c r="E2255" t="s">
        <v>5205</v>
      </c>
      <c r="G2255" s="13" t="s">
        <v>21004</v>
      </c>
      <c r="H2255" t="s">
        <v>21005</v>
      </c>
      <c r="K2255" t="s">
        <v>17113</v>
      </c>
      <c r="L2255" t="s">
        <v>17107</v>
      </c>
      <c r="M2255" t="s">
        <v>7250</v>
      </c>
      <c r="T2255" t="s">
        <v>6546</v>
      </c>
      <c r="U2255" t="s">
        <v>6546</v>
      </c>
      <c r="V2255">
        <v>153.51</v>
      </c>
      <c r="W2255">
        <v>130.53</v>
      </c>
      <c r="X2255">
        <v>153.51</v>
      </c>
      <c r="Y2255">
        <v>16</v>
      </c>
      <c r="Z2255" t="s">
        <v>7253</v>
      </c>
      <c r="AB2255" t="s">
        <v>21006</v>
      </c>
      <c r="AC2255" t="s">
        <v>8859</v>
      </c>
      <c r="AD2255" t="s">
        <v>21007</v>
      </c>
      <c r="AE2255" t="s">
        <v>3539</v>
      </c>
      <c r="AF2255" t="s">
        <v>21008</v>
      </c>
      <c r="AG2255" t="s">
        <v>21009</v>
      </c>
      <c r="AH2255" t="s">
        <v>3539</v>
      </c>
      <c r="AI2255" t="s">
        <v>8859</v>
      </c>
      <c r="AO2255" t="s">
        <v>21010</v>
      </c>
    </row>
    <row r="2256" spans="1:41" hidden="1" x14ac:dyDescent="0.35">
      <c r="A2256" t="s">
        <v>21011</v>
      </c>
      <c r="B2256" t="s">
        <v>7246</v>
      </c>
      <c r="C2256" t="s">
        <v>5205</v>
      </c>
      <c r="D2256" t="s">
        <v>5205</v>
      </c>
      <c r="E2256" t="s">
        <v>5205</v>
      </c>
      <c r="G2256" s="13" t="s">
        <v>21012</v>
      </c>
      <c r="H2256" t="s">
        <v>21013</v>
      </c>
      <c r="K2256" t="s">
        <v>17113</v>
      </c>
      <c r="L2256" t="s">
        <v>17107</v>
      </c>
      <c r="M2256" t="s">
        <v>7250</v>
      </c>
      <c r="T2256" t="s">
        <v>6546</v>
      </c>
      <c r="U2256" t="s">
        <v>6546</v>
      </c>
      <c r="V2256">
        <v>151.91999999999999</v>
      </c>
      <c r="W2256">
        <v>130.56</v>
      </c>
      <c r="X2256">
        <v>151.91999999999999</v>
      </c>
      <c r="Y2256" t="s">
        <v>21014</v>
      </c>
      <c r="Z2256" t="s">
        <v>7253</v>
      </c>
      <c r="AB2256" t="s">
        <v>21006</v>
      </c>
      <c r="AC2256" t="s">
        <v>8859</v>
      </c>
      <c r="AD2256" t="s">
        <v>21007</v>
      </c>
      <c r="AE2256" t="s">
        <v>3539</v>
      </c>
      <c r="AF2256" t="s">
        <v>21008</v>
      </c>
      <c r="AG2256" t="s">
        <v>21009</v>
      </c>
      <c r="AH2256" t="s">
        <v>3539</v>
      </c>
      <c r="AI2256" t="s">
        <v>8859</v>
      </c>
      <c r="AO2256" t="s">
        <v>21015</v>
      </c>
    </row>
    <row r="2257" spans="1:41" hidden="1" x14ac:dyDescent="0.35">
      <c r="A2257" t="s">
        <v>21016</v>
      </c>
      <c r="B2257" t="s">
        <v>7246</v>
      </c>
      <c r="C2257" t="s">
        <v>5205</v>
      </c>
      <c r="D2257" t="s">
        <v>5205</v>
      </c>
      <c r="E2257" t="s">
        <v>5205</v>
      </c>
      <c r="G2257" s="13" t="s">
        <v>21017</v>
      </c>
      <c r="H2257" t="s">
        <v>21018</v>
      </c>
      <c r="K2257" t="s">
        <v>17113</v>
      </c>
      <c r="L2257" t="s">
        <v>17107</v>
      </c>
      <c r="M2257" t="s">
        <v>7250</v>
      </c>
      <c r="T2257" t="s">
        <v>6546</v>
      </c>
      <c r="U2257" t="s">
        <v>6546</v>
      </c>
      <c r="V2257">
        <v>50.44</v>
      </c>
      <c r="W2257">
        <v>41.48</v>
      </c>
      <c r="X2257">
        <v>50.44</v>
      </c>
      <c r="Y2257">
        <v>16</v>
      </c>
      <c r="Z2257" t="s">
        <v>7253</v>
      </c>
      <c r="AB2257" t="s">
        <v>21019</v>
      </c>
      <c r="AC2257" t="s">
        <v>8859</v>
      </c>
      <c r="AD2257" t="s">
        <v>21020</v>
      </c>
      <c r="AE2257" t="s">
        <v>3539</v>
      </c>
      <c r="AF2257" t="s">
        <v>21021</v>
      </c>
      <c r="AG2257" t="s">
        <v>21020</v>
      </c>
      <c r="AH2257" t="s">
        <v>3539</v>
      </c>
      <c r="AI2257" t="s">
        <v>8859</v>
      </c>
      <c r="AO2257" t="s">
        <v>21022</v>
      </c>
    </row>
    <row r="2258" spans="1:41" hidden="1" x14ac:dyDescent="0.35">
      <c r="A2258" t="s">
        <v>21023</v>
      </c>
      <c r="B2258" t="s">
        <v>7246</v>
      </c>
      <c r="C2258" t="s">
        <v>5205</v>
      </c>
      <c r="D2258" t="s">
        <v>5205</v>
      </c>
      <c r="E2258" t="s">
        <v>5205</v>
      </c>
      <c r="G2258" s="13" t="s">
        <v>21024</v>
      </c>
      <c r="H2258" t="s">
        <v>21025</v>
      </c>
      <c r="K2258" t="s">
        <v>17113</v>
      </c>
      <c r="L2258" t="s">
        <v>17107</v>
      </c>
      <c r="M2258" t="s">
        <v>7250</v>
      </c>
      <c r="T2258" t="s">
        <v>6546</v>
      </c>
      <c r="U2258" t="s">
        <v>6546</v>
      </c>
      <c r="V2258">
        <v>85.2</v>
      </c>
      <c r="W2258">
        <v>77.25</v>
      </c>
      <c r="X2258">
        <v>85.2</v>
      </c>
      <c r="Y2258">
        <v>8</v>
      </c>
      <c r="Z2258" t="s">
        <v>7253</v>
      </c>
      <c r="AB2258" t="s">
        <v>21021</v>
      </c>
      <c r="AC2258" t="s">
        <v>8859</v>
      </c>
      <c r="AD2258" t="s">
        <v>21020</v>
      </c>
      <c r="AE2258" t="s">
        <v>3539</v>
      </c>
      <c r="AF2258" t="s">
        <v>21026</v>
      </c>
      <c r="AG2258" t="s">
        <v>21027</v>
      </c>
      <c r="AH2258" t="s">
        <v>3539</v>
      </c>
      <c r="AI2258" t="s">
        <v>8859</v>
      </c>
      <c r="AO2258" t="s">
        <v>21028</v>
      </c>
    </row>
    <row r="2259" spans="1:41" hidden="1" x14ac:dyDescent="0.35">
      <c r="A2259" t="s">
        <v>21029</v>
      </c>
      <c r="B2259" t="s">
        <v>7246</v>
      </c>
      <c r="C2259" t="s">
        <v>5205</v>
      </c>
      <c r="D2259" t="s">
        <v>5205</v>
      </c>
      <c r="E2259" t="s">
        <v>5205</v>
      </c>
      <c r="G2259" s="13" t="s">
        <v>21030</v>
      </c>
      <c r="H2259" t="s">
        <v>21031</v>
      </c>
      <c r="K2259" t="s">
        <v>17113</v>
      </c>
      <c r="L2259" t="s">
        <v>17107</v>
      </c>
      <c r="M2259" t="s">
        <v>7250</v>
      </c>
      <c r="T2259" t="s">
        <v>6546</v>
      </c>
      <c r="U2259" t="s">
        <v>6546</v>
      </c>
      <c r="V2259">
        <v>57.25</v>
      </c>
      <c r="W2259">
        <v>49.85</v>
      </c>
      <c r="X2259">
        <v>57.25</v>
      </c>
      <c r="Y2259">
        <v>12</v>
      </c>
      <c r="Z2259" t="s">
        <v>7253</v>
      </c>
      <c r="AB2259" t="s">
        <v>21032</v>
      </c>
      <c r="AC2259" t="s">
        <v>8859</v>
      </c>
      <c r="AE2259" t="s">
        <v>21033</v>
      </c>
      <c r="AF2259" t="s">
        <v>21034</v>
      </c>
      <c r="AG2259" t="s">
        <v>21009</v>
      </c>
      <c r="AH2259" t="s">
        <v>3539</v>
      </c>
      <c r="AI2259" t="s">
        <v>8859</v>
      </c>
      <c r="AO2259" t="s">
        <v>21035</v>
      </c>
    </row>
    <row r="2260" spans="1:41" hidden="1" x14ac:dyDescent="0.35">
      <c r="A2260" t="s">
        <v>21036</v>
      </c>
      <c r="B2260" t="s">
        <v>7246</v>
      </c>
      <c r="C2260" t="s">
        <v>423</v>
      </c>
      <c r="D2260" t="s">
        <v>423</v>
      </c>
      <c r="E2260" t="s">
        <v>423</v>
      </c>
      <c r="G2260" s="13" t="s">
        <v>21037</v>
      </c>
      <c r="H2260" t="s">
        <v>21038</v>
      </c>
      <c r="K2260" t="s">
        <v>9848</v>
      </c>
      <c r="L2260" t="s">
        <v>9848</v>
      </c>
      <c r="M2260" t="s">
        <v>7292</v>
      </c>
      <c r="T2260" t="s">
        <v>6546</v>
      </c>
      <c r="U2260" t="s">
        <v>6546</v>
      </c>
      <c r="V2260" t="s">
        <v>6546</v>
      </c>
      <c r="W2260">
        <v>49.16</v>
      </c>
      <c r="X2260">
        <v>49.16</v>
      </c>
      <c r="AB2260" t="s">
        <v>21039</v>
      </c>
      <c r="AC2260" t="s">
        <v>8844</v>
      </c>
      <c r="AE2260" t="s">
        <v>20954</v>
      </c>
      <c r="AF2260" t="s">
        <v>21040</v>
      </c>
      <c r="AH2260" t="s">
        <v>20954</v>
      </c>
      <c r="AI2260" t="s">
        <v>8844</v>
      </c>
      <c r="AL2260" t="s">
        <v>21041</v>
      </c>
      <c r="AO2260" t="s">
        <v>21042</v>
      </c>
    </row>
    <row r="2261" spans="1:41" hidden="1" x14ac:dyDescent="0.35">
      <c r="A2261" t="s">
        <v>21043</v>
      </c>
      <c r="B2261" t="s">
        <v>7246</v>
      </c>
      <c r="C2261" t="s">
        <v>423</v>
      </c>
      <c r="D2261" t="s">
        <v>423</v>
      </c>
      <c r="E2261" t="s">
        <v>423</v>
      </c>
      <c r="G2261" s="13" t="s">
        <v>21044</v>
      </c>
      <c r="H2261" t="s">
        <v>21045</v>
      </c>
      <c r="K2261" t="s">
        <v>9848</v>
      </c>
      <c r="L2261" t="s">
        <v>9848</v>
      </c>
      <c r="M2261" t="s">
        <v>7292</v>
      </c>
      <c r="T2261" t="s">
        <v>6546</v>
      </c>
      <c r="U2261" t="s">
        <v>6546</v>
      </c>
      <c r="V2261" t="s">
        <v>6546</v>
      </c>
      <c r="W2261">
        <v>29.86</v>
      </c>
      <c r="X2261">
        <v>29.86</v>
      </c>
      <c r="AB2261" t="s">
        <v>21040</v>
      </c>
      <c r="AC2261" t="s">
        <v>8844</v>
      </c>
      <c r="AE2261" t="s">
        <v>20954</v>
      </c>
      <c r="AF2261" t="s">
        <v>21046</v>
      </c>
      <c r="AH2261" t="s">
        <v>20954</v>
      </c>
      <c r="AI2261" t="s">
        <v>8844</v>
      </c>
      <c r="AL2261" t="s">
        <v>21047</v>
      </c>
      <c r="AO2261" t="s">
        <v>21048</v>
      </c>
    </row>
    <row r="2262" spans="1:41" hidden="1" x14ac:dyDescent="0.35">
      <c r="A2262" t="s">
        <v>21049</v>
      </c>
      <c r="B2262" t="s">
        <v>7246</v>
      </c>
      <c r="C2262" t="s">
        <v>5613</v>
      </c>
      <c r="D2262" t="s">
        <v>5613</v>
      </c>
      <c r="E2262" t="s">
        <v>5613</v>
      </c>
      <c r="G2262" s="13" t="s">
        <v>21050</v>
      </c>
      <c r="H2262" t="s">
        <v>21051</v>
      </c>
      <c r="K2262" t="s">
        <v>15240</v>
      </c>
      <c r="L2262" t="s">
        <v>15241</v>
      </c>
      <c r="M2262" t="s">
        <v>7250</v>
      </c>
      <c r="T2262" t="s">
        <v>6546</v>
      </c>
      <c r="U2262" t="s">
        <v>6546</v>
      </c>
      <c r="V2262" t="s">
        <v>6546</v>
      </c>
      <c r="W2262">
        <v>288.20999999999998</v>
      </c>
      <c r="X2262">
        <v>288.20999999999998</v>
      </c>
      <c r="AB2262" t="s">
        <v>15363</v>
      </c>
      <c r="AC2262" t="s">
        <v>8777</v>
      </c>
      <c r="AF2262" t="s">
        <v>15243</v>
      </c>
      <c r="AI2262" t="s">
        <v>8777</v>
      </c>
      <c r="AO2262" t="s">
        <v>21052</v>
      </c>
    </row>
    <row r="2263" spans="1:41" hidden="1" x14ac:dyDescent="0.35">
      <c r="A2263" t="s">
        <v>21053</v>
      </c>
      <c r="B2263" t="s">
        <v>7246</v>
      </c>
      <c r="C2263" t="s">
        <v>5613</v>
      </c>
      <c r="D2263" t="s">
        <v>5613</v>
      </c>
      <c r="E2263" t="s">
        <v>5613</v>
      </c>
      <c r="G2263" s="13" t="s">
        <v>21054</v>
      </c>
      <c r="H2263" t="s">
        <v>21055</v>
      </c>
      <c r="K2263" t="s">
        <v>15240</v>
      </c>
      <c r="L2263" t="s">
        <v>15241</v>
      </c>
      <c r="M2263" t="s">
        <v>7250</v>
      </c>
      <c r="T2263" t="s">
        <v>6546</v>
      </c>
      <c r="U2263" t="s">
        <v>6546</v>
      </c>
      <c r="V2263" t="s">
        <v>6546</v>
      </c>
      <c r="W2263">
        <v>269.20999999999998</v>
      </c>
      <c r="X2263">
        <v>269.20999999999998</v>
      </c>
      <c r="AB2263" t="s">
        <v>21056</v>
      </c>
      <c r="AC2263" t="s">
        <v>8777</v>
      </c>
      <c r="AF2263" t="s">
        <v>21057</v>
      </c>
      <c r="AI2263" t="s">
        <v>8777</v>
      </c>
      <c r="AO2263" t="s">
        <v>21058</v>
      </c>
    </row>
    <row r="2264" spans="1:41" hidden="1" x14ac:dyDescent="0.35">
      <c r="A2264" t="s">
        <v>21059</v>
      </c>
      <c r="B2264" t="s">
        <v>7246</v>
      </c>
      <c r="C2264" t="s">
        <v>5205</v>
      </c>
      <c r="D2264" t="s">
        <v>5205</v>
      </c>
      <c r="E2264" t="s">
        <v>5205</v>
      </c>
      <c r="G2264" s="13" t="s">
        <v>21060</v>
      </c>
      <c r="H2264" t="s">
        <v>21061</v>
      </c>
      <c r="K2264" t="s">
        <v>17113</v>
      </c>
      <c r="L2264" t="s">
        <v>17107</v>
      </c>
      <c r="M2264" t="s">
        <v>7250</v>
      </c>
      <c r="T2264" t="s">
        <v>6546</v>
      </c>
      <c r="U2264" t="s">
        <v>6546</v>
      </c>
      <c r="V2264">
        <v>50.41</v>
      </c>
      <c r="W2264">
        <v>72.56</v>
      </c>
      <c r="X2264">
        <v>50.41</v>
      </c>
      <c r="Y2264">
        <v>10</v>
      </c>
      <c r="Z2264" t="s">
        <v>7253</v>
      </c>
      <c r="AB2264" t="s">
        <v>21008</v>
      </c>
      <c r="AC2264" t="s">
        <v>8859</v>
      </c>
      <c r="AD2264" t="s">
        <v>21009</v>
      </c>
      <c r="AE2264" t="s">
        <v>3539</v>
      </c>
      <c r="AF2264" t="s">
        <v>5203</v>
      </c>
      <c r="AH2264" t="s">
        <v>5204</v>
      </c>
      <c r="AI2264" t="s">
        <v>8859</v>
      </c>
      <c r="AO2264" t="s">
        <v>21062</v>
      </c>
    </row>
    <row r="2265" spans="1:41" hidden="1" x14ac:dyDescent="0.35">
      <c r="A2265" t="s">
        <v>21063</v>
      </c>
      <c r="B2265" t="s">
        <v>7246</v>
      </c>
      <c r="C2265" t="s">
        <v>423</v>
      </c>
      <c r="D2265" t="s">
        <v>423</v>
      </c>
      <c r="E2265" t="s">
        <v>423</v>
      </c>
      <c r="G2265" s="13" t="s">
        <v>21064</v>
      </c>
      <c r="H2265" t="s">
        <v>21065</v>
      </c>
      <c r="K2265" t="s">
        <v>9848</v>
      </c>
      <c r="L2265" t="s">
        <v>9848</v>
      </c>
      <c r="M2265" t="s">
        <v>7292</v>
      </c>
      <c r="T2265" t="s">
        <v>6546</v>
      </c>
      <c r="U2265" t="s">
        <v>6546</v>
      </c>
      <c r="V2265" t="s">
        <v>6546</v>
      </c>
      <c r="W2265">
        <v>65.489999999999995</v>
      </c>
      <c r="X2265">
        <v>65.489999999999995</v>
      </c>
      <c r="AB2265" t="s">
        <v>21066</v>
      </c>
      <c r="AC2265" t="s">
        <v>8844</v>
      </c>
      <c r="AE2265" t="s">
        <v>20954</v>
      </c>
      <c r="AF2265" t="s">
        <v>21067</v>
      </c>
      <c r="AH2265" t="s">
        <v>20954</v>
      </c>
      <c r="AI2265" t="s">
        <v>8844</v>
      </c>
      <c r="AL2265" t="s">
        <v>21068</v>
      </c>
      <c r="AO2265" t="s">
        <v>21069</v>
      </c>
    </row>
    <row r="2266" spans="1:41" hidden="1" x14ac:dyDescent="0.35">
      <c r="A2266" t="s">
        <v>21070</v>
      </c>
      <c r="B2266" t="s">
        <v>7246</v>
      </c>
      <c r="C2266" t="s">
        <v>423</v>
      </c>
      <c r="D2266" t="s">
        <v>423</v>
      </c>
      <c r="E2266" t="s">
        <v>423</v>
      </c>
      <c r="G2266" s="13" t="s">
        <v>21071</v>
      </c>
      <c r="H2266" t="s">
        <v>21072</v>
      </c>
      <c r="K2266" t="s">
        <v>9848</v>
      </c>
      <c r="L2266" t="s">
        <v>9848</v>
      </c>
      <c r="M2266" t="s">
        <v>7292</v>
      </c>
      <c r="T2266" t="s">
        <v>6546</v>
      </c>
      <c r="U2266" t="s">
        <v>6546</v>
      </c>
      <c r="V2266" t="s">
        <v>6546</v>
      </c>
      <c r="W2266">
        <v>44.23</v>
      </c>
      <c r="X2266">
        <v>44.23</v>
      </c>
      <c r="AB2266" t="s">
        <v>21073</v>
      </c>
      <c r="AC2266" t="s">
        <v>8844</v>
      </c>
      <c r="AE2266" t="s">
        <v>20954</v>
      </c>
      <c r="AF2266" t="s">
        <v>21074</v>
      </c>
      <c r="AH2266" t="s">
        <v>9996</v>
      </c>
      <c r="AI2266" t="s">
        <v>8844</v>
      </c>
      <c r="AL2266" t="s">
        <v>21075</v>
      </c>
      <c r="AO2266" t="s">
        <v>21076</v>
      </c>
    </row>
    <row r="2267" spans="1:41" hidden="1" x14ac:dyDescent="0.35">
      <c r="A2267" t="s">
        <v>21077</v>
      </c>
      <c r="B2267" t="s">
        <v>7246</v>
      </c>
      <c r="C2267" t="s">
        <v>5205</v>
      </c>
      <c r="D2267" t="s">
        <v>5205</v>
      </c>
      <c r="E2267" t="s">
        <v>5205</v>
      </c>
      <c r="G2267" s="13" t="s">
        <v>21078</v>
      </c>
      <c r="H2267" t="s">
        <v>21079</v>
      </c>
      <c r="K2267" t="s">
        <v>17113</v>
      </c>
      <c r="L2267" t="s">
        <v>17107</v>
      </c>
      <c r="M2267" t="s">
        <v>7250</v>
      </c>
      <c r="T2267" t="s">
        <v>6546</v>
      </c>
      <c r="U2267" t="s">
        <v>6546</v>
      </c>
      <c r="V2267">
        <v>52.6</v>
      </c>
      <c r="W2267">
        <v>68.849999999999994</v>
      </c>
      <c r="X2267">
        <v>52.6</v>
      </c>
      <c r="Y2267">
        <v>16</v>
      </c>
      <c r="Z2267" t="s">
        <v>7253</v>
      </c>
      <c r="AB2267" t="s">
        <v>21008</v>
      </c>
      <c r="AC2267" t="s">
        <v>8859</v>
      </c>
      <c r="AD2267" t="s">
        <v>21009</v>
      </c>
      <c r="AE2267" t="s">
        <v>3539</v>
      </c>
      <c r="AF2267" t="s">
        <v>5203</v>
      </c>
      <c r="AH2267" t="s">
        <v>5204</v>
      </c>
      <c r="AI2267" t="s">
        <v>8859</v>
      </c>
      <c r="AO2267" t="s">
        <v>21080</v>
      </c>
    </row>
    <row r="2268" spans="1:41" hidden="1" x14ac:dyDescent="0.35">
      <c r="A2268" t="s">
        <v>21081</v>
      </c>
      <c r="B2268" t="s">
        <v>7246</v>
      </c>
      <c r="C2268" t="s">
        <v>5205</v>
      </c>
      <c r="D2268" t="s">
        <v>5205</v>
      </c>
      <c r="E2268" t="s">
        <v>5205</v>
      </c>
      <c r="G2268" s="13" t="s">
        <v>21082</v>
      </c>
      <c r="H2268" t="s">
        <v>21083</v>
      </c>
      <c r="K2268" t="s">
        <v>17113</v>
      </c>
      <c r="L2268" t="s">
        <v>17107</v>
      </c>
      <c r="M2268" t="s">
        <v>7250</v>
      </c>
      <c r="T2268" t="s">
        <v>6546</v>
      </c>
      <c r="U2268" t="s">
        <v>6546</v>
      </c>
      <c r="V2268">
        <v>83.85</v>
      </c>
      <c r="W2268">
        <v>86.57</v>
      </c>
      <c r="X2268">
        <v>83.85</v>
      </c>
      <c r="Y2268">
        <v>12</v>
      </c>
      <c r="Z2268" t="s">
        <v>7253</v>
      </c>
      <c r="AB2268" t="s">
        <v>20707</v>
      </c>
      <c r="AC2268" t="s">
        <v>8859</v>
      </c>
      <c r="AD2268" t="s">
        <v>20742</v>
      </c>
      <c r="AE2268" t="s">
        <v>3539</v>
      </c>
      <c r="AF2268" t="s">
        <v>21084</v>
      </c>
      <c r="AG2268" t="s">
        <v>21085</v>
      </c>
      <c r="AH2268" t="s">
        <v>3539</v>
      </c>
      <c r="AI2268" t="s">
        <v>8859</v>
      </c>
      <c r="AO2268" t="s">
        <v>21086</v>
      </c>
    </row>
    <row r="2269" spans="1:41" hidden="1" x14ac:dyDescent="0.35">
      <c r="A2269" t="s">
        <v>21087</v>
      </c>
      <c r="B2269" t="s">
        <v>7246</v>
      </c>
      <c r="C2269" t="s">
        <v>5205</v>
      </c>
      <c r="D2269" t="s">
        <v>5205</v>
      </c>
      <c r="E2269" t="s">
        <v>5205</v>
      </c>
      <c r="G2269" s="13" t="s">
        <v>21088</v>
      </c>
      <c r="H2269" t="s">
        <v>21089</v>
      </c>
      <c r="K2269" t="s">
        <v>17113</v>
      </c>
      <c r="L2269" t="s">
        <v>17107</v>
      </c>
      <c r="M2269" t="s">
        <v>7250</v>
      </c>
      <c r="T2269" t="s">
        <v>6546</v>
      </c>
      <c r="U2269" t="s">
        <v>6546</v>
      </c>
      <c r="V2269">
        <v>70.53</v>
      </c>
      <c r="W2269">
        <v>45.58</v>
      </c>
      <c r="X2269">
        <v>70.53</v>
      </c>
      <c r="Y2269">
        <v>8</v>
      </c>
      <c r="Z2269" t="s">
        <v>7253</v>
      </c>
      <c r="AB2269" t="s">
        <v>10562</v>
      </c>
      <c r="AC2269" t="s">
        <v>8859</v>
      </c>
      <c r="AE2269" t="s">
        <v>5204</v>
      </c>
      <c r="AF2269" t="s">
        <v>21090</v>
      </c>
      <c r="AH2269" t="s">
        <v>5204</v>
      </c>
      <c r="AI2269" t="s">
        <v>8859</v>
      </c>
      <c r="AO2269" t="s">
        <v>21091</v>
      </c>
    </row>
    <row r="2270" spans="1:41" hidden="1" x14ac:dyDescent="0.35">
      <c r="A2270" t="s">
        <v>21092</v>
      </c>
      <c r="B2270" t="s">
        <v>7246</v>
      </c>
      <c r="C2270" t="s">
        <v>5205</v>
      </c>
      <c r="D2270" t="s">
        <v>5205</v>
      </c>
      <c r="E2270" t="s">
        <v>5205</v>
      </c>
      <c r="G2270" s="13" t="s">
        <v>21093</v>
      </c>
      <c r="H2270" t="s">
        <v>21094</v>
      </c>
      <c r="K2270" t="s">
        <v>17113</v>
      </c>
      <c r="L2270" t="s">
        <v>17107</v>
      </c>
      <c r="M2270" t="s">
        <v>7250</v>
      </c>
      <c r="T2270" t="s">
        <v>6546</v>
      </c>
      <c r="U2270" t="s">
        <v>6546</v>
      </c>
      <c r="V2270">
        <v>85.52</v>
      </c>
      <c r="W2270">
        <v>68.69</v>
      </c>
      <c r="X2270">
        <v>85.52</v>
      </c>
      <c r="Y2270">
        <v>24</v>
      </c>
      <c r="Z2270" t="s">
        <v>7253</v>
      </c>
      <c r="AB2270" t="s">
        <v>21095</v>
      </c>
      <c r="AC2270" t="s">
        <v>8859</v>
      </c>
      <c r="AE2270" t="s">
        <v>5204</v>
      </c>
      <c r="AF2270" t="s">
        <v>5203</v>
      </c>
      <c r="AH2270" t="s">
        <v>5204</v>
      </c>
      <c r="AI2270" t="s">
        <v>8859</v>
      </c>
      <c r="AO2270" t="s">
        <v>21096</v>
      </c>
    </row>
    <row r="2271" spans="1:41" hidden="1" x14ac:dyDescent="0.35">
      <c r="A2271" t="s">
        <v>21097</v>
      </c>
      <c r="B2271" t="s">
        <v>7246</v>
      </c>
      <c r="C2271" t="s">
        <v>5205</v>
      </c>
      <c r="D2271" t="s">
        <v>5205</v>
      </c>
      <c r="E2271" t="s">
        <v>5205</v>
      </c>
      <c r="G2271" s="13" t="s">
        <v>21098</v>
      </c>
      <c r="H2271" t="s">
        <v>21099</v>
      </c>
      <c r="K2271" t="s">
        <v>17113</v>
      </c>
      <c r="L2271" t="s">
        <v>17107</v>
      </c>
      <c r="M2271" t="s">
        <v>7250</v>
      </c>
      <c r="T2271" t="s">
        <v>6546</v>
      </c>
      <c r="U2271" t="s">
        <v>6546</v>
      </c>
      <c r="V2271">
        <v>84.42</v>
      </c>
      <c r="W2271">
        <v>77.97</v>
      </c>
      <c r="X2271">
        <v>84.42</v>
      </c>
      <c r="Y2271">
        <v>12</v>
      </c>
      <c r="Z2271" t="s">
        <v>7253</v>
      </c>
      <c r="AB2271" t="s">
        <v>21100</v>
      </c>
      <c r="AC2271" t="s">
        <v>8859</v>
      </c>
      <c r="AD2271" t="s">
        <v>21101</v>
      </c>
      <c r="AE2271" t="s">
        <v>5204</v>
      </c>
      <c r="AF2271" t="s">
        <v>21102</v>
      </c>
      <c r="AG2271" t="s">
        <v>21103</v>
      </c>
      <c r="AH2271" t="s">
        <v>5204</v>
      </c>
      <c r="AI2271" t="s">
        <v>8859</v>
      </c>
      <c r="AO2271" t="s">
        <v>21104</v>
      </c>
    </row>
    <row r="2272" spans="1:41" hidden="1" x14ac:dyDescent="0.35">
      <c r="A2272" t="s">
        <v>21105</v>
      </c>
      <c r="B2272" t="s">
        <v>7246</v>
      </c>
      <c r="C2272" t="s">
        <v>5205</v>
      </c>
      <c r="D2272" t="s">
        <v>5205</v>
      </c>
      <c r="E2272" t="s">
        <v>5205</v>
      </c>
      <c r="G2272" s="13" t="s">
        <v>21106</v>
      </c>
      <c r="H2272" t="s">
        <v>21107</v>
      </c>
      <c r="K2272" t="s">
        <v>17113</v>
      </c>
      <c r="L2272" t="s">
        <v>17107</v>
      </c>
      <c r="M2272" t="s">
        <v>7250</v>
      </c>
      <c r="T2272" t="s">
        <v>6546</v>
      </c>
      <c r="U2272" t="s">
        <v>6546</v>
      </c>
      <c r="V2272">
        <v>53.29</v>
      </c>
      <c r="W2272">
        <v>52.2</v>
      </c>
      <c r="X2272">
        <v>53.29</v>
      </c>
      <c r="Y2272">
        <v>8</v>
      </c>
      <c r="Z2272" t="s">
        <v>7253</v>
      </c>
      <c r="AB2272" t="s">
        <v>21102</v>
      </c>
      <c r="AC2272" t="s">
        <v>8859</v>
      </c>
      <c r="AD2272" t="s">
        <v>21103</v>
      </c>
      <c r="AE2272" t="s">
        <v>5204</v>
      </c>
      <c r="AF2272" t="s">
        <v>21108</v>
      </c>
      <c r="AG2272" t="s">
        <v>21103</v>
      </c>
      <c r="AH2272" t="s">
        <v>5204</v>
      </c>
      <c r="AI2272" t="s">
        <v>8859</v>
      </c>
      <c r="AO2272" t="s">
        <v>21109</v>
      </c>
    </row>
    <row r="2273" spans="1:41" hidden="1" x14ac:dyDescent="0.35">
      <c r="A2273" t="s">
        <v>21110</v>
      </c>
      <c r="B2273" t="s">
        <v>7246</v>
      </c>
      <c r="C2273" t="s">
        <v>5205</v>
      </c>
      <c r="D2273" t="s">
        <v>5205</v>
      </c>
      <c r="E2273" t="s">
        <v>5205</v>
      </c>
      <c r="G2273" s="13" t="s">
        <v>21111</v>
      </c>
      <c r="H2273" t="s">
        <v>21112</v>
      </c>
      <c r="K2273" t="s">
        <v>17113</v>
      </c>
      <c r="L2273" t="s">
        <v>17107</v>
      </c>
      <c r="M2273" t="s">
        <v>7250</v>
      </c>
      <c r="T2273" t="s">
        <v>6546</v>
      </c>
      <c r="U2273" t="s">
        <v>6546</v>
      </c>
      <c r="V2273">
        <v>57.99</v>
      </c>
      <c r="W2273">
        <v>54.47</v>
      </c>
      <c r="X2273">
        <v>57.99</v>
      </c>
      <c r="Y2273">
        <v>8</v>
      </c>
      <c r="Z2273" t="s">
        <v>7253</v>
      </c>
      <c r="AB2273" t="s">
        <v>5203</v>
      </c>
      <c r="AC2273" t="s">
        <v>8859</v>
      </c>
      <c r="AE2273" t="s">
        <v>5204</v>
      </c>
      <c r="AF2273" t="s">
        <v>21113</v>
      </c>
      <c r="AG2273" t="s">
        <v>21114</v>
      </c>
      <c r="AH2273" t="s">
        <v>5204</v>
      </c>
      <c r="AI2273" t="s">
        <v>8859</v>
      </c>
      <c r="AO2273" t="s">
        <v>21115</v>
      </c>
    </row>
    <row r="2274" spans="1:41" hidden="1" x14ac:dyDescent="0.35">
      <c r="A2274" t="s">
        <v>21116</v>
      </c>
      <c r="B2274" t="s">
        <v>7246</v>
      </c>
      <c r="C2274" t="s">
        <v>5205</v>
      </c>
      <c r="D2274" t="s">
        <v>5205</v>
      </c>
      <c r="E2274" t="s">
        <v>5205</v>
      </c>
      <c r="G2274" s="13" t="s">
        <v>21117</v>
      </c>
      <c r="H2274" t="s">
        <v>21118</v>
      </c>
      <c r="K2274" t="s">
        <v>17113</v>
      </c>
      <c r="L2274" t="s">
        <v>17107</v>
      </c>
      <c r="M2274" t="s">
        <v>7250</v>
      </c>
      <c r="T2274" t="s">
        <v>6546</v>
      </c>
      <c r="U2274" t="s">
        <v>6546</v>
      </c>
      <c r="V2274">
        <v>56</v>
      </c>
      <c r="W2274">
        <v>39.85</v>
      </c>
      <c r="X2274">
        <v>56</v>
      </c>
      <c r="Y2274">
        <v>12</v>
      </c>
      <c r="Z2274" t="s">
        <v>7253</v>
      </c>
      <c r="AB2274" t="s">
        <v>21119</v>
      </c>
      <c r="AC2274" t="s">
        <v>8859</v>
      </c>
      <c r="AE2274" t="s">
        <v>5204</v>
      </c>
      <c r="AF2274" t="s">
        <v>21120</v>
      </c>
      <c r="AG2274" t="s">
        <v>21121</v>
      </c>
      <c r="AH2274" t="s">
        <v>5204</v>
      </c>
      <c r="AI2274" t="s">
        <v>8859</v>
      </c>
      <c r="AO2274" t="s">
        <v>21122</v>
      </c>
    </row>
    <row r="2275" spans="1:41" hidden="1" x14ac:dyDescent="0.35">
      <c r="A2275" t="s">
        <v>21123</v>
      </c>
      <c r="B2275" t="s">
        <v>7246</v>
      </c>
      <c r="C2275" t="s">
        <v>5205</v>
      </c>
      <c r="D2275" t="s">
        <v>5205</v>
      </c>
      <c r="E2275" t="s">
        <v>5205</v>
      </c>
      <c r="G2275" s="13" t="s">
        <v>21124</v>
      </c>
      <c r="H2275" t="s">
        <v>21125</v>
      </c>
      <c r="K2275" t="s">
        <v>17113</v>
      </c>
      <c r="L2275" t="s">
        <v>17107</v>
      </c>
      <c r="M2275" t="s">
        <v>7250</v>
      </c>
      <c r="T2275" t="s">
        <v>6546</v>
      </c>
      <c r="U2275" t="s">
        <v>6546</v>
      </c>
      <c r="V2275">
        <v>68.06</v>
      </c>
      <c r="W2275">
        <v>56.53</v>
      </c>
      <c r="X2275">
        <v>68.06</v>
      </c>
      <c r="Y2275">
        <v>8</v>
      </c>
      <c r="Z2275" t="s">
        <v>7253</v>
      </c>
      <c r="AB2275" t="s">
        <v>21113</v>
      </c>
      <c r="AC2275" t="s">
        <v>8859</v>
      </c>
      <c r="AD2275" t="s">
        <v>21114</v>
      </c>
      <c r="AE2275" t="s">
        <v>5204</v>
      </c>
      <c r="AF2275" t="s">
        <v>21126</v>
      </c>
      <c r="AH2275" t="s">
        <v>5204</v>
      </c>
      <c r="AI2275" t="s">
        <v>8859</v>
      </c>
      <c r="AO2275" t="s">
        <v>21127</v>
      </c>
    </row>
    <row r="2276" spans="1:41" hidden="1" x14ac:dyDescent="0.35">
      <c r="A2276" t="s">
        <v>21128</v>
      </c>
      <c r="B2276" t="s">
        <v>7246</v>
      </c>
      <c r="C2276" t="s">
        <v>5205</v>
      </c>
      <c r="D2276" t="s">
        <v>5205</v>
      </c>
      <c r="E2276" t="s">
        <v>5205</v>
      </c>
      <c r="G2276" s="13" t="s">
        <v>21129</v>
      </c>
      <c r="H2276" t="s">
        <v>21130</v>
      </c>
      <c r="K2276" t="s">
        <v>17113</v>
      </c>
      <c r="L2276" t="s">
        <v>17107</v>
      </c>
      <c r="M2276" t="s">
        <v>7250</v>
      </c>
      <c r="T2276" t="s">
        <v>6546</v>
      </c>
      <c r="U2276" t="s">
        <v>6546</v>
      </c>
      <c r="V2276">
        <v>78</v>
      </c>
      <c r="W2276">
        <v>68.61</v>
      </c>
      <c r="X2276">
        <v>78</v>
      </c>
      <c r="Y2276">
        <v>10</v>
      </c>
      <c r="Z2276" t="s">
        <v>7253</v>
      </c>
      <c r="AB2276" t="s">
        <v>21131</v>
      </c>
      <c r="AC2276" t="s">
        <v>8859</v>
      </c>
      <c r="AD2276" t="s">
        <v>21101</v>
      </c>
      <c r="AE2276" t="s">
        <v>5204</v>
      </c>
      <c r="AF2276" t="s">
        <v>21095</v>
      </c>
      <c r="AH2276" t="s">
        <v>5204</v>
      </c>
      <c r="AI2276" t="s">
        <v>8859</v>
      </c>
      <c r="AO2276" t="s">
        <v>21132</v>
      </c>
    </row>
    <row r="2277" spans="1:41" hidden="1" x14ac:dyDescent="0.35">
      <c r="A2277" t="s">
        <v>21133</v>
      </c>
      <c r="B2277" t="s">
        <v>7246</v>
      </c>
      <c r="C2277" t="s">
        <v>406</v>
      </c>
      <c r="D2277" t="s">
        <v>406</v>
      </c>
      <c r="E2277" t="s">
        <v>406</v>
      </c>
      <c r="G2277" s="13" t="s">
        <v>18245</v>
      </c>
      <c r="H2277" t="s">
        <v>18246</v>
      </c>
      <c r="I2277" t="s">
        <v>21134</v>
      </c>
      <c r="K2277" t="s">
        <v>21135</v>
      </c>
      <c r="L2277" t="s">
        <v>21136</v>
      </c>
      <c r="M2277" t="s">
        <v>7250</v>
      </c>
      <c r="N2277">
        <v>2016</v>
      </c>
      <c r="R2277">
        <v>1430</v>
      </c>
      <c r="S2277" t="s">
        <v>7251</v>
      </c>
      <c r="T2277">
        <v>14.79</v>
      </c>
      <c r="U2277">
        <v>6883.07</v>
      </c>
      <c r="V2277">
        <v>452</v>
      </c>
      <c r="W2277">
        <v>386.4</v>
      </c>
      <c r="X2277">
        <v>452</v>
      </c>
      <c r="Y2277">
        <v>42</v>
      </c>
      <c r="Z2277" t="s">
        <v>7253</v>
      </c>
      <c r="AB2277" t="s">
        <v>13633</v>
      </c>
      <c r="AC2277" t="s">
        <v>7255</v>
      </c>
      <c r="AE2277" t="s">
        <v>4009</v>
      </c>
      <c r="AF2277" t="s">
        <v>21137</v>
      </c>
      <c r="AH2277" t="s">
        <v>21138</v>
      </c>
      <c r="AI2277" t="s">
        <v>7255</v>
      </c>
      <c r="AL2277" t="s">
        <v>18249</v>
      </c>
      <c r="AM2277" t="s">
        <v>21139</v>
      </c>
      <c r="AN2277" s="13" t="s">
        <v>18245</v>
      </c>
      <c r="AO2277" t="s">
        <v>21140</v>
      </c>
    </row>
    <row r="2278" spans="1:41" hidden="1" x14ac:dyDescent="0.35">
      <c r="A2278" t="s">
        <v>21141</v>
      </c>
      <c r="B2278" t="s">
        <v>7246</v>
      </c>
      <c r="C2278" t="s">
        <v>406</v>
      </c>
      <c r="D2278" t="s">
        <v>406</v>
      </c>
      <c r="E2278" t="s">
        <v>406</v>
      </c>
      <c r="G2278" s="13" t="s">
        <v>18245</v>
      </c>
      <c r="H2278" t="s">
        <v>18246</v>
      </c>
      <c r="I2278" t="s">
        <v>21142</v>
      </c>
      <c r="K2278" t="s">
        <v>21143</v>
      </c>
      <c r="L2278" t="s">
        <v>21143</v>
      </c>
      <c r="M2278" t="s">
        <v>7250</v>
      </c>
      <c r="N2278">
        <v>2016</v>
      </c>
      <c r="R2278">
        <v>1420</v>
      </c>
      <c r="S2278" t="s">
        <v>7251</v>
      </c>
      <c r="T2278">
        <v>14.69</v>
      </c>
      <c r="U2278">
        <v>6834.93</v>
      </c>
      <c r="V2278">
        <v>292</v>
      </c>
      <c r="W2278">
        <v>227.17</v>
      </c>
      <c r="X2278">
        <v>292</v>
      </c>
      <c r="Y2278">
        <v>42</v>
      </c>
      <c r="Z2278" t="s">
        <v>7253</v>
      </c>
      <c r="AB2278" t="s">
        <v>21137</v>
      </c>
      <c r="AC2278" t="s">
        <v>7255</v>
      </c>
      <c r="AE2278" t="s">
        <v>21138</v>
      </c>
      <c r="AF2278" t="s">
        <v>21144</v>
      </c>
      <c r="AH2278" t="s">
        <v>4003</v>
      </c>
      <c r="AI2278" t="s">
        <v>7255</v>
      </c>
      <c r="AL2278" t="s">
        <v>18249</v>
      </c>
      <c r="AM2278" t="s">
        <v>21145</v>
      </c>
      <c r="AN2278" s="13" t="s">
        <v>18245</v>
      </c>
      <c r="AO2278" t="s">
        <v>21146</v>
      </c>
    </row>
    <row r="2279" spans="1:41" hidden="1" x14ac:dyDescent="0.35">
      <c r="A2279" t="s">
        <v>21147</v>
      </c>
      <c r="B2279" t="s">
        <v>7246</v>
      </c>
      <c r="C2279" t="s">
        <v>414</v>
      </c>
      <c r="D2279" t="s">
        <v>414</v>
      </c>
      <c r="E2279" t="s">
        <v>414</v>
      </c>
      <c r="G2279" s="13" t="s">
        <v>18452</v>
      </c>
      <c r="H2279" t="s">
        <v>18453</v>
      </c>
      <c r="I2279" t="s">
        <v>21148</v>
      </c>
      <c r="K2279" t="s">
        <v>9113</v>
      </c>
      <c r="L2279" t="s">
        <v>9113</v>
      </c>
      <c r="M2279" t="s">
        <v>7292</v>
      </c>
      <c r="R2279">
        <v>3.5</v>
      </c>
      <c r="S2279" t="s">
        <v>8257</v>
      </c>
      <c r="T2279">
        <v>3.5</v>
      </c>
      <c r="U2279">
        <v>1628.84</v>
      </c>
      <c r="V2279">
        <v>686</v>
      </c>
      <c r="W2279">
        <v>636.07000000000005</v>
      </c>
      <c r="X2279">
        <v>686</v>
      </c>
      <c r="Y2279" t="s">
        <v>11766</v>
      </c>
      <c r="Z2279" t="s">
        <v>7253</v>
      </c>
      <c r="AA2279" t="s">
        <v>21149</v>
      </c>
      <c r="AB2279" t="s">
        <v>21150</v>
      </c>
      <c r="AC2279" t="s">
        <v>8765</v>
      </c>
      <c r="AE2279" t="s">
        <v>21151</v>
      </c>
      <c r="AF2279" t="s">
        <v>21152</v>
      </c>
      <c r="AI2279" t="s">
        <v>8765</v>
      </c>
      <c r="AO2279" t="s">
        <v>21153</v>
      </c>
    </row>
    <row r="2280" spans="1:41" hidden="1" x14ac:dyDescent="0.35">
      <c r="A2280" t="s">
        <v>21154</v>
      </c>
      <c r="B2280" t="s">
        <v>7246</v>
      </c>
      <c r="C2280" t="s">
        <v>5861</v>
      </c>
      <c r="D2280" t="s">
        <v>5613</v>
      </c>
      <c r="E2280" t="s">
        <v>18232</v>
      </c>
      <c r="G2280" s="13" t="s">
        <v>21155</v>
      </c>
      <c r="H2280" t="s">
        <v>21156</v>
      </c>
      <c r="J2280" t="s">
        <v>21157</v>
      </c>
      <c r="K2280" t="s">
        <v>11653</v>
      </c>
      <c r="L2280" t="s">
        <v>11654</v>
      </c>
      <c r="M2280" t="s">
        <v>7250</v>
      </c>
      <c r="R2280">
        <v>312</v>
      </c>
      <c r="S2280" t="s">
        <v>12003</v>
      </c>
      <c r="T2280">
        <v>11.49</v>
      </c>
      <c r="U2280">
        <v>5345.84</v>
      </c>
      <c r="V2280" t="s">
        <v>6546</v>
      </c>
      <c r="W2280">
        <v>3.97</v>
      </c>
      <c r="X2280">
        <v>3.97</v>
      </c>
      <c r="AB2280" t="s">
        <v>21158</v>
      </c>
      <c r="AC2280" t="s">
        <v>8777</v>
      </c>
      <c r="AF2280" t="s">
        <v>15362</v>
      </c>
      <c r="AI2280" t="s">
        <v>8777</v>
      </c>
      <c r="AO2280" t="s">
        <v>21159</v>
      </c>
    </row>
    <row r="2281" spans="1:41" hidden="1" x14ac:dyDescent="0.35">
      <c r="A2281" t="s">
        <v>21160</v>
      </c>
      <c r="B2281" t="s">
        <v>7246</v>
      </c>
      <c r="C2281" t="s">
        <v>5613</v>
      </c>
      <c r="D2281" t="s">
        <v>5613</v>
      </c>
      <c r="E2281" t="s">
        <v>5613</v>
      </c>
      <c r="G2281" s="13" t="s">
        <v>21161</v>
      </c>
      <c r="H2281" t="s">
        <v>21162</v>
      </c>
      <c r="J2281" t="s">
        <v>21163</v>
      </c>
      <c r="K2281" t="s">
        <v>15240</v>
      </c>
      <c r="L2281" t="s">
        <v>15241</v>
      </c>
      <c r="M2281" t="s">
        <v>7250</v>
      </c>
      <c r="T2281" t="s">
        <v>6546</v>
      </c>
      <c r="U2281" t="s">
        <v>6546</v>
      </c>
      <c r="V2281" t="s">
        <v>6546</v>
      </c>
      <c r="W2281">
        <v>128.63</v>
      </c>
      <c r="X2281">
        <v>128.63</v>
      </c>
      <c r="AB2281" t="s">
        <v>15330</v>
      </c>
      <c r="AC2281" t="s">
        <v>8777</v>
      </c>
      <c r="AF2281" t="s">
        <v>21164</v>
      </c>
      <c r="AI2281" t="s">
        <v>8777</v>
      </c>
      <c r="AO2281" t="s">
        <v>21165</v>
      </c>
    </row>
    <row r="2282" spans="1:41" hidden="1" x14ac:dyDescent="0.35">
      <c r="A2282" t="s">
        <v>21166</v>
      </c>
      <c r="B2282" t="s">
        <v>7246</v>
      </c>
      <c r="C2282" t="s">
        <v>5613</v>
      </c>
      <c r="D2282" t="s">
        <v>437</v>
      </c>
      <c r="E2282" t="s">
        <v>16624</v>
      </c>
      <c r="G2282" s="13" t="s">
        <v>21167</v>
      </c>
      <c r="H2282" t="s">
        <v>21168</v>
      </c>
      <c r="K2282" t="s">
        <v>21169</v>
      </c>
      <c r="L2282" t="s">
        <v>21169</v>
      </c>
      <c r="M2282" t="s">
        <v>7250</v>
      </c>
      <c r="N2282">
        <v>1998</v>
      </c>
      <c r="T2282" t="s">
        <v>6546</v>
      </c>
      <c r="U2282" t="s">
        <v>6546</v>
      </c>
      <c r="V2282" t="s">
        <v>6546</v>
      </c>
      <c r="W2282">
        <v>162.44</v>
      </c>
      <c r="X2282">
        <v>162.44</v>
      </c>
      <c r="AB2282" t="s">
        <v>15970</v>
      </c>
      <c r="AC2282" t="s">
        <v>8777</v>
      </c>
      <c r="AF2282" t="s">
        <v>16628</v>
      </c>
      <c r="AI2282" t="s">
        <v>8777</v>
      </c>
      <c r="AO2282" t="s">
        <v>21170</v>
      </c>
    </row>
    <row r="2283" spans="1:41" hidden="1" x14ac:dyDescent="0.35">
      <c r="A2283" t="s">
        <v>21171</v>
      </c>
      <c r="B2283" t="s">
        <v>7246</v>
      </c>
      <c r="C2283" t="s">
        <v>5613</v>
      </c>
      <c r="D2283" t="s">
        <v>5613</v>
      </c>
      <c r="E2283" t="s">
        <v>5613</v>
      </c>
      <c r="G2283" s="13" t="s">
        <v>21172</v>
      </c>
      <c r="H2283" t="s">
        <v>21173</v>
      </c>
      <c r="K2283" t="s">
        <v>11729</v>
      </c>
      <c r="L2283" t="s">
        <v>11729</v>
      </c>
      <c r="M2283" t="s">
        <v>7250</v>
      </c>
      <c r="T2283" t="s">
        <v>6546</v>
      </c>
      <c r="U2283" t="s">
        <v>6546</v>
      </c>
      <c r="V2283" t="s">
        <v>6546</v>
      </c>
      <c r="W2283">
        <v>134.63999999999999</v>
      </c>
      <c r="X2283">
        <v>134.63999999999999</v>
      </c>
      <c r="AB2283" t="s">
        <v>14937</v>
      </c>
      <c r="AC2283" t="s">
        <v>8777</v>
      </c>
      <c r="AF2283" t="s">
        <v>21174</v>
      </c>
      <c r="AI2283" t="s">
        <v>8777</v>
      </c>
      <c r="AO2283" t="s">
        <v>21175</v>
      </c>
    </row>
    <row r="2284" spans="1:41" hidden="1" x14ac:dyDescent="0.35">
      <c r="A2284" t="s">
        <v>21176</v>
      </c>
      <c r="B2284" t="s">
        <v>7246</v>
      </c>
      <c r="C2284" t="s">
        <v>5613</v>
      </c>
      <c r="D2284" t="s">
        <v>5613</v>
      </c>
      <c r="E2284" t="s">
        <v>5613</v>
      </c>
      <c r="G2284" s="13" t="s">
        <v>21177</v>
      </c>
      <c r="H2284" t="s">
        <v>21178</v>
      </c>
      <c r="K2284" t="s">
        <v>11729</v>
      </c>
      <c r="L2284" t="s">
        <v>11729</v>
      </c>
      <c r="M2284" t="s">
        <v>7250</v>
      </c>
      <c r="T2284" t="s">
        <v>6546</v>
      </c>
      <c r="U2284" t="s">
        <v>6546</v>
      </c>
      <c r="V2284" t="s">
        <v>6546</v>
      </c>
      <c r="W2284">
        <v>75.650000000000006</v>
      </c>
      <c r="X2284">
        <v>75.650000000000006</v>
      </c>
      <c r="AB2284" t="s">
        <v>21179</v>
      </c>
      <c r="AC2284" t="s">
        <v>8777</v>
      </c>
      <c r="AF2284" t="s">
        <v>21180</v>
      </c>
      <c r="AI2284" t="s">
        <v>8777</v>
      </c>
      <c r="AO2284" t="s">
        <v>21181</v>
      </c>
    </row>
    <row r="2285" spans="1:41" hidden="1" x14ac:dyDescent="0.35">
      <c r="A2285" t="s">
        <v>21182</v>
      </c>
      <c r="B2285" t="s">
        <v>7246</v>
      </c>
      <c r="C2285" t="s">
        <v>5613</v>
      </c>
      <c r="D2285" t="s">
        <v>5613</v>
      </c>
      <c r="E2285" t="s">
        <v>5613</v>
      </c>
      <c r="G2285" s="13" t="s">
        <v>21183</v>
      </c>
      <c r="H2285" t="s">
        <v>21184</v>
      </c>
      <c r="K2285" t="s">
        <v>11729</v>
      </c>
      <c r="L2285" t="s">
        <v>11729</v>
      </c>
      <c r="M2285" t="s">
        <v>7250</v>
      </c>
      <c r="T2285" t="s">
        <v>6546</v>
      </c>
      <c r="U2285" t="s">
        <v>6546</v>
      </c>
      <c r="V2285" t="s">
        <v>6546</v>
      </c>
      <c r="W2285">
        <v>167.37</v>
      </c>
      <c r="X2285">
        <v>167.37</v>
      </c>
      <c r="AB2285" t="s">
        <v>15397</v>
      </c>
      <c r="AC2285" t="s">
        <v>8777</v>
      </c>
      <c r="AF2285" t="s">
        <v>21185</v>
      </c>
      <c r="AI2285" t="s">
        <v>8777</v>
      </c>
      <c r="AO2285" t="s">
        <v>21186</v>
      </c>
    </row>
    <row r="2286" spans="1:41" hidden="1" x14ac:dyDescent="0.35">
      <c r="A2286" t="s">
        <v>21187</v>
      </c>
      <c r="B2286" t="s">
        <v>7246</v>
      </c>
      <c r="C2286" t="s">
        <v>5613</v>
      </c>
      <c r="D2286" t="s">
        <v>5613</v>
      </c>
      <c r="E2286" t="s">
        <v>5613</v>
      </c>
      <c r="G2286" s="13" t="s">
        <v>21188</v>
      </c>
      <c r="H2286" t="s">
        <v>21189</v>
      </c>
      <c r="K2286" t="s">
        <v>11729</v>
      </c>
      <c r="L2286" t="s">
        <v>11729</v>
      </c>
      <c r="M2286" t="s">
        <v>7250</v>
      </c>
      <c r="T2286" t="s">
        <v>6546</v>
      </c>
      <c r="U2286" t="s">
        <v>6546</v>
      </c>
      <c r="V2286" t="s">
        <v>6546</v>
      </c>
      <c r="W2286">
        <v>159.29</v>
      </c>
      <c r="X2286">
        <v>159.29</v>
      </c>
      <c r="AB2286" t="s">
        <v>21190</v>
      </c>
      <c r="AC2286" t="s">
        <v>8777</v>
      </c>
      <c r="AF2286" t="s">
        <v>11731</v>
      </c>
      <c r="AI2286" t="s">
        <v>8777</v>
      </c>
      <c r="AO2286" t="s">
        <v>21191</v>
      </c>
    </row>
    <row r="2287" spans="1:41" hidden="1" x14ac:dyDescent="0.35">
      <c r="A2287" t="s">
        <v>21192</v>
      </c>
      <c r="B2287" t="s">
        <v>7246</v>
      </c>
      <c r="C2287" t="s">
        <v>5613</v>
      </c>
      <c r="D2287" t="s">
        <v>437</v>
      </c>
      <c r="E2287" t="s">
        <v>16624</v>
      </c>
      <c r="G2287" s="13" t="s">
        <v>21193</v>
      </c>
      <c r="H2287" t="s">
        <v>21194</v>
      </c>
      <c r="K2287" t="s">
        <v>21169</v>
      </c>
      <c r="L2287" t="s">
        <v>21169</v>
      </c>
      <c r="M2287" t="s">
        <v>7250</v>
      </c>
      <c r="N2287">
        <v>1977</v>
      </c>
      <c r="T2287" t="s">
        <v>6546</v>
      </c>
      <c r="U2287" t="s">
        <v>6546</v>
      </c>
      <c r="V2287" t="s">
        <v>6546</v>
      </c>
      <c r="W2287">
        <v>40.44</v>
      </c>
      <c r="X2287">
        <v>40.44</v>
      </c>
      <c r="AB2287" t="s">
        <v>15205</v>
      </c>
      <c r="AC2287" t="s">
        <v>8777</v>
      </c>
      <c r="AF2287" t="s">
        <v>21195</v>
      </c>
      <c r="AI2287" t="s">
        <v>8777</v>
      </c>
      <c r="AO2287" t="s">
        <v>21196</v>
      </c>
    </row>
    <row r="2288" spans="1:41" hidden="1" x14ac:dyDescent="0.35">
      <c r="A2288" t="s">
        <v>21197</v>
      </c>
      <c r="B2288" t="s">
        <v>7246</v>
      </c>
      <c r="C2288" t="s">
        <v>5613</v>
      </c>
      <c r="D2288" t="s">
        <v>437</v>
      </c>
      <c r="E2288" t="s">
        <v>16624</v>
      </c>
      <c r="G2288" s="13" t="s">
        <v>21198</v>
      </c>
      <c r="H2288" t="s">
        <v>21199</v>
      </c>
      <c r="K2288" t="s">
        <v>21169</v>
      </c>
      <c r="L2288" t="s">
        <v>21169</v>
      </c>
      <c r="M2288" t="s">
        <v>7250</v>
      </c>
      <c r="N2288">
        <v>1989</v>
      </c>
      <c r="T2288" t="s">
        <v>6546</v>
      </c>
      <c r="U2288" t="s">
        <v>6546</v>
      </c>
      <c r="V2288" t="s">
        <v>6546</v>
      </c>
      <c r="W2288">
        <v>73.11</v>
      </c>
      <c r="X2288">
        <v>73.11</v>
      </c>
      <c r="AB2288" t="s">
        <v>15712</v>
      </c>
      <c r="AC2288" t="s">
        <v>8777</v>
      </c>
      <c r="AF2288" t="s">
        <v>21200</v>
      </c>
      <c r="AI2288" t="s">
        <v>8777</v>
      </c>
      <c r="AO2288" t="s">
        <v>21201</v>
      </c>
    </row>
    <row r="2289" spans="1:41" hidden="1" x14ac:dyDescent="0.35">
      <c r="A2289" t="s">
        <v>21202</v>
      </c>
      <c r="B2289" t="s">
        <v>7246</v>
      </c>
      <c r="C2289" t="s">
        <v>351</v>
      </c>
      <c r="D2289" t="s">
        <v>351</v>
      </c>
      <c r="E2289" t="s">
        <v>351</v>
      </c>
      <c r="G2289" s="13" t="s">
        <v>21203</v>
      </c>
      <c r="H2289" t="s">
        <v>21204</v>
      </c>
      <c r="K2289" t="s">
        <v>12871</v>
      </c>
      <c r="L2289" t="s">
        <v>12872</v>
      </c>
      <c r="M2289" t="s">
        <v>7292</v>
      </c>
      <c r="R2289">
        <v>4.0199999999999996</v>
      </c>
      <c r="S2289" t="s">
        <v>8257</v>
      </c>
      <c r="T2289">
        <v>4.0199999999999996</v>
      </c>
      <c r="U2289">
        <v>1870.84</v>
      </c>
      <c r="V2289">
        <v>60</v>
      </c>
      <c r="W2289">
        <v>95.73</v>
      </c>
      <c r="X2289">
        <v>60</v>
      </c>
      <c r="AA2289" t="s">
        <v>21205</v>
      </c>
      <c r="AB2289" t="s">
        <v>21206</v>
      </c>
      <c r="AC2289" t="s">
        <v>8523</v>
      </c>
      <c r="AE2289" t="s">
        <v>10644</v>
      </c>
      <c r="AF2289" t="s">
        <v>12875</v>
      </c>
      <c r="AH2289" t="s">
        <v>10644</v>
      </c>
      <c r="AI2289" t="s">
        <v>8523</v>
      </c>
      <c r="AJ2289" t="s">
        <v>9032</v>
      </c>
      <c r="AK2289">
        <v>2022</v>
      </c>
      <c r="AL2289" t="s">
        <v>21207</v>
      </c>
      <c r="AN2289" s="13" t="s">
        <v>21208</v>
      </c>
      <c r="AO2289" t="s">
        <v>21209</v>
      </c>
    </row>
    <row r="2290" spans="1:41" hidden="1" x14ac:dyDescent="0.35">
      <c r="A2290" t="s">
        <v>21210</v>
      </c>
      <c r="B2290" t="s">
        <v>7246</v>
      </c>
      <c r="C2290" t="s">
        <v>5861</v>
      </c>
      <c r="D2290" t="s">
        <v>5861</v>
      </c>
      <c r="E2290" t="s">
        <v>5861</v>
      </c>
      <c r="G2290" s="13" t="s">
        <v>11614</v>
      </c>
      <c r="H2290" t="s">
        <v>11615</v>
      </c>
      <c r="I2290" t="s">
        <v>21211</v>
      </c>
      <c r="K2290" t="s">
        <v>21212</v>
      </c>
      <c r="L2290" t="s">
        <v>21212</v>
      </c>
      <c r="M2290" t="s">
        <v>7250</v>
      </c>
      <c r="N2290">
        <v>2002</v>
      </c>
      <c r="O2290">
        <v>2009</v>
      </c>
      <c r="T2290" t="s">
        <v>6546</v>
      </c>
      <c r="U2290" t="s">
        <v>6546</v>
      </c>
      <c r="V2290">
        <v>61.55</v>
      </c>
      <c r="W2290">
        <v>64</v>
      </c>
      <c r="X2290">
        <v>61.55</v>
      </c>
      <c r="Y2290" t="s">
        <v>21213</v>
      </c>
      <c r="Z2290" t="s">
        <v>7253</v>
      </c>
      <c r="AB2290" t="s">
        <v>1585</v>
      </c>
      <c r="AC2290" t="s">
        <v>8777</v>
      </c>
      <c r="AE2290" t="s">
        <v>3716</v>
      </c>
      <c r="AF2290" t="s">
        <v>21214</v>
      </c>
      <c r="AH2290" t="s">
        <v>3716</v>
      </c>
      <c r="AI2290" t="s">
        <v>8777</v>
      </c>
      <c r="AO2290" t="s">
        <v>21215</v>
      </c>
    </row>
    <row r="2291" spans="1:41" hidden="1" x14ac:dyDescent="0.35">
      <c r="A2291" t="s">
        <v>21216</v>
      </c>
      <c r="B2291" t="s">
        <v>7246</v>
      </c>
      <c r="C2291" t="s">
        <v>5861</v>
      </c>
      <c r="D2291" t="s">
        <v>5861</v>
      </c>
      <c r="E2291" t="s">
        <v>5861</v>
      </c>
      <c r="G2291" s="13" t="s">
        <v>11614</v>
      </c>
      <c r="H2291" t="s">
        <v>11615</v>
      </c>
      <c r="I2291" t="s">
        <v>21217</v>
      </c>
      <c r="K2291" t="s">
        <v>21212</v>
      </c>
      <c r="L2291" t="s">
        <v>21212</v>
      </c>
      <c r="M2291" t="s">
        <v>7250</v>
      </c>
      <c r="N2291">
        <v>2005</v>
      </c>
      <c r="T2291" t="s">
        <v>6546</v>
      </c>
      <c r="U2291" t="s">
        <v>6546</v>
      </c>
      <c r="V2291">
        <v>78.900000000000006</v>
      </c>
      <c r="W2291">
        <v>115.72</v>
      </c>
      <c r="X2291">
        <v>78.900000000000006</v>
      </c>
      <c r="Y2291" t="s">
        <v>21213</v>
      </c>
      <c r="Z2291" t="s">
        <v>7253</v>
      </c>
      <c r="AB2291" t="s">
        <v>21218</v>
      </c>
      <c r="AC2291" t="s">
        <v>8777</v>
      </c>
      <c r="AE2291" t="s">
        <v>3716</v>
      </c>
      <c r="AF2291" t="s">
        <v>21219</v>
      </c>
      <c r="AH2291" t="s">
        <v>3716</v>
      </c>
      <c r="AI2291" t="s">
        <v>8777</v>
      </c>
      <c r="AO2291" t="s">
        <v>21220</v>
      </c>
    </row>
    <row r="2292" spans="1:41" hidden="1" x14ac:dyDescent="0.35">
      <c r="A2292" t="s">
        <v>21221</v>
      </c>
      <c r="B2292" t="s">
        <v>7246</v>
      </c>
      <c r="C2292" t="s">
        <v>5861</v>
      </c>
      <c r="D2292" t="s">
        <v>5861</v>
      </c>
      <c r="E2292" t="s">
        <v>5861</v>
      </c>
      <c r="G2292" s="13" t="s">
        <v>11614</v>
      </c>
      <c r="H2292" t="s">
        <v>11615</v>
      </c>
      <c r="I2292" t="s">
        <v>21222</v>
      </c>
      <c r="K2292" t="s">
        <v>21212</v>
      </c>
      <c r="L2292" t="s">
        <v>21212</v>
      </c>
      <c r="M2292" t="s">
        <v>7250</v>
      </c>
      <c r="N2292">
        <v>2006</v>
      </c>
      <c r="T2292" t="s">
        <v>6546</v>
      </c>
      <c r="U2292" t="s">
        <v>6546</v>
      </c>
      <c r="V2292" t="s">
        <v>6546</v>
      </c>
      <c r="W2292">
        <v>158.07</v>
      </c>
      <c r="X2292">
        <v>158.07</v>
      </c>
      <c r="Y2292">
        <v>20</v>
      </c>
      <c r="Z2292" t="s">
        <v>7253</v>
      </c>
      <c r="AB2292" t="s">
        <v>11794</v>
      </c>
      <c r="AC2292" t="s">
        <v>8777</v>
      </c>
      <c r="AF2292" t="s">
        <v>21223</v>
      </c>
      <c r="AI2292" t="s">
        <v>8777</v>
      </c>
      <c r="AO2292" t="s">
        <v>21224</v>
      </c>
    </row>
    <row r="2293" spans="1:41" hidden="1" x14ac:dyDescent="0.35">
      <c r="A2293" t="s">
        <v>21225</v>
      </c>
      <c r="B2293" t="s">
        <v>7246</v>
      </c>
      <c r="C2293" t="s">
        <v>5861</v>
      </c>
      <c r="D2293" t="s">
        <v>5861</v>
      </c>
      <c r="E2293" t="s">
        <v>5861</v>
      </c>
      <c r="G2293" s="13" t="s">
        <v>11633</v>
      </c>
      <c r="H2293" t="s">
        <v>11634</v>
      </c>
      <c r="I2293" t="s">
        <v>21226</v>
      </c>
      <c r="K2293" t="s">
        <v>21212</v>
      </c>
      <c r="L2293" t="s">
        <v>21212</v>
      </c>
      <c r="M2293" t="s">
        <v>7250</v>
      </c>
      <c r="N2293">
        <v>2001</v>
      </c>
      <c r="T2293" t="s">
        <v>6546</v>
      </c>
      <c r="U2293" t="s">
        <v>6546</v>
      </c>
      <c r="V2293">
        <v>80</v>
      </c>
      <c r="W2293">
        <v>87.5</v>
      </c>
      <c r="X2293">
        <v>80</v>
      </c>
      <c r="Y2293">
        <v>16</v>
      </c>
      <c r="Z2293" t="s">
        <v>7253</v>
      </c>
      <c r="AB2293" t="s">
        <v>21227</v>
      </c>
      <c r="AC2293" t="s">
        <v>8777</v>
      </c>
      <c r="AF2293" t="s">
        <v>21228</v>
      </c>
      <c r="AI2293" t="s">
        <v>8777</v>
      </c>
      <c r="AO2293" t="s">
        <v>21229</v>
      </c>
    </row>
    <row r="2294" spans="1:41" hidden="1" x14ac:dyDescent="0.35">
      <c r="A2294" t="s">
        <v>21230</v>
      </c>
      <c r="B2294" t="s">
        <v>7246</v>
      </c>
      <c r="C2294" t="s">
        <v>5861</v>
      </c>
      <c r="D2294" t="s">
        <v>5861</v>
      </c>
      <c r="E2294" t="s">
        <v>5861</v>
      </c>
      <c r="G2294" s="13" t="s">
        <v>11633</v>
      </c>
      <c r="H2294" t="s">
        <v>11634</v>
      </c>
      <c r="I2294" t="s">
        <v>21231</v>
      </c>
      <c r="K2294" t="s">
        <v>21212</v>
      </c>
      <c r="L2294" t="s">
        <v>21212</v>
      </c>
      <c r="M2294" t="s">
        <v>7250</v>
      </c>
      <c r="N2294">
        <v>2004</v>
      </c>
      <c r="T2294" t="s">
        <v>6546</v>
      </c>
      <c r="U2294" t="s">
        <v>6546</v>
      </c>
      <c r="V2294">
        <v>59</v>
      </c>
      <c r="W2294">
        <v>67.05</v>
      </c>
      <c r="X2294">
        <v>59</v>
      </c>
      <c r="Y2294" t="s">
        <v>21232</v>
      </c>
      <c r="Z2294" t="s">
        <v>7253</v>
      </c>
      <c r="AB2294" t="s">
        <v>1965</v>
      </c>
      <c r="AC2294" t="s">
        <v>8777</v>
      </c>
      <c r="AF2294" t="s">
        <v>21233</v>
      </c>
      <c r="AI2294" t="s">
        <v>8777</v>
      </c>
      <c r="AO2294" t="s">
        <v>21234</v>
      </c>
    </row>
    <row r="2295" spans="1:41" hidden="1" x14ac:dyDescent="0.35">
      <c r="A2295" t="s">
        <v>21235</v>
      </c>
      <c r="B2295" t="s">
        <v>7246</v>
      </c>
      <c r="C2295" t="s">
        <v>5643</v>
      </c>
      <c r="D2295" t="s">
        <v>5643</v>
      </c>
      <c r="E2295" t="s">
        <v>5643</v>
      </c>
      <c r="G2295" s="13" t="s">
        <v>21236</v>
      </c>
      <c r="H2295" t="s">
        <v>21237</v>
      </c>
      <c r="I2295" t="s">
        <v>21238</v>
      </c>
      <c r="K2295" t="s">
        <v>6543</v>
      </c>
      <c r="L2295" t="s">
        <v>6543</v>
      </c>
      <c r="M2295" t="s">
        <v>7292</v>
      </c>
      <c r="N2295">
        <v>2022</v>
      </c>
      <c r="T2295" t="s">
        <v>6546</v>
      </c>
      <c r="U2295" t="s">
        <v>6546</v>
      </c>
      <c r="V2295">
        <v>3</v>
      </c>
      <c r="W2295" t="s">
        <v>6546</v>
      </c>
      <c r="X2295">
        <v>3</v>
      </c>
      <c r="AA2295" t="s">
        <v>6867</v>
      </c>
      <c r="AB2295" t="s">
        <v>1803</v>
      </c>
      <c r="AC2295" t="s">
        <v>8777</v>
      </c>
      <c r="AF2295" t="s">
        <v>1803</v>
      </c>
      <c r="AI2295" t="s">
        <v>8777</v>
      </c>
      <c r="AO2295" t="s">
        <v>6546</v>
      </c>
    </row>
    <row r="2296" spans="1:41" hidden="1" x14ac:dyDescent="0.35">
      <c r="A2296" t="s">
        <v>21239</v>
      </c>
      <c r="B2296" t="s">
        <v>7246</v>
      </c>
      <c r="C2296" t="s">
        <v>5643</v>
      </c>
      <c r="D2296" t="s">
        <v>5643</v>
      </c>
      <c r="E2296" t="s">
        <v>5643</v>
      </c>
      <c r="G2296" s="13" t="s">
        <v>21236</v>
      </c>
      <c r="H2296" t="s">
        <v>21237</v>
      </c>
      <c r="I2296" t="s">
        <v>21240</v>
      </c>
      <c r="K2296" t="s">
        <v>6543</v>
      </c>
      <c r="L2296" t="s">
        <v>6543</v>
      </c>
      <c r="M2296" t="s">
        <v>7292</v>
      </c>
      <c r="N2296">
        <v>2026</v>
      </c>
      <c r="T2296" t="s">
        <v>6546</v>
      </c>
      <c r="U2296" t="s">
        <v>6546</v>
      </c>
      <c r="V2296">
        <v>55</v>
      </c>
      <c r="W2296" t="s">
        <v>6546</v>
      </c>
      <c r="X2296">
        <v>55</v>
      </c>
      <c r="AA2296" t="s">
        <v>6878</v>
      </c>
      <c r="AB2296" t="s">
        <v>1803</v>
      </c>
      <c r="AC2296" t="s">
        <v>8777</v>
      </c>
      <c r="AF2296" t="s">
        <v>21241</v>
      </c>
      <c r="AI2296" t="s">
        <v>8777</v>
      </c>
      <c r="AO2296" t="s">
        <v>6546</v>
      </c>
    </row>
    <row r="2297" spans="1:41" hidden="1" x14ac:dyDescent="0.35">
      <c r="A2297" t="s">
        <v>21242</v>
      </c>
      <c r="B2297" t="s">
        <v>7246</v>
      </c>
      <c r="C2297" t="s">
        <v>5861</v>
      </c>
      <c r="D2297" t="s">
        <v>5861</v>
      </c>
      <c r="E2297" t="s">
        <v>5861</v>
      </c>
      <c r="G2297" s="13" t="s">
        <v>11640</v>
      </c>
      <c r="H2297" t="s">
        <v>11641</v>
      </c>
      <c r="I2297" t="s">
        <v>12727</v>
      </c>
      <c r="K2297" t="s">
        <v>21212</v>
      </c>
      <c r="L2297" t="s">
        <v>21212</v>
      </c>
      <c r="M2297" t="s">
        <v>7250</v>
      </c>
      <c r="N2297">
        <v>2008</v>
      </c>
      <c r="T2297" t="s">
        <v>6546</v>
      </c>
      <c r="U2297" t="s">
        <v>6546</v>
      </c>
      <c r="V2297">
        <v>0</v>
      </c>
      <c r="W2297" t="s">
        <v>6546</v>
      </c>
      <c r="X2297">
        <v>0</v>
      </c>
      <c r="Y2297" t="s">
        <v>21243</v>
      </c>
      <c r="Z2297" t="s">
        <v>7253</v>
      </c>
      <c r="AB2297" t="s">
        <v>11642</v>
      </c>
      <c r="AC2297" t="s">
        <v>8777</v>
      </c>
      <c r="AF2297" t="s">
        <v>5870</v>
      </c>
      <c r="AI2297" t="s">
        <v>8777</v>
      </c>
      <c r="AO2297" t="s">
        <v>6546</v>
      </c>
    </row>
    <row r="2298" spans="1:41" hidden="1" x14ac:dyDescent="0.35">
      <c r="A2298" t="s">
        <v>21244</v>
      </c>
      <c r="B2298" t="s">
        <v>7246</v>
      </c>
      <c r="C2298" t="s">
        <v>5861</v>
      </c>
      <c r="D2298" t="s">
        <v>5861</v>
      </c>
      <c r="E2298" t="s">
        <v>5861</v>
      </c>
      <c r="G2298" s="13" t="s">
        <v>16613</v>
      </c>
      <c r="H2298" t="s">
        <v>16614</v>
      </c>
      <c r="I2298" t="s">
        <v>12727</v>
      </c>
      <c r="K2298" t="s">
        <v>21212</v>
      </c>
      <c r="L2298" t="s">
        <v>21212</v>
      </c>
      <c r="M2298" t="s">
        <v>7250</v>
      </c>
      <c r="N2298">
        <v>2010</v>
      </c>
      <c r="T2298" t="s">
        <v>6546</v>
      </c>
      <c r="U2298" t="s">
        <v>6546</v>
      </c>
      <c r="V2298">
        <v>0</v>
      </c>
      <c r="W2298" t="s">
        <v>6546</v>
      </c>
      <c r="X2298">
        <v>0</v>
      </c>
      <c r="Y2298">
        <v>26</v>
      </c>
      <c r="Z2298" t="s">
        <v>7253</v>
      </c>
      <c r="AB2298" t="s">
        <v>11642</v>
      </c>
      <c r="AC2298" t="s">
        <v>8777</v>
      </c>
      <c r="AF2298" t="s">
        <v>15474</v>
      </c>
      <c r="AI2298" t="s">
        <v>8777</v>
      </c>
      <c r="AO2298" t="s">
        <v>6546</v>
      </c>
    </row>
    <row r="2299" spans="1:41" hidden="1" x14ac:dyDescent="0.35">
      <c r="A2299" t="s">
        <v>21245</v>
      </c>
      <c r="B2299" t="s">
        <v>7246</v>
      </c>
      <c r="C2299" t="s">
        <v>5861</v>
      </c>
      <c r="D2299" t="s">
        <v>5861</v>
      </c>
      <c r="E2299" t="s">
        <v>5861</v>
      </c>
      <c r="G2299" s="13" t="s">
        <v>21246</v>
      </c>
      <c r="H2299" t="s">
        <v>21247</v>
      </c>
      <c r="K2299" t="s">
        <v>21212</v>
      </c>
      <c r="L2299" t="s">
        <v>21212</v>
      </c>
      <c r="M2299" t="s">
        <v>7250</v>
      </c>
      <c r="N2299">
        <v>1979</v>
      </c>
      <c r="O2299">
        <v>2005</v>
      </c>
      <c r="T2299" t="s">
        <v>6546</v>
      </c>
      <c r="U2299" t="s">
        <v>6546</v>
      </c>
      <c r="V2299">
        <v>278.39999999999998</v>
      </c>
      <c r="W2299">
        <v>186.98</v>
      </c>
      <c r="X2299">
        <v>278.39999999999998</v>
      </c>
      <c r="Y2299" t="s">
        <v>16616</v>
      </c>
      <c r="Z2299" t="s">
        <v>7253</v>
      </c>
      <c r="AB2299" t="s">
        <v>15474</v>
      </c>
      <c r="AC2299" t="s">
        <v>8777</v>
      </c>
      <c r="AF2299" t="s">
        <v>11628</v>
      </c>
      <c r="AI2299" t="s">
        <v>8777</v>
      </c>
      <c r="AO2299" t="s">
        <v>21248</v>
      </c>
    </row>
    <row r="2300" spans="1:41" hidden="1" x14ac:dyDescent="0.35">
      <c r="A2300" t="s">
        <v>21249</v>
      </c>
      <c r="B2300" t="s">
        <v>7246</v>
      </c>
      <c r="C2300" t="s">
        <v>5861</v>
      </c>
      <c r="D2300" t="s">
        <v>5861</v>
      </c>
      <c r="E2300" t="s">
        <v>5861</v>
      </c>
      <c r="G2300" s="13" t="s">
        <v>21250</v>
      </c>
      <c r="H2300" t="s">
        <v>21251</v>
      </c>
      <c r="K2300" t="s">
        <v>21212</v>
      </c>
      <c r="L2300" t="s">
        <v>21212</v>
      </c>
      <c r="M2300" t="s">
        <v>7250</v>
      </c>
      <c r="N2300">
        <v>1984</v>
      </c>
      <c r="O2300">
        <v>1990</v>
      </c>
      <c r="T2300" t="s">
        <v>6546</v>
      </c>
      <c r="U2300" t="s">
        <v>6546</v>
      </c>
      <c r="V2300">
        <v>89</v>
      </c>
      <c r="W2300">
        <v>67.45</v>
      </c>
      <c r="X2300">
        <v>89</v>
      </c>
      <c r="Y2300">
        <v>16</v>
      </c>
      <c r="Z2300" t="s">
        <v>7253</v>
      </c>
      <c r="AB2300" t="s">
        <v>21252</v>
      </c>
      <c r="AC2300" t="s">
        <v>8777</v>
      </c>
      <c r="AF2300" t="s">
        <v>21158</v>
      </c>
      <c r="AI2300" t="s">
        <v>8777</v>
      </c>
      <c r="AO2300" t="s">
        <v>21253</v>
      </c>
    </row>
    <row r="2301" spans="1:41" hidden="1" x14ac:dyDescent="0.35">
      <c r="A2301" t="s">
        <v>21254</v>
      </c>
      <c r="B2301" t="s">
        <v>7246</v>
      </c>
      <c r="C2301" t="s">
        <v>5861</v>
      </c>
      <c r="D2301" t="s">
        <v>5861</v>
      </c>
      <c r="E2301" t="s">
        <v>5861</v>
      </c>
      <c r="G2301" s="13" t="s">
        <v>21250</v>
      </c>
      <c r="H2301" t="s">
        <v>21251</v>
      </c>
      <c r="I2301" t="s">
        <v>21255</v>
      </c>
      <c r="K2301" t="s">
        <v>21212</v>
      </c>
      <c r="L2301" t="s">
        <v>21212</v>
      </c>
      <c r="M2301" t="s">
        <v>7250</v>
      </c>
      <c r="N2301">
        <v>2007</v>
      </c>
      <c r="O2301">
        <v>2010</v>
      </c>
      <c r="T2301" t="s">
        <v>6546</v>
      </c>
      <c r="U2301" t="s">
        <v>6546</v>
      </c>
      <c r="V2301">
        <v>0</v>
      </c>
      <c r="W2301" t="s">
        <v>6546</v>
      </c>
      <c r="X2301">
        <v>0</v>
      </c>
      <c r="Y2301" t="s">
        <v>21256</v>
      </c>
      <c r="Z2301" t="s">
        <v>7253</v>
      </c>
      <c r="AB2301" t="s">
        <v>21252</v>
      </c>
      <c r="AC2301" t="s">
        <v>8777</v>
      </c>
      <c r="AF2301" t="s">
        <v>21158</v>
      </c>
      <c r="AI2301" t="s">
        <v>8777</v>
      </c>
      <c r="AO2301" t="s">
        <v>6546</v>
      </c>
    </row>
    <row r="2302" spans="1:41" hidden="1" x14ac:dyDescent="0.35">
      <c r="A2302" t="s">
        <v>21257</v>
      </c>
      <c r="B2302" t="s">
        <v>7246</v>
      </c>
      <c r="C2302" t="s">
        <v>5861</v>
      </c>
      <c r="D2302" t="s">
        <v>5861</v>
      </c>
      <c r="E2302" t="s">
        <v>5861</v>
      </c>
      <c r="G2302" s="13" t="s">
        <v>21258</v>
      </c>
      <c r="H2302" t="s">
        <v>21259</v>
      </c>
      <c r="K2302" t="s">
        <v>21212</v>
      </c>
      <c r="L2302" t="s">
        <v>21212</v>
      </c>
      <c r="M2302" t="s">
        <v>7250</v>
      </c>
      <c r="N2302">
        <v>1988</v>
      </c>
      <c r="O2302">
        <v>2003</v>
      </c>
      <c r="T2302" t="s">
        <v>6546</v>
      </c>
      <c r="U2302" t="s">
        <v>6546</v>
      </c>
      <c r="V2302">
        <v>140.4</v>
      </c>
      <c r="W2302">
        <v>130.22</v>
      </c>
      <c r="X2302">
        <v>140.4</v>
      </c>
      <c r="Y2302">
        <v>16</v>
      </c>
      <c r="Z2302" t="s">
        <v>7253</v>
      </c>
      <c r="AB2302" t="s">
        <v>15356</v>
      </c>
      <c r="AC2302" t="s">
        <v>8777</v>
      </c>
      <c r="AF2302" t="s">
        <v>15428</v>
      </c>
      <c r="AI2302" t="s">
        <v>8777</v>
      </c>
      <c r="AO2302" t="s">
        <v>21260</v>
      </c>
    </row>
    <row r="2303" spans="1:41" hidden="1" x14ac:dyDescent="0.35">
      <c r="A2303" t="s">
        <v>21261</v>
      </c>
      <c r="B2303" t="s">
        <v>7246</v>
      </c>
      <c r="C2303" t="s">
        <v>12969</v>
      </c>
      <c r="D2303" t="s">
        <v>12969</v>
      </c>
      <c r="E2303" t="s">
        <v>12969</v>
      </c>
      <c r="G2303" s="13" t="s">
        <v>21262</v>
      </c>
      <c r="H2303" t="s">
        <v>21263</v>
      </c>
      <c r="K2303" t="s">
        <v>21264</v>
      </c>
      <c r="L2303" t="s">
        <v>21264</v>
      </c>
      <c r="M2303" t="s">
        <v>7292</v>
      </c>
      <c r="T2303" t="s">
        <v>6546</v>
      </c>
      <c r="U2303" t="s">
        <v>6546</v>
      </c>
      <c r="V2303">
        <v>320</v>
      </c>
      <c r="W2303" t="s">
        <v>6546</v>
      </c>
      <c r="X2303">
        <v>320</v>
      </c>
      <c r="AB2303" t="s">
        <v>21265</v>
      </c>
      <c r="AC2303" t="s">
        <v>10816</v>
      </c>
      <c r="AF2303" t="s">
        <v>21266</v>
      </c>
      <c r="AI2303" t="s">
        <v>10816</v>
      </c>
      <c r="AO2303" t="s">
        <v>6546</v>
      </c>
    </row>
    <row r="2304" spans="1:41" hidden="1" x14ac:dyDescent="0.35">
      <c r="A2304" t="s">
        <v>21267</v>
      </c>
      <c r="B2304" t="s">
        <v>7246</v>
      </c>
      <c r="C2304" t="s">
        <v>423</v>
      </c>
      <c r="D2304" t="s">
        <v>423</v>
      </c>
      <c r="E2304" t="s">
        <v>423</v>
      </c>
      <c r="G2304" s="13" t="s">
        <v>20576</v>
      </c>
      <c r="H2304" t="s">
        <v>20577</v>
      </c>
      <c r="I2304" t="s">
        <v>21268</v>
      </c>
      <c r="K2304" t="s">
        <v>9848</v>
      </c>
      <c r="L2304" t="s">
        <v>9848</v>
      </c>
      <c r="M2304" t="s">
        <v>7292</v>
      </c>
      <c r="R2304">
        <v>0.74</v>
      </c>
      <c r="S2304" t="s">
        <v>8257</v>
      </c>
      <c r="T2304">
        <v>0.74</v>
      </c>
      <c r="U2304">
        <v>345.78</v>
      </c>
      <c r="V2304">
        <v>106.4</v>
      </c>
      <c r="W2304">
        <v>73.209999999999994</v>
      </c>
      <c r="X2304">
        <v>106.4</v>
      </c>
      <c r="Y2304">
        <v>500</v>
      </c>
      <c r="Z2304" t="s">
        <v>8842</v>
      </c>
      <c r="AB2304" t="s">
        <v>20593</v>
      </c>
      <c r="AC2304" t="s">
        <v>8844</v>
      </c>
      <c r="AE2304" t="s">
        <v>9935</v>
      </c>
      <c r="AF2304" t="s">
        <v>21269</v>
      </c>
      <c r="AG2304" t="s">
        <v>21270</v>
      </c>
      <c r="AH2304" t="s">
        <v>20638</v>
      </c>
      <c r="AI2304" t="s">
        <v>8844</v>
      </c>
      <c r="AO2304" t="s">
        <v>21271</v>
      </c>
    </row>
    <row r="2305" spans="1:41" hidden="1" x14ac:dyDescent="0.35">
      <c r="A2305" t="s">
        <v>21272</v>
      </c>
      <c r="B2305" t="s">
        <v>7246</v>
      </c>
      <c r="C2305" t="s">
        <v>5445</v>
      </c>
      <c r="D2305" t="s">
        <v>683</v>
      </c>
      <c r="E2305" t="s">
        <v>9856</v>
      </c>
      <c r="G2305" s="13" t="s">
        <v>21273</v>
      </c>
      <c r="H2305" t="s">
        <v>21274</v>
      </c>
      <c r="J2305" t="s">
        <v>21275</v>
      </c>
      <c r="K2305" t="s">
        <v>21276</v>
      </c>
      <c r="L2305" t="s">
        <v>21277</v>
      </c>
      <c r="M2305" t="s">
        <v>7250</v>
      </c>
      <c r="N2305">
        <v>2006</v>
      </c>
      <c r="R2305">
        <v>8.6999999999999993</v>
      </c>
      <c r="S2305" t="s">
        <v>8257</v>
      </c>
      <c r="T2305">
        <v>8.6999999999999993</v>
      </c>
      <c r="U2305">
        <v>4048.84</v>
      </c>
      <c r="V2305">
        <v>478</v>
      </c>
      <c r="W2305">
        <v>426.14</v>
      </c>
      <c r="X2305">
        <v>478</v>
      </c>
      <c r="Y2305">
        <v>1000</v>
      </c>
      <c r="Z2305" t="s">
        <v>8842</v>
      </c>
      <c r="AB2305" t="s">
        <v>21278</v>
      </c>
      <c r="AC2305" t="s">
        <v>8844</v>
      </c>
      <c r="AF2305" t="s">
        <v>21279</v>
      </c>
      <c r="AI2305" t="s">
        <v>8844</v>
      </c>
      <c r="AO2305" t="s">
        <v>21280</v>
      </c>
    </row>
    <row r="2306" spans="1:41" hidden="1" x14ac:dyDescent="0.35">
      <c r="A2306" t="s">
        <v>21281</v>
      </c>
      <c r="B2306" t="s">
        <v>7246</v>
      </c>
      <c r="C2306" t="s">
        <v>5445</v>
      </c>
      <c r="D2306" t="s">
        <v>683</v>
      </c>
      <c r="E2306" t="s">
        <v>10044</v>
      </c>
      <c r="G2306" s="13" t="s">
        <v>10045</v>
      </c>
      <c r="H2306" t="s">
        <v>10046</v>
      </c>
      <c r="I2306" t="s">
        <v>21282</v>
      </c>
      <c r="K2306" t="s">
        <v>10048</v>
      </c>
      <c r="L2306" t="s">
        <v>10049</v>
      </c>
      <c r="M2306" t="s">
        <v>7250</v>
      </c>
      <c r="N2306">
        <v>2018</v>
      </c>
      <c r="R2306">
        <v>24.04</v>
      </c>
      <c r="S2306" t="s">
        <v>8257</v>
      </c>
      <c r="T2306">
        <v>24.04</v>
      </c>
      <c r="U2306">
        <v>11187.82</v>
      </c>
      <c r="V2306">
        <v>489</v>
      </c>
      <c r="W2306" t="s">
        <v>6546</v>
      </c>
      <c r="X2306">
        <v>489</v>
      </c>
      <c r="Y2306">
        <v>48</v>
      </c>
      <c r="Z2306" t="s">
        <v>7253</v>
      </c>
      <c r="AA2306" t="s">
        <v>10050</v>
      </c>
      <c r="AB2306" t="s">
        <v>21283</v>
      </c>
      <c r="AC2306" t="s">
        <v>8844</v>
      </c>
      <c r="AF2306" t="s">
        <v>21284</v>
      </c>
      <c r="AI2306" t="s">
        <v>8844</v>
      </c>
      <c r="AO2306" t="s">
        <v>6546</v>
      </c>
    </row>
    <row r="2307" spans="1:41" hidden="1" x14ac:dyDescent="0.35">
      <c r="A2307" t="s">
        <v>21285</v>
      </c>
      <c r="B2307" t="s">
        <v>7246</v>
      </c>
      <c r="C2307" t="s">
        <v>5445</v>
      </c>
      <c r="D2307" t="s">
        <v>5445</v>
      </c>
      <c r="E2307" t="s">
        <v>5445</v>
      </c>
      <c r="G2307" s="13" t="s">
        <v>21286</v>
      </c>
      <c r="H2307" t="s">
        <v>21287</v>
      </c>
      <c r="K2307" t="s">
        <v>21288</v>
      </c>
      <c r="L2307" t="s">
        <v>21288</v>
      </c>
      <c r="M2307" t="s">
        <v>7250</v>
      </c>
      <c r="N2307">
        <v>2007</v>
      </c>
      <c r="R2307">
        <v>8</v>
      </c>
      <c r="S2307" t="s">
        <v>8257</v>
      </c>
      <c r="T2307">
        <v>8</v>
      </c>
      <c r="U2307">
        <v>3723.07</v>
      </c>
      <c r="V2307">
        <v>66.599999999999994</v>
      </c>
      <c r="W2307">
        <v>263.19</v>
      </c>
      <c r="X2307">
        <v>66.599999999999994</v>
      </c>
      <c r="Y2307">
        <v>500</v>
      </c>
      <c r="Z2307" t="s">
        <v>8842</v>
      </c>
      <c r="AC2307" t="s">
        <v>8844</v>
      </c>
      <c r="AI2307" t="s">
        <v>8844</v>
      </c>
      <c r="AO2307" t="s">
        <v>21289</v>
      </c>
    </row>
    <row r="2308" spans="1:41" hidden="1" x14ac:dyDescent="0.35">
      <c r="A2308" t="s">
        <v>21290</v>
      </c>
      <c r="B2308" t="s">
        <v>7246</v>
      </c>
      <c r="C2308" t="s">
        <v>371</v>
      </c>
      <c r="D2308" t="s">
        <v>371</v>
      </c>
      <c r="E2308" t="s">
        <v>371</v>
      </c>
      <c r="G2308" s="13" t="s">
        <v>21291</v>
      </c>
      <c r="H2308" t="s">
        <v>21292</v>
      </c>
      <c r="I2308" t="s">
        <v>21293</v>
      </c>
      <c r="K2308" t="s">
        <v>21294</v>
      </c>
      <c r="L2308" t="s">
        <v>21295</v>
      </c>
      <c r="M2308" t="s">
        <v>7250</v>
      </c>
      <c r="N2308">
        <v>2019</v>
      </c>
      <c r="T2308" t="s">
        <v>6546</v>
      </c>
      <c r="U2308" t="s">
        <v>6546</v>
      </c>
      <c r="V2308">
        <v>80</v>
      </c>
      <c r="W2308" t="s">
        <v>6546</v>
      </c>
      <c r="X2308">
        <v>80</v>
      </c>
      <c r="AA2308" t="s">
        <v>21296</v>
      </c>
      <c r="AC2308" t="s">
        <v>8765</v>
      </c>
      <c r="AI2308" t="s">
        <v>8765</v>
      </c>
      <c r="AO2308" t="s">
        <v>6546</v>
      </c>
    </row>
    <row r="2309" spans="1:41" hidden="1" x14ac:dyDescent="0.35">
      <c r="A2309" t="s">
        <v>21297</v>
      </c>
      <c r="B2309" t="s">
        <v>7246</v>
      </c>
      <c r="C2309" t="s">
        <v>371</v>
      </c>
      <c r="D2309" t="s">
        <v>371</v>
      </c>
      <c r="E2309" t="s">
        <v>371</v>
      </c>
      <c r="G2309" s="13" t="s">
        <v>21291</v>
      </c>
      <c r="H2309" t="s">
        <v>21292</v>
      </c>
      <c r="I2309" t="s">
        <v>21298</v>
      </c>
      <c r="K2309" t="s">
        <v>21294</v>
      </c>
      <c r="L2309" t="s">
        <v>21295</v>
      </c>
      <c r="M2309" t="s">
        <v>7415</v>
      </c>
      <c r="T2309" t="s">
        <v>6546</v>
      </c>
      <c r="U2309" t="s">
        <v>6546</v>
      </c>
      <c r="V2309">
        <v>155</v>
      </c>
      <c r="W2309" t="s">
        <v>6546</v>
      </c>
      <c r="X2309">
        <v>155</v>
      </c>
      <c r="AC2309" t="s">
        <v>8765</v>
      </c>
      <c r="AI2309" t="s">
        <v>8765</v>
      </c>
      <c r="AO2309" t="s">
        <v>6546</v>
      </c>
    </row>
    <row r="2310" spans="1:41" hidden="1" x14ac:dyDescent="0.35">
      <c r="A2310" t="s">
        <v>21299</v>
      </c>
      <c r="B2310" t="s">
        <v>7246</v>
      </c>
      <c r="C2310" t="s">
        <v>371</v>
      </c>
      <c r="D2310" t="s">
        <v>371</v>
      </c>
      <c r="E2310" t="s">
        <v>371</v>
      </c>
      <c r="G2310" s="13" t="s">
        <v>21291</v>
      </c>
      <c r="H2310" t="s">
        <v>21292</v>
      </c>
      <c r="I2310" t="s">
        <v>21300</v>
      </c>
      <c r="K2310" t="s">
        <v>21294</v>
      </c>
      <c r="L2310" t="s">
        <v>21295</v>
      </c>
      <c r="M2310" t="s">
        <v>7292</v>
      </c>
      <c r="T2310" t="s">
        <v>6546</v>
      </c>
      <c r="U2310" t="s">
        <v>6546</v>
      </c>
      <c r="V2310">
        <v>85</v>
      </c>
      <c r="W2310" t="s">
        <v>6546</v>
      </c>
      <c r="X2310">
        <v>85</v>
      </c>
      <c r="AC2310" t="s">
        <v>8765</v>
      </c>
      <c r="AI2310" t="s">
        <v>8765</v>
      </c>
      <c r="AO2310" t="s">
        <v>6546</v>
      </c>
    </row>
    <row r="2311" spans="1:41" hidden="1" x14ac:dyDescent="0.35">
      <c r="A2311" t="s">
        <v>21301</v>
      </c>
      <c r="B2311" t="s">
        <v>7246</v>
      </c>
      <c r="C2311" t="s">
        <v>5445</v>
      </c>
      <c r="D2311" t="s">
        <v>5445</v>
      </c>
      <c r="E2311" t="s">
        <v>5445</v>
      </c>
      <c r="G2311" s="13" t="s">
        <v>21302</v>
      </c>
      <c r="H2311" t="s">
        <v>21303</v>
      </c>
      <c r="K2311" t="s">
        <v>21288</v>
      </c>
      <c r="L2311" t="s">
        <v>21288</v>
      </c>
      <c r="M2311" t="s">
        <v>7250</v>
      </c>
      <c r="N2311">
        <v>2009</v>
      </c>
      <c r="R2311">
        <v>1.8</v>
      </c>
      <c r="S2311" t="s">
        <v>8257</v>
      </c>
      <c r="T2311">
        <v>1.8</v>
      </c>
      <c r="U2311">
        <v>837.69</v>
      </c>
      <c r="V2311">
        <v>44.7</v>
      </c>
      <c r="W2311">
        <v>220.59</v>
      </c>
      <c r="X2311">
        <v>44.7</v>
      </c>
      <c r="Y2311">
        <v>20</v>
      </c>
      <c r="Z2311" t="s">
        <v>7253</v>
      </c>
      <c r="AB2311" t="s">
        <v>21304</v>
      </c>
      <c r="AC2311" t="s">
        <v>8844</v>
      </c>
      <c r="AF2311" t="s">
        <v>21305</v>
      </c>
      <c r="AI2311" t="s">
        <v>8844</v>
      </c>
      <c r="AO2311" t="s">
        <v>21306</v>
      </c>
    </row>
    <row r="2312" spans="1:41" hidden="1" x14ac:dyDescent="0.35">
      <c r="A2312" t="s">
        <v>21307</v>
      </c>
      <c r="B2312" t="s">
        <v>7246</v>
      </c>
      <c r="C2312" t="s">
        <v>385</v>
      </c>
      <c r="D2312" t="s">
        <v>385</v>
      </c>
      <c r="E2312" t="s">
        <v>385</v>
      </c>
      <c r="G2312" s="13" t="s">
        <v>21308</v>
      </c>
      <c r="H2312" t="s">
        <v>21309</v>
      </c>
      <c r="K2312" t="s">
        <v>6543</v>
      </c>
      <c r="L2312" t="s">
        <v>6543</v>
      </c>
      <c r="M2312" t="s">
        <v>7292</v>
      </c>
      <c r="N2312">
        <v>2023</v>
      </c>
      <c r="T2312" t="s">
        <v>6546</v>
      </c>
      <c r="U2312" t="s">
        <v>6546</v>
      </c>
      <c r="V2312">
        <v>65</v>
      </c>
      <c r="W2312" t="s">
        <v>6546</v>
      </c>
      <c r="X2312">
        <v>65</v>
      </c>
      <c r="AA2312" t="s">
        <v>21310</v>
      </c>
      <c r="AC2312" t="s">
        <v>10816</v>
      </c>
      <c r="AD2312" t="s">
        <v>21311</v>
      </c>
      <c r="AE2312" t="s">
        <v>10878</v>
      </c>
      <c r="AG2312" t="s">
        <v>21311</v>
      </c>
      <c r="AH2312" t="s">
        <v>10878</v>
      </c>
      <c r="AI2312" t="s">
        <v>10816</v>
      </c>
      <c r="AO2312" t="s">
        <v>6546</v>
      </c>
    </row>
    <row r="2313" spans="1:41" hidden="1" x14ac:dyDescent="0.35">
      <c r="A2313" t="s">
        <v>21312</v>
      </c>
      <c r="B2313" t="s">
        <v>7246</v>
      </c>
      <c r="C2313" t="s">
        <v>683</v>
      </c>
      <c r="D2313" t="s">
        <v>683</v>
      </c>
      <c r="E2313" t="s">
        <v>683</v>
      </c>
      <c r="G2313" s="13" t="s">
        <v>21313</v>
      </c>
      <c r="H2313" t="s">
        <v>21314</v>
      </c>
      <c r="K2313" t="s">
        <v>21315</v>
      </c>
      <c r="L2313" t="s">
        <v>21316</v>
      </c>
      <c r="M2313" t="s">
        <v>7250</v>
      </c>
      <c r="N2313">
        <v>2014</v>
      </c>
      <c r="T2313" t="s">
        <v>6546</v>
      </c>
      <c r="U2313" t="s">
        <v>6546</v>
      </c>
      <c r="V2313">
        <v>128.69999999999999</v>
      </c>
      <c r="W2313">
        <v>88.19</v>
      </c>
      <c r="X2313">
        <v>128.69999999999999</v>
      </c>
      <c r="Y2313">
        <v>700</v>
      </c>
      <c r="Z2313" t="s">
        <v>8842</v>
      </c>
      <c r="AB2313" t="s">
        <v>21317</v>
      </c>
      <c r="AC2313" t="s">
        <v>8844</v>
      </c>
      <c r="AF2313" t="s">
        <v>21318</v>
      </c>
      <c r="AI2313" t="s">
        <v>8844</v>
      </c>
      <c r="AO2313" t="s">
        <v>21319</v>
      </c>
    </row>
    <row r="2314" spans="1:41" hidden="1" x14ac:dyDescent="0.35">
      <c r="A2314" t="s">
        <v>21320</v>
      </c>
      <c r="B2314" t="s">
        <v>7246</v>
      </c>
      <c r="C2314" t="s">
        <v>5787</v>
      </c>
      <c r="D2314" t="s">
        <v>5787</v>
      </c>
      <c r="E2314" t="s">
        <v>5787</v>
      </c>
      <c r="G2314" s="13" t="s">
        <v>16157</v>
      </c>
      <c r="H2314" t="s">
        <v>16158</v>
      </c>
      <c r="I2314" t="s">
        <v>21321</v>
      </c>
      <c r="K2314" t="s">
        <v>11716</v>
      </c>
      <c r="L2314" t="s">
        <v>11717</v>
      </c>
      <c r="M2314" t="s">
        <v>7250</v>
      </c>
      <c r="T2314" t="s">
        <v>6546</v>
      </c>
      <c r="U2314" t="s">
        <v>6546</v>
      </c>
      <c r="V2314" t="s">
        <v>6546</v>
      </c>
      <c r="W2314">
        <v>15.06</v>
      </c>
      <c r="X2314">
        <v>15.06</v>
      </c>
      <c r="AB2314" t="s">
        <v>15370</v>
      </c>
      <c r="AC2314" t="s">
        <v>8777</v>
      </c>
      <c r="AF2314" t="s">
        <v>15624</v>
      </c>
      <c r="AI2314" t="s">
        <v>8777</v>
      </c>
      <c r="AO2314" t="s">
        <v>15631</v>
      </c>
    </row>
    <row r="2315" spans="1:41" hidden="1" x14ac:dyDescent="0.35">
      <c r="A2315" t="s">
        <v>21322</v>
      </c>
      <c r="B2315" t="s">
        <v>7246</v>
      </c>
      <c r="C2315" t="s">
        <v>5787</v>
      </c>
      <c r="D2315" t="s">
        <v>5787</v>
      </c>
      <c r="E2315" t="s">
        <v>5787</v>
      </c>
      <c r="G2315" s="13" t="s">
        <v>21323</v>
      </c>
      <c r="H2315" t="s">
        <v>21324</v>
      </c>
      <c r="K2315" t="s">
        <v>11716</v>
      </c>
      <c r="L2315" t="s">
        <v>11717</v>
      </c>
      <c r="M2315" t="s">
        <v>7250</v>
      </c>
      <c r="T2315" t="s">
        <v>6546</v>
      </c>
      <c r="U2315" t="s">
        <v>6546</v>
      </c>
      <c r="V2315" t="s">
        <v>6546</v>
      </c>
      <c r="W2315">
        <v>26.11</v>
      </c>
      <c r="X2315">
        <v>26.11</v>
      </c>
      <c r="AB2315" t="s">
        <v>1498</v>
      </c>
      <c r="AC2315" t="s">
        <v>8777</v>
      </c>
      <c r="AF2315" t="s">
        <v>9437</v>
      </c>
      <c r="AI2315" t="s">
        <v>8777</v>
      </c>
      <c r="AO2315" t="s">
        <v>21325</v>
      </c>
    </row>
    <row r="2316" spans="1:41" hidden="1" x14ac:dyDescent="0.35">
      <c r="A2316" t="s">
        <v>21326</v>
      </c>
      <c r="B2316" t="s">
        <v>7246</v>
      </c>
      <c r="C2316" t="s">
        <v>5787</v>
      </c>
      <c r="D2316" t="s">
        <v>5643</v>
      </c>
      <c r="E2316" t="s">
        <v>15619</v>
      </c>
      <c r="G2316" s="13" t="s">
        <v>21327</v>
      </c>
      <c r="H2316" t="s">
        <v>21328</v>
      </c>
      <c r="K2316" t="s">
        <v>11716</v>
      </c>
      <c r="L2316" t="s">
        <v>11717</v>
      </c>
      <c r="M2316" t="s">
        <v>7250</v>
      </c>
      <c r="T2316" t="s">
        <v>6546</v>
      </c>
      <c r="U2316" t="s">
        <v>6546</v>
      </c>
      <c r="V2316" t="s">
        <v>6546</v>
      </c>
      <c r="W2316">
        <v>42.28</v>
      </c>
      <c r="X2316">
        <v>42.28</v>
      </c>
      <c r="AB2316" t="s">
        <v>21329</v>
      </c>
      <c r="AC2316" t="s">
        <v>8777</v>
      </c>
      <c r="AF2316" t="s">
        <v>21330</v>
      </c>
      <c r="AI2316" t="s">
        <v>8777</v>
      </c>
      <c r="AO2316" t="s">
        <v>21331</v>
      </c>
    </row>
    <row r="2317" spans="1:41" hidden="1" x14ac:dyDescent="0.35">
      <c r="A2317" t="s">
        <v>21332</v>
      </c>
      <c r="B2317" t="s">
        <v>7246</v>
      </c>
      <c r="C2317" t="s">
        <v>5787</v>
      </c>
      <c r="D2317" t="s">
        <v>5787</v>
      </c>
      <c r="E2317" t="s">
        <v>5787</v>
      </c>
      <c r="G2317" s="13" t="s">
        <v>21333</v>
      </c>
      <c r="H2317" t="s">
        <v>21334</v>
      </c>
      <c r="K2317" t="s">
        <v>11716</v>
      </c>
      <c r="L2317" t="s">
        <v>11717</v>
      </c>
      <c r="M2317" t="s">
        <v>7250</v>
      </c>
      <c r="T2317" t="s">
        <v>6546</v>
      </c>
      <c r="U2317" t="s">
        <v>6546</v>
      </c>
      <c r="V2317" t="s">
        <v>6546</v>
      </c>
      <c r="W2317">
        <v>78.760000000000005</v>
      </c>
      <c r="X2317">
        <v>78.760000000000005</v>
      </c>
      <c r="AB2317" t="s">
        <v>15719</v>
      </c>
      <c r="AC2317" t="s">
        <v>8777</v>
      </c>
      <c r="AF2317" t="s">
        <v>5786</v>
      </c>
      <c r="AI2317" t="s">
        <v>8777</v>
      </c>
      <c r="AO2317" t="s">
        <v>21335</v>
      </c>
    </row>
    <row r="2318" spans="1:41" hidden="1" x14ac:dyDescent="0.35">
      <c r="A2318" t="s">
        <v>21336</v>
      </c>
      <c r="B2318" t="s">
        <v>7246</v>
      </c>
      <c r="C2318" t="s">
        <v>5787</v>
      </c>
      <c r="D2318" t="s">
        <v>5643</v>
      </c>
      <c r="E2318" t="s">
        <v>15619</v>
      </c>
      <c r="G2318" s="13" t="s">
        <v>21337</v>
      </c>
      <c r="H2318" t="s">
        <v>21338</v>
      </c>
      <c r="K2318" t="s">
        <v>11716</v>
      </c>
      <c r="L2318" t="s">
        <v>11717</v>
      </c>
      <c r="M2318" t="s">
        <v>7250</v>
      </c>
      <c r="T2318" t="s">
        <v>6546</v>
      </c>
      <c r="U2318" t="s">
        <v>6546</v>
      </c>
      <c r="V2318" t="s">
        <v>6546</v>
      </c>
      <c r="W2318">
        <v>51.52</v>
      </c>
      <c r="X2318">
        <v>51.52</v>
      </c>
      <c r="AB2318" t="s">
        <v>15719</v>
      </c>
      <c r="AC2318" t="s">
        <v>8777</v>
      </c>
      <c r="AF2318" t="s">
        <v>11851</v>
      </c>
      <c r="AI2318" t="s">
        <v>8777</v>
      </c>
      <c r="AO2318" t="s">
        <v>21339</v>
      </c>
    </row>
    <row r="2319" spans="1:41" hidden="1" x14ac:dyDescent="0.35">
      <c r="A2319" t="s">
        <v>21340</v>
      </c>
      <c r="B2319" t="s">
        <v>7246</v>
      </c>
      <c r="C2319" t="s">
        <v>5787</v>
      </c>
      <c r="D2319" t="s">
        <v>5787</v>
      </c>
      <c r="E2319" t="s">
        <v>5787</v>
      </c>
      <c r="G2319" s="13" t="s">
        <v>21341</v>
      </c>
      <c r="H2319" t="s">
        <v>21342</v>
      </c>
      <c r="K2319" t="s">
        <v>11716</v>
      </c>
      <c r="L2319" t="s">
        <v>11717</v>
      </c>
      <c r="M2319" t="s">
        <v>7250</v>
      </c>
      <c r="T2319" t="s">
        <v>6546</v>
      </c>
      <c r="U2319" t="s">
        <v>6546</v>
      </c>
      <c r="V2319" t="s">
        <v>6546</v>
      </c>
      <c r="W2319">
        <v>132.16999999999999</v>
      </c>
      <c r="X2319">
        <v>132.16999999999999</v>
      </c>
      <c r="AB2319" t="s">
        <v>21343</v>
      </c>
      <c r="AC2319" t="s">
        <v>8777</v>
      </c>
      <c r="AF2319" t="s">
        <v>15719</v>
      </c>
      <c r="AI2319" t="s">
        <v>8777</v>
      </c>
      <c r="AO2319" t="s">
        <v>21344</v>
      </c>
    </row>
    <row r="2320" spans="1:41" hidden="1" x14ac:dyDescent="0.35">
      <c r="A2320" t="s">
        <v>21345</v>
      </c>
      <c r="B2320" t="s">
        <v>7246</v>
      </c>
      <c r="C2320" t="s">
        <v>5787</v>
      </c>
      <c r="D2320" t="s">
        <v>5643</v>
      </c>
      <c r="E2320" t="s">
        <v>15619</v>
      </c>
      <c r="G2320" s="13" t="s">
        <v>21346</v>
      </c>
      <c r="H2320" t="s">
        <v>21347</v>
      </c>
      <c r="K2320" t="s">
        <v>11716</v>
      </c>
      <c r="L2320" t="s">
        <v>11717</v>
      </c>
      <c r="M2320" t="s">
        <v>7250</v>
      </c>
      <c r="T2320" t="s">
        <v>6546</v>
      </c>
      <c r="U2320" t="s">
        <v>6546</v>
      </c>
      <c r="V2320" t="s">
        <v>6546</v>
      </c>
      <c r="W2320">
        <v>28.23</v>
      </c>
      <c r="X2320">
        <v>28.23</v>
      </c>
      <c r="AB2320" t="s">
        <v>16289</v>
      </c>
      <c r="AC2320" t="s">
        <v>8777</v>
      </c>
      <c r="AF2320" t="s">
        <v>9437</v>
      </c>
      <c r="AI2320" t="s">
        <v>8777</v>
      </c>
      <c r="AO2320" t="s">
        <v>21348</v>
      </c>
    </row>
    <row r="2321" spans="1:41" hidden="1" x14ac:dyDescent="0.35">
      <c r="A2321" t="s">
        <v>21349</v>
      </c>
      <c r="B2321" t="s">
        <v>7246</v>
      </c>
      <c r="C2321" t="s">
        <v>5787</v>
      </c>
      <c r="D2321" t="s">
        <v>5787</v>
      </c>
      <c r="E2321" t="s">
        <v>5787</v>
      </c>
      <c r="G2321" s="13" t="s">
        <v>16737</v>
      </c>
      <c r="H2321" t="s">
        <v>16738</v>
      </c>
      <c r="I2321" t="s">
        <v>21350</v>
      </c>
      <c r="K2321" t="s">
        <v>11716</v>
      </c>
      <c r="L2321" t="s">
        <v>11717</v>
      </c>
      <c r="M2321" t="s">
        <v>7250</v>
      </c>
      <c r="T2321" t="s">
        <v>6546</v>
      </c>
      <c r="U2321" t="s">
        <v>6546</v>
      </c>
      <c r="V2321" t="s">
        <v>6546</v>
      </c>
      <c r="W2321">
        <v>21.73</v>
      </c>
      <c r="X2321">
        <v>21.73</v>
      </c>
      <c r="AB2321" t="s">
        <v>16715</v>
      </c>
      <c r="AC2321" t="s">
        <v>8777</v>
      </c>
      <c r="AF2321" t="s">
        <v>15718</v>
      </c>
      <c r="AI2321" t="s">
        <v>8777</v>
      </c>
      <c r="AO2321" t="s">
        <v>21351</v>
      </c>
    </row>
    <row r="2322" spans="1:41" hidden="1" x14ac:dyDescent="0.35">
      <c r="A2322" t="s">
        <v>21352</v>
      </c>
      <c r="B2322" t="s">
        <v>7246</v>
      </c>
      <c r="C2322" t="s">
        <v>5787</v>
      </c>
      <c r="D2322" t="s">
        <v>5787</v>
      </c>
      <c r="E2322" t="s">
        <v>5787</v>
      </c>
      <c r="G2322" s="13" t="s">
        <v>16742</v>
      </c>
      <c r="H2322" t="s">
        <v>16743</v>
      </c>
      <c r="I2322" t="s">
        <v>21353</v>
      </c>
      <c r="K2322" t="s">
        <v>11716</v>
      </c>
      <c r="L2322" t="s">
        <v>11717</v>
      </c>
      <c r="M2322" t="s">
        <v>7250</v>
      </c>
      <c r="T2322" t="s">
        <v>6546</v>
      </c>
      <c r="U2322" t="s">
        <v>6546</v>
      </c>
      <c r="V2322" t="s">
        <v>6546</v>
      </c>
      <c r="W2322">
        <v>31.3</v>
      </c>
      <c r="X2322">
        <v>31.3</v>
      </c>
      <c r="AB2322" t="s">
        <v>16715</v>
      </c>
      <c r="AC2322" t="s">
        <v>8777</v>
      </c>
      <c r="AF2322" t="s">
        <v>21354</v>
      </c>
      <c r="AI2322" t="s">
        <v>8777</v>
      </c>
      <c r="AO2322" t="s">
        <v>21355</v>
      </c>
    </row>
    <row r="2323" spans="1:41" hidden="1" x14ac:dyDescent="0.35">
      <c r="A2323" t="s">
        <v>21356</v>
      </c>
      <c r="B2323" t="s">
        <v>7246</v>
      </c>
      <c r="C2323" t="s">
        <v>5787</v>
      </c>
      <c r="D2323" t="s">
        <v>5787</v>
      </c>
      <c r="E2323" t="s">
        <v>5787</v>
      </c>
      <c r="G2323" s="13" t="s">
        <v>15793</v>
      </c>
      <c r="H2323" t="s">
        <v>15794</v>
      </c>
      <c r="I2323" t="s">
        <v>21357</v>
      </c>
      <c r="K2323" t="s">
        <v>11716</v>
      </c>
      <c r="L2323" t="s">
        <v>11717</v>
      </c>
      <c r="M2323" t="s">
        <v>7250</v>
      </c>
      <c r="T2323" t="s">
        <v>6546</v>
      </c>
      <c r="U2323" t="s">
        <v>6546</v>
      </c>
      <c r="V2323" t="s">
        <v>6546</v>
      </c>
      <c r="W2323">
        <v>73.489999999999995</v>
      </c>
      <c r="X2323">
        <v>73.489999999999995</v>
      </c>
      <c r="AB2323" t="s">
        <v>16715</v>
      </c>
      <c r="AC2323" t="s">
        <v>8777</v>
      </c>
      <c r="AF2323" t="s">
        <v>16289</v>
      </c>
      <c r="AI2323" t="s">
        <v>8777</v>
      </c>
      <c r="AO2323" t="s">
        <v>21358</v>
      </c>
    </row>
    <row r="2324" spans="1:41" hidden="1" x14ac:dyDescent="0.35">
      <c r="A2324" t="s">
        <v>21359</v>
      </c>
      <c r="B2324" t="s">
        <v>7246</v>
      </c>
      <c r="C2324" t="s">
        <v>683</v>
      </c>
      <c r="D2324" t="s">
        <v>683</v>
      </c>
      <c r="E2324" t="s">
        <v>683</v>
      </c>
      <c r="G2324" s="13" t="s">
        <v>21360</v>
      </c>
      <c r="H2324" t="s">
        <v>21361</v>
      </c>
      <c r="J2324" t="s">
        <v>21362</v>
      </c>
      <c r="K2324" t="s">
        <v>21315</v>
      </c>
      <c r="L2324" t="s">
        <v>21316</v>
      </c>
      <c r="M2324" t="s">
        <v>7292</v>
      </c>
      <c r="N2324">
        <v>2023</v>
      </c>
      <c r="R2324">
        <v>8</v>
      </c>
      <c r="S2324" t="s">
        <v>8257</v>
      </c>
      <c r="T2324">
        <v>8</v>
      </c>
      <c r="U2324">
        <v>3723.07</v>
      </c>
      <c r="V2324">
        <v>70</v>
      </c>
      <c r="W2324">
        <v>61.14</v>
      </c>
      <c r="X2324">
        <v>70</v>
      </c>
      <c r="Y2324" t="s">
        <v>21363</v>
      </c>
      <c r="Z2324" t="s">
        <v>8842</v>
      </c>
      <c r="AA2324" t="s">
        <v>21364</v>
      </c>
      <c r="AB2324" t="s">
        <v>21365</v>
      </c>
      <c r="AC2324" t="s">
        <v>8844</v>
      </c>
      <c r="AF2324" t="s">
        <v>21366</v>
      </c>
      <c r="AI2324" t="s">
        <v>8844</v>
      </c>
      <c r="AL2324" t="s">
        <v>21367</v>
      </c>
      <c r="AO2324" t="s">
        <v>21368</v>
      </c>
    </row>
    <row r="2325" spans="1:41" hidden="1" x14ac:dyDescent="0.35">
      <c r="A2325" t="s">
        <v>21369</v>
      </c>
      <c r="B2325" t="s">
        <v>7246</v>
      </c>
      <c r="C2325" t="s">
        <v>683</v>
      </c>
      <c r="D2325" t="s">
        <v>683</v>
      </c>
      <c r="E2325" t="s">
        <v>683</v>
      </c>
      <c r="G2325" s="13" t="s">
        <v>21370</v>
      </c>
      <c r="H2325" t="s">
        <v>21371</v>
      </c>
      <c r="K2325" t="s">
        <v>21315</v>
      </c>
      <c r="L2325" t="s">
        <v>21316</v>
      </c>
      <c r="M2325" t="s">
        <v>7292</v>
      </c>
      <c r="R2325">
        <v>10</v>
      </c>
      <c r="S2325" t="s">
        <v>8257</v>
      </c>
      <c r="T2325">
        <v>10</v>
      </c>
      <c r="U2325">
        <v>4653.83</v>
      </c>
      <c r="V2325">
        <v>370</v>
      </c>
      <c r="W2325">
        <v>288.77999999999997</v>
      </c>
      <c r="X2325">
        <v>370</v>
      </c>
      <c r="Y2325">
        <v>36</v>
      </c>
      <c r="Z2325" t="s">
        <v>7253</v>
      </c>
      <c r="AB2325" t="s">
        <v>5449</v>
      </c>
      <c r="AC2325" t="s">
        <v>8844</v>
      </c>
      <c r="AF2325" t="s">
        <v>21318</v>
      </c>
      <c r="AI2325" t="s">
        <v>8844</v>
      </c>
      <c r="AJ2325" t="s">
        <v>9032</v>
      </c>
      <c r="AO2325" t="s">
        <v>21372</v>
      </c>
    </row>
    <row r="2326" spans="1:41" hidden="1" x14ac:dyDescent="0.35">
      <c r="A2326" t="s">
        <v>21373</v>
      </c>
      <c r="B2326" t="s">
        <v>7246</v>
      </c>
      <c r="C2326" t="s">
        <v>683</v>
      </c>
      <c r="D2326" t="s">
        <v>683</v>
      </c>
      <c r="E2326" t="s">
        <v>683</v>
      </c>
      <c r="G2326" s="13" t="s">
        <v>21374</v>
      </c>
      <c r="H2326" t="s">
        <v>21375</v>
      </c>
      <c r="K2326" t="s">
        <v>21315</v>
      </c>
      <c r="L2326" t="s">
        <v>21316</v>
      </c>
      <c r="M2326" t="s">
        <v>7250</v>
      </c>
      <c r="N2326">
        <v>1975</v>
      </c>
      <c r="R2326">
        <v>4</v>
      </c>
      <c r="S2326" t="s">
        <v>8257</v>
      </c>
      <c r="T2326">
        <v>4</v>
      </c>
      <c r="U2326">
        <v>1861.53</v>
      </c>
      <c r="V2326">
        <v>212.5</v>
      </c>
      <c r="W2326">
        <v>177.3</v>
      </c>
      <c r="X2326">
        <v>212.5</v>
      </c>
      <c r="Y2326" t="s">
        <v>21363</v>
      </c>
      <c r="Z2326" t="s">
        <v>8842</v>
      </c>
      <c r="AB2326" t="s">
        <v>21376</v>
      </c>
      <c r="AC2326" t="s">
        <v>8844</v>
      </c>
      <c r="AF2326" t="s">
        <v>21377</v>
      </c>
      <c r="AI2326" t="s">
        <v>8844</v>
      </c>
      <c r="AO2326" t="s">
        <v>21378</v>
      </c>
    </row>
    <row r="2327" spans="1:41" hidden="1" x14ac:dyDescent="0.35">
      <c r="A2327" t="s">
        <v>21379</v>
      </c>
      <c r="B2327" t="s">
        <v>7246</v>
      </c>
      <c r="C2327" t="s">
        <v>683</v>
      </c>
      <c r="D2327" t="s">
        <v>683</v>
      </c>
      <c r="E2327" t="s">
        <v>683</v>
      </c>
      <c r="G2327" s="13" t="s">
        <v>21380</v>
      </c>
      <c r="H2327" t="s">
        <v>21381</v>
      </c>
      <c r="K2327" t="s">
        <v>21315</v>
      </c>
      <c r="L2327" t="s">
        <v>21316</v>
      </c>
      <c r="M2327" t="s">
        <v>7250</v>
      </c>
      <c r="N2327">
        <v>1975</v>
      </c>
      <c r="T2327" t="s">
        <v>6546</v>
      </c>
      <c r="U2327" t="s">
        <v>6546</v>
      </c>
      <c r="V2327">
        <v>52.8</v>
      </c>
      <c r="W2327">
        <v>38.630000000000003</v>
      </c>
      <c r="X2327">
        <v>52.8</v>
      </c>
      <c r="Y2327" t="s">
        <v>21382</v>
      </c>
      <c r="Z2327" t="s">
        <v>8842</v>
      </c>
      <c r="AB2327" t="s">
        <v>21383</v>
      </c>
      <c r="AC2327" t="s">
        <v>8844</v>
      </c>
      <c r="AF2327" t="s">
        <v>21384</v>
      </c>
      <c r="AI2327" t="s">
        <v>8844</v>
      </c>
      <c r="AO2327" t="s">
        <v>21385</v>
      </c>
    </row>
    <row r="2328" spans="1:41" hidden="1" x14ac:dyDescent="0.35">
      <c r="A2328" t="s">
        <v>21386</v>
      </c>
      <c r="B2328" t="s">
        <v>7246</v>
      </c>
      <c r="C2328" t="s">
        <v>683</v>
      </c>
      <c r="D2328" t="s">
        <v>683</v>
      </c>
      <c r="E2328" t="s">
        <v>683</v>
      </c>
      <c r="G2328" s="13" t="s">
        <v>21387</v>
      </c>
      <c r="H2328" t="s">
        <v>21388</v>
      </c>
      <c r="K2328" t="s">
        <v>21315</v>
      </c>
      <c r="L2328" t="s">
        <v>21316</v>
      </c>
      <c r="M2328" t="s">
        <v>7250</v>
      </c>
      <c r="N2328">
        <v>1986</v>
      </c>
      <c r="T2328" t="s">
        <v>6546</v>
      </c>
      <c r="U2328" t="s">
        <v>6546</v>
      </c>
      <c r="V2328">
        <v>212</v>
      </c>
      <c r="W2328">
        <v>199.05</v>
      </c>
      <c r="X2328">
        <v>212</v>
      </c>
      <c r="Y2328" t="s">
        <v>21389</v>
      </c>
      <c r="Z2328" t="s">
        <v>8842</v>
      </c>
      <c r="AB2328" t="s">
        <v>21377</v>
      </c>
      <c r="AC2328" t="s">
        <v>8844</v>
      </c>
      <c r="AF2328" t="s">
        <v>21390</v>
      </c>
      <c r="AI2328" t="s">
        <v>8844</v>
      </c>
      <c r="AO2328" t="s">
        <v>21391</v>
      </c>
    </row>
    <row r="2329" spans="1:41" hidden="1" x14ac:dyDescent="0.35">
      <c r="A2329" t="s">
        <v>21392</v>
      </c>
      <c r="B2329" t="s">
        <v>7246</v>
      </c>
      <c r="C2329" t="s">
        <v>683</v>
      </c>
      <c r="D2329" t="s">
        <v>683</v>
      </c>
      <c r="E2329" t="s">
        <v>683</v>
      </c>
      <c r="G2329" s="13" t="s">
        <v>21393</v>
      </c>
      <c r="H2329" t="s">
        <v>21394</v>
      </c>
      <c r="K2329" t="s">
        <v>21315</v>
      </c>
      <c r="L2329" t="s">
        <v>21316</v>
      </c>
      <c r="M2329" t="s">
        <v>7250</v>
      </c>
      <c r="N2329">
        <v>2010</v>
      </c>
      <c r="T2329" t="s">
        <v>6546</v>
      </c>
      <c r="U2329" t="s">
        <v>6546</v>
      </c>
      <c r="V2329">
        <v>80.8</v>
      </c>
      <c r="W2329">
        <v>56.72</v>
      </c>
      <c r="X2329">
        <v>80.8</v>
      </c>
      <c r="Y2329">
        <v>700</v>
      </c>
      <c r="Z2329" t="s">
        <v>8842</v>
      </c>
      <c r="AB2329" t="s">
        <v>21395</v>
      </c>
      <c r="AC2329" t="s">
        <v>8844</v>
      </c>
      <c r="AF2329" t="s">
        <v>21279</v>
      </c>
      <c r="AI2329" t="s">
        <v>8844</v>
      </c>
      <c r="AO2329" t="s">
        <v>21396</v>
      </c>
    </row>
    <row r="2330" spans="1:41" hidden="1" x14ac:dyDescent="0.35">
      <c r="A2330" t="s">
        <v>21397</v>
      </c>
      <c r="B2330" t="s">
        <v>7246</v>
      </c>
      <c r="C2330" t="s">
        <v>683</v>
      </c>
      <c r="D2330" t="s">
        <v>683</v>
      </c>
      <c r="E2330" t="s">
        <v>683</v>
      </c>
      <c r="G2330" s="13" t="s">
        <v>21398</v>
      </c>
      <c r="H2330" t="s">
        <v>21399</v>
      </c>
      <c r="K2330" t="s">
        <v>21315</v>
      </c>
      <c r="L2330" t="s">
        <v>21316</v>
      </c>
      <c r="M2330" t="s">
        <v>7250</v>
      </c>
      <c r="N2330">
        <v>1987</v>
      </c>
      <c r="T2330" t="s">
        <v>6546</v>
      </c>
      <c r="U2330" t="s">
        <v>6546</v>
      </c>
      <c r="V2330">
        <v>212.9</v>
      </c>
      <c r="W2330">
        <v>166.4</v>
      </c>
      <c r="X2330">
        <v>212.9</v>
      </c>
      <c r="Y2330" t="s">
        <v>21400</v>
      </c>
      <c r="Z2330" t="s">
        <v>8842</v>
      </c>
      <c r="AB2330" t="s">
        <v>5449</v>
      </c>
      <c r="AC2330" t="s">
        <v>8844</v>
      </c>
      <c r="AF2330" t="s">
        <v>21401</v>
      </c>
      <c r="AI2330" t="s">
        <v>8844</v>
      </c>
      <c r="AO2330" t="s">
        <v>21402</v>
      </c>
    </row>
    <row r="2331" spans="1:41" hidden="1" x14ac:dyDescent="0.35">
      <c r="A2331" t="s">
        <v>21403</v>
      </c>
      <c r="B2331" t="s">
        <v>7246</v>
      </c>
      <c r="C2331" t="s">
        <v>683</v>
      </c>
      <c r="D2331" t="s">
        <v>683</v>
      </c>
      <c r="E2331" t="s">
        <v>683</v>
      </c>
      <c r="G2331" s="13" t="s">
        <v>21404</v>
      </c>
      <c r="H2331" t="s">
        <v>21405</v>
      </c>
      <c r="K2331" t="s">
        <v>21315</v>
      </c>
      <c r="L2331" t="s">
        <v>21316</v>
      </c>
      <c r="M2331" t="s">
        <v>7250</v>
      </c>
      <c r="N2331">
        <v>1980</v>
      </c>
      <c r="T2331" t="s">
        <v>6546</v>
      </c>
      <c r="U2331" t="s">
        <v>6546</v>
      </c>
      <c r="V2331">
        <v>195.6</v>
      </c>
      <c r="W2331">
        <v>125.88</v>
      </c>
      <c r="X2331">
        <v>195.6</v>
      </c>
      <c r="Y2331" t="s">
        <v>21382</v>
      </c>
      <c r="Z2331" t="s">
        <v>8842</v>
      </c>
      <c r="AB2331" t="s">
        <v>21406</v>
      </c>
      <c r="AC2331" t="s">
        <v>8844</v>
      </c>
      <c r="AF2331" t="s">
        <v>21407</v>
      </c>
      <c r="AI2331" t="s">
        <v>8844</v>
      </c>
      <c r="AO2331" t="s">
        <v>21408</v>
      </c>
    </row>
    <row r="2332" spans="1:41" hidden="1" x14ac:dyDescent="0.35">
      <c r="A2332" t="s">
        <v>21409</v>
      </c>
      <c r="B2332" t="s">
        <v>7246</v>
      </c>
      <c r="C2332" t="s">
        <v>683</v>
      </c>
      <c r="D2332" t="s">
        <v>683</v>
      </c>
      <c r="E2332" t="s">
        <v>683</v>
      </c>
      <c r="G2332" s="13" t="s">
        <v>21410</v>
      </c>
      <c r="H2332" t="s">
        <v>21411</v>
      </c>
      <c r="K2332" t="s">
        <v>21315</v>
      </c>
      <c r="L2332" t="s">
        <v>21316</v>
      </c>
      <c r="M2332" t="s">
        <v>7250</v>
      </c>
      <c r="R2332">
        <v>4</v>
      </c>
      <c r="S2332" t="s">
        <v>18164</v>
      </c>
      <c r="T2332">
        <v>1.46</v>
      </c>
      <c r="U2332">
        <v>679.93</v>
      </c>
      <c r="V2332">
        <v>46</v>
      </c>
      <c r="W2332">
        <v>45.46</v>
      </c>
      <c r="X2332">
        <v>46</v>
      </c>
      <c r="Y2332" t="s">
        <v>21412</v>
      </c>
      <c r="Z2332" t="s">
        <v>8842</v>
      </c>
      <c r="AB2332" t="s">
        <v>21413</v>
      </c>
      <c r="AC2332" t="s">
        <v>8844</v>
      </c>
      <c r="AF2332" t="s">
        <v>9839</v>
      </c>
      <c r="AI2332" t="s">
        <v>8844</v>
      </c>
      <c r="AO2332" t="s">
        <v>21414</v>
      </c>
    </row>
    <row r="2333" spans="1:41" hidden="1" x14ac:dyDescent="0.35">
      <c r="A2333" t="s">
        <v>21415</v>
      </c>
      <c r="B2333" t="s">
        <v>7246</v>
      </c>
      <c r="C2333" t="s">
        <v>683</v>
      </c>
      <c r="D2333" t="s">
        <v>683</v>
      </c>
      <c r="E2333" t="s">
        <v>683</v>
      </c>
      <c r="G2333" s="13" t="s">
        <v>21416</v>
      </c>
      <c r="H2333" t="s">
        <v>21417</v>
      </c>
      <c r="K2333" t="s">
        <v>21315</v>
      </c>
      <c r="L2333" t="s">
        <v>21316</v>
      </c>
      <c r="M2333" t="s">
        <v>7250</v>
      </c>
      <c r="N2333">
        <v>2006</v>
      </c>
      <c r="R2333">
        <v>5.5</v>
      </c>
      <c r="S2333" t="s">
        <v>18164</v>
      </c>
      <c r="T2333">
        <v>2.0099999999999998</v>
      </c>
      <c r="U2333">
        <v>934.9</v>
      </c>
      <c r="V2333">
        <v>12.5</v>
      </c>
      <c r="W2333" t="s">
        <v>6546</v>
      </c>
      <c r="X2333">
        <v>12.5</v>
      </c>
      <c r="Y2333">
        <v>700</v>
      </c>
      <c r="Z2333" t="s">
        <v>8842</v>
      </c>
      <c r="AB2333" t="s">
        <v>21418</v>
      </c>
      <c r="AC2333" t="s">
        <v>8844</v>
      </c>
      <c r="AF2333" t="s">
        <v>5449</v>
      </c>
      <c r="AI2333" t="s">
        <v>8844</v>
      </c>
      <c r="AO2333" t="s">
        <v>6546</v>
      </c>
    </row>
    <row r="2334" spans="1:41" hidden="1" x14ac:dyDescent="0.35">
      <c r="A2334" t="s">
        <v>21419</v>
      </c>
      <c r="B2334" t="s">
        <v>7246</v>
      </c>
      <c r="C2334" t="s">
        <v>683</v>
      </c>
      <c r="D2334" t="s">
        <v>683</v>
      </c>
      <c r="E2334" t="s">
        <v>683</v>
      </c>
      <c r="G2334" s="13" t="s">
        <v>21420</v>
      </c>
      <c r="H2334" t="s">
        <v>21421</v>
      </c>
      <c r="K2334" t="s">
        <v>6543</v>
      </c>
      <c r="L2334" t="s">
        <v>6543</v>
      </c>
      <c r="M2334" t="s">
        <v>7292</v>
      </c>
      <c r="T2334" t="s">
        <v>6546</v>
      </c>
      <c r="U2334" t="s">
        <v>6546</v>
      </c>
      <c r="V2334">
        <v>18</v>
      </c>
      <c r="W2334">
        <v>12.09</v>
      </c>
      <c r="X2334">
        <v>18</v>
      </c>
      <c r="Y2334">
        <v>300</v>
      </c>
      <c r="Z2334" t="s">
        <v>8842</v>
      </c>
      <c r="AB2334" t="s">
        <v>21422</v>
      </c>
      <c r="AC2334" t="s">
        <v>8844</v>
      </c>
      <c r="AF2334" t="s">
        <v>21384</v>
      </c>
      <c r="AI2334" t="s">
        <v>8844</v>
      </c>
      <c r="AO2334" t="s">
        <v>21423</v>
      </c>
    </row>
    <row r="2335" spans="1:41" hidden="1" x14ac:dyDescent="0.35">
      <c r="A2335" t="s">
        <v>21424</v>
      </c>
      <c r="B2335" t="s">
        <v>7246</v>
      </c>
      <c r="C2335" t="s">
        <v>683</v>
      </c>
      <c r="D2335" t="s">
        <v>683</v>
      </c>
      <c r="E2335" t="s">
        <v>683</v>
      </c>
      <c r="G2335" s="13" t="s">
        <v>21425</v>
      </c>
      <c r="H2335" t="s">
        <v>21426</v>
      </c>
      <c r="K2335" t="s">
        <v>6543</v>
      </c>
      <c r="L2335" t="s">
        <v>6543</v>
      </c>
      <c r="M2335" t="s">
        <v>7415</v>
      </c>
      <c r="N2335">
        <v>2024</v>
      </c>
      <c r="T2335" t="s">
        <v>6546</v>
      </c>
      <c r="U2335" t="s">
        <v>6546</v>
      </c>
      <c r="V2335">
        <v>70</v>
      </c>
      <c r="W2335">
        <v>47.52</v>
      </c>
      <c r="X2335">
        <v>70</v>
      </c>
      <c r="Y2335">
        <v>700</v>
      </c>
      <c r="Z2335" t="s">
        <v>8842</v>
      </c>
      <c r="AB2335" t="s">
        <v>21427</v>
      </c>
      <c r="AC2335" t="s">
        <v>8844</v>
      </c>
      <c r="AF2335" t="s">
        <v>21317</v>
      </c>
      <c r="AI2335" t="s">
        <v>8844</v>
      </c>
      <c r="AO2335" t="s">
        <v>21428</v>
      </c>
    </row>
    <row r="2336" spans="1:41" hidden="1" x14ac:dyDescent="0.35">
      <c r="A2336" t="s">
        <v>21429</v>
      </c>
      <c r="B2336" t="s">
        <v>7246</v>
      </c>
      <c r="C2336" t="s">
        <v>5643</v>
      </c>
      <c r="D2336" t="s">
        <v>5643</v>
      </c>
      <c r="E2336" t="s">
        <v>5643</v>
      </c>
      <c r="G2336" s="13" t="s">
        <v>21430</v>
      </c>
      <c r="H2336" t="s">
        <v>21431</v>
      </c>
      <c r="K2336" t="s">
        <v>16245</v>
      </c>
      <c r="L2336" t="s">
        <v>16246</v>
      </c>
      <c r="M2336" t="s">
        <v>7250</v>
      </c>
      <c r="T2336" t="s">
        <v>6546</v>
      </c>
      <c r="U2336" t="s">
        <v>6546</v>
      </c>
      <c r="V2336" t="s">
        <v>6546</v>
      </c>
      <c r="W2336">
        <v>140.55000000000001</v>
      </c>
      <c r="X2336">
        <v>140.55000000000001</v>
      </c>
      <c r="AB2336" t="s">
        <v>16801</v>
      </c>
      <c r="AC2336" t="s">
        <v>8777</v>
      </c>
      <c r="AF2336" t="s">
        <v>9372</v>
      </c>
      <c r="AI2336" t="s">
        <v>8777</v>
      </c>
      <c r="AO2336" t="s">
        <v>21432</v>
      </c>
    </row>
    <row r="2337" spans="1:41" hidden="1" x14ac:dyDescent="0.35">
      <c r="A2337" t="s">
        <v>21433</v>
      </c>
      <c r="B2337" t="s">
        <v>7246</v>
      </c>
      <c r="C2337" t="s">
        <v>5643</v>
      </c>
      <c r="D2337" t="s">
        <v>5643</v>
      </c>
      <c r="E2337" t="s">
        <v>5643</v>
      </c>
      <c r="G2337" s="13" t="s">
        <v>21434</v>
      </c>
      <c r="H2337" t="s">
        <v>21435</v>
      </c>
      <c r="K2337" t="s">
        <v>16245</v>
      </c>
      <c r="L2337" t="s">
        <v>16246</v>
      </c>
      <c r="M2337" t="s">
        <v>7250</v>
      </c>
      <c r="T2337" t="s">
        <v>6546</v>
      </c>
      <c r="U2337" t="s">
        <v>6546</v>
      </c>
      <c r="V2337" t="s">
        <v>6546</v>
      </c>
      <c r="W2337">
        <v>77.88</v>
      </c>
      <c r="X2337">
        <v>77.88</v>
      </c>
      <c r="AB2337" t="s">
        <v>9372</v>
      </c>
      <c r="AC2337" t="s">
        <v>8777</v>
      </c>
      <c r="AF2337" t="s">
        <v>16247</v>
      </c>
      <c r="AI2337" t="s">
        <v>8777</v>
      </c>
      <c r="AO2337" t="s">
        <v>21436</v>
      </c>
    </row>
    <row r="2338" spans="1:41" hidden="1" x14ac:dyDescent="0.35">
      <c r="A2338" t="s">
        <v>21437</v>
      </c>
      <c r="B2338" t="s">
        <v>7246</v>
      </c>
      <c r="C2338" t="s">
        <v>5643</v>
      </c>
      <c r="D2338" t="s">
        <v>5643</v>
      </c>
      <c r="E2338" t="s">
        <v>5643</v>
      </c>
      <c r="G2338" s="13" t="s">
        <v>21438</v>
      </c>
      <c r="H2338" t="s">
        <v>21439</v>
      </c>
      <c r="K2338" t="s">
        <v>15693</v>
      </c>
      <c r="L2338" t="s">
        <v>15694</v>
      </c>
      <c r="M2338" t="s">
        <v>7250</v>
      </c>
      <c r="T2338" t="s">
        <v>6546</v>
      </c>
      <c r="U2338" t="s">
        <v>6546</v>
      </c>
      <c r="V2338" t="s">
        <v>6546</v>
      </c>
      <c r="W2338">
        <v>68.62</v>
      </c>
      <c r="X2338">
        <v>68.62</v>
      </c>
      <c r="Y2338">
        <v>700</v>
      </c>
      <c r="Z2338" t="s">
        <v>8842</v>
      </c>
      <c r="AB2338" t="s">
        <v>9609</v>
      </c>
      <c r="AC2338" t="s">
        <v>8777</v>
      </c>
      <c r="AF2338" t="s">
        <v>13454</v>
      </c>
      <c r="AI2338" t="s">
        <v>8777</v>
      </c>
      <c r="AO2338" t="s">
        <v>21440</v>
      </c>
    </row>
    <row r="2339" spans="1:41" hidden="1" x14ac:dyDescent="0.35">
      <c r="A2339" t="s">
        <v>21441</v>
      </c>
      <c r="B2339" t="s">
        <v>7246</v>
      </c>
      <c r="C2339" t="s">
        <v>5643</v>
      </c>
      <c r="D2339" t="s">
        <v>5643</v>
      </c>
      <c r="E2339" t="s">
        <v>5643</v>
      </c>
      <c r="G2339" s="13" t="s">
        <v>21442</v>
      </c>
      <c r="H2339" t="s">
        <v>21443</v>
      </c>
      <c r="K2339" t="s">
        <v>15693</v>
      </c>
      <c r="L2339" t="s">
        <v>15694</v>
      </c>
      <c r="M2339" t="s">
        <v>7250</v>
      </c>
      <c r="T2339" t="s">
        <v>6546</v>
      </c>
      <c r="U2339" t="s">
        <v>6546</v>
      </c>
      <c r="V2339" t="s">
        <v>6546</v>
      </c>
      <c r="W2339">
        <v>47.21</v>
      </c>
      <c r="X2339">
        <v>47.21</v>
      </c>
      <c r="Y2339">
        <v>700</v>
      </c>
      <c r="Z2339" t="s">
        <v>8842</v>
      </c>
      <c r="AB2339" t="s">
        <v>21444</v>
      </c>
      <c r="AC2339" t="s">
        <v>8777</v>
      </c>
      <c r="AF2339" t="s">
        <v>21445</v>
      </c>
      <c r="AI2339" t="s">
        <v>8777</v>
      </c>
      <c r="AO2339" t="s">
        <v>21446</v>
      </c>
    </row>
    <row r="2340" spans="1:41" hidden="1" x14ac:dyDescent="0.35">
      <c r="A2340" t="s">
        <v>21447</v>
      </c>
      <c r="B2340" t="s">
        <v>7246</v>
      </c>
      <c r="C2340" t="s">
        <v>5643</v>
      </c>
      <c r="D2340" t="s">
        <v>5643</v>
      </c>
      <c r="E2340" t="s">
        <v>5643</v>
      </c>
      <c r="G2340" s="13" t="s">
        <v>21448</v>
      </c>
      <c r="H2340" t="s">
        <v>21449</v>
      </c>
      <c r="K2340" t="s">
        <v>16245</v>
      </c>
      <c r="L2340" t="s">
        <v>16246</v>
      </c>
      <c r="M2340" t="s">
        <v>7250</v>
      </c>
      <c r="T2340" t="s">
        <v>6546</v>
      </c>
      <c r="U2340" t="s">
        <v>6546</v>
      </c>
      <c r="V2340" t="s">
        <v>6546</v>
      </c>
      <c r="W2340">
        <v>271.04000000000002</v>
      </c>
      <c r="X2340">
        <v>271.04000000000002</v>
      </c>
      <c r="AB2340" t="s">
        <v>9641</v>
      </c>
      <c r="AC2340" t="s">
        <v>8777</v>
      </c>
      <c r="AF2340" t="s">
        <v>21450</v>
      </c>
      <c r="AI2340" t="s">
        <v>8777</v>
      </c>
      <c r="AO2340" t="s">
        <v>21451</v>
      </c>
    </row>
    <row r="2341" spans="1:41" hidden="1" x14ac:dyDescent="0.35">
      <c r="A2341" t="s">
        <v>21452</v>
      </c>
      <c r="B2341" t="s">
        <v>7246</v>
      </c>
      <c r="C2341" t="s">
        <v>5643</v>
      </c>
      <c r="D2341" t="s">
        <v>5643</v>
      </c>
      <c r="E2341" t="s">
        <v>5643</v>
      </c>
      <c r="G2341" s="13" t="s">
        <v>21453</v>
      </c>
      <c r="H2341" t="s">
        <v>21454</v>
      </c>
      <c r="K2341" t="s">
        <v>15693</v>
      </c>
      <c r="L2341" t="s">
        <v>15694</v>
      </c>
      <c r="M2341" t="s">
        <v>7250</v>
      </c>
      <c r="T2341" t="s">
        <v>6546</v>
      </c>
      <c r="U2341" t="s">
        <v>6546</v>
      </c>
      <c r="V2341" t="s">
        <v>6546</v>
      </c>
      <c r="W2341">
        <v>111.9</v>
      </c>
      <c r="X2341">
        <v>111.9</v>
      </c>
      <c r="Y2341">
        <v>700</v>
      </c>
      <c r="Z2341" t="s">
        <v>8842</v>
      </c>
      <c r="AB2341" t="s">
        <v>21455</v>
      </c>
      <c r="AC2341" t="s">
        <v>8777</v>
      </c>
      <c r="AF2341" t="s">
        <v>13456</v>
      </c>
      <c r="AI2341" t="s">
        <v>8777</v>
      </c>
      <c r="AO2341" t="s">
        <v>21456</v>
      </c>
    </row>
    <row r="2342" spans="1:41" hidden="1" x14ac:dyDescent="0.35">
      <c r="A2342" t="s">
        <v>21457</v>
      </c>
      <c r="B2342" t="s">
        <v>7246</v>
      </c>
      <c r="C2342" t="s">
        <v>5643</v>
      </c>
      <c r="D2342" t="s">
        <v>5643</v>
      </c>
      <c r="E2342" t="s">
        <v>5643</v>
      </c>
      <c r="G2342" s="13" t="s">
        <v>21458</v>
      </c>
      <c r="H2342" t="s">
        <v>21459</v>
      </c>
      <c r="K2342" t="s">
        <v>21460</v>
      </c>
      <c r="L2342" t="s">
        <v>11717</v>
      </c>
      <c r="M2342" t="s">
        <v>7250</v>
      </c>
      <c r="T2342" t="s">
        <v>6546</v>
      </c>
      <c r="U2342" t="s">
        <v>6546</v>
      </c>
      <c r="V2342" t="s">
        <v>6546</v>
      </c>
      <c r="W2342">
        <v>70.290000000000006</v>
      </c>
      <c r="X2342">
        <v>70.290000000000006</v>
      </c>
      <c r="AB2342" t="s">
        <v>9680</v>
      </c>
      <c r="AC2342" t="s">
        <v>8777</v>
      </c>
      <c r="AF2342" t="s">
        <v>21461</v>
      </c>
      <c r="AI2342" t="s">
        <v>8777</v>
      </c>
      <c r="AO2342" t="s">
        <v>21462</v>
      </c>
    </row>
    <row r="2343" spans="1:41" hidden="1" x14ac:dyDescent="0.35">
      <c r="A2343" t="s">
        <v>21463</v>
      </c>
      <c r="B2343" t="s">
        <v>7246</v>
      </c>
      <c r="C2343" t="s">
        <v>5643</v>
      </c>
      <c r="D2343" t="s">
        <v>5643</v>
      </c>
      <c r="E2343" t="s">
        <v>5643</v>
      </c>
      <c r="G2343" s="13" t="s">
        <v>21464</v>
      </c>
      <c r="H2343" t="s">
        <v>21465</v>
      </c>
      <c r="K2343" t="s">
        <v>15693</v>
      </c>
      <c r="L2343" t="s">
        <v>15694</v>
      </c>
      <c r="M2343" t="s">
        <v>7250</v>
      </c>
      <c r="T2343" t="s">
        <v>6546</v>
      </c>
      <c r="U2343" t="s">
        <v>6546</v>
      </c>
      <c r="V2343" t="s">
        <v>6546</v>
      </c>
      <c r="W2343">
        <v>65.459999999999994</v>
      </c>
      <c r="X2343">
        <v>65.459999999999994</v>
      </c>
      <c r="Y2343" t="s">
        <v>21466</v>
      </c>
      <c r="Z2343" t="s">
        <v>8842</v>
      </c>
      <c r="AB2343" t="s">
        <v>21330</v>
      </c>
      <c r="AC2343" t="s">
        <v>8777</v>
      </c>
      <c r="AF2343" t="s">
        <v>21444</v>
      </c>
      <c r="AI2343" t="s">
        <v>8777</v>
      </c>
      <c r="AO2343" t="s">
        <v>21467</v>
      </c>
    </row>
    <row r="2344" spans="1:41" hidden="1" x14ac:dyDescent="0.35">
      <c r="A2344" t="s">
        <v>21468</v>
      </c>
      <c r="B2344" t="s">
        <v>7246</v>
      </c>
      <c r="C2344" t="s">
        <v>5643</v>
      </c>
      <c r="D2344" t="s">
        <v>5643</v>
      </c>
      <c r="E2344" t="s">
        <v>5643</v>
      </c>
      <c r="G2344" s="13" t="s">
        <v>21469</v>
      </c>
      <c r="H2344" t="s">
        <v>21470</v>
      </c>
      <c r="K2344" t="s">
        <v>21471</v>
      </c>
      <c r="L2344" t="s">
        <v>21472</v>
      </c>
      <c r="M2344" t="s">
        <v>7250</v>
      </c>
      <c r="T2344" t="s">
        <v>6546</v>
      </c>
      <c r="U2344" t="s">
        <v>6546</v>
      </c>
      <c r="V2344" t="s">
        <v>6546</v>
      </c>
      <c r="W2344">
        <v>280.36</v>
      </c>
      <c r="X2344">
        <v>280.36</v>
      </c>
      <c r="AB2344" t="s">
        <v>21473</v>
      </c>
      <c r="AC2344" t="s">
        <v>8777</v>
      </c>
      <c r="AF2344" t="s">
        <v>16507</v>
      </c>
      <c r="AI2344" t="s">
        <v>8777</v>
      </c>
      <c r="AO2344" t="s">
        <v>21474</v>
      </c>
    </row>
    <row r="2345" spans="1:41" hidden="1" x14ac:dyDescent="0.35">
      <c r="A2345" t="s">
        <v>21475</v>
      </c>
      <c r="B2345" t="s">
        <v>7246</v>
      </c>
      <c r="C2345" t="s">
        <v>5643</v>
      </c>
      <c r="D2345" t="s">
        <v>5643</v>
      </c>
      <c r="E2345" t="s">
        <v>5643</v>
      </c>
      <c r="G2345" s="13" t="s">
        <v>21476</v>
      </c>
      <c r="H2345" t="s">
        <v>21477</v>
      </c>
      <c r="K2345" t="s">
        <v>21471</v>
      </c>
      <c r="L2345" t="s">
        <v>21472</v>
      </c>
      <c r="M2345" t="s">
        <v>7250</v>
      </c>
      <c r="T2345" t="s">
        <v>6546</v>
      </c>
      <c r="U2345" t="s">
        <v>6546</v>
      </c>
      <c r="V2345" t="s">
        <v>6546</v>
      </c>
      <c r="W2345">
        <v>157.33000000000001</v>
      </c>
      <c r="X2345">
        <v>157.33000000000001</v>
      </c>
      <c r="AB2345" t="s">
        <v>3327</v>
      </c>
      <c r="AC2345" t="s">
        <v>8777</v>
      </c>
      <c r="AF2345" t="s">
        <v>16507</v>
      </c>
      <c r="AI2345" t="s">
        <v>8777</v>
      </c>
      <c r="AO2345" t="s">
        <v>21478</v>
      </c>
    </row>
    <row r="2346" spans="1:41" hidden="1" x14ac:dyDescent="0.35">
      <c r="A2346" t="s">
        <v>21479</v>
      </c>
      <c r="B2346" t="s">
        <v>7246</v>
      </c>
      <c r="C2346" t="s">
        <v>5295</v>
      </c>
      <c r="D2346" t="s">
        <v>5295</v>
      </c>
      <c r="E2346" t="s">
        <v>5295</v>
      </c>
      <c r="G2346" s="13" t="s">
        <v>21480</v>
      </c>
      <c r="H2346" t="s">
        <v>21481</v>
      </c>
      <c r="K2346" t="s">
        <v>11024</v>
      </c>
      <c r="L2346" t="s">
        <v>11024</v>
      </c>
      <c r="M2346" t="s">
        <v>7250</v>
      </c>
      <c r="N2346">
        <v>2008</v>
      </c>
      <c r="T2346" t="s">
        <v>6546</v>
      </c>
      <c r="U2346" t="s">
        <v>6546</v>
      </c>
      <c r="V2346">
        <v>95</v>
      </c>
      <c r="W2346">
        <v>367.24</v>
      </c>
      <c r="X2346">
        <v>95</v>
      </c>
      <c r="Y2346">
        <v>42</v>
      </c>
      <c r="Z2346" t="s">
        <v>7253</v>
      </c>
      <c r="AB2346" t="s">
        <v>21482</v>
      </c>
      <c r="AC2346" t="s">
        <v>10816</v>
      </c>
      <c r="AE2346" t="s">
        <v>21483</v>
      </c>
      <c r="AF2346" t="s">
        <v>21484</v>
      </c>
      <c r="AH2346" t="s">
        <v>18290</v>
      </c>
      <c r="AI2346" t="s">
        <v>10816</v>
      </c>
      <c r="AO2346" t="s">
        <v>21485</v>
      </c>
    </row>
    <row r="2347" spans="1:41" hidden="1" x14ac:dyDescent="0.35">
      <c r="A2347" t="s">
        <v>21486</v>
      </c>
      <c r="B2347" t="s">
        <v>7246</v>
      </c>
      <c r="C2347" t="s">
        <v>5295</v>
      </c>
      <c r="D2347" t="s">
        <v>5295</v>
      </c>
      <c r="E2347" t="s">
        <v>5295</v>
      </c>
      <c r="G2347" s="13" t="s">
        <v>21487</v>
      </c>
      <c r="H2347" t="s">
        <v>21488</v>
      </c>
      <c r="K2347" t="s">
        <v>11024</v>
      </c>
      <c r="L2347" t="s">
        <v>11024</v>
      </c>
      <c r="M2347" t="s">
        <v>7250</v>
      </c>
      <c r="N2347">
        <v>1981</v>
      </c>
      <c r="T2347" t="s">
        <v>6546</v>
      </c>
      <c r="U2347" t="s">
        <v>6546</v>
      </c>
      <c r="V2347">
        <v>57</v>
      </c>
      <c r="W2347">
        <v>51.75</v>
      </c>
      <c r="X2347">
        <v>57</v>
      </c>
      <c r="Y2347">
        <v>28</v>
      </c>
      <c r="Z2347" t="s">
        <v>7253</v>
      </c>
      <c r="AB2347" t="s">
        <v>21489</v>
      </c>
      <c r="AC2347" t="s">
        <v>10816</v>
      </c>
      <c r="AE2347" t="s">
        <v>11025</v>
      </c>
      <c r="AH2347" t="s">
        <v>2939</v>
      </c>
      <c r="AI2347" t="s">
        <v>10816</v>
      </c>
      <c r="AO2347" t="s">
        <v>21490</v>
      </c>
    </row>
    <row r="2348" spans="1:41" hidden="1" x14ac:dyDescent="0.35">
      <c r="A2348" t="s">
        <v>21491</v>
      </c>
      <c r="B2348" t="s">
        <v>7246</v>
      </c>
      <c r="C2348" t="s">
        <v>5295</v>
      </c>
      <c r="D2348" t="s">
        <v>5295</v>
      </c>
      <c r="E2348" t="s">
        <v>5295</v>
      </c>
      <c r="G2348" s="13" t="s">
        <v>21492</v>
      </c>
      <c r="H2348" t="s">
        <v>21493</v>
      </c>
      <c r="K2348" t="s">
        <v>11024</v>
      </c>
      <c r="L2348" t="s">
        <v>11024</v>
      </c>
      <c r="M2348" t="s">
        <v>7250</v>
      </c>
      <c r="N2348">
        <v>2007</v>
      </c>
      <c r="T2348" t="s">
        <v>6546</v>
      </c>
      <c r="U2348" t="s">
        <v>6546</v>
      </c>
      <c r="V2348">
        <v>70</v>
      </c>
      <c r="W2348">
        <v>81.11</v>
      </c>
      <c r="X2348">
        <v>70</v>
      </c>
      <c r="Y2348">
        <v>30</v>
      </c>
      <c r="Z2348" t="s">
        <v>7253</v>
      </c>
      <c r="AC2348" t="s">
        <v>10816</v>
      </c>
      <c r="AE2348" t="s">
        <v>14459</v>
      </c>
      <c r="AH2348" t="s">
        <v>2939</v>
      </c>
      <c r="AI2348" t="s">
        <v>10816</v>
      </c>
      <c r="AO2348" t="s">
        <v>21494</v>
      </c>
    </row>
    <row r="2349" spans="1:41" hidden="1" x14ac:dyDescent="0.35">
      <c r="A2349" t="s">
        <v>21495</v>
      </c>
      <c r="B2349" t="s">
        <v>7246</v>
      </c>
      <c r="C2349" t="s">
        <v>5295</v>
      </c>
      <c r="D2349" t="s">
        <v>5295</v>
      </c>
      <c r="E2349" t="s">
        <v>5295</v>
      </c>
      <c r="G2349" s="13" t="s">
        <v>21496</v>
      </c>
      <c r="H2349" t="s">
        <v>21497</v>
      </c>
      <c r="J2349" t="s">
        <v>21498</v>
      </c>
      <c r="K2349" t="s">
        <v>11024</v>
      </c>
      <c r="L2349" t="s">
        <v>11024</v>
      </c>
      <c r="M2349" t="s">
        <v>7250</v>
      </c>
      <c r="N2349">
        <v>2015</v>
      </c>
      <c r="T2349" t="s">
        <v>6546</v>
      </c>
      <c r="U2349" t="s">
        <v>6546</v>
      </c>
      <c r="V2349">
        <v>298</v>
      </c>
      <c r="W2349">
        <v>222.24</v>
      </c>
      <c r="X2349">
        <v>298</v>
      </c>
      <c r="Y2349">
        <v>42</v>
      </c>
      <c r="Z2349" t="s">
        <v>7253</v>
      </c>
      <c r="AC2349" t="s">
        <v>10816</v>
      </c>
      <c r="AE2349" t="s">
        <v>2949</v>
      </c>
      <c r="AH2349" t="s">
        <v>21499</v>
      </c>
      <c r="AI2349" t="s">
        <v>10816</v>
      </c>
      <c r="AO2349" t="s">
        <v>21500</v>
      </c>
    </row>
    <row r="2350" spans="1:41" hidden="1" x14ac:dyDescent="0.35">
      <c r="A2350" t="s">
        <v>21501</v>
      </c>
      <c r="B2350" t="s">
        <v>7246</v>
      </c>
      <c r="C2350" t="s">
        <v>5295</v>
      </c>
      <c r="D2350" t="s">
        <v>5295</v>
      </c>
      <c r="E2350" t="s">
        <v>5295</v>
      </c>
      <c r="G2350" s="13" t="s">
        <v>21502</v>
      </c>
      <c r="H2350" t="s">
        <v>21503</v>
      </c>
      <c r="K2350" t="s">
        <v>11024</v>
      </c>
      <c r="L2350" t="s">
        <v>11024</v>
      </c>
      <c r="M2350" t="s">
        <v>7250</v>
      </c>
      <c r="N2350">
        <v>2015</v>
      </c>
      <c r="T2350" t="s">
        <v>6546</v>
      </c>
      <c r="U2350" t="s">
        <v>6546</v>
      </c>
      <c r="V2350">
        <v>192</v>
      </c>
      <c r="W2350">
        <v>175.52</v>
      </c>
      <c r="X2350">
        <v>192</v>
      </c>
      <c r="Y2350">
        <v>28</v>
      </c>
      <c r="Z2350" t="s">
        <v>7253</v>
      </c>
      <c r="AC2350" t="s">
        <v>10816</v>
      </c>
      <c r="AE2350" t="s">
        <v>18359</v>
      </c>
      <c r="AH2350" t="s">
        <v>21504</v>
      </c>
      <c r="AI2350" t="s">
        <v>10816</v>
      </c>
      <c r="AO2350" t="s">
        <v>21505</v>
      </c>
    </row>
    <row r="2351" spans="1:41" hidden="1" x14ac:dyDescent="0.35">
      <c r="A2351" t="s">
        <v>21506</v>
      </c>
      <c r="B2351" t="s">
        <v>7246</v>
      </c>
      <c r="C2351" t="s">
        <v>5295</v>
      </c>
      <c r="D2351" t="s">
        <v>5295</v>
      </c>
      <c r="E2351" t="s">
        <v>5295</v>
      </c>
      <c r="G2351" s="13" t="s">
        <v>21507</v>
      </c>
      <c r="H2351" t="s">
        <v>21508</v>
      </c>
      <c r="K2351" t="s">
        <v>11024</v>
      </c>
      <c r="L2351" t="s">
        <v>11024</v>
      </c>
      <c r="M2351" t="s">
        <v>7250</v>
      </c>
      <c r="N2351">
        <v>2018</v>
      </c>
      <c r="T2351" t="s">
        <v>6546</v>
      </c>
      <c r="U2351" t="s">
        <v>6546</v>
      </c>
      <c r="V2351">
        <v>145</v>
      </c>
      <c r="W2351">
        <v>126.82</v>
      </c>
      <c r="X2351">
        <v>145</v>
      </c>
      <c r="Y2351">
        <v>28</v>
      </c>
      <c r="Z2351" t="s">
        <v>7253</v>
      </c>
      <c r="AC2351" t="s">
        <v>10816</v>
      </c>
      <c r="AE2351" t="s">
        <v>21509</v>
      </c>
      <c r="AH2351" t="s">
        <v>14452</v>
      </c>
      <c r="AI2351" t="s">
        <v>10816</v>
      </c>
      <c r="AO2351" t="s">
        <v>21510</v>
      </c>
    </row>
    <row r="2352" spans="1:41" hidden="1" x14ac:dyDescent="0.35">
      <c r="A2352" t="s">
        <v>21511</v>
      </c>
      <c r="B2352" t="s">
        <v>7246</v>
      </c>
      <c r="C2352" t="s">
        <v>371</v>
      </c>
      <c r="D2352" t="s">
        <v>371</v>
      </c>
      <c r="E2352" t="s">
        <v>371</v>
      </c>
      <c r="G2352" s="13" t="s">
        <v>21291</v>
      </c>
      <c r="H2352" t="s">
        <v>21292</v>
      </c>
      <c r="I2352" t="s">
        <v>21512</v>
      </c>
      <c r="K2352" t="s">
        <v>21294</v>
      </c>
      <c r="L2352" t="s">
        <v>21295</v>
      </c>
      <c r="M2352" t="s">
        <v>7292</v>
      </c>
      <c r="T2352" t="s">
        <v>6546</v>
      </c>
      <c r="U2352" t="s">
        <v>6546</v>
      </c>
      <c r="V2352">
        <v>100</v>
      </c>
      <c r="W2352" t="s">
        <v>6546</v>
      </c>
      <c r="X2352">
        <v>100</v>
      </c>
      <c r="AC2352" t="s">
        <v>8765</v>
      </c>
      <c r="AI2352" t="s">
        <v>8765</v>
      </c>
      <c r="AO2352" t="s">
        <v>6546</v>
      </c>
    </row>
    <row r="2353" spans="1:41" hidden="1" x14ac:dyDescent="0.35">
      <c r="A2353" t="s">
        <v>21513</v>
      </c>
      <c r="B2353" t="s">
        <v>7246</v>
      </c>
      <c r="C2353" t="s">
        <v>5643</v>
      </c>
      <c r="D2353" t="s">
        <v>5643</v>
      </c>
      <c r="E2353" t="s">
        <v>5643</v>
      </c>
      <c r="G2353" s="13" t="s">
        <v>21514</v>
      </c>
      <c r="H2353" t="s">
        <v>21515</v>
      </c>
      <c r="K2353" t="s">
        <v>16245</v>
      </c>
      <c r="L2353" t="s">
        <v>16246</v>
      </c>
      <c r="M2353" t="s">
        <v>7250</v>
      </c>
      <c r="T2353" t="s">
        <v>6546</v>
      </c>
      <c r="U2353" t="s">
        <v>6546</v>
      </c>
      <c r="V2353" t="s">
        <v>6546</v>
      </c>
      <c r="W2353">
        <v>161.26</v>
      </c>
      <c r="X2353">
        <v>161.26</v>
      </c>
      <c r="AB2353" t="s">
        <v>9372</v>
      </c>
      <c r="AC2353" t="s">
        <v>8777</v>
      </c>
      <c r="AF2353" t="s">
        <v>9641</v>
      </c>
      <c r="AI2353" t="s">
        <v>8777</v>
      </c>
      <c r="AO2353" t="s">
        <v>21516</v>
      </c>
    </row>
    <row r="2354" spans="1:41" hidden="1" x14ac:dyDescent="0.35">
      <c r="A2354" t="s">
        <v>21517</v>
      </c>
      <c r="B2354" t="s">
        <v>7246</v>
      </c>
      <c r="C2354" t="s">
        <v>5643</v>
      </c>
      <c r="D2354" t="s">
        <v>5643</v>
      </c>
      <c r="E2354" t="s">
        <v>5643</v>
      </c>
      <c r="G2354" s="13" t="s">
        <v>21518</v>
      </c>
      <c r="H2354" t="s">
        <v>21519</v>
      </c>
      <c r="K2354" t="s">
        <v>16245</v>
      </c>
      <c r="L2354" t="s">
        <v>16246</v>
      </c>
      <c r="M2354" t="s">
        <v>7250</v>
      </c>
      <c r="T2354" t="s">
        <v>6546</v>
      </c>
      <c r="U2354" t="s">
        <v>6546</v>
      </c>
      <c r="V2354" t="s">
        <v>6546</v>
      </c>
      <c r="W2354">
        <v>339.84</v>
      </c>
      <c r="X2354">
        <v>339.84</v>
      </c>
      <c r="AB2354" t="s">
        <v>9641</v>
      </c>
      <c r="AC2354" t="s">
        <v>8777</v>
      </c>
      <c r="AF2354" t="s">
        <v>21520</v>
      </c>
      <c r="AI2354" t="s">
        <v>8777</v>
      </c>
      <c r="AO2354" t="s">
        <v>21521</v>
      </c>
    </row>
    <row r="2355" spans="1:41" hidden="1" x14ac:dyDescent="0.35">
      <c r="A2355" t="s">
        <v>21522</v>
      </c>
      <c r="B2355" t="s">
        <v>7246</v>
      </c>
      <c r="C2355" t="s">
        <v>5643</v>
      </c>
      <c r="D2355" t="s">
        <v>5643</v>
      </c>
      <c r="E2355" t="s">
        <v>5643</v>
      </c>
      <c r="G2355" s="13" t="s">
        <v>21523</v>
      </c>
      <c r="H2355" t="s">
        <v>21524</v>
      </c>
      <c r="I2355" t="s">
        <v>21525</v>
      </c>
      <c r="K2355" t="s">
        <v>16245</v>
      </c>
      <c r="L2355" t="s">
        <v>16246</v>
      </c>
      <c r="M2355" t="s">
        <v>7250</v>
      </c>
      <c r="T2355" t="s">
        <v>6546</v>
      </c>
      <c r="U2355" t="s">
        <v>6546</v>
      </c>
      <c r="V2355" t="s">
        <v>6546</v>
      </c>
      <c r="W2355">
        <v>87.81</v>
      </c>
      <c r="X2355">
        <v>87.81</v>
      </c>
      <c r="AB2355" t="s">
        <v>21526</v>
      </c>
      <c r="AC2355" t="s">
        <v>8777</v>
      </c>
      <c r="AF2355" t="s">
        <v>21527</v>
      </c>
      <c r="AI2355" t="s">
        <v>8777</v>
      </c>
      <c r="AO2355" t="s">
        <v>21528</v>
      </c>
    </row>
    <row r="2356" spans="1:41" hidden="1" x14ac:dyDescent="0.35">
      <c r="A2356" t="s">
        <v>21529</v>
      </c>
      <c r="B2356" t="s">
        <v>7246</v>
      </c>
      <c r="C2356" t="s">
        <v>5643</v>
      </c>
      <c r="D2356" t="s">
        <v>5643</v>
      </c>
      <c r="E2356" t="s">
        <v>5643</v>
      </c>
      <c r="G2356" s="13" t="s">
        <v>21523</v>
      </c>
      <c r="H2356" t="s">
        <v>21524</v>
      </c>
      <c r="I2356" t="s">
        <v>21530</v>
      </c>
      <c r="K2356" t="s">
        <v>16245</v>
      </c>
      <c r="L2356" t="s">
        <v>16246</v>
      </c>
      <c r="M2356" t="s">
        <v>7250</v>
      </c>
      <c r="T2356" t="s">
        <v>6546</v>
      </c>
      <c r="U2356" t="s">
        <v>6546</v>
      </c>
      <c r="V2356" t="s">
        <v>6546</v>
      </c>
      <c r="W2356">
        <v>129.07</v>
      </c>
      <c r="X2356">
        <v>129.07</v>
      </c>
      <c r="AB2356" t="s">
        <v>15642</v>
      </c>
      <c r="AC2356" t="s">
        <v>8777</v>
      </c>
      <c r="AF2356" t="s">
        <v>9425</v>
      </c>
      <c r="AI2356" t="s">
        <v>8777</v>
      </c>
      <c r="AO2356" t="s">
        <v>21531</v>
      </c>
    </row>
    <row r="2357" spans="1:41" hidden="1" x14ac:dyDescent="0.35">
      <c r="A2357" t="s">
        <v>21532</v>
      </c>
      <c r="B2357" t="s">
        <v>7246</v>
      </c>
      <c r="C2357" t="s">
        <v>5643</v>
      </c>
      <c r="D2357" t="s">
        <v>5643</v>
      </c>
      <c r="E2357" t="s">
        <v>5643</v>
      </c>
      <c r="G2357" s="13" t="s">
        <v>21533</v>
      </c>
      <c r="H2357" t="s">
        <v>21534</v>
      </c>
      <c r="K2357" t="s">
        <v>15725</v>
      </c>
      <c r="L2357" t="s">
        <v>15726</v>
      </c>
      <c r="M2357" t="s">
        <v>7250</v>
      </c>
      <c r="T2357" t="s">
        <v>6546</v>
      </c>
      <c r="U2357" t="s">
        <v>6546</v>
      </c>
      <c r="V2357" t="s">
        <v>6546</v>
      </c>
      <c r="W2357">
        <v>233.07</v>
      </c>
      <c r="X2357">
        <v>233.07</v>
      </c>
      <c r="Y2357">
        <v>600</v>
      </c>
      <c r="Z2357" t="s">
        <v>8842</v>
      </c>
      <c r="AB2357" t="s">
        <v>21535</v>
      </c>
      <c r="AC2357" t="s">
        <v>8777</v>
      </c>
      <c r="AF2357" t="s">
        <v>21536</v>
      </c>
      <c r="AI2357" t="s">
        <v>8777</v>
      </c>
      <c r="AO2357" t="s">
        <v>21537</v>
      </c>
    </row>
    <row r="2358" spans="1:41" hidden="1" x14ac:dyDescent="0.35">
      <c r="A2358" t="s">
        <v>21538</v>
      </c>
      <c r="B2358" t="s">
        <v>7246</v>
      </c>
      <c r="C2358" t="s">
        <v>5643</v>
      </c>
      <c r="D2358" t="s">
        <v>5643</v>
      </c>
      <c r="E2358" t="s">
        <v>5643</v>
      </c>
      <c r="G2358" s="13" t="s">
        <v>21539</v>
      </c>
      <c r="H2358" t="s">
        <v>21540</v>
      </c>
      <c r="K2358" t="s">
        <v>21471</v>
      </c>
      <c r="L2358" t="s">
        <v>21472</v>
      </c>
      <c r="M2358" t="s">
        <v>7250</v>
      </c>
      <c r="T2358" t="s">
        <v>6546</v>
      </c>
      <c r="U2358" t="s">
        <v>6546</v>
      </c>
      <c r="V2358" t="s">
        <v>6546</v>
      </c>
      <c r="W2358">
        <v>200.58</v>
      </c>
      <c r="X2358">
        <v>200.58</v>
      </c>
      <c r="AB2358" t="s">
        <v>3327</v>
      </c>
      <c r="AC2358" t="s">
        <v>8777</v>
      </c>
      <c r="AF2358" t="s">
        <v>21541</v>
      </c>
      <c r="AI2358" t="s">
        <v>8777</v>
      </c>
      <c r="AO2358" t="s">
        <v>21542</v>
      </c>
    </row>
    <row r="2359" spans="1:41" hidden="1" x14ac:dyDescent="0.35">
      <c r="A2359" t="s">
        <v>21543</v>
      </c>
      <c r="B2359" t="s">
        <v>7246</v>
      </c>
      <c r="C2359" t="s">
        <v>5643</v>
      </c>
      <c r="D2359" t="s">
        <v>5643</v>
      </c>
      <c r="E2359" t="s">
        <v>5643</v>
      </c>
      <c r="G2359" s="13" t="s">
        <v>21523</v>
      </c>
      <c r="H2359" t="s">
        <v>21524</v>
      </c>
      <c r="I2359" t="s">
        <v>21544</v>
      </c>
      <c r="K2359" t="s">
        <v>6543</v>
      </c>
      <c r="L2359" t="s">
        <v>6543</v>
      </c>
      <c r="M2359" t="s">
        <v>7250</v>
      </c>
      <c r="T2359" t="s">
        <v>6546</v>
      </c>
      <c r="U2359" t="s">
        <v>6546</v>
      </c>
      <c r="V2359" t="s">
        <v>6546</v>
      </c>
      <c r="W2359">
        <v>121.67</v>
      </c>
      <c r="X2359">
        <v>121.67</v>
      </c>
      <c r="AC2359" t="s">
        <v>8777</v>
      </c>
      <c r="AI2359" t="s">
        <v>8777</v>
      </c>
      <c r="AO2359" t="s">
        <v>21545</v>
      </c>
    </row>
    <row r="2360" spans="1:41" hidden="1" x14ac:dyDescent="0.35">
      <c r="A2360" t="s">
        <v>21546</v>
      </c>
      <c r="B2360" t="s">
        <v>7246</v>
      </c>
      <c r="C2360" t="s">
        <v>5445</v>
      </c>
      <c r="D2360" t="s">
        <v>353</v>
      </c>
      <c r="E2360" t="s">
        <v>353</v>
      </c>
      <c r="G2360" s="13" t="s">
        <v>21547</v>
      </c>
      <c r="H2360" t="s">
        <v>21548</v>
      </c>
      <c r="J2360" t="s">
        <v>21549</v>
      </c>
      <c r="K2360" t="s">
        <v>21550</v>
      </c>
      <c r="L2360" t="s">
        <v>9848</v>
      </c>
      <c r="M2360" t="s">
        <v>7250</v>
      </c>
      <c r="N2360">
        <v>1960</v>
      </c>
      <c r="R2360">
        <v>4.7</v>
      </c>
      <c r="S2360" t="s">
        <v>8257</v>
      </c>
      <c r="T2360">
        <v>4.7</v>
      </c>
      <c r="U2360">
        <v>2187.3000000000002</v>
      </c>
      <c r="V2360">
        <v>180</v>
      </c>
      <c r="W2360">
        <v>123.35</v>
      </c>
      <c r="X2360">
        <v>180</v>
      </c>
      <c r="Y2360" t="s">
        <v>21551</v>
      </c>
      <c r="Z2360" t="s">
        <v>8842</v>
      </c>
      <c r="AB2360" t="s">
        <v>21552</v>
      </c>
      <c r="AC2360" t="s">
        <v>8844</v>
      </c>
      <c r="AF2360" t="s">
        <v>11118</v>
      </c>
      <c r="AI2360" t="s">
        <v>8844</v>
      </c>
      <c r="AL2360" t="s">
        <v>21553</v>
      </c>
      <c r="AO2360" t="s">
        <v>21554</v>
      </c>
    </row>
    <row r="2361" spans="1:41" hidden="1" x14ac:dyDescent="0.35">
      <c r="A2361" t="s">
        <v>21555</v>
      </c>
      <c r="B2361" t="s">
        <v>7246</v>
      </c>
      <c r="C2361" t="s">
        <v>353</v>
      </c>
      <c r="D2361" t="s">
        <v>353</v>
      </c>
      <c r="E2361" t="s">
        <v>353</v>
      </c>
      <c r="G2361" s="13" t="s">
        <v>21556</v>
      </c>
      <c r="H2361" t="s">
        <v>21557</v>
      </c>
      <c r="K2361" t="s">
        <v>21550</v>
      </c>
      <c r="L2361" t="s">
        <v>9848</v>
      </c>
      <c r="M2361" t="s">
        <v>7250</v>
      </c>
      <c r="N2361">
        <v>1993</v>
      </c>
      <c r="R2361">
        <v>1.71</v>
      </c>
      <c r="S2361" t="s">
        <v>8257</v>
      </c>
      <c r="T2361">
        <v>1.71</v>
      </c>
      <c r="U2361">
        <v>795.81</v>
      </c>
      <c r="V2361">
        <v>61.8</v>
      </c>
      <c r="W2361">
        <v>61.2</v>
      </c>
      <c r="X2361">
        <v>61.8</v>
      </c>
      <c r="Y2361">
        <v>1000</v>
      </c>
      <c r="Z2361" t="s">
        <v>8842</v>
      </c>
      <c r="AB2361" t="s">
        <v>21558</v>
      </c>
      <c r="AC2361" t="s">
        <v>8844</v>
      </c>
      <c r="AD2361" t="s">
        <v>21413</v>
      </c>
      <c r="AF2361" t="s">
        <v>21559</v>
      </c>
      <c r="AI2361" t="s">
        <v>8844</v>
      </c>
      <c r="AL2361" t="s">
        <v>21560</v>
      </c>
      <c r="AO2361" t="s">
        <v>21561</v>
      </c>
    </row>
    <row r="2362" spans="1:41" hidden="1" x14ac:dyDescent="0.35">
      <c r="A2362" t="s">
        <v>21562</v>
      </c>
      <c r="B2362" t="s">
        <v>7246</v>
      </c>
      <c r="C2362" t="s">
        <v>353</v>
      </c>
      <c r="D2362" t="s">
        <v>353</v>
      </c>
      <c r="E2362" t="s">
        <v>353</v>
      </c>
      <c r="G2362" s="13" t="s">
        <v>21563</v>
      </c>
      <c r="H2362" t="s">
        <v>21564</v>
      </c>
      <c r="K2362" t="s">
        <v>21550</v>
      </c>
      <c r="L2362" t="s">
        <v>9848</v>
      </c>
      <c r="M2362" t="s">
        <v>7250</v>
      </c>
      <c r="N2362">
        <v>1963</v>
      </c>
      <c r="R2362">
        <v>0</v>
      </c>
      <c r="S2362" t="s">
        <v>8257</v>
      </c>
      <c r="T2362">
        <v>0</v>
      </c>
      <c r="U2362">
        <v>1.86</v>
      </c>
      <c r="V2362">
        <v>58</v>
      </c>
      <c r="W2362">
        <v>54.92</v>
      </c>
      <c r="X2362">
        <v>58</v>
      </c>
      <c r="AB2362" t="s">
        <v>21565</v>
      </c>
      <c r="AC2362" t="s">
        <v>8844</v>
      </c>
      <c r="AF2362" t="s">
        <v>21566</v>
      </c>
      <c r="AI2362" t="s">
        <v>8844</v>
      </c>
      <c r="AO2362" t="s">
        <v>21567</v>
      </c>
    </row>
    <row r="2363" spans="1:41" hidden="1" x14ac:dyDescent="0.35">
      <c r="A2363" t="s">
        <v>21568</v>
      </c>
      <c r="B2363" t="s">
        <v>7246</v>
      </c>
      <c r="C2363" t="s">
        <v>353</v>
      </c>
      <c r="D2363" t="s">
        <v>353</v>
      </c>
      <c r="E2363" t="s">
        <v>353</v>
      </c>
      <c r="G2363" s="13" t="s">
        <v>21569</v>
      </c>
      <c r="H2363" t="s">
        <v>21570</v>
      </c>
      <c r="K2363" t="s">
        <v>21550</v>
      </c>
      <c r="L2363" t="s">
        <v>9848</v>
      </c>
      <c r="M2363" t="s">
        <v>7250</v>
      </c>
      <c r="N2363">
        <v>1964</v>
      </c>
      <c r="R2363">
        <v>0</v>
      </c>
      <c r="S2363" t="s">
        <v>8257</v>
      </c>
      <c r="T2363">
        <v>0</v>
      </c>
      <c r="U2363">
        <v>2.0499999999999998</v>
      </c>
      <c r="V2363">
        <v>55</v>
      </c>
      <c r="W2363" t="s">
        <v>6546</v>
      </c>
      <c r="X2363">
        <v>55</v>
      </c>
      <c r="Y2363" t="s">
        <v>21389</v>
      </c>
      <c r="Z2363" t="s">
        <v>8842</v>
      </c>
      <c r="AB2363" t="s">
        <v>21558</v>
      </c>
      <c r="AC2363" t="s">
        <v>8844</v>
      </c>
      <c r="AF2363" t="s">
        <v>21571</v>
      </c>
      <c r="AI2363" t="s">
        <v>8844</v>
      </c>
      <c r="AO2363" t="s">
        <v>6546</v>
      </c>
    </row>
    <row r="2364" spans="1:41" hidden="1" x14ac:dyDescent="0.35">
      <c r="A2364" t="s">
        <v>21572</v>
      </c>
      <c r="B2364" t="s">
        <v>7246</v>
      </c>
      <c r="C2364" t="s">
        <v>5445</v>
      </c>
      <c r="D2364" t="s">
        <v>353</v>
      </c>
      <c r="E2364" t="s">
        <v>353</v>
      </c>
      <c r="G2364" s="13" t="s">
        <v>21573</v>
      </c>
      <c r="H2364" t="s">
        <v>21574</v>
      </c>
      <c r="K2364" t="s">
        <v>21550</v>
      </c>
      <c r="L2364" t="s">
        <v>9848</v>
      </c>
      <c r="M2364" t="s">
        <v>7250</v>
      </c>
      <c r="N2364">
        <v>1984</v>
      </c>
      <c r="T2364" t="s">
        <v>6546</v>
      </c>
      <c r="U2364" t="s">
        <v>6546</v>
      </c>
      <c r="V2364">
        <v>86.6</v>
      </c>
      <c r="W2364">
        <v>81</v>
      </c>
      <c r="X2364">
        <v>86.6</v>
      </c>
      <c r="Y2364">
        <v>700</v>
      </c>
      <c r="Z2364" t="s">
        <v>8842</v>
      </c>
      <c r="AB2364" t="s">
        <v>21575</v>
      </c>
      <c r="AC2364" t="s">
        <v>8844</v>
      </c>
      <c r="AF2364" t="s">
        <v>11118</v>
      </c>
      <c r="AI2364" t="s">
        <v>8844</v>
      </c>
      <c r="AL2364" t="s">
        <v>21576</v>
      </c>
      <c r="AO2364" t="s">
        <v>21577</v>
      </c>
    </row>
    <row r="2365" spans="1:41" hidden="1" x14ac:dyDescent="0.35">
      <c r="A2365" t="s">
        <v>21578</v>
      </c>
      <c r="B2365" t="s">
        <v>7246</v>
      </c>
      <c r="C2365" t="s">
        <v>396</v>
      </c>
      <c r="D2365" t="s">
        <v>396</v>
      </c>
      <c r="E2365" t="s">
        <v>396</v>
      </c>
      <c r="G2365" s="13" t="s">
        <v>21579</v>
      </c>
      <c r="H2365" t="s">
        <v>21580</v>
      </c>
      <c r="K2365" t="s">
        <v>21550</v>
      </c>
      <c r="L2365" t="s">
        <v>9848</v>
      </c>
      <c r="M2365" t="s">
        <v>7250</v>
      </c>
      <c r="N2365">
        <v>1996</v>
      </c>
      <c r="T2365" t="s">
        <v>6546</v>
      </c>
      <c r="U2365" t="s">
        <v>6546</v>
      </c>
      <c r="V2365">
        <v>72</v>
      </c>
      <c r="W2365">
        <v>43.01</v>
      </c>
      <c r="X2365">
        <v>72</v>
      </c>
      <c r="Y2365" t="s">
        <v>21581</v>
      </c>
      <c r="Z2365" t="s">
        <v>8842</v>
      </c>
      <c r="AB2365" t="s">
        <v>21582</v>
      </c>
      <c r="AC2365" t="s">
        <v>9852</v>
      </c>
      <c r="AD2365" t="s">
        <v>21583</v>
      </c>
      <c r="AF2365" t="s">
        <v>21584</v>
      </c>
      <c r="AG2365" t="s">
        <v>10365</v>
      </c>
      <c r="AI2365" t="s">
        <v>9852</v>
      </c>
      <c r="AO2365" t="s">
        <v>21585</v>
      </c>
    </row>
    <row r="2366" spans="1:41" hidden="1" x14ac:dyDescent="0.35">
      <c r="A2366" t="s">
        <v>21586</v>
      </c>
      <c r="B2366" t="s">
        <v>7246</v>
      </c>
      <c r="C2366" t="s">
        <v>5714</v>
      </c>
      <c r="D2366" t="s">
        <v>5714</v>
      </c>
      <c r="E2366" t="s">
        <v>5714</v>
      </c>
      <c r="G2366" s="13" t="s">
        <v>21587</v>
      </c>
      <c r="H2366" t="s">
        <v>21588</v>
      </c>
      <c r="K2366" t="s">
        <v>13601</v>
      </c>
      <c r="L2366" t="s">
        <v>13602</v>
      </c>
      <c r="M2366" t="s">
        <v>7250</v>
      </c>
      <c r="N2366">
        <v>1992</v>
      </c>
      <c r="T2366" t="s">
        <v>6546</v>
      </c>
      <c r="U2366" t="s">
        <v>6546</v>
      </c>
      <c r="V2366">
        <v>82</v>
      </c>
      <c r="W2366">
        <v>86.38</v>
      </c>
      <c r="X2366">
        <v>82</v>
      </c>
      <c r="Y2366">
        <v>1200</v>
      </c>
      <c r="Z2366" t="s">
        <v>8842</v>
      </c>
      <c r="AB2366" t="s">
        <v>16142</v>
      </c>
      <c r="AC2366" t="s">
        <v>8777</v>
      </c>
      <c r="AF2366" t="s">
        <v>15440</v>
      </c>
      <c r="AI2366" t="s">
        <v>8777</v>
      </c>
      <c r="AO2366" t="s">
        <v>21589</v>
      </c>
    </row>
    <row r="2367" spans="1:41" hidden="1" x14ac:dyDescent="0.35">
      <c r="A2367" t="s">
        <v>21590</v>
      </c>
      <c r="B2367" t="s">
        <v>7246</v>
      </c>
      <c r="C2367" t="s">
        <v>5714</v>
      </c>
      <c r="D2367" t="s">
        <v>5714</v>
      </c>
      <c r="E2367" t="s">
        <v>5714</v>
      </c>
      <c r="G2367" s="13" t="s">
        <v>21591</v>
      </c>
      <c r="H2367" t="s">
        <v>21592</v>
      </c>
      <c r="K2367" t="s">
        <v>13601</v>
      </c>
      <c r="L2367" t="s">
        <v>13602</v>
      </c>
      <c r="M2367" t="s">
        <v>7250</v>
      </c>
      <c r="N2367">
        <v>1995</v>
      </c>
      <c r="T2367" t="s">
        <v>6546</v>
      </c>
      <c r="U2367" t="s">
        <v>6546</v>
      </c>
      <c r="V2367">
        <v>76.7</v>
      </c>
      <c r="W2367" t="s">
        <v>6546</v>
      </c>
      <c r="X2367">
        <v>76.7</v>
      </c>
      <c r="Y2367">
        <v>1200</v>
      </c>
      <c r="Z2367" t="s">
        <v>8842</v>
      </c>
      <c r="AB2367" t="s">
        <v>16324</v>
      </c>
      <c r="AC2367" t="s">
        <v>8777</v>
      </c>
      <c r="AF2367" t="s">
        <v>21593</v>
      </c>
      <c r="AI2367" t="s">
        <v>8777</v>
      </c>
      <c r="AO2367" t="s">
        <v>6546</v>
      </c>
    </row>
    <row r="2368" spans="1:41" hidden="1" x14ac:dyDescent="0.35">
      <c r="A2368" t="s">
        <v>21594</v>
      </c>
      <c r="B2368" t="s">
        <v>7246</v>
      </c>
      <c r="C2368" t="s">
        <v>5714</v>
      </c>
      <c r="D2368" t="s">
        <v>5714</v>
      </c>
      <c r="E2368" t="s">
        <v>5714</v>
      </c>
      <c r="G2368" s="13" t="s">
        <v>21595</v>
      </c>
      <c r="H2368" t="s">
        <v>21596</v>
      </c>
      <c r="K2368" t="s">
        <v>13601</v>
      </c>
      <c r="L2368" t="s">
        <v>13602</v>
      </c>
      <c r="M2368" t="s">
        <v>7250</v>
      </c>
      <c r="N2368">
        <v>1993</v>
      </c>
      <c r="T2368" t="s">
        <v>6546</v>
      </c>
      <c r="U2368" t="s">
        <v>6546</v>
      </c>
      <c r="V2368">
        <v>57.2</v>
      </c>
      <c r="W2368">
        <v>60.4</v>
      </c>
      <c r="X2368">
        <v>57.2</v>
      </c>
      <c r="Y2368">
        <v>1200</v>
      </c>
      <c r="Z2368" t="s">
        <v>8842</v>
      </c>
      <c r="AB2368" t="s">
        <v>15984</v>
      </c>
      <c r="AC2368" t="s">
        <v>8777</v>
      </c>
      <c r="AF2368" t="s">
        <v>21597</v>
      </c>
      <c r="AI2368" t="s">
        <v>8777</v>
      </c>
      <c r="AO2368" t="s">
        <v>21598</v>
      </c>
    </row>
    <row r="2369" spans="1:41" hidden="1" x14ac:dyDescent="0.35">
      <c r="A2369" t="s">
        <v>21599</v>
      </c>
      <c r="B2369" t="s">
        <v>7246</v>
      </c>
      <c r="C2369" t="s">
        <v>5714</v>
      </c>
      <c r="D2369" t="s">
        <v>5714</v>
      </c>
      <c r="E2369" t="s">
        <v>5714</v>
      </c>
      <c r="G2369" s="13" t="s">
        <v>21600</v>
      </c>
      <c r="H2369" t="s">
        <v>21601</v>
      </c>
      <c r="K2369" t="s">
        <v>13601</v>
      </c>
      <c r="L2369" t="s">
        <v>13602</v>
      </c>
      <c r="M2369" t="s">
        <v>7250</v>
      </c>
      <c r="N2369">
        <v>1996</v>
      </c>
      <c r="O2369">
        <v>1997</v>
      </c>
      <c r="T2369" t="s">
        <v>6546</v>
      </c>
      <c r="U2369" t="s">
        <v>6546</v>
      </c>
      <c r="V2369">
        <v>137.9</v>
      </c>
      <c r="W2369">
        <v>107.95</v>
      </c>
      <c r="X2369">
        <v>137.9</v>
      </c>
      <c r="Y2369">
        <v>1200</v>
      </c>
      <c r="Z2369" t="s">
        <v>8842</v>
      </c>
      <c r="AB2369" t="s">
        <v>21597</v>
      </c>
      <c r="AC2369" t="s">
        <v>8777</v>
      </c>
      <c r="AF2369" t="s">
        <v>15453</v>
      </c>
      <c r="AI2369" t="s">
        <v>8777</v>
      </c>
      <c r="AO2369" t="s">
        <v>21602</v>
      </c>
    </row>
    <row r="2370" spans="1:41" hidden="1" x14ac:dyDescent="0.35">
      <c r="A2370" t="s">
        <v>21603</v>
      </c>
      <c r="B2370" t="s">
        <v>7246</v>
      </c>
      <c r="C2370" t="s">
        <v>5714</v>
      </c>
      <c r="D2370" t="s">
        <v>5714</v>
      </c>
      <c r="E2370" t="s">
        <v>5714</v>
      </c>
      <c r="G2370" s="13" t="s">
        <v>21604</v>
      </c>
      <c r="H2370" t="s">
        <v>21605</v>
      </c>
      <c r="K2370" t="s">
        <v>13601</v>
      </c>
      <c r="L2370" t="s">
        <v>13602</v>
      </c>
      <c r="M2370" t="s">
        <v>7250</v>
      </c>
      <c r="N2370">
        <v>1983</v>
      </c>
      <c r="T2370" t="s">
        <v>6546</v>
      </c>
      <c r="U2370" t="s">
        <v>6546</v>
      </c>
      <c r="V2370">
        <v>126.5</v>
      </c>
      <c r="W2370">
        <v>119.03</v>
      </c>
      <c r="X2370">
        <v>126.5</v>
      </c>
      <c r="Y2370">
        <v>1200</v>
      </c>
      <c r="Z2370" t="s">
        <v>8842</v>
      </c>
      <c r="AB2370" t="s">
        <v>15536</v>
      </c>
      <c r="AC2370" t="s">
        <v>8777</v>
      </c>
      <c r="AF2370" t="s">
        <v>15770</v>
      </c>
      <c r="AI2370" t="s">
        <v>8777</v>
      </c>
      <c r="AO2370" t="s">
        <v>21606</v>
      </c>
    </row>
    <row r="2371" spans="1:41" hidden="1" x14ac:dyDescent="0.35">
      <c r="A2371" t="s">
        <v>21607</v>
      </c>
      <c r="B2371" t="s">
        <v>7246</v>
      </c>
      <c r="C2371" t="s">
        <v>5714</v>
      </c>
      <c r="D2371" t="s">
        <v>5714</v>
      </c>
      <c r="E2371" t="s">
        <v>5714</v>
      </c>
      <c r="G2371" s="13" t="s">
        <v>21608</v>
      </c>
      <c r="H2371" t="s">
        <v>21609</v>
      </c>
      <c r="K2371" t="s">
        <v>13601</v>
      </c>
      <c r="L2371" t="s">
        <v>13602</v>
      </c>
      <c r="M2371" t="s">
        <v>7250</v>
      </c>
      <c r="N2371">
        <v>1994</v>
      </c>
      <c r="T2371" t="s">
        <v>6546</v>
      </c>
      <c r="U2371" t="s">
        <v>6546</v>
      </c>
      <c r="V2371">
        <v>59.1</v>
      </c>
      <c r="W2371">
        <v>57.14</v>
      </c>
      <c r="X2371">
        <v>59.1</v>
      </c>
      <c r="Y2371">
        <v>1200</v>
      </c>
      <c r="Z2371" t="s">
        <v>8842</v>
      </c>
      <c r="AB2371" t="s">
        <v>21610</v>
      </c>
      <c r="AC2371" t="s">
        <v>8777</v>
      </c>
      <c r="AF2371" t="s">
        <v>21611</v>
      </c>
      <c r="AI2371" t="s">
        <v>8777</v>
      </c>
      <c r="AO2371" t="s">
        <v>21612</v>
      </c>
    </row>
    <row r="2372" spans="1:41" hidden="1" x14ac:dyDescent="0.35">
      <c r="A2372" t="s">
        <v>21613</v>
      </c>
      <c r="B2372" t="s">
        <v>7246</v>
      </c>
      <c r="C2372" t="s">
        <v>5714</v>
      </c>
      <c r="D2372" t="s">
        <v>5714</v>
      </c>
      <c r="E2372" t="s">
        <v>5714</v>
      </c>
      <c r="G2372" s="13" t="s">
        <v>21614</v>
      </c>
      <c r="H2372" t="s">
        <v>21615</v>
      </c>
      <c r="K2372" t="s">
        <v>13601</v>
      </c>
      <c r="L2372" t="s">
        <v>13602</v>
      </c>
      <c r="M2372" t="s">
        <v>7250</v>
      </c>
      <c r="N2372">
        <v>1994</v>
      </c>
      <c r="T2372" t="s">
        <v>6546</v>
      </c>
      <c r="U2372" t="s">
        <v>6546</v>
      </c>
      <c r="V2372">
        <v>75.5</v>
      </c>
      <c r="W2372">
        <v>76.16</v>
      </c>
      <c r="X2372">
        <v>75.5</v>
      </c>
      <c r="Y2372">
        <v>1200</v>
      </c>
      <c r="Z2372" t="s">
        <v>8842</v>
      </c>
      <c r="AB2372" t="s">
        <v>21616</v>
      </c>
      <c r="AC2372" t="s">
        <v>8777</v>
      </c>
      <c r="AF2372" t="s">
        <v>16398</v>
      </c>
      <c r="AI2372" t="s">
        <v>8777</v>
      </c>
      <c r="AO2372" t="s">
        <v>21617</v>
      </c>
    </row>
    <row r="2373" spans="1:41" hidden="1" x14ac:dyDescent="0.35">
      <c r="A2373" t="s">
        <v>21618</v>
      </c>
      <c r="B2373" t="s">
        <v>7246</v>
      </c>
      <c r="C2373" t="s">
        <v>5714</v>
      </c>
      <c r="D2373" t="s">
        <v>5714</v>
      </c>
      <c r="E2373" t="s">
        <v>5714</v>
      </c>
      <c r="G2373" s="13" t="s">
        <v>21619</v>
      </c>
      <c r="H2373" t="s">
        <v>21620</v>
      </c>
      <c r="K2373" t="s">
        <v>13601</v>
      </c>
      <c r="L2373" t="s">
        <v>13602</v>
      </c>
      <c r="M2373" t="s">
        <v>7250</v>
      </c>
      <c r="N2373">
        <v>1984</v>
      </c>
      <c r="T2373" t="s">
        <v>6546</v>
      </c>
      <c r="U2373" t="s">
        <v>6546</v>
      </c>
      <c r="V2373">
        <v>155.6</v>
      </c>
      <c r="W2373">
        <v>135.38</v>
      </c>
      <c r="X2373">
        <v>155.6</v>
      </c>
      <c r="Y2373">
        <v>1200</v>
      </c>
      <c r="Z2373" t="s">
        <v>8842</v>
      </c>
      <c r="AB2373" t="s">
        <v>16398</v>
      </c>
      <c r="AC2373" t="s">
        <v>8777</v>
      </c>
      <c r="AF2373" t="s">
        <v>9774</v>
      </c>
      <c r="AI2373" t="s">
        <v>8777</v>
      </c>
      <c r="AO2373" t="s">
        <v>21621</v>
      </c>
    </row>
    <row r="2374" spans="1:41" hidden="1" x14ac:dyDescent="0.35">
      <c r="A2374" t="s">
        <v>21622</v>
      </c>
      <c r="B2374" t="s">
        <v>7246</v>
      </c>
      <c r="C2374" t="s">
        <v>5714</v>
      </c>
      <c r="D2374" t="s">
        <v>5714</v>
      </c>
      <c r="E2374" t="s">
        <v>5714</v>
      </c>
      <c r="G2374" s="13" t="s">
        <v>21623</v>
      </c>
      <c r="H2374" t="s">
        <v>21624</v>
      </c>
      <c r="K2374" t="s">
        <v>13601</v>
      </c>
      <c r="L2374" t="s">
        <v>13602</v>
      </c>
      <c r="M2374" t="s">
        <v>7250</v>
      </c>
      <c r="N2374">
        <v>1993</v>
      </c>
      <c r="T2374" t="s">
        <v>6546</v>
      </c>
      <c r="U2374" t="s">
        <v>6546</v>
      </c>
      <c r="V2374">
        <v>43.8</v>
      </c>
      <c r="W2374">
        <v>41.88</v>
      </c>
      <c r="X2374">
        <v>43.8</v>
      </c>
      <c r="Y2374">
        <v>1200</v>
      </c>
      <c r="Z2374" t="s">
        <v>8842</v>
      </c>
      <c r="AB2374" t="s">
        <v>9774</v>
      </c>
      <c r="AC2374" t="s">
        <v>8777</v>
      </c>
      <c r="AF2374" t="s">
        <v>16399</v>
      </c>
      <c r="AI2374" t="s">
        <v>8777</v>
      </c>
      <c r="AO2374" t="s">
        <v>21625</v>
      </c>
    </row>
    <row r="2375" spans="1:41" hidden="1" x14ac:dyDescent="0.35">
      <c r="A2375" t="s">
        <v>21626</v>
      </c>
      <c r="B2375" t="s">
        <v>7246</v>
      </c>
      <c r="C2375" t="s">
        <v>5714</v>
      </c>
      <c r="D2375" t="s">
        <v>5714</v>
      </c>
      <c r="E2375" t="s">
        <v>5714</v>
      </c>
      <c r="G2375" s="13" t="s">
        <v>21627</v>
      </c>
      <c r="H2375" t="s">
        <v>16164</v>
      </c>
      <c r="I2375" t="s">
        <v>21628</v>
      </c>
      <c r="K2375" t="s">
        <v>13601</v>
      </c>
      <c r="L2375" t="s">
        <v>13602</v>
      </c>
      <c r="M2375" t="s">
        <v>7250</v>
      </c>
      <c r="N2375">
        <v>1994</v>
      </c>
      <c r="O2375">
        <v>1995</v>
      </c>
      <c r="T2375" t="s">
        <v>6546</v>
      </c>
      <c r="U2375" t="s">
        <v>6546</v>
      </c>
      <c r="V2375">
        <v>80.7</v>
      </c>
      <c r="W2375">
        <v>57.7</v>
      </c>
      <c r="X2375">
        <v>80.7</v>
      </c>
      <c r="Y2375">
        <v>1200</v>
      </c>
      <c r="Z2375" t="s">
        <v>8842</v>
      </c>
      <c r="AB2375" t="s">
        <v>21629</v>
      </c>
      <c r="AC2375" t="s">
        <v>8777</v>
      </c>
      <c r="AF2375" t="s">
        <v>16167</v>
      </c>
      <c r="AI2375" t="s">
        <v>8777</v>
      </c>
      <c r="AO2375" t="s">
        <v>21630</v>
      </c>
    </row>
    <row r="2376" spans="1:41" hidden="1" x14ac:dyDescent="0.35">
      <c r="A2376" t="s">
        <v>21631</v>
      </c>
      <c r="B2376" t="s">
        <v>7246</v>
      </c>
      <c r="C2376" t="s">
        <v>5714</v>
      </c>
      <c r="D2376" t="s">
        <v>5714</v>
      </c>
      <c r="E2376" t="s">
        <v>5714</v>
      </c>
      <c r="G2376" s="13" t="s">
        <v>21632</v>
      </c>
      <c r="H2376" t="s">
        <v>21633</v>
      </c>
      <c r="K2376" t="s">
        <v>13601</v>
      </c>
      <c r="L2376" t="s">
        <v>13602</v>
      </c>
      <c r="M2376" t="s">
        <v>7250</v>
      </c>
      <c r="N2376">
        <v>1985</v>
      </c>
      <c r="T2376" t="s">
        <v>6546</v>
      </c>
      <c r="U2376" t="s">
        <v>6546</v>
      </c>
      <c r="V2376">
        <v>138.9</v>
      </c>
      <c r="W2376">
        <v>128.5</v>
      </c>
      <c r="X2376">
        <v>138.9</v>
      </c>
      <c r="Y2376">
        <v>1050</v>
      </c>
      <c r="Z2376" t="s">
        <v>8842</v>
      </c>
      <c r="AB2376" t="s">
        <v>16365</v>
      </c>
      <c r="AC2376" t="s">
        <v>8777</v>
      </c>
      <c r="AF2376" t="s">
        <v>15153</v>
      </c>
      <c r="AI2376" t="s">
        <v>8777</v>
      </c>
      <c r="AO2376" t="s">
        <v>21634</v>
      </c>
    </row>
    <row r="2377" spans="1:41" hidden="1" x14ac:dyDescent="0.35">
      <c r="A2377" t="s">
        <v>21635</v>
      </c>
      <c r="B2377" t="s">
        <v>7246</v>
      </c>
      <c r="C2377" t="s">
        <v>5714</v>
      </c>
      <c r="D2377" t="s">
        <v>5714</v>
      </c>
      <c r="E2377" t="s">
        <v>5714</v>
      </c>
      <c r="G2377" s="13" t="s">
        <v>21636</v>
      </c>
      <c r="H2377" t="s">
        <v>21637</v>
      </c>
      <c r="K2377" t="s">
        <v>13601</v>
      </c>
      <c r="L2377" t="s">
        <v>13602</v>
      </c>
      <c r="M2377" t="s">
        <v>7250</v>
      </c>
      <c r="N2377">
        <v>1980</v>
      </c>
      <c r="O2377">
        <v>1981</v>
      </c>
      <c r="T2377" t="s">
        <v>6546</v>
      </c>
      <c r="U2377" t="s">
        <v>6546</v>
      </c>
      <c r="V2377">
        <v>85.5</v>
      </c>
      <c r="W2377">
        <v>89.22</v>
      </c>
      <c r="X2377">
        <v>85.5</v>
      </c>
      <c r="Y2377">
        <v>850</v>
      </c>
      <c r="Z2377" t="s">
        <v>8842</v>
      </c>
      <c r="AB2377" t="s">
        <v>9774</v>
      </c>
      <c r="AC2377" t="s">
        <v>8777</v>
      </c>
      <c r="AF2377" t="s">
        <v>16775</v>
      </c>
      <c r="AI2377" t="s">
        <v>8777</v>
      </c>
      <c r="AO2377" t="s">
        <v>21638</v>
      </c>
    </row>
    <row r="2378" spans="1:41" hidden="1" x14ac:dyDescent="0.35">
      <c r="A2378" t="s">
        <v>21639</v>
      </c>
      <c r="B2378" t="s">
        <v>7246</v>
      </c>
      <c r="C2378" t="s">
        <v>5714</v>
      </c>
      <c r="D2378" t="s">
        <v>5714</v>
      </c>
      <c r="E2378" t="s">
        <v>5714</v>
      </c>
      <c r="G2378" s="13" t="s">
        <v>21640</v>
      </c>
      <c r="H2378" t="s">
        <v>21641</v>
      </c>
      <c r="K2378" t="s">
        <v>13601</v>
      </c>
      <c r="L2378" t="s">
        <v>13602</v>
      </c>
      <c r="M2378" t="s">
        <v>7250</v>
      </c>
      <c r="N2378">
        <v>1995</v>
      </c>
      <c r="T2378" t="s">
        <v>6546</v>
      </c>
      <c r="U2378" t="s">
        <v>6546</v>
      </c>
      <c r="V2378">
        <v>42.5</v>
      </c>
      <c r="W2378">
        <v>44.23</v>
      </c>
      <c r="X2378">
        <v>42.5</v>
      </c>
      <c r="Y2378">
        <v>1200</v>
      </c>
      <c r="Z2378" t="s">
        <v>8842</v>
      </c>
      <c r="AB2378" t="s">
        <v>16167</v>
      </c>
      <c r="AC2378" t="s">
        <v>8777</v>
      </c>
      <c r="AF2378" t="s">
        <v>15153</v>
      </c>
      <c r="AI2378" t="s">
        <v>8777</v>
      </c>
      <c r="AO2378" t="s">
        <v>21642</v>
      </c>
    </row>
    <row r="2379" spans="1:41" hidden="1" x14ac:dyDescent="0.35">
      <c r="A2379" t="s">
        <v>21643</v>
      </c>
      <c r="B2379" t="s">
        <v>7246</v>
      </c>
      <c r="C2379" t="s">
        <v>5714</v>
      </c>
      <c r="D2379" t="s">
        <v>5714</v>
      </c>
      <c r="E2379" t="s">
        <v>5714</v>
      </c>
      <c r="G2379" s="13" t="s">
        <v>21644</v>
      </c>
      <c r="H2379" t="s">
        <v>21645</v>
      </c>
      <c r="K2379" t="s">
        <v>13601</v>
      </c>
      <c r="L2379" t="s">
        <v>13602</v>
      </c>
      <c r="M2379" t="s">
        <v>7250</v>
      </c>
      <c r="N2379">
        <v>1981</v>
      </c>
      <c r="T2379" t="s">
        <v>6546</v>
      </c>
      <c r="U2379" t="s">
        <v>6546</v>
      </c>
      <c r="V2379">
        <v>101.6</v>
      </c>
      <c r="W2379">
        <v>113.42</v>
      </c>
      <c r="X2379">
        <v>101.6</v>
      </c>
      <c r="Y2379">
        <v>1200</v>
      </c>
      <c r="Z2379" t="s">
        <v>8842</v>
      </c>
      <c r="AB2379" t="s">
        <v>21646</v>
      </c>
      <c r="AC2379" t="s">
        <v>8777</v>
      </c>
      <c r="AF2379" t="s">
        <v>21647</v>
      </c>
      <c r="AI2379" t="s">
        <v>8777</v>
      </c>
      <c r="AO2379" t="s">
        <v>21648</v>
      </c>
    </row>
    <row r="2380" spans="1:41" hidden="1" x14ac:dyDescent="0.35">
      <c r="A2380" t="s">
        <v>21649</v>
      </c>
      <c r="B2380" t="s">
        <v>7246</v>
      </c>
      <c r="C2380" t="s">
        <v>5714</v>
      </c>
      <c r="D2380" t="s">
        <v>5714</v>
      </c>
      <c r="E2380" t="s">
        <v>5714</v>
      </c>
      <c r="G2380" s="13" t="s">
        <v>21650</v>
      </c>
      <c r="H2380" t="s">
        <v>21651</v>
      </c>
      <c r="K2380" t="s">
        <v>13601</v>
      </c>
      <c r="L2380" t="s">
        <v>13602</v>
      </c>
      <c r="M2380" t="s">
        <v>7250</v>
      </c>
      <c r="N2380">
        <v>1981</v>
      </c>
      <c r="O2380">
        <v>1982</v>
      </c>
      <c r="T2380" t="s">
        <v>6546</v>
      </c>
      <c r="U2380" t="s">
        <v>6546</v>
      </c>
      <c r="V2380">
        <v>286.3</v>
      </c>
      <c r="W2380">
        <v>258.29000000000002</v>
      </c>
      <c r="X2380">
        <v>286.3</v>
      </c>
      <c r="Y2380">
        <v>1200</v>
      </c>
      <c r="Z2380" t="s">
        <v>8842</v>
      </c>
      <c r="AB2380" t="s">
        <v>21647</v>
      </c>
      <c r="AC2380" t="s">
        <v>8777</v>
      </c>
      <c r="AF2380" t="s">
        <v>15453</v>
      </c>
      <c r="AI2380" t="s">
        <v>8777</v>
      </c>
      <c r="AO2380" t="s">
        <v>21652</v>
      </c>
    </row>
    <row r="2381" spans="1:41" hidden="1" x14ac:dyDescent="0.35">
      <c r="A2381" t="s">
        <v>21653</v>
      </c>
      <c r="B2381" t="s">
        <v>7246</v>
      </c>
      <c r="C2381" t="s">
        <v>5714</v>
      </c>
      <c r="D2381" t="s">
        <v>5714</v>
      </c>
      <c r="E2381" t="s">
        <v>5714</v>
      </c>
      <c r="G2381" s="13" t="s">
        <v>21654</v>
      </c>
      <c r="H2381" t="s">
        <v>21655</v>
      </c>
      <c r="K2381" t="s">
        <v>13601</v>
      </c>
      <c r="L2381" t="s">
        <v>13602</v>
      </c>
      <c r="M2381" t="s">
        <v>7250</v>
      </c>
      <c r="N2381">
        <v>1973</v>
      </c>
      <c r="O2381">
        <v>1975</v>
      </c>
      <c r="T2381" t="s">
        <v>6546</v>
      </c>
      <c r="U2381" t="s">
        <v>6546</v>
      </c>
      <c r="V2381">
        <v>162.5</v>
      </c>
      <c r="W2381">
        <v>180.55</v>
      </c>
      <c r="X2381">
        <v>162.5</v>
      </c>
      <c r="Y2381">
        <v>900</v>
      </c>
      <c r="Z2381" t="s">
        <v>8842</v>
      </c>
      <c r="AB2381" t="s">
        <v>21656</v>
      </c>
      <c r="AC2381" t="s">
        <v>8777</v>
      </c>
      <c r="AF2381" t="s">
        <v>21657</v>
      </c>
      <c r="AI2381" t="s">
        <v>8777</v>
      </c>
      <c r="AO2381" t="s">
        <v>21658</v>
      </c>
    </row>
    <row r="2382" spans="1:41" hidden="1" x14ac:dyDescent="0.35">
      <c r="A2382" t="s">
        <v>21659</v>
      </c>
      <c r="B2382" t="s">
        <v>7246</v>
      </c>
      <c r="C2382" t="s">
        <v>5714</v>
      </c>
      <c r="D2382" t="s">
        <v>5714</v>
      </c>
      <c r="E2382" t="s">
        <v>5714</v>
      </c>
      <c r="G2382" s="13" t="s">
        <v>21660</v>
      </c>
      <c r="H2382" t="s">
        <v>21661</v>
      </c>
      <c r="K2382" t="s">
        <v>13601</v>
      </c>
      <c r="L2382" t="s">
        <v>13602</v>
      </c>
      <c r="M2382" t="s">
        <v>7250</v>
      </c>
      <c r="N2382">
        <v>1999</v>
      </c>
      <c r="T2382" t="s">
        <v>6546</v>
      </c>
      <c r="U2382" t="s">
        <v>6546</v>
      </c>
      <c r="V2382">
        <v>61.2</v>
      </c>
      <c r="W2382">
        <v>59.43</v>
      </c>
      <c r="X2382">
        <v>61.2</v>
      </c>
      <c r="Y2382">
        <v>1200</v>
      </c>
      <c r="Z2382" t="s">
        <v>8842</v>
      </c>
      <c r="AB2382" t="s">
        <v>21662</v>
      </c>
      <c r="AC2382" t="s">
        <v>8777</v>
      </c>
      <c r="AF2382" t="s">
        <v>21663</v>
      </c>
      <c r="AI2382" t="s">
        <v>8777</v>
      </c>
      <c r="AO2382" t="s">
        <v>21664</v>
      </c>
    </row>
    <row r="2383" spans="1:41" hidden="1" x14ac:dyDescent="0.35">
      <c r="A2383" t="s">
        <v>21665</v>
      </c>
      <c r="B2383" t="s">
        <v>7246</v>
      </c>
      <c r="C2383" t="s">
        <v>5714</v>
      </c>
      <c r="D2383" t="s">
        <v>5714</v>
      </c>
      <c r="E2383" t="s">
        <v>5714</v>
      </c>
      <c r="G2383" s="13" t="s">
        <v>21666</v>
      </c>
      <c r="H2383" t="s">
        <v>21667</v>
      </c>
      <c r="K2383" t="s">
        <v>13601</v>
      </c>
      <c r="L2383" t="s">
        <v>13602</v>
      </c>
      <c r="M2383" t="s">
        <v>7250</v>
      </c>
      <c r="N2383">
        <v>1991</v>
      </c>
      <c r="T2383" t="s">
        <v>6546</v>
      </c>
      <c r="U2383" t="s">
        <v>6546</v>
      </c>
      <c r="V2383">
        <v>47</v>
      </c>
      <c r="W2383">
        <v>47.17</v>
      </c>
      <c r="X2383">
        <v>47</v>
      </c>
      <c r="Y2383">
        <v>650</v>
      </c>
      <c r="Z2383" t="s">
        <v>8842</v>
      </c>
      <c r="AB2383" t="s">
        <v>21668</v>
      </c>
      <c r="AC2383" t="s">
        <v>8777</v>
      </c>
      <c r="AF2383" t="s">
        <v>21669</v>
      </c>
      <c r="AI2383" t="s">
        <v>8777</v>
      </c>
      <c r="AO2383" t="s">
        <v>21670</v>
      </c>
    </row>
    <row r="2384" spans="1:41" hidden="1" x14ac:dyDescent="0.35">
      <c r="A2384" t="s">
        <v>21671</v>
      </c>
      <c r="B2384" t="s">
        <v>7246</v>
      </c>
      <c r="C2384" t="s">
        <v>5714</v>
      </c>
      <c r="D2384" t="s">
        <v>5714</v>
      </c>
      <c r="E2384" t="s">
        <v>5714</v>
      </c>
      <c r="G2384" s="13" t="s">
        <v>21672</v>
      </c>
      <c r="H2384" t="s">
        <v>21673</v>
      </c>
      <c r="K2384" t="s">
        <v>13601</v>
      </c>
      <c r="L2384" t="s">
        <v>13602</v>
      </c>
      <c r="M2384" t="s">
        <v>7250</v>
      </c>
      <c r="N2384">
        <v>1967</v>
      </c>
      <c r="O2384">
        <v>1968</v>
      </c>
      <c r="T2384" t="s">
        <v>6546</v>
      </c>
      <c r="U2384" t="s">
        <v>6546</v>
      </c>
      <c r="V2384">
        <v>122.3</v>
      </c>
      <c r="W2384">
        <v>110.05</v>
      </c>
      <c r="X2384">
        <v>122.3</v>
      </c>
      <c r="Y2384">
        <v>750</v>
      </c>
      <c r="Z2384" t="s">
        <v>8842</v>
      </c>
      <c r="AB2384" t="s">
        <v>21674</v>
      </c>
      <c r="AC2384" t="s">
        <v>8777</v>
      </c>
      <c r="AF2384" t="s">
        <v>15153</v>
      </c>
      <c r="AI2384" t="s">
        <v>8777</v>
      </c>
      <c r="AO2384" t="s">
        <v>21675</v>
      </c>
    </row>
    <row r="2385" spans="1:41" hidden="1" x14ac:dyDescent="0.35">
      <c r="A2385" t="s">
        <v>21676</v>
      </c>
      <c r="B2385" t="s">
        <v>7246</v>
      </c>
      <c r="C2385" t="s">
        <v>5714</v>
      </c>
      <c r="D2385" t="s">
        <v>5714</v>
      </c>
      <c r="E2385" t="s">
        <v>5714</v>
      </c>
      <c r="G2385" s="13" t="s">
        <v>21677</v>
      </c>
      <c r="H2385" t="s">
        <v>21678</v>
      </c>
      <c r="K2385" t="s">
        <v>13601</v>
      </c>
      <c r="L2385" t="s">
        <v>13602</v>
      </c>
      <c r="M2385" t="s">
        <v>7250</v>
      </c>
      <c r="N2385">
        <v>1970</v>
      </c>
      <c r="O2385">
        <v>1972</v>
      </c>
      <c r="T2385" t="s">
        <v>6546</v>
      </c>
      <c r="U2385" t="s">
        <v>6546</v>
      </c>
      <c r="V2385">
        <v>56.5</v>
      </c>
      <c r="W2385">
        <v>105.81</v>
      </c>
      <c r="X2385">
        <v>56.5</v>
      </c>
      <c r="Y2385">
        <v>750</v>
      </c>
      <c r="Z2385" t="s">
        <v>8842</v>
      </c>
      <c r="AB2385" t="s">
        <v>15487</v>
      </c>
      <c r="AC2385" t="s">
        <v>8777</v>
      </c>
      <c r="AF2385" t="s">
        <v>15523</v>
      </c>
      <c r="AI2385" t="s">
        <v>8777</v>
      </c>
      <c r="AO2385" t="s">
        <v>21679</v>
      </c>
    </row>
    <row r="2386" spans="1:41" hidden="1" x14ac:dyDescent="0.35">
      <c r="A2386" t="s">
        <v>21680</v>
      </c>
      <c r="B2386" t="s">
        <v>7246</v>
      </c>
      <c r="C2386" t="s">
        <v>5714</v>
      </c>
      <c r="D2386" t="s">
        <v>5714</v>
      </c>
      <c r="E2386" t="s">
        <v>5714</v>
      </c>
      <c r="G2386" s="13" t="s">
        <v>21681</v>
      </c>
      <c r="H2386" t="s">
        <v>21682</v>
      </c>
      <c r="K2386" t="s">
        <v>13601</v>
      </c>
      <c r="L2386" t="s">
        <v>13602</v>
      </c>
      <c r="M2386" t="s">
        <v>7250</v>
      </c>
      <c r="N2386">
        <v>1994</v>
      </c>
      <c r="T2386" t="s">
        <v>6546</v>
      </c>
      <c r="U2386" t="s">
        <v>6546</v>
      </c>
      <c r="V2386">
        <v>31.9</v>
      </c>
      <c r="W2386">
        <v>27.87</v>
      </c>
      <c r="X2386">
        <v>31.9</v>
      </c>
      <c r="Y2386">
        <v>1200</v>
      </c>
      <c r="Z2386" t="s">
        <v>8842</v>
      </c>
      <c r="AB2386" t="s">
        <v>15481</v>
      </c>
      <c r="AC2386" t="s">
        <v>8777</v>
      </c>
      <c r="AF2386" t="s">
        <v>21683</v>
      </c>
      <c r="AI2386" t="s">
        <v>8777</v>
      </c>
      <c r="AO2386" t="s">
        <v>21684</v>
      </c>
    </row>
    <row r="2387" spans="1:41" hidden="1" x14ac:dyDescent="0.35">
      <c r="A2387" t="s">
        <v>21685</v>
      </c>
      <c r="B2387" t="s">
        <v>7246</v>
      </c>
      <c r="C2387" t="s">
        <v>5714</v>
      </c>
      <c r="D2387" t="s">
        <v>5714</v>
      </c>
      <c r="E2387" t="s">
        <v>5714</v>
      </c>
      <c r="G2387" s="13" t="s">
        <v>21686</v>
      </c>
      <c r="H2387" t="s">
        <v>21687</v>
      </c>
      <c r="K2387" t="s">
        <v>13601</v>
      </c>
      <c r="L2387" t="s">
        <v>13602</v>
      </c>
      <c r="M2387" t="s">
        <v>7250</v>
      </c>
      <c r="N2387">
        <v>1995</v>
      </c>
      <c r="T2387" t="s">
        <v>6546</v>
      </c>
      <c r="U2387" t="s">
        <v>6546</v>
      </c>
      <c r="V2387">
        <v>26.2</v>
      </c>
      <c r="W2387">
        <v>31.55</v>
      </c>
      <c r="X2387">
        <v>26.2</v>
      </c>
      <c r="Y2387">
        <v>1200</v>
      </c>
      <c r="Z2387" t="s">
        <v>8842</v>
      </c>
      <c r="AB2387" t="s">
        <v>21683</v>
      </c>
      <c r="AC2387" t="s">
        <v>8777</v>
      </c>
      <c r="AF2387" t="s">
        <v>15523</v>
      </c>
      <c r="AI2387" t="s">
        <v>8777</v>
      </c>
      <c r="AO2387" t="s">
        <v>21688</v>
      </c>
    </row>
    <row r="2388" spans="1:41" hidden="1" x14ac:dyDescent="0.35">
      <c r="A2388" t="s">
        <v>21689</v>
      </c>
      <c r="B2388" t="s">
        <v>7246</v>
      </c>
      <c r="C2388" t="s">
        <v>5714</v>
      </c>
      <c r="D2388" t="s">
        <v>5714</v>
      </c>
      <c r="E2388" t="s">
        <v>5714</v>
      </c>
      <c r="G2388" s="13" t="s">
        <v>21690</v>
      </c>
      <c r="H2388" t="s">
        <v>21691</v>
      </c>
      <c r="K2388" t="s">
        <v>13601</v>
      </c>
      <c r="L2388" t="s">
        <v>13602</v>
      </c>
      <c r="M2388" t="s">
        <v>7250</v>
      </c>
      <c r="N2388">
        <v>1998</v>
      </c>
      <c r="O2388">
        <v>1999</v>
      </c>
      <c r="T2388" t="s">
        <v>6546</v>
      </c>
      <c r="U2388" t="s">
        <v>6546</v>
      </c>
      <c r="V2388">
        <v>42.3</v>
      </c>
      <c r="W2388">
        <v>39.76</v>
      </c>
      <c r="X2388">
        <v>42.3</v>
      </c>
      <c r="Y2388">
        <v>1200</v>
      </c>
      <c r="Z2388" t="s">
        <v>8842</v>
      </c>
      <c r="AB2388" t="s">
        <v>21692</v>
      </c>
      <c r="AC2388" t="s">
        <v>8777</v>
      </c>
      <c r="AF2388" t="s">
        <v>16681</v>
      </c>
      <c r="AI2388" t="s">
        <v>8777</v>
      </c>
      <c r="AO2388" t="s">
        <v>21693</v>
      </c>
    </row>
    <row r="2389" spans="1:41" hidden="1" x14ac:dyDescent="0.35">
      <c r="A2389" t="s">
        <v>21694</v>
      </c>
      <c r="B2389" t="s">
        <v>7246</v>
      </c>
      <c r="C2389" t="s">
        <v>5714</v>
      </c>
      <c r="D2389" t="s">
        <v>5714</v>
      </c>
      <c r="E2389" t="s">
        <v>5714</v>
      </c>
      <c r="G2389" s="13" t="s">
        <v>21695</v>
      </c>
      <c r="H2389" t="s">
        <v>21696</v>
      </c>
      <c r="K2389" t="s">
        <v>13601</v>
      </c>
      <c r="L2389" t="s">
        <v>13602</v>
      </c>
      <c r="M2389" t="s">
        <v>7250</v>
      </c>
      <c r="N2389">
        <v>1976</v>
      </c>
      <c r="O2389">
        <v>1988</v>
      </c>
      <c r="T2389" t="s">
        <v>6546</v>
      </c>
      <c r="U2389" t="s">
        <v>6546</v>
      </c>
      <c r="V2389">
        <v>47.5</v>
      </c>
      <c r="W2389">
        <v>43.07</v>
      </c>
      <c r="X2389">
        <v>47.5</v>
      </c>
      <c r="Y2389" t="s">
        <v>21697</v>
      </c>
      <c r="Z2389" t="s">
        <v>8842</v>
      </c>
      <c r="AB2389" t="s">
        <v>21698</v>
      </c>
      <c r="AC2389" t="s">
        <v>8777</v>
      </c>
      <c r="AF2389" t="s">
        <v>21699</v>
      </c>
      <c r="AI2389" t="s">
        <v>8777</v>
      </c>
      <c r="AO2389" t="s">
        <v>21700</v>
      </c>
    </row>
    <row r="2390" spans="1:41" hidden="1" x14ac:dyDescent="0.35">
      <c r="A2390" t="s">
        <v>21701</v>
      </c>
      <c r="B2390" t="s">
        <v>7246</v>
      </c>
      <c r="C2390" t="s">
        <v>5714</v>
      </c>
      <c r="D2390" t="s">
        <v>5714</v>
      </c>
      <c r="E2390" t="s">
        <v>5714</v>
      </c>
      <c r="G2390" s="13" t="s">
        <v>16678</v>
      </c>
      <c r="H2390" t="s">
        <v>16679</v>
      </c>
      <c r="I2390" t="s">
        <v>16461</v>
      </c>
      <c r="K2390" t="s">
        <v>13601</v>
      </c>
      <c r="L2390" t="s">
        <v>13602</v>
      </c>
      <c r="M2390" t="s">
        <v>7250</v>
      </c>
      <c r="N2390">
        <v>2001</v>
      </c>
      <c r="T2390" t="s">
        <v>6546</v>
      </c>
      <c r="U2390" t="s">
        <v>6546</v>
      </c>
      <c r="V2390">
        <v>0</v>
      </c>
      <c r="W2390" t="s">
        <v>6546</v>
      </c>
      <c r="X2390">
        <v>0</v>
      </c>
      <c r="Y2390">
        <v>1200</v>
      </c>
      <c r="Z2390" t="s">
        <v>8842</v>
      </c>
      <c r="AB2390" t="s">
        <v>16681</v>
      </c>
      <c r="AC2390" t="s">
        <v>8777</v>
      </c>
      <c r="AF2390" t="s">
        <v>15523</v>
      </c>
      <c r="AI2390" t="s">
        <v>8777</v>
      </c>
      <c r="AO2390" t="s">
        <v>6546</v>
      </c>
    </row>
    <row r="2391" spans="1:41" hidden="1" x14ac:dyDescent="0.35">
      <c r="A2391" t="s">
        <v>21702</v>
      </c>
      <c r="B2391" t="s">
        <v>7246</v>
      </c>
      <c r="C2391" t="s">
        <v>5714</v>
      </c>
      <c r="D2391" t="s">
        <v>5714</v>
      </c>
      <c r="E2391" t="s">
        <v>5714</v>
      </c>
      <c r="G2391" s="13" t="s">
        <v>21703</v>
      </c>
      <c r="H2391" t="s">
        <v>21704</v>
      </c>
      <c r="K2391" t="s">
        <v>13601</v>
      </c>
      <c r="L2391" t="s">
        <v>13602</v>
      </c>
      <c r="M2391" t="s">
        <v>7250</v>
      </c>
      <c r="N2391">
        <v>2002</v>
      </c>
      <c r="O2391">
        <v>2004</v>
      </c>
      <c r="T2391" t="s">
        <v>6546</v>
      </c>
      <c r="U2391" t="s">
        <v>6546</v>
      </c>
      <c r="V2391">
        <v>76.599999999999994</v>
      </c>
      <c r="W2391">
        <v>60.32</v>
      </c>
      <c r="X2391">
        <v>76.599999999999994</v>
      </c>
      <c r="Y2391">
        <v>1200</v>
      </c>
      <c r="Z2391" t="s">
        <v>8842</v>
      </c>
      <c r="AB2391" t="s">
        <v>21656</v>
      </c>
      <c r="AC2391" t="s">
        <v>8777</v>
      </c>
      <c r="AF2391" t="s">
        <v>21668</v>
      </c>
      <c r="AI2391" t="s">
        <v>8777</v>
      </c>
      <c r="AO2391" t="s">
        <v>21705</v>
      </c>
    </row>
    <row r="2392" spans="1:41" hidden="1" x14ac:dyDescent="0.35">
      <c r="A2392" t="s">
        <v>21706</v>
      </c>
      <c r="B2392" t="s">
        <v>7246</v>
      </c>
      <c r="C2392" t="s">
        <v>5714</v>
      </c>
      <c r="D2392" t="s">
        <v>5714</v>
      </c>
      <c r="E2392" t="s">
        <v>5714</v>
      </c>
      <c r="G2392" s="13" t="s">
        <v>21707</v>
      </c>
      <c r="H2392" t="s">
        <v>21708</v>
      </c>
      <c r="K2392" t="s">
        <v>13601</v>
      </c>
      <c r="L2392" t="s">
        <v>13602</v>
      </c>
      <c r="M2392" t="s">
        <v>7250</v>
      </c>
      <c r="N2392">
        <v>2010</v>
      </c>
      <c r="O2392">
        <v>2011</v>
      </c>
      <c r="T2392" t="s">
        <v>6546</v>
      </c>
      <c r="U2392" t="s">
        <v>6546</v>
      </c>
      <c r="V2392">
        <v>18.7</v>
      </c>
      <c r="W2392">
        <v>31.46</v>
      </c>
      <c r="X2392">
        <v>18.7</v>
      </c>
      <c r="Y2392">
        <v>1050</v>
      </c>
      <c r="Z2392" t="s">
        <v>8842</v>
      </c>
      <c r="AB2392" t="s">
        <v>21709</v>
      </c>
      <c r="AC2392" t="s">
        <v>8777</v>
      </c>
      <c r="AF2392" t="s">
        <v>16472</v>
      </c>
      <c r="AI2392" t="s">
        <v>8777</v>
      </c>
      <c r="AO2392" t="s">
        <v>21710</v>
      </c>
    </row>
    <row r="2393" spans="1:41" hidden="1" x14ac:dyDescent="0.35">
      <c r="A2393" t="s">
        <v>21711</v>
      </c>
      <c r="B2393" t="s">
        <v>7246</v>
      </c>
      <c r="C2393" t="s">
        <v>5714</v>
      </c>
      <c r="D2393" t="s">
        <v>5714</v>
      </c>
      <c r="E2393" t="s">
        <v>5714</v>
      </c>
      <c r="G2393" s="13" t="s">
        <v>21712</v>
      </c>
      <c r="H2393" t="s">
        <v>21713</v>
      </c>
      <c r="K2393" t="s">
        <v>13601</v>
      </c>
      <c r="L2393" t="s">
        <v>13602</v>
      </c>
      <c r="M2393" t="s">
        <v>7250</v>
      </c>
      <c r="N2393">
        <v>2004</v>
      </c>
      <c r="T2393" t="s">
        <v>6546</v>
      </c>
      <c r="U2393" t="s">
        <v>6546</v>
      </c>
      <c r="V2393">
        <v>112.7</v>
      </c>
      <c r="W2393" t="s">
        <v>6546</v>
      </c>
      <c r="X2393">
        <v>112.7</v>
      </c>
      <c r="Y2393">
        <v>1200</v>
      </c>
      <c r="Z2393" t="s">
        <v>8842</v>
      </c>
      <c r="AB2393" t="s">
        <v>16324</v>
      </c>
      <c r="AC2393" t="s">
        <v>8777</v>
      </c>
      <c r="AF2393" t="s">
        <v>16438</v>
      </c>
      <c r="AI2393" t="s">
        <v>8777</v>
      </c>
      <c r="AO2393" t="s">
        <v>6546</v>
      </c>
    </row>
    <row r="2394" spans="1:41" hidden="1" x14ac:dyDescent="0.35">
      <c r="A2394" t="s">
        <v>21714</v>
      </c>
      <c r="B2394" t="s">
        <v>7246</v>
      </c>
      <c r="C2394" t="s">
        <v>5714</v>
      </c>
      <c r="D2394" t="s">
        <v>5714</v>
      </c>
      <c r="E2394" t="s">
        <v>5714</v>
      </c>
      <c r="G2394" s="13" t="s">
        <v>21715</v>
      </c>
      <c r="H2394" t="s">
        <v>21716</v>
      </c>
      <c r="K2394" t="s">
        <v>13601</v>
      </c>
      <c r="L2394" t="s">
        <v>13602</v>
      </c>
      <c r="M2394" t="s">
        <v>7250</v>
      </c>
      <c r="N2394">
        <v>2005</v>
      </c>
      <c r="O2394">
        <v>2010</v>
      </c>
      <c r="T2394" t="s">
        <v>6546</v>
      </c>
      <c r="U2394" t="s">
        <v>6546</v>
      </c>
      <c r="V2394">
        <v>87</v>
      </c>
      <c r="W2394">
        <v>87.65</v>
      </c>
      <c r="X2394">
        <v>87</v>
      </c>
      <c r="Y2394">
        <v>1200</v>
      </c>
      <c r="Z2394" t="s">
        <v>8842</v>
      </c>
      <c r="AB2394" t="s">
        <v>21717</v>
      </c>
      <c r="AC2394" t="s">
        <v>8777</v>
      </c>
      <c r="AF2394" t="s">
        <v>16154</v>
      </c>
      <c r="AI2394" t="s">
        <v>8777</v>
      </c>
      <c r="AO2394" t="s">
        <v>21718</v>
      </c>
    </row>
    <row r="2395" spans="1:41" hidden="1" x14ac:dyDescent="0.35">
      <c r="A2395" t="s">
        <v>21719</v>
      </c>
      <c r="B2395" t="s">
        <v>7246</v>
      </c>
      <c r="C2395" t="s">
        <v>5714</v>
      </c>
      <c r="D2395" t="s">
        <v>5714</v>
      </c>
      <c r="E2395" t="s">
        <v>5714</v>
      </c>
      <c r="G2395" s="13" t="s">
        <v>21720</v>
      </c>
      <c r="H2395" t="s">
        <v>21721</v>
      </c>
      <c r="K2395" t="s">
        <v>13601</v>
      </c>
      <c r="L2395" t="s">
        <v>13602</v>
      </c>
      <c r="M2395" t="s">
        <v>7250</v>
      </c>
      <c r="N2395">
        <v>2008</v>
      </c>
      <c r="O2395">
        <v>2010</v>
      </c>
      <c r="T2395" t="s">
        <v>6546</v>
      </c>
      <c r="U2395" t="s">
        <v>6546</v>
      </c>
      <c r="V2395">
        <v>22.5</v>
      </c>
      <c r="W2395">
        <v>28.04</v>
      </c>
      <c r="X2395">
        <v>22.5</v>
      </c>
      <c r="Y2395">
        <v>1200</v>
      </c>
      <c r="Z2395" t="s">
        <v>8842</v>
      </c>
      <c r="AB2395" t="s">
        <v>18649</v>
      </c>
      <c r="AC2395" t="s">
        <v>8777</v>
      </c>
      <c r="AF2395" t="s">
        <v>21656</v>
      </c>
      <c r="AI2395" t="s">
        <v>8777</v>
      </c>
      <c r="AO2395" t="s">
        <v>21722</v>
      </c>
    </row>
    <row r="2396" spans="1:41" hidden="1" x14ac:dyDescent="0.35">
      <c r="A2396" t="s">
        <v>21723</v>
      </c>
      <c r="B2396" t="s">
        <v>7246</v>
      </c>
      <c r="C2396" t="s">
        <v>5714</v>
      </c>
      <c r="D2396" t="s">
        <v>5714</v>
      </c>
      <c r="E2396" t="s">
        <v>5714</v>
      </c>
      <c r="G2396" s="13" t="s">
        <v>21724</v>
      </c>
      <c r="H2396" t="s">
        <v>21725</v>
      </c>
      <c r="K2396" t="s">
        <v>13601</v>
      </c>
      <c r="L2396" t="s">
        <v>13602</v>
      </c>
      <c r="M2396" t="s">
        <v>7250</v>
      </c>
      <c r="N2396">
        <v>1994</v>
      </c>
      <c r="T2396" t="s">
        <v>6546</v>
      </c>
      <c r="U2396" t="s">
        <v>6546</v>
      </c>
      <c r="V2396">
        <v>69.3</v>
      </c>
      <c r="W2396">
        <v>69.91</v>
      </c>
      <c r="X2396">
        <v>69.3</v>
      </c>
      <c r="Y2396">
        <v>1200</v>
      </c>
      <c r="Z2396" t="s">
        <v>8842</v>
      </c>
      <c r="AB2396" t="s">
        <v>16223</v>
      </c>
      <c r="AC2396" t="s">
        <v>8777</v>
      </c>
      <c r="AF2396" t="s">
        <v>15983</v>
      </c>
      <c r="AI2396" t="s">
        <v>8777</v>
      </c>
      <c r="AO2396" t="s">
        <v>21726</v>
      </c>
    </row>
    <row r="2397" spans="1:41" hidden="1" x14ac:dyDescent="0.35">
      <c r="A2397" t="s">
        <v>21727</v>
      </c>
      <c r="B2397" t="s">
        <v>7246</v>
      </c>
      <c r="C2397" t="s">
        <v>5714</v>
      </c>
      <c r="D2397" t="s">
        <v>5714</v>
      </c>
      <c r="E2397" t="s">
        <v>5714</v>
      </c>
      <c r="G2397" s="13" t="s">
        <v>16362</v>
      </c>
      <c r="H2397" t="s">
        <v>16363</v>
      </c>
      <c r="I2397" t="s">
        <v>16461</v>
      </c>
      <c r="K2397" t="s">
        <v>13601</v>
      </c>
      <c r="L2397" t="s">
        <v>13602</v>
      </c>
      <c r="M2397" t="s">
        <v>7250</v>
      </c>
      <c r="N2397">
        <v>2015</v>
      </c>
      <c r="T2397" t="s">
        <v>6546</v>
      </c>
      <c r="U2397" t="s">
        <v>6546</v>
      </c>
      <c r="V2397">
        <v>0</v>
      </c>
      <c r="W2397" t="s">
        <v>6546</v>
      </c>
      <c r="X2397">
        <v>0</v>
      </c>
      <c r="Y2397">
        <v>1200</v>
      </c>
      <c r="Z2397" t="s">
        <v>8842</v>
      </c>
      <c r="AB2397" t="s">
        <v>21728</v>
      </c>
      <c r="AC2397" t="s">
        <v>8777</v>
      </c>
      <c r="AF2397" t="s">
        <v>9774</v>
      </c>
      <c r="AI2397" t="s">
        <v>8777</v>
      </c>
      <c r="AO2397" t="s">
        <v>6546</v>
      </c>
    </row>
    <row r="2398" spans="1:41" hidden="1" x14ac:dyDescent="0.35">
      <c r="A2398" t="s">
        <v>21729</v>
      </c>
      <c r="B2398" t="s">
        <v>7246</v>
      </c>
      <c r="C2398" t="s">
        <v>5714</v>
      </c>
      <c r="D2398" t="s">
        <v>5714</v>
      </c>
      <c r="E2398" t="s">
        <v>5714</v>
      </c>
      <c r="G2398" s="13" t="s">
        <v>21730</v>
      </c>
      <c r="H2398" t="s">
        <v>21731</v>
      </c>
      <c r="K2398" t="s">
        <v>13601</v>
      </c>
      <c r="L2398" t="s">
        <v>13602</v>
      </c>
      <c r="M2398" t="s">
        <v>7250</v>
      </c>
      <c r="N2398">
        <v>2008</v>
      </c>
      <c r="T2398" t="s">
        <v>6546</v>
      </c>
      <c r="U2398" t="s">
        <v>6546</v>
      </c>
      <c r="V2398">
        <v>83.2</v>
      </c>
      <c r="W2398">
        <v>156.84</v>
      </c>
      <c r="X2398">
        <v>83.2</v>
      </c>
      <c r="Y2398">
        <v>900</v>
      </c>
      <c r="Z2398" t="s">
        <v>8842</v>
      </c>
      <c r="AB2398" t="s">
        <v>21732</v>
      </c>
      <c r="AC2398" t="s">
        <v>8777</v>
      </c>
      <c r="AF2398" t="s">
        <v>9774</v>
      </c>
      <c r="AI2398" t="s">
        <v>8777</v>
      </c>
      <c r="AO2398" t="s">
        <v>21733</v>
      </c>
    </row>
    <row r="2399" spans="1:41" hidden="1" x14ac:dyDescent="0.35">
      <c r="A2399" t="s">
        <v>21734</v>
      </c>
      <c r="B2399" t="s">
        <v>7246</v>
      </c>
      <c r="C2399" t="s">
        <v>5714</v>
      </c>
      <c r="D2399" t="s">
        <v>5714</v>
      </c>
      <c r="E2399" t="s">
        <v>5714</v>
      </c>
      <c r="G2399" s="13" t="s">
        <v>15164</v>
      </c>
      <c r="H2399" t="s">
        <v>15165</v>
      </c>
      <c r="I2399" t="s">
        <v>21735</v>
      </c>
      <c r="K2399" t="s">
        <v>13601</v>
      </c>
      <c r="L2399" t="s">
        <v>13602</v>
      </c>
      <c r="M2399" t="s">
        <v>7250</v>
      </c>
      <c r="N2399">
        <v>1990</v>
      </c>
      <c r="O2399">
        <v>1996</v>
      </c>
      <c r="T2399" t="s">
        <v>6546</v>
      </c>
      <c r="U2399" t="s">
        <v>6546</v>
      </c>
      <c r="V2399">
        <v>143.9</v>
      </c>
      <c r="W2399">
        <v>96.49</v>
      </c>
      <c r="X2399">
        <v>143.9</v>
      </c>
      <c r="Y2399">
        <v>500</v>
      </c>
      <c r="Z2399" t="s">
        <v>8842</v>
      </c>
      <c r="AB2399" t="s">
        <v>15161</v>
      </c>
      <c r="AC2399" t="s">
        <v>8777</v>
      </c>
      <c r="AF2399" t="s">
        <v>15168</v>
      </c>
      <c r="AI2399" t="s">
        <v>8777</v>
      </c>
      <c r="AO2399" t="s">
        <v>21736</v>
      </c>
    </row>
    <row r="2400" spans="1:41" hidden="1" x14ac:dyDescent="0.35">
      <c r="A2400" t="s">
        <v>21737</v>
      </c>
      <c r="B2400" t="s">
        <v>7246</v>
      </c>
      <c r="C2400" t="s">
        <v>5714</v>
      </c>
      <c r="D2400" t="s">
        <v>5714</v>
      </c>
      <c r="E2400" t="s">
        <v>5714</v>
      </c>
      <c r="G2400" s="13" t="s">
        <v>16453</v>
      </c>
      <c r="H2400" t="s">
        <v>16454</v>
      </c>
      <c r="I2400" t="s">
        <v>16461</v>
      </c>
      <c r="K2400" t="s">
        <v>13601</v>
      </c>
      <c r="L2400" t="s">
        <v>13602</v>
      </c>
      <c r="M2400" t="s">
        <v>7292</v>
      </c>
      <c r="T2400" t="s">
        <v>6546</v>
      </c>
      <c r="U2400" t="s">
        <v>6546</v>
      </c>
      <c r="V2400">
        <v>0</v>
      </c>
      <c r="W2400" t="s">
        <v>6546</v>
      </c>
      <c r="X2400">
        <v>0</v>
      </c>
      <c r="Y2400" t="s">
        <v>21738</v>
      </c>
      <c r="Z2400" t="s">
        <v>8842</v>
      </c>
      <c r="AB2400" t="s">
        <v>16457</v>
      </c>
      <c r="AC2400" t="s">
        <v>8777</v>
      </c>
      <c r="AF2400" t="s">
        <v>16456</v>
      </c>
      <c r="AI2400" t="s">
        <v>8777</v>
      </c>
      <c r="AO2400" t="s">
        <v>6546</v>
      </c>
    </row>
    <row r="2401" spans="1:41" hidden="1" x14ac:dyDescent="0.35">
      <c r="A2401" t="s">
        <v>21739</v>
      </c>
      <c r="B2401" t="s">
        <v>7246</v>
      </c>
      <c r="C2401" t="s">
        <v>5714</v>
      </c>
      <c r="D2401" t="s">
        <v>5714</v>
      </c>
      <c r="E2401" t="s">
        <v>5714</v>
      </c>
      <c r="G2401" s="13" t="s">
        <v>21740</v>
      </c>
      <c r="H2401" t="s">
        <v>21741</v>
      </c>
      <c r="K2401" t="s">
        <v>13601</v>
      </c>
      <c r="L2401" t="s">
        <v>13602</v>
      </c>
      <c r="M2401" t="s">
        <v>7250</v>
      </c>
      <c r="N2401">
        <v>1970</v>
      </c>
      <c r="T2401" t="s">
        <v>6546</v>
      </c>
      <c r="U2401" t="s">
        <v>6546</v>
      </c>
      <c r="V2401">
        <v>45.9</v>
      </c>
      <c r="W2401">
        <v>45.26</v>
      </c>
      <c r="X2401">
        <v>45.9</v>
      </c>
      <c r="Y2401">
        <v>600</v>
      </c>
      <c r="Z2401" t="s">
        <v>8842</v>
      </c>
      <c r="AB2401" t="s">
        <v>16456</v>
      </c>
      <c r="AC2401" t="s">
        <v>8777</v>
      </c>
      <c r="AF2401" t="s">
        <v>16398</v>
      </c>
      <c r="AI2401" t="s">
        <v>8777</v>
      </c>
      <c r="AO2401" t="s">
        <v>21742</v>
      </c>
    </row>
    <row r="2402" spans="1:41" hidden="1" x14ac:dyDescent="0.35">
      <c r="A2402" t="s">
        <v>21743</v>
      </c>
      <c r="B2402" t="s">
        <v>7246</v>
      </c>
      <c r="C2402" t="s">
        <v>5714</v>
      </c>
      <c r="D2402" t="s">
        <v>5714</v>
      </c>
      <c r="E2402" t="s">
        <v>5714</v>
      </c>
      <c r="G2402" s="13" t="s">
        <v>21744</v>
      </c>
      <c r="H2402" t="s">
        <v>21745</v>
      </c>
      <c r="K2402" t="s">
        <v>13601</v>
      </c>
      <c r="L2402" t="s">
        <v>13602</v>
      </c>
      <c r="M2402" t="s">
        <v>7250</v>
      </c>
      <c r="N2402">
        <v>1989</v>
      </c>
      <c r="T2402" t="s">
        <v>6546</v>
      </c>
      <c r="U2402" t="s">
        <v>6546</v>
      </c>
      <c r="V2402">
        <v>110.3</v>
      </c>
      <c r="W2402">
        <v>105.39</v>
      </c>
      <c r="X2402">
        <v>110.3</v>
      </c>
      <c r="Y2402">
        <v>600</v>
      </c>
      <c r="Z2402" t="s">
        <v>8842</v>
      </c>
      <c r="AB2402" t="s">
        <v>15896</v>
      </c>
      <c r="AC2402" t="s">
        <v>8777</v>
      </c>
      <c r="AF2402" t="s">
        <v>21746</v>
      </c>
      <c r="AI2402" t="s">
        <v>8777</v>
      </c>
      <c r="AO2402" t="s">
        <v>21747</v>
      </c>
    </row>
    <row r="2403" spans="1:41" hidden="1" x14ac:dyDescent="0.35">
      <c r="A2403" t="s">
        <v>21748</v>
      </c>
      <c r="B2403" t="s">
        <v>7246</v>
      </c>
      <c r="C2403" t="s">
        <v>423</v>
      </c>
      <c r="D2403" t="s">
        <v>423</v>
      </c>
      <c r="E2403" t="s">
        <v>423</v>
      </c>
      <c r="G2403" s="13" t="s">
        <v>14346</v>
      </c>
      <c r="H2403" t="s">
        <v>14153</v>
      </c>
      <c r="I2403" t="s">
        <v>9883</v>
      </c>
      <c r="K2403" t="s">
        <v>9976</v>
      </c>
      <c r="L2403" t="s">
        <v>9976</v>
      </c>
      <c r="M2403" t="s">
        <v>7250</v>
      </c>
      <c r="N2403">
        <v>1989</v>
      </c>
      <c r="T2403" t="s">
        <v>6546</v>
      </c>
      <c r="U2403" t="s">
        <v>6546</v>
      </c>
      <c r="V2403">
        <v>3113</v>
      </c>
      <c r="W2403">
        <v>3040.59</v>
      </c>
      <c r="X2403">
        <v>3113</v>
      </c>
      <c r="Y2403" t="s">
        <v>21749</v>
      </c>
      <c r="Z2403" t="s">
        <v>8842</v>
      </c>
      <c r="AB2403" t="s">
        <v>14347</v>
      </c>
      <c r="AC2403" t="s">
        <v>8844</v>
      </c>
      <c r="AD2403" t="s">
        <v>14106</v>
      </c>
      <c r="AE2403" t="s">
        <v>13851</v>
      </c>
      <c r="AF2403" t="s">
        <v>5529</v>
      </c>
      <c r="AG2403" t="s">
        <v>14348</v>
      </c>
      <c r="AH2403" t="s">
        <v>14315</v>
      </c>
      <c r="AI2403" t="s">
        <v>8844</v>
      </c>
      <c r="AO2403" t="s">
        <v>14349</v>
      </c>
    </row>
    <row r="2404" spans="1:41" hidden="1" x14ac:dyDescent="0.35">
      <c r="A2404" t="s">
        <v>21750</v>
      </c>
      <c r="B2404" t="s">
        <v>7246</v>
      </c>
      <c r="C2404" t="s">
        <v>5714</v>
      </c>
      <c r="D2404" t="s">
        <v>5714</v>
      </c>
      <c r="E2404" t="s">
        <v>5714</v>
      </c>
      <c r="G2404" s="13" t="s">
        <v>21751</v>
      </c>
      <c r="H2404" t="s">
        <v>21752</v>
      </c>
      <c r="K2404" t="s">
        <v>13601</v>
      </c>
      <c r="L2404" t="s">
        <v>13602</v>
      </c>
      <c r="M2404" t="s">
        <v>7250</v>
      </c>
      <c r="N2404">
        <v>1984</v>
      </c>
      <c r="T2404" t="s">
        <v>6546</v>
      </c>
      <c r="U2404" t="s">
        <v>6546</v>
      </c>
      <c r="V2404">
        <v>16.7</v>
      </c>
      <c r="W2404">
        <v>11.11</v>
      </c>
      <c r="X2404">
        <v>16.7</v>
      </c>
      <c r="Y2404">
        <v>600</v>
      </c>
      <c r="Z2404" t="s">
        <v>8842</v>
      </c>
      <c r="AB2404" t="s">
        <v>21746</v>
      </c>
      <c r="AC2404" t="s">
        <v>8777</v>
      </c>
      <c r="AF2404" t="s">
        <v>16692</v>
      </c>
      <c r="AI2404" t="s">
        <v>8777</v>
      </c>
      <c r="AO2404" t="s">
        <v>21753</v>
      </c>
    </row>
    <row r="2405" spans="1:41" hidden="1" x14ac:dyDescent="0.35">
      <c r="A2405" t="s">
        <v>21754</v>
      </c>
      <c r="B2405" t="s">
        <v>7246</v>
      </c>
      <c r="C2405" t="s">
        <v>5714</v>
      </c>
      <c r="D2405" t="s">
        <v>5714</v>
      </c>
      <c r="E2405" t="s">
        <v>5714</v>
      </c>
      <c r="G2405" s="13" t="s">
        <v>16232</v>
      </c>
      <c r="H2405" t="s">
        <v>16233</v>
      </c>
      <c r="I2405" t="s">
        <v>16461</v>
      </c>
      <c r="K2405" t="s">
        <v>13601</v>
      </c>
      <c r="L2405" t="s">
        <v>13602</v>
      </c>
      <c r="M2405" t="s">
        <v>7250</v>
      </c>
      <c r="N2405">
        <v>2008</v>
      </c>
      <c r="T2405" t="s">
        <v>6546</v>
      </c>
      <c r="U2405" t="s">
        <v>6546</v>
      </c>
      <c r="V2405">
        <v>0</v>
      </c>
      <c r="W2405" t="s">
        <v>6546</v>
      </c>
      <c r="X2405">
        <v>0</v>
      </c>
      <c r="Y2405">
        <v>750</v>
      </c>
      <c r="Z2405" t="s">
        <v>8842</v>
      </c>
      <c r="AB2405" t="s">
        <v>15523</v>
      </c>
      <c r="AC2405" t="s">
        <v>8777</v>
      </c>
      <c r="AF2405" t="s">
        <v>15154</v>
      </c>
      <c r="AI2405" t="s">
        <v>8777</v>
      </c>
      <c r="AO2405" t="s">
        <v>6546</v>
      </c>
    </row>
    <row r="2406" spans="1:41" hidden="1" x14ac:dyDescent="0.35">
      <c r="A2406" t="s">
        <v>21755</v>
      </c>
      <c r="B2406" t="s">
        <v>7246</v>
      </c>
      <c r="C2406" t="s">
        <v>5714</v>
      </c>
      <c r="D2406" t="s">
        <v>5714</v>
      </c>
      <c r="E2406" t="s">
        <v>5714</v>
      </c>
      <c r="G2406" s="13" t="s">
        <v>21756</v>
      </c>
      <c r="H2406" t="s">
        <v>21757</v>
      </c>
      <c r="K2406" t="s">
        <v>13601</v>
      </c>
      <c r="L2406" t="s">
        <v>13602</v>
      </c>
      <c r="M2406" t="s">
        <v>7250</v>
      </c>
      <c r="N2406">
        <v>1980</v>
      </c>
      <c r="O2406">
        <v>1981</v>
      </c>
      <c r="T2406" t="s">
        <v>6546</v>
      </c>
      <c r="U2406" t="s">
        <v>6546</v>
      </c>
      <c r="V2406">
        <v>224.1</v>
      </c>
      <c r="W2406">
        <v>189.57</v>
      </c>
      <c r="X2406">
        <v>224.1</v>
      </c>
      <c r="Y2406">
        <v>1200</v>
      </c>
      <c r="Z2406" t="s">
        <v>8842</v>
      </c>
      <c r="AB2406" t="s">
        <v>21758</v>
      </c>
      <c r="AC2406" t="s">
        <v>8777</v>
      </c>
      <c r="AF2406" t="s">
        <v>21759</v>
      </c>
      <c r="AI2406" t="s">
        <v>8777</v>
      </c>
      <c r="AO2406" t="s">
        <v>21760</v>
      </c>
    </row>
    <row r="2407" spans="1:41" hidden="1" x14ac:dyDescent="0.35">
      <c r="A2407" t="s">
        <v>21761</v>
      </c>
      <c r="B2407" t="s">
        <v>7246</v>
      </c>
      <c r="C2407" t="s">
        <v>5714</v>
      </c>
      <c r="D2407" t="s">
        <v>5714</v>
      </c>
      <c r="E2407" t="s">
        <v>5714</v>
      </c>
      <c r="G2407" s="13" t="s">
        <v>21762</v>
      </c>
      <c r="H2407" t="s">
        <v>21763</v>
      </c>
      <c r="K2407" t="s">
        <v>13601</v>
      </c>
      <c r="L2407" t="s">
        <v>13602</v>
      </c>
      <c r="M2407" t="s">
        <v>7250</v>
      </c>
      <c r="N2407">
        <v>1980</v>
      </c>
      <c r="T2407" t="s">
        <v>6546</v>
      </c>
      <c r="U2407" t="s">
        <v>6546</v>
      </c>
      <c r="V2407">
        <v>129.5</v>
      </c>
      <c r="W2407">
        <v>149.29</v>
      </c>
      <c r="X2407">
        <v>129.5</v>
      </c>
      <c r="Y2407">
        <v>1200</v>
      </c>
      <c r="Z2407" t="s">
        <v>8842</v>
      </c>
      <c r="AB2407" t="s">
        <v>21759</v>
      </c>
      <c r="AC2407" t="s">
        <v>8777</v>
      </c>
      <c r="AF2407" t="s">
        <v>3441</v>
      </c>
      <c r="AI2407" t="s">
        <v>8777</v>
      </c>
      <c r="AO2407" t="s">
        <v>21764</v>
      </c>
    </row>
    <row r="2408" spans="1:41" hidden="1" x14ac:dyDescent="0.35">
      <c r="A2408" t="s">
        <v>21765</v>
      </c>
      <c r="B2408" t="s">
        <v>7246</v>
      </c>
      <c r="C2408" t="s">
        <v>5714</v>
      </c>
      <c r="D2408" t="s">
        <v>5714</v>
      </c>
      <c r="E2408" t="s">
        <v>5714</v>
      </c>
      <c r="G2408" s="13" t="s">
        <v>21766</v>
      </c>
      <c r="H2408" t="s">
        <v>21767</v>
      </c>
      <c r="K2408" t="s">
        <v>13601</v>
      </c>
      <c r="L2408" t="s">
        <v>13602</v>
      </c>
      <c r="M2408" t="s">
        <v>7250</v>
      </c>
      <c r="N2408">
        <v>2008</v>
      </c>
      <c r="T2408" t="s">
        <v>6546</v>
      </c>
      <c r="U2408" t="s">
        <v>6546</v>
      </c>
      <c r="V2408">
        <v>43.2</v>
      </c>
      <c r="W2408">
        <v>43.88</v>
      </c>
      <c r="X2408">
        <v>43.2</v>
      </c>
      <c r="Y2408">
        <v>1200</v>
      </c>
      <c r="Z2408" t="s">
        <v>8842</v>
      </c>
      <c r="AB2408" t="s">
        <v>21758</v>
      </c>
      <c r="AC2408" t="s">
        <v>8777</v>
      </c>
      <c r="AF2408" t="s">
        <v>21768</v>
      </c>
      <c r="AI2408" t="s">
        <v>8777</v>
      </c>
      <c r="AO2408" t="s">
        <v>21769</v>
      </c>
    </row>
    <row r="2409" spans="1:41" hidden="1" x14ac:dyDescent="0.35">
      <c r="A2409" t="s">
        <v>21770</v>
      </c>
      <c r="B2409" t="s">
        <v>7246</v>
      </c>
      <c r="C2409" t="s">
        <v>5714</v>
      </c>
      <c r="D2409" t="s">
        <v>5714</v>
      </c>
      <c r="E2409" t="s">
        <v>5714</v>
      </c>
      <c r="G2409" s="13" t="s">
        <v>21771</v>
      </c>
      <c r="H2409" t="s">
        <v>21772</v>
      </c>
      <c r="K2409" t="s">
        <v>13601</v>
      </c>
      <c r="L2409" t="s">
        <v>13602</v>
      </c>
      <c r="M2409" t="s">
        <v>7250</v>
      </c>
      <c r="N2409">
        <v>1974</v>
      </c>
      <c r="T2409" t="s">
        <v>6546</v>
      </c>
      <c r="U2409" t="s">
        <v>6546</v>
      </c>
      <c r="V2409">
        <v>40.9</v>
      </c>
      <c r="W2409">
        <v>43.61</v>
      </c>
      <c r="X2409">
        <v>40.9</v>
      </c>
      <c r="Y2409">
        <v>650</v>
      </c>
      <c r="Z2409" t="s">
        <v>8842</v>
      </c>
      <c r="AB2409" t="s">
        <v>21657</v>
      </c>
      <c r="AC2409" t="s">
        <v>8777</v>
      </c>
      <c r="AF2409" t="s">
        <v>16775</v>
      </c>
      <c r="AI2409" t="s">
        <v>8777</v>
      </c>
      <c r="AO2409" t="s">
        <v>21773</v>
      </c>
    </row>
    <row r="2410" spans="1:41" hidden="1" x14ac:dyDescent="0.35">
      <c r="A2410" t="s">
        <v>21774</v>
      </c>
      <c r="B2410" t="s">
        <v>7246</v>
      </c>
      <c r="C2410" t="s">
        <v>5714</v>
      </c>
      <c r="D2410" t="s">
        <v>5714</v>
      </c>
      <c r="E2410" t="s">
        <v>5714</v>
      </c>
      <c r="G2410" s="13" t="s">
        <v>21775</v>
      </c>
      <c r="H2410" t="s">
        <v>21776</v>
      </c>
      <c r="K2410" t="s">
        <v>13601</v>
      </c>
      <c r="L2410" t="s">
        <v>13602</v>
      </c>
      <c r="M2410" t="s">
        <v>7250</v>
      </c>
      <c r="N2410">
        <v>2014</v>
      </c>
      <c r="T2410" t="s">
        <v>6546</v>
      </c>
      <c r="U2410" t="s">
        <v>6546</v>
      </c>
      <c r="V2410">
        <v>172.1</v>
      </c>
      <c r="W2410">
        <v>113.32</v>
      </c>
      <c r="X2410">
        <v>172.1</v>
      </c>
      <c r="Y2410">
        <v>1400</v>
      </c>
      <c r="Z2410" t="s">
        <v>8842</v>
      </c>
      <c r="AB2410" t="s">
        <v>16775</v>
      </c>
      <c r="AC2410" t="s">
        <v>8777</v>
      </c>
      <c r="AF2410" t="s">
        <v>15481</v>
      </c>
      <c r="AI2410" t="s">
        <v>8777</v>
      </c>
      <c r="AO2410" t="s">
        <v>21777</v>
      </c>
    </row>
    <row r="2411" spans="1:41" hidden="1" x14ac:dyDescent="0.35">
      <c r="A2411" t="s">
        <v>21778</v>
      </c>
      <c r="B2411" t="s">
        <v>7246</v>
      </c>
      <c r="C2411" t="s">
        <v>5714</v>
      </c>
      <c r="D2411" t="s">
        <v>5714</v>
      </c>
      <c r="E2411" t="s">
        <v>5714</v>
      </c>
      <c r="G2411" s="13" t="s">
        <v>21779</v>
      </c>
      <c r="H2411" t="s">
        <v>21780</v>
      </c>
      <c r="K2411" t="s">
        <v>13601</v>
      </c>
      <c r="L2411" t="s">
        <v>13602</v>
      </c>
      <c r="M2411" t="s">
        <v>7250</v>
      </c>
      <c r="N2411">
        <v>1987</v>
      </c>
      <c r="O2411">
        <v>1991</v>
      </c>
      <c r="T2411" t="s">
        <v>6546</v>
      </c>
      <c r="U2411" t="s">
        <v>6546</v>
      </c>
      <c r="V2411">
        <v>265.2</v>
      </c>
      <c r="W2411">
        <v>164.3</v>
      </c>
      <c r="X2411">
        <v>265.2</v>
      </c>
      <c r="Y2411">
        <v>1050</v>
      </c>
      <c r="Z2411" t="s">
        <v>8842</v>
      </c>
      <c r="AB2411" t="s">
        <v>18649</v>
      </c>
      <c r="AC2411" t="s">
        <v>8777</v>
      </c>
      <c r="AF2411" t="s">
        <v>16775</v>
      </c>
      <c r="AI2411" t="s">
        <v>8777</v>
      </c>
      <c r="AO2411" t="s">
        <v>21781</v>
      </c>
    </row>
    <row r="2412" spans="1:41" hidden="1" x14ac:dyDescent="0.35">
      <c r="A2412" t="s">
        <v>21782</v>
      </c>
      <c r="B2412" t="s">
        <v>7246</v>
      </c>
      <c r="C2412" t="s">
        <v>5714</v>
      </c>
      <c r="D2412" t="s">
        <v>5714</v>
      </c>
      <c r="E2412" t="s">
        <v>5714</v>
      </c>
      <c r="G2412" s="13" t="s">
        <v>21783</v>
      </c>
      <c r="H2412" t="s">
        <v>21784</v>
      </c>
      <c r="K2412" t="s">
        <v>13601</v>
      </c>
      <c r="L2412" t="s">
        <v>13602</v>
      </c>
      <c r="M2412" t="s">
        <v>7250</v>
      </c>
      <c r="N2412">
        <v>2000</v>
      </c>
      <c r="O2412">
        <v>2003</v>
      </c>
      <c r="T2412" t="s">
        <v>6546</v>
      </c>
      <c r="U2412" t="s">
        <v>6546</v>
      </c>
      <c r="V2412">
        <v>111.6</v>
      </c>
      <c r="W2412">
        <v>121.31</v>
      </c>
      <c r="X2412">
        <v>111.6</v>
      </c>
      <c r="Y2412">
        <v>1050</v>
      </c>
      <c r="Z2412" t="s">
        <v>8842</v>
      </c>
      <c r="AB2412" t="s">
        <v>15310</v>
      </c>
      <c r="AC2412" t="s">
        <v>8777</v>
      </c>
      <c r="AF2412" t="s">
        <v>1865</v>
      </c>
      <c r="AI2412" t="s">
        <v>8777</v>
      </c>
      <c r="AO2412" t="s">
        <v>21785</v>
      </c>
    </row>
    <row r="2413" spans="1:41" hidden="1" x14ac:dyDescent="0.35">
      <c r="A2413" t="s">
        <v>21786</v>
      </c>
      <c r="B2413" t="s">
        <v>7246</v>
      </c>
      <c r="C2413" t="s">
        <v>5714</v>
      </c>
      <c r="D2413" t="s">
        <v>5714</v>
      </c>
      <c r="E2413" t="s">
        <v>5714</v>
      </c>
      <c r="G2413" s="13" t="s">
        <v>21787</v>
      </c>
      <c r="H2413" t="s">
        <v>21788</v>
      </c>
      <c r="K2413" t="s">
        <v>13601</v>
      </c>
      <c r="L2413" t="s">
        <v>13602</v>
      </c>
      <c r="M2413" t="s">
        <v>7250</v>
      </c>
      <c r="N2413">
        <v>1993</v>
      </c>
      <c r="T2413" t="s">
        <v>6546</v>
      </c>
      <c r="U2413" t="s">
        <v>6546</v>
      </c>
      <c r="V2413">
        <v>35.1</v>
      </c>
      <c r="W2413">
        <v>32.54</v>
      </c>
      <c r="X2413">
        <v>35.1</v>
      </c>
      <c r="Y2413">
        <v>1200</v>
      </c>
      <c r="Z2413" t="s">
        <v>8842</v>
      </c>
      <c r="AB2413" t="s">
        <v>21610</v>
      </c>
      <c r="AC2413" t="s">
        <v>8777</v>
      </c>
      <c r="AF2413" t="s">
        <v>15770</v>
      </c>
      <c r="AI2413" t="s">
        <v>8777</v>
      </c>
      <c r="AO2413" t="s">
        <v>21789</v>
      </c>
    </row>
    <row r="2414" spans="1:41" hidden="1" x14ac:dyDescent="0.35">
      <c r="A2414" t="s">
        <v>21790</v>
      </c>
      <c r="B2414" t="s">
        <v>7246</v>
      </c>
      <c r="C2414" t="s">
        <v>5586</v>
      </c>
      <c r="D2414" t="s">
        <v>5586</v>
      </c>
      <c r="E2414" t="s">
        <v>5586</v>
      </c>
      <c r="G2414" s="13" t="s">
        <v>15380</v>
      </c>
      <c r="H2414" t="s">
        <v>15381</v>
      </c>
      <c r="I2414" t="s">
        <v>21791</v>
      </c>
      <c r="K2414" t="s">
        <v>12016</v>
      </c>
      <c r="L2414" t="s">
        <v>12016</v>
      </c>
      <c r="M2414" t="s">
        <v>7250</v>
      </c>
      <c r="T2414" t="s">
        <v>6546</v>
      </c>
      <c r="U2414" t="s">
        <v>6546</v>
      </c>
      <c r="V2414" t="s">
        <v>6546</v>
      </c>
      <c r="W2414">
        <v>134.63999999999999</v>
      </c>
      <c r="X2414">
        <v>134.63999999999999</v>
      </c>
      <c r="Y2414">
        <v>800</v>
      </c>
      <c r="Z2414" t="s">
        <v>8842</v>
      </c>
      <c r="AB2414" t="s">
        <v>21792</v>
      </c>
      <c r="AC2414" t="s">
        <v>8777</v>
      </c>
      <c r="AF2414" t="s">
        <v>9557</v>
      </c>
      <c r="AI2414" t="s">
        <v>8777</v>
      </c>
      <c r="AO2414" t="s">
        <v>21793</v>
      </c>
    </row>
    <row r="2415" spans="1:41" hidden="1" x14ac:dyDescent="0.35">
      <c r="A2415" t="s">
        <v>21794</v>
      </c>
      <c r="B2415" t="s">
        <v>7246</v>
      </c>
      <c r="C2415" t="s">
        <v>5586</v>
      </c>
      <c r="D2415" t="s">
        <v>5586</v>
      </c>
      <c r="E2415" t="s">
        <v>5586</v>
      </c>
      <c r="G2415" s="13" t="s">
        <v>21795</v>
      </c>
      <c r="H2415" t="s">
        <v>21796</v>
      </c>
      <c r="I2415" t="s">
        <v>21797</v>
      </c>
      <c r="K2415" t="s">
        <v>12016</v>
      </c>
      <c r="L2415" t="s">
        <v>12016</v>
      </c>
      <c r="M2415" t="s">
        <v>7250</v>
      </c>
      <c r="T2415" t="s">
        <v>6546</v>
      </c>
      <c r="U2415" t="s">
        <v>6546</v>
      </c>
      <c r="V2415" t="s">
        <v>6546</v>
      </c>
      <c r="W2415">
        <v>103.38</v>
      </c>
      <c r="X2415">
        <v>103.38</v>
      </c>
      <c r="Y2415" t="s">
        <v>21798</v>
      </c>
      <c r="Z2415" t="s">
        <v>8842</v>
      </c>
      <c r="AB2415" t="s">
        <v>21799</v>
      </c>
      <c r="AC2415" t="s">
        <v>8777</v>
      </c>
      <c r="AF2415" t="s">
        <v>21800</v>
      </c>
      <c r="AI2415" t="s">
        <v>8777</v>
      </c>
      <c r="AO2415" t="s">
        <v>21801</v>
      </c>
    </row>
    <row r="2416" spans="1:41" hidden="1" x14ac:dyDescent="0.35">
      <c r="A2416" t="s">
        <v>21802</v>
      </c>
      <c r="B2416" t="s">
        <v>7246</v>
      </c>
      <c r="C2416" t="s">
        <v>5586</v>
      </c>
      <c r="D2416" t="s">
        <v>5586</v>
      </c>
      <c r="E2416" t="s">
        <v>5586</v>
      </c>
      <c r="G2416" s="13" t="s">
        <v>21795</v>
      </c>
      <c r="H2416" t="s">
        <v>21796</v>
      </c>
      <c r="I2416" t="s">
        <v>21803</v>
      </c>
      <c r="K2416" t="s">
        <v>12016</v>
      </c>
      <c r="L2416" t="s">
        <v>12016</v>
      </c>
      <c r="M2416" t="s">
        <v>7250</v>
      </c>
      <c r="T2416" t="s">
        <v>6546</v>
      </c>
      <c r="U2416" t="s">
        <v>6546</v>
      </c>
      <c r="V2416" t="s">
        <v>6546</v>
      </c>
      <c r="W2416">
        <v>37.07</v>
      </c>
      <c r="X2416">
        <v>37.07</v>
      </c>
      <c r="Y2416" t="s">
        <v>21798</v>
      </c>
      <c r="Z2416" t="s">
        <v>8842</v>
      </c>
      <c r="AB2416" t="s">
        <v>21800</v>
      </c>
      <c r="AC2416" t="s">
        <v>8777</v>
      </c>
      <c r="AF2416" t="s">
        <v>21804</v>
      </c>
      <c r="AI2416" t="s">
        <v>8777</v>
      </c>
      <c r="AO2416" t="s">
        <v>21805</v>
      </c>
    </row>
    <row r="2417" spans="1:41" hidden="1" x14ac:dyDescent="0.35">
      <c r="A2417" t="s">
        <v>21806</v>
      </c>
      <c r="B2417" t="s">
        <v>7246</v>
      </c>
      <c r="C2417" t="s">
        <v>5586</v>
      </c>
      <c r="D2417" t="s">
        <v>5586</v>
      </c>
      <c r="E2417" t="s">
        <v>5586</v>
      </c>
      <c r="G2417" s="13" t="s">
        <v>21795</v>
      </c>
      <c r="H2417" t="s">
        <v>21796</v>
      </c>
      <c r="I2417" t="s">
        <v>21807</v>
      </c>
      <c r="K2417" t="s">
        <v>12016</v>
      </c>
      <c r="L2417" t="s">
        <v>12016</v>
      </c>
      <c r="M2417" t="s">
        <v>7250</v>
      </c>
      <c r="T2417" t="s">
        <v>6546</v>
      </c>
      <c r="U2417" t="s">
        <v>6546</v>
      </c>
      <c r="V2417" t="s">
        <v>6546</v>
      </c>
      <c r="W2417">
        <v>62.54</v>
      </c>
      <c r="X2417">
        <v>62.54</v>
      </c>
      <c r="Y2417" t="s">
        <v>21798</v>
      </c>
      <c r="Z2417" t="s">
        <v>8842</v>
      </c>
      <c r="AB2417" t="s">
        <v>21804</v>
      </c>
      <c r="AC2417" t="s">
        <v>8777</v>
      </c>
      <c r="AF2417" t="s">
        <v>21808</v>
      </c>
      <c r="AI2417" t="s">
        <v>8777</v>
      </c>
      <c r="AO2417" t="s">
        <v>21809</v>
      </c>
    </row>
    <row r="2418" spans="1:41" hidden="1" x14ac:dyDescent="0.35">
      <c r="A2418" t="s">
        <v>21810</v>
      </c>
      <c r="B2418" t="s">
        <v>7246</v>
      </c>
      <c r="C2418" t="s">
        <v>5858</v>
      </c>
      <c r="D2418" t="s">
        <v>5714</v>
      </c>
      <c r="E2418" t="s">
        <v>5858</v>
      </c>
      <c r="G2418" s="13" t="s">
        <v>16465</v>
      </c>
      <c r="H2418" t="s">
        <v>16466</v>
      </c>
      <c r="I2418" t="s">
        <v>21811</v>
      </c>
      <c r="K2418" t="s">
        <v>11986</v>
      </c>
      <c r="L2418" t="s">
        <v>11987</v>
      </c>
      <c r="M2418" t="s">
        <v>7250</v>
      </c>
      <c r="R2418">
        <v>53</v>
      </c>
      <c r="S2418" t="s">
        <v>12003</v>
      </c>
      <c r="T2418">
        <v>1.95</v>
      </c>
      <c r="U2418">
        <v>908.11</v>
      </c>
      <c r="V2418" t="s">
        <v>6546</v>
      </c>
      <c r="W2418">
        <v>91.4</v>
      </c>
      <c r="X2418">
        <v>91.4</v>
      </c>
      <c r="Y2418" t="s">
        <v>21798</v>
      </c>
      <c r="Z2418" t="s">
        <v>8842</v>
      </c>
      <c r="AB2418" t="s">
        <v>16471</v>
      </c>
      <c r="AC2418" t="s">
        <v>8777</v>
      </c>
      <c r="AF2418" t="s">
        <v>16472</v>
      </c>
      <c r="AI2418" t="s">
        <v>8777</v>
      </c>
      <c r="AO2418" t="s">
        <v>21812</v>
      </c>
    </row>
    <row r="2419" spans="1:41" hidden="1" x14ac:dyDescent="0.35">
      <c r="A2419" t="s">
        <v>21813</v>
      </c>
      <c r="B2419" t="s">
        <v>7246</v>
      </c>
      <c r="C2419" t="s">
        <v>5858</v>
      </c>
      <c r="D2419" t="s">
        <v>5858</v>
      </c>
      <c r="E2419" t="s">
        <v>5858</v>
      </c>
      <c r="G2419" s="13" t="s">
        <v>21814</v>
      </c>
      <c r="H2419" t="s">
        <v>21815</v>
      </c>
      <c r="K2419" t="s">
        <v>11986</v>
      </c>
      <c r="L2419" t="s">
        <v>11987</v>
      </c>
      <c r="M2419" t="s">
        <v>7292</v>
      </c>
      <c r="N2419">
        <v>2027</v>
      </c>
      <c r="T2419" t="s">
        <v>6546</v>
      </c>
      <c r="U2419" t="s">
        <v>6546</v>
      </c>
      <c r="V2419" t="s">
        <v>6546</v>
      </c>
      <c r="W2419">
        <v>46.66</v>
      </c>
      <c r="X2419">
        <v>46.66</v>
      </c>
      <c r="AB2419" t="s">
        <v>21816</v>
      </c>
      <c r="AC2419" t="s">
        <v>8777</v>
      </c>
      <c r="AF2419" t="s">
        <v>12018</v>
      </c>
      <c r="AI2419" t="s">
        <v>8777</v>
      </c>
      <c r="AO2419" t="s">
        <v>21817</v>
      </c>
    </row>
    <row r="2420" spans="1:41" hidden="1" x14ac:dyDescent="0.35">
      <c r="A2420" t="s">
        <v>21818</v>
      </c>
      <c r="B2420" t="s">
        <v>7246</v>
      </c>
      <c r="C2420" t="s">
        <v>5858</v>
      </c>
      <c r="D2420" t="s">
        <v>5858</v>
      </c>
      <c r="E2420" t="s">
        <v>5858</v>
      </c>
      <c r="G2420" s="13" t="s">
        <v>21819</v>
      </c>
      <c r="H2420" t="s">
        <v>21820</v>
      </c>
      <c r="K2420" t="s">
        <v>11986</v>
      </c>
      <c r="L2420" t="s">
        <v>11987</v>
      </c>
      <c r="M2420" t="s">
        <v>7250</v>
      </c>
      <c r="R2420">
        <v>147</v>
      </c>
      <c r="S2420" t="s">
        <v>12003</v>
      </c>
      <c r="T2420">
        <v>5.41</v>
      </c>
      <c r="U2420">
        <v>2518.71</v>
      </c>
      <c r="V2420" t="s">
        <v>6546</v>
      </c>
      <c r="W2420">
        <v>54.02</v>
      </c>
      <c r="X2420">
        <v>54.02</v>
      </c>
      <c r="AB2420" t="s">
        <v>16471</v>
      </c>
      <c r="AC2420" t="s">
        <v>8777</v>
      </c>
      <c r="AF2420" t="s">
        <v>19432</v>
      </c>
      <c r="AI2420" t="s">
        <v>8777</v>
      </c>
      <c r="AO2420" t="s">
        <v>21821</v>
      </c>
    </row>
    <row r="2421" spans="1:41" hidden="1" x14ac:dyDescent="0.35">
      <c r="A2421" t="s">
        <v>21822</v>
      </c>
      <c r="B2421" t="s">
        <v>7246</v>
      </c>
      <c r="C2421" t="s">
        <v>5858</v>
      </c>
      <c r="D2421" t="s">
        <v>5858</v>
      </c>
      <c r="E2421" t="s">
        <v>5858</v>
      </c>
      <c r="G2421" s="13" t="s">
        <v>21823</v>
      </c>
      <c r="H2421" t="s">
        <v>21824</v>
      </c>
      <c r="K2421" t="s">
        <v>11986</v>
      </c>
      <c r="L2421" t="s">
        <v>11987</v>
      </c>
      <c r="M2421" t="s">
        <v>7250</v>
      </c>
      <c r="T2421" t="s">
        <v>6546</v>
      </c>
      <c r="U2421" t="s">
        <v>6546</v>
      </c>
      <c r="V2421" t="s">
        <v>6546</v>
      </c>
      <c r="W2421">
        <v>75.33</v>
      </c>
      <c r="X2421">
        <v>75.33</v>
      </c>
      <c r="AB2421" t="s">
        <v>16471</v>
      </c>
      <c r="AC2421" t="s">
        <v>8777</v>
      </c>
      <c r="AF2421" t="s">
        <v>21825</v>
      </c>
      <c r="AI2421" t="s">
        <v>8777</v>
      </c>
      <c r="AO2421" t="s">
        <v>21826</v>
      </c>
    </row>
    <row r="2422" spans="1:41" hidden="1" x14ac:dyDescent="0.35">
      <c r="A2422" t="s">
        <v>21827</v>
      </c>
      <c r="B2422" t="s">
        <v>7246</v>
      </c>
      <c r="C2422" t="s">
        <v>5858</v>
      </c>
      <c r="D2422" t="s">
        <v>5858</v>
      </c>
      <c r="E2422" t="s">
        <v>5858</v>
      </c>
      <c r="G2422" s="13" t="s">
        <v>21828</v>
      </c>
      <c r="H2422" t="s">
        <v>21829</v>
      </c>
      <c r="K2422" t="s">
        <v>11986</v>
      </c>
      <c r="L2422" t="s">
        <v>11987</v>
      </c>
      <c r="M2422" t="s">
        <v>7250</v>
      </c>
      <c r="T2422" t="s">
        <v>6546</v>
      </c>
      <c r="U2422" t="s">
        <v>6546</v>
      </c>
      <c r="V2422" t="s">
        <v>6546</v>
      </c>
      <c r="W2422">
        <v>44.49</v>
      </c>
      <c r="X2422">
        <v>44.49</v>
      </c>
      <c r="AB2422" t="s">
        <v>12009</v>
      </c>
      <c r="AC2422" t="s">
        <v>8777</v>
      </c>
      <c r="AF2422" t="s">
        <v>5857</v>
      </c>
      <c r="AI2422" t="s">
        <v>8777</v>
      </c>
      <c r="AO2422" t="s">
        <v>21830</v>
      </c>
    </row>
    <row r="2423" spans="1:41" hidden="1" x14ac:dyDescent="0.35">
      <c r="A2423" t="s">
        <v>21831</v>
      </c>
      <c r="B2423" t="s">
        <v>7246</v>
      </c>
      <c r="C2423" t="s">
        <v>5858</v>
      </c>
      <c r="D2423" t="s">
        <v>5586</v>
      </c>
      <c r="E2423" t="s">
        <v>21832</v>
      </c>
      <c r="G2423" s="13" t="s">
        <v>21833</v>
      </c>
      <c r="H2423" t="s">
        <v>21834</v>
      </c>
      <c r="K2423" t="s">
        <v>11986</v>
      </c>
      <c r="L2423" t="s">
        <v>11987</v>
      </c>
      <c r="M2423" t="s">
        <v>7292</v>
      </c>
      <c r="N2423">
        <v>2024</v>
      </c>
      <c r="T2423" t="s">
        <v>6546</v>
      </c>
      <c r="U2423" t="s">
        <v>6546</v>
      </c>
      <c r="V2423" t="s">
        <v>6546</v>
      </c>
      <c r="W2423">
        <v>62.95</v>
      </c>
      <c r="X2423">
        <v>62.95</v>
      </c>
      <c r="AB2423" t="s">
        <v>21835</v>
      </c>
      <c r="AC2423" t="s">
        <v>8777</v>
      </c>
      <c r="AF2423" t="s">
        <v>21836</v>
      </c>
      <c r="AI2423" t="s">
        <v>8777</v>
      </c>
      <c r="AO2423" t="s">
        <v>21837</v>
      </c>
    </row>
    <row r="2424" spans="1:41" hidden="1" x14ac:dyDescent="0.35">
      <c r="A2424" t="s">
        <v>21838</v>
      </c>
      <c r="B2424" t="s">
        <v>7246</v>
      </c>
      <c r="C2424" t="s">
        <v>5858</v>
      </c>
      <c r="D2424" t="s">
        <v>5714</v>
      </c>
      <c r="E2424" t="s">
        <v>16464</v>
      </c>
      <c r="G2424" s="13" t="s">
        <v>21839</v>
      </c>
      <c r="H2424" t="s">
        <v>21840</v>
      </c>
      <c r="K2424" t="s">
        <v>11986</v>
      </c>
      <c r="L2424" t="s">
        <v>11987</v>
      </c>
      <c r="M2424" t="s">
        <v>7292</v>
      </c>
      <c r="N2424">
        <v>2024</v>
      </c>
      <c r="T2424" t="s">
        <v>6546</v>
      </c>
      <c r="U2424" t="s">
        <v>6546</v>
      </c>
      <c r="V2424" t="s">
        <v>6546</v>
      </c>
      <c r="W2424">
        <v>81.86</v>
      </c>
      <c r="X2424">
        <v>81.86</v>
      </c>
      <c r="AB2424" t="s">
        <v>12009</v>
      </c>
      <c r="AC2424" t="s">
        <v>8777</v>
      </c>
      <c r="AF2424" t="s">
        <v>18649</v>
      </c>
      <c r="AI2424" t="s">
        <v>8777</v>
      </c>
      <c r="AO2424" t="s">
        <v>21841</v>
      </c>
    </row>
    <row r="2425" spans="1:41" hidden="1" x14ac:dyDescent="0.35">
      <c r="A2425" t="s">
        <v>21842</v>
      </c>
      <c r="B2425" t="s">
        <v>7246</v>
      </c>
      <c r="C2425" t="s">
        <v>5858</v>
      </c>
      <c r="D2425" t="s">
        <v>5705</v>
      </c>
      <c r="E2425" t="s">
        <v>9796</v>
      </c>
      <c r="G2425" s="13" t="s">
        <v>21843</v>
      </c>
      <c r="H2425" t="s">
        <v>21844</v>
      </c>
      <c r="K2425" t="s">
        <v>11986</v>
      </c>
      <c r="L2425" t="s">
        <v>11987</v>
      </c>
      <c r="M2425" t="s">
        <v>7250</v>
      </c>
      <c r="T2425" t="s">
        <v>6546</v>
      </c>
      <c r="U2425" t="s">
        <v>6546</v>
      </c>
      <c r="V2425" t="s">
        <v>6546</v>
      </c>
      <c r="W2425">
        <v>72.78</v>
      </c>
      <c r="X2425">
        <v>72.78</v>
      </c>
      <c r="AB2425" t="s">
        <v>21845</v>
      </c>
      <c r="AC2425" t="s">
        <v>8777</v>
      </c>
      <c r="AF2425" t="s">
        <v>16653</v>
      </c>
      <c r="AI2425" t="s">
        <v>8777</v>
      </c>
      <c r="AO2425" t="s">
        <v>21846</v>
      </c>
    </row>
    <row r="2426" spans="1:41" hidden="1" x14ac:dyDescent="0.35">
      <c r="A2426" t="s">
        <v>21847</v>
      </c>
      <c r="B2426" t="s">
        <v>7246</v>
      </c>
      <c r="C2426" t="s">
        <v>5705</v>
      </c>
      <c r="D2426" t="s">
        <v>5705</v>
      </c>
      <c r="E2426" t="s">
        <v>5851</v>
      </c>
      <c r="G2426" s="13" t="s">
        <v>21848</v>
      </c>
      <c r="H2426" t="s">
        <v>21849</v>
      </c>
      <c r="K2426" t="s">
        <v>15276</v>
      </c>
      <c r="L2426" t="s">
        <v>15276</v>
      </c>
      <c r="M2426" t="s">
        <v>7250</v>
      </c>
      <c r="T2426" t="s">
        <v>6546</v>
      </c>
      <c r="U2426" t="s">
        <v>6546</v>
      </c>
      <c r="V2426" t="s">
        <v>6546</v>
      </c>
      <c r="W2426">
        <v>76.38</v>
      </c>
      <c r="X2426">
        <v>76.38</v>
      </c>
      <c r="AB2426" t="s">
        <v>21850</v>
      </c>
      <c r="AC2426" t="s">
        <v>8777</v>
      </c>
      <c r="AF2426" t="s">
        <v>21851</v>
      </c>
      <c r="AI2426" t="s">
        <v>8777</v>
      </c>
      <c r="AO2426" t="s">
        <v>14388</v>
      </c>
    </row>
    <row r="2427" spans="1:41" hidden="1" x14ac:dyDescent="0.35">
      <c r="A2427" t="s">
        <v>21852</v>
      </c>
      <c r="B2427" t="s">
        <v>7246</v>
      </c>
      <c r="C2427" t="s">
        <v>356</v>
      </c>
      <c r="D2427" t="s">
        <v>437</v>
      </c>
      <c r="E2427" t="s">
        <v>21853</v>
      </c>
      <c r="G2427" s="13" t="s">
        <v>21854</v>
      </c>
      <c r="H2427" t="s">
        <v>21855</v>
      </c>
      <c r="K2427" t="s">
        <v>21856</v>
      </c>
      <c r="L2427" t="s">
        <v>21857</v>
      </c>
      <c r="M2427" t="s">
        <v>7250</v>
      </c>
      <c r="T2427" t="s">
        <v>6546</v>
      </c>
      <c r="U2427" t="s">
        <v>6546</v>
      </c>
      <c r="V2427" t="s">
        <v>6546</v>
      </c>
      <c r="W2427">
        <v>6.01</v>
      </c>
      <c r="X2427">
        <v>6.01</v>
      </c>
      <c r="AB2427" t="s">
        <v>21858</v>
      </c>
      <c r="AC2427" t="s">
        <v>8777</v>
      </c>
      <c r="AF2427" t="s">
        <v>21859</v>
      </c>
      <c r="AI2427" t="s">
        <v>8777</v>
      </c>
      <c r="AO2427" t="s">
        <v>21860</v>
      </c>
    </row>
    <row r="2428" spans="1:41" hidden="1" x14ac:dyDescent="0.35">
      <c r="A2428" t="s">
        <v>21861</v>
      </c>
      <c r="B2428" t="s">
        <v>7246</v>
      </c>
      <c r="C2428" t="s">
        <v>356</v>
      </c>
      <c r="D2428" t="s">
        <v>437</v>
      </c>
      <c r="E2428" t="s">
        <v>21853</v>
      </c>
      <c r="G2428" s="13" t="s">
        <v>21862</v>
      </c>
      <c r="H2428" t="s">
        <v>21863</v>
      </c>
      <c r="K2428" t="s">
        <v>21856</v>
      </c>
      <c r="L2428" t="s">
        <v>21857</v>
      </c>
      <c r="M2428" t="s">
        <v>7250</v>
      </c>
      <c r="T2428" t="s">
        <v>6546</v>
      </c>
      <c r="U2428" t="s">
        <v>6546</v>
      </c>
      <c r="V2428" t="s">
        <v>6546</v>
      </c>
      <c r="W2428">
        <v>8.35</v>
      </c>
      <c r="X2428">
        <v>8.35</v>
      </c>
      <c r="AB2428" t="s">
        <v>21864</v>
      </c>
      <c r="AC2428" t="s">
        <v>8777</v>
      </c>
      <c r="AF2428" t="s">
        <v>21865</v>
      </c>
      <c r="AI2428" t="s">
        <v>8777</v>
      </c>
      <c r="AO2428" t="s">
        <v>21866</v>
      </c>
    </row>
    <row r="2429" spans="1:41" hidden="1" x14ac:dyDescent="0.35">
      <c r="A2429" t="s">
        <v>21867</v>
      </c>
      <c r="B2429" t="s">
        <v>7246</v>
      </c>
      <c r="C2429" t="s">
        <v>437</v>
      </c>
      <c r="D2429" t="s">
        <v>437</v>
      </c>
      <c r="E2429" t="s">
        <v>437</v>
      </c>
      <c r="G2429" s="13" t="s">
        <v>21868</v>
      </c>
      <c r="H2429" t="s">
        <v>21869</v>
      </c>
      <c r="K2429" t="s">
        <v>21870</v>
      </c>
      <c r="L2429" t="s">
        <v>21870</v>
      </c>
      <c r="M2429" t="s">
        <v>7250</v>
      </c>
      <c r="T2429" t="s">
        <v>6546</v>
      </c>
      <c r="U2429" t="s">
        <v>6546</v>
      </c>
      <c r="V2429" t="s">
        <v>6546</v>
      </c>
      <c r="W2429">
        <v>90.47</v>
      </c>
      <c r="X2429">
        <v>90.47</v>
      </c>
      <c r="AB2429" t="s">
        <v>5921</v>
      </c>
      <c r="AC2429" t="s">
        <v>8777</v>
      </c>
      <c r="AF2429" t="s">
        <v>21871</v>
      </c>
      <c r="AI2429" t="s">
        <v>8777</v>
      </c>
      <c r="AO2429" t="s">
        <v>21872</v>
      </c>
    </row>
    <row r="2430" spans="1:41" hidden="1" x14ac:dyDescent="0.35">
      <c r="A2430" t="s">
        <v>21873</v>
      </c>
      <c r="B2430" t="s">
        <v>7246</v>
      </c>
      <c r="C2430" t="s">
        <v>437</v>
      </c>
      <c r="D2430" t="s">
        <v>437</v>
      </c>
      <c r="E2430" t="s">
        <v>437</v>
      </c>
      <c r="G2430" s="13" t="s">
        <v>21874</v>
      </c>
      <c r="H2430" t="s">
        <v>21875</v>
      </c>
      <c r="K2430" t="s">
        <v>21870</v>
      </c>
      <c r="L2430" t="s">
        <v>21870</v>
      </c>
      <c r="M2430" t="s">
        <v>7250</v>
      </c>
      <c r="T2430" t="s">
        <v>6546</v>
      </c>
      <c r="U2430" t="s">
        <v>6546</v>
      </c>
      <c r="V2430" t="s">
        <v>6546</v>
      </c>
      <c r="W2430">
        <v>171.54</v>
      </c>
      <c r="X2430">
        <v>171.54</v>
      </c>
      <c r="AB2430" t="s">
        <v>21871</v>
      </c>
      <c r="AC2430" t="s">
        <v>8777</v>
      </c>
      <c r="AF2430" t="s">
        <v>21876</v>
      </c>
      <c r="AI2430" t="s">
        <v>8777</v>
      </c>
      <c r="AO2430" t="s">
        <v>21877</v>
      </c>
    </row>
    <row r="2431" spans="1:41" hidden="1" x14ac:dyDescent="0.35">
      <c r="A2431" t="s">
        <v>21878</v>
      </c>
      <c r="B2431" t="s">
        <v>7246</v>
      </c>
      <c r="C2431" t="s">
        <v>5830</v>
      </c>
      <c r="D2431" t="s">
        <v>5583</v>
      </c>
      <c r="E2431" t="s">
        <v>9520</v>
      </c>
      <c r="G2431" s="13" t="s">
        <v>21879</v>
      </c>
      <c r="H2431" t="s">
        <v>21880</v>
      </c>
      <c r="J2431" t="s">
        <v>21881</v>
      </c>
      <c r="K2431" t="s">
        <v>9523</v>
      </c>
      <c r="L2431" t="s">
        <v>9524</v>
      </c>
      <c r="M2431" t="s">
        <v>7250</v>
      </c>
      <c r="N2431">
        <v>2013</v>
      </c>
      <c r="R2431">
        <v>1.5</v>
      </c>
      <c r="S2431" t="s">
        <v>8257</v>
      </c>
      <c r="T2431">
        <v>1.5</v>
      </c>
      <c r="U2431">
        <v>698.08</v>
      </c>
      <c r="V2431">
        <v>30</v>
      </c>
      <c r="W2431">
        <v>70.760000000000005</v>
      </c>
      <c r="X2431">
        <v>30</v>
      </c>
      <c r="Y2431">
        <v>500</v>
      </c>
      <c r="Z2431" t="s">
        <v>8842</v>
      </c>
      <c r="AB2431" t="s">
        <v>9525</v>
      </c>
      <c r="AC2431" t="s">
        <v>8777</v>
      </c>
      <c r="AF2431" t="s">
        <v>9527</v>
      </c>
      <c r="AI2431" t="s">
        <v>8777</v>
      </c>
      <c r="AO2431" t="s">
        <v>21882</v>
      </c>
    </row>
    <row r="2432" spans="1:41" hidden="1" x14ac:dyDescent="0.35">
      <c r="A2432" t="s">
        <v>21883</v>
      </c>
      <c r="B2432" t="s">
        <v>7246</v>
      </c>
      <c r="C2432" t="s">
        <v>5830</v>
      </c>
      <c r="D2432" t="s">
        <v>5830</v>
      </c>
      <c r="E2432" t="s">
        <v>5830</v>
      </c>
      <c r="G2432" s="13" t="s">
        <v>21884</v>
      </c>
      <c r="H2432" t="s">
        <v>21885</v>
      </c>
      <c r="I2432" t="s">
        <v>21886</v>
      </c>
      <c r="K2432" t="s">
        <v>11952</v>
      </c>
      <c r="L2432" t="s">
        <v>11953</v>
      </c>
      <c r="M2432" t="s">
        <v>7250</v>
      </c>
      <c r="T2432" t="s">
        <v>6546</v>
      </c>
      <c r="U2432" t="s">
        <v>6546</v>
      </c>
      <c r="V2432" t="s">
        <v>6546</v>
      </c>
      <c r="W2432">
        <v>147.91999999999999</v>
      </c>
      <c r="X2432">
        <v>147.91999999999999</v>
      </c>
      <c r="AB2432" t="s">
        <v>21887</v>
      </c>
      <c r="AC2432" t="s">
        <v>8777</v>
      </c>
      <c r="AF2432" t="s">
        <v>15068</v>
      </c>
      <c r="AI2432" t="s">
        <v>8777</v>
      </c>
      <c r="AO2432" t="s">
        <v>21888</v>
      </c>
    </row>
    <row r="2433" spans="1:41" hidden="1" x14ac:dyDescent="0.35">
      <c r="A2433" t="s">
        <v>21889</v>
      </c>
      <c r="B2433" t="s">
        <v>7246</v>
      </c>
      <c r="C2433" t="s">
        <v>5830</v>
      </c>
      <c r="D2433" t="s">
        <v>5830</v>
      </c>
      <c r="E2433" t="s">
        <v>5830</v>
      </c>
      <c r="G2433" s="13" t="s">
        <v>21884</v>
      </c>
      <c r="H2433" t="s">
        <v>21885</v>
      </c>
      <c r="I2433" t="s">
        <v>21890</v>
      </c>
      <c r="K2433" t="s">
        <v>11952</v>
      </c>
      <c r="L2433" t="s">
        <v>11953</v>
      </c>
      <c r="M2433" t="s">
        <v>7250</v>
      </c>
      <c r="T2433" t="s">
        <v>6546</v>
      </c>
      <c r="U2433" t="s">
        <v>6546</v>
      </c>
      <c r="V2433" t="s">
        <v>6546</v>
      </c>
      <c r="W2433">
        <v>175.16</v>
      </c>
      <c r="X2433">
        <v>175.16</v>
      </c>
      <c r="AB2433" t="s">
        <v>15068</v>
      </c>
      <c r="AC2433" t="s">
        <v>8777</v>
      </c>
      <c r="AF2433" t="s">
        <v>21891</v>
      </c>
      <c r="AI2433" t="s">
        <v>8777</v>
      </c>
      <c r="AO2433" t="s">
        <v>21892</v>
      </c>
    </row>
    <row r="2434" spans="1:41" hidden="1" x14ac:dyDescent="0.35">
      <c r="A2434" t="s">
        <v>21893</v>
      </c>
      <c r="B2434" t="s">
        <v>7246</v>
      </c>
      <c r="C2434" t="s">
        <v>5830</v>
      </c>
      <c r="D2434" t="s">
        <v>5830</v>
      </c>
      <c r="E2434" t="s">
        <v>5830</v>
      </c>
      <c r="G2434" s="13" t="s">
        <v>21884</v>
      </c>
      <c r="H2434" t="s">
        <v>21885</v>
      </c>
      <c r="I2434" t="s">
        <v>21894</v>
      </c>
      <c r="K2434" t="s">
        <v>11952</v>
      </c>
      <c r="L2434" t="s">
        <v>11953</v>
      </c>
      <c r="M2434" t="s">
        <v>7250</v>
      </c>
      <c r="T2434" t="s">
        <v>6546</v>
      </c>
      <c r="U2434" t="s">
        <v>6546</v>
      </c>
      <c r="V2434" t="s">
        <v>6546</v>
      </c>
      <c r="W2434">
        <v>216.97</v>
      </c>
      <c r="X2434">
        <v>216.97</v>
      </c>
      <c r="AB2434" t="s">
        <v>21891</v>
      </c>
      <c r="AC2434" t="s">
        <v>8777</v>
      </c>
      <c r="AF2434" t="s">
        <v>21895</v>
      </c>
      <c r="AI2434" t="s">
        <v>8777</v>
      </c>
      <c r="AO2434" t="s">
        <v>21896</v>
      </c>
    </row>
    <row r="2435" spans="1:41" hidden="1" x14ac:dyDescent="0.35">
      <c r="A2435" t="s">
        <v>21897</v>
      </c>
      <c r="B2435" t="s">
        <v>7246</v>
      </c>
      <c r="C2435" t="s">
        <v>5830</v>
      </c>
      <c r="D2435" t="s">
        <v>5830</v>
      </c>
      <c r="E2435" t="s">
        <v>5830</v>
      </c>
      <c r="G2435" s="13" t="s">
        <v>21884</v>
      </c>
      <c r="H2435" t="s">
        <v>21885</v>
      </c>
      <c r="I2435" t="s">
        <v>21898</v>
      </c>
      <c r="K2435" t="s">
        <v>11952</v>
      </c>
      <c r="L2435" t="s">
        <v>11953</v>
      </c>
      <c r="M2435" t="s">
        <v>7250</v>
      </c>
      <c r="T2435" t="s">
        <v>6546</v>
      </c>
      <c r="U2435" t="s">
        <v>6546</v>
      </c>
      <c r="V2435" t="s">
        <v>6546</v>
      </c>
      <c r="W2435">
        <v>347.81</v>
      </c>
      <c r="X2435">
        <v>347.81</v>
      </c>
      <c r="AB2435" t="s">
        <v>21895</v>
      </c>
      <c r="AC2435" t="s">
        <v>8777</v>
      </c>
      <c r="AF2435" t="s">
        <v>11956</v>
      </c>
      <c r="AI2435" t="s">
        <v>8777</v>
      </c>
      <c r="AO2435" t="s">
        <v>21899</v>
      </c>
    </row>
    <row r="2436" spans="1:41" hidden="1" x14ac:dyDescent="0.35">
      <c r="A2436" t="s">
        <v>21900</v>
      </c>
      <c r="B2436" t="s">
        <v>7246</v>
      </c>
      <c r="C2436" t="s">
        <v>5830</v>
      </c>
      <c r="D2436" t="s">
        <v>5830</v>
      </c>
      <c r="E2436" t="s">
        <v>5830</v>
      </c>
      <c r="G2436" s="13" t="s">
        <v>21884</v>
      </c>
      <c r="H2436" t="s">
        <v>21885</v>
      </c>
      <c r="I2436" t="s">
        <v>21901</v>
      </c>
      <c r="K2436" t="s">
        <v>11952</v>
      </c>
      <c r="L2436" t="s">
        <v>11953</v>
      </c>
      <c r="M2436" t="s">
        <v>7250</v>
      </c>
      <c r="T2436" t="s">
        <v>6546</v>
      </c>
      <c r="U2436" t="s">
        <v>6546</v>
      </c>
      <c r="V2436" t="s">
        <v>6546</v>
      </c>
      <c r="W2436">
        <v>239.69</v>
      </c>
      <c r="X2436">
        <v>239.69</v>
      </c>
      <c r="AB2436" t="s">
        <v>21891</v>
      </c>
      <c r="AC2436" t="s">
        <v>8777</v>
      </c>
      <c r="AF2436" t="s">
        <v>21902</v>
      </c>
      <c r="AI2436" t="s">
        <v>8777</v>
      </c>
      <c r="AO2436" t="s">
        <v>21903</v>
      </c>
    </row>
    <row r="2437" spans="1:41" hidden="1" x14ac:dyDescent="0.35">
      <c r="A2437" t="s">
        <v>21904</v>
      </c>
      <c r="B2437" t="s">
        <v>7246</v>
      </c>
      <c r="C2437" t="s">
        <v>5830</v>
      </c>
      <c r="D2437" t="s">
        <v>5830</v>
      </c>
      <c r="E2437" t="s">
        <v>5830</v>
      </c>
      <c r="G2437" s="13" t="s">
        <v>21884</v>
      </c>
      <c r="H2437" t="s">
        <v>21885</v>
      </c>
      <c r="I2437" t="s">
        <v>21905</v>
      </c>
      <c r="K2437" t="s">
        <v>11952</v>
      </c>
      <c r="L2437" t="s">
        <v>11953</v>
      </c>
      <c r="M2437" t="s">
        <v>7250</v>
      </c>
      <c r="T2437" t="s">
        <v>6546</v>
      </c>
      <c r="U2437" t="s">
        <v>6546</v>
      </c>
      <c r="V2437" t="s">
        <v>6546</v>
      </c>
      <c r="W2437">
        <v>203.85</v>
      </c>
      <c r="X2437">
        <v>203.85</v>
      </c>
      <c r="AB2437" t="s">
        <v>11956</v>
      </c>
      <c r="AC2437" t="s">
        <v>8777</v>
      </c>
      <c r="AF2437" t="s">
        <v>21887</v>
      </c>
      <c r="AI2437" t="s">
        <v>8777</v>
      </c>
      <c r="AO2437" t="s">
        <v>21906</v>
      </c>
    </row>
    <row r="2438" spans="1:41" hidden="1" x14ac:dyDescent="0.35">
      <c r="A2438" t="s">
        <v>21907</v>
      </c>
      <c r="B2438" t="s">
        <v>7246</v>
      </c>
      <c r="C2438" t="s">
        <v>5830</v>
      </c>
      <c r="D2438" t="s">
        <v>5830</v>
      </c>
      <c r="E2438" t="s">
        <v>5830</v>
      </c>
      <c r="G2438" s="13" t="s">
        <v>21884</v>
      </c>
      <c r="H2438" t="s">
        <v>21885</v>
      </c>
      <c r="I2438" t="s">
        <v>21908</v>
      </c>
      <c r="K2438" t="s">
        <v>11952</v>
      </c>
      <c r="L2438" t="s">
        <v>11953</v>
      </c>
      <c r="M2438" t="s">
        <v>7250</v>
      </c>
      <c r="T2438" t="s">
        <v>6546</v>
      </c>
      <c r="U2438" t="s">
        <v>6546</v>
      </c>
      <c r="V2438" t="s">
        <v>6546</v>
      </c>
      <c r="W2438">
        <v>270.45999999999998</v>
      </c>
      <c r="X2438">
        <v>270.45999999999998</v>
      </c>
      <c r="AB2438" t="s">
        <v>21891</v>
      </c>
      <c r="AC2438" t="s">
        <v>8777</v>
      </c>
      <c r="AF2438" t="s">
        <v>11956</v>
      </c>
      <c r="AI2438" t="s">
        <v>8777</v>
      </c>
      <c r="AO2438" t="s">
        <v>21909</v>
      </c>
    </row>
    <row r="2439" spans="1:41" hidden="1" x14ac:dyDescent="0.35">
      <c r="A2439" t="s">
        <v>21910</v>
      </c>
      <c r="B2439" t="s">
        <v>7246</v>
      </c>
      <c r="C2439" t="s">
        <v>12051</v>
      </c>
      <c r="D2439" t="s">
        <v>12051</v>
      </c>
      <c r="E2439" t="s">
        <v>12051</v>
      </c>
      <c r="G2439" s="13" t="s">
        <v>21911</v>
      </c>
      <c r="H2439" t="s">
        <v>21912</v>
      </c>
      <c r="K2439" t="s">
        <v>12056</v>
      </c>
      <c r="L2439" t="s">
        <v>12057</v>
      </c>
      <c r="M2439" t="s">
        <v>7250</v>
      </c>
      <c r="T2439" t="s">
        <v>6546</v>
      </c>
      <c r="U2439" t="s">
        <v>6546</v>
      </c>
      <c r="V2439" t="s">
        <v>6546</v>
      </c>
      <c r="W2439">
        <v>98.98</v>
      </c>
      <c r="X2439">
        <v>98.98</v>
      </c>
      <c r="AB2439" t="s">
        <v>15284</v>
      </c>
      <c r="AC2439" t="s">
        <v>8777</v>
      </c>
      <c r="AF2439" t="s">
        <v>21913</v>
      </c>
      <c r="AI2439" t="s">
        <v>8777</v>
      </c>
      <c r="AO2439" t="s">
        <v>21914</v>
      </c>
    </row>
    <row r="2440" spans="1:41" hidden="1" x14ac:dyDescent="0.35">
      <c r="A2440" t="s">
        <v>21915</v>
      </c>
      <c r="B2440" t="s">
        <v>7246</v>
      </c>
      <c r="C2440" t="s">
        <v>5830</v>
      </c>
      <c r="D2440" t="s">
        <v>5830</v>
      </c>
      <c r="E2440" t="s">
        <v>5830</v>
      </c>
      <c r="G2440" s="13" t="s">
        <v>21884</v>
      </c>
      <c r="H2440" t="s">
        <v>21885</v>
      </c>
      <c r="I2440" t="s">
        <v>21916</v>
      </c>
      <c r="K2440" t="s">
        <v>11952</v>
      </c>
      <c r="L2440" t="s">
        <v>11953</v>
      </c>
      <c r="M2440" t="s">
        <v>7250</v>
      </c>
      <c r="T2440" t="s">
        <v>6546</v>
      </c>
      <c r="U2440" t="s">
        <v>6546</v>
      </c>
      <c r="V2440" t="s">
        <v>6546</v>
      </c>
      <c r="W2440">
        <v>166.9</v>
      </c>
      <c r="X2440">
        <v>166.9</v>
      </c>
      <c r="AB2440" t="s">
        <v>15068</v>
      </c>
      <c r="AC2440" t="s">
        <v>8777</v>
      </c>
      <c r="AF2440" t="s">
        <v>15052</v>
      </c>
      <c r="AI2440" t="s">
        <v>8777</v>
      </c>
      <c r="AO2440" t="s">
        <v>21917</v>
      </c>
    </row>
    <row r="2441" spans="1:41" hidden="1" x14ac:dyDescent="0.35">
      <c r="A2441" t="s">
        <v>21918</v>
      </c>
      <c r="B2441" t="s">
        <v>7246</v>
      </c>
      <c r="C2441" t="s">
        <v>5925</v>
      </c>
      <c r="D2441" t="s">
        <v>5925</v>
      </c>
      <c r="E2441" t="s">
        <v>5925</v>
      </c>
      <c r="G2441" s="13" t="s">
        <v>21919</v>
      </c>
      <c r="H2441" t="s">
        <v>21920</v>
      </c>
      <c r="K2441" t="s">
        <v>11744</v>
      </c>
      <c r="L2441" t="s">
        <v>11744</v>
      </c>
      <c r="M2441" t="s">
        <v>7250</v>
      </c>
      <c r="T2441" t="s">
        <v>6546</v>
      </c>
      <c r="U2441" t="s">
        <v>6546</v>
      </c>
      <c r="V2441" t="s">
        <v>6546</v>
      </c>
      <c r="W2441">
        <v>232.68</v>
      </c>
      <c r="X2441">
        <v>232.68</v>
      </c>
      <c r="AB2441" t="s">
        <v>9946</v>
      </c>
      <c r="AC2441" t="s">
        <v>8777</v>
      </c>
      <c r="AF2441" t="s">
        <v>11752</v>
      </c>
      <c r="AI2441" t="s">
        <v>8777</v>
      </c>
      <c r="AO2441" t="s">
        <v>21921</v>
      </c>
    </row>
    <row r="2442" spans="1:41" hidden="1" x14ac:dyDescent="0.35">
      <c r="A2442" t="s">
        <v>21922</v>
      </c>
      <c r="B2442" t="s">
        <v>7246</v>
      </c>
      <c r="C2442" t="s">
        <v>5925</v>
      </c>
      <c r="D2442" t="s">
        <v>5925</v>
      </c>
      <c r="E2442" t="s">
        <v>5925</v>
      </c>
      <c r="G2442" s="13" t="s">
        <v>21923</v>
      </c>
      <c r="H2442" t="s">
        <v>21924</v>
      </c>
      <c r="K2442" t="s">
        <v>11744</v>
      </c>
      <c r="L2442" t="s">
        <v>11744</v>
      </c>
      <c r="M2442" t="s">
        <v>7250</v>
      </c>
      <c r="T2442" t="s">
        <v>6546</v>
      </c>
      <c r="U2442" t="s">
        <v>6546</v>
      </c>
      <c r="V2442" t="s">
        <v>6546</v>
      </c>
      <c r="W2442">
        <v>318.13</v>
      </c>
      <c r="X2442">
        <v>318.13</v>
      </c>
      <c r="AB2442" t="s">
        <v>21925</v>
      </c>
      <c r="AC2442" t="s">
        <v>8777</v>
      </c>
      <c r="AF2442" t="s">
        <v>21926</v>
      </c>
      <c r="AI2442" t="s">
        <v>8777</v>
      </c>
      <c r="AO2442" t="s">
        <v>21927</v>
      </c>
    </row>
    <row r="2443" spans="1:41" hidden="1" x14ac:dyDescent="0.35">
      <c r="A2443" t="s">
        <v>21928</v>
      </c>
      <c r="B2443" t="s">
        <v>7246</v>
      </c>
      <c r="C2443" t="s">
        <v>5925</v>
      </c>
      <c r="D2443" t="s">
        <v>5925</v>
      </c>
      <c r="E2443" t="s">
        <v>5925</v>
      </c>
      <c r="G2443" s="13" t="s">
        <v>21929</v>
      </c>
      <c r="H2443" t="s">
        <v>21930</v>
      </c>
      <c r="K2443" t="s">
        <v>11744</v>
      </c>
      <c r="L2443" t="s">
        <v>11744</v>
      </c>
      <c r="M2443" t="s">
        <v>7250</v>
      </c>
      <c r="T2443" t="s">
        <v>6546</v>
      </c>
      <c r="U2443" t="s">
        <v>6546</v>
      </c>
      <c r="V2443" t="s">
        <v>6546</v>
      </c>
      <c r="W2443">
        <v>412.23</v>
      </c>
      <c r="X2443">
        <v>412.23</v>
      </c>
      <c r="AB2443" t="s">
        <v>21931</v>
      </c>
      <c r="AC2443" t="s">
        <v>8777</v>
      </c>
      <c r="AF2443" t="s">
        <v>21932</v>
      </c>
      <c r="AI2443" t="s">
        <v>8777</v>
      </c>
      <c r="AO2443" t="s">
        <v>21933</v>
      </c>
    </row>
    <row r="2444" spans="1:41" hidden="1" x14ac:dyDescent="0.35">
      <c r="A2444" t="s">
        <v>21934</v>
      </c>
      <c r="B2444" t="s">
        <v>7246</v>
      </c>
      <c r="C2444" t="s">
        <v>5925</v>
      </c>
      <c r="D2444" t="s">
        <v>5925</v>
      </c>
      <c r="E2444" t="s">
        <v>5925</v>
      </c>
      <c r="G2444" s="13" t="s">
        <v>21935</v>
      </c>
      <c r="H2444" t="s">
        <v>21936</v>
      </c>
      <c r="K2444" t="s">
        <v>11744</v>
      </c>
      <c r="L2444" t="s">
        <v>11744</v>
      </c>
      <c r="M2444" t="s">
        <v>7250</v>
      </c>
      <c r="T2444" t="s">
        <v>6546</v>
      </c>
      <c r="U2444" t="s">
        <v>6546</v>
      </c>
      <c r="V2444" t="s">
        <v>6546</v>
      </c>
      <c r="W2444">
        <v>226.95</v>
      </c>
      <c r="X2444">
        <v>226.95</v>
      </c>
      <c r="AB2444" t="s">
        <v>21937</v>
      </c>
      <c r="AC2444" t="s">
        <v>8777</v>
      </c>
      <c r="AF2444" t="s">
        <v>21938</v>
      </c>
      <c r="AI2444" t="s">
        <v>8777</v>
      </c>
      <c r="AO2444" t="s">
        <v>21939</v>
      </c>
    </row>
    <row r="2445" spans="1:41" hidden="1" x14ac:dyDescent="0.35">
      <c r="A2445" t="s">
        <v>21940</v>
      </c>
      <c r="B2445" t="s">
        <v>7246</v>
      </c>
      <c r="C2445" t="s">
        <v>5925</v>
      </c>
      <c r="D2445" t="s">
        <v>5925</v>
      </c>
      <c r="E2445" t="s">
        <v>5925</v>
      </c>
      <c r="G2445" s="13" t="s">
        <v>21941</v>
      </c>
      <c r="H2445" t="s">
        <v>21942</v>
      </c>
      <c r="K2445" t="s">
        <v>11744</v>
      </c>
      <c r="L2445" t="s">
        <v>11744</v>
      </c>
      <c r="M2445" t="s">
        <v>7250</v>
      </c>
      <c r="T2445" t="s">
        <v>6546</v>
      </c>
      <c r="U2445" t="s">
        <v>6546</v>
      </c>
      <c r="V2445" t="s">
        <v>6546</v>
      </c>
      <c r="W2445">
        <v>354.49</v>
      </c>
      <c r="X2445">
        <v>354.49</v>
      </c>
      <c r="AB2445" t="s">
        <v>21943</v>
      </c>
      <c r="AC2445" t="s">
        <v>8777</v>
      </c>
      <c r="AF2445" t="s">
        <v>21944</v>
      </c>
      <c r="AI2445" t="s">
        <v>8777</v>
      </c>
      <c r="AO2445" t="s">
        <v>21945</v>
      </c>
    </row>
    <row r="2446" spans="1:41" hidden="1" x14ac:dyDescent="0.35">
      <c r="A2446" t="s">
        <v>21946</v>
      </c>
      <c r="B2446" t="s">
        <v>7246</v>
      </c>
      <c r="C2446" t="s">
        <v>5925</v>
      </c>
      <c r="D2446" t="s">
        <v>5925</v>
      </c>
      <c r="E2446" t="s">
        <v>5925</v>
      </c>
      <c r="G2446" s="13" t="s">
        <v>21947</v>
      </c>
      <c r="H2446" t="s">
        <v>21948</v>
      </c>
      <c r="K2446" t="s">
        <v>11744</v>
      </c>
      <c r="L2446" t="s">
        <v>11744</v>
      </c>
      <c r="M2446" t="s">
        <v>7250</v>
      </c>
      <c r="T2446" t="s">
        <v>6546</v>
      </c>
      <c r="U2446" t="s">
        <v>6546</v>
      </c>
      <c r="V2446" t="s">
        <v>6546</v>
      </c>
      <c r="W2446">
        <v>196.33</v>
      </c>
      <c r="X2446">
        <v>196.33</v>
      </c>
      <c r="AB2446" t="s">
        <v>21949</v>
      </c>
      <c r="AC2446" t="s">
        <v>8777</v>
      </c>
      <c r="AF2446" t="s">
        <v>9946</v>
      </c>
      <c r="AI2446" t="s">
        <v>8777</v>
      </c>
      <c r="AO2446" t="s">
        <v>21950</v>
      </c>
    </row>
    <row r="2447" spans="1:41" hidden="1" x14ac:dyDescent="0.35">
      <c r="A2447" t="s">
        <v>21951</v>
      </c>
      <c r="B2447" t="s">
        <v>7246</v>
      </c>
      <c r="C2447" t="s">
        <v>5802</v>
      </c>
      <c r="D2447" t="s">
        <v>5802</v>
      </c>
      <c r="E2447" t="s">
        <v>5802</v>
      </c>
      <c r="G2447" s="13" t="s">
        <v>13743</v>
      </c>
      <c r="H2447" t="s">
        <v>21952</v>
      </c>
      <c r="K2447" t="s">
        <v>11195</v>
      </c>
      <c r="L2447" t="s">
        <v>11195</v>
      </c>
      <c r="M2447" t="s">
        <v>7250</v>
      </c>
      <c r="T2447" t="s">
        <v>6546</v>
      </c>
      <c r="U2447" t="s">
        <v>6546</v>
      </c>
      <c r="V2447">
        <v>191</v>
      </c>
      <c r="W2447">
        <v>174.89</v>
      </c>
      <c r="X2447">
        <v>191</v>
      </c>
      <c r="AB2447" t="s">
        <v>13745</v>
      </c>
      <c r="AC2447" t="s">
        <v>8777</v>
      </c>
      <c r="AF2447" t="s">
        <v>13752</v>
      </c>
      <c r="AI2447" t="s">
        <v>8777</v>
      </c>
      <c r="AO2447" t="s">
        <v>13749</v>
      </c>
    </row>
    <row r="2448" spans="1:41" hidden="1" x14ac:dyDescent="0.35">
      <c r="A2448" t="s">
        <v>21953</v>
      </c>
      <c r="B2448" t="s">
        <v>7246</v>
      </c>
      <c r="C2448" t="s">
        <v>5802</v>
      </c>
      <c r="D2448" t="s">
        <v>5802</v>
      </c>
      <c r="E2448" t="s">
        <v>5802</v>
      </c>
      <c r="G2448" s="13" t="s">
        <v>21954</v>
      </c>
      <c r="H2448" t="s">
        <v>21955</v>
      </c>
      <c r="K2448" t="s">
        <v>11195</v>
      </c>
      <c r="L2448" t="s">
        <v>11195</v>
      </c>
      <c r="M2448" t="s">
        <v>7250</v>
      </c>
      <c r="T2448" t="s">
        <v>6546</v>
      </c>
      <c r="U2448" t="s">
        <v>6546</v>
      </c>
      <c r="V2448" t="s">
        <v>6546</v>
      </c>
      <c r="W2448">
        <v>113.36</v>
      </c>
      <c r="X2448">
        <v>113.36</v>
      </c>
      <c r="AB2448" t="s">
        <v>15643</v>
      </c>
      <c r="AC2448" t="s">
        <v>8777</v>
      </c>
      <c r="AF2448" t="s">
        <v>21956</v>
      </c>
      <c r="AI2448" t="s">
        <v>8777</v>
      </c>
      <c r="AO2448" t="s">
        <v>21957</v>
      </c>
    </row>
    <row r="2449" spans="1:41" hidden="1" x14ac:dyDescent="0.35">
      <c r="A2449" t="s">
        <v>21958</v>
      </c>
      <c r="B2449" t="s">
        <v>7246</v>
      </c>
      <c r="C2449" t="s">
        <v>5802</v>
      </c>
      <c r="D2449" t="s">
        <v>5802</v>
      </c>
      <c r="E2449" t="s">
        <v>5802</v>
      </c>
      <c r="G2449" s="13" t="s">
        <v>21959</v>
      </c>
      <c r="H2449" t="s">
        <v>21960</v>
      </c>
      <c r="K2449" t="s">
        <v>11195</v>
      </c>
      <c r="L2449" t="s">
        <v>11195</v>
      </c>
      <c r="M2449" t="s">
        <v>7250</v>
      </c>
      <c r="T2449" t="s">
        <v>6546</v>
      </c>
      <c r="U2449" t="s">
        <v>6546</v>
      </c>
      <c r="V2449" t="s">
        <v>6546</v>
      </c>
      <c r="W2449">
        <v>211.36</v>
      </c>
      <c r="X2449">
        <v>211.36</v>
      </c>
      <c r="AB2449" t="s">
        <v>21961</v>
      </c>
      <c r="AC2449" t="s">
        <v>8777</v>
      </c>
      <c r="AF2449" t="s">
        <v>21962</v>
      </c>
      <c r="AI2449" t="s">
        <v>8777</v>
      </c>
      <c r="AO2449" t="s">
        <v>21963</v>
      </c>
    </row>
    <row r="2450" spans="1:41" hidden="1" x14ac:dyDescent="0.35">
      <c r="A2450" t="s">
        <v>21964</v>
      </c>
      <c r="B2450" t="s">
        <v>7246</v>
      </c>
      <c r="C2450" t="s">
        <v>5802</v>
      </c>
      <c r="D2450" t="s">
        <v>5802</v>
      </c>
      <c r="E2450" t="s">
        <v>5802</v>
      </c>
      <c r="G2450" s="13" t="s">
        <v>21965</v>
      </c>
      <c r="H2450" t="s">
        <v>21966</v>
      </c>
      <c r="K2450" t="s">
        <v>11195</v>
      </c>
      <c r="L2450" t="s">
        <v>11195</v>
      </c>
      <c r="M2450" t="s">
        <v>7250</v>
      </c>
      <c r="T2450" t="s">
        <v>6546</v>
      </c>
      <c r="U2450" t="s">
        <v>6546</v>
      </c>
      <c r="V2450" t="s">
        <v>6546</v>
      </c>
      <c r="W2450">
        <v>77.66</v>
      </c>
      <c r="X2450">
        <v>77.66</v>
      </c>
      <c r="AB2450" t="s">
        <v>21962</v>
      </c>
      <c r="AC2450" t="s">
        <v>8777</v>
      </c>
      <c r="AF2450" t="s">
        <v>21967</v>
      </c>
      <c r="AI2450" t="s">
        <v>8777</v>
      </c>
      <c r="AO2450" t="s">
        <v>21968</v>
      </c>
    </row>
    <row r="2451" spans="1:41" hidden="1" x14ac:dyDescent="0.35">
      <c r="A2451" t="s">
        <v>21969</v>
      </c>
      <c r="B2451" t="s">
        <v>7246</v>
      </c>
      <c r="C2451" t="s">
        <v>5802</v>
      </c>
      <c r="D2451" t="s">
        <v>5802</v>
      </c>
      <c r="E2451" t="s">
        <v>5802</v>
      </c>
      <c r="G2451" s="13" t="s">
        <v>21970</v>
      </c>
      <c r="H2451" t="s">
        <v>21971</v>
      </c>
      <c r="K2451" t="s">
        <v>11195</v>
      </c>
      <c r="L2451" t="s">
        <v>11195</v>
      </c>
      <c r="M2451" t="s">
        <v>7250</v>
      </c>
      <c r="T2451" t="s">
        <v>6546</v>
      </c>
      <c r="U2451" t="s">
        <v>6546</v>
      </c>
      <c r="V2451" t="s">
        <v>6546</v>
      </c>
      <c r="W2451">
        <v>142.25</v>
      </c>
      <c r="X2451">
        <v>142.25</v>
      </c>
      <c r="AB2451" t="s">
        <v>21972</v>
      </c>
      <c r="AC2451" t="s">
        <v>8777</v>
      </c>
      <c r="AF2451" t="s">
        <v>21973</v>
      </c>
      <c r="AI2451" t="s">
        <v>8777</v>
      </c>
      <c r="AO2451" t="s">
        <v>21974</v>
      </c>
    </row>
    <row r="2452" spans="1:41" hidden="1" x14ac:dyDescent="0.35">
      <c r="A2452" t="s">
        <v>21975</v>
      </c>
      <c r="B2452" t="s">
        <v>7246</v>
      </c>
      <c r="C2452" t="s">
        <v>5694</v>
      </c>
      <c r="D2452" t="s">
        <v>5694</v>
      </c>
      <c r="E2452" t="s">
        <v>5694</v>
      </c>
      <c r="G2452" s="13" t="s">
        <v>21976</v>
      </c>
      <c r="H2452" t="s">
        <v>21977</v>
      </c>
      <c r="I2452" t="s">
        <v>21978</v>
      </c>
      <c r="K2452" t="s">
        <v>11736</v>
      </c>
      <c r="L2452" t="s">
        <v>11737</v>
      </c>
      <c r="M2452" t="s">
        <v>7292</v>
      </c>
      <c r="N2452">
        <v>2023</v>
      </c>
      <c r="R2452">
        <v>0.5</v>
      </c>
      <c r="S2452" t="s">
        <v>8257</v>
      </c>
      <c r="T2452">
        <v>0.5</v>
      </c>
      <c r="U2452">
        <v>232.69</v>
      </c>
      <c r="V2452">
        <v>97</v>
      </c>
      <c r="W2452">
        <v>94.47</v>
      </c>
      <c r="X2452">
        <v>97</v>
      </c>
      <c r="Y2452">
        <v>30</v>
      </c>
      <c r="Z2452" t="s">
        <v>7253</v>
      </c>
      <c r="AB2452" t="s">
        <v>21979</v>
      </c>
      <c r="AC2452" t="s">
        <v>8777</v>
      </c>
      <c r="AF2452" t="s">
        <v>21980</v>
      </c>
      <c r="AI2452" t="s">
        <v>8777</v>
      </c>
      <c r="AJ2452" t="s">
        <v>6407</v>
      </c>
      <c r="AK2452">
        <v>2021</v>
      </c>
      <c r="AO2452" t="s">
        <v>21981</v>
      </c>
    </row>
    <row r="2453" spans="1:41" hidden="1" x14ac:dyDescent="0.35">
      <c r="A2453" t="s">
        <v>21982</v>
      </c>
      <c r="B2453" t="s">
        <v>7246</v>
      </c>
      <c r="C2453" t="s">
        <v>5694</v>
      </c>
      <c r="D2453" t="s">
        <v>5694</v>
      </c>
      <c r="E2453" t="s">
        <v>5694</v>
      </c>
      <c r="G2453" s="13" t="s">
        <v>21983</v>
      </c>
      <c r="H2453" t="s">
        <v>21984</v>
      </c>
      <c r="K2453" t="s">
        <v>11736</v>
      </c>
      <c r="L2453" t="s">
        <v>11737</v>
      </c>
      <c r="M2453" t="s">
        <v>7292</v>
      </c>
      <c r="N2453">
        <v>2026</v>
      </c>
      <c r="T2453" t="s">
        <v>6546</v>
      </c>
      <c r="U2453" t="s">
        <v>6546</v>
      </c>
      <c r="V2453">
        <v>140</v>
      </c>
      <c r="W2453">
        <v>127.09</v>
      </c>
      <c r="X2453">
        <v>140</v>
      </c>
      <c r="Y2453">
        <v>16</v>
      </c>
      <c r="Z2453" t="s">
        <v>7253</v>
      </c>
      <c r="AB2453" t="s">
        <v>21985</v>
      </c>
      <c r="AC2453" t="s">
        <v>8777</v>
      </c>
      <c r="AF2453" t="s">
        <v>21986</v>
      </c>
      <c r="AI2453" t="s">
        <v>8777</v>
      </c>
      <c r="AJ2453" t="s">
        <v>9032</v>
      </c>
      <c r="AK2453">
        <v>2023</v>
      </c>
      <c r="AO2453" t="s">
        <v>21987</v>
      </c>
    </row>
    <row r="2454" spans="1:41" hidden="1" x14ac:dyDescent="0.35">
      <c r="A2454" t="s">
        <v>21988</v>
      </c>
      <c r="B2454" t="s">
        <v>7246</v>
      </c>
      <c r="C2454" t="s">
        <v>5694</v>
      </c>
      <c r="D2454" t="s">
        <v>5694</v>
      </c>
      <c r="E2454" t="s">
        <v>5694</v>
      </c>
      <c r="G2454" s="13" t="s">
        <v>21976</v>
      </c>
      <c r="H2454" t="s">
        <v>21977</v>
      </c>
      <c r="I2454" t="s">
        <v>21989</v>
      </c>
      <c r="K2454" t="s">
        <v>11736</v>
      </c>
      <c r="L2454" t="s">
        <v>11737</v>
      </c>
      <c r="M2454" t="s">
        <v>7292</v>
      </c>
      <c r="N2454">
        <v>2023</v>
      </c>
      <c r="R2454">
        <v>0.5</v>
      </c>
      <c r="S2454" t="s">
        <v>8257</v>
      </c>
      <c r="T2454">
        <v>0.5</v>
      </c>
      <c r="U2454">
        <v>232.69</v>
      </c>
      <c r="V2454">
        <v>66</v>
      </c>
      <c r="W2454">
        <v>173.71</v>
      </c>
      <c r="X2454">
        <v>66</v>
      </c>
      <c r="Y2454">
        <v>30</v>
      </c>
      <c r="Z2454" t="s">
        <v>7253</v>
      </c>
      <c r="AB2454" t="s">
        <v>21990</v>
      </c>
      <c r="AC2454" t="s">
        <v>8777</v>
      </c>
      <c r="AF2454" t="s">
        <v>21991</v>
      </c>
      <c r="AI2454" t="s">
        <v>8777</v>
      </c>
      <c r="AJ2454" t="s">
        <v>6407</v>
      </c>
      <c r="AK2454">
        <v>2021</v>
      </c>
      <c r="AO2454" t="s">
        <v>21992</v>
      </c>
    </row>
    <row r="2455" spans="1:41" hidden="1" x14ac:dyDescent="0.35">
      <c r="A2455" t="s">
        <v>21993</v>
      </c>
      <c r="B2455" t="s">
        <v>7246</v>
      </c>
      <c r="C2455" t="s">
        <v>5694</v>
      </c>
      <c r="D2455" t="s">
        <v>5694</v>
      </c>
      <c r="E2455" t="s">
        <v>5694</v>
      </c>
      <c r="G2455" s="13" t="s">
        <v>21994</v>
      </c>
      <c r="H2455" t="s">
        <v>21995</v>
      </c>
      <c r="K2455" t="s">
        <v>11736</v>
      </c>
      <c r="L2455" t="s">
        <v>11737</v>
      </c>
      <c r="M2455" t="s">
        <v>7250</v>
      </c>
      <c r="T2455" t="s">
        <v>6546</v>
      </c>
      <c r="U2455" t="s">
        <v>6546</v>
      </c>
      <c r="V2455" t="s">
        <v>6546</v>
      </c>
      <c r="W2455">
        <v>208.36</v>
      </c>
      <c r="X2455">
        <v>208.36</v>
      </c>
      <c r="AB2455" t="s">
        <v>21996</v>
      </c>
      <c r="AC2455" t="s">
        <v>8777</v>
      </c>
      <c r="AF2455" t="s">
        <v>21985</v>
      </c>
      <c r="AI2455" t="s">
        <v>8777</v>
      </c>
      <c r="AO2455" t="s">
        <v>21997</v>
      </c>
    </row>
    <row r="2456" spans="1:41" hidden="1" x14ac:dyDescent="0.35">
      <c r="A2456" t="s">
        <v>21998</v>
      </c>
      <c r="B2456" t="s">
        <v>7246</v>
      </c>
      <c r="C2456" t="s">
        <v>5844</v>
      </c>
      <c r="D2456" t="s">
        <v>5844</v>
      </c>
      <c r="E2456" t="s">
        <v>5844</v>
      </c>
      <c r="G2456" s="13" t="s">
        <v>16537</v>
      </c>
      <c r="H2456" t="s">
        <v>16538</v>
      </c>
      <c r="I2456" t="s">
        <v>21999</v>
      </c>
      <c r="K2456" t="s">
        <v>14374</v>
      </c>
      <c r="L2456" t="s">
        <v>14374</v>
      </c>
      <c r="M2456" t="s">
        <v>7250</v>
      </c>
      <c r="T2456" t="s">
        <v>6546</v>
      </c>
      <c r="U2456" t="s">
        <v>6546</v>
      </c>
      <c r="V2456" t="s">
        <v>6546</v>
      </c>
      <c r="W2456">
        <v>62.93</v>
      </c>
      <c r="X2456">
        <v>62.93</v>
      </c>
      <c r="Y2456">
        <v>30</v>
      </c>
      <c r="Z2456" t="s">
        <v>7253</v>
      </c>
      <c r="AB2456" t="s">
        <v>16542</v>
      </c>
      <c r="AC2456" t="s">
        <v>8777</v>
      </c>
      <c r="AF2456" t="s">
        <v>15269</v>
      </c>
      <c r="AI2456" t="s">
        <v>8777</v>
      </c>
      <c r="AO2456" t="s">
        <v>22000</v>
      </c>
    </row>
    <row r="2457" spans="1:41" hidden="1" x14ac:dyDescent="0.35">
      <c r="A2457" t="s">
        <v>22001</v>
      </c>
      <c r="B2457" t="s">
        <v>7246</v>
      </c>
      <c r="C2457" t="s">
        <v>5844</v>
      </c>
      <c r="D2457" t="s">
        <v>5844</v>
      </c>
      <c r="E2457" t="s">
        <v>5844</v>
      </c>
      <c r="G2457" s="13" t="s">
        <v>16537</v>
      </c>
      <c r="H2457" t="s">
        <v>16538</v>
      </c>
      <c r="I2457" t="s">
        <v>22002</v>
      </c>
      <c r="K2457" t="s">
        <v>14374</v>
      </c>
      <c r="L2457" t="s">
        <v>14374</v>
      </c>
      <c r="M2457" t="s">
        <v>7250</v>
      </c>
      <c r="T2457" t="s">
        <v>6546</v>
      </c>
      <c r="U2457" t="s">
        <v>6546</v>
      </c>
      <c r="V2457" t="s">
        <v>6546</v>
      </c>
      <c r="W2457">
        <v>172.77</v>
      </c>
      <c r="X2457">
        <v>172.77</v>
      </c>
      <c r="Y2457" t="s">
        <v>22003</v>
      </c>
      <c r="Z2457" t="s">
        <v>7253</v>
      </c>
      <c r="AB2457" t="s">
        <v>15269</v>
      </c>
      <c r="AC2457" t="s">
        <v>8777</v>
      </c>
      <c r="AF2457" t="s">
        <v>22004</v>
      </c>
      <c r="AI2457" t="s">
        <v>8777</v>
      </c>
      <c r="AO2457" t="s">
        <v>22005</v>
      </c>
    </row>
    <row r="2458" spans="1:41" hidden="1" x14ac:dyDescent="0.35">
      <c r="A2458" t="s">
        <v>22006</v>
      </c>
      <c r="B2458" t="s">
        <v>7246</v>
      </c>
      <c r="C2458" t="s">
        <v>5844</v>
      </c>
      <c r="D2458" t="s">
        <v>5844</v>
      </c>
      <c r="E2458" t="s">
        <v>5844</v>
      </c>
      <c r="G2458" s="13" t="s">
        <v>22007</v>
      </c>
      <c r="H2458" t="s">
        <v>22008</v>
      </c>
      <c r="K2458" t="s">
        <v>14374</v>
      </c>
      <c r="L2458" t="s">
        <v>14374</v>
      </c>
      <c r="M2458" t="s">
        <v>7250</v>
      </c>
      <c r="T2458" t="s">
        <v>6546</v>
      </c>
      <c r="U2458" t="s">
        <v>6546</v>
      </c>
      <c r="V2458" t="s">
        <v>6546</v>
      </c>
      <c r="W2458">
        <v>98.52</v>
      </c>
      <c r="X2458">
        <v>98.52</v>
      </c>
      <c r="Y2458">
        <v>12</v>
      </c>
      <c r="Z2458" t="s">
        <v>7253</v>
      </c>
      <c r="AB2458" t="s">
        <v>15269</v>
      </c>
      <c r="AC2458" t="s">
        <v>8777</v>
      </c>
      <c r="AF2458" t="s">
        <v>22009</v>
      </c>
      <c r="AI2458" t="s">
        <v>8777</v>
      </c>
      <c r="AO2458" t="s">
        <v>22010</v>
      </c>
    </row>
    <row r="2459" spans="1:41" hidden="1" x14ac:dyDescent="0.35">
      <c r="A2459" t="s">
        <v>22011</v>
      </c>
      <c r="B2459" t="s">
        <v>7246</v>
      </c>
      <c r="C2459" t="s">
        <v>5844</v>
      </c>
      <c r="D2459" t="s">
        <v>5844</v>
      </c>
      <c r="E2459" t="s">
        <v>5844</v>
      </c>
      <c r="G2459" s="13" t="s">
        <v>22012</v>
      </c>
      <c r="H2459" t="s">
        <v>22013</v>
      </c>
      <c r="K2459" t="s">
        <v>14374</v>
      </c>
      <c r="L2459" t="s">
        <v>14374</v>
      </c>
      <c r="M2459" t="s">
        <v>7250</v>
      </c>
      <c r="T2459" t="s">
        <v>6546</v>
      </c>
      <c r="U2459" t="s">
        <v>6546</v>
      </c>
      <c r="V2459" t="s">
        <v>6546</v>
      </c>
      <c r="W2459">
        <v>87.23</v>
      </c>
      <c r="X2459">
        <v>87.23</v>
      </c>
      <c r="Y2459">
        <v>30</v>
      </c>
      <c r="Z2459" t="s">
        <v>7253</v>
      </c>
      <c r="AB2459" t="s">
        <v>13925</v>
      </c>
      <c r="AC2459" t="s">
        <v>8777</v>
      </c>
      <c r="AF2459" t="s">
        <v>16542</v>
      </c>
      <c r="AI2459" t="s">
        <v>8777</v>
      </c>
      <c r="AO2459" t="s">
        <v>22014</v>
      </c>
    </row>
    <row r="2460" spans="1:41" hidden="1" x14ac:dyDescent="0.35">
      <c r="A2460" t="s">
        <v>22015</v>
      </c>
      <c r="B2460" t="s">
        <v>7246</v>
      </c>
      <c r="C2460" t="s">
        <v>5844</v>
      </c>
      <c r="D2460" t="s">
        <v>5844</v>
      </c>
      <c r="E2460" t="s">
        <v>5844</v>
      </c>
      <c r="G2460" s="13" t="s">
        <v>22016</v>
      </c>
      <c r="H2460" t="s">
        <v>22017</v>
      </c>
      <c r="I2460" t="s">
        <v>22018</v>
      </c>
      <c r="K2460" t="s">
        <v>14374</v>
      </c>
      <c r="L2460" t="s">
        <v>14374</v>
      </c>
      <c r="M2460" t="s">
        <v>7250</v>
      </c>
      <c r="T2460" t="s">
        <v>6546</v>
      </c>
      <c r="U2460" t="s">
        <v>6546</v>
      </c>
      <c r="V2460" t="s">
        <v>6546</v>
      </c>
      <c r="W2460">
        <v>122.49</v>
      </c>
      <c r="X2460">
        <v>122.49</v>
      </c>
      <c r="Y2460">
        <v>12.5</v>
      </c>
      <c r="Z2460" t="s">
        <v>7253</v>
      </c>
      <c r="AB2460" t="s">
        <v>22019</v>
      </c>
      <c r="AC2460" t="s">
        <v>8777</v>
      </c>
      <c r="AF2460" t="s">
        <v>22020</v>
      </c>
      <c r="AI2460" t="s">
        <v>8777</v>
      </c>
      <c r="AO2460" t="s">
        <v>22021</v>
      </c>
    </row>
    <row r="2461" spans="1:41" hidden="1" x14ac:dyDescent="0.35">
      <c r="A2461" t="s">
        <v>22022</v>
      </c>
      <c r="B2461" t="s">
        <v>7246</v>
      </c>
      <c r="C2461" t="s">
        <v>5844</v>
      </c>
      <c r="D2461" t="s">
        <v>5844</v>
      </c>
      <c r="E2461" t="s">
        <v>5844</v>
      </c>
      <c r="G2461" s="13" t="s">
        <v>22016</v>
      </c>
      <c r="H2461" t="s">
        <v>22017</v>
      </c>
      <c r="I2461" t="s">
        <v>22023</v>
      </c>
      <c r="K2461" t="s">
        <v>14374</v>
      </c>
      <c r="L2461" t="s">
        <v>14374</v>
      </c>
      <c r="M2461" t="s">
        <v>7250</v>
      </c>
      <c r="T2461" t="s">
        <v>6546</v>
      </c>
      <c r="U2461" t="s">
        <v>6546</v>
      </c>
      <c r="V2461" t="s">
        <v>6546</v>
      </c>
      <c r="W2461">
        <v>113.74</v>
      </c>
      <c r="X2461">
        <v>113.74</v>
      </c>
      <c r="Y2461" t="s">
        <v>22024</v>
      </c>
      <c r="Z2461" t="s">
        <v>7253</v>
      </c>
      <c r="AB2461" t="s">
        <v>22020</v>
      </c>
      <c r="AC2461" t="s">
        <v>8777</v>
      </c>
      <c r="AF2461" t="s">
        <v>13925</v>
      </c>
      <c r="AI2461" t="s">
        <v>8777</v>
      </c>
      <c r="AO2461" t="s">
        <v>22025</v>
      </c>
    </row>
    <row r="2462" spans="1:41" hidden="1" x14ac:dyDescent="0.35">
      <c r="A2462" t="s">
        <v>22026</v>
      </c>
      <c r="B2462" t="s">
        <v>7246</v>
      </c>
      <c r="C2462" t="s">
        <v>17944</v>
      </c>
      <c r="D2462" t="s">
        <v>17944</v>
      </c>
      <c r="E2462" t="s">
        <v>5844</v>
      </c>
      <c r="G2462" s="13" t="s">
        <v>22027</v>
      </c>
      <c r="H2462" t="s">
        <v>22028</v>
      </c>
      <c r="K2462" t="s">
        <v>22029</v>
      </c>
      <c r="L2462" t="s">
        <v>22030</v>
      </c>
      <c r="M2462" t="s">
        <v>7250</v>
      </c>
      <c r="T2462" t="s">
        <v>6546</v>
      </c>
      <c r="U2462" t="s">
        <v>6546</v>
      </c>
      <c r="V2462">
        <v>117.6</v>
      </c>
      <c r="W2462">
        <v>109.11</v>
      </c>
      <c r="X2462">
        <v>117.6</v>
      </c>
      <c r="Y2462">
        <v>530</v>
      </c>
      <c r="Z2462" t="s">
        <v>8842</v>
      </c>
      <c r="AB2462" t="s">
        <v>22031</v>
      </c>
      <c r="AC2462" t="s">
        <v>8777</v>
      </c>
      <c r="AF2462" t="s">
        <v>22032</v>
      </c>
      <c r="AI2462" t="s">
        <v>8777</v>
      </c>
      <c r="AO2462" t="s">
        <v>22033</v>
      </c>
    </row>
    <row r="2463" spans="1:41" hidden="1" x14ac:dyDescent="0.35">
      <c r="A2463" t="s">
        <v>22034</v>
      </c>
      <c r="B2463" t="s">
        <v>7246</v>
      </c>
      <c r="C2463" t="s">
        <v>5844</v>
      </c>
      <c r="D2463" t="s">
        <v>5844</v>
      </c>
      <c r="E2463" t="s">
        <v>5844</v>
      </c>
      <c r="G2463" s="13" t="s">
        <v>22035</v>
      </c>
      <c r="H2463" t="s">
        <v>22036</v>
      </c>
      <c r="K2463" t="s">
        <v>22029</v>
      </c>
      <c r="L2463" t="s">
        <v>22030</v>
      </c>
      <c r="M2463" t="s">
        <v>7292</v>
      </c>
      <c r="T2463" t="s">
        <v>6546</v>
      </c>
      <c r="U2463" t="s">
        <v>6546</v>
      </c>
      <c r="V2463" t="s">
        <v>6546</v>
      </c>
      <c r="W2463">
        <v>145.19</v>
      </c>
      <c r="X2463">
        <v>145.19</v>
      </c>
      <c r="Y2463" t="s">
        <v>22037</v>
      </c>
      <c r="Z2463" t="s">
        <v>7253</v>
      </c>
      <c r="AB2463" t="s">
        <v>22038</v>
      </c>
      <c r="AC2463" t="s">
        <v>8777</v>
      </c>
      <c r="AF2463" t="s">
        <v>22039</v>
      </c>
      <c r="AI2463" t="s">
        <v>8777</v>
      </c>
      <c r="AO2463" t="s">
        <v>22040</v>
      </c>
    </row>
    <row r="2464" spans="1:41" hidden="1" x14ac:dyDescent="0.35">
      <c r="A2464" t="s">
        <v>22041</v>
      </c>
      <c r="B2464" t="s">
        <v>7246</v>
      </c>
      <c r="C2464" t="s">
        <v>5844</v>
      </c>
      <c r="D2464" t="s">
        <v>17944</v>
      </c>
      <c r="E2464" t="s">
        <v>22042</v>
      </c>
      <c r="G2464" s="13" t="s">
        <v>22043</v>
      </c>
      <c r="H2464" t="s">
        <v>22044</v>
      </c>
      <c r="I2464" t="s">
        <v>22045</v>
      </c>
      <c r="K2464" t="s">
        <v>14374</v>
      </c>
      <c r="L2464" t="s">
        <v>14374</v>
      </c>
      <c r="M2464" t="s">
        <v>7292</v>
      </c>
      <c r="T2464" t="s">
        <v>6546</v>
      </c>
      <c r="U2464" t="s">
        <v>6546</v>
      </c>
      <c r="V2464">
        <v>114</v>
      </c>
      <c r="W2464">
        <v>103.02</v>
      </c>
      <c r="X2464">
        <v>114</v>
      </c>
      <c r="Y2464" t="s">
        <v>22037</v>
      </c>
      <c r="Z2464" t="s">
        <v>7253</v>
      </c>
      <c r="AB2464" t="s">
        <v>22039</v>
      </c>
      <c r="AC2464" t="s">
        <v>8777</v>
      </c>
      <c r="AF2464" t="s">
        <v>22046</v>
      </c>
      <c r="AI2464" t="s">
        <v>8777</v>
      </c>
      <c r="AO2464" t="s">
        <v>22047</v>
      </c>
    </row>
    <row r="2465" spans="1:41" hidden="1" x14ac:dyDescent="0.35">
      <c r="A2465" t="s">
        <v>22048</v>
      </c>
      <c r="B2465" t="s">
        <v>7246</v>
      </c>
      <c r="C2465" t="s">
        <v>17944</v>
      </c>
      <c r="D2465" t="s">
        <v>22049</v>
      </c>
      <c r="E2465" t="s">
        <v>22050</v>
      </c>
      <c r="G2465" s="13" t="s">
        <v>22043</v>
      </c>
      <c r="H2465" t="s">
        <v>22044</v>
      </c>
      <c r="I2465" t="s">
        <v>22051</v>
      </c>
      <c r="K2465" t="s">
        <v>14374</v>
      </c>
      <c r="L2465" t="s">
        <v>14374</v>
      </c>
      <c r="M2465" t="s">
        <v>7292</v>
      </c>
      <c r="T2465" t="s">
        <v>6546</v>
      </c>
      <c r="U2465" t="s">
        <v>6546</v>
      </c>
      <c r="V2465" t="s">
        <v>6546</v>
      </c>
      <c r="W2465">
        <v>109.72</v>
      </c>
      <c r="X2465">
        <v>109.72</v>
      </c>
      <c r="Y2465" t="s">
        <v>22037</v>
      </c>
      <c r="Z2465" t="s">
        <v>7253</v>
      </c>
      <c r="AB2465" t="s">
        <v>22052</v>
      </c>
      <c r="AC2465" t="s">
        <v>8777</v>
      </c>
      <c r="AF2465" t="s">
        <v>22053</v>
      </c>
      <c r="AI2465" t="s">
        <v>8777</v>
      </c>
      <c r="AO2465" t="s">
        <v>22054</v>
      </c>
    </row>
    <row r="2466" spans="1:41" hidden="1" x14ac:dyDescent="0.35">
      <c r="A2466" t="s">
        <v>22055</v>
      </c>
      <c r="B2466" t="s">
        <v>7246</v>
      </c>
      <c r="C2466" t="s">
        <v>420</v>
      </c>
      <c r="D2466" t="s">
        <v>420</v>
      </c>
      <c r="E2466" t="s">
        <v>420</v>
      </c>
      <c r="G2466" s="13" t="s">
        <v>20971</v>
      </c>
      <c r="H2466" t="s">
        <v>20972</v>
      </c>
      <c r="I2466" t="s">
        <v>22056</v>
      </c>
      <c r="K2466" t="s">
        <v>9219</v>
      </c>
      <c r="L2466" t="s">
        <v>9155</v>
      </c>
      <c r="M2466" t="s">
        <v>7250</v>
      </c>
      <c r="N2466">
        <v>2009</v>
      </c>
      <c r="R2466">
        <v>3200</v>
      </c>
      <c r="S2466" t="s">
        <v>7251</v>
      </c>
      <c r="T2466">
        <v>33.1</v>
      </c>
      <c r="U2466">
        <v>15402.67</v>
      </c>
      <c r="V2466" t="s">
        <v>6546</v>
      </c>
      <c r="W2466" t="s">
        <v>6546</v>
      </c>
      <c r="X2466" t="s">
        <v>6546</v>
      </c>
      <c r="Y2466">
        <v>38</v>
      </c>
      <c r="Z2466" t="s">
        <v>7253</v>
      </c>
      <c r="AC2466" t="s">
        <v>8747</v>
      </c>
      <c r="AI2466" t="s">
        <v>8747</v>
      </c>
      <c r="AO2466" t="s">
        <v>6546</v>
      </c>
    </row>
    <row r="2467" spans="1:41" hidden="1" x14ac:dyDescent="0.35">
      <c r="A2467" t="s">
        <v>22057</v>
      </c>
      <c r="B2467" t="s">
        <v>7246</v>
      </c>
      <c r="C2467" t="s">
        <v>420</v>
      </c>
      <c r="D2467" t="s">
        <v>420</v>
      </c>
      <c r="E2467" t="s">
        <v>420</v>
      </c>
      <c r="G2467" s="13" t="s">
        <v>20971</v>
      </c>
      <c r="H2467" t="s">
        <v>20972</v>
      </c>
      <c r="I2467" t="s">
        <v>22058</v>
      </c>
      <c r="K2467" t="s">
        <v>9219</v>
      </c>
      <c r="L2467" t="s">
        <v>9155</v>
      </c>
      <c r="M2467" t="s">
        <v>7250</v>
      </c>
      <c r="N2467">
        <v>2010</v>
      </c>
      <c r="R2467">
        <v>3200</v>
      </c>
      <c r="S2467" t="s">
        <v>7251</v>
      </c>
      <c r="T2467">
        <v>33.1</v>
      </c>
      <c r="U2467">
        <v>15402.67</v>
      </c>
      <c r="V2467" t="s">
        <v>6546</v>
      </c>
      <c r="W2467" t="s">
        <v>6546</v>
      </c>
      <c r="X2467" t="s">
        <v>6546</v>
      </c>
      <c r="Y2467">
        <v>38</v>
      </c>
      <c r="Z2467" t="s">
        <v>7253</v>
      </c>
      <c r="AC2467" t="s">
        <v>8747</v>
      </c>
      <c r="AI2467" t="s">
        <v>8747</v>
      </c>
      <c r="AO2467" t="s">
        <v>6546</v>
      </c>
    </row>
    <row r="2468" spans="1:41" hidden="1" x14ac:dyDescent="0.35">
      <c r="A2468" t="s">
        <v>22059</v>
      </c>
      <c r="B2468" t="s">
        <v>7246</v>
      </c>
      <c r="C2468" t="s">
        <v>420</v>
      </c>
      <c r="D2468" t="s">
        <v>420</v>
      </c>
      <c r="E2468" t="s">
        <v>420</v>
      </c>
      <c r="G2468" s="13" t="s">
        <v>20971</v>
      </c>
      <c r="H2468" t="s">
        <v>20972</v>
      </c>
      <c r="I2468" t="s">
        <v>22060</v>
      </c>
      <c r="K2468" t="s">
        <v>9219</v>
      </c>
      <c r="L2468" t="s">
        <v>9155</v>
      </c>
      <c r="M2468" t="s">
        <v>7250</v>
      </c>
      <c r="N2468">
        <v>2011</v>
      </c>
      <c r="R2468">
        <v>3200</v>
      </c>
      <c r="S2468" t="s">
        <v>7251</v>
      </c>
      <c r="T2468">
        <v>33.1</v>
      </c>
      <c r="U2468">
        <v>15402.67</v>
      </c>
      <c r="V2468" t="s">
        <v>6546</v>
      </c>
      <c r="W2468" t="s">
        <v>6546</v>
      </c>
      <c r="X2468" t="s">
        <v>6546</v>
      </c>
      <c r="Y2468">
        <v>38</v>
      </c>
      <c r="Z2468" t="s">
        <v>7253</v>
      </c>
      <c r="AC2468" t="s">
        <v>8747</v>
      </c>
      <c r="AI2468" t="s">
        <v>8747</v>
      </c>
      <c r="AO2468" t="s">
        <v>6546</v>
      </c>
    </row>
    <row r="2469" spans="1:41" hidden="1" x14ac:dyDescent="0.35">
      <c r="A2469" t="s">
        <v>22061</v>
      </c>
      <c r="B2469" t="s">
        <v>7246</v>
      </c>
      <c r="C2469" t="s">
        <v>451</v>
      </c>
      <c r="D2469" t="s">
        <v>451</v>
      </c>
      <c r="E2469" t="s">
        <v>451</v>
      </c>
      <c r="G2469" s="13" t="s">
        <v>22062</v>
      </c>
      <c r="H2469" t="s">
        <v>22063</v>
      </c>
      <c r="K2469" t="s">
        <v>22064</v>
      </c>
      <c r="L2469" t="s">
        <v>22065</v>
      </c>
      <c r="M2469" t="s">
        <v>7292</v>
      </c>
      <c r="N2469">
        <v>2024</v>
      </c>
      <c r="R2469">
        <v>1700</v>
      </c>
      <c r="S2469" t="s">
        <v>7251</v>
      </c>
      <c r="T2469">
        <v>17.579999999999998</v>
      </c>
      <c r="U2469">
        <v>8182.67</v>
      </c>
      <c r="V2469" t="s">
        <v>6546</v>
      </c>
      <c r="W2469" t="s">
        <v>6546</v>
      </c>
      <c r="X2469" t="s">
        <v>6546</v>
      </c>
      <c r="Y2469">
        <v>42</v>
      </c>
      <c r="Z2469" t="s">
        <v>7253</v>
      </c>
      <c r="AA2469" t="s">
        <v>8318</v>
      </c>
      <c r="AB2469" t="s">
        <v>8042</v>
      </c>
      <c r="AC2469" t="s">
        <v>7255</v>
      </c>
      <c r="AE2469" t="s">
        <v>486</v>
      </c>
      <c r="AF2469" t="s">
        <v>517</v>
      </c>
      <c r="AH2469" t="s">
        <v>486</v>
      </c>
      <c r="AI2469" t="s">
        <v>7255</v>
      </c>
      <c r="AO2469" t="s">
        <v>6546</v>
      </c>
    </row>
    <row r="2470" spans="1:41" hidden="1" x14ac:dyDescent="0.35">
      <c r="A2470" t="s">
        <v>22066</v>
      </c>
      <c r="B2470" t="s">
        <v>7246</v>
      </c>
      <c r="C2470" t="s">
        <v>451</v>
      </c>
      <c r="D2470" t="s">
        <v>451</v>
      </c>
      <c r="E2470" t="s">
        <v>451</v>
      </c>
      <c r="G2470" s="13" t="s">
        <v>7317</v>
      </c>
      <c r="H2470" t="s">
        <v>7318</v>
      </c>
      <c r="K2470" t="s">
        <v>6543</v>
      </c>
      <c r="L2470" t="s">
        <v>6543</v>
      </c>
      <c r="M2470" t="s">
        <v>7292</v>
      </c>
      <c r="N2470">
        <v>2024</v>
      </c>
      <c r="R2470">
        <v>0</v>
      </c>
      <c r="S2470" t="s">
        <v>7251</v>
      </c>
      <c r="T2470">
        <v>0</v>
      </c>
      <c r="U2470">
        <v>0</v>
      </c>
      <c r="V2470">
        <v>0.56999999999999995</v>
      </c>
      <c r="W2470" t="s">
        <v>6546</v>
      </c>
      <c r="X2470">
        <v>0.56999999999999995</v>
      </c>
      <c r="Y2470">
        <v>24</v>
      </c>
      <c r="Z2470" t="s">
        <v>7253</v>
      </c>
      <c r="AC2470" t="s">
        <v>7255</v>
      </c>
      <c r="AE2470" t="s">
        <v>755</v>
      </c>
      <c r="AH2470" t="s">
        <v>755</v>
      </c>
      <c r="AI2470" t="s">
        <v>7255</v>
      </c>
      <c r="AO2470" t="s">
        <v>6546</v>
      </c>
    </row>
    <row r="2471" spans="1:41" hidden="1" x14ac:dyDescent="0.35">
      <c r="A2471" t="s">
        <v>22067</v>
      </c>
      <c r="B2471" t="s">
        <v>7246</v>
      </c>
      <c r="C2471" t="s">
        <v>451</v>
      </c>
      <c r="D2471" t="s">
        <v>451</v>
      </c>
      <c r="E2471" t="s">
        <v>451</v>
      </c>
      <c r="G2471" s="13" t="s">
        <v>17222</v>
      </c>
      <c r="H2471" t="s">
        <v>17223</v>
      </c>
      <c r="I2471" t="s">
        <v>22068</v>
      </c>
      <c r="K2471" t="s">
        <v>17224</v>
      </c>
      <c r="L2471" t="s">
        <v>7652</v>
      </c>
      <c r="M2471" t="s">
        <v>7250</v>
      </c>
      <c r="N2471">
        <v>2016</v>
      </c>
      <c r="R2471">
        <v>18</v>
      </c>
      <c r="S2471" t="s">
        <v>7251</v>
      </c>
      <c r="T2471">
        <v>0.19</v>
      </c>
      <c r="U2471">
        <v>86.64</v>
      </c>
      <c r="V2471">
        <v>46.67</v>
      </c>
      <c r="W2471" t="s">
        <v>6546</v>
      </c>
      <c r="X2471">
        <v>46.67</v>
      </c>
      <c r="Y2471">
        <v>8</v>
      </c>
      <c r="Z2471" t="s">
        <v>7253</v>
      </c>
      <c r="AC2471" t="s">
        <v>7255</v>
      </c>
      <c r="AE2471" t="s">
        <v>941</v>
      </c>
      <c r="AH2471" t="s">
        <v>941</v>
      </c>
      <c r="AI2471" t="s">
        <v>7255</v>
      </c>
      <c r="AO2471" t="s">
        <v>6546</v>
      </c>
    </row>
    <row r="2472" spans="1:41" hidden="1" x14ac:dyDescent="0.35">
      <c r="A2472" t="s">
        <v>22069</v>
      </c>
      <c r="B2472" t="s">
        <v>7246</v>
      </c>
      <c r="C2472" t="s">
        <v>451</v>
      </c>
      <c r="D2472" t="s">
        <v>451</v>
      </c>
      <c r="E2472" t="s">
        <v>451</v>
      </c>
      <c r="G2472" s="13" t="s">
        <v>17222</v>
      </c>
      <c r="H2472" t="s">
        <v>17223</v>
      </c>
      <c r="I2472" t="s">
        <v>22070</v>
      </c>
      <c r="K2472" t="s">
        <v>17224</v>
      </c>
      <c r="L2472" t="s">
        <v>7652</v>
      </c>
      <c r="M2472" t="s">
        <v>7250</v>
      </c>
      <c r="N2472">
        <v>2018</v>
      </c>
      <c r="R2472">
        <v>80</v>
      </c>
      <c r="S2472" t="s">
        <v>7251</v>
      </c>
      <c r="T2472">
        <v>0.83</v>
      </c>
      <c r="U2472">
        <v>385.07</v>
      </c>
      <c r="V2472">
        <v>88.51</v>
      </c>
      <c r="W2472" t="s">
        <v>6546</v>
      </c>
      <c r="X2472">
        <v>88.51</v>
      </c>
      <c r="Y2472">
        <v>12</v>
      </c>
      <c r="Z2472" t="s">
        <v>7253</v>
      </c>
      <c r="AC2472" t="s">
        <v>7255</v>
      </c>
      <c r="AE2472" t="s">
        <v>941</v>
      </c>
      <c r="AH2472" t="s">
        <v>941</v>
      </c>
      <c r="AI2472" t="s">
        <v>7255</v>
      </c>
      <c r="AO2472" t="s">
        <v>6546</v>
      </c>
    </row>
    <row r="2473" spans="1:41" hidden="1" x14ac:dyDescent="0.35">
      <c r="A2473" t="s">
        <v>22071</v>
      </c>
      <c r="B2473" t="s">
        <v>7246</v>
      </c>
      <c r="C2473" t="s">
        <v>5613</v>
      </c>
      <c r="D2473" t="s">
        <v>5613</v>
      </c>
      <c r="E2473" t="s">
        <v>5613</v>
      </c>
      <c r="G2473" s="13" t="s">
        <v>22072</v>
      </c>
      <c r="H2473" t="s">
        <v>15988</v>
      </c>
      <c r="I2473" t="s">
        <v>22073</v>
      </c>
      <c r="K2473" t="s">
        <v>11729</v>
      </c>
      <c r="L2473" t="s">
        <v>11729</v>
      </c>
      <c r="M2473" t="s">
        <v>7292</v>
      </c>
      <c r="N2473">
        <v>2030</v>
      </c>
      <c r="T2473" t="s">
        <v>6546</v>
      </c>
      <c r="U2473" t="s">
        <v>6546</v>
      </c>
      <c r="V2473">
        <v>148</v>
      </c>
      <c r="W2473" t="s">
        <v>6546</v>
      </c>
      <c r="X2473">
        <v>148</v>
      </c>
      <c r="Y2473">
        <v>48</v>
      </c>
      <c r="Z2473" t="s">
        <v>7253</v>
      </c>
      <c r="AB2473" t="s">
        <v>15990</v>
      </c>
      <c r="AC2473" t="s">
        <v>8777</v>
      </c>
      <c r="AF2473" t="s">
        <v>11731</v>
      </c>
      <c r="AI2473" t="s">
        <v>8777</v>
      </c>
      <c r="AO2473" t="s">
        <v>6546</v>
      </c>
    </row>
    <row r="2474" spans="1:41" hidden="1" x14ac:dyDescent="0.35">
      <c r="A2474" t="s">
        <v>22074</v>
      </c>
      <c r="B2474" t="s">
        <v>7246</v>
      </c>
      <c r="C2474" t="s">
        <v>5613</v>
      </c>
      <c r="D2474" t="s">
        <v>5613</v>
      </c>
      <c r="E2474" t="s">
        <v>5613</v>
      </c>
      <c r="G2474" s="13" t="s">
        <v>14941</v>
      </c>
      <c r="H2474" t="s">
        <v>14942</v>
      </c>
      <c r="I2474" t="s">
        <v>22073</v>
      </c>
      <c r="K2474" t="s">
        <v>11729</v>
      </c>
      <c r="L2474" t="s">
        <v>11729</v>
      </c>
      <c r="M2474" t="s">
        <v>7292</v>
      </c>
      <c r="N2474">
        <v>2030</v>
      </c>
      <c r="T2474" t="s">
        <v>6546</v>
      </c>
      <c r="U2474" t="s">
        <v>6546</v>
      </c>
      <c r="V2474">
        <v>247</v>
      </c>
      <c r="W2474" t="s">
        <v>6546</v>
      </c>
      <c r="X2474">
        <v>247</v>
      </c>
      <c r="Y2474">
        <v>48</v>
      </c>
      <c r="Z2474" t="s">
        <v>7253</v>
      </c>
      <c r="AB2474" t="s">
        <v>6853</v>
      </c>
      <c r="AC2474" t="s">
        <v>8777</v>
      </c>
      <c r="AF2474" t="s">
        <v>14935</v>
      </c>
      <c r="AI2474" t="s">
        <v>8777</v>
      </c>
      <c r="AO2474" t="s">
        <v>6546</v>
      </c>
    </row>
    <row r="2475" spans="1:41" hidden="1" x14ac:dyDescent="0.35">
      <c r="A2475" t="s">
        <v>22075</v>
      </c>
      <c r="B2475" t="s">
        <v>7246</v>
      </c>
      <c r="C2475" t="s">
        <v>5613</v>
      </c>
      <c r="D2475" t="s">
        <v>5613</v>
      </c>
      <c r="E2475" t="s">
        <v>5613</v>
      </c>
      <c r="G2475" s="13" t="s">
        <v>16227</v>
      </c>
      <c r="H2475" t="s">
        <v>16228</v>
      </c>
      <c r="I2475" t="s">
        <v>22073</v>
      </c>
      <c r="K2475" t="s">
        <v>11729</v>
      </c>
      <c r="L2475" t="s">
        <v>11729</v>
      </c>
      <c r="M2475" t="s">
        <v>7292</v>
      </c>
      <c r="N2475">
        <v>2030</v>
      </c>
      <c r="T2475" t="s">
        <v>6546</v>
      </c>
      <c r="U2475" t="s">
        <v>6546</v>
      </c>
      <c r="V2475">
        <v>92</v>
      </c>
      <c r="W2475" t="s">
        <v>6546</v>
      </c>
      <c r="X2475">
        <v>92</v>
      </c>
      <c r="Y2475">
        <v>48</v>
      </c>
      <c r="Z2475" t="s">
        <v>7253</v>
      </c>
      <c r="AB2475" t="s">
        <v>15970</v>
      </c>
      <c r="AC2475" t="s">
        <v>8777</v>
      </c>
      <c r="AF2475" t="s">
        <v>14937</v>
      </c>
      <c r="AI2475" t="s">
        <v>8777</v>
      </c>
      <c r="AO2475" t="s">
        <v>6546</v>
      </c>
    </row>
    <row r="2476" spans="1:41" hidden="1" x14ac:dyDescent="0.35">
      <c r="A2476" t="s">
        <v>22076</v>
      </c>
      <c r="B2476" t="s">
        <v>7246</v>
      </c>
      <c r="C2476" t="s">
        <v>5566</v>
      </c>
      <c r="D2476" t="s">
        <v>5566</v>
      </c>
      <c r="E2476" t="s">
        <v>5566</v>
      </c>
      <c r="G2476" s="13" t="s">
        <v>15736</v>
      </c>
      <c r="H2476" t="s">
        <v>15737</v>
      </c>
      <c r="I2476" t="s">
        <v>22073</v>
      </c>
      <c r="K2476" t="s">
        <v>11559</v>
      </c>
      <c r="L2476" t="s">
        <v>11560</v>
      </c>
      <c r="M2476" t="s">
        <v>7292</v>
      </c>
      <c r="N2476">
        <v>2030</v>
      </c>
      <c r="T2476" t="s">
        <v>6546</v>
      </c>
      <c r="U2476" t="s">
        <v>6546</v>
      </c>
      <c r="V2476">
        <v>205</v>
      </c>
      <c r="W2476" t="s">
        <v>6546</v>
      </c>
      <c r="X2476">
        <v>205</v>
      </c>
      <c r="Y2476">
        <v>36</v>
      </c>
      <c r="Z2476" t="s">
        <v>7253</v>
      </c>
      <c r="AB2476" t="s">
        <v>1703</v>
      </c>
      <c r="AC2476" t="s">
        <v>8777</v>
      </c>
      <c r="AF2476" t="s">
        <v>15316</v>
      </c>
      <c r="AI2476" t="s">
        <v>8777</v>
      </c>
      <c r="AO2476" t="s">
        <v>6546</v>
      </c>
    </row>
    <row r="2477" spans="1:41" hidden="1" x14ac:dyDescent="0.35">
      <c r="A2477" t="s">
        <v>22077</v>
      </c>
      <c r="B2477" t="s">
        <v>7246</v>
      </c>
      <c r="C2477" t="s">
        <v>5566</v>
      </c>
      <c r="D2477" t="s">
        <v>5566</v>
      </c>
      <c r="E2477" t="s">
        <v>5566</v>
      </c>
      <c r="G2477" s="13" t="s">
        <v>20842</v>
      </c>
      <c r="H2477" t="s">
        <v>20843</v>
      </c>
      <c r="I2477" t="s">
        <v>22073</v>
      </c>
      <c r="K2477" t="s">
        <v>11559</v>
      </c>
      <c r="L2477" t="s">
        <v>11560</v>
      </c>
      <c r="M2477" t="s">
        <v>7292</v>
      </c>
      <c r="N2477">
        <v>2030</v>
      </c>
      <c r="T2477" t="s">
        <v>6546</v>
      </c>
      <c r="U2477" t="s">
        <v>6546</v>
      </c>
      <c r="V2477">
        <v>64</v>
      </c>
      <c r="W2477" t="s">
        <v>6546</v>
      </c>
      <c r="X2477">
        <v>64</v>
      </c>
      <c r="AB2477" t="s">
        <v>15733</v>
      </c>
      <c r="AC2477" t="s">
        <v>8777</v>
      </c>
      <c r="AF2477" t="s">
        <v>15316</v>
      </c>
      <c r="AI2477" t="s">
        <v>8777</v>
      </c>
      <c r="AO2477" t="s">
        <v>6546</v>
      </c>
    </row>
    <row r="2478" spans="1:41" hidden="1" x14ac:dyDescent="0.35">
      <c r="A2478" t="s">
        <v>22078</v>
      </c>
      <c r="B2478" t="s">
        <v>7246</v>
      </c>
      <c r="C2478" t="s">
        <v>5787</v>
      </c>
      <c r="D2478" t="s">
        <v>5787</v>
      </c>
      <c r="E2478" t="s">
        <v>5787</v>
      </c>
      <c r="G2478" s="13" t="s">
        <v>22079</v>
      </c>
      <c r="H2478" t="s">
        <v>16385</v>
      </c>
      <c r="I2478" t="s">
        <v>22073</v>
      </c>
      <c r="K2478" t="s">
        <v>11716</v>
      </c>
      <c r="L2478" t="s">
        <v>11717</v>
      </c>
      <c r="M2478" t="s">
        <v>7292</v>
      </c>
      <c r="N2478">
        <v>2028</v>
      </c>
      <c r="T2478" t="s">
        <v>6546</v>
      </c>
      <c r="U2478" t="s">
        <v>6546</v>
      </c>
      <c r="V2478" t="s">
        <v>6546</v>
      </c>
      <c r="W2478" t="s">
        <v>6546</v>
      </c>
      <c r="X2478" t="s">
        <v>6546</v>
      </c>
      <c r="AB2478" t="s">
        <v>15370</v>
      </c>
      <c r="AC2478" t="s">
        <v>8777</v>
      </c>
      <c r="AF2478" t="s">
        <v>15790</v>
      </c>
      <c r="AI2478" t="s">
        <v>8777</v>
      </c>
      <c r="AO2478" t="s">
        <v>6546</v>
      </c>
    </row>
    <row r="2479" spans="1:41" hidden="1" x14ac:dyDescent="0.35">
      <c r="A2479" t="s">
        <v>22080</v>
      </c>
      <c r="B2479" t="s">
        <v>7246</v>
      </c>
      <c r="C2479" t="s">
        <v>5787</v>
      </c>
      <c r="D2479" t="s">
        <v>5787</v>
      </c>
      <c r="E2479" t="s">
        <v>5787</v>
      </c>
      <c r="G2479" s="13" t="s">
        <v>22081</v>
      </c>
      <c r="H2479" t="s">
        <v>15628</v>
      </c>
      <c r="I2479" t="s">
        <v>22073</v>
      </c>
      <c r="K2479" t="s">
        <v>11716</v>
      </c>
      <c r="L2479" t="s">
        <v>11717</v>
      </c>
      <c r="M2479" t="s">
        <v>7292</v>
      </c>
      <c r="N2479">
        <v>2028</v>
      </c>
      <c r="T2479" t="s">
        <v>6546</v>
      </c>
      <c r="U2479" t="s">
        <v>6546</v>
      </c>
      <c r="V2479" t="s">
        <v>6546</v>
      </c>
      <c r="W2479" t="s">
        <v>6546</v>
      </c>
      <c r="X2479" t="s">
        <v>6546</v>
      </c>
      <c r="AB2479" t="s">
        <v>15624</v>
      </c>
      <c r="AC2479" t="s">
        <v>8777</v>
      </c>
      <c r="AF2479" t="s">
        <v>22082</v>
      </c>
      <c r="AI2479" t="s">
        <v>8777</v>
      </c>
      <c r="AO2479" t="s">
        <v>6546</v>
      </c>
    </row>
    <row r="2480" spans="1:41" hidden="1" x14ac:dyDescent="0.35">
      <c r="A2480" t="s">
        <v>22083</v>
      </c>
      <c r="B2480" t="s">
        <v>7246</v>
      </c>
      <c r="C2480" t="s">
        <v>5787</v>
      </c>
      <c r="D2480" t="s">
        <v>5787</v>
      </c>
      <c r="E2480" t="s">
        <v>5787</v>
      </c>
      <c r="G2480" s="13" t="s">
        <v>22084</v>
      </c>
      <c r="H2480" t="s">
        <v>16713</v>
      </c>
      <c r="I2480" t="s">
        <v>22073</v>
      </c>
      <c r="K2480" t="s">
        <v>11716</v>
      </c>
      <c r="L2480" t="s">
        <v>11717</v>
      </c>
      <c r="M2480" t="s">
        <v>7292</v>
      </c>
      <c r="N2480">
        <v>2026</v>
      </c>
      <c r="T2480" t="s">
        <v>6546</v>
      </c>
      <c r="U2480" t="s">
        <v>6546</v>
      </c>
      <c r="V2480">
        <v>44</v>
      </c>
      <c r="W2480" t="s">
        <v>6546</v>
      </c>
      <c r="X2480">
        <v>44</v>
      </c>
      <c r="Y2480">
        <v>36</v>
      </c>
      <c r="Z2480" t="s">
        <v>7253</v>
      </c>
      <c r="AB2480" t="s">
        <v>16416</v>
      </c>
      <c r="AC2480" t="s">
        <v>8777</v>
      </c>
      <c r="AF2480" t="s">
        <v>15797</v>
      </c>
      <c r="AI2480" t="s">
        <v>8777</v>
      </c>
      <c r="AO2480" t="s">
        <v>6546</v>
      </c>
    </row>
    <row r="2481" spans="1:41" hidden="1" x14ac:dyDescent="0.35">
      <c r="A2481" t="s">
        <v>22085</v>
      </c>
      <c r="B2481" t="s">
        <v>7246</v>
      </c>
      <c r="C2481" t="s">
        <v>5844</v>
      </c>
      <c r="D2481" t="s">
        <v>5705</v>
      </c>
      <c r="E2481" t="s">
        <v>22086</v>
      </c>
      <c r="G2481" s="13" t="s">
        <v>18879</v>
      </c>
      <c r="H2481" t="s">
        <v>18880</v>
      </c>
      <c r="I2481" t="s">
        <v>22073</v>
      </c>
      <c r="K2481" t="s">
        <v>13491</v>
      </c>
      <c r="L2481" t="s">
        <v>13492</v>
      </c>
      <c r="M2481" t="s">
        <v>7292</v>
      </c>
      <c r="N2481">
        <v>2030</v>
      </c>
      <c r="T2481" t="s">
        <v>6546</v>
      </c>
      <c r="U2481" t="s">
        <v>6546</v>
      </c>
      <c r="V2481">
        <v>71</v>
      </c>
      <c r="W2481" t="s">
        <v>6546</v>
      </c>
      <c r="X2481">
        <v>71</v>
      </c>
      <c r="Y2481">
        <v>36</v>
      </c>
      <c r="Z2481" t="s">
        <v>7253</v>
      </c>
      <c r="AB2481" t="s">
        <v>13925</v>
      </c>
      <c r="AC2481" t="s">
        <v>8777</v>
      </c>
      <c r="AF2481" t="s">
        <v>9801</v>
      </c>
      <c r="AI2481" t="s">
        <v>8777</v>
      </c>
      <c r="AO2481" t="s">
        <v>6546</v>
      </c>
    </row>
    <row r="2482" spans="1:41" hidden="1" x14ac:dyDescent="0.35">
      <c r="A2482" t="s">
        <v>22087</v>
      </c>
      <c r="B2482" t="s">
        <v>7246</v>
      </c>
      <c r="C2482" t="s">
        <v>5705</v>
      </c>
      <c r="D2482" t="s">
        <v>5705</v>
      </c>
      <c r="E2482" t="s">
        <v>5705</v>
      </c>
      <c r="G2482" s="13" t="s">
        <v>21848</v>
      </c>
      <c r="H2482" t="s">
        <v>21849</v>
      </c>
      <c r="I2482" t="s">
        <v>22073</v>
      </c>
      <c r="K2482" t="s">
        <v>13491</v>
      </c>
      <c r="L2482" t="s">
        <v>13492</v>
      </c>
      <c r="M2482" t="s">
        <v>7292</v>
      </c>
      <c r="N2482">
        <v>2030</v>
      </c>
      <c r="T2482" t="s">
        <v>6546</v>
      </c>
      <c r="U2482" t="s">
        <v>6546</v>
      </c>
      <c r="V2482">
        <v>46</v>
      </c>
      <c r="W2482" t="s">
        <v>6546</v>
      </c>
      <c r="X2482">
        <v>46</v>
      </c>
      <c r="Y2482">
        <v>48</v>
      </c>
      <c r="Z2482" t="s">
        <v>7253</v>
      </c>
      <c r="AB2482" t="s">
        <v>21850</v>
      </c>
      <c r="AC2482" t="s">
        <v>8777</v>
      </c>
      <c r="AF2482" t="s">
        <v>21851</v>
      </c>
      <c r="AI2482" t="s">
        <v>8777</v>
      </c>
      <c r="AO2482" t="s">
        <v>6546</v>
      </c>
    </row>
    <row r="2483" spans="1:41" hidden="1" x14ac:dyDescent="0.35">
      <c r="A2483" t="s">
        <v>22088</v>
      </c>
      <c r="B2483" t="s">
        <v>7246</v>
      </c>
      <c r="C2483" t="s">
        <v>5583</v>
      </c>
      <c r="D2483" t="s">
        <v>5583</v>
      </c>
      <c r="E2483" t="s">
        <v>5583</v>
      </c>
      <c r="G2483" s="13" t="s">
        <v>22089</v>
      </c>
      <c r="H2483" t="s">
        <v>16340</v>
      </c>
      <c r="I2483" t="s">
        <v>22073</v>
      </c>
      <c r="K2483" t="s">
        <v>11898</v>
      </c>
      <c r="L2483" t="s">
        <v>11899</v>
      </c>
      <c r="M2483" t="s">
        <v>7292</v>
      </c>
      <c r="N2483">
        <v>2030</v>
      </c>
      <c r="T2483" t="s">
        <v>6546</v>
      </c>
      <c r="U2483" t="s">
        <v>6546</v>
      </c>
      <c r="V2483" t="s">
        <v>6546</v>
      </c>
      <c r="W2483" t="s">
        <v>6546</v>
      </c>
      <c r="X2483" t="s">
        <v>6546</v>
      </c>
      <c r="Y2483">
        <v>900</v>
      </c>
      <c r="Z2483" t="s">
        <v>8842</v>
      </c>
      <c r="AB2483" t="s">
        <v>15949</v>
      </c>
      <c r="AC2483" t="s">
        <v>8777</v>
      </c>
      <c r="AF2483" t="s">
        <v>15615</v>
      </c>
      <c r="AI2483" t="s">
        <v>8777</v>
      </c>
      <c r="AO2483" t="s">
        <v>6546</v>
      </c>
    </row>
    <row r="2484" spans="1:41" hidden="1" x14ac:dyDescent="0.35">
      <c r="A2484" t="s">
        <v>22090</v>
      </c>
      <c r="B2484" t="s">
        <v>7246</v>
      </c>
      <c r="C2484" t="s">
        <v>5583</v>
      </c>
      <c r="D2484" t="s">
        <v>5694</v>
      </c>
      <c r="E2484" t="s">
        <v>20420</v>
      </c>
      <c r="G2484" s="13" t="s">
        <v>22091</v>
      </c>
      <c r="H2484" t="s">
        <v>22092</v>
      </c>
      <c r="K2484" t="s">
        <v>22093</v>
      </c>
      <c r="L2484" t="s">
        <v>22094</v>
      </c>
      <c r="M2484" t="s">
        <v>7292</v>
      </c>
      <c r="N2484">
        <v>2025</v>
      </c>
      <c r="T2484" t="s">
        <v>6546</v>
      </c>
      <c r="U2484" t="s">
        <v>6546</v>
      </c>
      <c r="V2484">
        <v>97</v>
      </c>
      <c r="W2484" t="s">
        <v>6546</v>
      </c>
      <c r="X2484">
        <v>97</v>
      </c>
      <c r="Y2484">
        <v>48</v>
      </c>
      <c r="Z2484" t="s">
        <v>7253</v>
      </c>
      <c r="AB2484" t="s">
        <v>5582</v>
      </c>
      <c r="AC2484" t="s">
        <v>8777</v>
      </c>
      <c r="AD2484" t="s">
        <v>22095</v>
      </c>
      <c r="AF2484" t="s">
        <v>1414</v>
      </c>
      <c r="AI2484" t="s">
        <v>8777</v>
      </c>
      <c r="AO2484" t="s">
        <v>6546</v>
      </c>
    </row>
    <row r="2485" spans="1:41" hidden="1" x14ac:dyDescent="0.35">
      <c r="A2485" t="s">
        <v>22096</v>
      </c>
      <c r="B2485" t="s">
        <v>7246</v>
      </c>
      <c r="C2485" t="s">
        <v>5694</v>
      </c>
      <c r="D2485" t="s">
        <v>5694</v>
      </c>
      <c r="E2485" t="s">
        <v>5694</v>
      </c>
      <c r="G2485" s="13" t="s">
        <v>22097</v>
      </c>
      <c r="H2485" t="s">
        <v>15929</v>
      </c>
      <c r="I2485" t="s">
        <v>22073</v>
      </c>
      <c r="K2485" t="s">
        <v>11736</v>
      </c>
      <c r="L2485" t="s">
        <v>11737</v>
      </c>
      <c r="M2485" t="s">
        <v>7292</v>
      </c>
      <c r="N2485">
        <v>2030</v>
      </c>
      <c r="T2485" t="s">
        <v>6546</v>
      </c>
      <c r="U2485" t="s">
        <v>6546</v>
      </c>
      <c r="V2485" t="s">
        <v>6546</v>
      </c>
      <c r="W2485" t="s">
        <v>6546</v>
      </c>
      <c r="X2485" t="s">
        <v>6546</v>
      </c>
      <c r="Y2485">
        <v>48</v>
      </c>
      <c r="Z2485" t="s">
        <v>7253</v>
      </c>
      <c r="AB2485" t="s">
        <v>22098</v>
      </c>
      <c r="AC2485" t="s">
        <v>8777</v>
      </c>
      <c r="AF2485" t="s">
        <v>15184</v>
      </c>
      <c r="AI2485" t="s">
        <v>8777</v>
      </c>
      <c r="AO2485" t="s">
        <v>6546</v>
      </c>
    </row>
    <row r="2486" spans="1:41" hidden="1" x14ac:dyDescent="0.35">
      <c r="A2486" t="s">
        <v>22099</v>
      </c>
      <c r="B2486" t="s">
        <v>7246</v>
      </c>
      <c r="C2486" t="s">
        <v>5705</v>
      </c>
      <c r="D2486" t="s">
        <v>5694</v>
      </c>
      <c r="E2486" t="s">
        <v>9489</v>
      </c>
      <c r="G2486" s="13" t="s">
        <v>20421</v>
      </c>
      <c r="H2486" t="s">
        <v>22100</v>
      </c>
      <c r="I2486" t="s">
        <v>22073</v>
      </c>
      <c r="K2486" t="s">
        <v>22093</v>
      </c>
      <c r="L2486" t="s">
        <v>22094</v>
      </c>
      <c r="M2486" t="s">
        <v>7292</v>
      </c>
      <c r="N2486">
        <v>2030</v>
      </c>
      <c r="T2486" t="s">
        <v>6546</v>
      </c>
      <c r="U2486" t="s">
        <v>6546</v>
      </c>
      <c r="V2486">
        <v>100</v>
      </c>
      <c r="W2486" t="s">
        <v>6546</v>
      </c>
      <c r="X2486">
        <v>100</v>
      </c>
      <c r="Y2486">
        <v>30</v>
      </c>
      <c r="Z2486" t="s">
        <v>7253</v>
      </c>
      <c r="AB2486" t="s">
        <v>15948</v>
      </c>
      <c r="AC2486" t="s">
        <v>8777</v>
      </c>
      <c r="AF2486" t="s">
        <v>22101</v>
      </c>
      <c r="AI2486" t="s">
        <v>8777</v>
      </c>
      <c r="AO2486" t="s">
        <v>6546</v>
      </c>
    </row>
    <row r="2487" spans="1:41" hidden="1" x14ac:dyDescent="0.35">
      <c r="A2487" t="s">
        <v>22102</v>
      </c>
      <c r="B2487" t="s">
        <v>7246</v>
      </c>
      <c r="C2487" t="s">
        <v>5694</v>
      </c>
      <c r="D2487" t="s">
        <v>5694</v>
      </c>
      <c r="E2487" t="s">
        <v>5694</v>
      </c>
      <c r="G2487" s="13" t="s">
        <v>22103</v>
      </c>
      <c r="H2487" t="s">
        <v>15182</v>
      </c>
      <c r="I2487" t="s">
        <v>22073</v>
      </c>
      <c r="K2487" t="s">
        <v>11736</v>
      </c>
      <c r="L2487" t="s">
        <v>11737</v>
      </c>
      <c r="M2487" t="s">
        <v>7292</v>
      </c>
      <c r="N2487">
        <v>2030</v>
      </c>
      <c r="T2487" t="s">
        <v>6546</v>
      </c>
      <c r="U2487" t="s">
        <v>6546</v>
      </c>
      <c r="V2487" t="s">
        <v>6546</v>
      </c>
      <c r="W2487" t="s">
        <v>6546</v>
      </c>
      <c r="X2487" t="s">
        <v>6546</v>
      </c>
      <c r="Y2487">
        <v>48</v>
      </c>
      <c r="Z2487" t="s">
        <v>7253</v>
      </c>
      <c r="AB2487" t="s">
        <v>15184</v>
      </c>
      <c r="AC2487" t="s">
        <v>8777</v>
      </c>
      <c r="AF2487" t="s">
        <v>15185</v>
      </c>
      <c r="AI2487" t="s">
        <v>8777</v>
      </c>
      <c r="AO2487" t="s">
        <v>6546</v>
      </c>
    </row>
    <row r="2488" spans="1:41" hidden="1" x14ac:dyDescent="0.35">
      <c r="A2488" t="s">
        <v>22104</v>
      </c>
      <c r="B2488" t="s">
        <v>7246</v>
      </c>
      <c r="C2488" t="s">
        <v>5694</v>
      </c>
      <c r="D2488" t="s">
        <v>5694</v>
      </c>
      <c r="E2488" t="s">
        <v>5694</v>
      </c>
      <c r="G2488" s="13" t="s">
        <v>22105</v>
      </c>
      <c r="H2488" t="s">
        <v>15388</v>
      </c>
      <c r="I2488" t="s">
        <v>22073</v>
      </c>
      <c r="K2488" t="s">
        <v>11736</v>
      </c>
      <c r="L2488" t="s">
        <v>11737</v>
      </c>
      <c r="M2488" t="s">
        <v>7292</v>
      </c>
      <c r="N2488">
        <v>2030</v>
      </c>
      <c r="T2488" t="s">
        <v>6546</v>
      </c>
      <c r="U2488" t="s">
        <v>6546</v>
      </c>
      <c r="V2488" t="s">
        <v>6546</v>
      </c>
      <c r="W2488" t="s">
        <v>6546</v>
      </c>
      <c r="X2488" t="s">
        <v>6546</v>
      </c>
      <c r="Y2488">
        <v>48</v>
      </c>
      <c r="Z2488" t="s">
        <v>7253</v>
      </c>
      <c r="AB2488" t="s">
        <v>15185</v>
      </c>
      <c r="AC2488" t="s">
        <v>8777</v>
      </c>
      <c r="AF2488" t="s">
        <v>15390</v>
      </c>
      <c r="AI2488" t="s">
        <v>8777</v>
      </c>
      <c r="AO2488" t="s">
        <v>6546</v>
      </c>
    </row>
    <row r="2489" spans="1:41" hidden="1" x14ac:dyDescent="0.35">
      <c r="A2489" t="s">
        <v>22106</v>
      </c>
      <c r="B2489" t="s">
        <v>7246</v>
      </c>
      <c r="C2489" t="s">
        <v>5714</v>
      </c>
      <c r="D2489" t="s">
        <v>5714</v>
      </c>
      <c r="E2489" t="s">
        <v>5714</v>
      </c>
      <c r="G2489" s="13" t="s">
        <v>21654</v>
      </c>
      <c r="H2489" t="s">
        <v>21655</v>
      </c>
      <c r="I2489" t="s">
        <v>22073</v>
      </c>
      <c r="K2489" t="s">
        <v>13601</v>
      </c>
      <c r="L2489" t="s">
        <v>13602</v>
      </c>
      <c r="M2489" t="s">
        <v>7292</v>
      </c>
      <c r="N2489">
        <v>2030</v>
      </c>
      <c r="T2489" t="s">
        <v>6546</v>
      </c>
      <c r="U2489" t="s">
        <v>6546</v>
      </c>
      <c r="V2489" t="s">
        <v>6546</v>
      </c>
      <c r="W2489" t="s">
        <v>6546</v>
      </c>
      <c r="X2489" t="s">
        <v>6546</v>
      </c>
      <c r="Y2489">
        <v>48</v>
      </c>
      <c r="Z2489" t="s">
        <v>7253</v>
      </c>
      <c r="AB2489" t="s">
        <v>21656</v>
      </c>
      <c r="AC2489" t="s">
        <v>8777</v>
      </c>
      <c r="AF2489" t="s">
        <v>21657</v>
      </c>
      <c r="AI2489" t="s">
        <v>8777</v>
      </c>
      <c r="AO2489" t="s">
        <v>6546</v>
      </c>
    </row>
    <row r="2490" spans="1:41" hidden="1" x14ac:dyDescent="0.35">
      <c r="A2490" t="s">
        <v>22107</v>
      </c>
      <c r="B2490" t="s">
        <v>7246</v>
      </c>
      <c r="C2490" t="s">
        <v>5714</v>
      </c>
      <c r="D2490" t="s">
        <v>5714</v>
      </c>
      <c r="E2490" t="s">
        <v>5714</v>
      </c>
      <c r="G2490" s="13" t="s">
        <v>21720</v>
      </c>
      <c r="H2490" t="s">
        <v>21721</v>
      </c>
      <c r="I2490" t="s">
        <v>22073</v>
      </c>
      <c r="K2490" t="s">
        <v>13601</v>
      </c>
      <c r="L2490" t="s">
        <v>13602</v>
      </c>
      <c r="M2490" t="s">
        <v>7292</v>
      </c>
      <c r="N2490">
        <v>2030</v>
      </c>
      <c r="T2490" t="s">
        <v>6546</v>
      </c>
      <c r="U2490" t="s">
        <v>6546</v>
      </c>
      <c r="V2490" t="s">
        <v>6546</v>
      </c>
      <c r="W2490" t="s">
        <v>6546</v>
      </c>
      <c r="X2490" t="s">
        <v>6546</v>
      </c>
      <c r="Y2490">
        <v>48</v>
      </c>
      <c r="Z2490" t="s">
        <v>7253</v>
      </c>
      <c r="AB2490" t="s">
        <v>18649</v>
      </c>
      <c r="AC2490" t="s">
        <v>8777</v>
      </c>
      <c r="AF2490" t="s">
        <v>21656</v>
      </c>
      <c r="AI2490" t="s">
        <v>8777</v>
      </c>
      <c r="AO2490" t="s">
        <v>6546</v>
      </c>
    </row>
    <row r="2491" spans="1:41" hidden="1" x14ac:dyDescent="0.35">
      <c r="A2491" t="s">
        <v>22108</v>
      </c>
      <c r="B2491" t="s">
        <v>7246</v>
      </c>
      <c r="C2491" t="s">
        <v>5714</v>
      </c>
      <c r="D2491" t="s">
        <v>5714</v>
      </c>
      <c r="E2491" t="s">
        <v>5714</v>
      </c>
      <c r="G2491" s="13" t="s">
        <v>21771</v>
      </c>
      <c r="H2491" t="s">
        <v>21772</v>
      </c>
      <c r="I2491" t="s">
        <v>22073</v>
      </c>
      <c r="K2491" t="s">
        <v>13601</v>
      </c>
      <c r="L2491" t="s">
        <v>13602</v>
      </c>
      <c r="M2491" t="s">
        <v>7292</v>
      </c>
      <c r="N2491">
        <v>2030</v>
      </c>
      <c r="T2491" t="s">
        <v>6546</v>
      </c>
      <c r="U2491" t="s">
        <v>6546</v>
      </c>
      <c r="V2491" t="s">
        <v>6546</v>
      </c>
      <c r="W2491" t="s">
        <v>6546</v>
      </c>
      <c r="X2491" t="s">
        <v>6546</v>
      </c>
      <c r="Y2491">
        <v>48</v>
      </c>
      <c r="Z2491" t="s">
        <v>7253</v>
      </c>
      <c r="AB2491" t="s">
        <v>21657</v>
      </c>
      <c r="AC2491" t="s">
        <v>8777</v>
      </c>
      <c r="AF2491" t="s">
        <v>16775</v>
      </c>
      <c r="AI2491" t="s">
        <v>8777</v>
      </c>
      <c r="AO2491" t="s">
        <v>6546</v>
      </c>
    </row>
    <row r="2492" spans="1:41" hidden="1" x14ac:dyDescent="0.35">
      <c r="A2492" t="s">
        <v>22109</v>
      </c>
      <c r="B2492" t="s">
        <v>7246</v>
      </c>
      <c r="C2492" t="s">
        <v>5714</v>
      </c>
      <c r="D2492" t="s">
        <v>5714</v>
      </c>
      <c r="E2492" t="s">
        <v>5714</v>
      </c>
      <c r="G2492" s="13" t="s">
        <v>22110</v>
      </c>
      <c r="H2492" t="s">
        <v>15893</v>
      </c>
      <c r="I2492" t="s">
        <v>22073</v>
      </c>
      <c r="K2492" t="s">
        <v>13601</v>
      </c>
      <c r="L2492" t="s">
        <v>13602</v>
      </c>
      <c r="M2492" t="s">
        <v>7292</v>
      </c>
      <c r="N2492">
        <v>2030</v>
      </c>
      <c r="T2492" t="s">
        <v>6546</v>
      </c>
      <c r="U2492" t="s">
        <v>6546</v>
      </c>
      <c r="V2492">
        <v>26</v>
      </c>
      <c r="W2492" t="s">
        <v>6546</v>
      </c>
      <c r="X2492">
        <v>26</v>
      </c>
      <c r="Y2492">
        <v>36</v>
      </c>
      <c r="Z2492" t="s">
        <v>7253</v>
      </c>
      <c r="AB2492" t="s">
        <v>15896</v>
      </c>
      <c r="AC2492" t="s">
        <v>8777</v>
      </c>
      <c r="AF2492" t="s">
        <v>15895</v>
      </c>
      <c r="AI2492" t="s">
        <v>8777</v>
      </c>
      <c r="AO2492" t="s">
        <v>6546</v>
      </c>
    </row>
    <row r="2493" spans="1:41" hidden="1" x14ac:dyDescent="0.35">
      <c r="A2493" t="s">
        <v>22111</v>
      </c>
      <c r="B2493" t="s">
        <v>7246</v>
      </c>
      <c r="C2493" t="s">
        <v>5714</v>
      </c>
      <c r="D2493" t="s">
        <v>5714</v>
      </c>
      <c r="E2493" t="s">
        <v>5714</v>
      </c>
      <c r="G2493" s="13" t="s">
        <v>22112</v>
      </c>
      <c r="H2493" t="s">
        <v>16171</v>
      </c>
      <c r="I2493" t="s">
        <v>22073</v>
      </c>
      <c r="K2493" t="s">
        <v>13601</v>
      </c>
      <c r="L2493" t="s">
        <v>13602</v>
      </c>
      <c r="M2493" t="s">
        <v>7292</v>
      </c>
      <c r="N2493">
        <v>2030</v>
      </c>
      <c r="T2493" t="s">
        <v>6546</v>
      </c>
      <c r="U2493" t="s">
        <v>6546</v>
      </c>
      <c r="V2493" t="s">
        <v>6546</v>
      </c>
      <c r="W2493" t="s">
        <v>6546</v>
      </c>
      <c r="X2493" t="s">
        <v>6546</v>
      </c>
      <c r="AB2493" t="s">
        <v>22113</v>
      </c>
      <c r="AC2493" t="s">
        <v>8777</v>
      </c>
      <c r="AF2493" t="s">
        <v>16173</v>
      </c>
      <c r="AI2493" t="s">
        <v>8777</v>
      </c>
      <c r="AO2493" t="s">
        <v>6546</v>
      </c>
    </row>
    <row r="2494" spans="1:41" hidden="1" x14ac:dyDescent="0.35">
      <c r="A2494" t="s">
        <v>22114</v>
      </c>
      <c r="B2494" t="s">
        <v>7246</v>
      </c>
      <c r="C2494" t="s">
        <v>5714</v>
      </c>
      <c r="D2494" t="s">
        <v>5714</v>
      </c>
      <c r="E2494" t="s">
        <v>5714</v>
      </c>
      <c r="G2494" s="13" t="s">
        <v>22115</v>
      </c>
      <c r="H2494" t="s">
        <v>16134</v>
      </c>
      <c r="I2494" t="s">
        <v>22073</v>
      </c>
      <c r="K2494" t="s">
        <v>13601</v>
      </c>
      <c r="L2494" t="s">
        <v>13602</v>
      </c>
      <c r="M2494" t="s">
        <v>7292</v>
      </c>
      <c r="N2494">
        <v>2030</v>
      </c>
      <c r="T2494" t="s">
        <v>6546</v>
      </c>
      <c r="U2494" t="s">
        <v>6546</v>
      </c>
      <c r="V2494" t="s">
        <v>6546</v>
      </c>
      <c r="W2494" t="s">
        <v>6546</v>
      </c>
      <c r="X2494" t="s">
        <v>6546</v>
      </c>
      <c r="AB2494" t="s">
        <v>15453</v>
      </c>
      <c r="AC2494" t="s">
        <v>8777</v>
      </c>
      <c r="AF2494" t="s">
        <v>15290</v>
      </c>
      <c r="AI2494" t="s">
        <v>8777</v>
      </c>
      <c r="AO2494" t="s">
        <v>6546</v>
      </c>
    </row>
    <row r="2495" spans="1:41" hidden="1" x14ac:dyDescent="0.35">
      <c r="A2495" t="s">
        <v>22116</v>
      </c>
      <c r="B2495" t="s">
        <v>7246</v>
      </c>
      <c r="C2495" t="s">
        <v>5714</v>
      </c>
      <c r="D2495" t="s">
        <v>5714</v>
      </c>
      <c r="E2495" t="s">
        <v>5714</v>
      </c>
      <c r="G2495" s="13" t="s">
        <v>22117</v>
      </c>
      <c r="H2495" t="s">
        <v>15288</v>
      </c>
      <c r="I2495" t="s">
        <v>22073</v>
      </c>
      <c r="K2495" t="s">
        <v>13601</v>
      </c>
      <c r="L2495" t="s">
        <v>13602</v>
      </c>
      <c r="M2495" t="s">
        <v>7292</v>
      </c>
      <c r="N2495">
        <v>2030</v>
      </c>
      <c r="T2495" t="s">
        <v>6546</v>
      </c>
      <c r="U2495" t="s">
        <v>6546</v>
      </c>
      <c r="V2495" t="s">
        <v>6546</v>
      </c>
      <c r="W2495" t="s">
        <v>6546</v>
      </c>
      <c r="X2495" t="s">
        <v>6546</v>
      </c>
      <c r="AB2495" t="s">
        <v>15290</v>
      </c>
      <c r="AC2495" t="s">
        <v>8777</v>
      </c>
      <c r="AF2495" t="s">
        <v>15178</v>
      </c>
      <c r="AI2495" t="s">
        <v>8777</v>
      </c>
      <c r="AO2495" t="s">
        <v>6546</v>
      </c>
    </row>
    <row r="2496" spans="1:41" hidden="1" x14ac:dyDescent="0.35">
      <c r="A2496" t="s">
        <v>22118</v>
      </c>
      <c r="B2496" t="s">
        <v>7246</v>
      </c>
      <c r="C2496" t="s">
        <v>451</v>
      </c>
      <c r="D2496" t="s">
        <v>451</v>
      </c>
      <c r="E2496" t="s">
        <v>451</v>
      </c>
      <c r="G2496" s="13" t="s">
        <v>22119</v>
      </c>
      <c r="H2496" t="s">
        <v>22120</v>
      </c>
      <c r="K2496" t="s">
        <v>6543</v>
      </c>
      <c r="L2496" t="s">
        <v>6543</v>
      </c>
      <c r="M2496" t="s">
        <v>7250</v>
      </c>
      <c r="R2496">
        <v>300000</v>
      </c>
      <c r="S2496" t="s">
        <v>7251</v>
      </c>
      <c r="T2496">
        <v>3102.82</v>
      </c>
      <c r="U2496">
        <v>1444000.34</v>
      </c>
      <c r="V2496">
        <v>27.36</v>
      </c>
      <c r="W2496" t="s">
        <v>6546</v>
      </c>
      <c r="X2496">
        <v>27.36</v>
      </c>
      <c r="Y2496">
        <v>20</v>
      </c>
      <c r="Z2496" t="s">
        <v>7253</v>
      </c>
      <c r="AC2496" t="s">
        <v>7255</v>
      </c>
      <c r="AE2496" t="s">
        <v>486</v>
      </c>
      <c r="AH2496" t="s">
        <v>486</v>
      </c>
      <c r="AI2496" t="s">
        <v>7255</v>
      </c>
      <c r="AO2496" t="s">
        <v>6546</v>
      </c>
    </row>
    <row r="2497" spans="1:41" hidden="1" x14ac:dyDescent="0.35">
      <c r="A2497" t="s">
        <v>22121</v>
      </c>
      <c r="B2497" t="s">
        <v>7246</v>
      </c>
      <c r="C2497" t="s">
        <v>451</v>
      </c>
      <c r="D2497" t="s">
        <v>451</v>
      </c>
      <c r="E2497" t="s">
        <v>451</v>
      </c>
      <c r="G2497" s="13" t="s">
        <v>22122</v>
      </c>
      <c r="H2497" t="s">
        <v>22123</v>
      </c>
      <c r="K2497" t="s">
        <v>6543</v>
      </c>
      <c r="L2497" t="s">
        <v>6543</v>
      </c>
      <c r="M2497" t="s">
        <v>7250</v>
      </c>
      <c r="N2497">
        <v>2007</v>
      </c>
      <c r="R2497">
        <v>450000</v>
      </c>
      <c r="S2497" t="s">
        <v>7251</v>
      </c>
      <c r="T2497">
        <v>4654.2299999999996</v>
      </c>
      <c r="U2497">
        <v>2166000.5</v>
      </c>
      <c r="V2497">
        <v>96.56</v>
      </c>
      <c r="W2497" t="s">
        <v>6546</v>
      </c>
      <c r="X2497">
        <v>96.56</v>
      </c>
      <c r="Y2497">
        <v>24</v>
      </c>
      <c r="Z2497" t="s">
        <v>7253</v>
      </c>
      <c r="AC2497" t="s">
        <v>7255</v>
      </c>
      <c r="AE2497" t="s">
        <v>486</v>
      </c>
      <c r="AH2497" t="s">
        <v>486</v>
      </c>
      <c r="AI2497" t="s">
        <v>7255</v>
      </c>
      <c r="AO2497" t="s">
        <v>6546</v>
      </c>
    </row>
    <row r="2498" spans="1:41" hidden="1" x14ac:dyDescent="0.35">
      <c r="A2498" t="s">
        <v>22124</v>
      </c>
      <c r="B2498" t="s">
        <v>7246</v>
      </c>
      <c r="C2498" t="s">
        <v>9477</v>
      </c>
      <c r="D2498" t="s">
        <v>9477</v>
      </c>
      <c r="E2498" t="s">
        <v>9477</v>
      </c>
      <c r="G2498" s="13" t="s">
        <v>13613</v>
      </c>
      <c r="H2498" t="s">
        <v>13614</v>
      </c>
      <c r="I2498" t="s">
        <v>22073</v>
      </c>
      <c r="K2498" t="s">
        <v>13615</v>
      </c>
      <c r="L2498" t="s">
        <v>13616</v>
      </c>
      <c r="M2498" t="s">
        <v>7292</v>
      </c>
      <c r="N2498">
        <v>2030</v>
      </c>
      <c r="T2498" t="s">
        <v>6546</v>
      </c>
      <c r="U2498" t="s">
        <v>6546</v>
      </c>
      <c r="V2498" t="s">
        <v>6546</v>
      </c>
      <c r="W2498" t="s">
        <v>6546</v>
      </c>
      <c r="X2498" t="s">
        <v>6546</v>
      </c>
      <c r="AB2498" t="s">
        <v>3485</v>
      </c>
      <c r="AC2498" t="s">
        <v>8777</v>
      </c>
      <c r="AF2498" t="s">
        <v>13617</v>
      </c>
      <c r="AI2498" t="s">
        <v>8777</v>
      </c>
      <c r="AO2498" t="s">
        <v>6546</v>
      </c>
    </row>
    <row r="2499" spans="1:41" hidden="1" x14ac:dyDescent="0.35">
      <c r="A2499" t="s">
        <v>22125</v>
      </c>
      <c r="B2499" t="s">
        <v>7246</v>
      </c>
      <c r="C2499" t="s">
        <v>451</v>
      </c>
      <c r="D2499" t="s">
        <v>451</v>
      </c>
      <c r="E2499" t="s">
        <v>451</v>
      </c>
      <c r="G2499" s="13" t="s">
        <v>17222</v>
      </c>
      <c r="H2499" t="s">
        <v>17223</v>
      </c>
      <c r="I2499" t="s">
        <v>22126</v>
      </c>
      <c r="K2499" t="s">
        <v>17224</v>
      </c>
      <c r="L2499" t="s">
        <v>7652</v>
      </c>
      <c r="M2499" t="s">
        <v>7292</v>
      </c>
      <c r="N2499">
        <v>2022</v>
      </c>
      <c r="R2499">
        <v>10</v>
      </c>
      <c r="S2499" t="s">
        <v>7251</v>
      </c>
      <c r="T2499">
        <v>0.1</v>
      </c>
      <c r="U2499">
        <v>48.13</v>
      </c>
      <c r="V2499">
        <v>0</v>
      </c>
      <c r="W2499" t="s">
        <v>6546</v>
      </c>
      <c r="X2499">
        <v>0</v>
      </c>
      <c r="AC2499" t="s">
        <v>7255</v>
      </c>
      <c r="AE2499" t="s">
        <v>941</v>
      </c>
      <c r="AH2499" t="s">
        <v>941</v>
      </c>
      <c r="AI2499" t="s">
        <v>7255</v>
      </c>
      <c r="AO2499" t="s">
        <v>6546</v>
      </c>
    </row>
    <row r="2500" spans="1:41" hidden="1" x14ac:dyDescent="0.35">
      <c r="A2500" t="s">
        <v>22127</v>
      </c>
      <c r="B2500" t="s">
        <v>7246</v>
      </c>
      <c r="C2500" t="s">
        <v>5599</v>
      </c>
      <c r="D2500" t="s">
        <v>5599</v>
      </c>
      <c r="E2500" t="s">
        <v>5599</v>
      </c>
      <c r="G2500" s="13" t="s">
        <v>22128</v>
      </c>
      <c r="H2500" t="s">
        <v>15838</v>
      </c>
      <c r="I2500" t="s">
        <v>22073</v>
      </c>
      <c r="K2500" t="s">
        <v>15840</v>
      </c>
      <c r="L2500" t="s">
        <v>15840</v>
      </c>
      <c r="M2500" t="s">
        <v>7292</v>
      </c>
      <c r="N2500">
        <v>2027</v>
      </c>
      <c r="O2500">
        <v>2030</v>
      </c>
      <c r="R2500">
        <v>1.67</v>
      </c>
      <c r="S2500" t="s">
        <v>8257</v>
      </c>
      <c r="T2500">
        <v>1.67</v>
      </c>
      <c r="U2500">
        <v>777.19</v>
      </c>
      <c r="V2500">
        <v>92</v>
      </c>
      <c r="W2500" t="s">
        <v>6546</v>
      </c>
      <c r="X2500">
        <v>92</v>
      </c>
      <c r="Y2500">
        <v>36</v>
      </c>
      <c r="Z2500" t="s">
        <v>7253</v>
      </c>
      <c r="AA2500" t="s">
        <v>22129</v>
      </c>
      <c r="AB2500" t="s">
        <v>1721</v>
      </c>
      <c r="AC2500" t="s">
        <v>8777</v>
      </c>
      <c r="AF2500" t="s">
        <v>9393</v>
      </c>
      <c r="AI2500" t="s">
        <v>8777</v>
      </c>
      <c r="AO2500" t="s">
        <v>6546</v>
      </c>
    </row>
    <row r="2501" spans="1:41" hidden="1" x14ac:dyDescent="0.35">
      <c r="A2501" t="s">
        <v>22130</v>
      </c>
      <c r="B2501" t="s">
        <v>7246</v>
      </c>
      <c r="C2501" t="s">
        <v>5599</v>
      </c>
      <c r="D2501" t="s">
        <v>5599</v>
      </c>
      <c r="E2501" t="s">
        <v>5599</v>
      </c>
      <c r="G2501" s="13" t="s">
        <v>22131</v>
      </c>
      <c r="H2501" t="s">
        <v>16106</v>
      </c>
      <c r="I2501" t="s">
        <v>22073</v>
      </c>
      <c r="K2501" t="s">
        <v>15840</v>
      </c>
      <c r="L2501" t="s">
        <v>15840</v>
      </c>
      <c r="M2501" t="s">
        <v>7292</v>
      </c>
      <c r="N2501">
        <v>2027</v>
      </c>
      <c r="O2501">
        <v>2030</v>
      </c>
      <c r="R2501">
        <v>1.67</v>
      </c>
      <c r="S2501" t="s">
        <v>8257</v>
      </c>
      <c r="T2501">
        <v>1.67</v>
      </c>
      <c r="U2501">
        <v>777.19</v>
      </c>
      <c r="V2501">
        <v>158</v>
      </c>
      <c r="W2501" t="s">
        <v>6546</v>
      </c>
      <c r="X2501">
        <v>158</v>
      </c>
      <c r="AA2501" t="s">
        <v>22129</v>
      </c>
      <c r="AB2501" t="s">
        <v>15883</v>
      </c>
      <c r="AC2501" t="s">
        <v>8777</v>
      </c>
      <c r="AF2501" t="s">
        <v>1721</v>
      </c>
      <c r="AI2501" t="s">
        <v>8777</v>
      </c>
      <c r="AO2501" t="s">
        <v>6546</v>
      </c>
    </row>
    <row r="2502" spans="1:41" hidden="1" x14ac:dyDescent="0.35">
      <c r="A2502" t="s">
        <v>22132</v>
      </c>
      <c r="B2502" t="s">
        <v>7246</v>
      </c>
      <c r="C2502" t="s">
        <v>5599</v>
      </c>
      <c r="D2502" t="s">
        <v>5599</v>
      </c>
      <c r="E2502" t="s">
        <v>5599</v>
      </c>
      <c r="G2502" s="13" t="s">
        <v>22133</v>
      </c>
      <c r="H2502" t="s">
        <v>16111</v>
      </c>
      <c r="I2502" t="s">
        <v>22073</v>
      </c>
      <c r="K2502" t="s">
        <v>15840</v>
      </c>
      <c r="L2502" t="s">
        <v>15840</v>
      </c>
      <c r="M2502" t="s">
        <v>7292</v>
      </c>
      <c r="N2502">
        <v>2027</v>
      </c>
      <c r="O2502">
        <v>2030</v>
      </c>
      <c r="R2502">
        <v>1.67</v>
      </c>
      <c r="S2502" t="s">
        <v>8257</v>
      </c>
      <c r="T2502">
        <v>1.67</v>
      </c>
      <c r="U2502">
        <v>777.19</v>
      </c>
      <c r="V2502">
        <v>146</v>
      </c>
      <c r="W2502" t="s">
        <v>6546</v>
      </c>
      <c r="X2502">
        <v>146</v>
      </c>
      <c r="AA2502" t="s">
        <v>22129</v>
      </c>
      <c r="AB2502" t="s">
        <v>15883</v>
      </c>
      <c r="AC2502" t="s">
        <v>8777</v>
      </c>
      <c r="AF2502" t="s">
        <v>16113</v>
      </c>
      <c r="AI2502" t="s">
        <v>8777</v>
      </c>
      <c r="AO2502" t="s">
        <v>6546</v>
      </c>
    </row>
    <row r="2503" spans="1:41" hidden="1" x14ac:dyDescent="0.35">
      <c r="A2503" t="s">
        <v>22134</v>
      </c>
      <c r="B2503" t="s">
        <v>7246</v>
      </c>
      <c r="C2503" t="s">
        <v>5599</v>
      </c>
      <c r="D2503" t="s">
        <v>5599</v>
      </c>
      <c r="E2503" t="s">
        <v>5599</v>
      </c>
      <c r="G2503" s="13" t="s">
        <v>22135</v>
      </c>
      <c r="H2503" t="s">
        <v>15881</v>
      </c>
      <c r="I2503" t="s">
        <v>22073</v>
      </c>
      <c r="K2503" t="s">
        <v>15840</v>
      </c>
      <c r="L2503" t="s">
        <v>15840</v>
      </c>
      <c r="M2503" t="s">
        <v>7292</v>
      </c>
      <c r="N2503">
        <v>2027</v>
      </c>
      <c r="O2503">
        <v>2030</v>
      </c>
      <c r="R2503">
        <v>1.67</v>
      </c>
      <c r="S2503" t="s">
        <v>8257</v>
      </c>
      <c r="T2503">
        <v>1.67</v>
      </c>
      <c r="U2503">
        <v>777.19</v>
      </c>
      <c r="V2503" t="s">
        <v>6546</v>
      </c>
      <c r="W2503" t="s">
        <v>6546</v>
      </c>
      <c r="X2503" t="s">
        <v>6546</v>
      </c>
      <c r="AA2503" t="s">
        <v>22129</v>
      </c>
      <c r="AB2503" t="s">
        <v>5598</v>
      </c>
      <c r="AC2503" t="s">
        <v>8777</v>
      </c>
      <c r="AF2503" t="s">
        <v>15883</v>
      </c>
      <c r="AI2503" t="s">
        <v>8777</v>
      </c>
      <c r="AO2503" t="s">
        <v>6546</v>
      </c>
    </row>
    <row r="2504" spans="1:41" hidden="1" x14ac:dyDescent="0.35">
      <c r="A2504" t="s">
        <v>22136</v>
      </c>
      <c r="B2504" t="s">
        <v>7246</v>
      </c>
      <c r="C2504" t="s">
        <v>5861</v>
      </c>
      <c r="D2504" t="s">
        <v>5861</v>
      </c>
      <c r="E2504" t="s">
        <v>5861</v>
      </c>
      <c r="G2504" s="13" t="s">
        <v>22137</v>
      </c>
      <c r="H2504" t="s">
        <v>22138</v>
      </c>
      <c r="K2504" t="s">
        <v>6543</v>
      </c>
      <c r="L2504" t="s">
        <v>6543</v>
      </c>
      <c r="M2504" t="s">
        <v>7292</v>
      </c>
      <c r="N2504">
        <v>2025</v>
      </c>
      <c r="T2504" t="s">
        <v>6546</v>
      </c>
      <c r="U2504" t="s">
        <v>6546</v>
      </c>
      <c r="V2504">
        <v>35</v>
      </c>
      <c r="W2504" t="s">
        <v>6546</v>
      </c>
      <c r="X2504">
        <v>35</v>
      </c>
      <c r="AB2504" t="s">
        <v>22139</v>
      </c>
      <c r="AC2504" t="s">
        <v>8777</v>
      </c>
      <c r="AE2504" t="s">
        <v>13689</v>
      </c>
      <c r="AF2504" t="s">
        <v>22140</v>
      </c>
      <c r="AI2504" t="s">
        <v>8777</v>
      </c>
      <c r="AO2504" t="s">
        <v>6546</v>
      </c>
    </row>
    <row r="2505" spans="1:41" hidden="1" x14ac:dyDescent="0.35">
      <c r="A2505" t="s">
        <v>22141</v>
      </c>
      <c r="B2505" t="s">
        <v>7246</v>
      </c>
      <c r="C2505" t="s">
        <v>9388</v>
      </c>
      <c r="D2505" t="s">
        <v>5775</v>
      </c>
      <c r="E2505" t="s">
        <v>9408</v>
      </c>
      <c r="G2505" s="13" t="s">
        <v>22142</v>
      </c>
      <c r="H2505" t="s">
        <v>9410</v>
      </c>
      <c r="I2505" t="s">
        <v>22073</v>
      </c>
      <c r="K2505" t="s">
        <v>13615</v>
      </c>
      <c r="L2505" t="s">
        <v>13616</v>
      </c>
      <c r="M2505" t="s">
        <v>7292</v>
      </c>
      <c r="N2505">
        <v>2030</v>
      </c>
      <c r="T2505" t="s">
        <v>6546</v>
      </c>
      <c r="U2505" t="s">
        <v>6546</v>
      </c>
      <c r="V2505" t="s">
        <v>6546</v>
      </c>
      <c r="W2505" t="s">
        <v>6546</v>
      </c>
      <c r="X2505" t="s">
        <v>6546</v>
      </c>
      <c r="AB2505" t="s">
        <v>9414</v>
      </c>
      <c r="AC2505" t="s">
        <v>8777</v>
      </c>
      <c r="AE2505" t="s">
        <v>9415</v>
      </c>
      <c r="AF2505" t="s">
        <v>9416</v>
      </c>
      <c r="AI2505" t="s">
        <v>8777</v>
      </c>
      <c r="AO2505" t="s">
        <v>6546</v>
      </c>
    </row>
    <row r="2506" spans="1:41" hidden="1" x14ac:dyDescent="0.35">
      <c r="A2506" t="s">
        <v>22143</v>
      </c>
      <c r="B2506" t="s">
        <v>7246</v>
      </c>
      <c r="C2506" t="s">
        <v>5643</v>
      </c>
      <c r="D2506" t="s">
        <v>5643</v>
      </c>
      <c r="E2506" t="s">
        <v>5643</v>
      </c>
      <c r="G2506" s="13" t="s">
        <v>22144</v>
      </c>
      <c r="H2506" t="s">
        <v>22145</v>
      </c>
      <c r="K2506" t="s">
        <v>13452</v>
      </c>
      <c r="L2506" t="s">
        <v>13453</v>
      </c>
      <c r="M2506" t="s">
        <v>7292</v>
      </c>
      <c r="N2506">
        <v>2030</v>
      </c>
      <c r="T2506" t="s">
        <v>6546</v>
      </c>
      <c r="U2506" t="s">
        <v>6546</v>
      </c>
      <c r="V2506">
        <v>159</v>
      </c>
      <c r="W2506">
        <v>195.59</v>
      </c>
      <c r="X2506">
        <v>159</v>
      </c>
      <c r="Y2506">
        <v>24</v>
      </c>
      <c r="Z2506" t="s">
        <v>7253</v>
      </c>
      <c r="AB2506" t="s">
        <v>22146</v>
      </c>
      <c r="AC2506" t="s">
        <v>8777</v>
      </c>
      <c r="AF2506" t="s">
        <v>16248</v>
      </c>
      <c r="AI2506" t="s">
        <v>8777</v>
      </c>
      <c r="AO2506" t="s">
        <v>22147</v>
      </c>
    </row>
    <row r="2507" spans="1:41" hidden="1" x14ac:dyDescent="0.35">
      <c r="A2507" t="s">
        <v>22148</v>
      </c>
      <c r="B2507" t="s">
        <v>7246</v>
      </c>
      <c r="C2507" t="s">
        <v>5643</v>
      </c>
      <c r="D2507" t="s">
        <v>5643</v>
      </c>
      <c r="E2507" t="s">
        <v>5643</v>
      </c>
      <c r="G2507" s="13" t="s">
        <v>22149</v>
      </c>
      <c r="H2507" t="s">
        <v>22150</v>
      </c>
      <c r="K2507" t="s">
        <v>13452</v>
      </c>
      <c r="L2507" t="s">
        <v>13453</v>
      </c>
      <c r="M2507" t="s">
        <v>7292</v>
      </c>
      <c r="N2507">
        <v>2030</v>
      </c>
      <c r="T2507" t="s">
        <v>6546</v>
      </c>
      <c r="U2507" t="s">
        <v>6546</v>
      </c>
      <c r="V2507">
        <v>91</v>
      </c>
      <c r="W2507">
        <v>111.09</v>
      </c>
      <c r="X2507">
        <v>91</v>
      </c>
      <c r="Y2507">
        <v>36</v>
      </c>
      <c r="Z2507" t="s">
        <v>7253</v>
      </c>
      <c r="AB2507" t="s">
        <v>9609</v>
      </c>
      <c r="AC2507" t="s">
        <v>8777</v>
      </c>
      <c r="AF2507" t="s">
        <v>22151</v>
      </c>
      <c r="AI2507" t="s">
        <v>8777</v>
      </c>
      <c r="AO2507" t="s">
        <v>22152</v>
      </c>
    </row>
    <row r="2508" spans="1:41" hidden="1" x14ac:dyDescent="0.35">
      <c r="A2508" t="s">
        <v>22153</v>
      </c>
      <c r="B2508" t="s">
        <v>7246</v>
      </c>
      <c r="C2508" t="s">
        <v>5583</v>
      </c>
      <c r="D2508" t="s">
        <v>5583</v>
      </c>
      <c r="E2508" t="s">
        <v>5583</v>
      </c>
      <c r="G2508" s="13" t="s">
        <v>22154</v>
      </c>
      <c r="H2508" t="s">
        <v>22155</v>
      </c>
      <c r="K2508" t="s">
        <v>11898</v>
      </c>
      <c r="L2508" t="s">
        <v>11899</v>
      </c>
      <c r="M2508" t="s">
        <v>7292</v>
      </c>
      <c r="N2508">
        <v>2030</v>
      </c>
      <c r="T2508" t="s">
        <v>6546</v>
      </c>
      <c r="U2508" t="s">
        <v>6546</v>
      </c>
      <c r="V2508" t="s">
        <v>6546</v>
      </c>
      <c r="W2508">
        <v>321.37</v>
      </c>
      <c r="X2508">
        <v>321.37</v>
      </c>
      <c r="Y2508">
        <v>48</v>
      </c>
      <c r="Z2508" t="s">
        <v>7253</v>
      </c>
      <c r="AB2508" t="s">
        <v>15615</v>
      </c>
      <c r="AC2508" t="s">
        <v>8777</v>
      </c>
      <c r="AF2508" t="s">
        <v>22156</v>
      </c>
      <c r="AI2508" t="s">
        <v>8777</v>
      </c>
      <c r="AO2508" t="s">
        <v>22157</v>
      </c>
    </row>
    <row r="2509" spans="1:41" hidden="1" x14ac:dyDescent="0.35">
      <c r="A2509" t="s">
        <v>22158</v>
      </c>
      <c r="B2509" t="s">
        <v>7246</v>
      </c>
      <c r="C2509" t="s">
        <v>5714</v>
      </c>
      <c r="D2509" t="s">
        <v>5714</v>
      </c>
      <c r="E2509" t="s">
        <v>5714</v>
      </c>
      <c r="G2509" s="13" t="s">
        <v>22159</v>
      </c>
      <c r="H2509" t="s">
        <v>22160</v>
      </c>
      <c r="K2509" t="s">
        <v>13601</v>
      </c>
      <c r="L2509" t="s">
        <v>13602</v>
      </c>
      <c r="M2509" t="s">
        <v>7292</v>
      </c>
      <c r="N2509">
        <v>2030</v>
      </c>
      <c r="T2509" t="s">
        <v>6546</v>
      </c>
      <c r="U2509" t="s">
        <v>6546</v>
      </c>
      <c r="V2509">
        <v>79</v>
      </c>
      <c r="W2509">
        <v>106.92</v>
      </c>
      <c r="X2509">
        <v>79</v>
      </c>
      <c r="Y2509">
        <v>36</v>
      </c>
      <c r="Z2509" t="s">
        <v>7253</v>
      </c>
      <c r="AB2509" t="s">
        <v>21759</v>
      </c>
      <c r="AC2509" t="s">
        <v>8777</v>
      </c>
      <c r="AF2509" t="s">
        <v>3450</v>
      </c>
      <c r="AI2509" t="s">
        <v>8777</v>
      </c>
      <c r="AO2509" t="s">
        <v>22161</v>
      </c>
    </row>
    <row r="2510" spans="1:41" hidden="1" x14ac:dyDescent="0.35">
      <c r="A2510" t="s">
        <v>22162</v>
      </c>
      <c r="B2510" t="s">
        <v>7246</v>
      </c>
      <c r="C2510" t="s">
        <v>451</v>
      </c>
      <c r="D2510" t="s">
        <v>451</v>
      </c>
      <c r="E2510" t="s">
        <v>451</v>
      </c>
      <c r="G2510" s="13" t="s">
        <v>7426</v>
      </c>
      <c r="H2510" t="s">
        <v>7427</v>
      </c>
      <c r="I2510" t="s">
        <v>22163</v>
      </c>
      <c r="K2510" t="s">
        <v>7429</v>
      </c>
      <c r="L2510" t="s">
        <v>7320</v>
      </c>
      <c r="M2510" t="s">
        <v>7292</v>
      </c>
      <c r="N2510">
        <v>2022</v>
      </c>
      <c r="R2510">
        <v>350</v>
      </c>
      <c r="S2510" t="s">
        <v>7251</v>
      </c>
      <c r="T2510">
        <v>3.62</v>
      </c>
      <c r="U2510">
        <v>1684.67</v>
      </c>
      <c r="V2510">
        <v>0</v>
      </c>
      <c r="W2510" t="s">
        <v>6546</v>
      </c>
      <c r="X2510">
        <v>0</v>
      </c>
      <c r="AC2510" t="s">
        <v>7255</v>
      </c>
      <c r="AE2510" t="s">
        <v>6373</v>
      </c>
      <c r="AH2510" t="s">
        <v>6373</v>
      </c>
      <c r="AI2510" t="s">
        <v>7255</v>
      </c>
      <c r="AO2510" t="s">
        <v>6546</v>
      </c>
    </row>
    <row r="2511" spans="1:41" hidden="1" x14ac:dyDescent="0.35">
      <c r="A2511" t="s">
        <v>22164</v>
      </c>
      <c r="B2511" t="s">
        <v>7246</v>
      </c>
      <c r="C2511" t="s">
        <v>451</v>
      </c>
      <c r="D2511" t="s">
        <v>451</v>
      </c>
      <c r="E2511" t="s">
        <v>451</v>
      </c>
      <c r="G2511" s="13" t="s">
        <v>7426</v>
      </c>
      <c r="H2511" t="s">
        <v>7427</v>
      </c>
      <c r="I2511" t="s">
        <v>22165</v>
      </c>
      <c r="K2511" t="s">
        <v>7429</v>
      </c>
      <c r="L2511" t="s">
        <v>7320</v>
      </c>
      <c r="M2511" t="s">
        <v>7292</v>
      </c>
      <c r="N2511">
        <v>2023</v>
      </c>
      <c r="T2511" t="s">
        <v>6546</v>
      </c>
      <c r="U2511" t="s">
        <v>6546</v>
      </c>
      <c r="V2511">
        <v>22.53</v>
      </c>
      <c r="W2511" t="s">
        <v>6546</v>
      </c>
      <c r="X2511">
        <v>22.53</v>
      </c>
      <c r="Y2511">
        <v>24</v>
      </c>
      <c r="Z2511" t="s">
        <v>7253</v>
      </c>
      <c r="AC2511" t="s">
        <v>7255</v>
      </c>
      <c r="AE2511" t="s">
        <v>513</v>
      </c>
      <c r="AH2511" t="s">
        <v>533</v>
      </c>
      <c r="AI2511" t="s">
        <v>7255</v>
      </c>
      <c r="AO2511" t="s">
        <v>6546</v>
      </c>
    </row>
    <row r="2512" spans="1:41" hidden="1" x14ac:dyDescent="0.35">
      <c r="A2512" t="s">
        <v>22166</v>
      </c>
      <c r="B2512" t="s">
        <v>7246</v>
      </c>
      <c r="C2512" t="s">
        <v>451</v>
      </c>
      <c r="D2512" t="s">
        <v>451</v>
      </c>
      <c r="E2512" t="s">
        <v>451</v>
      </c>
      <c r="G2512" s="13" t="s">
        <v>7426</v>
      </c>
      <c r="H2512" t="s">
        <v>7427</v>
      </c>
      <c r="I2512" t="s">
        <v>22167</v>
      </c>
      <c r="K2512" t="s">
        <v>6543</v>
      </c>
      <c r="L2512" t="s">
        <v>6543</v>
      </c>
      <c r="M2512" t="s">
        <v>7292</v>
      </c>
      <c r="N2512">
        <v>2022</v>
      </c>
      <c r="T2512" t="s">
        <v>6546</v>
      </c>
      <c r="U2512" t="s">
        <v>6546</v>
      </c>
      <c r="V2512">
        <v>0.8</v>
      </c>
      <c r="W2512" t="s">
        <v>6546</v>
      </c>
      <c r="X2512">
        <v>0.8</v>
      </c>
      <c r="Y2512">
        <v>30</v>
      </c>
      <c r="Z2512" t="s">
        <v>7253</v>
      </c>
      <c r="AC2512" t="s">
        <v>7255</v>
      </c>
      <c r="AE2512" t="s">
        <v>530</v>
      </c>
      <c r="AH2512" t="s">
        <v>530</v>
      </c>
      <c r="AI2512" t="s">
        <v>7255</v>
      </c>
      <c r="AO2512" t="s">
        <v>6546</v>
      </c>
    </row>
    <row r="2513" spans="1:41" hidden="1" x14ac:dyDescent="0.35">
      <c r="A2513" t="s">
        <v>22168</v>
      </c>
      <c r="B2513" t="s">
        <v>7246</v>
      </c>
      <c r="C2513" t="s">
        <v>451</v>
      </c>
      <c r="D2513" t="s">
        <v>451</v>
      </c>
      <c r="E2513" t="s">
        <v>451</v>
      </c>
      <c r="G2513" s="13" t="s">
        <v>22169</v>
      </c>
      <c r="H2513" t="s">
        <v>22170</v>
      </c>
      <c r="K2513" t="s">
        <v>22171</v>
      </c>
      <c r="L2513" t="s">
        <v>22172</v>
      </c>
      <c r="M2513" t="s">
        <v>7292</v>
      </c>
      <c r="N2513">
        <v>2022</v>
      </c>
      <c r="T2513" t="s">
        <v>6546</v>
      </c>
      <c r="U2513" t="s">
        <v>6546</v>
      </c>
      <c r="V2513" t="s">
        <v>6546</v>
      </c>
      <c r="W2513" t="s">
        <v>6546</v>
      </c>
      <c r="X2513" t="s">
        <v>6546</v>
      </c>
      <c r="AC2513" t="s">
        <v>7255</v>
      </c>
      <c r="AE2513" t="s">
        <v>556</v>
      </c>
      <c r="AH2513" t="s">
        <v>556</v>
      </c>
      <c r="AI2513" t="s">
        <v>7255</v>
      </c>
      <c r="AO2513" t="s">
        <v>6546</v>
      </c>
    </row>
    <row r="2514" spans="1:41" hidden="1" x14ac:dyDescent="0.35">
      <c r="A2514" t="s">
        <v>22173</v>
      </c>
      <c r="B2514" t="s">
        <v>7246</v>
      </c>
      <c r="C2514" t="s">
        <v>451</v>
      </c>
      <c r="D2514" t="s">
        <v>451</v>
      </c>
      <c r="E2514" t="s">
        <v>451</v>
      </c>
      <c r="G2514" s="13" t="s">
        <v>22169</v>
      </c>
      <c r="H2514" t="s">
        <v>22170</v>
      </c>
      <c r="I2514" t="s">
        <v>22174</v>
      </c>
      <c r="K2514" t="s">
        <v>22171</v>
      </c>
      <c r="L2514" t="s">
        <v>22172</v>
      </c>
      <c r="M2514" t="s">
        <v>7292</v>
      </c>
      <c r="N2514">
        <v>2022</v>
      </c>
      <c r="T2514" t="s">
        <v>6546</v>
      </c>
      <c r="U2514" t="s">
        <v>6546</v>
      </c>
      <c r="V2514">
        <v>3.22</v>
      </c>
      <c r="W2514" t="s">
        <v>6546</v>
      </c>
      <c r="X2514">
        <v>3.22</v>
      </c>
      <c r="Y2514">
        <v>10</v>
      </c>
      <c r="Z2514" t="s">
        <v>7253</v>
      </c>
      <c r="AC2514" t="s">
        <v>7255</v>
      </c>
      <c r="AE2514" t="s">
        <v>556</v>
      </c>
      <c r="AH2514" t="s">
        <v>556</v>
      </c>
      <c r="AI2514" t="s">
        <v>7255</v>
      </c>
      <c r="AO2514" t="s">
        <v>6546</v>
      </c>
    </row>
    <row r="2515" spans="1:41" hidden="1" x14ac:dyDescent="0.35">
      <c r="A2515" t="s">
        <v>22175</v>
      </c>
      <c r="B2515" t="s">
        <v>7246</v>
      </c>
      <c r="C2515" t="s">
        <v>451</v>
      </c>
      <c r="D2515" t="s">
        <v>451</v>
      </c>
      <c r="E2515" t="s">
        <v>451</v>
      </c>
      <c r="G2515" s="13" t="s">
        <v>22169</v>
      </c>
      <c r="H2515" t="s">
        <v>22170</v>
      </c>
      <c r="I2515" t="s">
        <v>22176</v>
      </c>
      <c r="K2515" t="s">
        <v>22171</v>
      </c>
      <c r="L2515" t="s">
        <v>22172</v>
      </c>
      <c r="M2515" t="s">
        <v>7292</v>
      </c>
      <c r="N2515">
        <v>2022</v>
      </c>
      <c r="T2515" t="s">
        <v>6546</v>
      </c>
      <c r="U2515" t="s">
        <v>6546</v>
      </c>
      <c r="V2515">
        <v>6.44</v>
      </c>
      <c r="W2515" t="s">
        <v>6546</v>
      </c>
      <c r="X2515">
        <v>6.44</v>
      </c>
      <c r="Y2515">
        <v>12</v>
      </c>
      <c r="Z2515" t="s">
        <v>7253</v>
      </c>
      <c r="AC2515" t="s">
        <v>7255</v>
      </c>
      <c r="AE2515" t="s">
        <v>556</v>
      </c>
      <c r="AH2515" t="s">
        <v>556</v>
      </c>
      <c r="AI2515" t="s">
        <v>7255</v>
      </c>
      <c r="AO2515" t="s">
        <v>6546</v>
      </c>
    </row>
    <row r="2516" spans="1:41" hidden="1" x14ac:dyDescent="0.35">
      <c r="A2516" t="s">
        <v>22177</v>
      </c>
      <c r="B2516" t="s">
        <v>7246</v>
      </c>
      <c r="C2516" t="s">
        <v>451</v>
      </c>
      <c r="D2516" t="s">
        <v>451</v>
      </c>
      <c r="E2516" t="s">
        <v>451</v>
      </c>
      <c r="G2516" s="13" t="s">
        <v>17063</v>
      </c>
      <c r="H2516" t="s">
        <v>17064</v>
      </c>
      <c r="I2516" t="s">
        <v>22178</v>
      </c>
      <c r="K2516" t="s">
        <v>17067</v>
      </c>
      <c r="L2516" t="s">
        <v>17068</v>
      </c>
      <c r="M2516" t="s">
        <v>7269</v>
      </c>
      <c r="R2516">
        <v>250</v>
      </c>
      <c r="S2516" t="s">
        <v>7251</v>
      </c>
      <c r="T2516">
        <v>2.59</v>
      </c>
      <c r="U2516">
        <v>1203.33</v>
      </c>
      <c r="V2516">
        <v>33.799999999999997</v>
      </c>
      <c r="W2516" t="s">
        <v>6546</v>
      </c>
      <c r="X2516">
        <v>33.799999999999997</v>
      </c>
      <c r="AC2516" t="s">
        <v>7255</v>
      </c>
      <c r="AE2516" t="s">
        <v>634</v>
      </c>
      <c r="AH2516" t="s">
        <v>634</v>
      </c>
      <c r="AI2516" t="s">
        <v>7255</v>
      </c>
      <c r="AO2516" t="s">
        <v>6546</v>
      </c>
    </row>
    <row r="2517" spans="1:41" hidden="1" x14ac:dyDescent="0.35">
      <c r="A2517" t="s">
        <v>22179</v>
      </c>
      <c r="B2517" t="s">
        <v>7246</v>
      </c>
      <c r="C2517" t="s">
        <v>451</v>
      </c>
      <c r="D2517" t="s">
        <v>451</v>
      </c>
      <c r="E2517" t="s">
        <v>451</v>
      </c>
      <c r="G2517" s="13" t="s">
        <v>7801</v>
      </c>
      <c r="H2517" t="s">
        <v>7802</v>
      </c>
      <c r="I2517" t="s">
        <v>22180</v>
      </c>
      <c r="K2517" t="s">
        <v>7380</v>
      </c>
      <c r="L2517" t="s">
        <v>7380</v>
      </c>
      <c r="M2517" t="s">
        <v>7415</v>
      </c>
      <c r="N2517">
        <v>2022</v>
      </c>
      <c r="R2517">
        <v>60</v>
      </c>
      <c r="S2517" t="s">
        <v>7251</v>
      </c>
      <c r="T2517">
        <v>0.62</v>
      </c>
      <c r="U2517">
        <v>288.8</v>
      </c>
      <c r="V2517">
        <v>0</v>
      </c>
      <c r="W2517" t="s">
        <v>6546</v>
      </c>
      <c r="X2517">
        <v>0</v>
      </c>
      <c r="AC2517" t="s">
        <v>7255</v>
      </c>
      <c r="AE2517" t="s">
        <v>486</v>
      </c>
      <c r="AH2517" t="s">
        <v>486</v>
      </c>
      <c r="AI2517" t="s">
        <v>7255</v>
      </c>
      <c r="AO2517" t="s">
        <v>6546</v>
      </c>
    </row>
    <row r="2518" spans="1:41" hidden="1" x14ac:dyDescent="0.35">
      <c r="A2518" t="s">
        <v>22181</v>
      </c>
      <c r="B2518" t="s">
        <v>7246</v>
      </c>
      <c r="C2518" t="s">
        <v>451</v>
      </c>
      <c r="D2518" t="s">
        <v>451</v>
      </c>
      <c r="E2518" t="s">
        <v>451</v>
      </c>
      <c r="G2518" s="13" t="s">
        <v>22182</v>
      </c>
      <c r="H2518" t="s">
        <v>22183</v>
      </c>
      <c r="K2518" t="s">
        <v>22184</v>
      </c>
      <c r="L2518" t="s">
        <v>22185</v>
      </c>
      <c r="M2518" t="s">
        <v>7292</v>
      </c>
      <c r="N2518">
        <v>2024</v>
      </c>
      <c r="R2518">
        <v>350</v>
      </c>
      <c r="S2518" t="s">
        <v>7251</v>
      </c>
      <c r="T2518">
        <v>3.62</v>
      </c>
      <c r="U2518">
        <v>1684.67</v>
      </c>
      <c r="V2518">
        <v>9.66</v>
      </c>
      <c r="W2518" t="s">
        <v>6546</v>
      </c>
      <c r="X2518">
        <v>9.66</v>
      </c>
      <c r="Y2518" t="s">
        <v>19931</v>
      </c>
      <c r="Z2518" t="s">
        <v>7253</v>
      </c>
      <c r="AC2518" t="s">
        <v>7255</v>
      </c>
      <c r="AE2518" t="s">
        <v>533</v>
      </c>
      <c r="AH2518" t="s">
        <v>533</v>
      </c>
      <c r="AI2518" t="s">
        <v>7255</v>
      </c>
      <c r="AO2518" t="s">
        <v>6546</v>
      </c>
    </row>
    <row r="2519" spans="1:41" hidden="1" x14ac:dyDescent="0.35">
      <c r="A2519" t="s">
        <v>22186</v>
      </c>
      <c r="B2519" t="s">
        <v>7246</v>
      </c>
      <c r="C2519" t="s">
        <v>451</v>
      </c>
      <c r="D2519" t="s">
        <v>451</v>
      </c>
      <c r="E2519" t="s">
        <v>451</v>
      </c>
      <c r="G2519" s="13" t="s">
        <v>22187</v>
      </c>
      <c r="H2519" t="s">
        <v>22188</v>
      </c>
      <c r="K2519" t="s">
        <v>22189</v>
      </c>
      <c r="L2519" t="s">
        <v>22189</v>
      </c>
      <c r="M2519" t="s">
        <v>7292</v>
      </c>
      <c r="R2519">
        <v>2</v>
      </c>
      <c r="S2519" t="s">
        <v>7251</v>
      </c>
      <c r="T2519">
        <v>0.02</v>
      </c>
      <c r="U2519">
        <v>9.6300000000000008</v>
      </c>
      <c r="V2519">
        <v>80.47</v>
      </c>
      <c r="W2519" t="s">
        <v>6546</v>
      </c>
      <c r="X2519">
        <v>80.47</v>
      </c>
      <c r="Y2519">
        <v>8</v>
      </c>
      <c r="Z2519" t="s">
        <v>7253</v>
      </c>
      <c r="AC2519" t="s">
        <v>7255</v>
      </c>
      <c r="AI2519" t="s">
        <v>7255</v>
      </c>
      <c r="AO2519" t="s">
        <v>6546</v>
      </c>
    </row>
    <row r="2520" spans="1:41" hidden="1" x14ac:dyDescent="0.35">
      <c r="A2520" t="s">
        <v>22190</v>
      </c>
      <c r="B2520" t="s">
        <v>7246</v>
      </c>
      <c r="C2520" t="s">
        <v>451</v>
      </c>
      <c r="D2520" t="s">
        <v>451</v>
      </c>
      <c r="E2520" t="s">
        <v>451</v>
      </c>
      <c r="G2520" s="13" t="s">
        <v>7727</v>
      </c>
      <c r="H2520" t="s">
        <v>7728</v>
      </c>
      <c r="I2520" t="s">
        <v>22191</v>
      </c>
      <c r="K2520" t="s">
        <v>7729</v>
      </c>
      <c r="L2520" t="s">
        <v>7730</v>
      </c>
      <c r="M2520" t="s">
        <v>7731</v>
      </c>
      <c r="N2520">
        <v>2023</v>
      </c>
      <c r="R2520">
        <v>1000</v>
      </c>
      <c r="S2520" t="s">
        <v>7251</v>
      </c>
      <c r="T2520">
        <v>10.34</v>
      </c>
      <c r="U2520">
        <v>4813.33</v>
      </c>
      <c r="V2520">
        <v>0</v>
      </c>
      <c r="W2520" t="s">
        <v>6546</v>
      </c>
      <c r="X2520">
        <v>0</v>
      </c>
      <c r="AC2520" t="s">
        <v>7255</v>
      </c>
      <c r="AI2520" t="s">
        <v>7255</v>
      </c>
      <c r="AO2520" t="s">
        <v>6546</v>
      </c>
    </row>
    <row r="2521" spans="1:41" hidden="1" x14ac:dyDescent="0.35">
      <c r="A2521" t="s">
        <v>22192</v>
      </c>
      <c r="B2521" t="s">
        <v>7246</v>
      </c>
      <c r="C2521" t="s">
        <v>451</v>
      </c>
      <c r="D2521" t="s">
        <v>451</v>
      </c>
      <c r="E2521" t="s">
        <v>451</v>
      </c>
      <c r="G2521" s="13" t="s">
        <v>22193</v>
      </c>
      <c r="H2521" t="s">
        <v>22194</v>
      </c>
      <c r="K2521" t="s">
        <v>22195</v>
      </c>
      <c r="L2521" t="s">
        <v>22196</v>
      </c>
      <c r="M2521" t="s">
        <v>7292</v>
      </c>
      <c r="T2521" t="s">
        <v>6546</v>
      </c>
      <c r="U2521" t="s">
        <v>6546</v>
      </c>
      <c r="V2521" t="s">
        <v>6546</v>
      </c>
      <c r="W2521" t="s">
        <v>6546</v>
      </c>
      <c r="X2521" t="s">
        <v>6546</v>
      </c>
      <c r="AC2521" t="s">
        <v>7255</v>
      </c>
      <c r="AE2521" t="s">
        <v>643</v>
      </c>
      <c r="AH2521" t="s">
        <v>643</v>
      </c>
      <c r="AI2521" t="s">
        <v>7255</v>
      </c>
      <c r="AO2521" t="s">
        <v>6546</v>
      </c>
    </row>
    <row r="2522" spans="1:41" hidden="1" x14ac:dyDescent="0.35">
      <c r="A2522" t="s">
        <v>22197</v>
      </c>
      <c r="B2522" t="s">
        <v>7246</v>
      </c>
      <c r="C2522" t="s">
        <v>451</v>
      </c>
      <c r="D2522" t="s">
        <v>451</v>
      </c>
      <c r="E2522" t="s">
        <v>451</v>
      </c>
      <c r="G2522" s="13" t="s">
        <v>14735</v>
      </c>
      <c r="H2522" t="s">
        <v>14736</v>
      </c>
      <c r="I2522" t="s">
        <v>22198</v>
      </c>
      <c r="K2522" t="s">
        <v>14738</v>
      </c>
      <c r="L2522" t="s">
        <v>7652</v>
      </c>
      <c r="M2522" t="s">
        <v>7292</v>
      </c>
      <c r="N2522">
        <v>2023</v>
      </c>
      <c r="R2522">
        <v>0</v>
      </c>
      <c r="S2522" t="s">
        <v>7251</v>
      </c>
      <c r="T2522">
        <v>0</v>
      </c>
      <c r="U2522">
        <v>0</v>
      </c>
      <c r="V2522">
        <v>9.66</v>
      </c>
      <c r="W2522" t="s">
        <v>6546</v>
      </c>
      <c r="X2522">
        <v>9.66</v>
      </c>
      <c r="AC2522" t="s">
        <v>7255</v>
      </c>
      <c r="AE2522" t="s">
        <v>755</v>
      </c>
      <c r="AH2522" t="s">
        <v>755</v>
      </c>
      <c r="AI2522" t="s">
        <v>7255</v>
      </c>
      <c r="AO2522" t="s">
        <v>6546</v>
      </c>
    </row>
    <row r="2523" spans="1:41" hidden="1" x14ac:dyDescent="0.35">
      <c r="A2523" t="s">
        <v>22199</v>
      </c>
      <c r="B2523" t="s">
        <v>7246</v>
      </c>
      <c r="C2523" t="s">
        <v>451</v>
      </c>
      <c r="D2523" t="s">
        <v>451</v>
      </c>
      <c r="E2523" t="s">
        <v>451</v>
      </c>
      <c r="G2523" s="13" t="s">
        <v>14735</v>
      </c>
      <c r="H2523" t="s">
        <v>14736</v>
      </c>
      <c r="I2523" t="s">
        <v>22200</v>
      </c>
      <c r="K2523" t="s">
        <v>14738</v>
      </c>
      <c r="L2523" t="s">
        <v>7652</v>
      </c>
      <c r="M2523" t="s">
        <v>7415</v>
      </c>
      <c r="N2523">
        <v>2022</v>
      </c>
      <c r="R2523">
        <v>0</v>
      </c>
      <c r="S2523" t="s">
        <v>7251</v>
      </c>
      <c r="T2523">
        <v>0</v>
      </c>
      <c r="U2523">
        <v>0</v>
      </c>
      <c r="V2523">
        <v>14.81</v>
      </c>
      <c r="W2523" t="s">
        <v>6546</v>
      </c>
      <c r="X2523">
        <v>14.81</v>
      </c>
      <c r="Y2523">
        <v>6</v>
      </c>
      <c r="Z2523" t="s">
        <v>7253</v>
      </c>
      <c r="AC2523" t="s">
        <v>7255</v>
      </c>
      <c r="AE2523" t="s">
        <v>755</v>
      </c>
      <c r="AH2523" t="s">
        <v>755</v>
      </c>
      <c r="AI2523" t="s">
        <v>7255</v>
      </c>
      <c r="AO2523" t="s">
        <v>6546</v>
      </c>
    </row>
    <row r="2524" spans="1:41" hidden="1" x14ac:dyDescent="0.35">
      <c r="A2524" t="s">
        <v>22201</v>
      </c>
      <c r="B2524" t="s">
        <v>7246</v>
      </c>
      <c r="C2524" t="s">
        <v>451</v>
      </c>
      <c r="D2524" t="s">
        <v>451</v>
      </c>
      <c r="E2524" t="s">
        <v>451</v>
      </c>
      <c r="G2524" s="13" t="s">
        <v>14735</v>
      </c>
      <c r="H2524" t="s">
        <v>14736</v>
      </c>
      <c r="I2524" t="s">
        <v>22202</v>
      </c>
      <c r="K2524" t="s">
        <v>14738</v>
      </c>
      <c r="L2524" t="s">
        <v>7652</v>
      </c>
      <c r="M2524" t="s">
        <v>7292</v>
      </c>
      <c r="N2524">
        <v>2023</v>
      </c>
      <c r="R2524">
        <v>0</v>
      </c>
      <c r="S2524" t="s">
        <v>7251</v>
      </c>
      <c r="T2524">
        <v>0</v>
      </c>
      <c r="U2524">
        <v>0</v>
      </c>
      <c r="V2524">
        <v>22.53</v>
      </c>
      <c r="W2524" t="s">
        <v>6546</v>
      </c>
      <c r="X2524">
        <v>22.53</v>
      </c>
      <c r="Y2524">
        <v>20</v>
      </c>
      <c r="Z2524" t="s">
        <v>7253</v>
      </c>
      <c r="AC2524" t="s">
        <v>7255</v>
      </c>
      <c r="AE2524" t="s">
        <v>755</v>
      </c>
      <c r="AH2524" t="s">
        <v>755</v>
      </c>
      <c r="AI2524" t="s">
        <v>7255</v>
      </c>
      <c r="AO2524" t="s">
        <v>6546</v>
      </c>
    </row>
    <row r="2525" spans="1:41" hidden="1" x14ac:dyDescent="0.35">
      <c r="A2525" t="s">
        <v>22203</v>
      </c>
      <c r="B2525" t="s">
        <v>7246</v>
      </c>
      <c r="C2525" t="s">
        <v>451</v>
      </c>
      <c r="D2525" t="s">
        <v>451</v>
      </c>
      <c r="E2525" t="s">
        <v>451</v>
      </c>
      <c r="G2525" s="13" t="s">
        <v>14735</v>
      </c>
      <c r="H2525" t="s">
        <v>14736</v>
      </c>
      <c r="I2525" t="s">
        <v>22204</v>
      </c>
      <c r="K2525" t="s">
        <v>14738</v>
      </c>
      <c r="L2525" t="s">
        <v>7652</v>
      </c>
      <c r="M2525" t="s">
        <v>7415</v>
      </c>
      <c r="N2525">
        <v>2022</v>
      </c>
      <c r="R2525">
        <v>0</v>
      </c>
      <c r="S2525" t="s">
        <v>7251</v>
      </c>
      <c r="T2525">
        <v>0</v>
      </c>
      <c r="U2525">
        <v>0</v>
      </c>
      <c r="V2525">
        <v>136.79</v>
      </c>
      <c r="W2525" t="s">
        <v>6546</v>
      </c>
      <c r="X2525">
        <v>136.79</v>
      </c>
      <c r="Y2525">
        <v>12</v>
      </c>
      <c r="Z2525" t="s">
        <v>7253</v>
      </c>
      <c r="AC2525" t="s">
        <v>7255</v>
      </c>
      <c r="AE2525" t="s">
        <v>22205</v>
      </c>
      <c r="AH2525" t="s">
        <v>757</v>
      </c>
      <c r="AI2525" t="s">
        <v>7255</v>
      </c>
      <c r="AO2525" t="s">
        <v>6546</v>
      </c>
    </row>
    <row r="2526" spans="1:41" hidden="1" x14ac:dyDescent="0.35">
      <c r="A2526" t="s">
        <v>22206</v>
      </c>
      <c r="B2526" t="s">
        <v>7246</v>
      </c>
      <c r="C2526" t="s">
        <v>5802</v>
      </c>
      <c r="D2526" t="s">
        <v>5802</v>
      </c>
      <c r="E2526" t="s">
        <v>5802</v>
      </c>
      <c r="G2526" s="13" t="s">
        <v>22207</v>
      </c>
      <c r="H2526" t="s">
        <v>22208</v>
      </c>
      <c r="K2526" t="s">
        <v>22209</v>
      </c>
      <c r="L2526" t="s">
        <v>22209</v>
      </c>
      <c r="M2526" t="s">
        <v>7292</v>
      </c>
      <c r="T2526" t="s">
        <v>6546</v>
      </c>
      <c r="U2526" t="s">
        <v>6546</v>
      </c>
      <c r="V2526">
        <v>140</v>
      </c>
      <c r="W2526">
        <v>247.1</v>
      </c>
      <c r="X2526">
        <v>140</v>
      </c>
      <c r="Y2526">
        <v>1000</v>
      </c>
      <c r="Z2526" t="s">
        <v>8842</v>
      </c>
      <c r="AB2526" t="s">
        <v>19256</v>
      </c>
      <c r="AC2526" t="s">
        <v>8777</v>
      </c>
      <c r="AF2526" t="s">
        <v>11196</v>
      </c>
      <c r="AI2526" t="s">
        <v>8777</v>
      </c>
      <c r="AJ2526" t="s">
        <v>6407</v>
      </c>
      <c r="AK2526">
        <v>2022</v>
      </c>
      <c r="AO2526" t="s">
        <v>22210</v>
      </c>
    </row>
    <row r="2527" spans="1:41" hidden="1" x14ac:dyDescent="0.35">
      <c r="A2527" t="s">
        <v>22211</v>
      </c>
      <c r="B2527" t="s">
        <v>7246</v>
      </c>
      <c r="C2527" t="s">
        <v>5643</v>
      </c>
      <c r="D2527" t="s">
        <v>5643</v>
      </c>
      <c r="E2527" t="s">
        <v>5643</v>
      </c>
      <c r="G2527" s="13" t="s">
        <v>11847</v>
      </c>
      <c r="H2527" t="s">
        <v>11848</v>
      </c>
      <c r="I2527" t="s">
        <v>12727</v>
      </c>
      <c r="K2527" t="s">
        <v>11849</v>
      </c>
      <c r="L2527" t="s">
        <v>11850</v>
      </c>
      <c r="M2527" t="s">
        <v>7292</v>
      </c>
      <c r="T2527" t="s">
        <v>6546</v>
      </c>
      <c r="U2527" t="s">
        <v>6546</v>
      </c>
      <c r="V2527" t="s">
        <v>6546</v>
      </c>
      <c r="W2527" t="s">
        <v>6546</v>
      </c>
      <c r="X2527" t="s">
        <v>6546</v>
      </c>
      <c r="Y2527">
        <v>1000</v>
      </c>
      <c r="Z2527" t="s">
        <v>8842</v>
      </c>
      <c r="AB2527" t="s">
        <v>11851</v>
      </c>
      <c r="AC2527" t="s">
        <v>8777</v>
      </c>
      <c r="AF2527" t="s">
        <v>11852</v>
      </c>
      <c r="AI2527" t="s">
        <v>8777</v>
      </c>
      <c r="AJ2527" t="s">
        <v>6407</v>
      </c>
      <c r="AK2527">
        <v>2022</v>
      </c>
      <c r="AO2527" t="s">
        <v>6546</v>
      </c>
    </row>
    <row r="2528" spans="1:41" hidden="1" x14ac:dyDescent="0.35">
      <c r="A2528" t="s">
        <v>22212</v>
      </c>
      <c r="B2528" t="s">
        <v>7246</v>
      </c>
      <c r="C2528" t="s">
        <v>5861</v>
      </c>
      <c r="D2528" t="s">
        <v>5714</v>
      </c>
      <c r="E2528" t="s">
        <v>22213</v>
      </c>
      <c r="G2528" s="13" t="s">
        <v>22214</v>
      </c>
      <c r="H2528" t="s">
        <v>22215</v>
      </c>
      <c r="K2528" t="s">
        <v>22216</v>
      </c>
      <c r="L2528" t="s">
        <v>22216</v>
      </c>
      <c r="M2528" t="s">
        <v>7292</v>
      </c>
      <c r="R2528">
        <v>30</v>
      </c>
      <c r="S2528" t="s">
        <v>8257</v>
      </c>
      <c r="T2528">
        <v>30</v>
      </c>
      <c r="U2528">
        <v>13961.5</v>
      </c>
      <c r="V2528">
        <v>700</v>
      </c>
      <c r="W2528" t="s">
        <v>6546</v>
      </c>
      <c r="X2528">
        <v>700</v>
      </c>
      <c r="Y2528">
        <v>1000</v>
      </c>
      <c r="Z2528" t="s">
        <v>8842</v>
      </c>
      <c r="AC2528" t="s">
        <v>8777</v>
      </c>
      <c r="AI2528" t="s">
        <v>8777</v>
      </c>
      <c r="AJ2528" t="s">
        <v>9032</v>
      </c>
      <c r="AO2528" t="s">
        <v>6546</v>
      </c>
    </row>
    <row r="2529" spans="1:41" hidden="1" x14ac:dyDescent="0.35">
      <c r="A2529" t="s">
        <v>22217</v>
      </c>
      <c r="B2529" t="s">
        <v>7246</v>
      </c>
      <c r="C2529" t="s">
        <v>5583</v>
      </c>
      <c r="D2529" t="s">
        <v>5583</v>
      </c>
      <c r="E2529" t="s">
        <v>5583</v>
      </c>
      <c r="G2529" s="13" t="s">
        <v>22218</v>
      </c>
      <c r="H2529" t="s">
        <v>22219</v>
      </c>
      <c r="K2529" t="s">
        <v>22220</v>
      </c>
      <c r="L2529" t="s">
        <v>22221</v>
      </c>
      <c r="M2529" t="s">
        <v>7292</v>
      </c>
      <c r="T2529" t="s">
        <v>6546</v>
      </c>
      <c r="U2529" t="s">
        <v>6546</v>
      </c>
      <c r="V2529">
        <v>63</v>
      </c>
      <c r="W2529">
        <v>54.15</v>
      </c>
      <c r="X2529">
        <v>63</v>
      </c>
      <c r="Y2529">
        <v>1200</v>
      </c>
      <c r="Z2529" t="s">
        <v>8842</v>
      </c>
      <c r="AB2529" t="s">
        <v>22222</v>
      </c>
      <c r="AC2529" t="s">
        <v>8777</v>
      </c>
      <c r="AF2529" t="s">
        <v>22223</v>
      </c>
      <c r="AI2529" t="s">
        <v>8777</v>
      </c>
      <c r="AJ2529" t="s">
        <v>9032</v>
      </c>
      <c r="AO2529" t="s">
        <v>22224</v>
      </c>
    </row>
    <row r="2530" spans="1:41" hidden="1" x14ac:dyDescent="0.35">
      <c r="A2530" t="s">
        <v>22225</v>
      </c>
      <c r="B2530" t="s">
        <v>7246</v>
      </c>
      <c r="C2530" t="s">
        <v>5925</v>
      </c>
      <c r="D2530" t="s">
        <v>683</v>
      </c>
      <c r="E2530" t="s">
        <v>22226</v>
      </c>
      <c r="G2530" s="13" t="s">
        <v>10045</v>
      </c>
      <c r="H2530" t="s">
        <v>10046</v>
      </c>
      <c r="I2530" t="s">
        <v>10097</v>
      </c>
      <c r="K2530" t="s">
        <v>10048</v>
      </c>
      <c r="L2530" t="s">
        <v>10049</v>
      </c>
      <c r="M2530" t="s">
        <v>7292</v>
      </c>
      <c r="R2530">
        <v>5</v>
      </c>
      <c r="S2530" t="s">
        <v>8257</v>
      </c>
      <c r="T2530">
        <v>5</v>
      </c>
      <c r="U2530">
        <v>2326.92</v>
      </c>
      <c r="V2530">
        <v>93</v>
      </c>
      <c r="W2530" t="s">
        <v>6546</v>
      </c>
      <c r="X2530">
        <v>93</v>
      </c>
      <c r="Y2530">
        <v>1200</v>
      </c>
      <c r="Z2530" t="s">
        <v>8842</v>
      </c>
      <c r="AC2530" t="s">
        <v>8777</v>
      </c>
      <c r="AI2530" t="s">
        <v>8844</v>
      </c>
      <c r="AJ2530" t="s">
        <v>9032</v>
      </c>
      <c r="AO2530" t="s">
        <v>6546</v>
      </c>
    </row>
    <row r="2531" spans="1:41" hidden="1" x14ac:dyDescent="0.35">
      <c r="A2531" t="s">
        <v>22227</v>
      </c>
      <c r="B2531" t="s">
        <v>7246</v>
      </c>
      <c r="C2531" t="s">
        <v>84</v>
      </c>
      <c r="D2531" t="s">
        <v>84</v>
      </c>
      <c r="E2531" t="s">
        <v>84</v>
      </c>
      <c r="G2531" s="13" t="s">
        <v>22228</v>
      </c>
      <c r="H2531" t="s">
        <v>22229</v>
      </c>
      <c r="I2531" t="s">
        <v>22230</v>
      </c>
      <c r="K2531" t="s">
        <v>22231</v>
      </c>
      <c r="L2531" t="s">
        <v>22232</v>
      </c>
      <c r="M2531" t="s">
        <v>7250</v>
      </c>
      <c r="N2531">
        <v>2019</v>
      </c>
      <c r="R2531">
        <v>2.5</v>
      </c>
      <c r="S2531" t="s">
        <v>8257</v>
      </c>
      <c r="T2531">
        <v>2.5</v>
      </c>
      <c r="U2531">
        <v>1163.46</v>
      </c>
      <c r="V2531">
        <v>282</v>
      </c>
      <c r="W2531">
        <v>276.06</v>
      </c>
      <c r="X2531">
        <v>282</v>
      </c>
      <c r="Y2531">
        <v>700</v>
      </c>
      <c r="Z2531" t="s">
        <v>8842</v>
      </c>
      <c r="AA2531" t="s">
        <v>22233</v>
      </c>
      <c r="AB2531" t="s">
        <v>22234</v>
      </c>
      <c r="AC2531" t="s">
        <v>9852</v>
      </c>
      <c r="AD2531" t="s">
        <v>4536</v>
      </c>
      <c r="AE2531" t="s">
        <v>4519</v>
      </c>
      <c r="AG2531" t="s">
        <v>22235</v>
      </c>
      <c r="AH2531" t="s">
        <v>4666</v>
      </c>
      <c r="AI2531" t="s">
        <v>9852</v>
      </c>
      <c r="AL2531" t="s">
        <v>22236</v>
      </c>
      <c r="AO2531" t="s">
        <v>22237</v>
      </c>
    </row>
    <row r="2532" spans="1:41" hidden="1" x14ac:dyDescent="0.35">
      <c r="A2532" t="s">
        <v>22238</v>
      </c>
      <c r="B2532" t="s">
        <v>7246</v>
      </c>
      <c r="C2532" t="s">
        <v>84</v>
      </c>
      <c r="D2532" t="s">
        <v>84</v>
      </c>
      <c r="E2532" t="s">
        <v>84</v>
      </c>
      <c r="G2532" s="13" t="s">
        <v>22228</v>
      </c>
      <c r="H2532" t="s">
        <v>22229</v>
      </c>
      <c r="I2532" t="s">
        <v>22239</v>
      </c>
      <c r="K2532" t="s">
        <v>22240</v>
      </c>
      <c r="L2532" t="s">
        <v>22241</v>
      </c>
      <c r="M2532" t="s">
        <v>7292</v>
      </c>
      <c r="R2532">
        <v>1.6</v>
      </c>
      <c r="S2532" t="s">
        <v>8257</v>
      </c>
      <c r="T2532">
        <v>1.6</v>
      </c>
      <c r="U2532">
        <v>744.61</v>
      </c>
      <c r="V2532">
        <v>83</v>
      </c>
      <c r="W2532">
        <v>95.67</v>
      </c>
      <c r="X2532">
        <v>83</v>
      </c>
      <c r="Y2532" t="s">
        <v>22242</v>
      </c>
      <c r="Z2532" t="s">
        <v>8842</v>
      </c>
      <c r="AC2532" t="s">
        <v>9852</v>
      </c>
      <c r="AD2532" t="s">
        <v>22235</v>
      </c>
      <c r="AE2532" t="s">
        <v>4666</v>
      </c>
      <c r="AG2532" t="s">
        <v>4665</v>
      </c>
      <c r="AH2532" t="s">
        <v>4666</v>
      </c>
      <c r="AI2532" t="s">
        <v>9852</v>
      </c>
      <c r="AL2532" t="s">
        <v>22236</v>
      </c>
      <c r="AO2532" t="s">
        <v>22243</v>
      </c>
    </row>
    <row r="2533" spans="1:41" hidden="1" x14ac:dyDescent="0.35">
      <c r="A2533" t="s">
        <v>22244</v>
      </c>
      <c r="B2533" t="s">
        <v>7246</v>
      </c>
      <c r="C2533" t="s">
        <v>84</v>
      </c>
      <c r="D2533" t="s">
        <v>84</v>
      </c>
      <c r="E2533" t="s">
        <v>84</v>
      </c>
      <c r="G2533" s="13" t="s">
        <v>22228</v>
      </c>
      <c r="H2533" t="s">
        <v>22229</v>
      </c>
      <c r="I2533" t="s">
        <v>22245</v>
      </c>
      <c r="K2533" t="s">
        <v>22246</v>
      </c>
      <c r="L2533" t="s">
        <v>22241</v>
      </c>
      <c r="M2533" t="s">
        <v>7292</v>
      </c>
      <c r="T2533" t="s">
        <v>6546</v>
      </c>
      <c r="U2533" t="s">
        <v>6546</v>
      </c>
      <c r="V2533">
        <v>55</v>
      </c>
      <c r="W2533">
        <v>69.790000000000006</v>
      </c>
      <c r="X2533">
        <v>55</v>
      </c>
      <c r="AC2533" t="s">
        <v>9852</v>
      </c>
      <c r="AD2533" t="s">
        <v>22235</v>
      </c>
      <c r="AE2533" t="s">
        <v>4666</v>
      </c>
      <c r="AG2533" t="s">
        <v>22247</v>
      </c>
      <c r="AH2533" t="s">
        <v>4666</v>
      </c>
      <c r="AI2533" t="s">
        <v>9852</v>
      </c>
      <c r="AL2533" t="s">
        <v>22236</v>
      </c>
      <c r="AO2533" t="s">
        <v>22248</v>
      </c>
    </row>
    <row r="2534" spans="1:41" hidden="1" x14ac:dyDescent="0.35">
      <c r="A2534" t="s">
        <v>22249</v>
      </c>
      <c r="B2534" t="s">
        <v>7246</v>
      </c>
      <c r="C2534" t="s">
        <v>84</v>
      </c>
      <c r="D2534" t="s">
        <v>84</v>
      </c>
      <c r="E2534" t="s">
        <v>84</v>
      </c>
      <c r="G2534" s="13" t="s">
        <v>22228</v>
      </c>
      <c r="H2534" t="s">
        <v>22229</v>
      </c>
      <c r="I2534" t="s">
        <v>22250</v>
      </c>
      <c r="K2534" t="s">
        <v>6543</v>
      </c>
      <c r="L2534" t="s">
        <v>6543</v>
      </c>
      <c r="M2534" t="s">
        <v>7292</v>
      </c>
      <c r="T2534" t="s">
        <v>6546</v>
      </c>
      <c r="U2534" t="s">
        <v>6546</v>
      </c>
      <c r="V2534" t="s">
        <v>6546</v>
      </c>
      <c r="W2534">
        <v>131.75</v>
      </c>
      <c r="X2534">
        <v>131.75</v>
      </c>
      <c r="AC2534" t="s">
        <v>9852</v>
      </c>
      <c r="AD2534" t="s">
        <v>22251</v>
      </c>
      <c r="AE2534" t="s">
        <v>4666</v>
      </c>
      <c r="AG2534" t="s">
        <v>22235</v>
      </c>
      <c r="AH2534" t="s">
        <v>4666</v>
      </c>
      <c r="AI2534" t="s">
        <v>9852</v>
      </c>
      <c r="AL2534" t="s">
        <v>22236</v>
      </c>
      <c r="AO2534" t="s">
        <v>22252</v>
      </c>
    </row>
    <row r="2535" spans="1:41" hidden="1" x14ac:dyDescent="0.35">
      <c r="A2535" t="s">
        <v>22253</v>
      </c>
      <c r="B2535" t="s">
        <v>7246</v>
      </c>
      <c r="C2535" t="s">
        <v>84</v>
      </c>
      <c r="D2535" t="s">
        <v>84</v>
      </c>
      <c r="E2535" t="s">
        <v>84</v>
      </c>
      <c r="G2535" s="13" t="s">
        <v>22254</v>
      </c>
      <c r="H2535" t="s">
        <v>22255</v>
      </c>
      <c r="K2535" t="s">
        <v>22256</v>
      </c>
      <c r="L2535" t="s">
        <v>22257</v>
      </c>
      <c r="M2535" t="s">
        <v>7250</v>
      </c>
      <c r="R2535">
        <v>38</v>
      </c>
      <c r="S2535" t="s">
        <v>8257</v>
      </c>
      <c r="T2535">
        <v>38</v>
      </c>
      <c r="U2535">
        <v>17684.57</v>
      </c>
      <c r="V2535">
        <v>5111</v>
      </c>
      <c r="W2535">
        <v>806.04</v>
      </c>
      <c r="X2535">
        <v>5111</v>
      </c>
      <c r="AA2535" t="s">
        <v>14126</v>
      </c>
      <c r="AB2535" t="s">
        <v>22258</v>
      </c>
      <c r="AC2535" t="s">
        <v>9852</v>
      </c>
      <c r="AD2535" t="s">
        <v>4635</v>
      </c>
      <c r="AE2535" t="s">
        <v>3047</v>
      </c>
      <c r="AF2535" t="s">
        <v>22259</v>
      </c>
      <c r="AG2535" t="s">
        <v>4351</v>
      </c>
      <c r="AH2535" t="s">
        <v>3024</v>
      </c>
      <c r="AI2535" t="s">
        <v>9852</v>
      </c>
      <c r="AL2535" t="s">
        <v>22260</v>
      </c>
      <c r="AO2535" t="s">
        <v>22261</v>
      </c>
    </row>
    <row r="2536" spans="1:41" hidden="1" x14ac:dyDescent="0.35">
      <c r="A2536" t="s">
        <v>22262</v>
      </c>
      <c r="B2536" t="s">
        <v>7246</v>
      </c>
      <c r="C2536" t="s">
        <v>84</v>
      </c>
      <c r="D2536" t="s">
        <v>84</v>
      </c>
      <c r="E2536" t="s">
        <v>84</v>
      </c>
      <c r="G2536" s="13" t="s">
        <v>22254</v>
      </c>
      <c r="H2536" t="s">
        <v>22255</v>
      </c>
      <c r="I2536" t="s">
        <v>11023</v>
      </c>
      <c r="K2536" t="s">
        <v>22256</v>
      </c>
      <c r="L2536" t="s">
        <v>22257</v>
      </c>
      <c r="M2536" t="s">
        <v>7250</v>
      </c>
      <c r="N2536">
        <v>2020</v>
      </c>
      <c r="R2536">
        <v>38</v>
      </c>
      <c r="S2536" t="s">
        <v>8257</v>
      </c>
      <c r="T2536">
        <v>38</v>
      </c>
      <c r="U2536">
        <v>17684.57</v>
      </c>
      <c r="V2536" t="s">
        <v>6546</v>
      </c>
      <c r="W2536">
        <v>806.04</v>
      </c>
      <c r="X2536">
        <v>806.04</v>
      </c>
      <c r="AA2536" t="s">
        <v>14126</v>
      </c>
      <c r="AB2536" t="s">
        <v>22258</v>
      </c>
      <c r="AC2536" t="s">
        <v>9852</v>
      </c>
      <c r="AD2536" t="s">
        <v>4635</v>
      </c>
      <c r="AE2536" t="s">
        <v>3047</v>
      </c>
      <c r="AF2536" t="s">
        <v>22259</v>
      </c>
      <c r="AG2536" t="s">
        <v>4351</v>
      </c>
      <c r="AH2536" t="s">
        <v>3024</v>
      </c>
      <c r="AI2536" t="s">
        <v>9852</v>
      </c>
      <c r="AL2536" t="s">
        <v>22260</v>
      </c>
      <c r="AO2536" t="s">
        <v>22261</v>
      </c>
    </row>
    <row r="2537" spans="1:41" hidden="1" x14ac:dyDescent="0.35">
      <c r="A2537" t="s">
        <v>22263</v>
      </c>
      <c r="B2537" t="s">
        <v>7246</v>
      </c>
      <c r="C2537" t="s">
        <v>84</v>
      </c>
      <c r="D2537" t="s">
        <v>84</v>
      </c>
      <c r="E2537" t="s">
        <v>84</v>
      </c>
      <c r="G2537" s="13" t="s">
        <v>22254</v>
      </c>
      <c r="H2537" t="s">
        <v>22255</v>
      </c>
      <c r="I2537" t="s">
        <v>7331</v>
      </c>
      <c r="K2537" t="s">
        <v>22256</v>
      </c>
      <c r="L2537" t="s">
        <v>22257</v>
      </c>
      <c r="M2537" t="s">
        <v>7250</v>
      </c>
      <c r="N2537">
        <v>2019</v>
      </c>
      <c r="R2537">
        <v>38</v>
      </c>
      <c r="S2537" t="s">
        <v>8257</v>
      </c>
      <c r="T2537">
        <v>38</v>
      </c>
      <c r="U2537">
        <v>17684.57</v>
      </c>
      <c r="V2537" t="s">
        <v>6546</v>
      </c>
      <c r="W2537">
        <v>834.84</v>
      </c>
      <c r="X2537">
        <v>834.84</v>
      </c>
      <c r="AA2537" t="s">
        <v>14126</v>
      </c>
      <c r="AB2537" t="s">
        <v>22264</v>
      </c>
      <c r="AC2537" t="s">
        <v>9852</v>
      </c>
      <c r="AE2537" t="s">
        <v>3027</v>
      </c>
      <c r="AF2537" t="s">
        <v>22258</v>
      </c>
      <c r="AG2537" t="s">
        <v>4635</v>
      </c>
      <c r="AH2537" t="s">
        <v>3047</v>
      </c>
      <c r="AI2537" t="s">
        <v>9852</v>
      </c>
      <c r="AL2537" t="s">
        <v>22260</v>
      </c>
      <c r="AO2537" t="s">
        <v>22265</v>
      </c>
    </row>
    <row r="2538" spans="1:41" hidden="1" x14ac:dyDescent="0.35">
      <c r="A2538" t="s">
        <v>22266</v>
      </c>
      <c r="B2538" t="s">
        <v>7246</v>
      </c>
      <c r="C2538" t="s">
        <v>84</v>
      </c>
      <c r="D2538" t="s">
        <v>84</v>
      </c>
      <c r="E2538" t="s">
        <v>84</v>
      </c>
      <c r="G2538" s="13" t="s">
        <v>22254</v>
      </c>
      <c r="H2538" t="s">
        <v>22255</v>
      </c>
      <c r="I2538" t="s">
        <v>22267</v>
      </c>
      <c r="J2538" t="s">
        <v>22268</v>
      </c>
      <c r="K2538" t="s">
        <v>22256</v>
      </c>
      <c r="L2538" t="s">
        <v>22257</v>
      </c>
      <c r="M2538" t="s">
        <v>7250</v>
      </c>
      <c r="N2538">
        <v>2019</v>
      </c>
      <c r="R2538">
        <v>11.4</v>
      </c>
      <c r="S2538" t="s">
        <v>8257</v>
      </c>
      <c r="T2538">
        <v>11.4</v>
      </c>
      <c r="U2538">
        <v>5305.37</v>
      </c>
      <c r="V2538" t="s">
        <v>6546</v>
      </c>
      <c r="W2538">
        <v>98.49</v>
      </c>
      <c r="X2538">
        <v>98.49</v>
      </c>
      <c r="Y2538">
        <v>1016</v>
      </c>
      <c r="Z2538" t="s">
        <v>8842</v>
      </c>
      <c r="AB2538" t="s">
        <v>22258</v>
      </c>
      <c r="AC2538" t="s">
        <v>9852</v>
      </c>
      <c r="AD2538" t="s">
        <v>4635</v>
      </c>
      <c r="AE2538" t="s">
        <v>3047</v>
      </c>
      <c r="AF2538" t="s">
        <v>22269</v>
      </c>
      <c r="AG2538" t="s">
        <v>4623</v>
      </c>
      <c r="AH2538" t="s">
        <v>3047</v>
      </c>
      <c r="AI2538" t="s">
        <v>9852</v>
      </c>
      <c r="AL2538" t="s">
        <v>22260</v>
      </c>
      <c r="AO2538" t="s">
        <v>22270</v>
      </c>
    </row>
    <row r="2539" spans="1:41" hidden="1" x14ac:dyDescent="0.35">
      <c r="A2539" t="s">
        <v>22271</v>
      </c>
      <c r="B2539" t="s">
        <v>7246</v>
      </c>
      <c r="C2539" t="s">
        <v>84</v>
      </c>
      <c r="D2539" t="s">
        <v>84</v>
      </c>
      <c r="E2539" t="s">
        <v>84</v>
      </c>
      <c r="G2539" s="13" t="s">
        <v>22254</v>
      </c>
      <c r="H2539" t="s">
        <v>22255</v>
      </c>
      <c r="I2539" t="s">
        <v>8108</v>
      </c>
      <c r="K2539" t="s">
        <v>22272</v>
      </c>
      <c r="L2539" t="s">
        <v>22272</v>
      </c>
      <c r="M2539" t="s">
        <v>7415</v>
      </c>
      <c r="N2539">
        <v>2023</v>
      </c>
      <c r="R2539">
        <v>38</v>
      </c>
      <c r="S2539" t="s">
        <v>8257</v>
      </c>
      <c r="T2539">
        <v>38</v>
      </c>
      <c r="U2539">
        <v>17684.57</v>
      </c>
      <c r="V2539" t="s">
        <v>6546</v>
      </c>
      <c r="W2539">
        <v>1293.96</v>
      </c>
      <c r="X2539">
        <v>1293.96</v>
      </c>
      <c r="AA2539" t="s">
        <v>14126</v>
      </c>
      <c r="AB2539" t="s">
        <v>22259</v>
      </c>
      <c r="AC2539" t="s">
        <v>9852</v>
      </c>
      <c r="AD2539" t="s">
        <v>4351</v>
      </c>
      <c r="AE2539" t="s">
        <v>3024</v>
      </c>
      <c r="AF2539" t="s">
        <v>22273</v>
      </c>
      <c r="AH2539" t="s">
        <v>3063</v>
      </c>
      <c r="AI2539" t="s">
        <v>9852</v>
      </c>
      <c r="AL2539" t="s">
        <v>22260</v>
      </c>
      <c r="AO2539" t="s">
        <v>22274</v>
      </c>
    </row>
    <row r="2540" spans="1:41" hidden="1" x14ac:dyDescent="0.35">
      <c r="A2540" t="s">
        <v>22275</v>
      </c>
      <c r="B2540" t="s">
        <v>7246</v>
      </c>
      <c r="C2540" t="s">
        <v>84</v>
      </c>
      <c r="D2540" t="s">
        <v>84</v>
      </c>
      <c r="E2540" t="s">
        <v>22276</v>
      </c>
      <c r="G2540" s="13" t="s">
        <v>22277</v>
      </c>
      <c r="H2540" t="s">
        <v>22278</v>
      </c>
      <c r="I2540" t="s">
        <v>22279</v>
      </c>
      <c r="K2540" t="s">
        <v>22280</v>
      </c>
      <c r="L2540" t="s">
        <v>22257</v>
      </c>
      <c r="M2540" t="s">
        <v>7250</v>
      </c>
      <c r="N2540">
        <v>2014</v>
      </c>
      <c r="R2540">
        <v>1.44</v>
      </c>
      <c r="S2540" t="s">
        <v>8257</v>
      </c>
      <c r="T2540">
        <v>1.44</v>
      </c>
      <c r="U2540">
        <v>670.15</v>
      </c>
      <c r="V2540">
        <v>141</v>
      </c>
      <c r="W2540">
        <v>97.16</v>
      </c>
      <c r="X2540">
        <v>141</v>
      </c>
      <c r="AC2540" t="s">
        <v>9852</v>
      </c>
      <c r="AD2540" t="s">
        <v>4279</v>
      </c>
      <c r="AE2540" t="s">
        <v>4255</v>
      </c>
      <c r="AG2540" t="s">
        <v>22281</v>
      </c>
      <c r="AH2540" t="s">
        <v>4255</v>
      </c>
      <c r="AI2540" t="s">
        <v>9852</v>
      </c>
      <c r="AL2540" t="s">
        <v>22282</v>
      </c>
      <c r="AO2540" t="s">
        <v>22283</v>
      </c>
    </row>
    <row r="2541" spans="1:41" hidden="1" x14ac:dyDescent="0.35">
      <c r="A2541" t="s">
        <v>22284</v>
      </c>
      <c r="B2541" t="s">
        <v>7246</v>
      </c>
      <c r="C2541" t="s">
        <v>84</v>
      </c>
      <c r="D2541" t="s">
        <v>84</v>
      </c>
      <c r="E2541" t="s">
        <v>22276</v>
      </c>
      <c r="G2541" s="13" t="s">
        <v>22277</v>
      </c>
      <c r="H2541" t="s">
        <v>22278</v>
      </c>
      <c r="I2541" t="s">
        <v>22285</v>
      </c>
      <c r="K2541" t="s">
        <v>22280</v>
      </c>
      <c r="L2541" t="s">
        <v>22257</v>
      </c>
      <c r="M2541" t="s">
        <v>7250</v>
      </c>
      <c r="N2541">
        <v>2014</v>
      </c>
      <c r="R2541">
        <v>0.73</v>
      </c>
      <c r="S2541" t="s">
        <v>8257</v>
      </c>
      <c r="T2541">
        <v>0.73</v>
      </c>
      <c r="U2541">
        <v>339.73</v>
      </c>
      <c r="V2541">
        <v>202</v>
      </c>
      <c r="W2541">
        <v>199.73</v>
      </c>
      <c r="X2541">
        <v>202</v>
      </c>
      <c r="AB2541" t="s">
        <v>22286</v>
      </c>
      <c r="AC2541" t="s">
        <v>9852</v>
      </c>
      <c r="AD2541" t="s">
        <v>22287</v>
      </c>
      <c r="AE2541" t="s">
        <v>4255</v>
      </c>
      <c r="AG2541" t="s">
        <v>4267</v>
      </c>
      <c r="AH2541" t="s">
        <v>4255</v>
      </c>
      <c r="AI2541" t="s">
        <v>9852</v>
      </c>
      <c r="AL2541" t="s">
        <v>22282</v>
      </c>
      <c r="AO2541" t="s">
        <v>22288</v>
      </c>
    </row>
    <row r="2542" spans="1:41" hidden="1" x14ac:dyDescent="0.35">
      <c r="A2542" t="s">
        <v>22289</v>
      </c>
      <c r="B2542" t="s">
        <v>7246</v>
      </c>
      <c r="C2542" t="s">
        <v>5183</v>
      </c>
      <c r="D2542" t="s">
        <v>84</v>
      </c>
      <c r="E2542" t="s">
        <v>5183</v>
      </c>
      <c r="G2542" s="13" t="s">
        <v>22277</v>
      </c>
      <c r="H2542" t="s">
        <v>22278</v>
      </c>
      <c r="I2542" t="s">
        <v>22290</v>
      </c>
      <c r="J2542" t="s">
        <v>22291</v>
      </c>
      <c r="K2542" t="s">
        <v>22280</v>
      </c>
      <c r="L2542" t="s">
        <v>22257</v>
      </c>
      <c r="M2542" t="s">
        <v>7250</v>
      </c>
      <c r="N2542">
        <v>2013</v>
      </c>
      <c r="R2542">
        <v>13</v>
      </c>
      <c r="S2542" t="s">
        <v>8257</v>
      </c>
      <c r="T2542">
        <v>13</v>
      </c>
      <c r="U2542">
        <v>6049.98</v>
      </c>
      <c r="V2542" t="s">
        <v>6546</v>
      </c>
      <c r="W2542">
        <v>2517.9299999999998</v>
      </c>
      <c r="X2542">
        <v>2517.9299999999998</v>
      </c>
      <c r="AA2542" t="s">
        <v>22292</v>
      </c>
      <c r="AB2542" t="s">
        <v>22293</v>
      </c>
      <c r="AC2542" t="s">
        <v>10816</v>
      </c>
      <c r="AE2542" t="s">
        <v>22294</v>
      </c>
      <c r="AG2542" t="s">
        <v>4263</v>
      </c>
      <c r="AH2542" t="s">
        <v>4255</v>
      </c>
      <c r="AI2542" t="s">
        <v>9852</v>
      </c>
      <c r="AJ2542" t="s">
        <v>22295</v>
      </c>
      <c r="AL2542" t="s">
        <v>22282</v>
      </c>
      <c r="AO2542" t="s">
        <v>22296</v>
      </c>
    </row>
    <row r="2543" spans="1:41" hidden="1" x14ac:dyDescent="0.35">
      <c r="A2543" t="s">
        <v>22297</v>
      </c>
      <c r="B2543" t="s">
        <v>7246</v>
      </c>
      <c r="C2543" t="s">
        <v>5183</v>
      </c>
      <c r="D2543" t="s">
        <v>84</v>
      </c>
      <c r="E2543" t="s">
        <v>84</v>
      </c>
      <c r="G2543" s="13" t="s">
        <v>22277</v>
      </c>
      <c r="H2543" t="s">
        <v>22278</v>
      </c>
      <c r="I2543" t="s">
        <v>22298</v>
      </c>
      <c r="J2543" t="s">
        <v>22291</v>
      </c>
      <c r="K2543" t="s">
        <v>22280</v>
      </c>
      <c r="L2543" t="s">
        <v>22257</v>
      </c>
      <c r="M2543" t="s">
        <v>7250</v>
      </c>
      <c r="N2543">
        <v>2013</v>
      </c>
      <c r="R2543">
        <v>13</v>
      </c>
      <c r="S2543" t="s">
        <v>8257</v>
      </c>
      <c r="T2543">
        <v>13</v>
      </c>
      <c r="U2543">
        <v>6049.98</v>
      </c>
      <c r="V2543">
        <v>1727</v>
      </c>
      <c r="W2543">
        <v>2517.9299999999998</v>
      </c>
      <c r="X2543">
        <v>1727</v>
      </c>
      <c r="AA2543" t="s">
        <v>22292</v>
      </c>
      <c r="AB2543" t="s">
        <v>22293</v>
      </c>
      <c r="AC2543" t="s">
        <v>10816</v>
      </c>
      <c r="AE2543" t="s">
        <v>22294</v>
      </c>
      <c r="AG2543" t="s">
        <v>4263</v>
      </c>
      <c r="AH2543" t="s">
        <v>4255</v>
      </c>
      <c r="AI2543" t="s">
        <v>9852</v>
      </c>
      <c r="AJ2543" t="s">
        <v>22295</v>
      </c>
      <c r="AL2543" t="s">
        <v>22282</v>
      </c>
      <c r="AO2543" t="s">
        <v>22296</v>
      </c>
    </row>
    <row r="2544" spans="1:41" hidden="1" x14ac:dyDescent="0.35">
      <c r="A2544" t="s">
        <v>22299</v>
      </c>
      <c r="B2544" t="s">
        <v>7246</v>
      </c>
      <c r="C2544" t="s">
        <v>84</v>
      </c>
      <c r="D2544" t="s">
        <v>84</v>
      </c>
      <c r="E2544" t="s">
        <v>84</v>
      </c>
      <c r="G2544" s="13" t="s">
        <v>22300</v>
      </c>
      <c r="H2544" t="s">
        <v>22278</v>
      </c>
      <c r="I2544" t="s">
        <v>22301</v>
      </c>
      <c r="K2544" t="s">
        <v>22302</v>
      </c>
      <c r="L2544" t="s">
        <v>22303</v>
      </c>
      <c r="M2544" t="s">
        <v>7250</v>
      </c>
      <c r="N2544">
        <v>2015</v>
      </c>
      <c r="R2544">
        <v>0.9</v>
      </c>
      <c r="S2544" t="s">
        <v>8257</v>
      </c>
      <c r="T2544">
        <v>0.9</v>
      </c>
      <c r="U2544">
        <v>418.85</v>
      </c>
      <c r="V2544">
        <v>98</v>
      </c>
      <c r="W2544">
        <v>63.15</v>
      </c>
      <c r="X2544">
        <v>98</v>
      </c>
      <c r="AC2544" t="s">
        <v>9852</v>
      </c>
      <c r="AE2544" t="s">
        <v>4840</v>
      </c>
      <c r="AH2544" t="s">
        <v>4840</v>
      </c>
      <c r="AI2544" t="s">
        <v>9852</v>
      </c>
      <c r="AL2544" t="s">
        <v>22304</v>
      </c>
      <c r="AO2544" t="s">
        <v>22305</v>
      </c>
    </row>
    <row r="2545" spans="1:41" hidden="1" x14ac:dyDescent="0.35">
      <c r="A2545" t="s">
        <v>22306</v>
      </c>
      <c r="B2545" t="s">
        <v>7246</v>
      </c>
      <c r="C2545" t="s">
        <v>84</v>
      </c>
      <c r="D2545" t="s">
        <v>84</v>
      </c>
      <c r="E2545" t="s">
        <v>84</v>
      </c>
      <c r="G2545" s="13" t="s">
        <v>22300</v>
      </c>
      <c r="H2545" t="s">
        <v>22278</v>
      </c>
      <c r="I2545" t="s">
        <v>22307</v>
      </c>
      <c r="K2545" t="s">
        <v>22302</v>
      </c>
      <c r="L2545" t="s">
        <v>22303</v>
      </c>
      <c r="M2545" t="s">
        <v>7250</v>
      </c>
      <c r="N2545">
        <v>2013</v>
      </c>
      <c r="R2545">
        <v>0.69</v>
      </c>
      <c r="S2545" t="s">
        <v>8257</v>
      </c>
      <c r="T2545">
        <v>0.69</v>
      </c>
      <c r="U2545">
        <v>321.11</v>
      </c>
      <c r="V2545">
        <v>34.299999999999997</v>
      </c>
      <c r="W2545">
        <v>26.15</v>
      </c>
      <c r="X2545">
        <v>34.299999999999997</v>
      </c>
      <c r="AC2545" t="s">
        <v>9852</v>
      </c>
      <c r="AE2545" t="s">
        <v>4840</v>
      </c>
      <c r="AH2545" t="s">
        <v>4840</v>
      </c>
      <c r="AI2545" t="s">
        <v>9852</v>
      </c>
      <c r="AL2545" t="s">
        <v>22304</v>
      </c>
      <c r="AO2545" t="s">
        <v>22308</v>
      </c>
    </row>
    <row r="2546" spans="1:41" hidden="1" x14ac:dyDescent="0.35">
      <c r="A2546" t="s">
        <v>22309</v>
      </c>
      <c r="B2546" t="s">
        <v>7246</v>
      </c>
      <c r="C2546" t="s">
        <v>84</v>
      </c>
      <c r="D2546" t="s">
        <v>84</v>
      </c>
      <c r="E2546" t="s">
        <v>84</v>
      </c>
      <c r="G2546" s="13" t="s">
        <v>22277</v>
      </c>
      <c r="H2546" t="s">
        <v>22278</v>
      </c>
      <c r="I2546" t="s">
        <v>22310</v>
      </c>
      <c r="K2546" t="s">
        <v>22280</v>
      </c>
      <c r="L2546" t="s">
        <v>22257</v>
      </c>
      <c r="M2546" t="s">
        <v>7250</v>
      </c>
      <c r="N2546">
        <v>2013</v>
      </c>
      <c r="R2546">
        <v>1.52</v>
      </c>
      <c r="S2546" t="s">
        <v>8257</v>
      </c>
      <c r="T2546">
        <v>1.52</v>
      </c>
      <c r="U2546">
        <v>707.38</v>
      </c>
      <c r="V2546">
        <v>106</v>
      </c>
      <c r="W2546">
        <v>104.71</v>
      </c>
      <c r="X2546">
        <v>106</v>
      </c>
      <c r="AA2546" t="s">
        <v>22278</v>
      </c>
      <c r="AB2546" t="s">
        <v>22311</v>
      </c>
      <c r="AC2546" t="s">
        <v>9852</v>
      </c>
      <c r="AD2546" t="s">
        <v>22312</v>
      </c>
      <c r="AE2546" t="s">
        <v>4840</v>
      </c>
      <c r="AG2546" t="s">
        <v>4855</v>
      </c>
      <c r="AH2546" t="s">
        <v>4840</v>
      </c>
      <c r="AI2546" t="s">
        <v>9852</v>
      </c>
      <c r="AL2546" t="s">
        <v>22304</v>
      </c>
      <c r="AO2546" t="s">
        <v>22313</v>
      </c>
    </row>
    <row r="2547" spans="1:41" hidden="1" x14ac:dyDescent="0.35">
      <c r="A2547" t="s">
        <v>22314</v>
      </c>
      <c r="B2547" t="s">
        <v>7246</v>
      </c>
      <c r="C2547" t="s">
        <v>84</v>
      </c>
      <c r="D2547" t="s">
        <v>84</v>
      </c>
      <c r="E2547" t="s">
        <v>84</v>
      </c>
      <c r="G2547" s="13" t="s">
        <v>22277</v>
      </c>
      <c r="H2547" t="s">
        <v>22278</v>
      </c>
      <c r="I2547" t="s">
        <v>22315</v>
      </c>
      <c r="K2547" t="s">
        <v>22280</v>
      </c>
      <c r="L2547" t="s">
        <v>22257</v>
      </c>
      <c r="M2547" t="s">
        <v>7250</v>
      </c>
      <c r="N2547">
        <v>2017</v>
      </c>
      <c r="T2547" t="s">
        <v>6546</v>
      </c>
      <c r="U2547" t="s">
        <v>6546</v>
      </c>
      <c r="V2547">
        <v>201</v>
      </c>
      <c r="W2547">
        <v>175.39</v>
      </c>
      <c r="X2547">
        <v>201</v>
      </c>
      <c r="Y2547">
        <v>219.1</v>
      </c>
      <c r="Z2547" t="s">
        <v>8842</v>
      </c>
      <c r="AA2547" t="s">
        <v>22278</v>
      </c>
      <c r="AB2547" t="s">
        <v>22316</v>
      </c>
      <c r="AC2547" t="s">
        <v>9852</v>
      </c>
      <c r="AE2547" t="s">
        <v>4840</v>
      </c>
      <c r="AG2547" t="s">
        <v>22317</v>
      </c>
      <c r="AH2547" t="s">
        <v>4840</v>
      </c>
      <c r="AI2547" t="s">
        <v>9852</v>
      </c>
      <c r="AL2547" t="s">
        <v>22304</v>
      </c>
      <c r="AO2547" t="s">
        <v>22318</v>
      </c>
    </row>
    <row r="2548" spans="1:41" hidden="1" x14ac:dyDescent="0.35">
      <c r="A2548" t="s">
        <v>22319</v>
      </c>
      <c r="B2548" t="s">
        <v>7246</v>
      </c>
      <c r="C2548" t="s">
        <v>84</v>
      </c>
      <c r="D2548" t="s">
        <v>84</v>
      </c>
      <c r="E2548" t="s">
        <v>84</v>
      </c>
      <c r="G2548" s="13" t="s">
        <v>22277</v>
      </c>
      <c r="H2548" t="s">
        <v>22278</v>
      </c>
      <c r="I2548" t="s">
        <v>22320</v>
      </c>
      <c r="K2548" t="s">
        <v>22280</v>
      </c>
      <c r="L2548" t="s">
        <v>22257</v>
      </c>
      <c r="M2548" t="s">
        <v>7292</v>
      </c>
      <c r="R2548">
        <v>1</v>
      </c>
      <c r="S2548" t="s">
        <v>8257</v>
      </c>
      <c r="T2548">
        <v>1</v>
      </c>
      <c r="U2548">
        <v>465.38</v>
      </c>
      <c r="V2548">
        <v>148.18</v>
      </c>
      <c r="W2548">
        <v>137.28</v>
      </c>
      <c r="X2548">
        <v>148.18</v>
      </c>
      <c r="Y2548">
        <v>457</v>
      </c>
      <c r="Z2548" t="s">
        <v>8842</v>
      </c>
      <c r="AB2548" t="s">
        <v>22321</v>
      </c>
      <c r="AC2548" t="s">
        <v>9852</v>
      </c>
      <c r="AD2548" t="s">
        <v>4796</v>
      </c>
      <c r="AE2548" t="s">
        <v>4778</v>
      </c>
      <c r="AG2548" t="s">
        <v>22322</v>
      </c>
      <c r="AH2548" t="s">
        <v>4778</v>
      </c>
      <c r="AI2548" t="s">
        <v>9852</v>
      </c>
      <c r="AL2548" t="s">
        <v>22304</v>
      </c>
      <c r="AO2548" t="s">
        <v>22323</v>
      </c>
    </row>
    <row r="2549" spans="1:41" hidden="1" x14ac:dyDescent="0.35">
      <c r="A2549" t="s">
        <v>22324</v>
      </c>
      <c r="B2549" t="s">
        <v>7246</v>
      </c>
      <c r="C2549" t="s">
        <v>84</v>
      </c>
      <c r="D2549" t="s">
        <v>84</v>
      </c>
      <c r="E2549" t="s">
        <v>84</v>
      </c>
      <c r="G2549" s="13" t="s">
        <v>22325</v>
      </c>
      <c r="H2549" t="s">
        <v>22326</v>
      </c>
      <c r="I2549" t="s">
        <v>22327</v>
      </c>
      <c r="K2549" t="s">
        <v>22280</v>
      </c>
      <c r="L2549" t="s">
        <v>22257</v>
      </c>
      <c r="M2549" t="s">
        <v>7250</v>
      </c>
      <c r="N2549">
        <v>2012</v>
      </c>
      <c r="R2549">
        <v>15</v>
      </c>
      <c r="S2549" t="s">
        <v>8257</v>
      </c>
      <c r="T2549">
        <v>15</v>
      </c>
      <c r="U2549">
        <v>6980.75</v>
      </c>
      <c r="V2549">
        <v>1613</v>
      </c>
      <c r="W2549">
        <v>1294.21</v>
      </c>
      <c r="X2549">
        <v>1613</v>
      </c>
      <c r="Y2549">
        <v>1016</v>
      </c>
      <c r="Z2549" t="s">
        <v>8842</v>
      </c>
      <c r="AA2549" t="s">
        <v>22328</v>
      </c>
      <c r="AB2549" t="s">
        <v>4669</v>
      </c>
      <c r="AC2549" t="s">
        <v>9852</v>
      </c>
      <c r="AE2549" t="s">
        <v>4666</v>
      </c>
      <c r="AG2549" t="s">
        <v>4263</v>
      </c>
      <c r="AH2549" t="s">
        <v>4291</v>
      </c>
      <c r="AI2549" t="s">
        <v>9852</v>
      </c>
      <c r="AL2549" t="s">
        <v>22329</v>
      </c>
      <c r="AO2549" t="s">
        <v>22330</v>
      </c>
    </row>
    <row r="2550" spans="1:41" hidden="1" x14ac:dyDescent="0.35">
      <c r="A2550" t="s">
        <v>22331</v>
      </c>
      <c r="B2550" t="s">
        <v>7246</v>
      </c>
      <c r="C2550" t="s">
        <v>84</v>
      </c>
      <c r="D2550" t="s">
        <v>84</v>
      </c>
      <c r="E2550" t="s">
        <v>84</v>
      </c>
      <c r="G2550" s="13" t="s">
        <v>22325</v>
      </c>
      <c r="H2550" t="s">
        <v>22326</v>
      </c>
      <c r="I2550" t="s">
        <v>22332</v>
      </c>
      <c r="K2550" t="s">
        <v>22280</v>
      </c>
      <c r="L2550" t="s">
        <v>22257</v>
      </c>
      <c r="M2550" t="s">
        <v>7250</v>
      </c>
      <c r="N2550">
        <v>2016</v>
      </c>
      <c r="R2550">
        <v>0.15</v>
      </c>
      <c r="S2550" t="s">
        <v>8257</v>
      </c>
      <c r="T2550">
        <v>0.15</v>
      </c>
      <c r="U2550">
        <v>69.81</v>
      </c>
      <c r="V2550">
        <v>94</v>
      </c>
      <c r="W2550" t="s">
        <v>6546</v>
      </c>
      <c r="X2550">
        <v>94</v>
      </c>
      <c r="Y2550">
        <v>219</v>
      </c>
      <c r="Z2550" t="s">
        <v>8842</v>
      </c>
      <c r="AC2550" t="s">
        <v>9852</v>
      </c>
      <c r="AE2550" t="s">
        <v>3013</v>
      </c>
      <c r="AH2550" t="s">
        <v>3013</v>
      </c>
      <c r="AI2550" t="s">
        <v>9852</v>
      </c>
      <c r="AL2550" t="s">
        <v>22333</v>
      </c>
      <c r="AO2550" t="s">
        <v>6546</v>
      </c>
    </row>
    <row r="2551" spans="1:41" hidden="1" x14ac:dyDescent="0.35">
      <c r="A2551" t="s">
        <v>22334</v>
      </c>
      <c r="B2551" t="s">
        <v>7246</v>
      </c>
      <c r="C2551" t="s">
        <v>84</v>
      </c>
      <c r="D2551" t="s">
        <v>84</v>
      </c>
      <c r="E2551" t="s">
        <v>84</v>
      </c>
      <c r="G2551" s="13" t="s">
        <v>22325</v>
      </c>
      <c r="H2551" t="s">
        <v>22326</v>
      </c>
      <c r="I2551" t="s">
        <v>22335</v>
      </c>
      <c r="K2551" t="s">
        <v>22280</v>
      </c>
      <c r="L2551" t="s">
        <v>22257</v>
      </c>
      <c r="M2551" t="s">
        <v>7250</v>
      </c>
      <c r="N2551">
        <v>2015</v>
      </c>
      <c r="R2551">
        <v>0.2</v>
      </c>
      <c r="S2551" t="s">
        <v>8257</v>
      </c>
      <c r="T2551">
        <v>0.2</v>
      </c>
      <c r="U2551">
        <v>93.08</v>
      </c>
      <c r="V2551">
        <v>144.87</v>
      </c>
      <c r="W2551" t="s">
        <v>6546</v>
      </c>
      <c r="X2551">
        <v>144.87</v>
      </c>
      <c r="Y2551">
        <v>219</v>
      </c>
      <c r="Z2551" t="s">
        <v>8842</v>
      </c>
      <c r="AC2551" t="s">
        <v>9852</v>
      </c>
      <c r="AE2551" t="s">
        <v>3013</v>
      </c>
      <c r="AH2551" t="s">
        <v>3013</v>
      </c>
      <c r="AI2551" t="s">
        <v>9852</v>
      </c>
      <c r="AL2551" t="s">
        <v>22333</v>
      </c>
      <c r="AO2551" t="s">
        <v>6546</v>
      </c>
    </row>
    <row r="2552" spans="1:41" hidden="1" x14ac:dyDescent="0.35">
      <c r="A2552" t="s">
        <v>22336</v>
      </c>
      <c r="B2552" t="s">
        <v>7246</v>
      </c>
      <c r="C2552" t="s">
        <v>84</v>
      </c>
      <c r="D2552" t="s">
        <v>84</v>
      </c>
      <c r="E2552" t="s">
        <v>84</v>
      </c>
      <c r="G2552" s="13" t="s">
        <v>22325</v>
      </c>
      <c r="H2552" t="s">
        <v>22326</v>
      </c>
      <c r="I2552" t="s">
        <v>22337</v>
      </c>
      <c r="K2552" t="s">
        <v>22280</v>
      </c>
      <c r="L2552" t="s">
        <v>22257</v>
      </c>
      <c r="M2552" t="s">
        <v>7250</v>
      </c>
      <c r="N2552">
        <v>2015</v>
      </c>
      <c r="R2552">
        <v>0.5</v>
      </c>
      <c r="S2552" t="s">
        <v>8257</v>
      </c>
      <c r="T2552">
        <v>0.5</v>
      </c>
      <c r="U2552">
        <v>232.69</v>
      </c>
      <c r="V2552">
        <v>51.1</v>
      </c>
      <c r="W2552" t="s">
        <v>6546</v>
      </c>
      <c r="X2552">
        <v>51.1</v>
      </c>
      <c r="Y2552">
        <v>273</v>
      </c>
      <c r="Z2552" t="s">
        <v>8842</v>
      </c>
      <c r="AC2552" t="s">
        <v>9852</v>
      </c>
      <c r="AE2552" t="s">
        <v>3013</v>
      </c>
      <c r="AH2552" t="s">
        <v>3013</v>
      </c>
      <c r="AI2552" t="s">
        <v>9852</v>
      </c>
      <c r="AL2552" t="s">
        <v>22333</v>
      </c>
      <c r="AO2552" t="s">
        <v>6546</v>
      </c>
    </row>
    <row r="2553" spans="1:41" hidden="1" x14ac:dyDescent="0.35">
      <c r="A2553" t="s">
        <v>22338</v>
      </c>
      <c r="B2553" t="s">
        <v>7246</v>
      </c>
      <c r="C2553" t="s">
        <v>84</v>
      </c>
      <c r="D2553" t="s">
        <v>84</v>
      </c>
      <c r="E2553" t="s">
        <v>84</v>
      </c>
      <c r="G2553" s="13" t="s">
        <v>22300</v>
      </c>
      <c r="H2553" t="s">
        <v>22339</v>
      </c>
      <c r="I2553" t="s">
        <v>22340</v>
      </c>
      <c r="K2553" t="s">
        <v>6543</v>
      </c>
      <c r="L2553" t="s">
        <v>6543</v>
      </c>
      <c r="M2553" t="s">
        <v>7292</v>
      </c>
      <c r="R2553">
        <v>0.18</v>
      </c>
      <c r="S2553" t="s">
        <v>8257</v>
      </c>
      <c r="T2553">
        <v>0.18</v>
      </c>
      <c r="U2553">
        <v>83.77</v>
      </c>
      <c r="V2553">
        <v>120</v>
      </c>
      <c r="W2553">
        <v>74.77</v>
      </c>
      <c r="X2553">
        <v>120</v>
      </c>
      <c r="AC2553" t="s">
        <v>9852</v>
      </c>
      <c r="AE2553" t="s">
        <v>4840</v>
      </c>
      <c r="AH2553" t="s">
        <v>4840</v>
      </c>
      <c r="AI2553" t="s">
        <v>9852</v>
      </c>
      <c r="AL2553" t="s">
        <v>22341</v>
      </c>
      <c r="AO2553" t="s">
        <v>22342</v>
      </c>
    </row>
    <row r="2554" spans="1:41" hidden="1" x14ac:dyDescent="0.35">
      <c r="A2554" t="s">
        <v>22343</v>
      </c>
      <c r="B2554" t="s">
        <v>7246</v>
      </c>
      <c r="C2554" t="s">
        <v>84</v>
      </c>
      <c r="D2554" t="s">
        <v>84</v>
      </c>
      <c r="E2554" t="s">
        <v>84</v>
      </c>
      <c r="G2554" s="13" t="s">
        <v>22300</v>
      </c>
      <c r="H2554" t="s">
        <v>22339</v>
      </c>
      <c r="I2554" t="s">
        <v>22344</v>
      </c>
      <c r="K2554" t="s">
        <v>22345</v>
      </c>
      <c r="L2554" t="s">
        <v>22346</v>
      </c>
      <c r="M2554" t="s">
        <v>7250</v>
      </c>
      <c r="N2554">
        <v>2020</v>
      </c>
      <c r="R2554">
        <v>0.32</v>
      </c>
      <c r="S2554" t="s">
        <v>8257</v>
      </c>
      <c r="T2554">
        <v>0.32</v>
      </c>
      <c r="U2554">
        <v>148.91999999999999</v>
      </c>
      <c r="V2554">
        <v>131.80000000000001</v>
      </c>
      <c r="W2554">
        <v>79.62</v>
      </c>
      <c r="X2554">
        <v>131.80000000000001</v>
      </c>
      <c r="AC2554" t="s">
        <v>9852</v>
      </c>
      <c r="AE2554" t="s">
        <v>4840</v>
      </c>
      <c r="AH2554" t="s">
        <v>4840</v>
      </c>
      <c r="AI2554" t="s">
        <v>9852</v>
      </c>
      <c r="AL2554" t="s">
        <v>22341</v>
      </c>
      <c r="AO2554" t="s">
        <v>22347</v>
      </c>
    </row>
    <row r="2555" spans="1:41" hidden="1" x14ac:dyDescent="0.35">
      <c r="A2555" t="s">
        <v>22348</v>
      </c>
      <c r="B2555" t="s">
        <v>7246</v>
      </c>
      <c r="C2555" t="s">
        <v>84</v>
      </c>
      <c r="D2555" t="s">
        <v>84</v>
      </c>
      <c r="E2555" t="s">
        <v>84</v>
      </c>
      <c r="G2555" s="13" t="s">
        <v>22300</v>
      </c>
      <c r="H2555" t="s">
        <v>22339</v>
      </c>
      <c r="I2555" t="s">
        <v>22349</v>
      </c>
      <c r="K2555" t="s">
        <v>22350</v>
      </c>
      <c r="L2555" t="s">
        <v>22351</v>
      </c>
      <c r="M2555" t="s">
        <v>7292</v>
      </c>
      <c r="T2555" t="s">
        <v>6546</v>
      </c>
      <c r="U2555" t="s">
        <v>6546</v>
      </c>
      <c r="V2555">
        <v>77</v>
      </c>
      <c r="W2555">
        <v>60.88</v>
      </c>
      <c r="X2555">
        <v>77</v>
      </c>
      <c r="AC2555" t="s">
        <v>9852</v>
      </c>
      <c r="AE2555" t="s">
        <v>4840</v>
      </c>
      <c r="AH2555" t="s">
        <v>4840</v>
      </c>
      <c r="AI2555" t="s">
        <v>9852</v>
      </c>
      <c r="AL2555" t="s">
        <v>22341</v>
      </c>
      <c r="AO2555" t="s">
        <v>22352</v>
      </c>
    </row>
    <row r="2556" spans="1:41" hidden="1" x14ac:dyDescent="0.35">
      <c r="A2556" t="s">
        <v>22353</v>
      </c>
      <c r="B2556" t="s">
        <v>7246</v>
      </c>
      <c r="C2556" t="s">
        <v>84</v>
      </c>
      <c r="D2556" t="s">
        <v>84</v>
      </c>
      <c r="E2556" t="s">
        <v>84</v>
      </c>
      <c r="G2556" s="13" t="s">
        <v>22300</v>
      </c>
      <c r="H2556" t="s">
        <v>22339</v>
      </c>
      <c r="I2556" t="s">
        <v>22354</v>
      </c>
      <c r="K2556" t="s">
        <v>22355</v>
      </c>
      <c r="L2556" t="s">
        <v>22351</v>
      </c>
      <c r="M2556" t="s">
        <v>7415</v>
      </c>
      <c r="R2556">
        <v>0.49</v>
      </c>
      <c r="S2556" t="s">
        <v>8257</v>
      </c>
      <c r="T2556">
        <v>0.49</v>
      </c>
      <c r="U2556">
        <v>228.04</v>
      </c>
      <c r="V2556">
        <v>85</v>
      </c>
      <c r="W2556">
        <v>64.31</v>
      </c>
      <c r="X2556">
        <v>85</v>
      </c>
      <c r="AC2556" t="s">
        <v>9852</v>
      </c>
      <c r="AE2556" t="s">
        <v>4840</v>
      </c>
      <c r="AH2556" t="s">
        <v>4840</v>
      </c>
      <c r="AI2556" t="s">
        <v>9852</v>
      </c>
      <c r="AL2556" t="s">
        <v>22341</v>
      </c>
      <c r="AO2556" t="s">
        <v>22356</v>
      </c>
    </row>
    <row r="2557" spans="1:41" hidden="1" x14ac:dyDescent="0.35">
      <c r="A2557" t="s">
        <v>22357</v>
      </c>
      <c r="B2557" t="s">
        <v>7246</v>
      </c>
      <c r="C2557" t="s">
        <v>84</v>
      </c>
      <c r="D2557" t="s">
        <v>84</v>
      </c>
      <c r="E2557" t="s">
        <v>84</v>
      </c>
      <c r="G2557" s="13" t="s">
        <v>22300</v>
      </c>
      <c r="H2557" t="s">
        <v>22339</v>
      </c>
      <c r="I2557" t="s">
        <v>22358</v>
      </c>
      <c r="K2557" t="s">
        <v>22359</v>
      </c>
      <c r="L2557" t="s">
        <v>22360</v>
      </c>
      <c r="M2557" t="s">
        <v>7731</v>
      </c>
      <c r="R2557">
        <v>0.23</v>
      </c>
      <c r="S2557" t="s">
        <v>8257</v>
      </c>
      <c r="T2557">
        <v>0.23</v>
      </c>
      <c r="U2557">
        <v>107.04</v>
      </c>
      <c r="V2557">
        <v>172</v>
      </c>
      <c r="W2557">
        <v>84.7</v>
      </c>
      <c r="X2557">
        <v>172</v>
      </c>
      <c r="Y2557">
        <v>300</v>
      </c>
      <c r="Z2557" t="s">
        <v>8842</v>
      </c>
      <c r="AC2557" t="s">
        <v>9852</v>
      </c>
      <c r="AE2557" t="s">
        <v>4840</v>
      </c>
      <c r="AH2557" t="s">
        <v>4840</v>
      </c>
      <c r="AI2557" t="s">
        <v>9852</v>
      </c>
      <c r="AL2557" t="s">
        <v>22341</v>
      </c>
      <c r="AO2557" t="s">
        <v>22361</v>
      </c>
    </row>
    <row r="2558" spans="1:41" hidden="1" x14ac:dyDescent="0.35">
      <c r="A2558" t="s">
        <v>22362</v>
      </c>
      <c r="B2558" t="s">
        <v>7246</v>
      </c>
      <c r="C2558" t="s">
        <v>84</v>
      </c>
      <c r="D2558" t="s">
        <v>84</v>
      </c>
      <c r="E2558" t="s">
        <v>84</v>
      </c>
      <c r="G2558" s="13" t="s">
        <v>22300</v>
      </c>
      <c r="H2558" t="s">
        <v>22339</v>
      </c>
      <c r="I2558" t="s">
        <v>22363</v>
      </c>
      <c r="K2558" t="s">
        <v>22345</v>
      </c>
      <c r="L2558" t="s">
        <v>22346</v>
      </c>
      <c r="M2558" t="s">
        <v>7292</v>
      </c>
      <c r="T2558" t="s">
        <v>6546</v>
      </c>
      <c r="U2558" t="s">
        <v>6546</v>
      </c>
      <c r="V2558">
        <v>172</v>
      </c>
      <c r="W2558">
        <v>117.43</v>
      </c>
      <c r="X2558">
        <v>172</v>
      </c>
      <c r="AC2558" t="s">
        <v>9852</v>
      </c>
      <c r="AE2558" t="s">
        <v>4840</v>
      </c>
      <c r="AH2558" t="s">
        <v>4840</v>
      </c>
      <c r="AI2558" t="s">
        <v>9852</v>
      </c>
      <c r="AL2558" t="s">
        <v>22341</v>
      </c>
      <c r="AO2558" t="s">
        <v>22364</v>
      </c>
    </row>
    <row r="2559" spans="1:41" hidden="1" x14ac:dyDescent="0.35">
      <c r="A2559" t="s">
        <v>22365</v>
      </c>
      <c r="B2559" t="s">
        <v>7246</v>
      </c>
      <c r="C2559" t="s">
        <v>84</v>
      </c>
      <c r="D2559" t="s">
        <v>84</v>
      </c>
      <c r="E2559" t="s">
        <v>84</v>
      </c>
      <c r="G2559" s="13" t="s">
        <v>22300</v>
      </c>
      <c r="H2559" t="s">
        <v>22339</v>
      </c>
      <c r="I2559" t="s">
        <v>22366</v>
      </c>
      <c r="K2559" t="s">
        <v>22367</v>
      </c>
      <c r="L2559" t="s">
        <v>22351</v>
      </c>
      <c r="M2559" t="s">
        <v>7250</v>
      </c>
      <c r="N2559">
        <v>2018</v>
      </c>
      <c r="R2559">
        <v>0.45</v>
      </c>
      <c r="S2559" t="s">
        <v>8257</v>
      </c>
      <c r="T2559">
        <v>0.45</v>
      </c>
      <c r="U2559">
        <v>209.42</v>
      </c>
      <c r="V2559">
        <v>32</v>
      </c>
      <c r="W2559" t="s">
        <v>6546</v>
      </c>
      <c r="X2559">
        <v>32</v>
      </c>
      <c r="Y2559">
        <v>300</v>
      </c>
      <c r="Z2559" t="s">
        <v>8842</v>
      </c>
      <c r="AC2559" t="s">
        <v>9852</v>
      </c>
      <c r="AE2559" t="s">
        <v>4840</v>
      </c>
      <c r="AH2559" t="s">
        <v>4840</v>
      </c>
      <c r="AI2559" t="s">
        <v>9852</v>
      </c>
      <c r="AL2559" t="s">
        <v>22341</v>
      </c>
      <c r="AO2559" t="s">
        <v>6546</v>
      </c>
    </row>
    <row r="2560" spans="1:41" hidden="1" x14ac:dyDescent="0.35">
      <c r="A2560" t="s">
        <v>22368</v>
      </c>
      <c r="B2560" t="s">
        <v>7246</v>
      </c>
      <c r="C2560" t="s">
        <v>84</v>
      </c>
      <c r="D2560" t="s">
        <v>84</v>
      </c>
      <c r="E2560" t="s">
        <v>84</v>
      </c>
      <c r="G2560" s="13" t="s">
        <v>22300</v>
      </c>
      <c r="H2560" t="s">
        <v>22339</v>
      </c>
      <c r="I2560" t="s">
        <v>22369</v>
      </c>
      <c r="K2560" t="s">
        <v>22350</v>
      </c>
      <c r="L2560" t="s">
        <v>22351</v>
      </c>
      <c r="M2560" t="s">
        <v>7292</v>
      </c>
      <c r="R2560">
        <v>0.35</v>
      </c>
      <c r="S2560" t="s">
        <v>8257</v>
      </c>
      <c r="T2560">
        <v>0.35</v>
      </c>
      <c r="U2560">
        <v>162.88</v>
      </c>
      <c r="V2560">
        <v>88.28</v>
      </c>
      <c r="W2560">
        <v>80.3</v>
      </c>
      <c r="X2560">
        <v>88.28</v>
      </c>
      <c r="Y2560">
        <v>323.89999999999998</v>
      </c>
      <c r="Z2560" t="s">
        <v>8842</v>
      </c>
      <c r="AC2560" t="s">
        <v>9852</v>
      </c>
      <c r="AE2560" t="s">
        <v>4840</v>
      </c>
      <c r="AH2560" t="s">
        <v>4840</v>
      </c>
      <c r="AI2560" t="s">
        <v>9852</v>
      </c>
      <c r="AL2560" t="s">
        <v>22341</v>
      </c>
      <c r="AO2560" t="s">
        <v>22370</v>
      </c>
    </row>
    <row r="2561" spans="1:41" hidden="1" x14ac:dyDescent="0.35">
      <c r="A2561" t="s">
        <v>22371</v>
      </c>
      <c r="B2561" t="s">
        <v>7246</v>
      </c>
      <c r="C2561" t="s">
        <v>84</v>
      </c>
      <c r="D2561" t="s">
        <v>84</v>
      </c>
      <c r="E2561" t="s">
        <v>84</v>
      </c>
      <c r="G2561" s="13" t="s">
        <v>22300</v>
      </c>
      <c r="H2561" t="s">
        <v>22339</v>
      </c>
      <c r="I2561" t="s">
        <v>22372</v>
      </c>
      <c r="K2561" t="s">
        <v>22355</v>
      </c>
      <c r="L2561" t="s">
        <v>22351</v>
      </c>
      <c r="M2561" t="s">
        <v>7250</v>
      </c>
      <c r="N2561">
        <v>2022</v>
      </c>
      <c r="R2561">
        <v>0.6</v>
      </c>
      <c r="S2561" t="s">
        <v>8257</v>
      </c>
      <c r="T2561">
        <v>0.6</v>
      </c>
      <c r="U2561">
        <v>279.23</v>
      </c>
      <c r="V2561">
        <v>156.83000000000001</v>
      </c>
      <c r="W2561">
        <v>113.25</v>
      </c>
      <c r="X2561">
        <v>156.83000000000001</v>
      </c>
      <c r="AC2561" t="s">
        <v>9852</v>
      </c>
      <c r="AE2561" t="s">
        <v>4840</v>
      </c>
      <c r="AH2561" t="s">
        <v>4840</v>
      </c>
      <c r="AI2561" t="s">
        <v>9852</v>
      </c>
      <c r="AL2561" t="s">
        <v>22341</v>
      </c>
      <c r="AO2561" t="s">
        <v>22373</v>
      </c>
    </row>
    <row r="2562" spans="1:41" hidden="1" x14ac:dyDescent="0.35">
      <c r="A2562" t="s">
        <v>22374</v>
      </c>
      <c r="B2562" t="s">
        <v>7246</v>
      </c>
      <c r="C2562" t="s">
        <v>84</v>
      </c>
      <c r="D2562" t="s">
        <v>84</v>
      </c>
      <c r="E2562" t="s">
        <v>84</v>
      </c>
      <c r="G2562" s="13" t="s">
        <v>22300</v>
      </c>
      <c r="H2562" t="s">
        <v>22339</v>
      </c>
      <c r="I2562" t="s">
        <v>22375</v>
      </c>
      <c r="K2562" t="s">
        <v>22355</v>
      </c>
      <c r="L2562" t="s">
        <v>22351</v>
      </c>
      <c r="M2562" t="s">
        <v>7415</v>
      </c>
      <c r="R2562">
        <v>0.49</v>
      </c>
      <c r="S2562" t="s">
        <v>8257</v>
      </c>
      <c r="T2562">
        <v>0.49</v>
      </c>
      <c r="U2562">
        <v>228.04</v>
      </c>
      <c r="V2562">
        <v>85</v>
      </c>
      <c r="W2562">
        <v>21.41</v>
      </c>
      <c r="X2562">
        <v>85</v>
      </c>
      <c r="AC2562" t="s">
        <v>9852</v>
      </c>
      <c r="AE2562" t="s">
        <v>4840</v>
      </c>
      <c r="AH2562" t="s">
        <v>4840</v>
      </c>
      <c r="AI2562" t="s">
        <v>9852</v>
      </c>
      <c r="AL2562" t="s">
        <v>22341</v>
      </c>
      <c r="AO2562" t="s">
        <v>22376</v>
      </c>
    </row>
    <row r="2563" spans="1:41" hidden="1" x14ac:dyDescent="0.35">
      <c r="A2563" t="s">
        <v>22377</v>
      </c>
      <c r="B2563" t="s">
        <v>7246</v>
      </c>
      <c r="C2563" t="s">
        <v>84</v>
      </c>
      <c r="D2563" t="s">
        <v>84</v>
      </c>
      <c r="E2563" t="s">
        <v>84</v>
      </c>
      <c r="G2563" s="13" t="s">
        <v>22300</v>
      </c>
      <c r="H2563" t="s">
        <v>22339</v>
      </c>
      <c r="I2563" t="s">
        <v>22378</v>
      </c>
      <c r="K2563" t="s">
        <v>6543</v>
      </c>
      <c r="L2563" t="s">
        <v>6543</v>
      </c>
      <c r="M2563" t="s">
        <v>7292</v>
      </c>
      <c r="R2563">
        <v>0.55000000000000004</v>
      </c>
      <c r="S2563" t="s">
        <v>8257</v>
      </c>
      <c r="T2563">
        <v>0.55000000000000004</v>
      </c>
      <c r="U2563">
        <v>255.96</v>
      </c>
      <c r="V2563">
        <v>126</v>
      </c>
      <c r="W2563">
        <v>87.86</v>
      </c>
      <c r="X2563">
        <v>126</v>
      </c>
      <c r="AC2563" t="s">
        <v>9852</v>
      </c>
      <c r="AD2563" t="s">
        <v>22379</v>
      </c>
      <c r="AE2563" t="s">
        <v>4840</v>
      </c>
      <c r="AF2563" t="s">
        <v>22380</v>
      </c>
      <c r="AG2563" t="s">
        <v>22381</v>
      </c>
      <c r="AH2563" t="s">
        <v>4840</v>
      </c>
      <c r="AI2563" t="s">
        <v>9852</v>
      </c>
      <c r="AL2563" t="s">
        <v>22341</v>
      </c>
      <c r="AO2563" t="s">
        <v>22382</v>
      </c>
    </row>
    <row r="2564" spans="1:41" hidden="1" x14ac:dyDescent="0.35">
      <c r="A2564" t="s">
        <v>22383</v>
      </c>
      <c r="B2564" t="s">
        <v>7246</v>
      </c>
      <c r="C2564" t="s">
        <v>84</v>
      </c>
      <c r="D2564" t="s">
        <v>84</v>
      </c>
      <c r="E2564" t="s">
        <v>84</v>
      </c>
      <c r="G2564" s="13" t="s">
        <v>22300</v>
      </c>
      <c r="H2564" t="s">
        <v>22339</v>
      </c>
      <c r="I2564" t="s">
        <v>22384</v>
      </c>
      <c r="K2564" t="s">
        <v>22385</v>
      </c>
      <c r="L2564" t="s">
        <v>22351</v>
      </c>
      <c r="M2564" t="s">
        <v>7250</v>
      </c>
      <c r="N2564">
        <v>2022</v>
      </c>
      <c r="R2564">
        <v>0.39</v>
      </c>
      <c r="S2564" t="s">
        <v>8257</v>
      </c>
      <c r="T2564">
        <v>0.39</v>
      </c>
      <c r="U2564">
        <v>181.5</v>
      </c>
      <c r="V2564">
        <v>280</v>
      </c>
      <c r="W2564">
        <v>230.99</v>
      </c>
      <c r="X2564">
        <v>280</v>
      </c>
      <c r="Y2564">
        <v>300</v>
      </c>
      <c r="Z2564" t="s">
        <v>8842</v>
      </c>
      <c r="AC2564" t="s">
        <v>9852</v>
      </c>
      <c r="AE2564" t="s">
        <v>4840</v>
      </c>
      <c r="AH2564" t="s">
        <v>4840</v>
      </c>
      <c r="AI2564" t="s">
        <v>9852</v>
      </c>
      <c r="AL2564" t="s">
        <v>22341</v>
      </c>
      <c r="AO2564" t="s">
        <v>22386</v>
      </c>
    </row>
    <row r="2565" spans="1:41" hidden="1" x14ac:dyDescent="0.35">
      <c r="A2565" t="s">
        <v>22387</v>
      </c>
      <c r="B2565" t="s">
        <v>7246</v>
      </c>
      <c r="C2565" t="s">
        <v>84</v>
      </c>
      <c r="D2565" t="s">
        <v>84</v>
      </c>
      <c r="E2565" t="s">
        <v>84</v>
      </c>
      <c r="G2565" s="13" t="s">
        <v>22300</v>
      </c>
      <c r="H2565" t="s">
        <v>22339</v>
      </c>
      <c r="I2565" t="s">
        <v>22388</v>
      </c>
      <c r="K2565" t="s">
        <v>22389</v>
      </c>
      <c r="L2565" t="s">
        <v>22390</v>
      </c>
      <c r="M2565" t="s">
        <v>7250</v>
      </c>
      <c r="N2565">
        <v>2017</v>
      </c>
      <c r="R2565">
        <v>0.5</v>
      </c>
      <c r="S2565" t="s">
        <v>8257</v>
      </c>
      <c r="T2565">
        <v>0.5</v>
      </c>
      <c r="U2565">
        <v>232.69</v>
      </c>
      <c r="V2565">
        <v>260.5</v>
      </c>
      <c r="W2565">
        <v>151.08000000000001</v>
      </c>
      <c r="X2565">
        <v>260.5</v>
      </c>
      <c r="AC2565" t="s">
        <v>9852</v>
      </c>
      <c r="AE2565" t="s">
        <v>4840</v>
      </c>
      <c r="AH2565" t="s">
        <v>4840</v>
      </c>
      <c r="AI2565" t="s">
        <v>9852</v>
      </c>
      <c r="AL2565" t="s">
        <v>22341</v>
      </c>
      <c r="AO2565" t="s">
        <v>22391</v>
      </c>
    </row>
    <row r="2566" spans="1:41" hidden="1" x14ac:dyDescent="0.35">
      <c r="A2566" t="s">
        <v>22392</v>
      </c>
      <c r="B2566" t="s">
        <v>7246</v>
      </c>
      <c r="C2566" t="s">
        <v>84</v>
      </c>
      <c r="D2566" t="s">
        <v>84</v>
      </c>
      <c r="E2566" t="s">
        <v>84</v>
      </c>
      <c r="G2566" s="13" t="s">
        <v>22300</v>
      </c>
      <c r="H2566" t="s">
        <v>22339</v>
      </c>
      <c r="I2566" t="s">
        <v>22393</v>
      </c>
      <c r="K2566" t="s">
        <v>22280</v>
      </c>
      <c r="L2566" t="s">
        <v>22257</v>
      </c>
      <c r="M2566" t="s">
        <v>7292</v>
      </c>
      <c r="T2566" t="s">
        <v>6546</v>
      </c>
      <c r="U2566" t="s">
        <v>6546</v>
      </c>
      <c r="V2566" t="s">
        <v>6546</v>
      </c>
      <c r="W2566" t="s">
        <v>6546</v>
      </c>
      <c r="X2566" t="s">
        <v>6546</v>
      </c>
      <c r="AC2566" t="s">
        <v>9852</v>
      </c>
      <c r="AE2566" t="s">
        <v>4840</v>
      </c>
      <c r="AH2566" t="s">
        <v>4840</v>
      </c>
      <c r="AI2566" t="s">
        <v>9852</v>
      </c>
      <c r="AL2566" t="s">
        <v>22341</v>
      </c>
      <c r="AO2566" t="s">
        <v>6546</v>
      </c>
    </row>
    <row r="2567" spans="1:41" hidden="1" x14ac:dyDescent="0.35">
      <c r="A2567" t="s">
        <v>22394</v>
      </c>
      <c r="B2567" t="s">
        <v>7246</v>
      </c>
      <c r="C2567" t="s">
        <v>84</v>
      </c>
      <c r="D2567" t="s">
        <v>84</v>
      </c>
      <c r="E2567" t="s">
        <v>84</v>
      </c>
      <c r="G2567" s="13" t="s">
        <v>22300</v>
      </c>
      <c r="H2567" t="s">
        <v>22339</v>
      </c>
      <c r="I2567" t="s">
        <v>22395</v>
      </c>
      <c r="K2567" t="s">
        <v>6543</v>
      </c>
      <c r="L2567" t="s">
        <v>6543</v>
      </c>
      <c r="M2567" t="s">
        <v>7292</v>
      </c>
      <c r="R2567">
        <v>1</v>
      </c>
      <c r="S2567" t="s">
        <v>8257</v>
      </c>
      <c r="T2567">
        <v>1</v>
      </c>
      <c r="U2567">
        <v>465.38</v>
      </c>
      <c r="V2567">
        <v>260</v>
      </c>
      <c r="W2567">
        <v>167.1</v>
      </c>
      <c r="X2567">
        <v>260</v>
      </c>
      <c r="AC2567" t="s">
        <v>9852</v>
      </c>
      <c r="AE2567" t="s">
        <v>4840</v>
      </c>
      <c r="AH2567" t="s">
        <v>4840</v>
      </c>
      <c r="AI2567" t="s">
        <v>9852</v>
      </c>
      <c r="AL2567" t="s">
        <v>22341</v>
      </c>
      <c r="AO2567" t="s">
        <v>22396</v>
      </c>
    </row>
    <row r="2568" spans="1:41" hidden="1" x14ac:dyDescent="0.35">
      <c r="A2568" t="s">
        <v>22397</v>
      </c>
      <c r="B2568" t="s">
        <v>7246</v>
      </c>
      <c r="C2568" t="s">
        <v>84</v>
      </c>
      <c r="D2568" t="s">
        <v>84</v>
      </c>
      <c r="E2568" t="s">
        <v>84</v>
      </c>
      <c r="G2568" s="13" t="s">
        <v>22300</v>
      </c>
      <c r="H2568" t="s">
        <v>22339</v>
      </c>
      <c r="I2568" t="s">
        <v>22398</v>
      </c>
      <c r="K2568" t="s">
        <v>22399</v>
      </c>
      <c r="L2568" t="s">
        <v>22351</v>
      </c>
      <c r="M2568" t="s">
        <v>7292</v>
      </c>
      <c r="R2568">
        <v>0.26</v>
      </c>
      <c r="S2568" t="s">
        <v>8257</v>
      </c>
      <c r="T2568">
        <v>0.26</v>
      </c>
      <c r="U2568">
        <v>121</v>
      </c>
      <c r="V2568">
        <v>88</v>
      </c>
      <c r="W2568">
        <v>46.45</v>
      </c>
      <c r="X2568">
        <v>88</v>
      </c>
      <c r="Y2568">
        <v>400</v>
      </c>
      <c r="Z2568" t="s">
        <v>8842</v>
      </c>
      <c r="AC2568" t="s">
        <v>9852</v>
      </c>
      <c r="AE2568" t="s">
        <v>4840</v>
      </c>
      <c r="AH2568" t="s">
        <v>4840</v>
      </c>
      <c r="AI2568" t="s">
        <v>9852</v>
      </c>
      <c r="AL2568" t="s">
        <v>22341</v>
      </c>
      <c r="AO2568" t="s">
        <v>22400</v>
      </c>
    </row>
    <row r="2569" spans="1:41" hidden="1" x14ac:dyDescent="0.35">
      <c r="A2569" t="s">
        <v>22401</v>
      </c>
      <c r="B2569" t="s">
        <v>7246</v>
      </c>
      <c r="C2569" t="s">
        <v>84</v>
      </c>
      <c r="D2569" t="s">
        <v>84</v>
      </c>
      <c r="E2569" t="s">
        <v>84</v>
      </c>
      <c r="G2569" s="13" t="s">
        <v>22300</v>
      </c>
      <c r="H2569" t="s">
        <v>22339</v>
      </c>
      <c r="I2569" t="s">
        <v>22402</v>
      </c>
      <c r="K2569" t="s">
        <v>22350</v>
      </c>
      <c r="L2569" t="s">
        <v>22351</v>
      </c>
      <c r="M2569" t="s">
        <v>7292</v>
      </c>
      <c r="R2569">
        <v>2</v>
      </c>
      <c r="S2569" t="s">
        <v>8257</v>
      </c>
      <c r="T2569">
        <v>2</v>
      </c>
      <c r="U2569">
        <v>930.77</v>
      </c>
      <c r="V2569">
        <v>180</v>
      </c>
      <c r="W2569">
        <v>84.63</v>
      </c>
      <c r="X2569">
        <v>180</v>
      </c>
      <c r="AC2569" t="s">
        <v>9852</v>
      </c>
      <c r="AE2569" t="s">
        <v>4840</v>
      </c>
      <c r="AH2569" t="s">
        <v>4840</v>
      </c>
      <c r="AI2569" t="s">
        <v>9852</v>
      </c>
      <c r="AL2569" t="s">
        <v>22341</v>
      </c>
      <c r="AO2569" t="s">
        <v>22403</v>
      </c>
    </row>
    <row r="2570" spans="1:41" hidden="1" x14ac:dyDescent="0.35">
      <c r="A2570" t="s">
        <v>22404</v>
      </c>
      <c r="B2570" t="s">
        <v>7246</v>
      </c>
      <c r="C2570" t="s">
        <v>84</v>
      </c>
      <c r="D2570" t="s">
        <v>84</v>
      </c>
      <c r="E2570" t="s">
        <v>84</v>
      </c>
      <c r="G2570" s="13" t="s">
        <v>22300</v>
      </c>
      <c r="H2570" t="s">
        <v>22339</v>
      </c>
      <c r="I2570" t="s">
        <v>22405</v>
      </c>
      <c r="K2570" t="s">
        <v>22302</v>
      </c>
      <c r="L2570" t="s">
        <v>22303</v>
      </c>
      <c r="M2570" t="s">
        <v>7292</v>
      </c>
      <c r="T2570" t="s">
        <v>6546</v>
      </c>
      <c r="U2570" t="s">
        <v>6546</v>
      </c>
      <c r="V2570" t="s">
        <v>6546</v>
      </c>
      <c r="W2570">
        <v>47.87</v>
      </c>
      <c r="X2570">
        <v>47.87</v>
      </c>
      <c r="AC2570" t="s">
        <v>9852</v>
      </c>
      <c r="AE2570" t="s">
        <v>4840</v>
      </c>
      <c r="AH2570" t="s">
        <v>4840</v>
      </c>
      <c r="AI2570" t="s">
        <v>9852</v>
      </c>
      <c r="AL2570" t="s">
        <v>22341</v>
      </c>
      <c r="AO2570" t="s">
        <v>22406</v>
      </c>
    </row>
    <row r="2571" spans="1:41" hidden="1" x14ac:dyDescent="0.35">
      <c r="A2571" t="s">
        <v>22407</v>
      </c>
      <c r="B2571" t="s">
        <v>7246</v>
      </c>
      <c r="C2571" t="s">
        <v>84</v>
      </c>
      <c r="D2571" t="s">
        <v>84</v>
      </c>
      <c r="E2571" t="s">
        <v>84</v>
      </c>
      <c r="G2571" s="13" t="s">
        <v>22300</v>
      </c>
      <c r="H2571" t="s">
        <v>22339</v>
      </c>
      <c r="I2571" t="s">
        <v>22408</v>
      </c>
      <c r="K2571" t="s">
        <v>22367</v>
      </c>
      <c r="L2571" t="s">
        <v>22351</v>
      </c>
      <c r="M2571" t="s">
        <v>7292</v>
      </c>
      <c r="R2571">
        <v>0.5</v>
      </c>
      <c r="S2571" t="s">
        <v>8257</v>
      </c>
      <c r="T2571">
        <v>0.5</v>
      </c>
      <c r="U2571">
        <v>232.69</v>
      </c>
      <c r="V2571">
        <v>307</v>
      </c>
      <c r="W2571">
        <v>247.74</v>
      </c>
      <c r="X2571">
        <v>307</v>
      </c>
      <c r="Y2571">
        <v>300</v>
      </c>
      <c r="Z2571" t="s">
        <v>8842</v>
      </c>
      <c r="AC2571" t="s">
        <v>9852</v>
      </c>
      <c r="AE2571" t="s">
        <v>4840</v>
      </c>
      <c r="AH2571" t="s">
        <v>4840</v>
      </c>
      <c r="AI2571" t="s">
        <v>9852</v>
      </c>
      <c r="AL2571" t="s">
        <v>22341</v>
      </c>
      <c r="AO2571" t="s">
        <v>22409</v>
      </c>
    </row>
    <row r="2572" spans="1:41" hidden="1" x14ac:dyDescent="0.35">
      <c r="A2572" t="s">
        <v>22410</v>
      </c>
      <c r="B2572" t="s">
        <v>7246</v>
      </c>
      <c r="C2572" t="s">
        <v>84</v>
      </c>
      <c r="D2572" t="s">
        <v>84</v>
      </c>
      <c r="E2572" t="s">
        <v>84</v>
      </c>
      <c r="G2572" s="13" t="s">
        <v>22300</v>
      </c>
      <c r="H2572" t="s">
        <v>22339</v>
      </c>
      <c r="I2572" t="s">
        <v>22411</v>
      </c>
      <c r="K2572" t="s">
        <v>22385</v>
      </c>
      <c r="L2572" t="s">
        <v>22351</v>
      </c>
      <c r="M2572" t="s">
        <v>7250</v>
      </c>
      <c r="N2572">
        <v>2020</v>
      </c>
      <c r="R2572">
        <v>0.67</v>
      </c>
      <c r="S2572" t="s">
        <v>8257</v>
      </c>
      <c r="T2572">
        <v>0.67</v>
      </c>
      <c r="U2572">
        <v>311.81</v>
      </c>
      <c r="V2572">
        <v>118</v>
      </c>
      <c r="W2572">
        <v>107.47</v>
      </c>
      <c r="X2572">
        <v>118</v>
      </c>
      <c r="AC2572" t="s">
        <v>9852</v>
      </c>
      <c r="AE2572" t="s">
        <v>4840</v>
      </c>
      <c r="AH2572" t="s">
        <v>4840</v>
      </c>
      <c r="AI2572" t="s">
        <v>9852</v>
      </c>
      <c r="AL2572" t="s">
        <v>22341</v>
      </c>
      <c r="AO2572" t="s">
        <v>22412</v>
      </c>
    </row>
    <row r="2573" spans="1:41" hidden="1" x14ac:dyDescent="0.35">
      <c r="A2573" t="s">
        <v>22413</v>
      </c>
      <c r="B2573" t="s">
        <v>7246</v>
      </c>
      <c r="C2573" t="s">
        <v>84</v>
      </c>
      <c r="D2573" t="s">
        <v>84</v>
      </c>
      <c r="E2573" t="s">
        <v>84</v>
      </c>
      <c r="G2573" s="13" t="s">
        <v>22300</v>
      </c>
      <c r="H2573" t="s">
        <v>22339</v>
      </c>
      <c r="I2573" t="s">
        <v>22414</v>
      </c>
      <c r="K2573" t="s">
        <v>22302</v>
      </c>
      <c r="L2573" t="s">
        <v>22303</v>
      </c>
      <c r="M2573" t="s">
        <v>7250</v>
      </c>
      <c r="N2573">
        <v>2018</v>
      </c>
      <c r="R2573">
        <v>0.15</v>
      </c>
      <c r="S2573" t="s">
        <v>8257</v>
      </c>
      <c r="T2573">
        <v>0.15</v>
      </c>
      <c r="U2573">
        <v>69.81</v>
      </c>
      <c r="V2573">
        <v>60</v>
      </c>
      <c r="W2573">
        <v>50.79</v>
      </c>
      <c r="X2573">
        <v>60</v>
      </c>
      <c r="AC2573" t="s">
        <v>9852</v>
      </c>
      <c r="AE2573" t="s">
        <v>4840</v>
      </c>
      <c r="AG2573" t="s">
        <v>22415</v>
      </c>
      <c r="AH2573" t="s">
        <v>4840</v>
      </c>
      <c r="AI2573" t="s">
        <v>9852</v>
      </c>
      <c r="AL2573" t="s">
        <v>22341</v>
      </c>
      <c r="AO2573" t="s">
        <v>22416</v>
      </c>
    </row>
    <row r="2574" spans="1:41" hidden="1" x14ac:dyDescent="0.35">
      <c r="A2574" t="s">
        <v>22417</v>
      </c>
      <c r="B2574" t="s">
        <v>7246</v>
      </c>
      <c r="C2574" t="s">
        <v>84</v>
      </c>
      <c r="D2574" t="s">
        <v>84</v>
      </c>
      <c r="E2574" t="s">
        <v>84</v>
      </c>
      <c r="G2574" s="13" t="s">
        <v>22418</v>
      </c>
      <c r="H2574" t="s">
        <v>22419</v>
      </c>
      <c r="K2574" t="s">
        <v>6543</v>
      </c>
      <c r="L2574" t="s">
        <v>6543</v>
      </c>
      <c r="M2574" t="s">
        <v>7250</v>
      </c>
      <c r="T2574" t="s">
        <v>6546</v>
      </c>
      <c r="U2574" t="s">
        <v>6546</v>
      </c>
      <c r="V2574">
        <v>1498</v>
      </c>
      <c r="W2574">
        <v>816.12</v>
      </c>
      <c r="X2574">
        <v>1498</v>
      </c>
      <c r="AA2574" t="s">
        <v>22420</v>
      </c>
      <c r="AC2574" t="s">
        <v>9852</v>
      </c>
      <c r="AD2574" t="s">
        <v>4597</v>
      </c>
      <c r="AE2574" t="s">
        <v>3041</v>
      </c>
      <c r="AF2574" t="s">
        <v>22421</v>
      </c>
      <c r="AG2574" t="s">
        <v>22422</v>
      </c>
      <c r="AH2574" t="s">
        <v>3024</v>
      </c>
      <c r="AI2574" t="s">
        <v>9852</v>
      </c>
      <c r="AL2574" t="s">
        <v>22423</v>
      </c>
      <c r="AO2574" t="s">
        <v>22424</v>
      </c>
    </row>
    <row r="2575" spans="1:41" hidden="1" x14ac:dyDescent="0.35">
      <c r="A2575" t="s">
        <v>22425</v>
      </c>
      <c r="B2575" t="s">
        <v>7246</v>
      </c>
      <c r="C2575" t="s">
        <v>84</v>
      </c>
      <c r="D2575" t="s">
        <v>84</v>
      </c>
      <c r="E2575" t="s">
        <v>84</v>
      </c>
      <c r="G2575" s="13" t="s">
        <v>22418</v>
      </c>
      <c r="H2575" t="s">
        <v>22426</v>
      </c>
      <c r="I2575" t="s">
        <v>22427</v>
      </c>
      <c r="K2575" t="s">
        <v>22428</v>
      </c>
      <c r="L2575" t="s">
        <v>22428</v>
      </c>
      <c r="M2575" t="s">
        <v>7250</v>
      </c>
      <c r="N2575">
        <v>2010</v>
      </c>
      <c r="R2575">
        <v>13.5</v>
      </c>
      <c r="S2575" t="s">
        <v>8257</v>
      </c>
      <c r="T2575">
        <v>13.5</v>
      </c>
      <c r="U2575">
        <v>6282.68</v>
      </c>
      <c r="V2575" t="s">
        <v>6546</v>
      </c>
      <c r="W2575">
        <v>152.62</v>
      </c>
      <c r="X2575">
        <v>152.62</v>
      </c>
      <c r="AB2575" t="s">
        <v>22429</v>
      </c>
      <c r="AC2575" t="s">
        <v>9852</v>
      </c>
      <c r="AD2575" t="s">
        <v>4597</v>
      </c>
      <c r="AE2575" t="s">
        <v>3041</v>
      </c>
      <c r="AF2575" t="s">
        <v>6664</v>
      </c>
      <c r="AG2575" t="s">
        <v>4572</v>
      </c>
      <c r="AH2575" t="s">
        <v>3041</v>
      </c>
      <c r="AI2575" t="s">
        <v>9852</v>
      </c>
      <c r="AL2575" t="s">
        <v>22430</v>
      </c>
      <c r="AO2575" t="s">
        <v>22431</v>
      </c>
    </row>
    <row r="2576" spans="1:41" hidden="1" x14ac:dyDescent="0.35">
      <c r="A2576" t="s">
        <v>22432</v>
      </c>
      <c r="B2576" t="s">
        <v>7246</v>
      </c>
      <c r="C2576" t="s">
        <v>84</v>
      </c>
      <c r="D2576" t="s">
        <v>84</v>
      </c>
      <c r="E2576" t="s">
        <v>84</v>
      </c>
      <c r="G2576" s="13" t="s">
        <v>22418</v>
      </c>
      <c r="H2576" t="s">
        <v>22426</v>
      </c>
      <c r="I2576" t="s">
        <v>22433</v>
      </c>
      <c r="K2576" t="s">
        <v>22428</v>
      </c>
      <c r="L2576" t="s">
        <v>22428</v>
      </c>
      <c r="M2576" t="s">
        <v>7250</v>
      </c>
      <c r="N2576">
        <v>2006</v>
      </c>
      <c r="R2576">
        <v>0.44</v>
      </c>
      <c r="S2576" t="s">
        <v>8257</v>
      </c>
      <c r="T2576">
        <v>0.44</v>
      </c>
      <c r="U2576">
        <v>204.77</v>
      </c>
      <c r="V2576" t="s">
        <v>6546</v>
      </c>
      <c r="W2576">
        <v>88.63</v>
      </c>
      <c r="X2576">
        <v>88.63</v>
      </c>
      <c r="AA2576" t="s">
        <v>22434</v>
      </c>
      <c r="AB2576" t="s">
        <v>22435</v>
      </c>
      <c r="AC2576" t="s">
        <v>9852</v>
      </c>
      <c r="AD2576" t="s">
        <v>4585</v>
      </c>
      <c r="AE2576" t="s">
        <v>3041</v>
      </c>
      <c r="AG2576" t="s">
        <v>4564</v>
      </c>
      <c r="AH2576" t="s">
        <v>3041</v>
      </c>
      <c r="AI2576" t="s">
        <v>9852</v>
      </c>
      <c r="AL2576" t="s">
        <v>22430</v>
      </c>
      <c r="AO2576" t="s">
        <v>22436</v>
      </c>
    </row>
    <row r="2577" spans="1:41" hidden="1" x14ac:dyDescent="0.35">
      <c r="A2577" t="s">
        <v>22437</v>
      </c>
      <c r="B2577" t="s">
        <v>7246</v>
      </c>
      <c r="C2577" t="s">
        <v>84</v>
      </c>
      <c r="D2577" t="s">
        <v>84</v>
      </c>
      <c r="E2577" t="s">
        <v>84</v>
      </c>
      <c r="G2577" s="13" t="s">
        <v>22418</v>
      </c>
      <c r="H2577" t="s">
        <v>22426</v>
      </c>
      <c r="I2577" t="s">
        <v>22438</v>
      </c>
      <c r="K2577" t="s">
        <v>22428</v>
      </c>
      <c r="L2577" t="s">
        <v>22428</v>
      </c>
      <c r="M2577" t="s">
        <v>7250</v>
      </c>
      <c r="N2577">
        <v>2007</v>
      </c>
      <c r="R2577">
        <v>1.18</v>
      </c>
      <c r="S2577" t="s">
        <v>8257</v>
      </c>
      <c r="T2577">
        <v>1.18</v>
      </c>
      <c r="U2577">
        <v>549.15</v>
      </c>
      <c r="V2577" t="s">
        <v>6546</v>
      </c>
      <c r="W2577">
        <v>59.79</v>
      </c>
      <c r="X2577">
        <v>59.79</v>
      </c>
      <c r="AA2577" t="s">
        <v>22439</v>
      </c>
      <c r="AC2577" t="s">
        <v>9852</v>
      </c>
      <c r="AD2577" t="s">
        <v>22435</v>
      </c>
      <c r="AE2577" t="s">
        <v>3041</v>
      </c>
      <c r="AG2577" t="s">
        <v>4585</v>
      </c>
      <c r="AH2577" t="s">
        <v>3041</v>
      </c>
      <c r="AI2577" t="s">
        <v>9852</v>
      </c>
      <c r="AL2577" t="s">
        <v>22430</v>
      </c>
      <c r="AO2577" t="s">
        <v>22440</v>
      </c>
    </row>
    <row r="2578" spans="1:41" hidden="1" x14ac:dyDescent="0.35">
      <c r="A2578" t="s">
        <v>22441</v>
      </c>
      <c r="B2578" t="s">
        <v>7246</v>
      </c>
      <c r="C2578" t="s">
        <v>84</v>
      </c>
      <c r="D2578" t="s">
        <v>84</v>
      </c>
      <c r="E2578" t="s">
        <v>84</v>
      </c>
      <c r="G2578" s="13" t="s">
        <v>22418</v>
      </c>
      <c r="H2578" t="s">
        <v>22419</v>
      </c>
      <c r="I2578" t="s">
        <v>22327</v>
      </c>
      <c r="K2578" t="s">
        <v>6543</v>
      </c>
      <c r="L2578" t="s">
        <v>6543</v>
      </c>
      <c r="M2578" t="s">
        <v>7250</v>
      </c>
      <c r="N2578">
        <v>2005</v>
      </c>
      <c r="R2578">
        <v>10</v>
      </c>
      <c r="S2578" t="s">
        <v>8257</v>
      </c>
      <c r="T2578">
        <v>10</v>
      </c>
      <c r="U2578">
        <v>4653.83</v>
      </c>
      <c r="V2578" t="s">
        <v>6546</v>
      </c>
      <c r="W2578">
        <v>816.12</v>
      </c>
      <c r="X2578">
        <v>816.12</v>
      </c>
      <c r="AA2578" t="s">
        <v>22420</v>
      </c>
      <c r="AB2578" t="s">
        <v>22442</v>
      </c>
      <c r="AC2578" t="s">
        <v>9852</v>
      </c>
      <c r="AD2578" t="s">
        <v>4597</v>
      </c>
      <c r="AE2578" t="s">
        <v>3041</v>
      </c>
      <c r="AF2578" t="s">
        <v>22421</v>
      </c>
      <c r="AG2578" t="s">
        <v>22422</v>
      </c>
      <c r="AH2578" t="s">
        <v>3024</v>
      </c>
      <c r="AI2578" t="s">
        <v>9852</v>
      </c>
      <c r="AL2578" t="s">
        <v>22423</v>
      </c>
      <c r="AO2578" t="s">
        <v>22424</v>
      </c>
    </row>
    <row r="2579" spans="1:41" hidden="1" x14ac:dyDescent="0.35">
      <c r="A2579" t="s">
        <v>22443</v>
      </c>
      <c r="B2579" t="s">
        <v>7246</v>
      </c>
      <c r="C2579" t="s">
        <v>84</v>
      </c>
      <c r="D2579" t="s">
        <v>84</v>
      </c>
      <c r="E2579" t="s">
        <v>84</v>
      </c>
      <c r="G2579" s="13" t="s">
        <v>22444</v>
      </c>
      <c r="H2579" t="s">
        <v>22445</v>
      </c>
      <c r="I2579" t="s">
        <v>22446</v>
      </c>
      <c r="K2579" t="s">
        <v>22256</v>
      </c>
      <c r="L2579" t="s">
        <v>22257</v>
      </c>
      <c r="M2579" t="s">
        <v>7292</v>
      </c>
      <c r="R2579">
        <v>0.75</v>
      </c>
      <c r="S2579" t="s">
        <v>8257</v>
      </c>
      <c r="T2579">
        <v>0.75</v>
      </c>
      <c r="U2579">
        <v>349.04</v>
      </c>
      <c r="V2579">
        <v>650</v>
      </c>
      <c r="W2579">
        <v>558.62</v>
      </c>
      <c r="X2579">
        <v>650</v>
      </c>
      <c r="AA2579" t="s">
        <v>22255</v>
      </c>
      <c r="AB2579" t="s">
        <v>22447</v>
      </c>
      <c r="AC2579" t="s">
        <v>9852</v>
      </c>
      <c r="AD2579" t="s">
        <v>4436</v>
      </c>
      <c r="AE2579" t="s">
        <v>3027</v>
      </c>
      <c r="AG2579" t="s">
        <v>22448</v>
      </c>
      <c r="AH2579" t="s">
        <v>4519</v>
      </c>
      <c r="AI2579" t="s">
        <v>9852</v>
      </c>
      <c r="AL2579" t="s">
        <v>22449</v>
      </c>
      <c r="AO2579" t="s">
        <v>22450</v>
      </c>
    </row>
    <row r="2580" spans="1:41" hidden="1" x14ac:dyDescent="0.35">
      <c r="A2580" t="s">
        <v>22451</v>
      </c>
      <c r="B2580" t="s">
        <v>7246</v>
      </c>
      <c r="C2580" t="s">
        <v>84</v>
      </c>
      <c r="D2580" t="s">
        <v>84</v>
      </c>
      <c r="E2580" t="s">
        <v>84</v>
      </c>
      <c r="G2580" s="13" t="s">
        <v>22444</v>
      </c>
      <c r="H2580" t="s">
        <v>22445</v>
      </c>
      <c r="I2580" t="s">
        <v>22452</v>
      </c>
      <c r="K2580" t="s">
        <v>6543</v>
      </c>
      <c r="L2580" t="s">
        <v>6543</v>
      </c>
      <c r="M2580" t="s">
        <v>7292</v>
      </c>
      <c r="N2580">
        <v>2023</v>
      </c>
      <c r="R2580">
        <v>1.6</v>
      </c>
      <c r="S2580" t="s">
        <v>8257</v>
      </c>
      <c r="T2580">
        <v>1.6</v>
      </c>
      <c r="U2580">
        <v>744.61</v>
      </c>
      <c r="V2580">
        <v>52.5</v>
      </c>
      <c r="W2580" t="s">
        <v>6546</v>
      </c>
      <c r="X2580">
        <v>52.5</v>
      </c>
      <c r="AA2580" t="s">
        <v>22453</v>
      </c>
      <c r="AB2580" t="s">
        <v>22454</v>
      </c>
      <c r="AC2580" t="s">
        <v>9852</v>
      </c>
      <c r="AD2580" t="s">
        <v>4536</v>
      </c>
      <c r="AE2580" t="s">
        <v>4519</v>
      </c>
      <c r="AF2580" t="s">
        <v>22455</v>
      </c>
      <c r="AG2580" t="s">
        <v>4536</v>
      </c>
      <c r="AH2580" t="s">
        <v>4519</v>
      </c>
      <c r="AI2580" t="s">
        <v>9852</v>
      </c>
      <c r="AL2580" t="s">
        <v>22449</v>
      </c>
      <c r="AO2580" t="s">
        <v>6546</v>
      </c>
    </row>
    <row r="2581" spans="1:41" hidden="1" x14ac:dyDescent="0.35">
      <c r="A2581" t="s">
        <v>22456</v>
      </c>
      <c r="B2581" t="s">
        <v>7246</v>
      </c>
      <c r="C2581" t="s">
        <v>84</v>
      </c>
      <c r="D2581" t="s">
        <v>84</v>
      </c>
      <c r="E2581" t="s">
        <v>84</v>
      </c>
      <c r="G2581" s="13" t="s">
        <v>22457</v>
      </c>
      <c r="H2581" t="s">
        <v>22445</v>
      </c>
      <c r="I2581" t="s">
        <v>22458</v>
      </c>
      <c r="K2581" t="s">
        <v>22459</v>
      </c>
      <c r="L2581" t="s">
        <v>22460</v>
      </c>
      <c r="M2581" t="s">
        <v>7292</v>
      </c>
      <c r="N2581">
        <v>2024</v>
      </c>
      <c r="R2581">
        <v>1</v>
      </c>
      <c r="S2581" t="s">
        <v>8257</v>
      </c>
      <c r="T2581">
        <v>1</v>
      </c>
      <c r="U2581">
        <v>465.38</v>
      </c>
      <c r="V2581">
        <v>180</v>
      </c>
      <c r="W2581" t="s">
        <v>6546</v>
      </c>
      <c r="X2581">
        <v>180</v>
      </c>
      <c r="AB2581" t="s">
        <v>22461</v>
      </c>
      <c r="AC2581" t="s">
        <v>9852</v>
      </c>
      <c r="AD2581" t="s">
        <v>22462</v>
      </c>
      <c r="AE2581" t="s">
        <v>4519</v>
      </c>
      <c r="AF2581" t="s">
        <v>22463</v>
      </c>
      <c r="AG2581" t="s">
        <v>22462</v>
      </c>
      <c r="AH2581" t="s">
        <v>4519</v>
      </c>
      <c r="AI2581" t="s">
        <v>9852</v>
      </c>
      <c r="AL2581" t="s">
        <v>22449</v>
      </c>
      <c r="AO2581" t="s">
        <v>6546</v>
      </c>
    </row>
    <row r="2582" spans="1:41" hidden="1" x14ac:dyDescent="0.35">
      <c r="A2582" t="s">
        <v>22464</v>
      </c>
      <c r="B2582" t="s">
        <v>7246</v>
      </c>
      <c r="C2582" t="s">
        <v>84</v>
      </c>
      <c r="D2582" t="s">
        <v>84</v>
      </c>
      <c r="E2582" t="s">
        <v>84</v>
      </c>
      <c r="G2582" s="13" t="s">
        <v>22444</v>
      </c>
      <c r="H2582" t="s">
        <v>22445</v>
      </c>
      <c r="I2582" t="s">
        <v>22465</v>
      </c>
      <c r="K2582" t="s">
        <v>22466</v>
      </c>
      <c r="L2582" t="s">
        <v>22467</v>
      </c>
      <c r="M2582" t="s">
        <v>7250</v>
      </c>
      <c r="N2582">
        <v>2008</v>
      </c>
      <c r="R2582">
        <v>0.8</v>
      </c>
      <c r="S2582" t="s">
        <v>8257</v>
      </c>
      <c r="T2582">
        <v>0.8</v>
      </c>
      <c r="U2582">
        <v>372.31</v>
      </c>
      <c r="V2582">
        <v>300</v>
      </c>
      <c r="W2582">
        <v>203.29</v>
      </c>
      <c r="X2582">
        <v>300</v>
      </c>
      <c r="Y2582">
        <v>508</v>
      </c>
      <c r="Z2582" t="s">
        <v>8842</v>
      </c>
      <c r="AC2582" t="s">
        <v>9852</v>
      </c>
      <c r="AE2582" t="s">
        <v>4519</v>
      </c>
      <c r="AH2582" t="s">
        <v>4519</v>
      </c>
      <c r="AI2582" t="s">
        <v>9852</v>
      </c>
      <c r="AL2582" t="s">
        <v>22449</v>
      </c>
      <c r="AO2582" t="s">
        <v>22468</v>
      </c>
    </row>
    <row r="2583" spans="1:41" hidden="1" x14ac:dyDescent="0.35">
      <c r="A2583" t="s">
        <v>22469</v>
      </c>
      <c r="B2583" t="s">
        <v>7246</v>
      </c>
      <c r="C2583" t="s">
        <v>84</v>
      </c>
      <c r="D2583" t="s">
        <v>84</v>
      </c>
      <c r="E2583" t="s">
        <v>84</v>
      </c>
      <c r="G2583" s="13" t="s">
        <v>22444</v>
      </c>
      <c r="H2583" t="s">
        <v>22445</v>
      </c>
      <c r="I2583" t="s">
        <v>22470</v>
      </c>
      <c r="K2583" t="s">
        <v>22471</v>
      </c>
      <c r="L2583" t="s">
        <v>22472</v>
      </c>
      <c r="M2583" t="s">
        <v>7250</v>
      </c>
      <c r="N2583">
        <v>2007</v>
      </c>
      <c r="R2583">
        <v>1</v>
      </c>
      <c r="S2583" t="s">
        <v>8257</v>
      </c>
      <c r="T2583">
        <v>1</v>
      </c>
      <c r="U2583">
        <v>465.38</v>
      </c>
      <c r="V2583">
        <v>119.2</v>
      </c>
      <c r="W2583">
        <v>112.63</v>
      </c>
      <c r="X2583">
        <v>119.2</v>
      </c>
      <c r="Y2583">
        <v>406</v>
      </c>
      <c r="Z2583" t="s">
        <v>8842</v>
      </c>
      <c r="AC2583" t="s">
        <v>9852</v>
      </c>
      <c r="AE2583" t="s">
        <v>4519</v>
      </c>
      <c r="AH2583" t="s">
        <v>4519</v>
      </c>
      <c r="AI2583" t="s">
        <v>9852</v>
      </c>
      <c r="AL2583" t="s">
        <v>22449</v>
      </c>
      <c r="AO2583" t="s">
        <v>22473</v>
      </c>
    </row>
    <row r="2584" spans="1:41" hidden="1" x14ac:dyDescent="0.35">
      <c r="A2584" t="s">
        <v>22474</v>
      </c>
      <c r="B2584" t="s">
        <v>7246</v>
      </c>
      <c r="C2584" t="s">
        <v>84</v>
      </c>
      <c r="D2584" t="s">
        <v>84</v>
      </c>
      <c r="E2584" t="s">
        <v>84</v>
      </c>
      <c r="G2584" s="13" t="s">
        <v>22444</v>
      </c>
      <c r="H2584" t="s">
        <v>22445</v>
      </c>
      <c r="I2584" t="s">
        <v>22475</v>
      </c>
      <c r="K2584" t="s">
        <v>22459</v>
      </c>
      <c r="L2584" t="s">
        <v>22460</v>
      </c>
      <c r="M2584" t="s">
        <v>7250</v>
      </c>
      <c r="N2584">
        <v>2008</v>
      </c>
      <c r="R2584">
        <v>0.4</v>
      </c>
      <c r="S2584" t="s">
        <v>8257</v>
      </c>
      <c r="T2584">
        <v>0.4</v>
      </c>
      <c r="U2584">
        <v>186.15</v>
      </c>
      <c r="V2584">
        <v>426</v>
      </c>
      <c r="W2584">
        <v>365.85</v>
      </c>
      <c r="X2584">
        <v>426</v>
      </c>
      <c r="Y2584">
        <v>355.6</v>
      </c>
      <c r="Z2584" t="s">
        <v>8842</v>
      </c>
      <c r="AC2584" t="s">
        <v>9852</v>
      </c>
      <c r="AE2584" t="s">
        <v>4519</v>
      </c>
      <c r="AH2584" t="s">
        <v>4519</v>
      </c>
      <c r="AI2584" t="s">
        <v>9852</v>
      </c>
      <c r="AL2584" t="s">
        <v>22449</v>
      </c>
      <c r="AO2584" t="s">
        <v>22476</v>
      </c>
    </row>
    <row r="2585" spans="1:41" hidden="1" x14ac:dyDescent="0.35">
      <c r="A2585" t="s">
        <v>22477</v>
      </c>
      <c r="B2585" t="s">
        <v>7246</v>
      </c>
      <c r="C2585" t="s">
        <v>84</v>
      </c>
      <c r="D2585" t="s">
        <v>84</v>
      </c>
      <c r="E2585" t="s">
        <v>84</v>
      </c>
      <c r="G2585" s="13" t="s">
        <v>22444</v>
      </c>
      <c r="H2585" t="s">
        <v>22445</v>
      </c>
      <c r="I2585" t="s">
        <v>22478</v>
      </c>
      <c r="K2585" t="s">
        <v>6543</v>
      </c>
      <c r="L2585" t="s">
        <v>6543</v>
      </c>
      <c r="M2585" t="s">
        <v>7292</v>
      </c>
      <c r="N2585">
        <v>2025</v>
      </c>
      <c r="R2585">
        <v>0.4</v>
      </c>
      <c r="S2585" t="s">
        <v>8257</v>
      </c>
      <c r="T2585">
        <v>0.4</v>
      </c>
      <c r="U2585">
        <v>186.15</v>
      </c>
      <c r="V2585">
        <v>151</v>
      </c>
      <c r="W2585" t="s">
        <v>6546</v>
      </c>
      <c r="X2585">
        <v>151</v>
      </c>
      <c r="AA2585" t="s">
        <v>22479</v>
      </c>
      <c r="AB2585" t="s">
        <v>22480</v>
      </c>
      <c r="AC2585" t="s">
        <v>9852</v>
      </c>
      <c r="AD2585" t="s">
        <v>22462</v>
      </c>
      <c r="AE2585" t="s">
        <v>4519</v>
      </c>
      <c r="AF2585" t="s">
        <v>22481</v>
      </c>
      <c r="AG2585" t="s">
        <v>22462</v>
      </c>
      <c r="AH2585" t="s">
        <v>4519</v>
      </c>
      <c r="AI2585" t="s">
        <v>9852</v>
      </c>
      <c r="AL2585" t="s">
        <v>22449</v>
      </c>
      <c r="AO2585" t="s">
        <v>6546</v>
      </c>
    </row>
    <row r="2586" spans="1:41" hidden="1" x14ac:dyDescent="0.35">
      <c r="A2586" t="s">
        <v>22482</v>
      </c>
      <c r="B2586" t="s">
        <v>7246</v>
      </c>
      <c r="C2586" t="s">
        <v>84</v>
      </c>
      <c r="D2586" t="s">
        <v>84</v>
      </c>
      <c r="E2586" t="s">
        <v>84</v>
      </c>
      <c r="G2586" s="13" t="s">
        <v>22444</v>
      </c>
      <c r="H2586" t="s">
        <v>22445</v>
      </c>
      <c r="I2586" t="s">
        <v>22483</v>
      </c>
      <c r="K2586" t="s">
        <v>22484</v>
      </c>
      <c r="L2586" t="s">
        <v>22484</v>
      </c>
      <c r="M2586" t="s">
        <v>7250</v>
      </c>
      <c r="N2586">
        <v>2019</v>
      </c>
      <c r="R2586">
        <v>1</v>
      </c>
      <c r="S2586" t="s">
        <v>8257</v>
      </c>
      <c r="T2586">
        <v>1</v>
      </c>
      <c r="U2586">
        <v>465.38</v>
      </c>
      <c r="V2586">
        <v>108</v>
      </c>
      <c r="W2586" t="s">
        <v>6546</v>
      </c>
      <c r="X2586">
        <v>108</v>
      </c>
      <c r="Y2586">
        <v>711</v>
      </c>
      <c r="Z2586" t="s">
        <v>8842</v>
      </c>
      <c r="AB2586" t="s">
        <v>22485</v>
      </c>
      <c r="AC2586" t="s">
        <v>9852</v>
      </c>
      <c r="AD2586" t="s">
        <v>4536</v>
      </c>
      <c r="AE2586" t="s">
        <v>4519</v>
      </c>
      <c r="AF2586" t="s">
        <v>22486</v>
      </c>
      <c r="AG2586" t="s">
        <v>4536</v>
      </c>
      <c r="AH2586" t="s">
        <v>4519</v>
      </c>
      <c r="AI2586" t="s">
        <v>9852</v>
      </c>
      <c r="AL2586" t="s">
        <v>22449</v>
      </c>
      <c r="AO2586" t="s">
        <v>6546</v>
      </c>
    </row>
    <row r="2587" spans="1:41" hidden="1" x14ac:dyDescent="0.35">
      <c r="A2587" t="s">
        <v>22487</v>
      </c>
      <c r="B2587" t="s">
        <v>7246</v>
      </c>
      <c r="C2587" t="s">
        <v>84</v>
      </c>
      <c r="D2587" t="s">
        <v>84</v>
      </c>
      <c r="E2587" t="s">
        <v>84</v>
      </c>
      <c r="G2587" s="13" t="s">
        <v>22488</v>
      </c>
      <c r="H2587" t="s">
        <v>22445</v>
      </c>
      <c r="I2587" t="s">
        <v>22489</v>
      </c>
      <c r="K2587" t="s">
        <v>22490</v>
      </c>
      <c r="L2587" t="s">
        <v>22491</v>
      </c>
      <c r="M2587" t="s">
        <v>7250</v>
      </c>
      <c r="N2587">
        <v>2017</v>
      </c>
      <c r="R2587">
        <v>0.48</v>
      </c>
      <c r="S2587" t="s">
        <v>8257</v>
      </c>
      <c r="T2587">
        <v>0.48</v>
      </c>
      <c r="U2587">
        <v>223.38</v>
      </c>
      <c r="V2587">
        <v>166</v>
      </c>
      <c r="W2587">
        <v>143.81</v>
      </c>
      <c r="X2587">
        <v>166</v>
      </c>
      <c r="AA2587" t="s">
        <v>22492</v>
      </c>
      <c r="AB2587" t="s">
        <v>22493</v>
      </c>
      <c r="AC2587" t="s">
        <v>9852</v>
      </c>
      <c r="AD2587" t="s">
        <v>4536</v>
      </c>
      <c r="AE2587" t="s">
        <v>4519</v>
      </c>
      <c r="AF2587" t="s">
        <v>22494</v>
      </c>
      <c r="AG2587" t="s">
        <v>22495</v>
      </c>
      <c r="AH2587" t="s">
        <v>4519</v>
      </c>
      <c r="AI2587" t="s">
        <v>9852</v>
      </c>
      <c r="AL2587" t="s">
        <v>22449</v>
      </c>
      <c r="AO2587" t="s">
        <v>22496</v>
      </c>
    </row>
    <row r="2588" spans="1:41" hidden="1" x14ac:dyDescent="0.35">
      <c r="A2588" t="s">
        <v>22497</v>
      </c>
      <c r="B2588" t="s">
        <v>7246</v>
      </c>
      <c r="C2588" t="s">
        <v>84</v>
      </c>
      <c r="D2588" t="s">
        <v>84</v>
      </c>
      <c r="E2588" t="s">
        <v>84</v>
      </c>
      <c r="G2588" s="13" t="s">
        <v>22444</v>
      </c>
      <c r="H2588" t="s">
        <v>22445</v>
      </c>
      <c r="I2588" t="s">
        <v>22498</v>
      </c>
      <c r="K2588" t="s">
        <v>22499</v>
      </c>
      <c r="L2588" t="s">
        <v>22500</v>
      </c>
      <c r="M2588" t="s">
        <v>7250</v>
      </c>
      <c r="N2588">
        <v>2003</v>
      </c>
      <c r="R2588">
        <v>0.2</v>
      </c>
      <c r="S2588" t="s">
        <v>8257</v>
      </c>
      <c r="T2588">
        <v>0.2</v>
      </c>
      <c r="U2588">
        <v>93.08</v>
      </c>
      <c r="V2588">
        <v>138</v>
      </c>
      <c r="W2588">
        <v>124.53</v>
      </c>
      <c r="X2588">
        <v>138</v>
      </c>
      <c r="Y2588">
        <v>159</v>
      </c>
      <c r="Z2588" t="s">
        <v>8842</v>
      </c>
      <c r="AC2588" t="s">
        <v>9852</v>
      </c>
      <c r="AE2588" t="s">
        <v>4519</v>
      </c>
      <c r="AH2588" t="s">
        <v>4519</v>
      </c>
      <c r="AI2588" t="s">
        <v>9852</v>
      </c>
      <c r="AL2588" t="s">
        <v>22449</v>
      </c>
      <c r="AO2588" t="s">
        <v>22501</v>
      </c>
    </row>
    <row r="2589" spans="1:41" hidden="1" x14ac:dyDescent="0.35">
      <c r="A2589" t="s">
        <v>22502</v>
      </c>
      <c r="B2589" t="s">
        <v>7246</v>
      </c>
      <c r="C2589" t="s">
        <v>84</v>
      </c>
      <c r="D2589" t="s">
        <v>84</v>
      </c>
      <c r="E2589" t="s">
        <v>84</v>
      </c>
      <c r="G2589" s="13" t="s">
        <v>22444</v>
      </c>
      <c r="H2589" t="s">
        <v>22445</v>
      </c>
      <c r="I2589" t="s">
        <v>22503</v>
      </c>
      <c r="K2589" t="s">
        <v>22499</v>
      </c>
      <c r="L2589" t="s">
        <v>22500</v>
      </c>
      <c r="M2589" t="s">
        <v>7250</v>
      </c>
      <c r="N2589">
        <v>2012</v>
      </c>
      <c r="R2589">
        <v>0.1</v>
      </c>
      <c r="S2589" t="s">
        <v>8257</v>
      </c>
      <c r="T2589">
        <v>0.1</v>
      </c>
      <c r="U2589">
        <v>46.54</v>
      </c>
      <c r="V2589">
        <v>61.5</v>
      </c>
      <c r="W2589" t="s">
        <v>6546</v>
      </c>
      <c r="X2589">
        <v>61.5</v>
      </c>
      <c r="Y2589">
        <v>159</v>
      </c>
      <c r="Z2589" t="s">
        <v>8842</v>
      </c>
      <c r="AC2589" t="s">
        <v>9852</v>
      </c>
      <c r="AE2589" t="s">
        <v>4519</v>
      </c>
      <c r="AH2589" t="s">
        <v>4519</v>
      </c>
      <c r="AI2589" t="s">
        <v>9852</v>
      </c>
      <c r="AL2589" t="s">
        <v>22449</v>
      </c>
      <c r="AO2589" t="s">
        <v>6546</v>
      </c>
    </row>
    <row r="2590" spans="1:41" hidden="1" x14ac:dyDescent="0.35">
      <c r="A2590" t="s">
        <v>22504</v>
      </c>
      <c r="B2590" t="s">
        <v>7246</v>
      </c>
      <c r="C2590" t="s">
        <v>84</v>
      </c>
      <c r="D2590" t="s">
        <v>84</v>
      </c>
      <c r="E2590" t="s">
        <v>84</v>
      </c>
      <c r="G2590" s="13" t="s">
        <v>22444</v>
      </c>
      <c r="H2590" t="s">
        <v>22445</v>
      </c>
      <c r="I2590" t="s">
        <v>22505</v>
      </c>
      <c r="K2590" t="s">
        <v>6543</v>
      </c>
      <c r="L2590" t="s">
        <v>6543</v>
      </c>
      <c r="M2590" t="s">
        <v>7292</v>
      </c>
      <c r="N2590">
        <v>2023</v>
      </c>
      <c r="R2590">
        <v>0.5</v>
      </c>
      <c r="S2590" t="s">
        <v>8257</v>
      </c>
      <c r="T2590">
        <v>0.5</v>
      </c>
      <c r="U2590">
        <v>232.69</v>
      </c>
      <c r="V2590">
        <v>33</v>
      </c>
      <c r="W2590" t="s">
        <v>6546</v>
      </c>
      <c r="X2590">
        <v>33</v>
      </c>
      <c r="AA2590" t="s">
        <v>22506</v>
      </c>
      <c r="AB2590" t="s">
        <v>22507</v>
      </c>
      <c r="AC2590" t="s">
        <v>9852</v>
      </c>
      <c r="AD2590" t="s">
        <v>4532</v>
      </c>
      <c r="AE2590" t="s">
        <v>4519</v>
      </c>
      <c r="AF2590" t="s">
        <v>22508</v>
      </c>
      <c r="AG2590" t="s">
        <v>22509</v>
      </c>
      <c r="AH2590" t="s">
        <v>4519</v>
      </c>
      <c r="AI2590" t="s">
        <v>9852</v>
      </c>
      <c r="AL2590" t="s">
        <v>22449</v>
      </c>
      <c r="AO2590" t="s">
        <v>6546</v>
      </c>
    </row>
    <row r="2591" spans="1:41" hidden="1" x14ac:dyDescent="0.35">
      <c r="A2591" t="s">
        <v>22510</v>
      </c>
      <c r="B2591" t="s">
        <v>7246</v>
      </c>
      <c r="C2591" t="s">
        <v>84</v>
      </c>
      <c r="D2591" t="s">
        <v>84</v>
      </c>
      <c r="E2591" t="s">
        <v>84</v>
      </c>
      <c r="G2591" s="13" t="s">
        <v>22444</v>
      </c>
      <c r="H2591" t="s">
        <v>22445</v>
      </c>
      <c r="I2591" t="s">
        <v>22511</v>
      </c>
      <c r="K2591" t="s">
        <v>6543</v>
      </c>
      <c r="L2591" t="s">
        <v>6543</v>
      </c>
      <c r="M2591" t="s">
        <v>7292</v>
      </c>
      <c r="N2591">
        <v>2023</v>
      </c>
      <c r="R2591">
        <v>1.2</v>
      </c>
      <c r="S2591" t="s">
        <v>8257</v>
      </c>
      <c r="T2591">
        <v>1.2</v>
      </c>
      <c r="U2591">
        <v>558.46</v>
      </c>
      <c r="V2591">
        <v>217</v>
      </c>
      <c r="W2591" t="s">
        <v>6546</v>
      </c>
      <c r="X2591">
        <v>217</v>
      </c>
      <c r="AA2591" t="s">
        <v>22512</v>
      </c>
      <c r="AB2591" t="s">
        <v>22513</v>
      </c>
      <c r="AC2591" t="s">
        <v>9852</v>
      </c>
      <c r="AD2591" t="s">
        <v>22514</v>
      </c>
      <c r="AE2591" t="s">
        <v>4519</v>
      </c>
      <c r="AF2591" t="s">
        <v>22515</v>
      </c>
      <c r="AG2591" t="s">
        <v>22514</v>
      </c>
      <c r="AH2591" t="s">
        <v>4519</v>
      </c>
      <c r="AI2591" t="s">
        <v>9852</v>
      </c>
      <c r="AL2591" t="s">
        <v>22449</v>
      </c>
      <c r="AO2591" t="s">
        <v>6546</v>
      </c>
    </row>
    <row r="2592" spans="1:41" hidden="1" x14ac:dyDescent="0.35">
      <c r="A2592" t="s">
        <v>22516</v>
      </c>
      <c r="B2592" t="s">
        <v>7246</v>
      </c>
      <c r="C2592" t="s">
        <v>84</v>
      </c>
      <c r="D2592" t="s">
        <v>84</v>
      </c>
      <c r="E2592" t="s">
        <v>84</v>
      </c>
      <c r="G2592" s="13" t="s">
        <v>22444</v>
      </c>
      <c r="H2592" t="s">
        <v>22445</v>
      </c>
      <c r="I2592" t="s">
        <v>22517</v>
      </c>
      <c r="K2592" t="s">
        <v>6543</v>
      </c>
      <c r="L2592" t="s">
        <v>6543</v>
      </c>
      <c r="M2592" t="s">
        <v>7292</v>
      </c>
      <c r="N2592">
        <v>2024</v>
      </c>
      <c r="R2592">
        <v>0.5</v>
      </c>
      <c r="S2592" t="s">
        <v>8257</v>
      </c>
      <c r="T2592">
        <v>0.5</v>
      </c>
      <c r="U2592">
        <v>232.69</v>
      </c>
      <c r="V2592">
        <v>126</v>
      </c>
      <c r="W2592" t="s">
        <v>6546</v>
      </c>
      <c r="X2592">
        <v>126</v>
      </c>
      <c r="AB2592" t="s">
        <v>22518</v>
      </c>
      <c r="AC2592" t="s">
        <v>9852</v>
      </c>
      <c r="AD2592" t="s">
        <v>4518</v>
      </c>
      <c r="AE2592" t="s">
        <v>4519</v>
      </c>
      <c r="AF2592" t="s">
        <v>22519</v>
      </c>
      <c r="AG2592" t="s">
        <v>4518</v>
      </c>
      <c r="AH2592" t="s">
        <v>4519</v>
      </c>
      <c r="AI2592" t="s">
        <v>9852</v>
      </c>
      <c r="AL2592" t="s">
        <v>22449</v>
      </c>
      <c r="AO2592" t="s">
        <v>6546</v>
      </c>
    </row>
    <row r="2593" spans="1:41" hidden="1" x14ac:dyDescent="0.35">
      <c r="A2593" t="s">
        <v>22520</v>
      </c>
      <c r="B2593" t="s">
        <v>7246</v>
      </c>
      <c r="C2593" t="s">
        <v>84</v>
      </c>
      <c r="D2593" t="s">
        <v>84</v>
      </c>
      <c r="E2593" t="s">
        <v>84</v>
      </c>
      <c r="G2593" s="13" t="s">
        <v>22444</v>
      </c>
      <c r="H2593" t="s">
        <v>22445</v>
      </c>
      <c r="I2593" t="s">
        <v>22521</v>
      </c>
      <c r="K2593" t="s">
        <v>6543</v>
      </c>
      <c r="L2593" t="s">
        <v>6543</v>
      </c>
      <c r="M2593" t="s">
        <v>7292</v>
      </c>
      <c r="N2593">
        <v>2023</v>
      </c>
      <c r="R2593">
        <v>0.4</v>
      </c>
      <c r="S2593" t="s">
        <v>8257</v>
      </c>
      <c r="T2593">
        <v>0.4</v>
      </c>
      <c r="U2593">
        <v>186.15</v>
      </c>
      <c r="V2593">
        <v>50</v>
      </c>
      <c r="W2593" t="s">
        <v>6546</v>
      </c>
      <c r="X2593">
        <v>50</v>
      </c>
      <c r="AA2593" t="s">
        <v>22522</v>
      </c>
      <c r="AB2593" t="s">
        <v>22523</v>
      </c>
      <c r="AC2593" t="s">
        <v>9852</v>
      </c>
      <c r="AD2593" t="s">
        <v>22524</v>
      </c>
      <c r="AE2593" t="s">
        <v>4519</v>
      </c>
      <c r="AF2593" t="s">
        <v>22525</v>
      </c>
      <c r="AH2593" t="s">
        <v>4519</v>
      </c>
      <c r="AI2593" t="s">
        <v>9852</v>
      </c>
      <c r="AL2593" t="s">
        <v>22449</v>
      </c>
      <c r="AO2593" t="s">
        <v>6546</v>
      </c>
    </row>
    <row r="2594" spans="1:41" hidden="1" x14ac:dyDescent="0.35">
      <c r="A2594" t="s">
        <v>22526</v>
      </c>
      <c r="B2594" t="s">
        <v>7246</v>
      </c>
      <c r="C2594" t="s">
        <v>84</v>
      </c>
      <c r="D2594" t="s">
        <v>84</v>
      </c>
      <c r="E2594" t="s">
        <v>84</v>
      </c>
      <c r="G2594" s="13" t="s">
        <v>22444</v>
      </c>
      <c r="H2594" t="s">
        <v>22445</v>
      </c>
      <c r="I2594" t="s">
        <v>22527</v>
      </c>
      <c r="K2594" t="s">
        <v>6543</v>
      </c>
      <c r="L2594" t="s">
        <v>6543</v>
      </c>
      <c r="M2594" t="s">
        <v>7292</v>
      </c>
      <c r="N2594">
        <v>2024</v>
      </c>
      <c r="R2594">
        <v>0.2</v>
      </c>
      <c r="S2594" t="s">
        <v>8257</v>
      </c>
      <c r="T2594">
        <v>0.2</v>
      </c>
      <c r="U2594">
        <v>93.08</v>
      </c>
      <c r="V2594">
        <v>130</v>
      </c>
      <c r="W2594" t="s">
        <v>6546</v>
      </c>
      <c r="X2594">
        <v>130</v>
      </c>
      <c r="AA2594" t="s">
        <v>22506</v>
      </c>
      <c r="AB2594" t="s">
        <v>22507</v>
      </c>
      <c r="AC2594" t="s">
        <v>9852</v>
      </c>
      <c r="AD2594" t="s">
        <v>4532</v>
      </c>
      <c r="AE2594" t="s">
        <v>4519</v>
      </c>
      <c r="AF2594" t="s">
        <v>22528</v>
      </c>
      <c r="AG2594" t="s">
        <v>22509</v>
      </c>
      <c r="AH2594" t="s">
        <v>4519</v>
      </c>
      <c r="AI2594" t="s">
        <v>9852</v>
      </c>
      <c r="AL2594" t="s">
        <v>22449</v>
      </c>
      <c r="AO2594" t="s">
        <v>6546</v>
      </c>
    </row>
    <row r="2595" spans="1:41" hidden="1" x14ac:dyDescent="0.35">
      <c r="A2595" t="s">
        <v>22529</v>
      </c>
      <c r="B2595" t="s">
        <v>7246</v>
      </c>
      <c r="C2595" t="s">
        <v>84</v>
      </c>
      <c r="D2595" t="s">
        <v>84</v>
      </c>
      <c r="E2595" t="s">
        <v>84</v>
      </c>
      <c r="G2595" s="13" t="s">
        <v>22444</v>
      </c>
      <c r="H2595" t="s">
        <v>22445</v>
      </c>
      <c r="I2595" t="s">
        <v>22530</v>
      </c>
      <c r="K2595" t="s">
        <v>22531</v>
      </c>
      <c r="L2595" t="s">
        <v>22532</v>
      </c>
      <c r="M2595" t="s">
        <v>7250</v>
      </c>
      <c r="N2595">
        <v>2013</v>
      </c>
      <c r="R2595">
        <v>0.9</v>
      </c>
      <c r="S2595" t="s">
        <v>8257</v>
      </c>
      <c r="T2595">
        <v>0.9</v>
      </c>
      <c r="U2595">
        <v>418.85</v>
      </c>
      <c r="V2595">
        <v>167</v>
      </c>
      <c r="W2595">
        <v>117.53</v>
      </c>
      <c r="X2595">
        <v>167</v>
      </c>
      <c r="Y2595">
        <v>508</v>
      </c>
      <c r="Z2595" t="s">
        <v>8842</v>
      </c>
      <c r="AC2595" t="s">
        <v>9852</v>
      </c>
      <c r="AE2595" t="s">
        <v>4519</v>
      </c>
      <c r="AH2595" t="s">
        <v>4519</v>
      </c>
      <c r="AI2595" t="s">
        <v>9852</v>
      </c>
      <c r="AL2595" t="s">
        <v>22449</v>
      </c>
      <c r="AO2595" t="s">
        <v>22533</v>
      </c>
    </row>
    <row r="2596" spans="1:41" hidden="1" x14ac:dyDescent="0.35">
      <c r="A2596" t="s">
        <v>22534</v>
      </c>
      <c r="B2596" t="s">
        <v>7246</v>
      </c>
      <c r="C2596" t="s">
        <v>84</v>
      </c>
      <c r="D2596" t="s">
        <v>84</v>
      </c>
      <c r="E2596" t="s">
        <v>84</v>
      </c>
      <c r="G2596" s="13" t="s">
        <v>22444</v>
      </c>
      <c r="H2596" t="s">
        <v>22445</v>
      </c>
      <c r="I2596" t="s">
        <v>22535</v>
      </c>
      <c r="K2596" t="s">
        <v>22428</v>
      </c>
      <c r="L2596" t="s">
        <v>22428</v>
      </c>
      <c r="M2596" t="s">
        <v>7250</v>
      </c>
      <c r="N2596">
        <v>2009</v>
      </c>
      <c r="R2596">
        <v>0.13</v>
      </c>
      <c r="S2596" t="s">
        <v>8257</v>
      </c>
      <c r="T2596">
        <v>0.13</v>
      </c>
      <c r="U2596">
        <v>60.5</v>
      </c>
      <c r="V2596">
        <v>24.9</v>
      </c>
      <c r="W2596" t="s">
        <v>6546</v>
      </c>
      <c r="X2596">
        <v>24.9</v>
      </c>
      <c r="AC2596" t="s">
        <v>9852</v>
      </c>
      <c r="AE2596" t="s">
        <v>4519</v>
      </c>
      <c r="AG2596" t="s">
        <v>4669</v>
      </c>
      <c r="AH2596" t="s">
        <v>4675</v>
      </c>
      <c r="AI2596" t="s">
        <v>9852</v>
      </c>
      <c r="AL2596" t="s">
        <v>22449</v>
      </c>
      <c r="AO2596" t="s">
        <v>6546</v>
      </c>
    </row>
    <row r="2597" spans="1:41" hidden="1" x14ac:dyDescent="0.35">
      <c r="A2597" t="s">
        <v>22536</v>
      </c>
      <c r="B2597" t="s">
        <v>7246</v>
      </c>
      <c r="C2597" t="s">
        <v>84</v>
      </c>
      <c r="D2597" t="s">
        <v>84</v>
      </c>
      <c r="E2597" t="s">
        <v>84</v>
      </c>
      <c r="G2597" s="13" t="s">
        <v>22444</v>
      </c>
      <c r="H2597" t="s">
        <v>22445</v>
      </c>
      <c r="I2597" t="s">
        <v>22512</v>
      </c>
      <c r="K2597" t="s">
        <v>22537</v>
      </c>
      <c r="L2597" t="s">
        <v>22538</v>
      </c>
      <c r="M2597" t="s">
        <v>7250</v>
      </c>
      <c r="N2597">
        <v>2015</v>
      </c>
      <c r="R2597">
        <v>0.5</v>
      </c>
      <c r="S2597" t="s">
        <v>8257</v>
      </c>
      <c r="T2597">
        <v>0.5</v>
      </c>
      <c r="U2597">
        <v>232.69</v>
      </c>
      <c r="V2597">
        <v>183</v>
      </c>
      <c r="W2597">
        <v>188.75</v>
      </c>
      <c r="X2597">
        <v>183</v>
      </c>
      <c r="Y2597">
        <v>508</v>
      </c>
      <c r="Z2597" t="s">
        <v>8842</v>
      </c>
      <c r="AC2597" t="s">
        <v>9852</v>
      </c>
      <c r="AE2597" t="s">
        <v>4519</v>
      </c>
      <c r="AH2597" t="s">
        <v>4519</v>
      </c>
      <c r="AI2597" t="s">
        <v>9852</v>
      </c>
      <c r="AL2597" t="s">
        <v>22449</v>
      </c>
      <c r="AO2597" t="s">
        <v>22539</v>
      </c>
    </row>
    <row r="2598" spans="1:41" hidden="1" x14ac:dyDescent="0.35">
      <c r="A2598" t="s">
        <v>22540</v>
      </c>
      <c r="B2598" t="s">
        <v>7246</v>
      </c>
      <c r="C2598" t="s">
        <v>84</v>
      </c>
      <c r="D2598" t="s">
        <v>84</v>
      </c>
      <c r="E2598" t="s">
        <v>84</v>
      </c>
      <c r="G2598" s="13" t="s">
        <v>22444</v>
      </c>
      <c r="H2598" t="s">
        <v>22445</v>
      </c>
      <c r="I2598" t="s">
        <v>22541</v>
      </c>
      <c r="K2598" t="s">
        <v>6543</v>
      </c>
      <c r="L2598" t="s">
        <v>6543</v>
      </c>
      <c r="M2598" t="s">
        <v>7292</v>
      </c>
      <c r="N2598">
        <v>2026</v>
      </c>
      <c r="R2598">
        <v>0.4</v>
      </c>
      <c r="S2598" t="s">
        <v>8257</v>
      </c>
      <c r="T2598">
        <v>0.4</v>
      </c>
      <c r="U2598">
        <v>186.15</v>
      </c>
      <c r="V2598">
        <v>60</v>
      </c>
      <c r="W2598" t="s">
        <v>6546</v>
      </c>
      <c r="X2598">
        <v>60</v>
      </c>
      <c r="AA2598" t="s">
        <v>22478</v>
      </c>
      <c r="AB2598" t="s">
        <v>22481</v>
      </c>
      <c r="AC2598" t="s">
        <v>9852</v>
      </c>
      <c r="AD2598" t="s">
        <v>22462</v>
      </c>
      <c r="AE2598" t="s">
        <v>4519</v>
      </c>
      <c r="AF2598" t="s">
        <v>22542</v>
      </c>
      <c r="AG2598" t="s">
        <v>22495</v>
      </c>
      <c r="AH2598" t="s">
        <v>4519</v>
      </c>
      <c r="AI2598" t="s">
        <v>9852</v>
      </c>
      <c r="AL2598" t="s">
        <v>22449</v>
      </c>
      <c r="AO2598" t="s">
        <v>6546</v>
      </c>
    </row>
    <row r="2599" spans="1:41" hidden="1" x14ac:dyDescent="0.35">
      <c r="A2599" t="s">
        <v>22543</v>
      </c>
      <c r="B2599" t="s">
        <v>7246</v>
      </c>
      <c r="C2599" t="s">
        <v>84</v>
      </c>
      <c r="D2599" t="s">
        <v>84</v>
      </c>
      <c r="E2599" t="s">
        <v>84</v>
      </c>
      <c r="G2599" s="13" t="s">
        <v>22444</v>
      </c>
      <c r="H2599" t="s">
        <v>22445</v>
      </c>
      <c r="I2599" t="s">
        <v>22544</v>
      </c>
      <c r="K2599" t="s">
        <v>6543</v>
      </c>
      <c r="L2599" t="s">
        <v>6543</v>
      </c>
      <c r="M2599" t="s">
        <v>7292</v>
      </c>
      <c r="N2599">
        <v>2024</v>
      </c>
      <c r="R2599">
        <v>0.5</v>
      </c>
      <c r="S2599" t="s">
        <v>8257</v>
      </c>
      <c r="T2599">
        <v>0.5</v>
      </c>
      <c r="U2599">
        <v>232.69</v>
      </c>
      <c r="V2599">
        <v>70</v>
      </c>
      <c r="W2599" t="s">
        <v>6546</v>
      </c>
      <c r="X2599">
        <v>70</v>
      </c>
      <c r="AB2599" t="s">
        <v>22545</v>
      </c>
      <c r="AC2599" t="s">
        <v>9852</v>
      </c>
      <c r="AD2599" t="s">
        <v>4536</v>
      </c>
      <c r="AE2599" t="s">
        <v>4519</v>
      </c>
      <c r="AF2599" t="s">
        <v>22546</v>
      </c>
      <c r="AG2599" t="s">
        <v>4536</v>
      </c>
      <c r="AH2599" t="s">
        <v>4519</v>
      </c>
      <c r="AI2599" t="s">
        <v>9852</v>
      </c>
      <c r="AL2599" t="s">
        <v>22449</v>
      </c>
      <c r="AO2599" t="s">
        <v>6546</v>
      </c>
    </row>
    <row r="2600" spans="1:41" hidden="1" x14ac:dyDescent="0.35">
      <c r="A2600" t="s">
        <v>22547</v>
      </c>
      <c r="B2600" t="s">
        <v>7246</v>
      </c>
      <c r="C2600" t="s">
        <v>84</v>
      </c>
      <c r="D2600" t="s">
        <v>84</v>
      </c>
      <c r="E2600" t="s">
        <v>84</v>
      </c>
      <c r="G2600" s="13" t="s">
        <v>22444</v>
      </c>
      <c r="H2600" t="s">
        <v>22445</v>
      </c>
      <c r="I2600" t="s">
        <v>22548</v>
      </c>
      <c r="K2600" t="s">
        <v>6543</v>
      </c>
      <c r="L2600" t="s">
        <v>6543</v>
      </c>
      <c r="M2600" t="s">
        <v>7292</v>
      </c>
      <c r="N2600">
        <v>2024</v>
      </c>
      <c r="R2600">
        <v>2</v>
      </c>
      <c r="S2600" t="s">
        <v>8257</v>
      </c>
      <c r="T2600">
        <v>2</v>
      </c>
      <c r="U2600">
        <v>930.77</v>
      </c>
      <c r="V2600">
        <v>450</v>
      </c>
      <c r="W2600" t="s">
        <v>6546</v>
      </c>
      <c r="X2600">
        <v>450</v>
      </c>
      <c r="AA2600" t="s">
        <v>22549</v>
      </c>
      <c r="AB2600" t="s">
        <v>22550</v>
      </c>
      <c r="AC2600" t="s">
        <v>9852</v>
      </c>
      <c r="AD2600" t="s">
        <v>22514</v>
      </c>
      <c r="AE2600" t="s">
        <v>4519</v>
      </c>
      <c r="AF2600" t="s">
        <v>22507</v>
      </c>
      <c r="AG2600" t="s">
        <v>4532</v>
      </c>
      <c r="AH2600" t="s">
        <v>4519</v>
      </c>
      <c r="AI2600" t="s">
        <v>9852</v>
      </c>
      <c r="AL2600" t="s">
        <v>22449</v>
      </c>
      <c r="AO2600" t="s">
        <v>6546</v>
      </c>
    </row>
    <row r="2601" spans="1:41" hidden="1" x14ac:dyDescent="0.35">
      <c r="A2601" t="s">
        <v>22551</v>
      </c>
      <c r="B2601" t="s">
        <v>7246</v>
      </c>
      <c r="C2601" t="s">
        <v>84</v>
      </c>
      <c r="D2601" t="s">
        <v>84</v>
      </c>
      <c r="E2601" t="s">
        <v>84</v>
      </c>
      <c r="G2601" s="13" t="s">
        <v>22444</v>
      </c>
      <c r="H2601" t="s">
        <v>22445</v>
      </c>
      <c r="I2601" t="s">
        <v>22552</v>
      </c>
      <c r="K2601" t="s">
        <v>6543</v>
      </c>
      <c r="L2601" t="s">
        <v>6543</v>
      </c>
      <c r="M2601" t="s">
        <v>7292</v>
      </c>
      <c r="N2601">
        <v>2024</v>
      </c>
      <c r="R2601">
        <v>0.25</v>
      </c>
      <c r="S2601" t="s">
        <v>8257</v>
      </c>
      <c r="T2601">
        <v>0.25</v>
      </c>
      <c r="U2601">
        <v>116.35</v>
      </c>
      <c r="V2601">
        <v>70</v>
      </c>
      <c r="W2601" t="s">
        <v>6546</v>
      </c>
      <c r="X2601">
        <v>70</v>
      </c>
      <c r="AA2601" t="s">
        <v>22522</v>
      </c>
      <c r="AB2601" t="s">
        <v>22553</v>
      </c>
      <c r="AC2601" t="s">
        <v>9852</v>
      </c>
      <c r="AD2601" t="s">
        <v>22554</v>
      </c>
      <c r="AE2601" t="s">
        <v>4519</v>
      </c>
      <c r="AF2601" t="s">
        <v>22555</v>
      </c>
      <c r="AG2601" t="s">
        <v>22554</v>
      </c>
      <c r="AH2601" t="s">
        <v>4519</v>
      </c>
      <c r="AI2601" t="s">
        <v>9852</v>
      </c>
      <c r="AL2601" t="s">
        <v>22449</v>
      </c>
      <c r="AO2601" t="s">
        <v>6546</v>
      </c>
    </row>
    <row r="2602" spans="1:41" hidden="1" x14ac:dyDescent="0.35">
      <c r="A2602" t="s">
        <v>22556</v>
      </c>
      <c r="B2602" t="s">
        <v>7246</v>
      </c>
      <c r="C2602" t="s">
        <v>84</v>
      </c>
      <c r="D2602" t="s">
        <v>84</v>
      </c>
      <c r="E2602" t="s">
        <v>84</v>
      </c>
      <c r="G2602" s="13" t="s">
        <v>22444</v>
      </c>
      <c r="H2602" t="s">
        <v>22445</v>
      </c>
      <c r="I2602" t="s">
        <v>22557</v>
      </c>
      <c r="K2602" t="s">
        <v>6543</v>
      </c>
      <c r="L2602" t="s">
        <v>6543</v>
      </c>
      <c r="M2602" t="s">
        <v>7250</v>
      </c>
      <c r="N2602">
        <v>2010</v>
      </c>
      <c r="R2602">
        <v>0.1</v>
      </c>
      <c r="S2602" t="s">
        <v>8257</v>
      </c>
      <c r="T2602">
        <v>0.1</v>
      </c>
      <c r="U2602">
        <v>46.54</v>
      </c>
      <c r="V2602">
        <v>60</v>
      </c>
      <c r="W2602">
        <v>52.49</v>
      </c>
      <c r="X2602">
        <v>60</v>
      </c>
      <c r="Y2602">
        <v>273</v>
      </c>
      <c r="Z2602" t="s">
        <v>8842</v>
      </c>
      <c r="AC2602" t="s">
        <v>9852</v>
      </c>
      <c r="AE2602" t="s">
        <v>4519</v>
      </c>
      <c r="AH2602" t="s">
        <v>4519</v>
      </c>
      <c r="AI2602" t="s">
        <v>9852</v>
      </c>
      <c r="AL2602" t="s">
        <v>22449</v>
      </c>
      <c r="AO2602" t="s">
        <v>22558</v>
      </c>
    </row>
    <row r="2603" spans="1:41" hidden="1" x14ac:dyDescent="0.35">
      <c r="A2603" t="s">
        <v>22559</v>
      </c>
      <c r="B2603" t="s">
        <v>7246</v>
      </c>
      <c r="C2603" t="s">
        <v>84</v>
      </c>
      <c r="D2603" t="s">
        <v>84</v>
      </c>
      <c r="E2603" t="s">
        <v>84</v>
      </c>
      <c r="G2603" s="13" t="s">
        <v>22560</v>
      </c>
      <c r="H2603" t="s">
        <v>22445</v>
      </c>
      <c r="I2603" t="s">
        <v>22561</v>
      </c>
      <c r="K2603" t="s">
        <v>22459</v>
      </c>
      <c r="L2603" t="s">
        <v>22460</v>
      </c>
      <c r="M2603" t="s">
        <v>7292</v>
      </c>
      <c r="R2603">
        <v>0.39</v>
      </c>
      <c r="S2603" t="s">
        <v>8257</v>
      </c>
      <c r="T2603">
        <v>0.39</v>
      </c>
      <c r="U2603">
        <v>181.5</v>
      </c>
      <c r="V2603">
        <v>258</v>
      </c>
      <c r="W2603">
        <v>199.33</v>
      </c>
      <c r="X2603">
        <v>258</v>
      </c>
      <c r="AA2603" t="s">
        <v>22492</v>
      </c>
      <c r="AC2603" t="s">
        <v>9852</v>
      </c>
      <c r="AD2603" t="s">
        <v>4518</v>
      </c>
      <c r="AE2603" t="s">
        <v>4519</v>
      </c>
      <c r="AG2603" t="s">
        <v>22562</v>
      </c>
      <c r="AH2603" t="s">
        <v>4666</v>
      </c>
      <c r="AI2603" t="s">
        <v>9852</v>
      </c>
      <c r="AL2603" t="s">
        <v>22449</v>
      </c>
      <c r="AO2603" t="s">
        <v>22563</v>
      </c>
    </row>
    <row r="2604" spans="1:41" hidden="1" x14ac:dyDescent="0.35">
      <c r="A2604" t="s">
        <v>22564</v>
      </c>
      <c r="B2604" t="s">
        <v>7246</v>
      </c>
      <c r="C2604" t="s">
        <v>84</v>
      </c>
      <c r="D2604" t="s">
        <v>84</v>
      </c>
      <c r="E2604" t="s">
        <v>84</v>
      </c>
      <c r="G2604" s="13" t="s">
        <v>22565</v>
      </c>
      <c r="H2604" t="s">
        <v>22445</v>
      </c>
      <c r="I2604" t="s">
        <v>22566</v>
      </c>
      <c r="K2604" t="s">
        <v>6543</v>
      </c>
      <c r="L2604" t="s">
        <v>6543</v>
      </c>
      <c r="M2604" t="s">
        <v>7292</v>
      </c>
      <c r="T2604" t="s">
        <v>6546</v>
      </c>
      <c r="U2604" t="s">
        <v>6546</v>
      </c>
      <c r="V2604" t="s">
        <v>6546</v>
      </c>
      <c r="W2604">
        <v>382.05</v>
      </c>
      <c r="X2604">
        <v>382.05</v>
      </c>
      <c r="AC2604" t="s">
        <v>9852</v>
      </c>
      <c r="AE2604" t="s">
        <v>4519</v>
      </c>
      <c r="AH2604" t="s">
        <v>4519</v>
      </c>
      <c r="AI2604" t="s">
        <v>9852</v>
      </c>
      <c r="AL2604" t="s">
        <v>22449</v>
      </c>
      <c r="AO2604" t="s">
        <v>22567</v>
      </c>
    </row>
    <row r="2605" spans="1:41" hidden="1" x14ac:dyDescent="0.35">
      <c r="A2605" t="s">
        <v>22568</v>
      </c>
      <c r="B2605" t="s">
        <v>7246</v>
      </c>
      <c r="C2605" t="s">
        <v>84</v>
      </c>
      <c r="D2605" t="s">
        <v>84</v>
      </c>
      <c r="E2605" t="s">
        <v>84</v>
      </c>
      <c r="G2605" s="13" t="s">
        <v>22569</v>
      </c>
      <c r="H2605" t="s">
        <v>22445</v>
      </c>
      <c r="I2605" t="s">
        <v>22570</v>
      </c>
      <c r="K2605" t="s">
        <v>22490</v>
      </c>
      <c r="L2605" t="s">
        <v>22491</v>
      </c>
      <c r="M2605" t="s">
        <v>7250</v>
      </c>
      <c r="N2605">
        <v>2012</v>
      </c>
      <c r="R2605">
        <v>0.47</v>
      </c>
      <c r="S2605" t="s">
        <v>8257</v>
      </c>
      <c r="T2605">
        <v>0.47</v>
      </c>
      <c r="U2605">
        <v>218.73</v>
      </c>
      <c r="V2605">
        <v>370</v>
      </c>
      <c r="W2605">
        <v>361.22</v>
      </c>
      <c r="X2605">
        <v>370</v>
      </c>
      <c r="Y2605">
        <v>660</v>
      </c>
      <c r="Z2605" t="s">
        <v>8842</v>
      </c>
      <c r="AC2605" t="s">
        <v>9852</v>
      </c>
      <c r="AF2605" t="s">
        <v>22571</v>
      </c>
      <c r="AG2605" t="s">
        <v>4536</v>
      </c>
      <c r="AH2605" t="s">
        <v>4519</v>
      </c>
      <c r="AI2605" t="s">
        <v>9852</v>
      </c>
      <c r="AL2605" t="s">
        <v>22449</v>
      </c>
      <c r="AO2605" t="s">
        <v>22572</v>
      </c>
    </row>
    <row r="2606" spans="1:41" hidden="1" x14ac:dyDescent="0.35">
      <c r="A2606" t="s">
        <v>22573</v>
      </c>
      <c r="B2606" t="s">
        <v>7246</v>
      </c>
      <c r="C2606" t="s">
        <v>84</v>
      </c>
      <c r="D2606" t="s">
        <v>84</v>
      </c>
      <c r="E2606" t="s">
        <v>84</v>
      </c>
      <c r="G2606" s="13" t="s">
        <v>22574</v>
      </c>
      <c r="H2606" t="s">
        <v>22445</v>
      </c>
      <c r="I2606" t="s">
        <v>22549</v>
      </c>
      <c r="K2606" t="s">
        <v>22575</v>
      </c>
      <c r="L2606" t="s">
        <v>22575</v>
      </c>
      <c r="M2606" t="s">
        <v>7250</v>
      </c>
      <c r="N2606">
        <v>2018</v>
      </c>
      <c r="R2606">
        <v>1.3</v>
      </c>
      <c r="S2606" t="s">
        <v>8257</v>
      </c>
      <c r="T2606">
        <v>1.3</v>
      </c>
      <c r="U2606">
        <v>605</v>
      </c>
      <c r="V2606">
        <v>308</v>
      </c>
      <c r="W2606">
        <v>282.88</v>
      </c>
      <c r="X2606">
        <v>308</v>
      </c>
      <c r="Y2606">
        <v>508</v>
      </c>
      <c r="Z2606" t="s">
        <v>8842</v>
      </c>
      <c r="AA2606" t="s">
        <v>22576</v>
      </c>
      <c r="AC2606" t="s">
        <v>9852</v>
      </c>
      <c r="AD2606" t="s">
        <v>22514</v>
      </c>
      <c r="AE2606" t="s">
        <v>4519</v>
      </c>
      <c r="AG2606" t="s">
        <v>22577</v>
      </c>
      <c r="AH2606" t="s">
        <v>4519</v>
      </c>
      <c r="AI2606" t="s">
        <v>9852</v>
      </c>
      <c r="AL2606" t="s">
        <v>22449</v>
      </c>
      <c r="AO2606" t="s">
        <v>22578</v>
      </c>
    </row>
    <row r="2607" spans="1:41" hidden="1" x14ac:dyDescent="0.35">
      <c r="A2607" t="s">
        <v>22579</v>
      </c>
      <c r="B2607" t="s">
        <v>7246</v>
      </c>
      <c r="C2607" t="s">
        <v>84</v>
      </c>
      <c r="D2607" t="s">
        <v>84</v>
      </c>
      <c r="E2607" t="s">
        <v>84</v>
      </c>
      <c r="G2607" s="13" t="s">
        <v>22580</v>
      </c>
      <c r="H2607" t="s">
        <v>22445</v>
      </c>
      <c r="I2607" t="s">
        <v>22581</v>
      </c>
      <c r="K2607" t="s">
        <v>22582</v>
      </c>
      <c r="L2607" t="s">
        <v>22460</v>
      </c>
      <c r="M2607" t="s">
        <v>7250</v>
      </c>
      <c r="N2607">
        <v>2011</v>
      </c>
      <c r="R2607">
        <v>6</v>
      </c>
      <c r="S2607" t="s">
        <v>8257</v>
      </c>
      <c r="T2607">
        <v>6</v>
      </c>
      <c r="U2607">
        <v>2792.3</v>
      </c>
      <c r="V2607">
        <v>518</v>
      </c>
      <c r="W2607">
        <v>411.68</v>
      </c>
      <c r="X2607">
        <v>518</v>
      </c>
      <c r="Y2607">
        <v>864</v>
      </c>
      <c r="Z2607" t="s">
        <v>8842</v>
      </c>
      <c r="AA2607" t="s">
        <v>22492</v>
      </c>
      <c r="AB2607" t="s">
        <v>22583</v>
      </c>
      <c r="AC2607" t="s">
        <v>9852</v>
      </c>
      <c r="AD2607" t="s">
        <v>4536</v>
      </c>
      <c r="AE2607" t="s">
        <v>4519</v>
      </c>
      <c r="AG2607" t="s">
        <v>22584</v>
      </c>
      <c r="AH2607" t="s">
        <v>4519</v>
      </c>
      <c r="AI2607" t="s">
        <v>9852</v>
      </c>
      <c r="AL2607" t="s">
        <v>22449</v>
      </c>
      <c r="AO2607" t="s">
        <v>22585</v>
      </c>
    </row>
    <row r="2608" spans="1:41" hidden="1" x14ac:dyDescent="0.35">
      <c r="A2608" t="s">
        <v>22586</v>
      </c>
      <c r="B2608" t="s">
        <v>7246</v>
      </c>
      <c r="C2608" t="s">
        <v>84</v>
      </c>
      <c r="D2608" t="s">
        <v>84</v>
      </c>
      <c r="E2608" t="s">
        <v>84</v>
      </c>
      <c r="G2608" s="13" t="s">
        <v>22587</v>
      </c>
      <c r="H2608" t="s">
        <v>22445</v>
      </c>
      <c r="I2608" t="s">
        <v>22588</v>
      </c>
      <c r="K2608" t="s">
        <v>22582</v>
      </c>
      <c r="L2608" t="s">
        <v>22460</v>
      </c>
      <c r="M2608" t="s">
        <v>7250</v>
      </c>
      <c r="N2608">
        <v>2003</v>
      </c>
      <c r="R2608">
        <v>1.3</v>
      </c>
      <c r="S2608" t="s">
        <v>8257</v>
      </c>
      <c r="T2608">
        <v>1.3</v>
      </c>
      <c r="U2608">
        <v>605</v>
      </c>
      <c r="V2608">
        <v>506</v>
      </c>
      <c r="W2608">
        <v>353.2</v>
      </c>
      <c r="X2608">
        <v>506</v>
      </c>
      <c r="Y2608">
        <v>457</v>
      </c>
      <c r="Z2608" t="s">
        <v>8842</v>
      </c>
      <c r="AA2608" t="s">
        <v>22492</v>
      </c>
      <c r="AB2608" t="s">
        <v>22589</v>
      </c>
      <c r="AC2608" t="s">
        <v>9852</v>
      </c>
      <c r="AD2608" t="s">
        <v>4536</v>
      </c>
      <c r="AE2608" t="s">
        <v>4519</v>
      </c>
      <c r="AG2608" t="s">
        <v>22584</v>
      </c>
      <c r="AH2608" t="s">
        <v>4519</v>
      </c>
      <c r="AI2608" t="s">
        <v>9852</v>
      </c>
      <c r="AL2608" t="s">
        <v>22449</v>
      </c>
      <c r="AO2608" t="s">
        <v>22590</v>
      </c>
    </row>
    <row r="2609" spans="1:41" hidden="1" x14ac:dyDescent="0.35">
      <c r="A2609" t="s">
        <v>22591</v>
      </c>
      <c r="B2609" t="s">
        <v>7246</v>
      </c>
      <c r="C2609" t="s">
        <v>84</v>
      </c>
      <c r="D2609" t="s">
        <v>84</v>
      </c>
      <c r="E2609" t="s">
        <v>84</v>
      </c>
      <c r="G2609" s="13" t="s">
        <v>22592</v>
      </c>
      <c r="H2609" t="s">
        <v>22593</v>
      </c>
      <c r="I2609" t="s">
        <v>22594</v>
      </c>
      <c r="K2609" t="s">
        <v>22256</v>
      </c>
      <c r="L2609" t="s">
        <v>22257</v>
      </c>
      <c r="M2609" t="s">
        <v>7415</v>
      </c>
      <c r="R2609">
        <v>0.26</v>
      </c>
      <c r="S2609" t="s">
        <v>8257</v>
      </c>
      <c r="T2609">
        <v>0.26</v>
      </c>
      <c r="U2609">
        <v>121</v>
      </c>
      <c r="V2609">
        <v>71</v>
      </c>
      <c r="W2609">
        <v>54.34</v>
      </c>
      <c r="X2609">
        <v>71</v>
      </c>
      <c r="Y2609">
        <v>323</v>
      </c>
      <c r="Z2609" t="s">
        <v>8842</v>
      </c>
      <c r="AB2609" t="s">
        <v>22269</v>
      </c>
      <c r="AC2609" t="s">
        <v>9852</v>
      </c>
      <c r="AD2609" t="s">
        <v>4623</v>
      </c>
      <c r="AE2609" t="s">
        <v>3047</v>
      </c>
      <c r="AF2609" t="s">
        <v>22595</v>
      </c>
      <c r="AG2609" t="s">
        <v>22596</v>
      </c>
      <c r="AH2609" t="s">
        <v>3047</v>
      </c>
      <c r="AI2609" t="s">
        <v>9852</v>
      </c>
      <c r="AL2609" t="s">
        <v>22597</v>
      </c>
      <c r="AO2609" t="s">
        <v>22598</v>
      </c>
    </row>
    <row r="2610" spans="1:41" hidden="1" x14ac:dyDescent="0.35">
      <c r="A2610" t="s">
        <v>22599</v>
      </c>
      <c r="B2610" t="s">
        <v>7246</v>
      </c>
      <c r="C2610" t="s">
        <v>84</v>
      </c>
      <c r="D2610" t="s">
        <v>84</v>
      </c>
      <c r="E2610" t="s">
        <v>84</v>
      </c>
      <c r="G2610" s="13" t="s">
        <v>22592</v>
      </c>
      <c r="H2610" t="s">
        <v>22593</v>
      </c>
      <c r="I2610" t="s">
        <v>22600</v>
      </c>
      <c r="K2610" t="s">
        <v>22256</v>
      </c>
      <c r="L2610" t="s">
        <v>22257</v>
      </c>
      <c r="M2610" t="s">
        <v>7292</v>
      </c>
      <c r="R2610">
        <v>0.22</v>
      </c>
      <c r="S2610" t="s">
        <v>8257</v>
      </c>
      <c r="T2610">
        <v>0.22</v>
      </c>
      <c r="U2610">
        <v>102.38</v>
      </c>
      <c r="V2610">
        <v>312</v>
      </c>
      <c r="W2610">
        <v>260.06</v>
      </c>
      <c r="X2610">
        <v>312</v>
      </c>
      <c r="AC2610" t="s">
        <v>9852</v>
      </c>
      <c r="AD2610" t="s">
        <v>3047</v>
      </c>
      <c r="AE2610" t="s">
        <v>3047</v>
      </c>
      <c r="AG2610" t="s">
        <v>22601</v>
      </c>
      <c r="AH2610" t="s">
        <v>3047</v>
      </c>
      <c r="AI2610" t="s">
        <v>9852</v>
      </c>
      <c r="AL2610" t="s">
        <v>22597</v>
      </c>
      <c r="AO2610" t="s">
        <v>22602</v>
      </c>
    </row>
    <row r="2611" spans="1:41" hidden="1" x14ac:dyDescent="0.35">
      <c r="A2611" t="s">
        <v>22603</v>
      </c>
      <c r="B2611" t="s">
        <v>7246</v>
      </c>
      <c r="C2611" t="s">
        <v>84</v>
      </c>
      <c r="D2611" t="s">
        <v>84</v>
      </c>
      <c r="E2611" t="s">
        <v>84</v>
      </c>
      <c r="G2611" s="13" t="s">
        <v>22592</v>
      </c>
      <c r="H2611" t="s">
        <v>22593</v>
      </c>
      <c r="I2611" t="s">
        <v>22604</v>
      </c>
      <c r="K2611" t="s">
        <v>22256</v>
      </c>
      <c r="L2611" t="s">
        <v>22257</v>
      </c>
      <c r="M2611" t="s">
        <v>7415</v>
      </c>
      <c r="R2611">
        <v>0.34</v>
      </c>
      <c r="S2611" t="s">
        <v>8257</v>
      </c>
      <c r="T2611">
        <v>0.34</v>
      </c>
      <c r="U2611">
        <v>158.22999999999999</v>
      </c>
      <c r="V2611">
        <v>113</v>
      </c>
      <c r="W2611">
        <v>93.54</v>
      </c>
      <c r="X2611">
        <v>113</v>
      </c>
      <c r="AC2611" t="s">
        <v>9852</v>
      </c>
      <c r="AE2611" t="s">
        <v>3047</v>
      </c>
      <c r="AH2611" t="s">
        <v>3047</v>
      </c>
      <c r="AI2611" t="s">
        <v>9852</v>
      </c>
      <c r="AL2611" t="s">
        <v>22597</v>
      </c>
      <c r="AO2611" t="s">
        <v>22605</v>
      </c>
    </row>
    <row r="2612" spans="1:41" hidden="1" x14ac:dyDescent="0.35">
      <c r="A2612" t="s">
        <v>22606</v>
      </c>
      <c r="B2612" t="s">
        <v>7246</v>
      </c>
      <c r="C2612" t="s">
        <v>423</v>
      </c>
      <c r="D2612" t="s">
        <v>84</v>
      </c>
      <c r="E2612" t="s">
        <v>19682</v>
      </c>
      <c r="G2612" s="13" t="s">
        <v>22592</v>
      </c>
      <c r="H2612" t="s">
        <v>22593</v>
      </c>
      <c r="I2612" t="s">
        <v>22607</v>
      </c>
      <c r="K2612" t="s">
        <v>6543</v>
      </c>
      <c r="L2612" t="s">
        <v>6543</v>
      </c>
      <c r="M2612" t="s">
        <v>7292</v>
      </c>
      <c r="T2612" t="s">
        <v>6546</v>
      </c>
      <c r="U2612" t="s">
        <v>6546</v>
      </c>
      <c r="V2612">
        <v>80</v>
      </c>
      <c r="W2612">
        <v>14.63</v>
      </c>
      <c r="X2612">
        <v>80</v>
      </c>
      <c r="AC2612" t="s">
        <v>8844</v>
      </c>
      <c r="AG2612" t="s">
        <v>22608</v>
      </c>
      <c r="AH2612" t="s">
        <v>3047</v>
      </c>
      <c r="AI2612" t="s">
        <v>9852</v>
      </c>
      <c r="AL2612" t="s">
        <v>22597</v>
      </c>
      <c r="AO2612" t="s">
        <v>22609</v>
      </c>
    </row>
    <row r="2613" spans="1:41" hidden="1" x14ac:dyDescent="0.35">
      <c r="A2613" t="s">
        <v>22610</v>
      </c>
      <c r="B2613" t="s">
        <v>7246</v>
      </c>
      <c r="C2613" t="s">
        <v>84</v>
      </c>
      <c r="D2613" t="s">
        <v>84</v>
      </c>
      <c r="E2613" t="s">
        <v>84</v>
      </c>
      <c r="G2613" s="13" t="s">
        <v>22592</v>
      </c>
      <c r="H2613" t="s">
        <v>22593</v>
      </c>
      <c r="I2613" t="s">
        <v>22611</v>
      </c>
      <c r="K2613" t="s">
        <v>6543</v>
      </c>
      <c r="L2613" t="s">
        <v>6543</v>
      </c>
      <c r="M2613" t="s">
        <v>7292</v>
      </c>
      <c r="N2613">
        <v>2025</v>
      </c>
      <c r="R2613">
        <v>0.57999999999999996</v>
      </c>
      <c r="S2613" t="s">
        <v>8257</v>
      </c>
      <c r="T2613">
        <v>0.57999999999999996</v>
      </c>
      <c r="U2613">
        <v>269.92</v>
      </c>
      <c r="V2613">
        <v>247</v>
      </c>
      <c r="W2613">
        <v>233.84</v>
      </c>
      <c r="X2613">
        <v>247</v>
      </c>
      <c r="AA2613" t="s">
        <v>22255</v>
      </c>
      <c r="AB2613" t="s">
        <v>22612</v>
      </c>
      <c r="AC2613" t="s">
        <v>9852</v>
      </c>
      <c r="AD2613" t="s">
        <v>22596</v>
      </c>
      <c r="AE2613" t="s">
        <v>3047</v>
      </c>
      <c r="AG2613" t="s">
        <v>22613</v>
      </c>
      <c r="AH2613" t="s">
        <v>4519</v>
      </c>
      <c r="AI2613" t="s">
        <v>9852</v>
      </c>
      <c r="AL2613" t="s">
        <v>22597</v>
      </c>
      <c r="AO2613" t="s">
        <v>22614</v>
      </c>
    </row>
    <row r="2614" spans="1:41" hidden="1" x14ac:dyDescent="0.35">
      <c r="A2614" t="s">
        <v>22615</v>
      </c>
      <c r="B2614" t="s">
        <v>7246</v>
      </c>
      <c r="C2614" t="s">
        <v>84</v>
      </c>
      <c r="D2614" t="s">
        <v>84</v>
      </c>
      <c r="E2614" t="s">
        <v>84</v>
      </c>
      <c r="G2614" s="13" t="s">
        <v>22592</v>
      </c>
      <c r="H2614" t="s">
        <v>22593</v>
      </c>
      <c r="I2614" t="s">
        <v>22616</v>
      </c>
      <c r="K2614" t="s">
        <v>22256</v>
      </c>
      <c r="L2614" t="s">
        <v>22257</v>
      </c>
      <c r="M2614" t="s">
        <v>7292</v>
      </c>
      <c r="R2614">
        <v>0.22</v>
      </c>
      <c r="S2614" t="s">
        <v>8257</v>
      </c>
      <c r="T2614">
        <v>0.22</v>
      </c>
      <c r="U2614">
        <v>102.38</v>
      </c>
      <c r="V2614">
        <v>305</v>
      </c>
      <c r="W2614">
        <v>71.64</v>
      </c>
      <c r="X2614">
        <v>305</v>
      </c>
      <c r="Y2614">
        <v>813</v>
      </c>
      <c r="Z2614" t="s">
        <v>8842</v>
      </c>
      <c r="AC2614" t="s">
        <v>9852</v>
      </c>
      <c r="AE2614" t="s">
        <v>3047</v>
      </c>
      <c r="AH2614" t="s">
        <v>3047</v>
      </c>
      <c r="AI2614" t="s">
        <v>9852</v>
      </c>
      <c r="AL2614" t="s">
        <v>22597</v>
      </c>
      <c r="AO2614" t="s">
        <v>22617</v>
      </c>
    </row>
    <row r="2615" spans="1:41" hidden="1" x14ac:dyDescent="0.35">
      <c r="A2615" t="s">
        <v>22618</v>
      </c>
      <c r="B2615" t="s">
        <v>7246</v>
      </c>
      <c r="C2615" t="s">
        <v>84</v>
      </c>
      <c r="D2615" t="s">
        <v>84</v>
      </c>
      <c r="E2615" t="s">
        <v>84</v>
      </c>
      <c r="G2615" s="13" t="s">
        <v>22592</v>
      </c>
      <c r="H2615" t="s">
        <v>22593</v>
      </c>
      <c r="I2615" t="s">
        <v>22619</v>
      </c>
      <c r="K2615" t="s">
        <v>22256</v>
      </c>
      <c r="L2615" t="s">
        <v>22257</v>
      </c>
      <c r="M2615" t="s">
        <v>7250</v>
      </c>
      <c r="N2615">
        <v>2010</v>
      </c>
      <c r="R2615">
        <v>1.22</v>
      </c>
      <c r="S2615" t="s">
        <v>8257</v>
      </c>
      <c r="T2615">
        <v>1.22</v>
      </c>
      <c r="U2615">
        <v>567.77</v>
      </c>
      <c r="V2615">
        <v>221</v>
      </c>
      <c r="W2615">
        <v>191.18</v>
      </c>
      <c r="X2615">
        <v>221</v>
      </c>
      <c r="AC2615" t="s">
        <v>9852</v>
      </c>
      <c r="AD2615" t="s">
        <v>22258</v>
      </c>
      <c r="AE2615" t="s">
        <v>3047</v>
      </c>
      <c r="AG2615" t="s">
        <v>3047</v>
      </c>
      <c r="AH2615" t="s">
        <v>3047</v>
      </c>
      <c r="AI2615" t="s">
        <v>9852</v>
      </c>
      <c r="AL2615" t="s">
        <v>22597</v>
      </c>
      <c r="AO2615" t="s">
        <v>22620</v>
      </c>
    </row>
    <row r="2616" spans="1:41" hidden="1" x14ac:dyDescent="0.35">
      <c r="A2616" t="s">
        <v>22621</v>
      </c>
      <c r="B2616" t="s">
        <v>7246</v>
      </c>
      <c r="C2616" t="s">
        <v>84</v>
      </c>
      <c r="D2616" t="s">
        <v>84</v>
      </c>
      <c r="E2616" t="s">
        <v>84</v>
      </c>
      <c r="G2616" s="13" t="s">
        <v>22592</v>
      </c>
      <c r="H2616" t="s">
        <v>22593</v>
      </c>
      <c r="I2616" t="s">
        <v>22622</v>
      </c>
      <c r="K2616" t="s">
        <v>22256</v>
      </c>
      <c r="L2616" t="s">
        <v>22257</v>
      </c>
      <c r="M2616" t="s">
        <v>7250</v>
      </c>
      <c r="N2616">
        <v>2016</v>
      </c>
      <c r="R2616">
        <v>1.36</v>
      </c>
      <c r="S2616" t="s">
        <v>8257</v>
      </c>
      <c r="T2616">
        <v>1.36</v>
      </c>
      <c r="U2616">
        <v>632.91999999999996</v>
      </c>
      <c r="V2616">
        <v>350</v>
      </c>
      <c r="W2616">
        <v>259.49</v>
      </c>
      <c r="X2616">
        <v>350</v>
      </c>
      <c r="AA2616" t="s">
        <v>22623</v>
      </c>
      <c r="AC2616" t="s">
        <v>9852</v>
      </c>
      <c r="AD2616" t="s">
        <v>4635</v>
      </c>
      <c r="AE2616" t="s">
        <v>3047</v>
      </c>
      <c r="AG2616" t="s">
        <v>22624</v>
      </c>
      <c r="AH2616" t="s">
        <v>3047</v>
      </c>
      <c r="AI2616" t="s">
        <v>9852</v>
      </c>
      <c r="AL2616" t="s">
        <v>22597</v>
      </c>
      <c r="AO2616" t="s">
        <v>22625</v>
      </c>
    </row>
    <row r="2617" spans="1:41" hidden="1" x14ac:dyDescent="0.35">
      <c r="A2617" t="s">
        <v>22626</v>
      </c>
      <c r="B2617" t="s">
        <v>7246</v>
      </c>
      <c r="C2617" t="s">
        <v>84</v>
      </c>
      <c r="D2617" t="s">
        <v>84</v>
      </c>
      <c r="E2617" t="s">
        <v>84</v>
      </c>
      <c r="G2617" s="13" t="s">
        <v>22592</v>
      </c>
      <c r="H2617" t="s">
        <v>22593</v>
      </c>
      <c r="I2617" t="s">
        <v>22627</v>
      </c>
      <c r="K2617" t="s">
        <v>6543</v>
      </c>
      <c r="L2617" t="s">
        <v>6543</v>
      </c>
      <c r="M2617" t="s">
        <v>7292</v>
      </c>
      <c r="R2617">
        <v>0.1</v>
      </c>
      <c r="S2617" t="s">
        <v>8257</v>
      </c>
      <c r="T2617">
        <v>0.1</v>
      </c>
      <c r="U2617">
        <v>46.54</v>
      </c>
      <c r="V2617">
        <v>90</v>
      </c>
      <c r="W2617">
        <v>100.78</v>
      </c>
      <c r="X2617">
        <v>90</v>
      </c>
      <c r="AC2617" t="s">
        <v>9852</v>
      </c>
      <c r="AD2617" t="s">
        <v>22624</v>
      </c>
      <c r="AE2617" t="s">
        <v>3047</v>
      </c>
      <c r="AF2617" t="s">
        <v>22628</v>
      </c>
      <c r="AG2617" t="s">
        <v>22624</v>
      </c>
      <c r="AH2617" t="s">
        <v>3047</v>
      </c>
      <c r="AI2617" t="s">
        <v>9852</v>
      </c>
      <c r="AL2617" t="s">
        <v>22597</v>
      </c>
      <c r="AO2617" t="s">
        <v>22629</v>
      </c>
    </row>
    <row r="2618" spans="1:41" hidden="1" x14ac:dyDescent="0.35">
      <c r="A2618" t="s">
        <v>22630</v>
      </c>
      <c r="B2618" t="s">
        <v>7246</v>
      </c>
      <c r="C2618" t="s">
        <v>84</v>
      </c>
      <c r="D2618" t="s">
        <v>84</v>
      </c>
      <c r="E2618" t="s">
        <v>84</v>
      </c>
      <c r="G2618" s="13" t="s">
        <v>22592</v>
      </c>
      <c r="H2618" t="s">
        <v>22593</v>
      </c>
      <c r="I2618" t="s">
        <v>22631</v>
      </c>
      <c r="K2618" t="s">
        <v>6543</v>
      </c>
      <c r="L2618" t="s">
        <v>6543</v>
      </c>
      <c r="M2618" t="s">
        <v>7292</v>
      </c>
      <c r="T2618" t="s">
        <v>6546</v>
      </c>
      <c r="U2618" t="s">
        <v>6546</v>
      </c>
      <c r="V2618">
        <v>59</v>
      </c>
      <c r="W2618">
        <v>44.52</v>
      </c>
      <c r="X2618">
        <v>59</v>
      </c>
      <c r="AC2618" t="s">
        <v>9852</v>
      </c>
      <c r="AD2618" t="s">
        <v>22624</v>
      </c>
      <c r="AE2618" t="s">
        <v>3047</v>
      </c>
      <c r="AF2618" t="s">
        <v>22632</v>
      </c>
      <c r="AG2618" t="s">
        <v>22624</v>
      </c>
      <c r="AH2618" t="s">
        <v>3047</v>
      </c>
      <c r="AI2618" t="s">
        <v>9852</v>
      </c>
      <c r="AL2618" t="s">
        <v>22597</v>
      </c>
      <c r="AO2618" t="s">
        <v>22633</v>
      </c>
    </row>
    <row r="2619" spans="1:41" hidden="1" x14ac:dyDescent="0.35">
      <c r="A2619" t="s">
        <v>22634</v>
      </c>
      <c r="B2619" t="s">
        <v>7246</v>
      </c>
      <c r="C2619" t="s">
        <v>84</v>
      </c>
      <c r="D2619" t="s">
        <v>84</v>
      </c>
      <c r="E2619" t="s">
        <v>84</v>
      </c>
      <c r="G2619" s="13" t="s">
        <v>22635</v>
      </c>
      <c r="H2619" t="s">
        <v>22636</v>
      </c>
      <c r="I2619" t="s">
        <v>22637</v>
      </c>
      <c r="K2619" t="s">
        <v>22582</v>
      </c>
      <c r="L2619" t="s">
        <v>22460</v>
      </c>
      <c r="M2619" t="s">
        <v>7292</v>
      </c>
      <c r="R2619">
        <v>2</v>
      </c>
      <c r="S2619" t="s">
        <v>8257</v>
      </c>
      <c r="T2619">
        <v>2</v>
      </c>
      <c r="U2619">
        <v>930.77</v>
      </c>
      <c r="V2619">
        <v>227</v>
      </c>
      <c r="W2619">
        <v>372.88</v>
      </c>
      <c r="X2619">
        <v>227</v>
      </c>
      <c r="AB2619" t="s">
        <v>22638</v>
      </c>
      <c r="AC2619" t="s">
        <v>9852</v>
      </c>
      <c r="AD2619" t="s">
        <v>22495</v>
      </c>
      <c r="AE2619" t="s">
        <v>4519</v>
      </c>
      <c r="AG2619" t="s">
        <v>22639</v>
      </c>
      <c r="AH2619" t="s">
        <v>3011</v>
      </c>
      <c r="AI2619" t="s">
        <v>9852</v>
      </c>
      <c r="AL2619" t="s">
        <v>22640</v>
      </c>
      <c r="AO2619" t="s">
        <v>22641</v>
      </c>
    </row>
    <row r="2620" spans="1:41" hidden="1" x14ac:dyDescent="0.35">
      <c r="A2620" t="s">
        <v>22642</v>
      </c>
      <c r="B2620" t="s">
        <v>7246</v>
      </c>
      <c r="C2620" t="s">
        <v>84</v>
      </c>
      <c r="D2620" t="s">
        <v>84</v>
      </c>
      <c r="E2620" t="s">
        <v>84</v>
      </c>
      <c r="G2620" s="13" t="s">
        <v>22635</v>
      </c>
      <c r="H2620" t="s">
        <v>22636</v>
      </c>
      <c r="I2620" t="s">
        <v>22643</v>
      </c>
      <c r="K2620" t="s">
        <v>22582</v>
      </c>
      <c r="L2620" t="s">
        <v>22460</v>
      </c>
      <c r="M2620" t="s">
        <v>7250</v>
      </c>
      <c r="N2620">
        <v>2018</v>
      </c>
      <c r="R2620">
        <v>2</v>
      </c>
      <c r="S2620" t="s">
        <v>8257</v>
      </c>
      <c r="T2620">
        <v>2</v>
      </c>
      <c r="U2620">
        <v>930.77</v>
      </c>
      <c r="V2620">
        <v>212</v>
      </c>
      <c r="W2620">
        <v>372.88</v>
      </c>
      <c r="X2620">
        <v>212</v>
      </c>
      <c r="Y2620">
        <v>660</v>
      </c>
      <c r="Z2620" t="s">
        <v>8842</v>
      </c>
      <c r="AB2620" t="s">
        <v>22638</v>
      </c>
      <c r="AC2620" t="s">
        <v>9852</v>
      </c>
      <c r="AD2620" t="s">
        <v>22495</v>
      </c>
      <c r="AE2620" t="s">
        <v>4519</v>
      </c>
      <c r="AG2620" t="s">
        <v>22639</v>
      </c>
      <c r="AH2620" t="s">
        <v>3011</v>
      </c>
      <c r="AI2620" t="s">
        <v>9852</v>
      </c>
      <c r="AL2620" t="s">
        <v>22640</v>
      </c>
      <c r="AO2620" t="s">
        <v>22641</v>
      </c>
    </row>
    <row r="2621" spans="1:41" hidden="1" x14ac:dyDescent="0.35">
      <c r="A2621" t="s">
        <v>22644</v>
      </c>
      <c r="B2621" t="s">
        <v>7246</v>
      </c>
      <c r="C2621" t="s">
        <v>84</v>
      </c>
      <c r="D2621" t="s">
        <v>84</v>
      </c>
      <c r="E2621" t="s">
        <v>84</v>
      </c>
      <c r="G2621" s="13" t="s">
        <v>22645</v>
      </c>
      <c r="H2621" t="s">
        <v>22646</v>
      </c>
      <c r="K2621" t="s">
        <v>22280</v>
      </c>
      <c r="L2621" t="s">
        <v>22257</v>
      </c>
      <c r="M2621" t="s">
        <v>7250</v>
      </c>
      <c r="N2621">
        <v>1967</v>
      </c>
      <c r="P2621">
        <v>2011</v>
      </c>
      <c r="R2621">
        <v>30</v>
      </c>
      <c r="S2621" t="s">
        <v>8257</v>
      </c>
      <c r="T2621">
        <v>30</v>
      </c>
      <c r="U2621">
        <v>13961.5</v>
      </c>
      <c r="V2621">
        <v>9818</v>
      </c>
      <c r="W2621">
        <v>2579.66</v>
      </c>
      <c r="X2621">
        <v>9818</v>
      </c>
      <c r="AA2621" t="s">
        <v>22647</v>
      </c>
      <c r="AC2621" t="s">
        <v>9852</v>
      </c>
      <c r="AD2621" t="s">
        <v>4777</v>
      </c>
      <c r="AE2621" t="s">
        <v>4778</v>
      </c>
      <c r="AH2621" t="s">
        <v>4178</v>
      </c>
      <c r="AI2621" t="s">
        <v>9852</v>
      </c>
      <c r="AL2621" t="s">
        <v>22648</v>
      </c>
      <c r="AO2621" t="s">
        <v>22649</v>
      </c>
    </row>
    <row r="2622" spans="1:41" hidden="1" x14ac:dyDescent="0.35">
      <c r="A2622" t="s">
        <v>22650</v>
      </c>
      <c r="B2622" t="s">
        <v>7246</v>
      </c>
      <c r="C2622" t="s">
        <v>84</v>
      </c>
      <c r="D2622" t="s">
        <v>84</v>
      </c>
      <c r="E2622" t="s">
        <v>84</v>
      </c>
      <c r="G2622" s="13" t="s">
        <v>22645</v>
      </c>
      <c r="H2622" t="s">
        <v>22646</v>
      </c>
      <c r="I2622" t="s">
        <v>22651</v>
      </c>
      <c r="K2622" t="s">
        <v>22652</v>
      </c>
      <c r="L2622" t="s">
        <v>22652</v>
      </c>
      <c r="M2622" t="s">
        <v>7250</v>
      </c>
      <c r="N2622">
        <v>2010</v>
      </c>
      <c r="T2622" t="s">
        <v>6546</v>
      </c>
      <c r="U2622" t="s">
        <v>6546</v>
      </c>
      <c r="V2622" t="s">
        <v>6546</v>
      </c>
      <c r="W2622" t="s">
        <v>6546</v>
      </c>
      <c r="X2622" t="s">
        <v>6546</v>
      </c>
      <c r="AB2622" t="s">
        <v>22653</v>
      </c>
      <c r="AC2622" t="s">
        <v>9852</v>
      </c>
      <c r="AE2622" t="s">
        <v>4778</v>
      </c>
      <c r="AG2622" t="s">
        <v>22654</v>
      </c>
      <c r="AH2622" t="s">
        <v>4840</v>
      </c>
      <c r="AI2622" t="s">
        <v>9852</v>
      </c>
      <c r="AO2622" t="s">
        <v>6546</v>
      </c>
    </row>
    <row r="2623" spans="1:41" hidden="1" x14ac:dyDescent="0.35">
      <c r="A2623" t="s">
        <v>22655</v>
      </c>
      <c r="B2623" t="s">
        <v>7246</v>
      </c>
      <c r="C2623" t="s">
        <v>84</v>
      </c>
      <c r="D2623" t="s">
        <v>84</v>
      </c>
      <c r="E2623" t="s">
        <v>84</v>
      </c>
      <c r="G2623" s="13" t="s">
        <v>22656</v>
      </c>
      <c r="H2623" t="s">
        <v>22657</v>
      </c>
      <c r="I2623" t="s">
        <v>22657</v>
      </c>
      <c r="K2623" t="s">
        <v>22658</v>
      </c>
      <c r="L2623" t="s">
        <v>22659</v>
      </c>
      <c r="M2623" t="s">
        <v>7250</v>
      </c>
      <c r="N2623">
        <v>2022</v>
      </c>
      <c r="R2623">
        <v>4.9000000000000004</v>
      </c>
      <c r="S2623" t="s">
        <v>8257</v>
      </c>
      <c r="T2623">
        <v>4.9000000000000004</v>
      </c>
      <c r="U2623">
        <v>2280.38</v>
      </c>
      <c r="V2623">
        <v>116.17</v>
      </c>
      <c r="W2623">
        <v>101.29</v>
      </c>
      <c r="X2623">
        <v>116.17</v>
      </c>
      <c r="Y2623">
        <v>813</v>
      </c>
      <c r="Z2623" t="s">
        <v>8842</v>
      </c>
      <c r="AA2623" t="s">
        <v>22660</v>
      </c>
      <c r="AB2623" t="s">
        <v>22661</v>
      </c>
      <c r="AC2623" t="s">
        <v>9852</v>
      </c>
      <c r="AD2623" t="s">
        <v>4794</v>
      </c>
      <c r="AE2623" t="s">
        <v>4778</v>
      </c>
      <c r="AF2623" t="s">
        <v>22662</v>
      </c>
      <c r="AG2623" t="s">
        <v>4180</v>
      </c>
      <c r="AH2623" t="s">
        <v>4778</v>
      </c>
      <c r="AI2623" t="s">
        <v>9852</v>
      </c>
      <c r="AO2623" t="s">
        <v>22663</v>
      </c>
    </row>
    <row r="2624" spans="1:41" hidden="1" x14ac:dyDescent="0.35">
      <c r="A2624" t="s">
        <v>22664</v>
      </c>
      <c r="B2624" t="s">
        <v>7246</v>
      </c>
      <c r="C2624" t="s">
        <v>84</v>
      </c>
      <c r="D2624" t="s">
        <v>84</v>
      </c>
      <c r="E2624" t="s">
        <v>84</v>
      </c>
      <c r="G2624" s="13" t="s">
        <v>22665</v>
      </c>
      <c r="H2624" t="s">
        <v>22666</v>
      </c>
      <c r="I2624" t="s">
        <v>22667</v>
      </c>
      <c r="K2624" t="s">
        <v>22668</v>
      </c>
      <c r="L2624" t="s">
        <v>22668</v>
      </c>
      <c r="M2624" t="s">
        <v>7415</v>
      </c>
      <c r="N2624">
        <v>2022</v>
      </c>
      <c r="R2624">
        <v>4.5</v>
      </c>
      <c r="S2624" t="s">
        <v>8257</v>
      </c>
      <c r="T2624">
        <v>4.5</v>
      </c>
      <c r="U2624">
        <v>2094.23</v>
      </c>
      <c r="V2624">
        <v>229</v>
      </c>
      <c r="W2624">
        <v>171.41</v>
      </c>
      <c r="X2624">
        <v>229</v>
      </c>
      <c r="AB2624" t="s">
        <v>22669</v>
      </c>
      <c r="AC2624" t="s">
        <v>9852</v>
      </c>
      <c r="AD2624" t="s">
        <v>6684</v>
      </c>
      <c r="AE2624" t="s">
        <v>3065</v>
      </c>
      <c r="AG2624" t="s">
        <v>22670</v>
      </c>
      <c r="AH2624" t="s">
        <v>3011</v>
      </c>
      <c r="AI2624" t="s">
        <v>9852</v>
      </c>
      <c r="AL2624" t="s">
        <v>22671</v>
      </c>
      <c r="AO2624" t="s">
        <v>22672</v>
      </c>
    </row>
    <row r="2625" spans="1:41" hidden="1" x14ac:dyDescent="0.35">
      <c r="A2625" t="s">
        <v>22673</v>
      </c>
      <c r="B2625" t="s">
        <v>7246</v>
      </c>
      <c r="C2625" t="s">
        <v>84</v>
      </c>
      <c r="D2625" t="s">
        <v>84</v>
      </c>
      <c r="E2625" t="s">
        <v>84</v>
      </c>
      <c r="G2625" s="13" t="s">
        <v>22674</v>
      </c>
      <c r="H2625" t="s">
        <v>22666</v>
      </c>
      <c r="I2625" t="s">
        <v>22675</v>
      </c>
      <c r="K2625" t="s">
        <v>22676</v>
      </c>
      <c r="L2625" t="s">
        <v>22677</v>
      </c>
      <c r="M2625" t="s">
        <v>7250</v>
      </c>
      <c r="N2625">
        <v>2004</v>
      </c>
      <c r="R2625">
        <v>3.1</v>
      </c>
      <c r="S2625" t="s">
        <v>8257</v>
      </c>
      <c r="T2625">
        <v>3.1</v>
      </c>
      <c r="U2625">
        <v>1442.69</v>
      </c>
      <c r="V2625">
        <v>120</v>
      </c>
      <c r="W2625">
        <v>132.30000000000001</v>
      </c>
      <c r="X2625">
        <v>120</v>
      </c>
      <c r="AA2625" t="s">
        <v>22678</v>
      </c>
      <c r="AB2625" t="s">
        <v>22259</v>
      </c>
      <c r="AC2625" t="s">
        <v>9852</v>
      </c>
      <c r="AD2625" t="s">
        <v>4351</v>
      </c>
      <c r="AE2625" t="s">
        <v>3024</v>
      </c>
      <c r="AF2625" t="s">
        <v>6684</v>
      </c>
      <c r="AG2625" t="s">
        <v>22679</v>
      </c>
      <c r="AH2625" t="s">
        <v>3065</v>
      </c>
      <c r="AI2625" t="s">
        <v>9852</v>
      </c>
      <c r="AL2625" t="s">
        <v>22671</v>
      </c>
      <c r="AO2625" t="s">
        <v>22680</v>
      </c>
    </row>
    <row r="2626" spans="1:41" hidden="1" x14ac:dyDescent="0.35">
      <c r="A2626" t="s">
        <v>22681</v>
      </c>
      <c r="B2626" t="s">
        <v>7246</v>
      </c>
      <c r="C2626" t="s">
        <v>84</v>
      </c>
      <c r="D2626" t="s">
        <v>84</v>
      </c>
      <c r="E2626" t="s">
        <v>84</v>
      </c>
      <c r="G2626" s="13" t="s">
        <v>22674</v>
      </c>
      <c r="H2626" t="s">
        <v>22666</v>
      </c>
      <c r="I2626" t="s">
        <v>22682</v>
      </c>
      <c r="K2626" t="s">
        <v>22676</v>
      </c>
      <c r="L2626" t="s">
        <v>22677</v>
      </c>
      <c r="M2626" t="s">
        <v>7250</v>
      </c>
      <c r="N2626">
        <v>2008</v>
      </c>
      <c r="R2626">
        <v>6.3</v>
      </c>
      <c r="S2626" t="s">
        <v>8257</v>
      </c>
      <c r="T2626">
        <v>6.3</v>
      </c>
      <c r="U2626">
        <v>2931.92</v>
      </c>
      <c r="V2626">
        <v>108</v>
      </c>
      <c r="W2626">
        <v>132.30000000000001</v>
      </c>
      <c r="X2626">
        <v>108</v>
      </c>
      <c r="AA2626" t="s">
        <v>22678</v>
      </c>
      <c r="AB2626" t="s">
        <v>22259</v>
      </c>
      <c r="AC2626" t="s">
        <v>9852</v>
      </c>
      <c r="AD2626" t="s">
        <v>4351</v>
      </c>
      <c r="AE2626" t="s">
        <v>3024</v>
      </c>
      <c r="AF2626" t="s">
        <v>6684</v>
      </c>
      <c r="AG2626" t="s">
        <v>22679</v>
      </c>
      <c r="AH2626" t="s">
        <v>3065</v>
      </c>
      <c r="AI2626" t="s">
        <v>9852</v>
      </c>
      <c r="AL2626" t="s">
        <v>22671</v>
      </c>
      <c r="AO2626" t="s">
        <v>22680</v>
      </c>
    </row>
    <row r="2627" spans="1:41" hidden="1" x14ac:dyDescent="0.35">
      <c r="A2627" t="s">
        <v>22683</v>
      </c>
      <c r="B2627" t="s">
        <v>7246</v>
      </c>
      <c r="C2627" t="s">
        <v>84</v>
      </c>
      <c r="D2627" t="s">
        <v>84</v>
      </c>
      <c r="E2627" t="s">
        <v>84</v>
      </c>
      <c r="G2627" s="13" t="s">
        <v>22674</v>
      </c>
      <c r="H2627" t="s">
        <v>22666</v>
      </c>
      <c r="I2627" t="s">
        <v>22684</v>
      </c>
      <c r="K2627" t="s">
        <v>22676</v>
      </c>
      <c r="L2627" t="s">
        <v>22677</v>
      </c>
      <c r="M2627" t="s">
        <v>7250</v>
      </c>
      <c r="N2627">
        <v>2015</v>
      </c>
      <c r="R2627">
        <v>9.0500000000000007</v>
      </c>
      <c r="S2627" t="s">
        <v>8257</v>
      </c>
      <c r="T2627">
        <v>9.0500000000000007</v>
      </c>
      <c r="U2627">
        <v>4211.72</v>
      </c>
      <c r="V2627">
        <v>162</v>
      </c>
      <c r="W2627">
        <v>132.30000000000001</v>
      </c>
      <c r="X2627">
        <v>162</v>
      </c>
      <c r="AA2627" t="s">
        <v>22678</v>
      </c>
      <c r="AB2627" t="s">
        <v>22259</v>
      </c>
      <c r="AC2627" t="s">
        <v>9852</v>
      </c>
      <c r="AD2627" t="s">
        <v>4351</v>
      </c>
      <c r="AE2627" t="s">
        <v>3024</v>
      </c>
      <c r="AF2627" t="s">
        <v>6684</v>
      </c>
      <c r="AG2627" t="s">
        <v>22679</v>
      </c>
      <c r="AH2627" t="s">
        <v>3065</v>
      </c>
      <c r="AI2627" t="s">
        <v>9852</v>
      </c>
      <c r="AL2627" t="s">
        <v>22671</v>
      </c>
      <c r="AO2627" t="s">
        <v>22680</v>
      </c>
    </row>
    <row r="2628" spans="1:41" hidden="1" x14ac:dyDescent="0.35">
      <c r="A2628" t="s">
        <v>22685</v>
      </c>
      <c r="B2628" t="s">
        <v>7246</v>
      </c>
      <c r="C2628" t="s">
        <v>84</v>
      </c>
      <c r="D2628" t="s">
        <v>84</v>
      </c>
      <c r="E2628" t="s">
        <v>84</v>
      </c>
      <c r="G2628" s="13" t="s">
        <v>22686</v>
      </c>
      <c r="H2628" t="s">
        <v>22666</v>
      </c>
      <c r="I2628" t="s">
        <v>22687</v>
      </c>
      <c r="K2628" t="s">
        <v>22688</v>
      </c>
      <c r="L2628" t="s">
        <v>22688</v>
      </c>
      <c r="M2628" t="s">
        <v>7250</v>
      </c>
      <c r="N2628">
        <v>1975</v>
      </c>
      <c r="T2628" t="s">
        <v>6546</v>
      </c>
      <c r="U2628" t="s">
        <v>6546</v>
      </c>
      <c r="V2628">
        <v>82.7</v>
      </c>
      <c r="W2628">
        <v>116.25</v>
      </c>
      <c r="X2628">
        <v>82.7</v>
      </c>
      <c r="Y2628">
        <v>529</v>
      </c>
      <c r="Z2628" t="s">
        <v>8842</v>
      </c>
      <c r="AA2628" t="s">
        <v>22689</v>
      </c>
      <c r="AC2628" t="s">
        <v>9852</v>
      </c>
      <c r="AD2628" t="s">
        <v>22679</v>
      </c>
      <c r="AE2628" t="s">
        <v>3065</v>
      </c>
      <c r="AG2628" t="s">
        <v>3025</v>
      </c>
      <c r="AH2628" t="s">
        <v>3024</v>
      </c>
      <c r="AI2628" t="s">
        <v>9852</v>
      </c>
      <c r="AL2628" t="s">
        <v>22671</v>
      </c>
      <c r="AO2628" t="s">
        <v>22690</v>
      </c>
    </row>
    <row r="2629" spans="1:41" hidden="1" x14ac:dyDescent="0.35">
      <c r="A2629" t="s">
        <v>22691</v>
      </c>
      <c r="B2629" t="s">
        <v>7246</v>
      </c>
      <c r="C2629" t="s">
        <v>84</v>
      </c>
      <c r="D2629" t="s">
        <v>84</v>
      </c>
      <c r="E2629" t="s">
        <v>84</v>
      </c>
      <c r="G2629" s="13" t="s">
        <v>22686</v>
      </c>
      <c r="H2629" t="s">
        <v>22666</v>
      </c>
      <c r="I2629" t="s">
        <v>22692</v>
      </c>
      <c r="K2629" t="s">
        <v>22688</v>
      </c>
      <c r="L2629" t="s">
        <v>22688</v>
      </c>
      <c r="M2629" t="s">
        <v>7250</v>
      </c>
      <c r="N2629">
        <v>2001</v>
      </c>
      <c r="T2629" t="s">
        <v>6546</v>
      </c>
      <c r="U2629" t="s">
        <v>6546</v>
      </c>
      <c r="V2629">
        <v>93.1</v>
      </c>
      <c r="W2629">
        <v>116.25</v>
      </c>
      <c r="X2629">
        <v>93.1</v>
      </c>
      <c r="Y2629">
        <v>406</v>
      </c>
      <c r="Z2629" t="s">
        <v>8842</v>
      </c>
      <c r="AA2629" t="s">
        <v>22689</v>
      </c>
      <c r="AC2629" t="s">
        <v>9852</v>
      </c>
      <c r="AD2629" t="s">
        <v>22679</v>
      </c>
      <c r="AE2629" t="s">
        <v>3065</v>
      </c>
      <c r="AG2629" t="s">
        <v>3025</v>
      </c>
      <c r="AH2629" t="s">
        <v>3065</v>
      </c>
      <c r="AI2629" t="s">
        <v>9852</v>
      </c>
      <c r="AL2629" t="s">
        <v>22671</v>
      </c>
      <c r="AO2629" t="s">
        <v>22690</v>
      </c>
    </row>
    <row r="2630" spans="1:41" hidden="1" x14ac:dyDescent="0.35">
      <c r="A2630" t="s">
        <v>22693</v>
      </c>
      <c r="B2630" t="s">
        <v>7246</v>
      </c>
      <c r="C2630" t="s">
        <v>84</v>
      </c>
      <c r="D2630" t="s">
        <v>84</v>
      </c>
      <c r="E2630" t="s">
        <v>84</v>
      </c>
      <c r="G2630" s="13" t="s">
        <v>22694</v>
      </c>
      <c r="H2630" t="s">
        <v>22666</v>
      </c>
      <c r="I2630" t="s">
        <v>22695</v>
      </c>
      <c r="K2630" t="s">
        <v>22696</v>
      </c>
      <c r="L2630" t="s">
        <v>22257</v>
      </c>
      <c r="M2630" t="s">
        <v>7250</v>
      </c>
      <c r="N2630">
        <v>2019</v>
      </c>
      <c r="R2630">
        <v>13.6</v>
      </c>
      <c r="S2630" t="s">
        <v>8257</v>
      </c>
      <c r="T2630">
        <v>13.6</v>
      </c>
      <c r="U2630">
        <v>6329.21</v>
      </c>
      <c r="V2630">
        <v>622</v>
      </c>
      <c r="W2630">
        <v>527.63</v>
      </c>
      <c r="X2630">
        <v>622</v>
      </c>
      <c r="AA2630" t="s">
        <v>22697</v>
      </c>
      <c r="AB2630" t="s">
        <v>22698</v>
      </c>
      <c r="AC2630" t="s">
        <v>9852</v>
      </c>
      <c r="AD2630" t="s">
        <v>22699</v>
      </c>
      <c r="AE2630" t="s">
        <v>3065</v>
      </c>
      <c r="AF2630" t="s">
        <v>22700</v>
      </c>
      <c r="AG2630" t="s">
        <v>22700</v>
      </c>
      <c r="AH2630" t="s">
        <v>3024</v>
      </c>
      <c r="AI2630" t="s">
        <v>9852</v>
      </c>
      <c r="AL2630" t="s">
        <v>22671</v>
      </c>
      <c r="AO2630" t="s">
        <v>22701</v>
      </c>
    </row>
    <row r="2631" spans="1:41" hidden="1" x14ac:dyDescent="0.35">
      <c r="A2631" t="s">
        <v>22702</v>
      </c>
      <c r="B2631" t="s">
        <v>7246</v>
      </c>
      <c r="C2631" t="s">
        <v>84</v>
      </c>
      <c r="D2631" t="s">
        <v>84</v>
      </c>
      <c r="E2631" t="s">
        <v>84</v>
      </c>
      <c r="G2631" s="13" t="s">
        <v>22703</v>
      </c>
      <c r="H2631" t="s">
        <v>22666</v>
      </c>
      <c r="I2631" t="s">
        <v>22704</v>
      </c>
      <c r="K2631" t="s">
        <v>22696</v>
      </c>
      <c r="L2631" t="s">
        <v>22257</v>
      </c>
      <c r="M2631" t="s">
        <v>7292</v>
      </c>
      <c r="R2631">
        <v>11</v>
      </c>
      <c r="S2631" t="s">
        <v>8257</v>
      </c>
      <c r="T2631">
        <v>11</v>
      </c>
      <c r="U2631">
        <v>5119.22</v>
      </c>
      <c r="V2631">
        <v>140</v>
      </c>
      <c r="W2631">
        <v>82.59</v>
      </c>
      <c r="X2631">
        <v>140</v>
      </c>
      <c r="AA2631" t="s">
        <v>22697</v>
      </c>
      <c r="AB2631" t="s">
        <v>22698</v>
      </c>
      <c r="AC2631" t="s">
        <v>9852</v>
      </c>
      <c r="AD2631" t="s">
        <v>22699</v>
      </c>
      <c r="AE2631" t="s">
        <v>3065</v>
      </c>
      <c r="AF2631" t="s">
        <v>22705</v>
      </c>
      <c r="AG2631" t="s">
        <v>22705</v>
      </c>
      <c r="AH2631" t="s">
        <v>3024</v>
      </c>
      <c r="AI2631" t="s">
        <v>9852</v>
      </c>
      <c r="AL2631" t="s">
        <v>22671</v>
      </c>
      <c r="AO2631" t="s">
        <v>22706</v>
      </c>
    </row>
    <row r="2632" spans="1:41" hidden="1" x14ac:dyDescent="0.35">
      <c r="A2632" t="s">
        <v>22707</v>
      </c>
      <c r="B2632" t="s">
        <v>7246</v>
      </c>
      <c r="C2632" t="s">
        <v>84</v>
      </c>
      <c r="D2632" t="s">
        <v>84</v>
      </c>
      <c r="E2632" t="s">
        <v>84</v>
      </c>
      <c r="G2632" s="13" t="s">
        <v>22708</v>
      </c>
      <c r="H2632" t="s">
        <v>22709</v>
      </c>
      <c r="I2632" t="s">
        <v>22710</v>
      </c>
      <c r="K2632" t="s">
        <v>22711</v>
      </c>
      <c r="L2632" t="s">
        <v>22711</v>
      </c>
      <c r="M2632" t="s">
        <v>7292</v>
      </c>
      <c r="T2632" t="s">
        <v>6546</v>
      </c>
      <c r="U2632" t="s">
        <v>6546</v>
      </c>
      <c r="V2632">
        <v>100</v>
      </c>
      <c r="W2632">
        <v>152.44999999999999</v>
      </c>
      <c r="X2632">
        <v>100</v>
      </c>
      <c r="AC2632" t="s">
        <v>9852</v>
      </c>
      <c r="AE2632" t="s">
        <v>3008</v>
      </c>
      <c r="AH2632" t="s">
        <v>3008</v>
      </c>
      <c r="AI2632" t="s">
        <v>9852</v>
      </c>
      <c r="AL2632" t="s">
        <v>22712</v>
      </c>
      <c r="AO2632" t="s">
        <v>22713</v>
      </c>
    </row>
    <row r="2633" spans="1:41" hidden="1" x14ac:dyDescent="0.35">
      <c r="A2633" t="s">
        <v>22714</v>
      </c>
      <c r="B2633" t="s">
        <v>7246</v>
      </c>
      <c r="C2633" t="s">
        <v>84</v>
      </c>
      <c r="D2633" t="s">
        <v>84</v>
      </c>
      <c r="E2633" t="s">
        <v>84</v>
      </c>
      <c r="G2633" s="13" t="s">
        <v>22708</v>
      </c>
      <c r="H2633" t="s">
        <v>22709</v>
      </c>
      <c r="I2633" t="s">
        <v>22715</v>
      </c>
      <c r="K2633" t="s">
        <v>22711</v>
      </c>
      <c r="L2633" t="s">
        <v>22711</v>
      </c>
      <c r="M2633" t="s">
        <v>7292</v>
      </c>
      <c r="T2633" t="s">
        <v>6546</v>
      </c>
      <c r="U2633" t="s">
        <v>6546</v>
      </c>
      <c r="V2633">
        <v>120</v>
      </c>
      <c r="W2633">
        <v>155.9</v>
      </c>
      <c r="X2633">
        <v>120</v>
      </c>
      <c r="AC2633" t="s">
        <v>9852</v>
      </c>
      <c r="AE2633" t="s">
        <v>3008</v>
      </c>
      <c r="AH2633" t="s">
        <v>3008</v>
      </c>
      <c r="AI2633" t="s">
        <v>9852</v>
      </c>
      <c r="AL2633" t="s">
        <v>22712</v>
      </c>
      <c r="AO2633" t="s">
        <v>22716</v>
      </c>
    </row>
    <row r="2634" spans="1:41" hidden="1" x14ac:dyDescent="0.35">
      <c r="A2634" t="s">
        <v>22717</v>
      </c>
      <c r="B2634" t="s">
        <v>7246</v>
      </c>
      <c r="C2634" t="s">
        <v>84</v>
      </c>
      <c r="D2634" t="s">
        <v>84</v>
      </c>
      <c r="E2634" t="s">
        <v>84</v>
      </c>
      <c r="G2634" s="13" t="s">
        <v>22708</v>
      </c>
      <c r="H2634" t="s">
        <v>22709</v>
      </c>
      <c r="I2634" t="s">
        <v>22718</v>
      </c>
      <c r="K2634" t="s">
        <v>22711</v>
      </c>
      <c r="L2634" t="s">
        <v>22711</v>
      </c>
      <c r="M2634" t="s">
        <v>7415</v>
      </c>
      <c r="T2634" t="s">
        <v>6546</v>
      </c>
      <c r="U2634" t="s">
        <v>6546</v>
      </c>
      <c r="V2634">
        <v>79</v>
      </c>
      <c r="W2634">
        <v>42.39</v>
      </c>
      <c r="X2634">
        <v>79</v>
      </c>
      <c r="Y2634">
        <v>610</v>
      </c>
      <c r="Z2634" t="s">
        <v>8842</v>
      </c>
      <c r="AC2634" t="s">
        <v>9852</v>
      </c>
      <c r="AE2634" t="s">
        <v>3008</v>
      </c>
      <c r="AH2634" t="s">
        <v>3008</v>
      </c>
      <c r="AI2634" t="s">
        <v>9852</v>
      </c>
      <c r="AL2634" t="s">
        <v>22712</v>
      </c>
      <c r="AO2634" t="s">
        <v>22719</v>
      </c>
    </row>
    <row r="2635" spans="1:41" hidden="1" x14ac:dyDescent="0.35">
      <c r="A2635" t="s">
        <v>22720</v>
      </c>
      <c r="B2635" t="s">
        <v>7246</v>
      </c>
      <c r="C2635" t="s">
        <v>84</v>
      </c>
      <c r="D2635" t="s">
        <v>84</v>
      </c>
      <c r="E2635" t="s">
        <v>84</v>
      </c>
      <c r="G2635" s="13" t="s">
        <v>22708</v>
      </c>
      <c r="H2635" t="s">
        <v>22709</v>
      </c>
      <c r="I2635" t="s">
        <v>22721</v>
      </c>
      <c r="J2635" t="s">
        <v>22722</v>
      </c>
      <c r="K2635" t="s">
        <v>22711</v>
      </c>
      <c r="L2635" t="s">
        <v>22711</v>
      </c>
      <c r="M2635" t="s">
        <v>7292</v>
      </c>
      <c r="T2635" t="s">
        <v>6546</v>
      </c>
      <c r="U2635" t="s">
        <v>6546</v>
      </c>
      <c r="V2635" t="s">
        <v>6546</v>
      </c>
      <c r="W2635">
        <v>285.43</v>
      </c>
      <c r="X2635">
        <v>285.43</v>
      </c>
      <c r="AC2635" t="s">
        <v>9852</v>
      </c>
      <c r="AE2635" t="s">
        <v>3008</v>
      </c>
      <c r="AH2635" t="s">
        <v>3008</v>
      </c>
      <c r="AI2635" t="s">
        <v>9852</v>
      </c>
      <c r="AL2635" t="s">
        <v>22712</v>
      </c>
      <c r="AO2635" t="s">
        <v>22723</v>
      </c>
    </row>
    <row r="2636" spans="1:41" hidden="1" x14ac:dyDescent="0.35">
      <c r="A2636" t="s">
        <v>22724</v>
      </c>
      <c r="B2636" t="s">
        <v>7246</v>
      </c>
      <c r="C2636" t="s">
        <v>84</v>
      </c>
      <c r="D2636" t="s">
        <v>84</v>
      </c>
      <c r="E2636" t="s">
        <v>84</v>
      </c>
      <c r="G2636" s="13" t="s">
        <v>22708</v>
      </c>
      <c r="H2636" t="s">
        <v>22709</v>
      </c>
      <c r="I2636" t="s">
        <v>22725</v>
      </c>
      <c r="K2636" t="s">
        <v>22711</v>
      </c>
      <c r="L2636" t="s">
        <v>22711</v>
      </c>
      <c r="M2636" t="s">
        <v>7292</v>
      </c>
      <c r="T2636" t="s">
        <v>6546</v>
      </c>
      <c r="U2636" t="s">
        <v>6546</v>
      </c>
      <c r="V2636">
        <v>120</v>
      </c>
      <c r="W2636">
        <v>137.19999999999999</v>
      </c>
      <c r="X2636">
        <v>120</v>
      </c>
      <c r="AC2636" t="s">
        <v>9852</v>
      </c>
      <c r="AE2636" t="s">
        <v>3008</v>
      </c>
      <c r="AH2636" t="s">
        <v>3008</v>
      </c>
      <c r="AI2636" t="s">
        <v>9852</v>
      </c>
      <c r="AL2636" t="s">
        <v>22712</v>
      </c>
      <c r="AO2636" t="s">
        <v>22726</v>
      </c>
    </row>
    <row r="2637" spans="1:41" hidden="1" x14ac:dyDescent="0.35">
      <c r="A2637" t="s">
        <v>22727</v>
      </c>
      <c r="B2637" t="s">
        <v>7246</v>
      </c>
      <c r="C2637" t="s">
        <v>84</v>
      </c>
      <c r="D2637" t="s">
        <v>84</v>
      </c>
      <c r="E2637" t="s">
        <v>84</v>
      </c>
      <c r="G2637" s="13" t="s">
        <v>22708</v>
      </c>
      <c r="H2637" t="s">
        <v>22709</v>
      </c>
      <c r="I2637" t="s">
        <v>22728</v>
      </c>
      <c r="K2637" t="s">
        <v>22711</v>
      </c>
      <c r="L2637" t="s">
        <v>22711</v>
      </c>
      <c r="M2637" t="s">
        <v>7292</v>
      </c>
      <c r="T2637" t="s">
        <v>6546</v>
      </c>
      <c r="U2637" t="s">
        <v>6546</v>
      </c>
      <c r="V2637" t="s">
        <v>6546</v>
      </c>
      <c r="W2637">
        <v>127.53</v>
      </c>
      <c r="X2637">
        <v>127.53</v>
      </c>
      <c r="AB2637" t="s">
        <v>22729</v>
      </c>
      <c r="AC2637" t="s">
        <v>9852</v>
      </c>
      <c r="AE2637" t="s">
        <v>3072</v>
      </c>
      <c r="AH2637" t="s">
        <v>3008</v>
      </c>
      <c r="AI2637" t="s">
        <v>9852</v>
      </c>
      <c r="AL2637" t="s">
        <v>22712</v>
      </c>
      <c r="AO2637" t="s">
        <v>22730</v>
      </c>
    </row>
    <row r="2638" spans="1:41" hidden="1" x14ac:dyDescent="0.35">
      <c r="A2638" t="s">
        <v>22731</v>
      </c>
      <c r="B2638" t="s">
        <v>7246</v>
      </c>
      <c r="C2638" t="s">
        <v>84</v>
      </c>
      <c r="D2638" t="s">
        <v>84</v>
      </c>
      <c r="E2638" t="s">
        <v>84</v>
      </c>
      <c r="G2638" s="13" t="s">
        <v>22708</v>
      </c>
      <c r="H2638" t="s">
        <v>22709</v>
      </c>
      <c r="I2638" t="s">
        <v>22732</v>
      </c>
      <c r="K2638" t="s">
        <v>22711</v>
      </c>
      <c r="L2638" t="s">
        <v>22711</v>
      </c>
      <c r="M2638" t="s">
        <v>7415</v>
      </c>
      <c r="R2638">
        <v>0.5</v>
      </c>
      <c r="S2638" t="s">
        <v>8257</v>
      </c>
      <c r="T2638">
        <v>0.5</v>
      </c>
      <c r="U2638">
        <v>232.69</v>
      </c>
      <c r="V2638">
        <v>136</v>
      </c>
      <c r="W2638">
        <v>126.53</v>
      </c>
      <c r="X2638">
        <v>136</v>
      </c>
      <c r="Y2638">
        <v>610</v>
      </c>
      <c r="Z2638" t="s">
        <v>8842</v>
      </c>
      <c r="AC2638" t="s">
        <v>9852</v>
      </c>
      <c r="AD2638" t="s">
        <v>4158</v>
      </c>
      <c r="AE2638" t="s">
        <v>3008</v>
      </c>
      <c r="AF2638" t="s">
        <v>22733</v>
      </c>
      <c r="AG2638" t="s">
        <v>22734</v>
      </c>
      <c r="AH2638" t="s">
        <v>3008</v>
      </c>
      <c r="AI2638" t="s">
        <v>9852</v>
      </c>
      <c r="AL2638" t="s">
        <v>22712</v>
      </c>
      <c r="AO2638" t="s">
        <v>22735</v>
      </c>
    </row>
    <row r="2639" spans="1:41" hidden="1" x14ac:dyDescent="0.35">
      <c r="A2639" t="s">
        <v>22736</v>
      </c>
      <c r="B2639" t="s">
        <v>7246</v>
      </c>
      <c r="C2639" t="s">
        <v>84</v>
      </c>
      <c r="D2639" t="s">
        <v>84</v>
      </c>
      <c r="E2639" t="s">
        <v>84</v>
      </c>
      <c r="G2639" s="13" t="s">
        <v>22708</v>
      </c>
      <c r="H2639" t="s">
        <v>22709</v>
      </c>
      <c r="I2639" t="s">
        <v>22737</v>
      </c>
      <c r="K2639" t="s">
        <v>22711</v>
      </c>
      <c r="L2639" t="s">
        <v>22711</v>
      </c>
      <c r="M2639" t="s">
        <v>7292</v>
      </c>
      <c r="T2639" t="s">
        <v>6546</v>
      </c>
      <c r="U2639" t="s">
        <v>6546</v>
      </c>
      <c r="V2639">
        <v>160</v>
      </c>
      <c r="W2639">
        <v>84.29</v>
      </c>
      <c r="X2639">
        <v>160</v>
      </c>
      <c r="AC2639" t="s">
        <v>9852</v>
      </c>
      <c r="AE2639" t="s">
        <v>3008</v>
      </c>
      <c r="AH2639" t="s">
        <v>3008</v>
      </c>
      <c r="AI2639" t="s">
        <v>9852</v>
      </c>
      <c r="AL2639" t="s">
        <v>22712</v>
      </c>
      <c r="AO2639" t="s">
        <v>22738</v>
      </c>
    </row>
    <row r="2640" spans="1:41" hidden="1" x14ac:dyDescent="0.35">
      <c r="A2640" t="s">
        <v>22739</v>
      </c>
      <c r="B2640" t="s">
        <v>7246</v>
      </c>
      <c r="C2640" t="s">
        <v>84</v>
      </c>
      <c r="D2640" t="s">
        <v>84</v>
      </c>
      <c r="E2640" t="s">
        <v>84</v>
      </c>
      <c r="G2640" s="13" t="s">
        <v>22708</v>
      </c>
      <c r="H2640" t="s">
        <v>22709</v>
      </c>
      <c r="I2640" t="s">
        <v>22740</v>
      </c>
      <c r="K2640" t="s">
        <v>6543</v>
      </c>
      <c r="L2640" t="s">
        <v>6543</v>
      </c>
      <c r="M2640" t="s">
        <v>7250</v>
      </c>
      <c r="N2640">
        <v>2021</v>
      </c>
      <c r="T2640" t="s">
        <v>6546</v>
      </c>
      <c r="U2640" t="s">
        <v>6546</v>
      </c>
      <c r="V2640">
        <v>160</v>
      </c>
      <c r="W2640">
        <v>82.53</v>
      </c>
      <c r="X2640">
        <v>160</v>
      </c>
      <c r="AC2640" t="s">
        <v>9852</v>
      </c>
      <c r="AE2640" t="s">
        <v>3008</v>
      </c>
      <c r="AH2640" t="s">
        <v>3008</v>
      </c>
      <c r="AI2640" t="s">
        <v>9852</v>
      </c>
      <c r="AL2640" t="s">
        <v>22712</v>
      </c>
      <c r="AO2640" t="s">
        <v>22741</v>
      </c>
    </row>
    <row r="2641" spans="1:41" hidden="1" x14ac:dyDescent="0.35">
      <c r="A2641" t="s">
        <v>22742</v>
      </c>
      <c r="B2641" t="s">
        <v>7246</v>
      </c>
      <c r="C2641" t="s">
        <v>84</v>
      </c>
      <c r="D2641" t="s">
        <v>84</v>
      </c>
      <c r="E2641" t="s">
        <v>84</v>
      </c>
      <c r="G2641" s="13" t="s">
        <v>22708</v>
      </c>
      <c r="H2641" t="s">
        <v>22709</v>
      </c>
      <c r="I2641" t="s">
        <v>22743</v>
      </c>
      <c r="J2641" t="s">
        <v>22744</v>
      </c>
      <c r="K2641" t="s">
        <v>22711</v>
      </c>
      <c r="L2641" t="s">
        <v>22711</v>
      </c>
      <c r="M2641" t="s">
        <v>7415</v>
      </c>
      <c r="T2641" t="s">
        <v>6546</v>
      </c>
      <c r="U2641" t="s">
        <v>6546</v>
      </c>
      <c r="V2641">
        <v>700</v>
      </c>
      <c r="W2641">
        <v>619.5</v>
      </c>
      <c r="X2641">
        <v>700</v>
      </c>
      <c r="AC2641" t="s">
        <v>9852</v>
      </c>
      <c r="AE2641" t="s">
        <v>3008</v>
      </c>
      <c r="AH2641" t="s">
        <v>3008</v>
      </c>
      <c r="AI2641" t="s">
        <v>9852</v>
      </c>
      <c r="AL2641" t="s">
        <v>22712</v>
      </c>
      <c r="AO2641" t="s">
        <v>22745</v>
      </c>
    </row>
    <row r="2642" spans="1:41" hidden="1" x14ac:dyDescent="0.35">
      <c r="A2642" t="s">
        <v>22746</v>
      </c>
      <c r="B2642" t="s">
        <v>7246</v>
      </c>
      <c r="C2642" t="s">
        <v>84</v>
      </c>
      <c r="D2642" t="s">
        <v>84</v>
      </c>
      <c r="E2642" t="s">
        <v>84</v>
      </c>
      <c r="G2642" s="13" t="s">
        <v>22708</v>
      </c>
      <c r="H2642" t="s">
        <v>22709</v>
      </c>
      <c r="I2642" t="s">
        <v>22747</v>
      </c>
      <c r="K2642" t="s">
        <v>22711</v>
      </c>
      <c r="L2642" t="s">
        <v>22711</v>
      </c>
      <c r="M2642" t="s">
        <v>7250</v>
      </c>
      <c r="N2642">
        <v>2022</v>
      </c>
      <c r="R2642">
        <v>4.66</v>
      </c>
      <c r="S2642" t="s">
        <v>8257</v>
      </c>
      <c r="T2642">
        <v>4.66</v>
      </c>
      <c r="U2642">
        <v>2168.69</v>
      </c>
      <c r="V2642">
        <v>180</v>
      </c>
      <c r="W2642">
        <v>145.28</v>
      </c>
      <c r="X2642">
        <v>180</v>
      </c>
      <c r="AA2642" t="s">
        <v>22748</v>
      </c>
      <c r="AC2642" t="s">
        <v>9852</v>
      </c>
      <c r="AE2642" t="s">
        <v>3008</v>
      </c>
      <c r="AH2642" t="s">
        <v>3008</v>
      </c>
      <c r="AI2642" t="s">
        <v>9852</v>
      </c>
      <c r="AL2642" t="s">
        <v>22712</v>
      </c>
      <c r="AO2642" t="s">
        <v>22749</v>
      </c>
    </row>
    <row r="2643" spans="1:41" hidden="1" x14ac:dyDescent="0.35">
      <c r="A2643" t="s">
        <v>22750</v>
      </c>
      <c r="B2643" t="s">
        <v>7246</v>
      </c>
      <c r="C2643" t="s">
        <v>84</v>
      </c>
      <c r="D2643" t="s">
        <v>84</v>
      </c>
      <c r="E2643" t="s">
        <v>84</v>
      </c>
      <c r="G2643" s="13" t="s">
        <v>22708</v>
      </c>
      <c r="H2643" t="s">
        <v>22709</v>
      </c>
      <c r="I2643" t="s">
        <v>22751</v>
      </c>
      <c r="K2643" t="s">
        <v>22711</v>
      </c>
      <c r="L2643" t="s">
        <v>22711</v>
      </c>
      <c r="M2643" t="s">
        <v>7415</v>
      </c>
      <c r="N2643">
        <v>2024</v>
      </c>
      <c r="R2643">
        <v>4.66</v>
      </c>
      <c r="S2643" t="s">
        <v>8257</v>
      </c>
      <c r="T2643">
        <v>4.66</v>
      </c>
      <c r="U2643">
        <v>2168.69</v>
      </c>
      <c r="V2643">
        <v>179</v>
      </c>
      <c r="W2643">
        <v>75.540000000000006</v>
      </c>
      <c r="X2643">
        <v>179</v>
      </c>
      <c r="Y2643">
        <v>711</v>
      </c>
      <c r="Z2643" t="s">
        <v>8842</v>
      </c>
      <c r="AA2643" t="s">
        <v>22748</v>
      </c>
      <c r="AB2643" t="s">
        <v>22752</v>
      </c>
      <c r="AC2643" t="s">
        <v>9852</v>
      </c>
      <c r="AD2643" t="s">
        <v>22753</v>
      </c>
      <c r="AE2643" t="s">
        <v>3008</v>
      </c>
      <c r="AF2643" t="s">
        <v>22754</v>
      </c>
      <c r="AG2643" t="s">
        <v>4160</v>
      </c>
      <c r="AH2643" t="s">
        <v>3008</v>
      </c>
      <c r="AI2643" t="s">
        <v>9852</v>
      </c>
      <c r="AL2643" t="s">
        <v>22712</v>
      </c>
      <c r="AO2643" t="s">
        <v>22755</v>
      </c>
    </row>
    <row r="2644" spans="1:41" hidden="1" x14ac:dyDescent="0.35">
      <c r="A2644" t="s">
        <v>22756</v>
      </c>
      <c r="B2644" t="s">
        <v>7246</v>
      </c>
      <c r="C2644" t="s">
        <v>84</v>
      </c>
      <c r="D2644" t="s">
        <v>84</v>
      </c>
      <c r="E2644" t="s">
        <v>84</v>
      </c>
      <c r="G2644" s="13" t="s">
        <v>22708</v>
      </c>
      <c r="H2644" t="s">
        <v>22709</v>
      </c>
      <c r="I2644" t="s">
        <v>22757</v>
      </c>
      <c r="K2644" t="s">
        <v>22711</v>
      </c>
      <c r="L2644" t="s">
        <v>22711</v>
      </c>
      <c r="M2644" t="s">
        <v>7292</v>
      </c>
      <c r="T2644" t="s">
        <v>6546</v>
      </c>
      <c r="U2644" t="s">
        <v>6546</v>
      </c>
      <c r="V2644" t="s">
        <v>6546</v>
      </c>
      <c r="W2644">
        <v>93.38</v>
      </c>
      <c r="X2644">
        <v>93.38</v>
      </c>
      <c r="AA2644" t="s">
        <v>22748</v>
      </c>
      <c r="AC2644" t="s">
        <v>9852</v>
      </c>
      <c r="AE2644" t="s">
        <v>3008</v>
      </c>
      <c r="AH2644" t="s">
        <v>3008</v>
      </c>
      <c r="AI2644" t="s">
        <v>9852</v>
      </c>
      <c r="AL2644" t="s">
        <v>22712</v>
      </c>
      <c r="AO2644" t="s">
        <v>22758</v>
      </c>
    </row>
    <row r="2645" spans="1:41" hidden="1" x14ac:dyDescent="0.35">
      <c r="A2645" t="s">
        <v>22759</v>
      </c>
      <c r="B2645" t="s">
        <v>7246</v>
      </c>
      <c r="C2645" t="s">
        <v>84</v>
      </c>
      <c r="D2645" t="s">
        <v>84</v>
      </c>
      <c r="E2645" t="s">
        <v>84</v>
      </c>
      <c r="G2645" s="13" t="s">
        <v>22708</v>
      </c>
      <c r="H2645" t="s">
        <v>22709</v>
      </c>
      <c r="I2645" t="s">
        <v>22760</v>
      </c>
      <c r="K2645" t="s">
        <v>22711</v>
      </c>
      <c r="L2645" t="s">
        <v>22711</v>
      </c>
      <c r="M2645" t="s">
        <v>7292</v>
      </c>
      <c r="T2645" t="s">
        <v>6546</v>
      </c>
      <c r="U2645" t="s">
        <v>6546</v>
      </c>
      <c r="V2645">
        <v>180</v>
      </c>
      <c r="W2645">
        <v>128.91999999999999</v>
      </c>
      <c r="X2645">
        <v>180</v>
      </c>
      <c r="Y2645">
        <v>700</v>
      </c>
      <c r="Z2645" t="s">
        <v>8842</v>
      </c>
      <c r="AB2645" t="s">
        <v>22761</v>
      </c>
      <c r="AC2645" t="s">
        <v>9852</v>
      </c>
      <c r="AD2645" t="s">
        <v>4575</v>
      </c>
      <c r="AE2645" t="s">
        <v>3008</v>
      </c>
      <c r="AF2645" t="s">
        <v>22762</v>
      </c>
      <c r="AG2645" t="s">
        <v>4575</v>
      </c>
      <c r="AH2645" t="s">
        <v>3008</v>
      </c>
      <c r="AI2645" t="s">
        <v>9852</v>
      </c>
      <c r="AL2645" t="s">
        <v>22712</v>
      </c>
      <c r="AO2645" t="s">
        <v>22763</v>
      </c>
    </row>
    <row r="2646" spans="1:41" hidden="1" x14ac:dyDescent="0.35">
      <c r="A2646" t="s">
        <v>22764</v>
      </c>
      <c r="B2646" t="s">
        <v>7246</v>
      </c>
      <c r="C2646" t="s">
        <v>84</v>
      </c>
      <c r="D2646" t="s">
        <v>84</v>
      </c>
      <c r="E2646" t="s">
        <v>84</v>
      </c>
      <c r="G2646" s="13" t="s">
        <v>22708</v>
      </c>
      <c r="H2646" t="s">
        <v>22709</v>
      </c>
      <c r="I2646" t="s">
        <v>22765</v>
      </c>
      <c r="J2646" t="s">
        <v>22766</v>
      </c>
      <c r="K2646" t="s">
        <v>22711</v>
      </c>
      <c r="L2646" t="s">
        <v>22711</v>
      </c>
      <c r="M2646" t="s">
        <v>7415</v>
      </c>
      <c r="T2646" t="s">
        <v>6546</v>
      </c>
      <c r="U2646" t="s">
        <v>6546</v>
      </c>
      <c r="V2646">
        <v>500</v>
      </c>
      <c r="W2646">
        <v>449.37</v>
      </c>
      <c r="X2646">
        <v>500</v>
      </c>
      <c r="AB2646" t="s">
        <v>22767</v>
      </c>
      <c r="AC2646" t="s">
        <v>9852</v>
      </c>
      <c r="AD2646" t="s">
        <v>22768</v>
      </c>
      <c r="AE2646" t="s">
        <v>3008</v>
      </c>
      <c r="AF2646" t="s">
        <v>22769</v>
      </c>
      <c r="AG2646" t="s">
        <v>4151</v>
      </c>
      <c r="AH2646" t="s">
        <v>3008</v>
      </c>
      <c r="AI2646" t="s">
        <v>9852</v>
      </c>
      <c r="AL2646" t="s">
        <v>22712</v>
      </c>
      <c r="AO2646" t="s">
        <v>22770</v>
      </c>
    </row>
    <row r="2647" spans="1:41" hidden="1" x14ac:dyDescent="0.35">
      <c r="A2647" t="s">
        <v>22771</v>
      </c>
      <c r="B2647" t="s">
        <v>7246</v>
      </c>
      <c r="C2647" t="s">
        <v>84</v>
      </c>
      <c r="D2647" t="s">
        <v>84</v>
      </c>
      <c r="E2647" t="s">
        <v>84</v>
      </c>
      <c r="G2647" s="13" t="s">
        <v>22708</v>
      </c>
      <c r="H2647" t="s">
        <v>22709</v>
      </c>
      <c r="I2647" t="s">
        <v>22772</v>
      </c>
      <c r="J2647" t="s">
        <v>22773</v>
      </c>
      <c r="K2647" t="s">
        <v>22711</v>
      </c>
      <c r="L2647" t="s">
        <v>22711</v>
      </c>
      <c r="M2647" t="s">
        <v>7250</v>
      </c>
      <c r="N2647">
        <v>2021</v>
      </c>
      <c r="R2647">
        <v>0.82</v>
      </c>
      <c r="S2647" t="s">
        <v>8257</v>
      </c>
      <c r="T2647">
        <v>0.82</v>
      </c>
      <c r="U2647">
        <v>381.61</v>
      </c>
      <c r="V2647">
        <v>210.5</v>
      </c>
      <c r="W2647">
        <v>156.05000000000001</v>
      </c>
      <c r="X2647">
        <v>210.5</v>
      </c>
      <c r="AA2647" t="s">
        <v>22774</v>
      </c>
      <c r="AC2647" t="s">
        <v>9852</v>
      </c>
      <c r="AD2647" t="s">
        <v>4172</v>
      </c>
      <c r="AE2647" t="s">
        <v>3008</v>
      </c>
      <c r="AG2647" t="s">
        <v>22775</v>
      </c>
      <c r="AH2647" t="s">
        <v>3008</v>
      </c>
      <c r="AI2647" t="s">
        <v>9852</v>
      </c>
      <c r="AL2647" t="s">
        <v>22712</v>
      </c>
      <c r="AO2647" t="s">
        <v>22776</v>
      </c>
    </row>
    <row r="2648" spans="1:41" hidden="1" x14ac:dyDescent="0.35">
      <c r="A2648" t="s">
        <v>22777</v>
      </c>
      <c r="B2648" t="s">
        <v>7246</v>
      </c>
      <c r="C2648" t="s">
        <v>84</v>
      </c>
      <c r="D2648" t="s">
        <v>84</v>
      </c>
      <c r="E2648" t="s">
        <v>84</v>
      </c>
      <c r="G2648" s="13" t="s">
        <v>22708</v>
      </c>
      <c r="H2648" t="s">
        <v>22709</v>
      </c>
      <c r="I2648" t="s">
        <v>22778</v>
      </c>
      <c r="K2648" t="s">
        <v>22711</v>
      </c>
      <c r="L2648" t="s">
        <v>22711</v>
      </c>
      <c r="M2648" t="s">
        <v>7292</v>
      </c>
      <c r="T2648" t="s">
        <v>6546</v>
      </c>
      <c r="U2648" t="s">
        <v>6546</v>
      </c>
      <c r="V2648" t="s">
        <v>6546</v>
      </c>
      <c r="W2648">
        <v>144.22</v>
      </c>
      <c r="X2648">
        <v>144.22</v>
      </c>
      <c r="AB2648" t="s">
        <v>4597</v>
      </c>
      <c r="AC2648" t="s">
        <v>9852</v>
      </c>
      <c r="AE2648" t="s">
        <v>3041</v>
      </c>
      <c r="AF2648" t="s">
        <v>22753</v>
      </c>
      <c r="AH2648" t="s">
        <v>3008</v>
      </c>
      <c r="AI2648" t="s">
        <v>9852</v>
      </c>
      <c r="AL2648" t="s">
        <v>22712</v>
      </c>
      <c r="AO2648" t="s">
        <v>22779</v>
      </c>
    </row>
    <row r="2649" spans="1:41" hidden="1" x14ac:dyDescent="0.35">
      <c r="A2649" t="s">
        <v>22780</v>
      </c>
      <c r="B2649" t="s">
        <v>7246</v>
      </c>
      <c r="C2649" t="s">
        <v>84</v>
      </c>
      <c r="D2649" t="s">
        <v>84</v>
      </c>
      <c r="E2649" t="s">
        <v>84</v>
      </c>
      <c r="G2649" s="13" t="s">
        <v>22708</v>
      </c>
      <c r="H2649" t="s">
        <v>22709</v>
      </c>
      <c r="I2649" t="s">
        <v>22781</v>
      </c>
      <c r="K2649" t="s">
        <v>22711</v>
      </c>
      <c r="L2649" t="s">
        <v>22711</v>
      </c>
      <c r="M2649" t="s">
        <v>7292</v>
      </c>
      <c r="T2649" t="s">
        <v>6546</v>
      </c>
      <c r="U2649" t="s">
        <v>6546</v>
      </c>
      <c r="V2649">
        <v>87</v>
      </c>
      <c r="W2649">
        <v>74.56</v>
      </c>
      <c r="X2649">
        <v>87</v>
      </c>
      <c r="Y2649">
        <v>400</v>
      </c>
      <c r="Z2649" t="s">
        <v>8842</v>
      </c>
      <c r="AB2649" t="s">
        <v>22782</v>
      </c>
      <c r="AC2649" t="s">
        <v>9852</v>
      </c>
      <c r="AE2649" t="s">
        <v>3044</v>
      </c>
      <c r="AF2649" t="s">
        <v>22783</v>
      </c>
      <c r="AH2649" t="s">
        <v>3008</v>
      </c>
      <c r="AI2649" t="s">
        <v>9852</v>
      </c>
      <c r="AL2649" t="s">
        <v>22712</v>
      </c>
      <c r="AO2649" t="s">
        <v>22784</v>
      </c>
    </row>
    <row r="2650" spans="1:41" hidden="1" x14ac:dyDescent="0.35">
      <c r="A2650" t="s">
        <v>22785</v>
      </c>
      <c r="B2650" t="s">
        <v>7246</v>
      </c>
      <c r="C2650" t="s">
        <v>84</v>
      </c>
      <c r="D2650" t="s">
        <v>84</v>
      </c>
      <c r="E2650" t="s">
        <v>84</v>
      </c>
      <c r="G2650" s="13" t="s">
        <v>22708</v>
      </c>
      <c r="H2650" t="s">
        <v>22709</v>
      </c>
      <c r="I2650" t="s">
        <v>22786</v>
      </c>
      <c r="K2650" t="s">
        <v>22711</v>
      </c>
      <c r="L2650" t="s">
        <v>22711</v>
      </c>
      <c r="M2650" t="s">
        <v>7292</v>
      </c>
      <c r="T2650" t="s">
        <v>6546</v>
      </c>
      <c r="U2650" t="s">
        <v>6546</v>
      </c>
      <c r="V2650">
        <v>122</v>
      </c>
      <c r="W2650">
        <v>108.37</v>
      </c>
      <c r="X2650">
        <v>122</v>
      </c>
      <c r="Y2650">
        <v>600</v>
      </c>
      <c r="Z2650" t="s">
        <v>8842</v>
      </c>
      <c r="AC2650" t="s">
        <v>9852</v>
      </c>
      <c r="AE2650" t="s">
        <v>3008</v>
      </c>
      <c r="AH2650" t="s">
        <v>3008</v>
      </c>
      <c r="AI2650" t="s">
        <v>9852</v>
      </c>
      <c r="AL2650" t="s">
        <v>22712</v>
      </c>
      <c r="AO2650" t="s">
        <v>22787</v>
      </c>
    </row>
    <row r="2651" spans="1:41" hidden="1" x14ac:dyDescent="0.35">
      <c r="A2651" t="s">
        <v>22788</v>
      </c>
      <c r="B2651" t="s">
        <v>7246</v>
      </c>
      <c r="C2651" t="s">
        <v>84</v>
      </c>
      <c r="D2651" t="s">
        <v>84</v>
      </c>
      <c r="E2651" t="s">
        <v>84</v>
      </c>
      <c r="G2651" s="13" t="s">
        <v>22708</v>
      </c>
      <c r="H2651" t="s">
        <v>22709</v>
      </c>
      <c r="I2651" t="s">
        <v>22789</v>
      </c>
      <c r="K2651" t="s">
        <v>22790</v>
      </c>
      <c r="L2651" t="s">
        <v>22790</v>
      </c>
      <c r="M2651" t="s">
        <v>7250</v>
      </c>
      <c r="N2651">
        <v>2022</v>
      </c>
      <c r="R2651">
        <v>2.23</v>
      </c>
      <c r="S2651" t="s">
        <v>8257</v>
      </c>
      <c r="T2651">
        <v>2.23</v>
      </c>
      <c r="U2651">
        <v>1037.81</v>
      </c>
      <c r="V2651">
        <v>92.8</v>
      </c>
      <c r="W2651">
        <v>98.46</v>
      </c>
      <c r="X2651">
        <v>92.8</v>
      </c>
      <c r="AB2651" t="s">
        <v>22791</v>
      </c>
      <c r="AC2651" t="s">
        <v>9852</v>
      </c>
      <c r="AD2651" t="s">
        <v>4158</v>
      </c>
      <c r="AE2651" t="s">
        <v>3008</v>
      </c>
      <c r="AF2651" t="s">
        <v>22792</v>
      </c>
      <c r="AG2651" t="s">
        <v>4158</v>
      </c>
      <c r="AH2651" t="s">
        <v>3008</v>
      </c>
      <c r="AI2651" t="s">
        <v>9852</v>
      </c>
      <c r="AL2651" t="s">
        <v>22712</v>
      </c>
      <c r="AO2651" t="s">
        <v>22793</v>
      </c>
    </row>
    <row r="2652" spans="1:41" hidden="1" x14ac:dyDescent="0.35">
      <c r="A2652" t="s">
        <v>22794</v>
      </c>
      <c r="B2652" t="s">
        <v>7246</v>
      </c>
      <c r="C2652" t="s">
        <v>84</v>
      </c>
      <c r="D2652" t="s">
        <v>84</v>
      </c>
      <c r="E2652" t="s">
        <v>84</v>
      </c>
      <c r="G2652" s="13" t="s">
        <v>22708</v>
      </c>
      <c r="H2652" t="s">
        <v>22709</v>
      </c>
      <c r="I2652" t="s">
        <v>22795</v>
      </c>
      <c r="K2652" t="s">
        <v>22711</v>
      </c>
      <c r="L2652" t="s">
        <v>22711</v>
      </c>
      <c r="M2652" t="s">
        <v>7292</v>
      </c>
      <c r="T2652" t="s">
        <v>6546</v>
      </c>
      <c r="U2652" t="s">
        <v>6546</v>
      </c>
      <c r="V2652">
        <v>72</v>
      </c>
      <c r="W2652">
        <v>313.75</v>
      </c>
      <c r="X2652">
        <v>72</v>
      </c>
      <c r="Y2652">
        <v>400</v>
      </c>
      <c r="Z2652" t="s">
        <v>8842</v>
      </c>
      <c r="AA2652" t="s">
        <v>22757</v>
      </c>
      <c r="AB2652" t="s">
        <v>22796</v>
      </c>
      <c r="AC2652" t="s">
        <v>9852</v>
      </c>
      <c r="AD2652" t="s">
        <v>22797</v>
      </c>
      <c r="AE2652" t="s">
        <v>3008</v>
      </c>
      <c r="AF2652" t="s">
        <v>22798</v>
      </c>
      <c r="AG2652" t="s">
        <v>4575</v>
      </c>
      <c r="AH2652" t="s">
        <v>3008</v>
      </c>
      <c r="AI2652" t="s">
        <v>9852</v>
      </c>
      <c r="AL2652" t="s">
        <v>22712</v>
      </c>
      <c r="AO2652" t="s">
        <v>22799</v>
      </c>
    </row>
    <row r="2653" spans="1:41" hidden="1" x14ac:dyDescent="0.35">
      <c r="A2653" t="s">
        <v>22800</v>
      </c>
      <c r="B2653" t="s">
        <v>7246</v>
      </c>
      <c r="C2653" t="s">
        <v>84</v>
      </c>
      <c r="D2653" t="s">
        <v>84</v>
      </c>
      <c r="E2653" t="s">
        <v>84</v>
      </c>
      <c r="G2653" s="13" t="s">
        <v>22708</v>
      </c>
      <c r="H2653" t="s">
        <v>22709</v>
      </c>
      <c r="I2653" t="s">
        <v>22801</v>
      </c>
      <c r="K2653" t="s">
        <v>22802</v>
      </c>
      <c r="L2653" t="s">
        <v>22802</v>
      </c>
      <c r="M2653" t="s">
        <v>7292</v>
      </c>
      <c r="R2653">
        <v>8.1300000000000008</v>
      </c>
      <c r="S2653" t="s">
        <v>8257</v>
      </c>
      <c r="T2653">
        <v>8.1300000000000008</v>
      </c>
      <c r="U2653">
        <v>3783.57</v>
      </c>
      <c r="V2653">
        <v>107</v>
      </c>
      <c r="W2653" t="s">
        <v>6546</v>
      </c>
      <c r="X2653">
        <v>107</v>
      </c>
      <c r="Y2653">
        <v>600</v>
      </c>
      <c r="Z2653" t="s">
        <v>8842</v>
      </c>
      <c r="AB2653" t="s">
        <v>22803</v>
      </c>
      <c r="AC2653" t="s">
        <v>9852</v>
      </c>
      <c r="AD2653" t="s">
        <v>22804</v>
      </c>
      <c r="AE2653" t="s">
        <v>3008</v>
      </c>
      <c r="AF2653" t="s">
        <v>22805</v>
      </c>
      <c r="AG2653" t="s">
        <v>4151</v>
      </c>
      <c r="AH2653" t="s">
        <v>3008</v>
      </c>
      <c r="AI2653" t="s">
        <v>9852</v>
      </c>
      <c r="AL2653" t="s">
        <v>22712</v>
      </c>
      <c r="AO2653" t="s">
        <v>6546</v>
      </c>
    </row>
    <row r="2654" spans="1:41" hidden="1" x14ac:dyDescent="0.35">
      <c r="A2654" t="s">
        <v>22806</v>
      </c>
      <c r="B2654" t="s">
        <v>7246</v>
      </c>
      <c r="C2654" t="s">
        <v>84</v>
      </c>
      <c r="D2654" t="s">
        <v>84</v>
      </c>
      <c r="E2654" t="s">
        <v>84</v>
      </c>
      <c r="G2654" s="13" t="s">
        <v>22708</v>
      </c>
      <c r="H2654" t="s">
        <v>22709</v>
      </c>
      <c r="I2654" t="s">
        <v>22807</v>
      </c>
      <c r="K2654" t="s">
        <v>22802</v>
      </c>
      <c r="L2654" t="s">
        <v>22802</v>
      </c>
      <c r="M2654" t="s">
        <v>7292</v>
      </c>
      <c r="T2654" t="s">
        <v>6546</v>
      </c>
      <c r="U2654" t="s">
        <v>6546</v>
      </c>
      <c r="V2654">
        <v>120</v>
      </c>
      <c r="W2654">
        <v>151.38999999999999</v>
      </c>
      <c r="X2654">
        <v>120</v>
      </c>
      <c r="AB2654" t="s">
        <v>22808</v>
      </c>
      <c r="AC2654" t="s">
        <v>9852</v>
      </c>
      <c r="AD2654" t="s">
        <v>22804</v>
      </c>
      <c r="AE2654" t="s">
        <v>3008</v>
      </c>
      <c r="AF2654" t="s">
        <v>22809</v>
      </c>
      <c r="AG2654" t="s">
        <v>4158</v>
      </c>
      <c r="AH2654" t="s">
        <v>3008</v>
      </c>
      <c r="AI2654" t="s">
        <v>9852</v>
      </c>
      <c r="AL2654" t="s">
        <v>22712</v>
      </c>
      <c r="AO2654" t="s">
        <v>22810</v>
      </c>
    </row>
    <row r="2655" spans="1:41" hidden="1" x14ac:dyDescent="0.35">
      <c r="A2655" t="s">
        <v>22811</v>
      </c>
      <c r="B2655" t="s">
        <v>7246</v>
      </c>
      <c r="C2655" t="s">
        <v>84</v>
      </c>
      <c r="D2655" t="s">
        <v>84</v>
      </c>
      <c r="E2655" t="s">
        <v>84</v>
      </c>
      <c r="G2655" s="13" t="s">
        <v>22708</v>
      </c>
      <c r="H2655" t="s">
        <v>22709</v>
      </c>
      <c r="I2655" t="s">
        <v>22812</v>
      </c>
      <c r="K2655" t="s">
        <v>22711</v>
      </c>
      <c r="L2655" t="s">
        <v>22711</v>
      </c>
      <c r="M2655" t="s">
        <v>7292</v>
      </c>
      <c r="R2655">
        <v>0.53</v>
      </c>
      <c r="S2655" t="s">
        <v>8257</v>
      </c>
      <c r="T2655">
        <v>0.53</v>
      </c>
      <c r="U2655">
        <v>246.65</v>
      </c>
      <c r="V2655">
        <v>42</v>
      </c>
      <c r="W2655">
        <v>50.51</v>
      </c>
      <c r="X2655">
        <v>42</v>
      </c>
      <c r="Y2655">
        <v>400</v>
      </c>
      <c r="Z2655" t="s">
        <v>8842</v>
      </c>
      <c r="AA2655" t="s">
        <v>22813</v>
      </c>
      <c r="AB2655" t="s">
        <v>22814</v>
      </c>
      <c r="AC2655" t="s">
        <v>9852</v>
      </c>
      <c r="AD2655" t="s">
        <v>3009</v>
      </c>
      <c r="AE2655" t="s">
        <v>3008</v>
      </c>
      <c r="AF2655" t="s">
        <v>22815</v>
      </c>
      <c r="AG2655" t="s">
        <v>4166</v>
      </c>
      <c r="AH2655" t="s">
        <v>3008</v>
      </c>
      <c r="AI2655" t="s">
        <v>9852</v>
      </c>
      <c r="AL2655" t="s">
        <v>22712</v>
      </c>
      <c r="AO2655" t="s">
        <v>22816</v>
      </c>
    </row>
    <row r="2656" spans="1:41" hidden="1" x14ac:dyDescent="0.35">
      <c r="A2656" t="s">
        <v>22817</v>
      </c>
      <c r="B2656" t="s">
        <v>7246</v>
      </c>
      <c r="C2656" t="s">
        <v>84</v>
      </c>
      <c r="D2656" t="s">
        <v>84</v>
      </c>
      <c r="E2656" t="s">
        <v>84</v>
      </c>
      <c r="G2656" s="13" t="s">
        <v>22818</v>
      </c>
      <c r="H2656" t="s">
        <v>22819</v>
      </c>
      <c r="I2656" t="s">
        <v>22820</v>
      </c>
      <c r="K2656" t="s">
        <v>22256</v>
      </c>
      <c r="L2656" t="s">
        <v>22257</v>
      </c>
      <c r="M2656" t="s">
        <v>7250</v>
      </c>
      <c r="N2656">
        <v>2014</v>
      </c>
      <c r="R2656">
        <v>6.72</v>
      </c>
      <c r="S2656" t="s">
        <v>8257</v>
      </c>
      <c r="T2656">
        <v>6.72</v>
      </c>
      <c r="U2656">
        <v>3127.38</v>
      </c>
      <c r="V2656">
        <v>199.8</v>
      </c>
      <c r="W2656">
        <v>177.58</v>
      </c>
      <c r="X2656">
        <v>199.8</v>
      </c>
      <c r="AA2656" t="s">
        <v>22821</v>
      </c>
      <c r="AB2656" t="s">
        <v>22822</v>
      </c>
      <c r="AC2656" t="s">
        <v>9852</v>
      </c>
      <c r="AD2656" t="s">
        <v>4709</v>
      </c>
      <c r="AE2656" t="s">
        <v>3058</v>
      </c>
      <c r="AF2656" t="s">
        <v>22823</v>
      </c>
      <c r="AG2656" t="s">
        <v>4709</v>
      </c>
      <c r="AH2656" t="s">
        <v>3058</v>
      </c>
      <c r="AI2656" t="s">
        <v>9852</v>
      </c>
      <c r="AL2656" t="s">
        <v>22824</v>
      </c>
      <c r="AO2656" t="s">
        <v>22825</v>
      </c>
    </row>
    <row r="2657" spans="1:41" hidden="1" x14ac:dyDescent="0.35">
      <c r="A2657" t="s">
        <v>22826</v>
      </c>
      <c r="B2657" t="s">
        <v>7246</v>
      </c>
      <c r="C2657" t="s">
        <v>84</v>
      </c>
      <c r="D2657" t="s">
        <v>84</v>
      </c>
      <c r="E2657" t="s">
        <v>84</v>
      </c>
      <c r="G2657" s="13" t="s">
        <v>22827</v>
      </c>
      <c r="H2657" t="s">
        <v>22819</v>
      </c>
      <c r="I2657" t="s">
        <v>22828</v>
      </c>
      <c r="K2657" t="s">
        <v>22256</v>
      </c>
      <c r="L2657" t="s">
        <v>22257</v>
      </c>
      <c r="M2657" t="s">
        <v>7292</v>
      </c>
      <c r="R2657">
        <v>6</v>
      </c>
      <c r="S2657" t="s">
        <v>8257</v>
      </c>
      <c r="T2657">
        <v>6</v>
      </c>
      <c r="U2657">
        <v>2792.3</v>
      </c>
      <c r="V2657">
        <v>263</v>
      </c>
      <c r="W2657">
        <v>324.95999999999998</v>
      </c>
      <c r="X2657">
        <v>263</v>
      </c>
      <c r="AA2657" t="s">
        <v>22821</v>
      </c>
      <c r="AB2657" t="s">
        <v>22823</v>
      </c>
      <c r="AC2657" t="s">
        <v>9852</v>
      </c>
      <c r="AD2657" t="s">
        <v>4709</v>
      </c>
      <c r="AE2657" t="s">
        <v>3058</v>
      </c>
      <c r="AG2657" t="s">
        <v>4722</v>
      </c>
      <c r="AH2657" t="s">
        <v>3058</v>
      </c>
      <c r="AI2657" t="s">
        <v>9852</v>
      </c>
      <c r="AL2657" t="s">
        <v>22824</v>
      </c>
      <c r="AO2657" t="s">
        <v>22829</v>
      </c>
    </row>
    <row r="2658" spans="1:41" hidden="1" x14ac:dyDescent="0.35">
      <c r="A2658" t="s">
        <v>22830</v>
      </c>
      <c r="B2658" t="s">
        <v>7246</v>
      </c>
      <c r="C2658" t="s">
        <v>84</v>
      </c>
      <c r="D2658" t="s">
        <v>84</v>
      </c>
      <c r="E2658" t="s">
        <v>84</v>
      </c>
      <c r="G2658" s="13" t="s">
        <v>22831</v>
      </c>
      <c r="H2658" t="s">
        <v>22819</v>
      </c>
      <c r="I2658" t="s">
        <v>22832</v>
      </c>
      <c r="K2658" t="s">
        <v>22833</v>
      </c>
      <c r="L2658" t="s">
        <v>22834</v>
      </c>
      <c r="M2658" t="s">
        <v>7415</v>
      </c>
      <c r="R2658">
        <v>3</v>
      </c>
      <c r="S2658" t="s">
        <v>8257</v>
      </c>
      <c r="T2658">
        <v>3</v>
      </c>
      <c r="U2658">
        <v>1396.15</v>
      </c>
      <c r="V2658">
        <v>193</v>
      </c>
      <c r="W2658">
        <v>176.14</v>
      </c>
      <c r="X2658">
        <v>193</v>
      </c>
      <c r="AA2658" t="s">
        <v>22255</v>
      </c>
      <c r="AB2658" t="s">
        <v>22835</v>
      </c>
      <c r="AC2658" t="s">
        <v>9852</v>
      </c>
      <c r="AD2658" t="s">
        <v>22836</v>
      </c>
      <c r="AE2658" t="s">
        <v>3058</v>
      </c>
      <c r="AG2658" t="s">
        <v>22836</v>
      </c>
      <c r="AH2658" t="s">
        <v>3058</v>
      </c>
      <c r="AI2658" t="s">
        <v>9852</v>
      </c>
      <c r="AL2658" t="s">
        <v>22824</v>
      </c>
      <c r="AO2658" t="s">
        <v>22837</v>
      </c>
    </row>
    <row r="2659" spans="1:41" hidden="1" x14ac:dyDescent="0.35">
      <c r="A2659" t="s">
        <v>22838</v>
      </c>
      <c r="B2659" t="s">
        <v>7246</v>
      </c>
      <c r="C2659" t="s">
        <v>84</v>
      </c>
      <c r="D2659" t="s">
        <v>84</v>
      </c>
      <c r="E2659" t="s">
        <v>84</v>
      </c>
      <c r="G2659" s="13" t="s">
        <v>22839</v>
      </c>
      <c r="H2659" t="s">
        <v>22819</v>
      </c>
      <c r="I2659" t="s">
        <v>22840</v>
      </c>
      <c r="K2659" t="s">
        <v>22841</v>
      </c>
      <c r="L2659" t="s">
        <v>22842</v>
      </c>
      <c r="M2659" t="s">
        <v>7250</v>
      </c>
      <c r="N2659">
        <v>2013</v>
      </c>
      <c r="R2659">
        <v>1.62</v>
      </c>
      <c r="S2659" t="s">
        <v>8257</v>
      </c>
      <c r="T2659">
        <v>1.62</v>
      </c>
      <c r="U2659">
        <v>753.92</v>
      </c>
      <c r="V2659">
        <v>100.7</v>
      </c>
      <c r="W2659">
        <v>85.37</v>
      </c>
      <c r="X2659">
        <v>100.7</v>
      </c>
      <c r="AA2659" t="s">
        <v>22843</v>
      </c>
      <c r="AC2659" t="s">
        <v>9852</v>
      </c>
      <c r="AD2659" t="s">
        <v>3061</v>
      </c>
      <c r="AE2659" t="s">
        <v>3058</v>
      </c>
      <c r="AG2659" t="s">
        <v>3061</v>
      </c>
      <c r="AH2659" t="s">
        <v>3058</v>
      </c>
      <c r="AI2659" t="s">
        <v>9852</v>
      </c>
      <c r="AL2659" t="s">
        <v>22824</v>
      </c>
      <c r="AO2659" t="s">
        <v>22844</v>
      </c>
    </row>
    <row r="2660" spans="1:41" hidden="1" x14ac:dyDescent="0.35">
      <c r="A2660" t="s">
        <v>22845</v>
      </c>
      <c r="B2660" t="s">
        <v>7246</v>
      </c>
      <c r="C2660" t="s">
        <v>84</v>
      </c>
      <c r="D2660" t="s">
        <v>84</v>
      </c>
      <c r="E2660" t="s">
        <v>84</v>
      </c>
      <c r="G2660" s="13" t="s">
        <v>22846</v>
      </c>
      <c r="H2660" t="s">
        <v>22819</v>
      </c>
      <c r="I2660" t="s">
        <v>22847</v>
      </c>
      <c r="K2660" t="s">
        <v>22841</v>
      </c>
      <c r="L2660" t="s">
        <v>22842</v>
      </c>
      <c r="M2660" t="s">
        <v>7250</v>
      </c>
      <c r="N2660">
        <v>2005</v>
      </c>
      <c r="R2660">
        <v>0.4</v>
      </c>
      <c r="S2660" t="s">
        <v>8257</v>
      </c>
      <c r="T2660">
        <v>0.4</v>
      </c>
      <c r="U2660">
        <v>186.15</v>
      </c>
      <c r="V2660">
        <v>117</v>
      </c>
      <c r="W2660">
        <v>151.25</v>
      </c>
      <c r="X2660">
        <v>117</v>
      </c>
      <c r="AB2660" t="s">
        <v>22848</v>
      </c>
      <c r="AC2660" t="s">
        <v>9852</v>
      </c>
      <c r="AD2660" t="s">
        <v>4709</v>
      </c>
      <c r="AE2660" t="s">
        <v>3058</v>
      </c>
      <c r="AF2660" t="s">
        <v>22849</v>
      </c>
      <c r="AG2660" t="s">
        <v>4722</v>
      </c>
      <c r="AH2660" t="s">
        <v>3058</v>
      </c>
      <c r="AI2660" t="s">
        <v>9852</v>
      </c>
      <c r="AL2660" t="s">
        <v>22824</v>
      </c>
      <c r="AO2660" t="s">
        <v>22850</v>
      </c>
    </row>
    <row r="2661" spans="1:41" hidden="1" x14ac:dyDescent="0.35">
      <c r="A2661" t="s">
        <v>22851</v>
      </c>
      <c r="B2661" t="s">
        <v>7246</v>
      </c>
      <c r="C2661" t="s">
        <v>84</v>
      </c>
      <c r="D2661" t="s">
        <v>84</v>
      </c>
      <c r="E2661" t="s">
        <v>84</v>
      </c>
      <c r="G2661" s="13" t="s">
        <v>22852</v>
      </c>
      <c r="H2661" t="s">
        <v>22819</v>
      </c>
      <c r="I2661" t="s">
        <v>22853</v>
      </c>
      <c r="K2661" t="s">
        <v>22841</v>
      </c>
      <c r="L2661" t="s">
        <v>22842</v>
      </c>
      <c r="M2661" t="s">
        <v>7250</v>
      </c>
      <c r="N2661">
        <v>2008</v>
      </c>
      <c r="R2661">
        <v>1.7</v>
      </c>
      <c r="S2661" t="s">
        <v>8257</v>
      </c>
      <c r="T2661">
        <v>1.7</v>
      </c>
      <c r="U2661">
        <v>791.15</v>
      </c>
      <c r="V2661">
        <v>149</v>
      </c>
      <c r="W2661">
        <v>122.09</v>
      </c>
      <c r="X2661">
        <v>149</v>
      </c>
      <c r="AB2661" t="s">
        <v>22848</v>
      </c>
      <c r="AC2661" t="s">
        <v>9852</v>
      </c>
      <c r="AD2661" t="s">
        <v>4709</v>
      </c>
      <c r="AE2661" t="s">
        <v>3058</v>
      </c>
      <c r="AG2661" t="s">
        <v>4711</v>
      </c>
      <c r="AH2661" t="s">
        <v>3058</v>
      </c>
      <c r="AI2661" t="s">
        <v>9852</v>
      </c>
      <c r="AL2661" t="s">
        <v>22824</v>
      </c>
      <c r="AO2661" t="s">
        <v>22854</v>
      </c>
    </row>
    <row r="2662" spans="1:41" hidden="1" x14ac:dyDescent="0.35">
      <c r="A2662" t="s">
        <v>22855</v>
      </c>
      <c r="B2662" t="s">
        <v>7246</v>
      </c>
      <c r="C2662" t="s">
        <v>84</v>
      </c>
      <c r="D2662" t="s">
        <v>84</v>
      </c>
      <c r="E2662" t="s">
        <v>84</v>
      </c>
      <c r="G2662" s="13" t="s">
        <v>22856</v>
      </c>
      <c r="H2662" t="s">
        <v>22819</v>
      </c>
      <c r="I2662" t="s">
        <v>22857</v>
      </c>
      <c r="K2662" t="s">
        <v>22858</v>
      </c>
      <c r="L2662" t="s">
        <v>22859</v>
      </c>
      <c r="M2662" t="s">
        <v>7250</v>
      </c>
      <c r="N2662">
        <v>2002</v>
      </c>
      <c r="R2662">
        <v>2.8</v>
      </c>
      <c r="S2662" t="s">
        <v>8257</v>
      </c>
      <c r="T2662">
        <v>2.8</v>
      </c>
      <c r="U2662">
        <v>1303.07</v>
      </c>
      <c r="V2662">
        <v>141</v>
      </c>
      <c r="W2662">
        <v>128.22</v>
      </c>
      <c r="X2662">
        <v>141</v>
      </c>
      <c r="AC2662" t="s">
        <v>9852</v>
      </c>
      <c r="AD2662" t="s">
        <v>3059</v>
      </c>
      <c r="AE2662" t="s">
        <v>3058</v>
      </c>
      <c r="AF2662" t="s">
        <v>22860</v>
      </c>
      <c r="AG2662" t="s">
        <v>3061</v>
      </c>
      <c r="AH2662" t="s">
        <v>3058</v>
      </c>
      <c r="AI2662" t="s">
        <v>9852</v>
      </c>
      <c r="AL2662" t="s">
        <v>22824</v>
      </c>
      <c r="AO2662" t="s">
        <v>22861</v>
      </c>
    </row>
    <row r="2663" spans="1:41" hidden="1" x14ac:dyDescent="0.35">
      <c r="A2663" t="s">
        <v>22862</v>
      </c>
      <c r="B2663" t="s">
        <v>7246</v>
      </c>
      <c r="C2663" t="s">
        <v>84</v>
      </c>
      <c r="D2663" t="s">
        <v>84</v>
      </c>
      <c r="E2663" t="s">
        <v>84</v>
      </c>
      <c r="G2663" s="13" t="s">
        <v>22863</v>
      </c>
      <c r="H2663" t="s">
        <v>22819</v>
      </c>
      <c r="I2663" t="s">
        <v>22864</v>
      </c>
      <c r="K2663" t="s">
        <v>22858</v>
      </c>
      <c r="L2663" t="s">
        <v>22859</v>
      </c>
      <c r="M2663" t="s">
        <v>7292</v>
      </c>
      <c r="R2663">
        <v>3.6</v>
      </c>
      <c r="S2663" t="s">
        <v>8257</v>
      </c>
      <c r="T2663">
        <v>3.6</v>
      </c>
      <c r="U2663">
        <v>1675.38</v>
      </c>
      <c r="V2663">
        <v>121</v>
      </c>
      <c r="W2663">
        <v>128.22</v>
      </c>
      <c r="X2663">
        <v>121</v>
      </c>
      <c r="AC2663" t="s">
        <v>9852</v>
      </c>
      <c r="AD2663" t="s">
        <v>22865</v>
      </c>
      <c r="AE2663" t="s">
        <v>3058</v>
      </c>
      <c r="AF2663" t="s">
        <v>22860</v>
      </c>
      <c r="AG2663" t="s">
        <v>3061</v>
      </c>
      <c r="AH2663" t="s">
        <v>3058</v>
      </c>
      <c r="AI2663" t="s">
        <v>9852</v>
      </c>
      <c r="AL2663" t="s">
        <v>22824</v>
      </c>
      <c r="AO2663" t="s">
        <v>22861</v>
      </c>
    </row>
    <row r="2664" spans="1:41" hidden="1" x14ac:dyDescent="0.35">
      <c r="A2664" t="s">
        <v>22866</v>
      </c>
      <c r="B2664" t="s">
        <v>7246</v>
      </c>
      <c r="C2664" t="s">
        <v>84</v>
      </c>
      <c r="D2664" t="s">
        <v>84</v>
      </c>
      <c r="E2664" t="s">
        <v>84</v>
      </c>
      <c r="G2664" s="13" t="s">
        <v>22867</v>
      </c>
      <c r="H2664" t="s">
        <v>22819</v>
      </c>
      <c r="I2664" t="s">
        <v>22868</v>
      </c>
      <c r="K2664" t="s">
        <v>22858</v>
      </c>
      <c r="L2664" t="s">
        <v>22859</v>
      </c>
      <c r="M2664" t="s">
        <v>7250</v>
      </c>
      <c r="N2664">
        <v>2003</v>
      </c>
      <c r="R2664">
        <v>1.3</v>
      </c>
      <c r="S2664" t="s">
        <v>8257</v>
      </c>
      <c r="T2664">
        <v>1.3</v>
      </c>
      <c r="U2664">
        <v>605</v>
      </c>
      <c r="V2664">
        <v>243</v>
      </c>
      <c r="W2664">
        <v>153.19</v>
      </c>
      <c r="X2664">
        <v>243</v>
      </c>
      <c r="AA2664" t="s">
        <v>22869</v>
      </c>
      <c r="AB2664" t="s">
        <v>22870</v>
      </c>
      <c r="AC2664" t="s">
        <v>9852</v>
      </c>
      <c r="AD2664" t="s">
        <v>3059</v>
      </c>
      <c r="AE2664" t="s">
        <v>3058</v>
      </c>
      <c r="AF2664" t="s">
        <v>22860</v>
      </c>
      <c r="AG2664" t="s">
        <v>3061</v>
      </c>
      <c r="AH2664" t="s">
        <v>3058</v>
      </c>
      <c r="AI2664" t="s">
        <v>9852</v>
      </c>
      <c r="AL2664" t="s">
        <v>22824</v>
      </c>
      <c r="AO2664" t="s">
        <v>22871</v>
      </c>
    </row>
    <row r="2665" spans="1:41" hidden="1" x14ac:dyDescent="0.35">
      <c r="A2665" t="s">
        <v>22872</v>
      </c>
      <c r="B2665" t="s">
        <v>7246</v>
      </c>
      <c r="C2665" t="s">
        <v>84</v>
      </c>
      <c r="D2665" t="s">
        <v>84</v>
      </c>
      <c r="E2665" t="s">
        <v>84</v>
      </c>
      <c r="G2665" s="13" t="s">
        <v>22873</v>
      </c>
      <c r="H2665" t="s">
        <v>22819</v>
      </c>
      <c r="I2665" t="s">
        <v>22874</v>
      </c>
      <c r="K2665" t="s">
        <v>22256</v>
      </c>
      <c r="L2665" t="s">
        <v>22257</v>
      </c>
      <c r="M2665" t="s">
        <v>7250</v>
      </c>
      <c r="N2665">
        <v>2015</v>
      </c>
      <c r="R2665">
        <v>5</v>
      </c>
      <c r="S2665" t="s">
        <v>8257</v>
      </c>
      <c r="T2665">
        <v>5</v>
      </c>
      <c r="U2665">
        <v>2326.92</v>
      </c>
      <c r="V2665">
        <v>365</v>
      </c>
      <c r="W2665">
        <v>281.08</v>
      </c>
      <c r="X2665">
        <v>365</v>
      </c>
      <c r="AA2665" t="s">
        <v>22869</v>
      </c>
      <c r="AB2665" t="s">
        <v>22875</v>
      </c>
      <c r="AC2665" t="s">
        <v>9852</v>
      </c>
      <c r="AD2665" t="s">
        <v>3059</v>
      </c>
      <c r="AE2665" t="s">
        <v>3058</v>
      </c>
      <c r="AF2665" t="s">
        <v>22876</v>
      </c>
      <c r="AG2665" t="s">
        <v>4709</v>
      </c>
      <c r="AH2665" t="s">
        <v>3058</v>
      </c>
      <c r="AI2665" t="s">
        <v>9852</v>
      </c>
      <c r="AL2665" t="s">
        <v>22824</v>
      </c>
      <c r="AO2665" t="s">
        <v>22877</v>
      </c>
    </row>
    <row r="2666" spans="1:41" hidden="1" x14ac:dyDescent="0.35">
      <c r="A2666" t="s">
        <v>22878</v>
      </c>
      <c r="B2666" t="s">
        <v>7246</v>
      </c>
      <c r="C2666" t="s">
        <v>84</v>
      </c>
      <c r="D2666" t="s">
        <v>84</v>
      </c>
      <c r="E2666" t="s">
        <v>84</v>
      </c>
      <c r="G2666" s="13" t="s">
        <v>22879</v>
      </c>
      <c r="H2666" t="s">
        <v>22819</v>
      </c>
      <c r="I2666" t="s">
        <v>22880</v>
      </c>
      <c r="K2666" t="s">
        <v>22881</v>
      </c>
      <c r="L2666" t="s">
        <v>22882</v>
      </c>
      <c r="M2666" t="s">
        <v>7415</v>
      </c>
      <c r="N2666">
        <v>2023</v>
      </c>
      <c r="R2666">
        <v>13.9</v>
      </c>
      <c r="S2666" t="s">
        <v>8257</v>
      </c>
      <c r="T2666">
        <v>13.9</v>
      </c>
      <c r="U2666">
        <v>6468.83</v>
      </c>
      <c r="V2666">
        <v>524.5</v>
      </c>
      <c r="W2666" t="s">
        <v>6546</v>
      </c>
      <c r="X2666">
        <v>524.5</v>
      </c>
      <c r="AA2666" t="s">
        <v>22883</v>
      </c>
      <c r="AC2666" t="s">
        <v>9852</v>
      </c>
      <c r="AE2666" t="s">
        <v>3058</v>
      </c>
      <c r="AH2666" t="s">
        <v>3058</v>
      </c>
      <c r="AI2666" t="s">
        <v>9852</v>
      </c>
      <c r="AL2666" t="s">
        <v>22824</v>
      </c>
      <c r="AO2666" t="s">
        <v>6546</v>
      </c>
    </row>
    <row r="2667" spans="1:41" hidden="1" x14ac:dyDescent="0.35">
      <c r="A2667" t="s">
        <v>22884</v>
      </c>
      <c r="B2667" t="s">
        <v>7246</v>
      </c>
      <c r="C2667" t="s">
        <v>84</v>
      </c>
      <c r="D2667" t="s">
        <v>84</v>
      </c>
      <c r="E2667" t="s">
        <v>84</v>
      </c>
      <c r="G2667" s="13" t="s">
        <v>22885</v>
      </c>
      <c r="H2667" t="s">
        <v>22819</v>
      </c>
      <c r="I2667" t="s">
        <v>22886</v>
      </c>
      <c r="K2667" t="s">
        <v>22858</v>
      </c>
      <c r="L2667" t="s">
        <v>22859</v>
      </c>
      <c r="M2667" t="s">
        <v>7292</v>
      </c>
      <c r="N2667">
        <v>2022</v>
      </c>
      <c r="R2667">
        <v>35</v>
      </c>
      <c r="S2667" t="s">
        <v>8257</v>
      </c>
      <c r="T2667">
        <v>35</v>
      </c>
      <c r="U2667">
        <v>16288.42</v>
      </c>
      <c r="V2667">
        <v>720</v>
      </c>
      <c r="W2667">
        <v>557.32000000000005</v>
      </c>
      <c r="X2667">
        <v>720</v>
      </c>
      <c r="AA2667" t="s">
        <v>22887</v>
      </c>
      <c r="AB2667" t="s">
        <v>6727</v>
      </c>
      <c r="AC2667" t="s">
        <v>9852</v>
      </c>
      <c r="AD2667" t="s">
        <v>4722</v>
      </c>
      <c r="AE2667" t="s">
        <v>3058</v>
      </c>
      <c r="AG2667" t="s">
        <v>4691</v>
      </c>
      <c r="AH2667" t="s">
        <v>3058</v>
      </c>
      <c r="AI2667" t="s">
        <v>9852</v>
      </c>
      <c r="AL2667" t="s">
        <v>22824</v>
      </c>
      <c r="AO2667" t="s">
        <v>22888</v>
      </c>
    </row>
    <row r="2668" spans="1:41" hidden="1" x14ac:dyDescent="0.35">
      <c r="A2668" t="s">
        <v>22889</v>
      </c>
      <c r="B2668" t="s">
        <v>7246</v>
      </c>
      <c r="C2668" t="s">
        <v>84</v>
      </c>
      <c r="D2668" t="s">
        <v>84</v>
      </c>
      <c r="E2668" t="s">
        <v>84</v>
      </c>
      <c r="G2668" s="13" t="s">
        <v>22890</v>
      </c>
      <c r="H2668" t="s">
        <v>22819</v>
      </c>
      <c r="I2668" t="s">
        <v>22891</v>
      </c>
      <c r="K2668" t="s">
        <v>22881</v>
      </c>
      <c r="L2668" t="s">
        <v>22882</v>
      </c>
      <c r="M2668" t="s">
        <v>7415</v>
      </c>
      <c r="N2668">
        <v>2022</v>
      </c>
      <c r="R2668">
        <v>33</v>
      </c>
      <c r="S2668" t="s">
        <v>8257</v>
      </c>
      <c r="T2668">
        <v>33</v>
      </c>
      <c r="U2668">
        <v>15357.65</v>
      </c>
      <c r="V2668">
        <v>510</v>
      </c>
      <c r="W2668">
        <v>351.77</v>
      </c>
      <c r="X2668">
        <v>510</v>
      </c>
      <c r="AB2668" t="s">
        <v>22892</v>
      </c>
      <c r="AC2668" t="s">
        <v>9852</v>
      </c>
      <c r="AD2668" t="s">
        <v>4711</v>
      </c>
      <c r="AE2668" t="s">
        <v>3058</v>
      </c>
      <c r="AF2668" t="s">
        <v>4772</v>
      </c>
      <c r="AG2668" t="s">
        <v>22893</v>
      </c>
      <c r="AH2668" t="s">
        <v>3058</v>
      </c>
      <c r="AI2668" t="s">
        <v>9852</v>
      </c>
      <c r="AL2668" t="s">
        <v>22824</v>
      </c>
      <c r="AO2668" t="s">
        <v>22894</v>
      </c>
    </row>
    <row r="2669" spans="1:41" hidden="1" x14ac:dyDescent="0.35">
      <c r="A2669" t="s">
        <v>22895</v>
      </c>
      <c r="B2669" t="s">
        <v>7246</v>
      </c>
      <c r="C2669" t="s">
        <v>84</v>
      </c>
      <c r="D2669" t="s">
        <v>84</v>
      </c>
      <c r="E2669" t="s">
        <v>84</v>
      </c>
      <c r="G2669" s="13" t="s">
        <v>22896</v>
      </c>
      <c r="H2669" t="s">
        <v>22819</v>
      </c>
      <c r="I2669" t="s">
        <v>22897</v>
      </c>
      <c r="K2669" t="s">
        <v>22858</v>
      </c>
      <c r="L2669" t="s">
        <v>22859</v>
      </c>
      <c r="M2669" t="s">
        <v>7415</v>
      </c>
      <c r="R2669">
        <v>20</v>
      </c>
      <c r="S2669" t="s">
        <v>8257</v>
      </c>
      <c r="T2669">
        <v>20</v>
      </c>
      <c r="U2669">
        <v>9307.67</v>
      </c>
      <c r="V2669">
        <v>315</v>
      </c>
      <c r="W2669">
        <v>232.96</v>
      </c>
      <c r="X2669">
        <v>315</v>
      </c>
      <c r="AA2669" t="s">
        <v>22883</v>
      </c>
      <c r="AB2669" t="s">
        <v>22898</v>
      </c>
      <c r="AC2669" t="s">
        <v>9852</v>
      </c>
      <c r="AD2669" t="s">
        <v>22893</v>
      </c>
      <c r="AE2669" t="s">
        <v>3058</v>
      </c>
      <c r="AF2669" t="s">
        <v>6727</v>
      </c>
      <c r="AG2669" t="s">
        <v>4711</v>
      </c>
      <c r="AH2669" t="s">
        <v>3058</v>
      </c>
      <c r="AI2669" t="s">
        <v>9852</v>
      </c>
      <c r="AL2669" t="s">
        <v>22824</v>
      </c>
      <c r="AO2669" t="s">
        <v>22899</v>
      </c>
    </row>
    <row r="2670" spans="1:41" hidden="1" x14ac:dyDescent="0.35">
      <c r="A2670" t="s">
        <v>22900</v>
      </c>
      <c r="B2670" t="s">
        <v>7246</v>
      </c>
      <c r="C2670" t="s">
        <v>84</v>
      </c>
      <c r="D2670" t="s">
        <v>84</v>
      </c>
      <c r="E2670" t="s">
        <v>84</v>
      </c>
      <c r="G2670" s="13" t="s">
        <v>22839</v>
      </c>
      <c r="H2670" t="s">
        <v>22819</v>
      </c>
      <c r="I2670" t="s">
        <v>22901</v>
      </c>
      <c r="K2670" t="s">
        <v>22841</v>
      </c>
      <c r="L2670" t="s">
        <v>22842</v>
      </c>
      <c r="M2670" t="s">
        <v>7250</v>
      </c>
      <c r="N2670">
        <v>2011</v>
      </c>
      <c r="O2670">
        <v>2015</v>
      </c>
      <c r="R2670">
        <v>8.6</v>
      </c>
      <c r="S2670" t="s">
        <v>8257</v>
      </c>
      <c r="T2670">
        <v>8.6</v>
      </c>
      <c r="U2670">
        <v>4002.3</v>
      </c>
      <c r="V2670">
        <v>566.11</v>
      </c>
      <c r="W2670">
        <v>470.7</v>
      </c>
      <c r="X2670">
        <v>566.11</v>
      </c>
      <c r="AA2670" t="s">
        <v>22843</v>
      </c>
      <c r="AC2670" t="s">
        <v>9852</v>
      </c>
      <c r="AD2670" t="s">
        <v>4716</v>
      </c>
      <c r="AE2670" t="s">
        <v>3058</v>
      </c>
      <c r="AG2670" t="s">
        <v>22902</v>
      </c>
      <c r="AH2670" t="s">
        <v>3058</v>
      </c>
      <c r="AI2670" t="s">
        <v>9852</v>
      </c>
      <c r="AL2670" t="s">
        <v>22824</v>
      </c>
      <c r="AO2670" t="s">
        <v>22903</v>
      </c>
    </row>
    <row r="2671" spans="1:41" hidden="1" x14ac:dyDescent="0.35">
      <c r="A2671" t="s">
        <v>22904</v>
      </c>
      <c r="B2671" t="s">
        <v>7246</v>
      </c>
      <c r="C2671" t="s">
        <v>84</v>
      </c>
      <c r="D2671" t="s">
        <v>84</v>
      </c>
      <c r="E2671" t="s">
        <v>84</v>
      </c>
      <c r="G2671" s="13" t="s">
        <v>22905</v>
      </c>
      <c r="H2671" t="s">
        <v>22819</v>
      </c>
      <c r="I2671" t="s">
        <v>22906</v>
      </c>
      <c r="K2671" t="s">
        <v>22841</v>
      </c>
      <c r="L2671" t="s">
        <v>22842</v>
      </c>
      <c r="M2671" t="s">
        <v>7250</v>
      </c>
      <c r="N2671">
        <v>2006</v>
      </c>
      <c r="R2671">
        <v>0.8</v>
      </c>
      <c r="S2671" t="s">
        <v>8257</v>
      </c>
      <c r="T2671">
        <v>0.8</v>
      </c>
      <c r="U2671">
        <v>372.31</v>
      </c>
      <c r="V2671">
        <v>213</v>
      </c>
      <c r="W2671">
        <v>170.49</v>
      </c>
      <c r="X2671">
        <v>213</v>
      </c>
      <c r="AC2671" t="s">
        <v>9852</v>
      </c>
      <c r="AE2671" t="s">
        <v>3058</v>
      </c>
      <c r="AG2671" t="s">
        <v>22836</v>
      </c>
      <c r="AH2671" t="s">
        <v>3058</v>
      </c>
      <c r="AI2671" t="s">
        <v>9852</v>
      </c>
      <c r="AL2671" t="s">
        <v>22824</v>
      </c>
      <c r="AO2671" t="s">
        <v>22907</v>
      </c>
    </row>
    <row r="2672" spans="1:41" hidden="1" x14ac:dyDescent="0.35">
      <c r="A2672" t="s">
        <v>22908</v>
      </c>
      <c r="B2672" t="s">
        <v>7246</v>
      </c>
      <c r="C2672" t="s">
        <v>84</v>
      </c>
      <c r="D2672" t="s">
        <v>84</v>
      </c>
      <c r="E2672" t="s">
        <v>84</v>
      </c>
      <c r="G2672" s="13" t="s">
        <v>22909</v>
      </c>
      <c r="H2672" t="s">
        <v>22819</v>
      </c>
      <c r="I2672" t="s">
        <v>22910</v>
      </c>
      <c r="K2672" t="s">
        <v>6705</v>
      </c>
      <c r="L2672" t="s">
        <v>6705</v>
      </c>
      <c r="M2672" t="s">
        <v>7292</v>
      </c>
      <c r="R2672">
        <v>8</v>
      </c>
      <c r="S2672" t="s">
        <v>8257</v>
      </c>
      <c r="T2672">
        <v>8</v>
      </c>
      <c r="U2672">
        <v>3723.07</v>
      </c>
      <c r="V2672">
        <v>651</v>
      </c>
      <c r="W2672">
        <v>399.81</v>
      </c>
      <c r="X2672">
        <v>651</v>
      </c>
      <c r="AA2672" t="s">
        <v>22911</v>
      </c>
      <c r="AC2672" t="s">
        <v>9852</v>
      </c>
      <c r="AD2672" t="s">
        <v>4722</v>
      </c>
      <c r="AE2672" t="s">
        <v>3058</v>
      </c>
      <c r="AG2672" t="s">
        <v>4687</v>
      </c>
      <c r="AH2672" t="s">
        <v>3058</v>
      </c>
      <c r="AI2672" t="s">
        <v>9852</v>
      </c>
      <c r="AL2672" t="s">
        <v>22824</v>
      </c>
      <c r="AO2672" t="s">
        <v>22912</v>
      </c>
    </row>
    <row r="2673" spans="1:41" hidden="1" x14ac:dyDescent="0.35">
      <c r="A2673" t="s">
        <v>22913</v>
      </c>
      <c r="B2673" t="s">
        <v>7246</v>
      </c>
      <c r="C2673" t="s">
        <v>84</v>
      </c>
      <c r="D2673" t="s">
        <v>84</v>
      </c>
      <c r="E2673" t="s">
        <v>84</v>
      </c>
      <c r="G2673" s="13" t="s">
        <v>22914</v>
      </c>
      <c r="H2673" t="s">
        <v>22915</v>
      </c>
      <c r="I2673" t="s">
        <v>22916</v>
      </c>
      <c r="K2673" t="s">
        <v>22917</v>
      </c>
      <c r="L2673" t="s">
        <v>22918</v>
      </c>
      <c r="M2673" t="s">
        <v>7250</v>
      </c>
      <c r="N2673">
        <v>2011</v>
      </c>
      <c r="R2673">
        <v>2</v>
      </c>
      <c r="S2673" t="s">
        <v>8257</v>
      </c>
      <c r="T2673">
        <v>2</v>
      </c>
      <c r="U2673">
        <v>930.77</v>
      </c>
      <c r="V2673">
        <v>98.2</v>
      </c>
      <c r="W2673">
        <v>76.239999999999995</v>
      </c>
      <c r="X2673">
        <v>98.2</v>
      </c>
      <c r="AB2673" t="s">
        <v>22919</v>
      </c>
      <c r="AC2673" t="s">
        <v>9852</v>
      </c>
      <c r="AD2673" t="s">
        <v>22920</v>
      </c>
      <c r="AE2673" t="s">
        <v>4731</v>
      </c>
      <c r="AF2673" t="s">
        <v>22921</v>
      </c>
      <c r="AG2673" t="s">
        <v>22922</v>
      </c>
      <c r="AH2673" t="s">
        <v>3030</v>
      </c>
      <c r="AI2673" t="s">
        <v>9852</v>
      </c>
      <c r="AL2673" t="s">
        <v>22923</v>
      </c>
      <c r="AO2673" t="s">
        <v>22924</v>
      </c>
    </row>
    <row r="2674" spans="1:41" hidden="1" x14ac:dyDescent="0.35">
      <c r="A2674" t="s">
        <v>22925</v>
      </c>
      <c r="B2674" t="s">
        <v>7246</v>
      </c>
      <c r="C2674" t="s">
        <v>84</v>
      </c>
      <c r="D2674" t="s">
        <v>84</v>
      </c>
      <c r="E2674" t="s">
        <v>84</v>
      </c>
      <c r="G2674" s="13" t="s">
        <v>22926</v>
      </c>
      <c r="H2674" t="s">
        <v>22915</v>
      </c>
      <c r="I2674" t="s">
        <v>22927</v>
      </c>
      <c r="K2674" t="s">
        <v>22928</v>
      </c>
      <c r="L2674" t="s">
        <v>22929</v>
      </c>
      <c r="M2674" t="s">
        <v>7415</v>
      </c>
      <c r="R2674">
        <v>3.3</v>
      </c>
      <c r="S2674" t="s">
        <v>8257</v>
      </c>
      <c r="T2674">
        <v>3.3</v>
      </c>
      <c r="U2674">
        <v>1535.77</v>
      </c>
      <c r="V2674">
        <v>34.200000000000003</v>
      </c>
      <c r="W2674" t="s">
        <v>6546</v>
      </c>
      <c r="X2674">
        <v>34.200000000000003</v>
      </c>
      <c r="Y2674">
        <v>711</v>
      </c>
      <c r="Z2674" t="s">
        <v>8842</v>
      </c>
      <c r="AB2674" t="s">
        <v>22930</v>
      </c>
      <c r="AC2674" t="s">
        <v>9852</v>
      </c>
      <c r="AE2674" t="s">
        <v>4731</v>
      </c>
      <c r="AF2674" t="s">
        <v>22931</v>
      </c>
      <c r="AH2674" t="s">
        <v>4675</v>
      </c>
      <c r="AI2674" t="s">
        <v>9852</v>
      </c>
      <c r="AL2674" t="s">
        <v>22923</v>
      </c>
      <c r="AO2674" t="s">
        <v>6546</v>
      </c>
    </row>
    <row r="2675" spans="1:41" hidden="1" x14ac:dyDescent="0.35">
      <c r="A2675" t="s">
        <v>22932</v>
      </c>
      <c r="B2675" t="s">
        <v>7246</v>
      </c>
      <c r="C2675" t="s">
        <v>84</v>
      </c>
      <c r="D2675" t="s">
        <v>84</v>
      </c>
      <c r="E2675" t="s">
        <v>84</v>
      </c>
      <c r="G2675" s="13" t="s">
        <v>22926</v>
      </c>
      <c r="H2675" t="s">
        <v>22915</v>
      </c>
      <c r="I2675" t="s">
        <v>22933</v>
      </c>
      <c r="K2675" t="s">
        <v>22934</v>
      </c>
      <c r="L2675" t="s">
        <v>22934</v>
      </c>
      <c r="M2675" t="s">
        <v>7250</v>
      </c>
      <c r="R2675">
        <v>0.4</v>
      </c>
      <c r="S2675" t="s">
        <v>8257</v>
      </c>
      <c r="T2675">
        <v>0.4</v>
      </c>
      <c r="U2675">
        <v>186.15</v>
      </c>
      <c r="V2675">
        <v>74</v>
      </c>
      <c r="W2675">
        <v>61.51</v>
      </c>
      <c r="X2675">
        <v>74</v>
      </c>
      <c r="AC2675" t="s">
        <v>9852</v>
      </c>
      <c r="AE2675" t="s">
        <v>4731</v>
      </c>
      <c r="AH2675" t="s">
        <v>4731</v>
      </c>
      <c r="AI2675" t="s">
        <v>9852</v>
      </c>
      <c r="AL2675" t="s">
        <v>22923</v>
      </c>
      <c r="AO2675" t="s">
        <v>22935</v>
      </c>
    </row>
    <row r="2676" spans="1:41" hidden="1" x14ac:dyDescent="0.35">
      <c r="A2676" t="s">
        <v>22936</v>
      </c>
      <c r="B2676" t="s">
        <v>7246</v>
      </c>
      <c r="C2676" t="s">
        <v>84</v>
      </c>
      <c r="D2676" t="s">
        <v>84</v>
      </c>
      <c r="E2676" t="s">
        <v>84</v>
      </c>
      <c r="G2676" s="13" t="s">
        <v>22926</v>
      </c>
      <c r="H2676" t="s">
        <v>22915</v>
      </c>
      <c r="I2676" t="s">
        <v>22937</v>
      </c>
      <c r="K2676" t="s">
        <v>22934</v>
      </c>
      <c r="L2676" t="s">
        <v>22934</v>
      </c>
      <c r="M2676" t="s">
        <v>7250</v>
      </c>
      <c r="R2676">
        <v>0.3</v>
      </c>
      <c r="S2676" t="s">
        <v>8257</v>
      </c>
      <c r="T2676">
        <v>0.3</v>
      </c>
      <c r="U2676">
        <v>139.62</v>
      </c>
      <c r="V2676">
        <v>116</v>
      </c>
      <c r="W2676">
        <v>31.62</v>
      </c>
      <c r="X2676">
        <v>116</v>
      </c>
      <c r="Y2676">
        <v>355.6</v>
      </c>
      <c r="Z2676" t="s">
        <v>8842</v>
      </c>
      <c r="AC2676" t="s">
        <v>9852</v>
      </c>
      <c r="AE2676" t="s">
        <v>4731</v>
      </c>
      <c r="AH2676" t="s">
        <v>4731</v>
      </c>
      <c r="AI2676" t="s">
        <v>9852</v>
      </c>
      <c r="AL2676" t="s">
        <v>22923</v>
      </c>
      <c r="AO2676" t="s">
        <v>22938</v>
      </c>
    </row>
    <row r="2677" spans="1:41" hidden="1" x14ac:dyDescent="0.35">
      <c r="A2677" t="s">
        <v>22939</v>
      </c>
      <c r="B2677" t="s">
        <v>7246</v>
      </c>
      <c r="C2677" t="s">
        <v>84</v>
      </c>
      <c r="D2677" t="s">
        <v>84</v>
      </c>
      <c r="E2677" t="s">
        <v>84</v>
      </c>
      <c r="G2677" s="13" t="s">
        <v>22926</v>
      </c>
      <c r="H2677" t="s">
        <v>22915</v>
      </c>
      <c r="I2677" t="s">
        <v>22940</v>
      </c>
      <c r="K2677" t="s">
        <v>22941</v>
      </c>
      <c r="L2677" t="s">
        <v>22934</v>
      </c>
      <c r="M2677" t="s">
        <v>7250</v>
      </c>
      <c r="R2677">
        <v>0.49</v>
      </c>
      <c r="S2677" t="s">
        <v>8257</v>
      </c>
      <c r="T2677">
        <v>0.49</v>
      </c>
      <c r="U2677">
        <v>228.04</v>
      </c>
      <c r="V2677">
        <v>73.5</v>
      </c>
      <c r="W2677">
        <v>60.01</v>
      </c>
      <c r="X2677">
        <v>73.5</v>
      </c>
      <c r="AC2677" t="s">
        <v>9852</v>
      </c>
      <c r="AE2677" t="s">
        <v>4731</v>
      </c>
      <c r="AH2677" t="s">
        <v>4731</v>
      </c>
      <c r="AI2677" t="s">
        <v>9852</v>
      </c>
      <c r="AL2677" t="s">
        <v>22923</v>
      </c>
      <c r="AO2677" t="s">
        <v>22942</v>
      </c>
    </row>
    <row r="2678" spans="1:41" hidden="1" x14ac:dyDescent="0.35">
      <c r="A2678" t="s">
        <v>22943</v>
      </c>
      <c r="B2678" t="s">
        <v>7246</v>
      </c>
      <c r="C2678" t="s">
        <v>84</v>
      </c>
      <c r="D2678" t="s">
        <v>84</v>
      </c>
      <c r="E2678" t="s">
        <v>84</v>
      </c>
      <c r="G2678" s="13" t="s">
        <v>22926</v>
      </c>
      <c r="H2678" t="s">
        <v>22915</v>
      </c>
      <c r="I2678" t="s">
        <v>22944</v>
      </c>
      <c r="K2678" t="s">
        <v>22934</v>
      </c>
      <c r="L2678" t="s">
        <v>22934</v>
      </c>
      <c r="M2678" t="s">
        <v>7250</v>
      </c>
      <c r="R2678">
        <v>0.3</v>
      </c>
      <c r="S2678" t="s">
        <v>8257</v>
      </c>
      <c r="T2678">
        <v>0.3</v>
      </c>
      <c r="U2678">
        <v>139.62</v>
      </c>
      <c r="V2678">
        <v>104.16</v>
      </c>
      <c r="W2678">
        <v>131.18</v>
      </c>
      <c r="X2678">
        <v>104.16</v>
      </c>
      <c r="AC2678" t="s">
        <v>9852</v>
      </c>
      <c r="AE2678" t="s">
        <v>4731</v>
      </c>
      <c r="AH2678" t="s">
        <v>4731</v>
      </c>
      <c r="AI2678" t="s">
        <v>9852</v>
      </c>
      <c r="AL2678" t="s">
        <v>22923</v>
      </c>
      <c r="AO2678" t="s">
        <v>22945</v>
      </c>
    </row>
    <row r="2679" spans="1:41" hidden="1" x14ac:dyDescent="0.35">
      <c r="A2679" t="s">
        <v>22946</v>
      </c>
      <c r="B2679" t="s">
        <v>7246</v>
      </c>
      <c r="C2679" t="s">
        <v>84</v>
      </c>
      <c r="D2679" t="s">
        <v>84</v>
      </c>
      <c r="E2679" t="s">
        <v>84</v>
      </c>
      <c r="G2679" s="13" t="s">
        <v>22926</v>
      </c>
      <c r="H2679" t="s">
        <v>22915</v>
      </c>
      <c r="I2679" t="s">
        <v>22947</v>
      </c>
      <c r="K2679" t="s">
        <v>22934</v>
      </c>
      <c r="L2679" t="s">
        <v>22934</v>
      </c>
      <c r="M2679" t="s">
        <v>7250</v>
      </c>
      <c r="R2679">
        <v>0.28000000000000003</v>
      </c>
      <c r="S2679" t="s">
        <v>8257</v>
      </c>
      <c r="T2679">
        <v>0.28000000000000003</v>
      </c>
      <c r="U2679">
        <v>130.31</v>
      </c>
      <c r="V2679">
        <v>196</v>
      </c>
      <c r="W2679">
        <v>126.32</v>
      </c>
      <c r="X2679">
        <v>196</v>
      </c>
      <c r="AC2679" t="s">
        <v>9852</v>
      </c>
      <c r="AE2679" t="s">
        <v>4731</v>
      </c>
      <c r="AH2679" t="s">
        <v>4731</v>
      </c>
      <c r="AI2679" t="s">
        <v>9852</v>
      </c>
      <c r="AL2679" t="s">
        <v>22923</v>
      </c>
      <c r="AO2679" t="s">
        <v>22948</v>
      </c>
    </row>
    <row r="2680" spans="1:41" hidden="1" x14ac:dyDescent="0.35">
      <c r="A2680" t="s">
        <v>22949</v>
      </c>
      <c r="B2680" t="s">
        <v>7246</v>
      </c>
      <c r="C2680" t="s">
        <v>84</v>
      </c>
      <c r="D2680" t="s">
        <v>84</v>
      </c>
      <c r="E2680" t="s">
        <v>84</v>
      </c>
      <c r="G2680" s="13" t="s">
        <v>22926</v>
      </c>
      <c r="H2680" t="s">
        <v>22915</v>
      </c>
      <c r="I2680" t="s">
        <v>22950</v>
      </c>
      <c r="K2680" t="s">
        <v>22941</v>
      </c>
      <c r="L2680" t="s">
        <v>22934</v>
      </c>
      <c r="M2680" t="s">
        <v>7250</v>
      </c>
      <c r="R2680">
        <v>0.49</v>
      </c>
      <c r="S2680" t="s">
        <v>8257</v>
      </c>
      <c r="T2680">
        <v>0.49</v>
      </c>
      <c r="U2680">
        <v>228.04</v>
      </c>
      <c r="V2680">
        <v>65.73</v>
      </c>
      <c r="W2680">
        <v>60.01</v>
      </c>
      <c r="X2680">
        <v>65.73</v>
      </c>
      <c r="AC2680" t="s">
        <v>9852</v>
      </c>
      <c r="AE2680" t="s">
        <v>4731</v>
      </c>
      <c r="AH2680" t="s">
        <v>4731</v>
      </c>
      <c r="AI2680" t="s">
        <v>9852</v>
      </c>
      <c r="AL2680" t="s">
        <v>22923</v>
      </c>
      <c r="AO2680" t="s">
        <v>22951</v>
      </c>
    </row>
    <row r="2681" spans="1:41" hidden="1" x14ac:dyDescent="0.35">
      <c r="A2681" t="s">
        <v>22952</v>
      </c>
      <c r="B2681" t="s">
        <v>7246</v>
      </c>
      <c r="C2681" t="s">
        <v>84</v>
      </c>
      <c r="D2681" t="s">
        <v>84</v>
      </c>
      <c r="E2681" t="s">
        <v>84</v>
      </c>
      <c r="G2681" s="13" t="s">
        <v>22926</v>
      </c>
      <c r="H2681" t="s">
        <v>22915</v>
      </c>
      <c r="I2681" t="s">
        <v>22953</v>
      </c>
      <c r="K2681" t="s">
        <v>22934</v>
      </c>
      <c r="L2681" t="s">
        <v>22934</v>
      </c>
      <c r="M2681" t="s">
        <v>7250</v>
      </c>
      <c r="R2681">
        <v>0.49</v>
      </c>
      <c r="S2681" t="s">
        <v>8257</v>
      </c>
      <c r="T2681">
        <v>0.49</v>
      </c>
      <c r="U2681">
        <v>228.04</v>
      </c>
      <c r="V2681">
        <v>51</v>
      </c>
      <c r="W2681">
        <v>134.94</v>
      </c>
      <c r="X2681">
        <v>51</v>
      </c>
      <c r="AC2681" t="s">
        <v>9852</v>
      </c>
      <c r="AE2681" t="s">
        <v>4731</v>
      </c>
      <c r="AH2681" t="s">
        <v>4731</v>
      </c>
      <c r="AI2681" t="s">
        <v>9852</v>
      </c>
      <c r="AL2681" t="s">
        <v>22923</v>
      </c>
      <c r="AO2681" t="s">
        <v>22954</v>
      </c>
    </row>
    <row r="2682" spans="1:41" hidden="1" x14ac:dyDescent="0.35">
      <c r="A2682" t="s">
        <v>22955</v>
      </c>
      <c r="B2682" t="s">
        <v>7246</v>
      </c>
      <c r="C2682" t="s">
        <v>84</v>
      </c>
      <c r="D2682" t="s">
        <v>84</v>
      </c>
      <c r="E2682" t="s">
        <v>84</v>
      </c>
      <c r="G2682" s="13" t="s">
        <v>22926</v>
      </c>
      <c r="H2682" t="s">
        <v>22915</v>
      </c>
      <c r="I2682" t="s">
        <v>22956</v>
      </c>
      <c r="K2682" t="s">
        <v>22934</v>
      </c>
      <c r="L2682" t="s">
        <v>22934</v>
      </c>
      <c r="M2682" t="s">
        <v>7250</v>
      </c>
      <c r="R2682">
        <v>0.15</v>
      </c>
      <c r="S2682" t="s">
        <v>8257</v>
      </c>
      <c r="T2682">
        <v>0.15</v>
      </c>
      <c r="U2682">
        <v>69.81</v>
      </c>
      <c r="V2682">
        <v>55</v>
      </c>
      <c r="W2682">
        <v>65</v>
      </c>
      <c r="X2682">
        <v>55</v>
      </c>
      <c r="AC2682" t="s">
        <v>9852</v>
      </c>
      <c r="AE2682" t="s">
        <v>4731</v>
      </c>
      <c r="AH2682" t="s">
        <v>4731</v>
      </c>
      <c r="AI2682" t="s">
        <v>9852</v>
      </c>
      <c r="AL2682" t="s">
        <v>22923</v>
      </c>
      <c r="AO2682" t="s">
        <v>22957</v>
      </c>
    </row>
    <row r="2683" spans="1:41" hidden="1" x14ac:dyDescent="0.35">
      <c r="A2683" t="s">
        <v>22958</v>
      </c>
      <c r="B2683" t="s">
        <v>7246</v>
      </c>
      <c r="C2683" t="s">
        <v>84</v>
      </c>
      <c r="D2683" t="s">
        <v>84</v>
      </c>
      <c r="E2683" t="s">
        <v>84</v>
      </c>
      <c r="G2683" s="13" t="s">
        <v>22926</v>
      </c>
      <c r="H2683" t="s">
        <v>22915</v>
      </c>
      <c r="I2683" t="s">
        <v>22959</v>
      </c>
      <c r="K2683" t="s">
        <v>22941</v>
      </c>
      <c r="L2683" t="s">
        <v>22934</v>
      </c>
      <c r="M2683" t="s">
        <v>7415</v>
      </c>
      <c r="R2683">
        <v>0.3</v>
      </c>
      <c r="S2683" t="s">
        <v>8257</v>
      </c>
      <c r="T2683">
        <v>0.3</v>
      </c>
      <c r="U2683">
        <v>139.62</v>
      </c>
      <c r="V2683">
        <v>170</v>
      </c>
      <c r="W2683">
        <v>89.47</v>
      </c>
      <c r="X2683">
        <v>170</v>
      </c>
      <c r="Y2683">
        <v>355.6</v>
      </c>
      <c r="Z2683" t="s">
        <v>8842</v>
      </c>
      <c r="AC2683" t="s">
        <v>9852</v>
      </c>
      <c r="AE2683" t="s">
        <v>4731</v>
      </c>
      <c r="AH2683" t="s">
        <v>4731</v>
      </c>
      <c r="AI2683" t="s">
        <v>9852</v>
      </c>
      <c r="AL2683" t="s">
        <v>22923</v>
      </c>
      <c r="AO2683" t="s">
        <v>22960</v>
      </c>
    </row>
    <row r="2684" spans="1:41" hidden="1" x14ac:dyDescent="0.35">
      <c r="A2684" t="s">
        <v>22961</v>
      </c>
      <c r="B2684" t="s">
        <v>7246</v>
      </c>
      <c r="C2684" t="s">
        <v>84</v>
      </c>
      <c r="D2684" t="s">
        <v>84</v>
      </c>
      <c r="E2684" t="s">
        <v>84</v>
      </c>
      <c r="G2684" s="13" t="s">
        <v>22926</v>
      </c>
      <c r="H2684" t="s">
        <v>22915</v>
      </c>
      <c r="I2684" t="s">
        <v>22962</v>
      </c>
      <c r="K2684" t="s">
        <v>22934</v>
      </c>
      <c r="L2684" t="s">
        <v>22934</v>
      </c>
      <c r="M2684" t="s">
        <v>7250</v>
      </c>
      <c r="R2684">
        <v>0.49</v>
      </c>
      <c r="S2684" t="s">
        <v>8257</v>
      </c>
      <c r="T2684">
        <v>0.49</v>
      </c>
      <c r="U2684">
        <v>228.04</v>
      </c>
      <c r="V2684">
        <v>170.68</v>
      </c>
      <c r="W2684">
        <v>9.2200000000000006</v>
      </c>
      <c r="X2684">
        <v>170.68</v>
      </c>
      <c r="AC2684" t="s">
        <v>9852</v>
      </c>
      <c r="AE2684" t="s">
        <v>4731</v>
      </c>
      <c r="AH2684" t="s">
        <v>4731</v>
      </c>
      <c r="AI2684" t="s">
        <v>9852</v>
      </c>
      <c r="AL2684" t="s">
        <v>22923</v>
      </c>
      <c r="AO2684" t="s">
        <v>22963</v>
      </c>
    </row>
    <row r="2685" spans="1:41" hidden="1" x14ac:dyDescent="0.35">
      <c r="A2685" t="s">
        <v>22964</v>
      </c>
      <c r="B2685" t="s">
        <v>7246</v>
      </c>
      <c r="C2685" t="s">
        <v>84</v>
      </c>
      <c r="D2685" t="s">
        <v>84</v>
      </c>
      <c r="E2685" t="s">
        <v>84</v>
      </c>
      <c r="G2685" s="13" t="s">
        <v>22926</v>
      </c>
      <c r="H2685" t="s">
        <v>22915</v>
      </c>
      <c r="I2685" t="s">
        <v>22965</v>
      </c>
      <c r="K2685" t="s">
        <v>22966</v>
      </c>
      <c r="L2685" t="s">
        <v>22967</v>
      </c>
      <c r="M2685" t="s">
        <v>7250</v>
      </c>
      <c r="R2685">
        <v>2.5</v>
      </c>
      <c r="S2685" t="s">
        <v>8257</v>
      </c>
      <c r="T2685">
        <v>2.5</v>
      </c>
      <c r="U2685">
        <v>1163.46</v>
      </c>
      <c r="V2685">
        <v>150</v>
      </c>
      <c r="W2685">
        <v>287.8</v>
      </c>
      <c r="X2685">
        <v>150</v>
      </c>
      <c r="AC2685" t="s">
        <v>9852</v>
      </c>
      <c r="AE2685" t="s">
        <v>4731</v>
      </c>
      <c r="AH2685" t="s">
        <v>4731</v>
      </c>
      <c r="AI2685" t="s">
        <v>9852</v>
      </c>
      <c r="AL2685" t="s">
        <v>22923</v>
      </c>
      <c r="AO2685" t="s">
        <v>22968</v>
      </c>
    </row>
    <row r="2686" spans="1:41" hidden="1" x14ac:dyDescent="0.35">
      <c r="A2686" t="s">
        <v>22969</v>
      </c>
      <c r="B2686" t="s">
        <v>7246</v>
      </c>
      <c r="C2686" t="s">
        <v>84</v>
      </c>
      <c r="D2686" t="s">
        <v>84</v>
      </c>
      <c r="E2686" t="s">
        <v>84</v>
      </c>
      <c r="G2686" s="13" t="s">
        <v>22926</v>
      </c>
      <c r="H2686" t="s">
        <v>22915</v>
      </c>
      <c r="I2686" t="s">
        <v>22970</v>
      </c>
      <c r="K2686" t="s">
        <v>22934</v>
      </c>
      <c r="L2686" t="s">
        <v>22934</v>
      </c>
      <c r="M2686" t="s">
        <v>7250</v>
      </c>
      <c r="R2686">
        <v>0.48</v>
      </c>
      <c r="S2686" t="s">
        <v>8257</v>
      </c>
      <c r="T2686">
        <v>0.48</v>
      </c>
      <c r="U2686">
        <v>223.38</v>
      </c>
      <c r="V2686">
        <v>90</v>
      </c>
      <c r="W2686">
        <v>53.7</v>
      </c>
      <c r="X2686">
        <v>90</v>
      </c>
      <c r="AC2686" t="s">
        <v>9852</v>
      </c>
      <c r="AE2686" t="s">
        <v>4731</v>
      </c>
      <c r="AH2686" t="s">
        <v>4731</v>
      </c>
      <c r="AI2686" t="s">
        <v>9852</v>
      </c>
      <c r="AL2686" t="s">
        <v>22923</v>
      </c>
      <c r="AO2686" t="s">
        <v>22971</v>
      </c>
    </row>
    <row r="2687" spans="1:41" hidden="1" x14ac:dyDescent="0.35">
      <c r="A2687" t="s">
        <v>22972</v>
      </c>
      <c r="B2687" t="s">
        <v>7246</v>
      </c>
      <c r="C2687" t="s">
        <v>84</v>
      </c>
      <c r="D2687" t="s">
        <v>84</v>
      </c>
      <c r="E2687" t="s">
        <v>84</v>
      </c>
      <c r="G2687" s="13" t="s">
        <v>22926</v>
      </c>
      <c r="H2687" t="s">
        <v>22915</v>
      </c>
      <c r="I2687" t="s">
        <v>22973</v>
      </c>
      <c r="K2687" t="s">
        <v>22974</v>
      </c>
      <c r="L2687" t="s">
        <v>22975</v>
      </c>
      <c r="M2687" t="s">
        <v>7250</v>
      </c>
      <c r="N2687">
        <v>2015</v>
      </c>
      <c r="R2687">
        <v>3.2</v>
      </c>
      <c r="S2687" t="s">
        <v>8257</v>
      </c>
      <c r="T2687">
        <v>3.2</v>
      </c>
      <c r="U2687">
        <v>1489.23</v>
      </c>
      <c r="V2687">
        <v>381</v>
      </c>
      <c r="W2687">
        <v>144.31</v>
      </c>
      <c r="X2687">
        <v>381</v>
      </c>
      <c r="AC2687" t="s">
        <v>9852</v>
      </c>
      <c r="AE2687" t="s">
        <v>4731</v>
      </c>
      <c r="AH2687" t="s">
        <v>4731</v>
      </c>
      <c r="AI2687" t="s">
        <v>9852</v>
      </c>
      <c r="AL2687" t="s">
        <v>22923</v>
      </c>
      <c r="AO2687" t="s">
        <v>22976</v>
      </c>
    </row>
    <row r="2688" spans="1:41" hidden="1" x14ac:dyDescent="0.35">
      <c r="A2688" t="s">
        <v>22977</v>
      </c>
      <c r="B2688" t="s">
        <v>7246</v>
      </c>
      <c r="C2688" t="s">
        <v>84</v>
      </c>
      <c r="D2688" t="s">
        <v>84</v>
      </c>
      <c r="E2688" t="s">
        <v>84</v>
      </c>
      <c r="G2688" s="13" t="s">
        <v>22926</v>
      </c>
      <c r="H2688" t="s">
        <v>22915</v>
      </c>
      <c r="I2688" t="s">
        <v>22978</v>
      </c>
      <c r="K2688" t="s">
        <v>22934</v>
      </c>
      <c r="L2688" t="s">
        <v>22934</v>
      </c>
      <c r="M2688" t="s">
        <v>7250</v>
      </c>
      <c r="R2688">
        <v>0.15</v>
      </c>
      <c r="S2688" t="s">
        <v>8257</v>
      </c>
      <c r="T2688">
        <v>0.15</v>
      </c>
      <c r="U2688">
        <v>69.81</v>
      </c>
      <c r="V2688">
        <v>126</v>
      </c>
      <c r="W2688">
        <v>91.08</v>
      </c>
      <c r="X2688">
        <v>126</v>
      </c>
      <c r="AC2688" t="s">
        <v>9852</v>
      </c>
      <c r="AE2688" t="s">
        <v>4731</v>
      </c>
      <c r="AH2688" t="s">
        <v>4731</v>
      </c>
      <c r="AI2688" t="s">
        <v>9852</v>
      </c>
      <c r="AL2688" t="s">
        <v>22923</v>
      </c>
      <c r="AO2688" t="s">
        <v>22979</v>
      </c>
    </row>
    <row r="2689" spans="1:41" hidden="1" x14ac:dyDescent="0.35">
      <c r="A2689" t="s">
        <v>22980</v>
      </c>
      <c r="B2689" t="s">
        <v>7246</v>
      </c>
      <c r="C2689" t="s">
        <v>84</v>
      </c>
      <c r="D2689" t="s">
        <v>84</v>
      </c>
      <c r="E2689" t="s">
        <v>84</v>
      </c>
      <c r="G2689" s="13" t="s">
        <v>22926</v>
      </c>
      <c r="H2689" t="s">
        <v>22915</v>
      </c>
      <c r="I2689" t="s">
        <v>22981</v>
      </c>
      <c r="K2689" t="s">
        <v>22934</v>
      </c>
      <c r="L2689" t="s">
        <v>22934</v>
      </c>
      <c r="M2689" t="s">
        <v>7250</v>
      </c>
      <c r="T2689" t="s">
        <v>6546</v>
      </c>
      <c r="U2689" t="s">
        <v>6546</v>
      </c>
      <c r="V2689">
        <v>62</v>
      </c>
      <c r="W2689">
        <v>58.85</v>
      </c>
      <c r="X2689">
        <v>62</v>
      </c>
      <c r="AC2689" t="s">
        <v>9852</v>
      </c>
      <c r="AE2689" t="s">
        <v>4731</v>
      </c>
      <c r="AH2689" t="s">
        <v>4731</v>
      </c>
      <c r="AI2689" t="s">
        <v>9852</v>
      </c>
      <c r="AL2689" t="s">
        <v>22923</v>
      </c>
      <c r="AO2689" t="s">
        <v>22982</v>
      </c>
    </row>
    <row r="2690" spans="1:41" hidden="1" x14ac:dyDescent="0.35">
      <c r="A2690" t="s">
        <v>22983</v>
      </c>
      <c r="B2690" t="s">
        <v>7246</v>
      </c>
      <c r="C2690" t="s">
        <v>84</v>
      </c>
      <c r="D2690" t="s">
        <v>84</v>
      </c>
      <c r="E2690" t="s">
        <v>84</v>
      </c>
      <c r="G2690" s="13" t="s">
        <v>22926</v>
      </c>
      <c r="H2690" t="s">
        <v>22915</v>
      </c>
      <c r="I2690" t="s">
        <v>22984</v>
      </c>
      <c r="K2690" t="s">
        <v>22934</v>
      </c>
      <c r="L2690" t="s">
        <v>22934</v>
      </c>
      <c r="M2690" t="s">
        <v>7250</v>
      </c>
      <c r="R2690">
        <v>0.4</v>
      </c>
      <c r="S2690" t="s">
        <v>8257</v>
      </c>
      <c r="T2690">
        <v>0.4</v>
      </c>
      <c r="U2690">
        <v>186.15</v>
      </c>
      <c r="V2690">
        <v>76</v>
      </c>
      <c r="W2690">
        <v>67.010000000000005</v>
      </c>
      <c r="X2690">
        <v>76</v>
      </c>
      <c r="AC2690" t="s">
        <v>9852</v>
      </c>
      <c r="AE2690" t="s">
        <v>4731</v>
      </c>
      <c r="AH2690" t="s">
        <v>4731</v>
      </c>
      <c r="AI2690" t="s">
        <v>9852</v>
      </c>
      <c r="AL2690" t="s">
        <v>22923</v>
      </c>
      <c r="AO2690" t="s">
        <v>22985</v>
      </c>
    </row>
    <row r="2691" spans="1:41" hidden="1" x14ac:dyDescent="0.35">
      <c r="A2691" t="s">
        <v>22986</v>
      </c>
      <c r="B2691" t="s">
        <v>7246</v>
      </c>
      <c r="C2691" t="s">
        <v>84</v>
      </c>
      <c r="D2691" t="s">
        <v>84</v>
      </c>
      <c r="E2691" t="s">
        <v>84</v>
      </c>
      <c r="G2691" s="13" t="s">
        <v>22926</v>
      </c>
      <c r="H2691" t="s">
        <v>22915</v>
      </c>
      <c r="I2691" t="s">
        <v>22987</v>
      </c>
      <c r="K2691" t="s">
        <v>22428</v>
      </c>
      <c r="L2691" t="s">
        <v>22428</v>
      </c>
      <c r="M2691" t="s">
        <v>7250</v>
      </c>
      <c r="N2691">
        <v>2012</v>
      </c>
      <c r="R2691">
        <v>2.5</v>
      </c>
      <c r="S2691" t="s">
        <v>8257</v>
      </c>
      <c r="T2691">
        <v>2.5</v>
      </c>
      <c r="U2691">
        <v>1163.46</v>
      </c>
      <c r="V2691">
        <v>430</v>
      </c>
      <c r="W2691">
        <v>215.38</v>
      </c>
      <c r="X2691">
        <v>430</v>
      </c>
      <c r="AC2691" t="s">
        <v>9852</v>
      </c>
      <c r="AE2691" t="s">
        <v>4731</v>
      </c>
      <c r="AH2691" t="s">
        <v>4731</v>
      </c>
      <c r="AI2691" t="s">
        <v>9852</v>
      </c>
      <c r="AL2691" t="s">
        <v>22923</v>
      </c>
      <c r="AO2691" t="s">
        <v>22988</v>
      </c>
    </row>
    <row r="2692" spans="1:41" hidden="1" x14ac:dyDescent="0.35">
      <c r="A2692" t="s">
        <v>22989</v>
      </c>
      <c r="B2692" t="s">
        <v>7246</v>
      </c>
      <c r="C2692" t="s">
        <v>84</v>
      </c>
      <c r="D2692" t="s">
        <v>84</v>
      </c>
      <c r="E2692" t="s">
        <v>84</v>
      </c>
      <c r="G2692" s="13" t="s">
        <v>22926</v>
      </c>
      <c r="H2692" t="s">
        <v>22915</v>
      </c>
      <c r="I2692" t="s">
        <v>22990</v>
      </c>
      <c r="K2692" t="s">
        <v>22934</v>
      </c>
      <c r="L2692" t="s">
        <v>22934</v>
      </c>
      <c r="M2692" t="s">
        <v>7250</v>
      </c>
      <c r="R2692">
        <v>0.9</v>
      </c>
      <c r="S2692" t="s">
        <v>8257</v>
      </c>
      <c r="T2692">
        <v>0.9</v>
      </c>
      <c r="U2692">
        <v>418.85</v>
      </c>
      <c r="V2692">
        <v>105</v>
      </c>
      <c r="W2692">
        <v>82.37</v>
      </c>
      <c r="X2692">
        <v>105</v>
      </c>
      <c r="AC2692" t="s">
        <v>9852</v>
      </c>
      <c r="AE2692" t="s">
        <v>4731</v>
      </c>
      <c r="AH2692" t="s">
        <v>4731</v>
      </c>
      <c r="AI2692" t="s">
        <v>9852</v>
      </c>
      <c r="AL2692" t="s">
        <v>22923</v>
      </c>
      <c r="AO2692" t="s">
        <v>22991</v>
      </c>
    </row>
    <row r="2693" spans="1:41" hidden="1" x14ac:dyDescent="0.35">
      <c r="A2693" t="s">
        <v>22992</v>
      </c>
      <c r="B2693" t="s">
        <v>7246</v>
      </c>
      <c r="C2693" t="s">
        <v>84</v>
      </c>
      <c r="D2693" t="s">
        <v>84</v>
      </c>
      <c r="E2693" t="s">
        <v>84</v>
      </c>
      <c r="G2693" s="13" t="s">
        <v>22926</v>
      </c>
      <c r="H2693" t="s">
        <v>22915</v>
      </c>
      <c r="I2693" t="s">
        <v>22993</v>
      </c>
      <c r="K2693" t="s">
        <v>22934</v>
      </c>
      <c r="L2693" t="s">
        <v>22934</v>
      </c>
      <c r="M2693" t="s">
        <v>7250</v>
      </c>
      <c r="R2693">
        <v>1</v>
      </c>
      <c r="S2693" t="s">
        <v>8257</v>
      </c>
      <c r="T2693">
        <v>1</v>
      </c>
      <c r="U2693">
        <v>465.38</v>
      </c>
      <c r="V2693">
        <v>90.04</v>
      </c>
      <c r="W2693">
        <v>33.72</v>
      </c>
      <c r="X2693">
        <v>90.04</v>
      </c>
      <c r="AC2693" t="s">
        <v>9852</v>
      </c>
      <c r="AE2693" t="s">
        <v>4731</v>
      </c>
      <c r="AH2693" t="s">
        <v>4731</v>
      </c>
      <c r="AI2693" t="s">
        <v>9852</v>
      </c>
      <c r="AL2693" t="s">
        <v>22923</v>
      </c>
      <c r="AO2693" t="s">
        <v>22994</v>
      </c>
    </row>
    <row r="2694" spans="1:41" hidden="1" x14ac:dyDescent="0.35">
      <c r="A2694" t="s">
        <v>22995</v>
      </c>
      <c r="B2694" t="s">
        <v>7246</v>
      </c>
      <c r="C2694" t="s">
        <v>84</v>
      </c>
      <c r="D2694" t="s">
        <v>84</v>
      </c>
      <c r="E2694" t="s">
        <v>84</v>
      </c>
      <c r="G2694" s="13" t="s">
        <v>22926</v>
      </c>
      <c r="H2694" t="s">
        <v>22915</v>
      </c>
      <c r="I2694" t="s">
        <v>22996</v>
      </c>
      <c r="K2694" t="s">
        <v>22934</v>
      </c>
      <c r="L2694" t="s">
        <v>22934</v>
      </c>
      <c r="M2694" t="s">
        <v>7250</v>
      </c>
      <c r="T2694" t="s">
        <v>6546</v>
      </c>
      <c r="U2694" t="s">
        <v>6546</v>
      </c>
      <c r="V2694">
        <v>80.67</v>
      </c>
      <c r="W2694">
        <v>119.2</v>
      </c>
      <c r="X2694">
        <v>80.67</v>
      </c>
      <c r="AC2694" t="s">
        <v>9852</v>
      </c>
      <c r="AE2694" t="s">
        <v>4731</v>
      </c>
      <c r="AH2694" t="s">
        <v>4731</v>
      </c>
      <c r="AI2694" t="s">
        <v>9852</v>
      </c>
      <c r="AL2694" t="s">
        <v>22923</v>
      </c>
      <c r="AO2694" t="s">
        <v>22997</v>
      </c>
    </row>
    <row r="2695" spans="1:41" hidden="1" x14ac:dyDescent="0.35">
      <c r="A2695" t="s">
        <v>22998</v>
      </c>
      <c r="B2695" t="s">
        <v>7246</v>
      </c>
      <c r="C2695" t="s">
        <v>84</v>
      </c>
      <c r="D2695" t="s">
        <v>84</v>
      </c>
      <c r="E2695" t="s">
        <v>84</v>
      </c>
      <c r="G2695" s="13" t="s">
        <v>22926</v>
      </c>
      <c r="H2695" t="s">
        <v>22915</v>
      </c>
      <c r="I2695" t="s">
        <v>22999</v>
      </c>
      <c r="K2695" t="s">
        <v>22934</v>
      </c>
      <c r="L2695" t="s">
        <v>22934</v>
      </c>
      <c r="M2695" t="s">
        <v>7250</v>
      </c>
      <c r="R2695">
        <v>0.4</v>
      </c>
      <c r="S2695" t="s">
        <v>8257</v>
      </c>
      <c r="T2695">
        <v>0.4</v>
      </c>
      <c r="U2695">
        <v>186.15</v>
      </c>
      <c r="V2695">
        <v>77.900000000000006</v>
      </c>
      <c r="W2695">
        <v>86.95</v>
      </c>
      <c r="X2695">
        <v>77.900000000000006</v>
      </c>
      <c r="AC2695" t="s">
        <v>9852</v>
      </c>
      <c r="AE2695" t="s">
        <v>4731</v>
      </c>
      <c r="AH2695" t="s">
        <v>4731</v>
      </c>
      <c r="AI2695" t="s">
        <v>9852</v>
      </c>
      <c r="AL2695" t="s">
        <v>22923</v>
      </c>
      <c r="AO2695" t="s">
        <v>23000</v>
      </c>
    </row>
    <row r="2696" spans="1:41" hidden="1" x14ac:dyDescent="0.35">
      <c r="A2696" t="s">
        <v>23001</v>
      </c>
      <c r="B2696" t="s">
        <v>7246</v>
      </c>
      <c r="C2696" t="s">
        <v>84</v>
      </c>
      <c r="D2696" t="s">
        <v>84</v>
      </c>
      <c r="E2696" t="s">
        <v>84</v>
      </c>
      <c r="G2696" s="13" t="s">
        <v>23002</v>
      </c>
      <c r="H2696" t="s">
        <v>22915</v>
      </c>
      <c r="I2696" t="s">
        <v>23003</v>
      </c>
      <c r="K2696" t="s">
        <v>22974</v>
      </c>
      <c r="L2696" t="s">
        <v>22975</v>
      </c>
      <c r="M2696" t="s">
        <v>7292</v>
      </c>
      <c r="T2696" t="s">
        <v>6546</v>
      </c>
      <c r="U2696" t="s">
        <v>6546</v>
      </c>
      <c r="V2696" t="s">
        <v>6546</v>
      </c>
      <c r="W2696">
        <v>33.54</v>
      </c>
      <c r="X2696">
        <v>33.54</v>
      </c>
      <c r="AB2696" t="s">
        <v>23004</v>
      </c>
      <c r="AC2696" t="s">
        <v>9852</v>
      </c>
      <c r="AD2696" t="s">
        <v>23005</v>
      </c>
      <c r="AE2696" t="s">
        <v>4731</v>
      </c>
      <c r="AG2696" t="s">
        <v>23006</v>
      </c>
      <c r="AH2696" t="s">
        <v>3030</v>
      </c>
      <c r="AI2696" t="s">
        <v>9852</v>
      </c>
      <c r="AL2696" t="s">
        <v>22923</v>
      </c>
      <c r="AO2696" t="s">
        <v>23007</v>
      </c>
    </row>
    <row r="2697" spans="1:41" hidden="1" x14ac:dyDescent="0.35">
      <c r="A2697" t="s">
        <v>23008</v>
      </c>
      <c r="B2697" t="s">
        <v>7246</v>
      </c>
      <c r="C2697" t="s">
        <v>84</v>
      </c>
      <c r="D2697" t="s">
        <v>84</v>
      </c>
      <c r="E2697" t="s">
        <v>84</v>
      </c>
      <c r="G2697" s="13" t="s">
        <v>22926</v>
      </c>
      <c r="H2697" t="s">
        <v>22915</v>
      </c>
      <c r="I2697" t="s">
        <v>23009</v>
      </c>
      <c r="K2697" t="s">
        <v>22934</v>
      </c>
      <c r="L2697" t="s">
        <v>22934</v>
      </c>
      <c r="M2697" t="s">
        <v>7250</v>
      </c>
      <c r="R2697">
        <v>0.25</v>
      </c>
      <c r="S2697" t="s">
        <v>8257</v>
      </c>
      <c r="T2697">
        <v>0.25</v>
      </c>
      <c r="U2697">
        <v>116.35</v>
      </c>
      <c r="V2697">
        <v>64</v>
      </c>
      <c r="W2697">
        <v>73.260000000000005</v>
      </c>
      <c r="X2697">
        <v>64</v>
      </c>
      <c r="AC2697" t="s">
        <v>9852</v>
      </c>
      <c r="AE2697" t="s">
        <v>4731</v>
      </c>
      <c r="AH2697" t="s">
        <v>4731</v>
      </c>
      <c r="AI2697" t="s">
        <v>9852</v>
      </c>
      <c r="AL2697" t="s">
        <v>22923</v>
      </c>
      <c r="AO2697" t="s">
        <v>23010</v>
      </c>
    </row>
    <row r="2698" spans="1:41" hidden="1" x14ac:dyDescent="0.35">
      <c r="A2698" t="s">
        <v>23011</v>
      </c>
      <c r="B2698" t="s">
        <v>7246</v>
      </c>
      <c r="C2698" t="s">
        <v>84</v>
      </c>
      <c r="D2698" t="s">
        <v>84</v>
      </c>
      <c r="E2698" t="s">
        <v>84</v>
      </c>
      <c r="G2698" s="13" t="s">
        <v>22926</v>
      </c>
      <c r="H2698" t="s">
        <v>22915</v>
      </c>
      <c r="I2698" t="s">
        <v>23012</v>
      </c>
      <c r="K2698" t="s">
        <v>22934</v>
      </c>
      <c r="L2698" t="s">
        <v>22934</v>
      </c>
      <c r="M2698" t="s">
        <v>7250</v>
      </c>
      <c r="R2698">
        <v>1.8</v>
      </c>
      <c r="S2698" t="s">
        <v>8257</v>
      </c>
      <c r="T2698">
        <v>1.8</v>
      </c>
      <c r="U2698">
        <v>837.69</v>
      </c>
      <c r="V2698">
        <v>75.39</v>
      </c>
      <c r="W2698">
        <v>43.4</v>
      </c>
      <c r="X2698">
        <v>75.39</v>
      </c>
      <c r="AC2698" t="s">
        <v>9852</v>
      </c>
      <c r="AE2698" t="s">
        <v>4731</v>
      </c>
      <c r="AH2698" t="s">
        <v>4731</v>
      </c>
      <c r="AI2698" t="s">
        <v>9852</v>
      </c>
      <c r="AL2698" t="s">
        <v>22923</v>
      </c>
      <c r="AO2698" t="s">
        <v>23013</v>
      </c>
    </row>
    <row r="2699" spans="1:41" hidden="1" x14ac:dyDescent="0.35">
      <c r="A2699" t="s">
        <v>23014</v>
      </c>
      <c r="B2699" t="s">
        <v>7246</v>
      </c>
      <c r="C2699" t="s">
        <v>84</v>
      </c>
      <c r="D2699" t="s">
        <v>84</v>
      </c>
      <c r="E2699" t="s">
        <v>84</v>
      </c>
      <c r="G2699" s="13" t="s">
        <v>22926</v>
      </c>
      <c r="H2699" t="s">
        <v>22915</v>
      </c>
      <c r="I2699" t="s">
        <v>23015</v>
      </c>
      <c r="K2699" t="s">
        <v>6543</v>
      </c>
      <c r="L2699" t="s">
        <v>6543</v>
      </c>
      <c r="M2699" t="s">
        <v>7292</v>
      </c>
      <c r="T2699" t="s">
        <v>6546</v>
      </c>
      <c r="U2699" t="s">
        <v>6546</v>
      </c>
      <c r="V2699" t="s">
        <v>6546</v>
      </c>
      <c r="W2699">
        <v>57.14</v>
      </c>
      <c r="X2699">
        <v>57.14</v>
      </c>
      <c r="AC2699" t="s">
        <v>9852</v>
      </c>
      <c r="AE2699" t="s">
        <v>4731</v>
      </c>
      <c r="AH2699" t="s">
        <v>4731</v>
      </c>
      <c r="AI2699" t="s">
        <v>9852</v>
      </c>
      <c r="AL2699" t="s">
        <v>22923</v>
      </c>
      <c r="AO2699" t="s">
        <v>23016</v>
      </c>
    </row>
    <row r="2700" spans="1:41" hidden="1" x14ac:dyDescent="0.35">
      <c r="A2700" t="s">
        <v>23017</v>
      </c>
      <c r="B2700" t="s">
        <v>7246</v>
      </c>
      <c r="C2700" t="s">
        <v>84</v>
      </c>
      <c r="D2700" t="s">
        <v>84</v>
      </c>
      <c r="E2700" t="s">
        <v>84</v>
      </c>
      <c r="G2700" s="13" t="s">
        <v>23018</v>
      </c>
      <c r="H2700" t="s">
        <v>22813</v>
      </c>
      <c r="I2700" t="s">
        <v>23019</v>
      </c>
      <c r="K2700" t="s">
        <v>23020</v>
      </c>
      <c r="L2700" t="s">
        <v>23021</v>
      </c>
      <c r="M2700" t="s">
        <v>7250</v>
      </c>
      <c r="N2700">
        <v>2010</v>
      </c>
      <c r="R2700">
        <v>8.4</v>
      </c>
      <c r="S2700" t="s">
        <v>8257</v>
      </c>
      <c r="T2700">
        <v>8.4</v>
      </c>
      <c r="U2700">
        <v>3909.22</v>
      </c>
      <c r="V2700">
        <v>146</v>
      </c>
      <c r="W2700">
        <v>123.56</v>
      </c>
      <c r="X2700">
        <v>146</v>
      </c>
      <c r="Y2700">
        <v>813</v>
      </c>
      <c r="Z2700" t="s">
        <v>8842</v>
      </c>
      <c r="AA2700" t="s">
        <v>22813</v>
      </c>
      <c r="AB2700" t="s">
        <v>23022</v>
      </c>
      <c r="AC2700" t="s">
        <v>9852</v>
      </c>
      <c r="AD2700" t="s">
        <v>4605</v>
      </c>
      <c r="AE2700" t="s">
        <v>3041</v>
      </c>
      <c r="AF2700" t="s">
        <v>23023</v>
      </c>
      <c r="AG2700" t="s">
        <v>4582</v>
      </c>
      <c r="AH2700" t="s">
        <v>3041</v>
      </c>
      <c r="AI2700" t="s">
        <v>9852</v>
      </c>
      <c r="AL2700" t="s">
        <v>23024</v>
      </c>
      <c r="AO2700" t="s">
        <v>23025</v>
      </c>
    </row>
    <row r="2701" spans="1:41" hidden="1" x14ac:dyDescent="0.35">
      <c r="A2701" t="s">
        <v>23026</v>
      </c>
      <c r="B2701" t="s">
        <v>7246</v>
      </c>
      <c r="C2701" t="s">
        <v>84</v>
      </c>
      <c r="D2701" t="s">
        <v>84</v>
      </c>
      <c r="E2701" t="s">
        <v>84</v>
      </c>
      <c r="G2701" s="13" t="s">
        <v>23018</v>
      </c>
      <c r="H2701" t="s">
        <v>22813</v>
      </c>
      <c r="I2701" t="s">
        <v>23027</v>
      </c>
      <c r="K2701" t="s">
        <v>22428</v>
      </c>
      <c r="L2701" t="s">
        <v>22428</v>
      </c>
      <c r="M2701" t="s">
        <v>7250</v>
      </c>
      <c r="N2701">
        <v>2010</v>
      </c>
      <c r="R2701">
        <v>3</v>
      </c>
      <c r="S2701" t="s">
        <v>8257</v>
      </c>
      <c r="T2701">
        <v>3</v>
      </c>
      <c r="U2701">
        <v>1396.15</v>
      </c>
      <c r="V2701">
        <v>50.19</v>
      </c>
      <c r="W2701" t="s">
        <v>6546</v>
      </c>
      <c r="X2701">
        <v>50.19</v>
      </c>
      <c r="AC2701" t="s">
        <v>9852</v>
      </c>
      <c r="AD2701" t="s">
        <v>23028</v>
      </c>
      <c r="AE2701" t="s">
        <v>3033</v>
      </c>
      <c r="AG2701" t="s">
        <v>3045</v>
      </c>
      <c r="AH2701" t="s">
        <v>3044</v>
      </c>
      <c r="AI2701" t="s">
        <v>9852</v>
      </c>
      <c r="AL2701" t="s">
        <v>23024</v>
      </c>
      <c r="AO2701" t="s">
        <v>6546</v>
      </c>
    </row>
    <row r="2702" spans="1:41" hidden="1" x14ac:dyDescent="0.35">
      <c r="A2702" t="s">
        <v>23029</v>
      </c>
      <c r="B2702" t="s">
        <v>7246</v>
      </c>
      <c r="C2702" t="s">
        <v>84</v>
      </c>
      <c r="D2702" t="s">
        <v>84</v>
      </c>
      <c r="E2702" t="s">
        <v>84</v>
      </c>
      <c r="G2702" s="13" t="s">
        <v>23018</v>
      </c>
      <c r="H2702" t="s">
        <v>22813</v>
      </c>
      <c r="I2702" t="s">
        <v>23030</v>
      </c>
      <c r="K2702" t="s">
        <v>23031</v>
      </c>
      <c r="L2702" t="s">
        <v>23032</v>
      </c>
      <c r="M2702" t="s">
        <v>7250</v>
      </c>
      <c r="N2702">
        <v>2015</v>
      </c>
      <c r="S2702" t="s">
        <v>8257</v>
      </c>
      <c r="T2702">
        <v>0</v>
      </c>
      <c r="U2702">
        <v>0</v>
      </c>
      <c r="V2702">
        <v>55</v>
      </c>
      <c r="W2702" t="s">
        <v>6546</v>
      </c>
      <c r="X2702">
        <v>55</v>
      </c>
      <c r="AB2702" t="s">
        <v>23033</v>
      </c>
      <c r="AC2702" t="s">
        <v>9852</v>
      </c>
      <c r="AE2702" t="s">
        <v>3041</v>
      </c>
      <c r="AH2702" t="s">
        <v>3041</v>
      </c>
      <c r="AI2702" t="s">
        <v>9852</v>
      </c>
      <c r="AL2702" t="s">
        <v>23024</v>
      </c>
      <c r="AO2702" t="s">
        <v>6546</v>
      </c>
    </row>
    <row r="2703" spans="1:41" hidden="1" x14ac:dyDescent="0.35">
      <c r="A2703" t="s">
        <v>23034</v>
      </c>
      <c r="B2703" t="s">
        <v>7246</v>
      </c>
      <c r="C2703" t="s">
        <v>84</v>
      </c>
      <c r="D2703" t="s">
        <v>84</v>
      </c>
      <c r="E2703" t="s">
        <v>84</v>
      </c>
      <c r="G2703" s="13" t="s">
        <v>23018</v>
      </c>
      <c r="H2703" t="s">
        <v>22813</v>
      </c>
      <c r="I2703" t="s">
        <v>23035</v>
      </c>
      <c r="K2703" t="s">
        <v>23031</v>
      </c>
      <c r="L2703" t="s">
        <v>23032</v>
      </c>
      <c r="M2703" t="s">
        <v>7415</v>
      </c>
      <c r="R2703">
        <v>7</v>
      </c>
      <c r="S2703" t="s">
        <v>8257</v>
      </c>
      <c r="T2703">
        <v>7</v>
      </c>
      <c r="U2703">
        <v>3257.68</v>
      </c>
      <c r="V2703">
        <v>107</v>
      </c>
      <c r="W2703" t="s">
        <v>6546</v>
      </c>
      <c r="X2703">
        <v>107</v>
      </c>
      <c r="Y2703">
        <v>813</v>
      </c>
      <c r="Z2703" t="s">
        <v>8842</v>
      </c>
      <c r="AB2703" t="s">
        <v>23036</v>
      </c>
      <c r="AC2703" t="s">
        <v>9852</v>
      </c>
      <c r="AE2703" t="s">
        <v>3041</v>
      </c>
      <c r="AH2703" t="s">
        <v>3041</v>
      </c>
      <c r="AI2703" t="s">
        <v>9852</v>
      </c>
      <c r="AL2703" t="s">
        <v>23024</v>
      </c>
      <c r="AO2703" t="s">
        <v>6546</v>
      </c>
    </row>
    <row r="2704" spans="1:41" hidden="1" x14ac:dyDescent="0.35">
      <c r="A2704" t="s">
        <v>23037</v>
      </c>
      <c r="B2704" t="s">
        <v>7246</v>
      </c>
      <c r="C2704" t="s">
        <v>84</v>
      </c>
      <c r="D2704" t="s">
        <v>84</v>
      </c>
      <c r="E2704" t="s">
        <v>84</v>
      </c>
      <c r="G2704" s="13" t="s">
        <v>23018</v>
      </c>
      <c r="H2704" t="s">
        <v>22813</v>
      </c>
      <c r="I2704" t="s">
        <v>23038</v>
      </c>
      <c r="K2704" t="s">
        <v>23031</v>
      </c>
      <c r="L2704" t="s">
        <v>23032</v>
      </c>
      <c r="M2704" t="s">
        <v>7250</v>
      </c>
      <c r="N2704">
        <v>2015</v>
      </c>
      <c r="R2704">
        <v>8.4</v>
      </c>
      <c r="S2704" t="s">
        <v>8257</v>
      </c>
      <c r="T2704">
        <v>8.4</v>
      </c>
      <c r="U2704">
        <v>3909.22</v>
      </c>
      <c r="V2704">
        <v>37</v>
      </c>
      <c r="W2704" t="s">
        <v>6546</v>
      </c>
      <c r="X2704">
        <v>37</v>
      </c>
      <c r="Y2704">
        <v>600</v>
      </c>
      <c r="Z2704" t="s">
        <v>8842</v>
      </c>
      <c r="AB2704" t="s">
        <v>23039</v>
      </c>
      <c r="AC2704" t="s">
        <v>9852</v>
      </c>
      <c r="AE2704" t="s">
        <v>3041</v>
      </c>
      <c r="AH2704" t="s">
        <v>3041</v>
      </c>
      <c r="AI2704" t="s">
        <v>9852</v>
      </c>
      <c r="AL2704" t="s">
        <v>23024</v>
      </c>
      <c r="AO2704" t="s">
        <v>6546</v>
      </c>
    </row>
    <row r="2705" spans="1:41" hidden="1" x14ac:dyDescent="0.35">
      <c r="A2705" t="s">
        <v>23040</v>
      </c>
      <c r="B2705" t="s">
        <v>7246</v>
      </c>
      <c r="C2705" t="s">
        <v>84</v>
      </c>
      <c r="D2705" t="s">
        <v>84</v>
      </c>
      <c r="E2705" t="s">
        <v>84</v>
      </c>
      <c r="G2705" s="13" t="s">
        <v>23018</v>
      </c>
      <c r="H2705" t="s">
        <v>22813</v>
      </c>
      <c r="I2705" t="s">
        <v>23041</v>
      </c>
      <c r="K2705" t="s">
        <v>22428</v>
      </c>
      <c r="L2705" t="s">
        <v>22428</v>
      </c>
      <c r="M2705" t="s">
        <v>7250</v>
      </c>
      <c r="N2705">
        <v>2009</v>
      </c>
      <c r="R2705">
        <v>3.5</v>
      </c>
      <c r="S2705" t="s">
        <v>8257</v>
      </c>
      <c r="T2705">
        <v>3.5</v>
      </c>
      <c r="U2705">
        <v>1628.84</v>
      </c>
      <c r="V2705">
        <v>150.85</v>
      </c>
      <c r="W2705" t="s">
        <v>6546</v>
      </c>
      <c r="X2705">
        <v>150.85</v>
      </c>
      <c r="AC2705" t="s">
        <v>9852</v>
      </c>
      <c r="AD2705" t="s">
        <v>23042</v>
      </c>
      <c r="AE2705" t="s">
        <v>4178</v>
      </c>
      <c r="AG2705" t="s">
        <v>4177</v>
      </c>
      <c r="AH2705" t="s">
        <v>4178</v>
      </c>
      <c r="AI2705" t="s">
        <v>9852</v>
      </c>
      <c r="AL2705" t="s">
        <v>23024</v>
      </c>
      <c r="AO2705" t="s">
        <v>6546</v>
      </c>
    </row>
    <row r="2706" spans="1:41" hidden="1" x14ac:dyDescent="0.35">
      <c r="A2706" t="s">
        <v>23043</v>
      </c>
      <c r="B2706" t="s">
        <v>7246</v>
      </c>
      <c r="C2706" t="s">
        <v>84</v>
      </c>
      <c r="D2706" t="s">
        <v>84</v>
      </c>
      <c r="E2706" t="s">
        <v>84</v>
      </c>
      <c r="G2706" s="13" t="s">
        <v>23018</v>
      </c>
      <c r="H2706" t="s">
        <v>22813</v>
      </c>
      <c r="I2706" t="s">
        <v>23044</v>
      </c>
      <c r="K2706" t="s">
        <v>22428</v>
      </c>
      <c r="L2706" t="s">
        <v>22428</v>
      </c>
      <c r="M2706" t="s">
        <v>7250</v>
      </c>
      <c r="N2706">
        <v>2009</v>
      </c>
      <c r="R2706">
        <v>3</v>
      </c>
      <c r="S2706" t="s">
        <v>8257</v>
      </c>
      <c r="T2706">
        <v>3</v>
      </c>
      <c r="U2706">
        <v>1396.15</v>
      </c>
      <c r="V2706">
        <v>74.56</v>
      </c>
      <c r="W2706">
        <v>49.44</v>
      </c>
      <c r="X2706">
        <v>74.56</v>
      </c>
      <c r="AB2706" t="s">
        <v>23045</v>
      </c>
      <c r="AC2706" t="s">
        <v>9852</v>
      </c>
      <c r="AD2706" t="s">
        <v>4783</v>
      </c>
      <c r="AE2706" t="s">
        <v>4778</v>
      </c>
      <c r="AF2706" t="s">
        <v>23046</v>
      </c>
      <c r="AG2706" t="s">
        <v>4783</v>
      </c>
      <c r="AH2706" t="s">
        <v>4778</v>
      </c>
      <c r="AI2706" t="s">
        <v>9852</v>
      </c>
      <c r="AL2706" t="s">
        <v>23024</v>
      </c>
      <c r="AO2706" t="s">
        <v>23047</v>
      </c>
    </row>
    <row r="2707" spans="1:41" hidden="1" x14ac:dyDescent="0.35">
      <c r="A2707" t="s">
        <v>23048</v>
      </c>
      <c r="B2707" t="s">
        <v>7246</v>
      </c>
      <c r="C2707" t="s">
        <v>84</v>
      </c>
      <c r="D2707" t="s">
        <v>84</v>
      </c>
      <c r="E2707" t="s">
        <v>84</v>
      </c>
      <c r="G2707" s="13" t="s">
        <v>23018</v>
      </c>
      <c r="H2707" t="s">
        <v>22813</v>
      </c>
      <c r="I2707" t="s">
        <v>23049</v>
      </c>
      <c r="K2707" t="s">
        <v>22428</v>
      </c>
      <c r="L2707" t="s">
        <v>22428</v>
      </c>
      <c r="M2707" t="s">
        <v>7250</v>
      </c>
      <c r="N2707">
        <v>2010</v>
      </c>
      <c r="R2707">
        <v>4.8</v>
      </c>
      <c r="S2707" t="s">
        <v>8257</v>
      </c>
      <c r="T2707">
        <v>4.8</v>
      </c>
      <c r="U2707">
        <v>2233.84</v>
      </c>
      <c r="V2707">
        <v>220.38</v>
      </c>
      <c r="W2707" t="s">
        <v>6546</v>
      </c>
      <c r="X2707">
        <v>220.38</v>
      </c>
      <c r="AB2707" t="s">
        <v>23050</v>
      </c>
      <c r="AC2707" t="s">
        <v>9852</v>
      </c>
      <c r="AD2707" t="s">
        <v>23051</v>
      </c>
      <c r="AE2707" t="s">
        <v>3041</v>
      </c>
      <c r="AG2707" t="s">
        <v>3042</v>
      </c>
      <c r="AH2707" t="s">
        <v>3041</v>
      </c>
      <c r="AI2707" t="s">
        <v>9852</v>
      </c>
      <c r="AL2707" t="s">
        <v>23024</v>
      </c>
      <c r="AO2707" t="s">
        <v>6546</v>
      </c>
    </row>
    <row r="2708" spans="1:41" hidden="1" x14ac:dyDescent="0.35">
      <c r="A2708" t="s">
        <v>23052</v>
      </c>
      <c r="B2708" t="s">
        <v>7246</v>
      </c>
      <c r="C2708" t="s">
        <v>84</v>
      </c>
      <c r="D2708" t="s">
        <v>84</v>
      </c>
      <c r="E2708" t="s">
        <v>84</v>
      </c>
      <c r="G2708" s="13" t="s">
        <v>23018</v>
      </c>
      <c r="H2708" t="s">
        <v>22813</v>
      </c>
      <c r="I2708" t="s">
        <v>23053</v>
      </c>
      <c r="K2708" t="s">
        <v>22428</v>
      </c>
      <c r="L2708" t="s">
        <v>22428</v>
      </c>
      <c r="M2708" t="s">
        <v>7250</v>
      </c>
      <c r="N2708">
        <v>2012</v>
      </c>
      <c r="R2708">
        <v>1.1499999999999999</v>
      </c>
      <c r="S2708" t="s">
        <v>8257</v>
      </c>
      <c r="T2708">
        <v>1.1499999999999999</v>
      </c>
      <c r="U2708">
        <v>535.19000000000005</v>
      </c>
      <c r="V2708">
        <v>78.709999999999994</v>
      </c>
      <c r="W2708" t="s">
        <v>6546</v>
      </c>
      <c r="X2708">
        <v>78.709999999999994</v>
      </c>
      <c r="AC2708" t="s">
        <v>9852</v>
      </c>
      <c r="AD2708" t="s">
        <v>3036</v>
      </c>
      <c r="AE2708" t="s">
        <v>3033</v>
      </c>
      <c r="AG2708" t="s">
        <v>3036</v>
      </c>
      <c r="AH2708" t="s">
        <v>3033</v>
      </c>
      <c r="AI2708" t="s">
        <v>9852</v>
      </c>
      <c r="AL2708" t="s">
        <v>23024</v>
      </c>
      <c r="AO2708" t="s">
        <v>6546</v>
      </c>
    </row>
    <row r="2709" spans="1:41" hidden="1" x14ac:dyDescent="0.35">
      <c r="A2709" t="s">
        <v>23054</v>
      </c>
      <c r="B2709" t="s">
        <v>7246</v>
      </c>
      <c r="C2709" t="s">
        <v>84</v>
      </c>
      <c r="D2709" t="s">
        <v>84</v>
      </c>
      <c r="E2709" t="s">
        <v>84</v>
      </c>
      <c r="G2709" s="13" t="s">
        <v>23018</v>
      </c>
      <c r="H2709" t="s">
        <v>22813</v>
      </c>
      <c r="I2709" t="s">
        <v>22327</v>
      </c>
      <c r="J2709" t="s">
        <v>23055</v>
      </c>
      <c r="K2709" t="s">
        <v>23020</v>
      </c>
      <c r="L2709" t="s">
        <v>23021</v>
      </c>
      <c r="M2709" t="s">
        <v>7250</v>
      </c>
      <c r="N2709">
        <v>2010</v>
      </c>
      <c r="R2709">
        <v>12</v>
      </c>
      <c r="S2709" t="s">
        <v>8257</v>
      </c>
      <c r="T2709">
        <v>12</v>
      </c>
      <c r="U2709">
        <v>5584.6</v>
      </c>
      <c r="V2709">
        <v>1702</v>
      </c>
      <c r="W2709">
        <v>2852.83</v>
      </c>
      <c r="X2709">
        <v>1702</v>
      </c>
      <c r="AA2709" t="s">
        <v>23056</v>
      </c>
      <c r="AB2709" t="s">
        <v>4783</v>
      </c>
      <c r="AC2709" t="s">
        <v>9852</v>
      </c>
      <c r="AE2709" t="s">
        <v>4778</v>
      </c>
      <c r="AF2709" t="s">
        <v>23057</v>
      </c>
      <c r="AH2709" t="s">
        <v>3063</v>
      </c>
      <c r="AI2709" t="s">
        <v>9852</v>
      </c>
      <c r="AL2709" t="s">
        <v>23024</v>
      </c>
      <c r="AO2709" t="s">
        <v>23058</v>
      </c>
    </row>
    <row r="2710" spans="1:41" hidden="1" x14ac:dyDescent="0.35">
      <c r="A2710" t="s">
        <v>23059</v>
      </c>
      <c r="B2710" t="s">
        <v>7246</v>
      </c>
      <c r="C2710" t="s">
        <v>84</v>
      </c>
      <c r="D2710" t="s">
        <v>84</v>
      </c>
      <c r="E2710" t="s">
        <v>84</v>
      </c>
      <c r="G2710" s="13" t="s">
        <v>23060</v>
      </c>
      <c r="H2710" t="s">
        <v>22813</v>
      </c>
      <c r="I2710" t="s">
        <v>23061</v>
      </c>
      <c r="K2710" t="s">
        <v>23062</v>
      </c>
      <c r="L2710" t="s">
        <v>23063</v>
      </c>
      <c r="M2710" t="s">
        <v>7250</v>
      </c>
      <c r="N2710">
        <v>2021</v>
      </c>
      <c r="R2710">
        <v>0.14000000000000001</v>
      </c>
      <c r="S2710" t="s">
        <v>8257</v>
      </c>
      <c r="T2710">
        <v>0.14000000000000001</v>
      </c>
      <c r="U2710">
        <v>65.150000000000006</v>
      </c>
      <c r="V2710">
        <v>113</v>
      </c>
      <c r="W2710" t="s">
        <v>6546</v>
      </c>
      <c r="X2710">
        <v>113</v>
      </c>
      <c r="Y2710">
        <v>323.89999999999998</v>
      </c>
      <c r="Z2710" t="s">
        <v>8842</v>
      </c>
      <c r="AA2710" t="s">
        <v>22813</v>
      </c>
      <c r="AB2710" t="s">
        <v>23064</v>
      </c>
      <c r="AC2710" t="s">
        <v>9852</v>
      </c>
      <c r="AD2710" t="s">
        <v>3009</v>
      </c>
      <c r="AE2710" t="s">
        <v>3008</v>
      </c>
      <c r="AF2710" t="s">
        <v>23064</v>
      </c>
      <c r="AG2710" t="s">
        <v>3009</v>
      </c>
      <c r="AH2710" t="s">
        <v>3008</v>
      </c>
      <c r="AI2710" t="s">
        <v>9852</v>
      </c>
      <c r="AL2710" t="s">
        <v>23024</v>
      </c>
      <c r="AO2710" t="s">
        <v>6546</v>
      </c>
    </row>
    <row r="2711" spans="1:41" hidden="1" x14ac:dyDescent="0.35">
      <c r="A2711" t="s">
        <v>23065</v>
      </c>
      <c r="B2711" t="s">
        <v>7246</v>
      </c>
      <c r="C2711" t="s">
        <v>84</v>
      </c>
      <c r="D2711" t="s">
        <v>84</v>
      </c>
      <c r="E2711" t="s">
        <v>84</v>
      </c>
      <c r="G2711" s="13" t="s">
        <v>23066</v>
      </c>
      <c r="H2711" t="s">
        <v>23067</v>
      </c>
      <c r="I2711" t="s">
        <v>23068</v>
      </c>
      <c r="K2711" t="s">
        <v>23020</v>
      </c>
      <c r="L2711" t="s">
        <v>23021</v>
      </c>
      <c r="M2711" t="s">
        <v>7292</v>
      </c>
      <c r="T2711" t="s">
        <v>6546</v>
      </c>
      <c r="U2711" t="s">
        <v>6546</v>
      </c>
      <c r="V2711">
        <v>101</v>
      </c>
      <c r="W2711">
        <v>83</v>
      </c>
      <c r="X2711">
        <v>101</v>
      </c>
      <c r="AC2711" t="s">
        <v>9852</v>
      </c>
      <c r="AI2711" t="s">
        <v>9852</v>
      </c>
      <c r="AL2711" t="s">
        <v>23069</v>
      </c>
      <c r="AO2711" t="s">
        <v>23070</v>
      </c>
    </row>
    <row r="2712" spans="1:41" hidden="1" x14ac:dyDescent="0.35">
      <c r="A2712" t="s">
        <v>23071</v>
      </c>
      <c r="B2712" t="s">
        <v>7246</v>
      </c>
      <c r="C2712" t="s">
        <v>84</v>
      </c>
      <c r="D2712" t="s">
        <v>84</v>
      </c>
      <c r="E2712" t="s">
        <v>84</v>
      </c>
      <c r="G2712" s="13" t="s">
        <v>23066</v>
      </c>
      <c r="H2712" t="s">
        <v>23067</v>
      </c>
      <c r="I2712" t="s">
        <v>23072</v>
      </c>
      <c r="K2712" t="s">
        <v>23020</v>
      </c>
      <c r="L2712" t="s">
        <v>23021</v>
      </c>
      <c r="M2712" t="s">
        <v>7292</v>
      </c>
      <c r="T2712" t="s">
        <v>6546</v>
      </c>
      <c r="U2712" t="s">
        <v>6546</v>
      </c>
      <c r="V2712">
        <v>203</v>
      </c>
      <c r="W2712">
        <v>171.29</v>
      </c>
      <c r="X2712">
        <v>203</v>
      </c>
      <c r="Y2712">
        <v>1016</v>
      </c>
      <c r="Z2712" t="s">
        <v>8842</v>
      </c>
      <c r="AB2712" t="s">
        <v>23073</v>
      </c>
      <c r="AC2712" t="s">
        <v>9852</v>
      </c>
      <c r="AD2712" t="s">
        <v>22768</v>
      </c>
      <c r="AE2712" t="s">
        <v>3008</v>
      </c>
      <c r="AG2712" t="s">
        <v>23074</v>
      </c>
      <c r="AH2712" t="s">
        <v>3008</v>
      </c>
      <c r="AI2712" t="s">
        <v>9852</v>
      </c>
      <c r="AL2712" t="s">
        <v>23069</v>
      </c>
      <c r="AO2712" t="s">
        <v>23075</v>
      </c>
    </row>
    <row r="2713" spans="1:41" hidden="1" x14ac:dyDescent="0.35">
      <c r="A2713" t="s">
        <v>23076</v>
      </c>
      <c r="B2713" t="s">
        <v>7246</v>
      </c>
      <c r="C2713" t="s">
        <v>84</v>
      </c>
      <c r="D2713" t="s">
        <v>84</v>
      </c>
      <c r="E2713" t="s">
        <v>84</v>
      </c>
      <c r="G2713" s="13" t="s">
        <v>23066</v>
      </c>
      <c r="H2713" t="s">
        <v>23067</v>
      </c>
      <c r="I2713" t="s">
        <v>23077</v>
      </c>
      <c r="K2713" t="s">
        <v>23020</v>
      </c>
      <c r="L2713" t="s">
        <v>23021</v>
      </c>
      <c r="M2713" t="s">
        <v>7292</v>
      </c>
      <c r="T2713" t="s">
        <v>6546</v>
      </c>
      <c r="U2713" t="s">
        <v>6546</v>
      </c>
      <c r="V2713">
        <v>165.7</v>
      </c>
      <c r="W2713">
        <v>193.65</v>
      </c>
      <c r="X2713">
        <v>165.7</v>
      </c>
      <c r="AC2713" t="s">
        <v>9852</v>
      </c>
      <c r="AD2713" t="s">
        <v>3009</v>
      </c>
      <c r="AE2713" t="s">
        <v>3008</v>
      </c>
      <c r="AF2713" t="s">
        <v>23078</v>
      </c>
      <c r="AG2713" t="s">
        <v>4615</v>
      </c>
      <c r="AH2713" t="s">
        <v>3044</v>
      </c>
      <c r="AI2713" t="s">
        <v>9852</v>
      </c>
      <c r="AL2713" t="s">
        <v>23069</v>
      </c>
      <c r="AO2713" t="s">
        <v>23079</v>
      </c>
    </row>
    <row r="2714" spans="1:41" hidden="1" x14ac:dyDescent="0.35">
      <c r="A2714" t="s">
        <v>23080</v>
      </c>
      <c r="B2714" t="s">
        <v>7246</v>
      </c>
      <c r="C2714" t="s">
        <v>84</v>
      </c>
      <c r="D2714" t="s">
        <v>84</v>
      </c>
      <c r="E2714" t="s">
        <v>84</v>
      </c>
      <c r="G2714" s="13" t="s">
        <v>23066</v>
      </c>
      <c r="H2714" t="s">
        <v>23067</v>
      </c>
      <c r="I2714" t="s">
        <v>23081</v>
      </c>
      <c r="K2714" t="s">
        <v>23020</v>
      </c>
      <c r="L2714" t="s">
        <v>23021</v>
      </c>
      <c r="M2714" t="s">
        <v>7292</v>
      </c>
      <c r="T2714" t="s">
        <v>6546</v>
      </c>
      <c r="U2714" t="s">
        <v>6546</v>
      </c>
      <c r="V2714">
        <v>248.4</v>
      </c>
      <c r="W2714">
        <v>202.78</v>
      </c>
      <c r="X2714">
        <v>248.4</v>
      </c>
      <c r="AC2714" t="s">
        <v>9852</v>
      </c>
      <c r="AD2714" t="s">
        <v>4158</v>
      </c>
      <c r="AE2714" t="s">
        <v>3008</v>
      </c>
      <c r="AG2714" t="s">
        <v>22768</v>
      </c>
      <c r="AH2714" t="s">
        <v>3008</v>
      </c>
      <c r="AI2714" t="s">
        <v>9852</v>
      </c>
      <c r="AL2714" t="s">
        <v>23069</v>
      </c>
      <c r="AO2714" t="s">
        <v>23082</v>
      </c>
    </row>
    <row r="2715" spans="1:41" hidden="1" x14ac:dyDescent="0.35">
      <c r="A2715" t="s">
        <v>23083</v>
      </c>
      <c r="B2715" t="s">
        <v>7246</v>
      </c>
      <c r="C2715" t="s">
        <v>84</v>
      </c>
      <c r="D2715" t="s">
        <v>84</v>
      </c>
      <c r="E2715" t="s">
        <v>84</v>
      </c>
      <c r="G2715" s="13" t="s">
        <v>23066</v>
      </c>
      <c r="H2715" t="s">
        <v>23067</v>
      </c>
      <c r="I2715" t="s">
        <v>23084</v>
      </c>
      <c r="K2715" t="s">
        <v>23020</v>
      </c>
      <c r="L2715" t="s">
        <v>23021</v>
      </c>
      <c r="M2715" t="s">
        <v>7292</v>
      </c>
      <c r="R2715">
        <v>25</v>
      </c>
      <c r="S2715" t="s">
        <v>8257</v>
      </c>
      <c r="T2715">
        <v>25</v>
      </c>
      <c r="U2715">
        <v>11634.59</v>
      </c>
      <c r="V2715">
        <v>1243</v>
      </c>
      <c r="W2715">
        <v>934.73</v>
      </c>
      <c r="X2715">
        <v>1243</v>
      </c>
      <c r="Y2715" t="s">
        <v>23085</v>
      </c>
      <c r="Z2715" t="s">
        <v>8842</v>
      </c>
      <c r="AA2715" t="s">
        <v>22647</v>
      </c>
      <c r="AB2715" t="s">
        <v>23086</v>
      </c>
      <c r="AC2715" t="s">
        <v>9852</v>
      </c>
      <c r="AD2715" t="s">
        <v>23087</v>
      </c>
      <c r="AE2715" t="s">
        <v>4778</v>
      </c>
      <c r="AG2715" t="s">
        <v>23088</v>
      </c>
      <c r="AH2715" t="s">
        <v>3033</v>
      </c>
      <c r="AI2715" t="s">
        <v>9852</v>
      </c>
      <c r="AL2715" t="s">
        <v>23069</v>
      </c>
      <c r="AO2715" t="s">
        <v>23089</v>
      </c>
    </row>
    <row r="2716" spans="1:41" hidden="1" x14ac:dyDescent="0.35">
      <c r="A2716" t="s">
        <v>23090</v>
      </c>
      <c r="B2716" t="s">
        <v>7246</v>
      </c>
      <c r="C2716" t="s">
        <v>84</v>
      </c>
      <c r="D2716" t="s">
        <v>84</v>
      </c>
      <c r="E2716" t="s">
        <v>84</v>
      </c>
      <c r="G2716" s="13" t="s">
        <v>23066</v>
      </c>
      <c r="H2716" t="s">
        <v>23067</v>
      </c>
      <c r="I2716" t="s">
        <v>23091</v>
      </c>
      <c r="K2716" t="s">
        <v>23020</v>
      </c>
      <c r="L2716" t="s">
        <v>23021</v>
      </c>
      <c r="M2716" t="s">
        <v>7415</v>
      </c>
      <c r="N2716">
        <v>2023</v>
      </c>
      <c r="R2716">
        <v>25</v>
      </c>
      <c r="S2716" t="s">
        <v>8257</v>
      </c>
      <c r="T2716">
        <v>25</v>
      </c>
      <c r="U2716">
        <v>11634.59</v>
      </c>
      <c r="V2716">
        <v>1145</v>
      </c>
      <c r="W2716">
        <v>2680.58</v>
      </c>
      <c r="X2716">
        <v>1145</v>
      </c>
      <c r="Y2716" t="s">
        <v>23092</v>
      </c>
      <c r="Z2716" t="s">
        <v>8842</v>
      </c>
      <c r="AA2716" t="s">
        <v>22647</v>
      </c>
      <c r="AC2716" t="s">
        <v>9852</v>
      </c>
      <c r="AE2716" t="s">
        <v>4778</v>
      </c>
      <c r="AF2716" t="s">
        <v>23093</v>
      </c>
      <c r="AG2716" t="s">
        <v>23057</v>
      </c>
      <c r="AH2716" t="s">
        <v>3063</v>
      </c>
      <c r="AI2716" t="s">
        <v>9852</v>
      </c>
      <c r="AL2716" t="s">
        <v>23069</v>
      </c>
      <c r="AO2716" t="s">
        <v>23094</v>
      </c>
    </row>
    <row r="2717" spans="1:41" hidden="1" x14ac:dyDescent="0.35">
      <c r="A2717" t="s">
        <v>23095</v>
      </c>
      <c r="B2717" t="s">
        <v>7246</v>
      </c>
      <c r="C2717" t="s">
        <v>84</v>
      </c>
      <c r="D2717" t="s">
        <v>84</v>
      </c>
      <c r="E2717" t="s">
        <v>84</v>
      </c>
      <c r="G2717" s="13" t="s">
        <v>23066</v>
      </c>
      <c r="H2717" t="s">
        <v>23067</v>
      </c>
      <c r="I2717" t="s">
        <v>23096</v>
      </c>
      <c r="K2717" t="s">
        <v>23020</v>
      </c>
      <c r="L2717" t="s">
        <v>23021</v>
      </c>
      <c r="M2717" t="s">
        <v>7292</v>
      </c>
      <c r="T2717" t="s">
        <v>6546</v>
      </c>
      <c r="U2717" t="s">
        <v>6546</v>
      </c>
      <c r="V2717">
        <v>132.6</v>
      </c>
      <c r="W2717">
        <v>124.01</v>
      </c>
      <c r="X2717">
        <v>132.6</v>
      </c>
      <c r="Y2717" t="s">
        <v>23085</v>
      </c>
      <c r="Z2717" t="s">
        <v>8842</v>
      </c>
      <c r="AC2717" t="s">
        <v>9852</v>
      </c>
      <c r="AD2717" t="s">
        <v>23097</v>
      </c>
      <c r="AE2717" t="s">
        <v>3072</v>
      </c>
      <c r="AF2717" t="s">
        <v>23098</v>
      </c>
      <c r="AG2717" t="s">
        <v>4206</v>
      </c>
      <c r="AH2717" t="s">
        <v>4189</v>
      </c>
      <c r="AI2717" t="s">
        <v>9852</v>
      </c>
      <c r="AL2717" t="s">
        <v>23069</v>
      </c>
      <c r="AO2717" t="s">
        <v>23099</v>
      </c>
    </row>
    <row r="2718" spans="1:41" hidden="1" x14ac:dyDescent="0.35">
      <c r="A2718" t="s">
        <v>23100</v>
      </c>
      <c r="B2718" t="s">
        <v>7246</v>
      </c>
      <c r="C2718" t="s">
        <v>84</v>
      </c>
      <c r="D2718" t="s">
        <v>84</v>
      </c>
      <c r="E2718" t="s">
        <v>84</v>
      </c>
      <c r="G2718" s="13" t="s">
        <v>23066</v>
      </c>
      <c r="H2718" t="s">
        <v>23067</v>
      </c>
      <c r="I2718" t="s">
        <v>23101</v>
      </c>
      <c r="K2718" t="s">
        <v>23020</v>
      </c>
      <c r="L2718" t="s">
        <v>23021</v>
      </c>
      <c r="M2718" t="s">
        <v>7292</v>
      </c>
      <c r="R2718">
        <v>15</v>
      </c>
      <c r="S2718" t="s">
        <v>8257</v>
      </c>
      <c r="T2718">
        <v>15</v>
      </c>
      <c r="U2718">
        <v>6980.75</v>
      </c>
      <c r="V2718">
        <v>770</v>
      </c>
      <c r="W2718">
        <v>649.33000000000004</v>
      </c>
      <c r="X2718">
        <v>770</v>
      </c>
      <c r="Y2718" t="s">
        <v>23085</v>
      </c>
      <c r="Z2718" t="s">
        <v>8842</v>
      </c>
      <c r="AC2718" t="s">
        <v>9852</v>
      </c>
      <c r="AD2718" t="s">
        <v>23102</v>
      </c>
      <c r="AE2718" t="s">
        <v>3033</v>
      </c>
      <c r="AG2718" t="s">
        <v>4172</v>
      </c>
      <c r="AH2718" t="s">
        <v>3008</v>
      </c>
      <c r="AI2718" t="s">
        <v>9852</v>
      </c>
      <c r="AL2718" t="s">
        <v>23069</v>
      </c>
      <c r="AO2718" t="s">
        <v>23103</v>
      </c>
    </row>
    <row r="2719" spans="1:41" hidden="1" x14ac:dyDescent="0.35">
      <c r="A2719" t="s">
        <v>23104</v>
      </c>
      <c r="B2719" t="s">
        <v>7246</v>
      </c>
      <c r="C2719" t="s">
        <v>84</v>
      </c>
      <c r="D2719" t="s">
        <v>84</v>
      </c>
      <c r="E2719" t="s">
        <v>84</v>
      </c>
      <c r="G2719" s="13" t="s">
        <v>23066</v>
      </c>
      <c r="H2719" t="s">
        <v>23067</v>
      </c>
      <c r="I2719" t="s">
        <v>23105</v>
      </c>
      <c r="K2719" t="s">
        <v>22428</v>
      </c>
      <c r="L2719" t="s">
        <v>22428</v>
      </c>
      <c r="M2719" t="s">
        <v>7415</v>
      </c>
      <c r="R2719">
        <v>0.6</v>
      </c>
      <c r="S2719" t="s">
        <v>8257</v>
      </c>
      <c r="T2719">
        <v>0.6</v>
      </c>
      <c r="U2719">
        <v>279.23</v>
      </c>
      <c r="V2719">
        <v>61.5</v>
      </c>
      <c r="W2719" t="s">
        <v>6546</v>
      </c>
      <c r="X2719">
        <v>61.5</v>
      </c>
      <c r="Y2719">
        <v>323.89999999999998</v>
      </c>
      <c r="Z2719" t="s">
        <v>8842</v>
      </c>
      <c r="AB2719" t="s">
        <v>23106</v>
      </c>
      <c r="AC2719" t="s">
        <v>9852</v>
      </c>
      <c r="AD2719" t="s">
        <v>4151</v>
      </c>
      <c r="AE2719" t="s">
        <v>3008</v>
      </c>
      <c r="AF2719" t="s">
        <v>23107</v>
      </c>
      <c r="AG2719" t="s">
        <v>4151</v>
      </c>
      <c r="AH2719" t="s">
        <v>3008</v>
      </c>
      <c r="AI2719" t="s">
        <v>9852</v>
      </c>
      <c r="AL2719" t="s">
        <v>23108</v>
      </c>
      <c r="AO2719" t="s">
        <v>6546</v>
      </c>
    </row>
    <row r="2720" spans="1:41" hidden="1" x14ac:dyDescent="0.35">
      <c r="A2720" t="s">
        <v>23109</v>
      </c>
      <c r="B2720" t="s">
        <v>7246</v>
      </c>
      <c r="C2720" t="s">
        <v>84</v>
      </c>
      <c r="D2720" t="s">
        <v>84</v>
      </c>
      <c r="E2720" t="s">
        <v>84</v>
      </c>
      <c r="G2720" s="13" t="s">
        <v>23066</v>
      </c>
      <c r="H2720" t="s">
        <v>23067</v>
      </c>
      <c r="I2720" t="s">
        <v>23110</v>
      </c>
      <c r="K2720" t="s">
        <v>22428</v>
      </c>
      <c r="L2720" t="s">
        <v>22428</v>
      </c>
      <c r="M2720" t="s">
        <v>7292</v>
      </c>
      <c r="R2720">
        <v>0.02</v>
      </c>
      <c r="S2720" t="s">
        <v>8257</v>
      </c>
      <c r="T2720">
        <v>0.02</v>
      </c>
      <c r="U2720">
        <v>9.31</v>
      </c>
      <c r="V2720">
        <v>70.599999999999994</v>
      </c>
      <c r="W2720">
        <v>45.94</v>
      </c>
      <c r="X2720">
        <v>70.599999999999994</v>
      </c>
      <c r="Y2720">
        <v>291.10000000000002</v>
      </c>
      <c r="Z2720" t="s">
        <v>8842</v>
      </c>
      <c r="AB2720" t="s">
        <v>23111</v>
      </c>
      <c r="AC2720" t="s">
        <v>9852</v>
      </c>
      <c r="AD2720" t="s">
        <v>23112</v>
      </c>
      <c r="AE2720" t="s">
        <v>3033</v>
      </c>
      <c r="AF2720" t="s">
        <v>23113</v>
      </c>
      <c r="AG2720" t="s">
        <v>23112</v>
      </c>
      <c r="AH2720" t="s">
        <v>3033</v>
      </c>
      <c r="AI2720" t="s">
        <v>9852</v>
      </c>
      <c r="AL2720" t="s">
        <v>23069</v>
      </c>
      <c r="AO2720" t="s">
        <v>23114</v>
      </c>
    </row>
    <row r="2721" spans="1:41" hidden="1" x14ac:dyDescent="0.35">
      <c r="A2721" t="s">
        <v>23115</v>
      </c>
      <c r="B2721" t="s">
        <v>7246</v>
      </c>
      <c r="C2721" t="s">
        <v>84</v>
      </c>
      <c r="D2721" t="s">
        <v>84</v>
      </c>
      <c r="E2721" t="s">
        <v>84</v>
      </c>
      <c r="G2721" s="13" t="s">
        <v>23116</v>
      </c>
      <c r="H2721" t="s">
        <v>23117</v>
      </c>
      <c r="K2721" t="s">
        <v>23118</v>
      </c>
      <c r="L2721" t="s">
        <v>23119</v>
      </c>
      <c r="M2721" t="s">
        <v>7250</v>
      </c>
      <c r="N2721">
        <v>2018</v>
      </c>
      <c r="O2721">
        <v>2020</v>
      </c>
      <c r="R2721">
        <v>12</v>
      </c>
      <c r="S2721" t="s">
        <v>8257</v>
      </c>
      <c r="T2721">
        <v>12</v>
      </c>
      <c r="U2721">
        <v>5584.6</v>
      </c>
      <c r="V2721">
        <v>1756</v>
      </c>
      <c r="W2721">
        <v>1000.93</v>
      </c>
      <c r="X2721">
        <v>1756</v>
      </c>
      <c r="AA2721" t="s">
        <v>22647</v>
      </c>
      <c r="AC2721" t="s">
        <v>9852</v>
      </c>
      <c r="AD2721" t="s">
        <v>4777</v>
      </c>
      <c r="AE2721" t="s">
        <v>4778</v>
      </c>
      <c r="AG2721" t="s">
        <v>4178</v>
      </c>
      <c r="AH2721" t="s">
        <v>4178</v>
      </c>
      <c r="AI2721" t="s">
        <v>9852</v>
      </c>
      <c r="AL2721" t="s">
        <v>23120</v>
      </c>
      <c r="AO2721" t="s">
        <v>23121</v>
      </c>
    </row>
    <row r="2722" spans="1:41" hidden="1" x14ac:dyDescent="0.35">
      <c r="A2722" t="s">
        <v>23122</v>
      </c>
      <c r="B2722" t="s">
        <v>7246</v>
      </c>
      <c r="C2722" t="s">
        <v>84</v>
      </c>
      <c r="D2722" t="s">
        <v>84</v>
      </c>
      <c r="E2722" t="s">
        <v>84</v>
      </c>
      <c r="G2722" s="13" t="s">
        <v>23123</v>
      </c>
      <c r="H2722" t="s">
        <v>23117</v>
      </c>
      <c r="I2722" t="s">
        <v>23124</v>
      </c>
      <c r="K2722" t="s">
        <v>23118</v>
      </c>
      <c r="L2722" t="s">
        <v>23119</v>
      </c>
      <c r="M2722" t="s">
        <v>7250</v>
      </c>
      <c r="N2722">
        <v>2018</v>
      </c>
      <c r="R2722">
        <v>2.5</v>
      </c>
      <c r="S2722" t="s">
        <v>8257</v>
      </c>
      <c r="T2722">
        <v>2.5</v>
      </c>
      <c r="U2722">
        <v>1163.46</v>
      </c>
      <c r="V2722" t="s">
        <v>6546</v>
      </c>
      <c r="W2722">
        <v>241.84</v>
      </c>
      <c r="X2722">
        <v>241.84</v>
      </c>
      <c r="AA2722" t="s">
        <v>23125</v>
      </c>
      <c r="AB2722" t="s">
        <v>23126</v>
      </c>
      <c r="AC2722" t="s">
        <v>9852</v>
      </c>
      <c r="AD2722" t="s">
        <v>23127</v>
      </c>
      <c r="AE2722" t="s">
        <v>4778</v>
      </c>
      <c r="AF2722" t="s">
        <v>23128</v>
      </c>
      <c r="AG2722" t="s">
        <v>4785</v>
      </c>
      <c r="AH2722" t="s">
        <v>4778</v>
      </c>
      <c r="AI2722" t="s">
        <v>9852</v>
      </c>
      <c r="AL2722" t="s">
        <v>23120</v>
      </c>
      <c r="AO2722" t="s">
        <v>23129</v>
      </c>
    </row>
    <row r="2723" spans="1:41" hidden="1" x14ac:dyDescent="0.35">
      <c r="A2723" t="s">
        <v>23130</v>
      </c>
      <c r="B2723" t="s">
        <v>7246</v>
      </c>
      <c r="C2723" t="s">
        <v>84</v>
      </c>
      <c r="D2723" t="s">
        <v>84</v>
      </c>
      <c r="E2723" t="s">
        <v>84</v>
      </c>
      <c r="G2723" s="13" t="s">
        <v>23116</v>
      </c>
      <c r="H2723" t="s">
        <v>23117</v>
      </c>
      <c r="I2723" t="s">
        <v>23131</v>
      </c>
      <c r="K2723" t="s">
        <v>23118</v>
      </c>
      <c r="L2723" t="s">
        <v>23119</v>
      </c>
      <c r="M2723" t="s">
        <v>7415</v>
      </c>
      <c r="R2723">
        <v>0.95</v>
      </c>
      <c r="S2723" t="s">
        <v>8257</v>
      </c>
      <c r="T2723">
        <v>0.95</v>
      </c>
      <c r="U2723">
        <v>442.11</v>
      </c>
      <c r="V2723" t="s">
        <v>6546</v>
      </c>
      <c r="W2723">
        <v>104.47</v>
      </c>
      <c r="X2723">
        <v>104.47</v>
      </c>
      <c r="AA2723" t="s">
        <v>23125</v>
      </c>
      <c r="AB2723" t="s">
        <v>23132</v>
      </c>
      <c r="AC2723" t="s">
        <v>9852</v>
      </c>
      <c r="AD2723" t="s">
        <v>23133</v>
      </c>
      <c r="AE2723" t="s">
        <v>4778</v>
      </c>
      <c r="AF2723" t="s">
        <v>23134</v>
      </c>
      <c r="AG2723" t="s">
        <v>23133</v>
      </c>
      <c r="AH2723" t="s">
        <v>4778</v>
      </c>
      <c r="AI2723" t="s">
        <v>9852</v>
      </c>
      <c r="AL2723" t="s">
        <v>23120</v>
      </c>
      <c r="AO2723" t="s">
        <v>23135</v>
      </c>
    </row>
    <row r="2724" spans="1:41" hidden="1" x14ac:dyDescent="0.35">
      <c r="A2724" t="s">
        <v>23136</v>
      </c>
      <c r="B2724" t="s">
        <v>7246</v>
      </c>
      <c r="C2724" t="s">
        <v>84</v>
      </c>
      <c r="D2724" t="s">
        <v>84</v>
      </c>
      <c r="E2724" t="s">
        <v>84</v>
      </c>
      <c r="G2724" s="13" t="s">
        <v>23116</v>
      </c>
      <c r="H2724" t="s">
        <v>23117</v>
      </c>
      <c r="I2724" t="s">
        <v>23137</v>
      </c>
      <c r="K2724" t="s">
        <v>23118</v>
      </c>
      <c r="L2724" t="s">
        <v>23119</v>
      </c>
      <c r="M2724" t="s">
        <v>7250</v>
      </c>
      <c r="N2724">
        <v>2019</v>
      </c>
      <c r="R2724">
        <v>200</v>
      </c>
      <c r="S2724" t="s">
        <v>23138</v>
      </c>
      <c r="T2724" t="s">
        <v>6546</v>
      </c>
      <c r="U2724" t="s">
        <v>6546</v>
      </c>
      <c r="V2724" t="s">
        <v>6546</v>
      </c>
      <c r="W2724" t="s">
        <v>6546</v>
      </c>
      <c r="X2724" t="s">
        <v>6546</v>
      </c>
      <c r="AC2724" t="s">
        <v>9852</v>
      </c>
      <c r="AE2724" t="s">
        <v>4778</v>
      </c>
      <c r="AH2724" t="s">
        <v>4778</v>
      </c>
      <c r="AI2724" t="s">
        <v>9852</v>
      </c>
      <c r="AL2724" t="s">
        <v>23120</v>
      </c>
      <c r="AO2724" t="s">
        <v>6546</v>
      </c>
    </row>
    <row r="2725" spans="1:41" hidden="1" x14ac:dyDescent="0.35">
      <c r="A2725" t="s">
        <v>23139</v>
      </c>
      <c r="B2725" t="s">
        <v>7246</v>
      </c>
      <c r="C2725" t="s">
        <v>84</v>
      </c>
      <c r="D2725" t="s">
        <v>84</v>
      </c>
      <c r="E2725" t="s">
        <v>84</v>
      </c>
      <c r="G2725" s="13" t="s">
        <v>23116</v>
      </c>
      <c r="H2725" t="s">
        <v>23117</v>
      </c>
      <c r="I2725" t="s">
        <v>23140</v>
      </c>
      <c r="K2725" t="s">
        <v>23118</v>
      </c>
      <c r="L2725" t="s">
        <v>23119</v>
      </c>
      <c r="M2725" t="s">
        <v>7292</v>
      </c>
      <c r="T2725" t="s">
        <v>6546</v>
      </c>
      <c r="U2725" t="s">
        <v>6546</v>
      </c>
      <c r="V2725" t="s">
        <v>6546</v>
      </c>
      <c r="W2725" t="s">
        <v>6546</v>
      </c>
      <c r="X2725" t="s">
        <v>6546</v>
      </c>
      <c r="AC2725" t="s">
        <v>9852</v>
      </c>
      <c r="AE2725" t="s">
        <v>4778</v>
      </c>
      <c r="AH2725" t="s">
        <v>4778</v>
      </c>
      <c r="AI2725" t="s">
        <v>9852</v>
      </c>
      <c r="AL2725" t="s">
        <v>23120</v>
      </c>
      <c r="AO2725" t="s">
        <v>6546</v>
      </c>
    </row>
    <row r="2726" spans="1:41" hidden="1" x14ac:dyDescent="0.35">
      <c r="A2726" t="s">
        <v>23141</v>
      </c>
      <c r="B2726" t="s">
        <v>7246</v>
      </c>
      <c r="C2726" t="s">
        <v>84</v>
      </c>
      <c r="D2726" t="s">
        <v>84</v>
      </c>
      <c r="E2726" t="s">
        <v>84</v>
      </c>
      <c r="G2726" s="13" t="s">
        <v>23116</v>
      </c>
      <c r="H2726" t="s">
        <v>23117</v>
      </c>
      <c r="I2726" t="s">
        <v>23142</v>
      </c>
      <c r="K2726" t="s">
        <v>23118</v>
      </c>
      <c r="L2726" t="s">
        <v>23119</v>
      </c>
      <c r="M2726" t="s">
        <v>7292</v>
      </c>
      <c r="T2726" t="s">
        <v>6546</v>
      </c>
      <c r="U2726" t="s">
        <v>6546</v>
      </c>
      <c r="V2726" t="s">
        <v>6546</v>
      </c>
      <c r="W2726" t="s">
        <v>6546</v>
      </c>
      <c r="X2726" t="s">
        <v>6546</v>
      </c>
      <c r="AC2726" t="s">
        <v>9852</v>
      </c>
      <c r="AE2726" t="s">
        <v>4778</v>
      </c>
      <c r="AH2726" t="s">
        <v>4778</v>
      </c>
      <c r="AI2726" t="s">
        <v>9852</v>
      </c>
      <c r="AL2726" t="s">
        <v>23120</v>
      </c>
      <c r="AO2726" t="s">
        <v>6546</v>
      </c>
    </row>
    <row r="2727" spans="1:41" hidden="1" x14ac:dyDescent="0.35">
      <c r="A2727" t="s">
        <v>23143</v>
      </c>
      <c r="B2727" t="s">
        <v>7246</v>
      </c>
      <c r="C2727" t="s">
        <v>84</v>
      </c>
      <c r="D2727" t="s">
        <v>84</v>
      </c>
      <c r="E2727" t="s">
        <v>84</v>
      </c>
      <c r="G2727" s="13" t="s">
        <v>23116</v>
      </c>
      <c r="H2727" t="s">
        <v>23117</v>
      </c>
      <c r="I2727" t="s">
        <v>23144</v>
      </c>
      <c r="K2727" t="s">
        <v>23118</v>
      </c>
      <c r="L2727" t="s">
        <v>23119</v>
      </c>
      <c r="M2727" t="s">
        <v>7292</v>
      </c>
      <c r="T2727" t="s">
        <v>6546</v>
      </c>
      <c r="U2727" t="s">
        <v>6546</v>
      </c>
      <c r="V2727" t="s">
        <v>6546</v>
      </c>
      <c r="W2727" t="s">
        <v>6546</v>
      </c>
      <c r="X2727" t="s">
        <v>6546</v>
      </c>
      <c r="AC2727" t="s">
        <v>9852</v>
      </c>
      <c r="AE2727" t="s">
        <v>4778</v>
      </c>
      <c r="AH2727" t="s">
        <v>4778</v>
      </c>
      <c r="AI2727" t="s">
        <v>9852</v>
      </c>
      <c r="AL2727" t="s">
        <v>23120</v>
      </c>
      <c r="AO2727" t="s">
        <v>6546</v>
      </c>
    </row>
    <row r="2728" spans="1:41" hidden="1" x14ac:dyDescent="0.35">
      <c r="A2728" t="s">
        <v>23145</v>
      </c>
      <c r="B2728" t="s">
        <v>7246</v>
      </c>
      <c r="C2728" t="s">
        <v>84</v>
      </c>
      <c r="D2728" t="s">
        <v>84</v>
      </c>
      <c r="E2728" t="s">
        <v>84</v>
      </c>
      <c r="G2728" s="13" t="s">
        <v>23116</v>
      </c>
      <c r="H2728" t="s">
        <v>23117</v>
      </c>
      <c r="I2728" t="s">
        <v>23146</v>
      </c>
      <c r="K2728" t="s">
        <v>23118</v>
      </c>
      <c r="L2728" t="s">
        <v>23119</v>
      </c>
      <c r="M2728" t="s">
        <v>7292</v>
      </c>
      <c r="T2728" t="s">
        <v>6546</v>
      </c>
      <c r="U2728" t="s">
        <v>6546</v>
      </c>
      <c r="V2728" t="s">
        <v>6546</v>
      </c>
      <c r="W2728" t="s">
        <v>6546</v>
      </c>
      <c r="X2728" t="s">
        <v>6546</v>
      </c>
      <c r="AC2728" t="s">
        <v>9852</v>
      </c>
      <c r="AE2728" t="s">
        <v>4778</v>
      </c>
      <c r="AH2728" t="s">
        <v>4778</v>
      </c>
      <c r="AI2728" t="s">
        <v>9852</v>
      </c>
      <c r="AL2728" t="s">
        <v>23120</v>
      </c>
      <c r="AO2728" t="s">
        <v>6546</v>
      </c>
    </row>
    <row r="2729" spans="1:41" hidden="1" x14ac:dyDescent="0.35">
      <c r="A2729" t="s">
        <v>23147</v>
      </c>
      <c r="B2729" t="s">
        <v>7246</v>
      </c>
      <c r="C2729" t="s">
        <v>84</v>
      </c>
      <c r="D2729" t="s">
        <v>84</v>
      </c>
      <c r="E2729" t="s">
        <v>84</v>
      </c>
      <c r="G2729" s="13" t="s">
        <v>23116</v>
      </c>
      <c r="H2729" t="s">
        <v>23117</v>
      </c>
      <c r="I2729" t="s">
        <v>23148</v>
      </c>
      <c r="K2729" t="s">
        <v>23118</v>
      </c>
      <c r="L2729" t="s">
        <v>23119</v>
      </c>
      <c r="M2729" t="s">
        <v>7292</v>
      </c>
      <c r="T2729" t="s">
        <v>6546</v>
      </c>
      <c r="U2729" t="s">
        <v>6546</v>
      </c>
      <c r="V2729">
        <v>122</v>
      </c>
      <c r="W2729">
        <v>119.5</v>
      </c>
      <c r="X2729">
        <v>122</v>
      </c>
      <c r="Y2729">
        <v>813</v>
      </c>
      <c r="Z2729" t="s">
        <v>8842</v>
      </c>
      <c r="AA2729" t="s">
        <v>22660</v>
      </c>
      <c r="AB2729" t="s">
        <v>22661</v>
      </c>
      <c r="AC2729" t="s">
        <v>9852</v>
      </c>
      <c r="AD2729" t="s">
        <v>4794</v>
      </c>
      <c r="AE2729" t="s">
        <v>4778</v>
      </c>
      <c r="AF2729" t="s">
        <v>23149</v>
      </c>
      <c r="AG2729" t="s">
        <v>4777</v>
      </c>
      <c r="AH2729" t="s">
        <v>4778</v>
      </c>
      <c r="AI2729" t="s">
        <v>9852</v>
      </c>
      <c r="AL2729" t="s">
        <v>23120</v>
      </c>
      <c r="AO2729" t="s">
        <v>23150</v>
      </c>
    </row>
    <row r="2730" spans="1:41" hidden="1" x14ac:dyDescent="0.35">
      <c r="A2730" t="s">
        <v>23151</v>
      </c>
      <c r="B2730" t="s">
        <v>7246</v>
      </c>
      <c r="C2730" t="s">
        <v>84</v>
      </c>
      <c r="D2730" t="s">
        <v>84</v>
      </c>
      <c r="E2730" t="s">
        <v>84</v>
      </c>
      <c r="G2730" s="13" t="s">
        <v>23116</v>
      </c>
      <c r="H2730" t="s">
        <v>23117</v>
      </c>
      <c r="I2730" t="s">
        <v>23152</v>
      </c>
      <c r="K2730" t="s">
        <v>23118</v>
      </c>
      <c r="L2730" t="s">
        <v>23119</v>
      </c>
      <c r="M2730" t="s">
        <v>7292</v>
      </c>
      <c r="T2730" t="s">
        <v>6546</v>
      </c>
      <c r="U2730" t="s">
        <v>6546</v>
      </c>
      <c r="V2730" t="s">
        <v>6546</v>
      </c>
      <c r="W2730" t="s">
        <v>6546</v>
      </c>
      <c r="X2730" t="s">
        <v>6546</v>
      </c>
      <c r="AC2730" t="s">
        <v>9852</v>
      </c>
      <c r="AE2730" t="s">
        <v>4778</v>
      </c>
      <c r="AH2730" t="s">
        <v>4778</v>
      </c>
      <c r="AI2730" t="s">
        <v>9852</v>
      </c>
      <c r="AL2730" t="s">
        <v>23120</v>
      </c>
      <c r="AO2730" t="s">
        <v>6546</v>
      </c>
    </row>
    <row r="2731" spans="1:41" hidden="1" x14ac:dyDescent="0.35">
      <c r="A2731" t="s">
        <v>23153</v>
      </c>
      <c r="B2731" t="s">
        <v>7246</v>
      </c>
      <c r="C2731" t="s">
        <v>84</v>
      </c>
      <c r="D2731" t="s">
        <v>84</v>
      </c>
      <c r="E2731" t="s">
        <v>84</v>
      </c>
      <c r="G2731" s="13" t="s">
        <v>23154</v>
      </c>
      <c r="H2731" t="s">
        <v>23155</v>
      </c>
      <c r="I2731" t="s">
        <v>23156</v>
      </c>
      <c r="K2731" t="s">
        <v>23157</v>
      </c>
      <c r="L2731" t="s">
        <v>23158</v>
      </c>
      <c r="M2731" t="s">
        <v>7250</v>
      </c>
      <c r="N2731">
        <v>2012</v>
      </c>
      <c r="R2731">
        <v>16</v>
      </c>
      <c r="S2731" t="s">
        <v>8257</v>
      </c>
      <c r="T2731">
        <v>16</v>
      </c>
      <c r="U2731">
        <v>7446.14</v>
      </c>
      <c r="V2731">
        <v>42</v>
      </c>
      <c r="W2731">
        <v>27.79</v>
      </c>
      <c r="X2731">
        <v>42</v>
      </c>
      <c r="Y2731">
        <v>914</v>
      </c>
      <c r="Z2731" t="s">
        <v>8842</v>
      </c>
      <c r="AA2731" t="s">
        <v>23159</v>
      </c>
      <c r="AC2731" t="s">
        <v>9852</v>
      </c>
      <c r="AE2731" t="s">
        <v>3016</v>
      </c>
      <c r="AH2731" t="s">
        <v>3016</v>
      </c>
      <c r="AI2731" t="s">
        <v>9852</v>
      </c>
      <c r="AL2731" t="s">
        <v>23160</v>
      </c>
      <c r="AO2731" t="s">
        <v>23161</v>
      </c>
    </row>
    <row r="2732" spans="1:41" hidden="1" x14ac:dyDescent="0.35">
      <c r="A2732" t="s">
        <v>23162</v>
      </c>
      <c r="B2732" t="s">
        <v>7246</v>
      </c>
      <c r="C2732" t="s">
        <v>84</v>
      </c>
      <c r="D2732" t="s">
        <v>84</v>
      </c>
      <c r="E2732" t="s">
        <v>84</v>
      </c>
      <c r="G2732" s="13" t="s">
        <v>23154</v>
      </c>
      <c r="H2732" t="s">
        <v>23155</v>
      </c>
      <c r="I2732" t="s">
        <v>23163</v>
      </c>
      <c r="K2732" t="s">
        <v>23157</v>
      </c>
      <c r="L2732" t="s">
        <v>23158</v>
      </c>
      <c r="M2732" t="s">
        <v>7250</v>
      </c>
      <c r="N2732">
        <v>2012</v>
      </c>
      <c r="T2732" t="s">
        <v>6546</v>
      </c>
      <c r="U2732" t="s">
        <v>6546</v>
      </c>
      <c r="V2732">
        <v>160.5</v>
      </c>
      <c r="W2732">
        <v>130.22</v>
      </c>
      <c r="X2732">
        <v>160.5</v>
      </c>
      <c r="Y2732">
        <v>914</v>
      </c>
      <c r="Z2732" t="s">
        <v>8842</v>
      </c>
      <c r="AA2732" t="s">
        <v>23159</v>
      </c>
      <c r="AC2732" t="s">
        <v>9852</v>
      </c>
      <c r="AE2732" t="s">
        <v>3016</v>
      </c>
      <c r="AH2732" t="s">
        <v>3016</v>
      </c>
      <c r="AI2732" t="s">
        <v>9852</v>
      </c>
      <c r="AL2732" t="s">
        <v>23160</v>
      </c>
      <c r="AO2732" t="s">
        <v>23164</v>
      </c>
    </row>
    <row r="2733" spans="1:41" hidden="1" x14ac:dyDescent="0.35">
      <c r="A2733" t="s">
        <v>23165</v>
      </c>
      <c r="B2733" t="s">
        <v>7246</v>
      </c>
      <c r="C2733" t="s">
        <v>84</v>
      </c>
      <c r="D2733" t="s">
        <v>84</v>
      </c>
      <c r="E2733" t="s">
        <v>84</v>
      </c>
      <c r="G2733" s="13" t="s">
        <v>23154</v>
      </c>
      <c r="H2733" t="s">
        <v>23155</v>
      </c>
      <c r="I2733" t="s">
        <v>23166</v>
      </c>
      <c r="K2733" t="s">
        <v>23157</v>
      </c>
      <c r="L2733" t="s">
        <v>23158</v>
      </c>
      <c r="M2733" t="s">
        <v>7250</v>
      </c>
      <c r="N2733">
        <v>2012</v>
      </c>
      <c r="T2733" t="s">
        <v>6546</v>
      </c>
      <c r="U2733" t="s">
        <v>6546</v>
      </c>
      <c r="V2733">
        <v>166.6</v>
      </c>
      <c r="W2733">
        <v>131.97</v>
      </c>
      <c r="X2733">
        <v>166.6</v>
      </c>
      <c r="Y2733">
        <v>914</v>
      </c>
      <c r="Z2733" t="s">
        <v>8842</v>
      </c>
      <c r="AA2733" t="s">
        <v>23159</v>
      </c>
      <c r="AC2733" t="s">
        <v>9852</v>
      </c>
      <c r="AE2733" t="s">
        <v>3016</v>
      </c>
      <c r="AH2733" t="s">
        <v>3016</v>
      </c>
      <c r="AI2733" t="s">
        <v>9852</v>
      </c>
      <c r="AL2733" t="s">
        <v>23160</v>
      </c>
      <c r="AO2733" t="s">
        <v>23167</v>
      </c>
    </row>
    <row r="2734" spans="1:41" hidden="1" x14ac:dyDescent="0.35">
      <c r="A2734" t="s">
        <v>23168</v>
      </c>
      <c r="B2734" t="s">
        <v>7246</v>
      </c>
      <c r="C2734" t="s">
        <v>84</v>
      </c>
      <c r="D2734" t="s">
        <v>84</v>
      </c>
      <c r="E2734" t="s">
        <v>84</v>
      </c>
      <c r="G2734" s="13" t="s">
        <v>23154</v>
      </c>
      <c r="H2734" t="s">
        <v>23155</v>
      </c>
      <c r="I2734" t="s">
        <v>23169</v>
      </c>
      <c r="K2734" t="s">
        <v>23157</v>
      </c>
      <c r="L2734" t="s">
        <v>23158</v>
      </c>
      <c r="M2734" t="s">
        <v>7250</v>
      </c>
      <c r="N2734">
        <v>2012</v>
      </c>
      <c r="T2734" t="s">
        <v>6546</v>
      </c>
      <c r="U2734" t="s">
        <v>6546</v>
      </c>
      <c r="V2734">
        <v>92.3</v>
      </c>
      <c r="W2734">
        <v>98.35</v>
      </c>
      <c r="X2734">
        <v>92.3</v>
      </c>
      <c r="Y2734" t="s">
        <v>23170</v>
      </c>
      <c r="Z2734" t="s">
        <v>8842</v>
      </c>
      <c r="AA2734" t="s">
        <v>23159</v>
      </c>
      <c r="AC2734" t="s">
        <v>9852</v>
      </c>
      <c r="AE2734" t="s">
        <v>3016</v>
      </c>
      <c r="AH2734" t="s">
        <v>3016</v>
      </c>
      <c r="AI2734" t="s">
        <v>9852</v>
      </c>
      <c r="AL2734" t="s">
        <v>23160</v>
      </c>
      <c r="AO2734" t="s">
        <v>23171</v>
      </c>
    </row>
    <row r="2735" spans="1:41" hidden="1" x14ac:dyDescent="0.35">
      <c r="A2735" t="s">
        <v>23172</v>
      </c>
      <c r="B2735" t="s">
        <v>7246</v>
      </c>
      <c r="C2735" t="s">
        <v>84</v>
      </c>
      <c r="D2735" t="s">
        <v>84</v>
      </c>
      <c r="E2735" t="s">
        <v>84</v>
      </c>
      <c r="G2735" s="13" t="s">
        <v>23173</v>
      </c>
      <c r="H2735" t="s">
        <v>23174</v>
      </c>
      <c r="I2735" t="s">
        <v>23175</v>
      </c>
      <c r="K2735" t="s">
        <v>23157</v>
      </c>
      <c r="L2735" t="s">
        <v>23158</v>
      </c>
      <c r="M2735" t="s">
        <v>7250</v>
      </c>
      <c r="N2735">
        <v>2014</v>
      </c>
      <c r="T2735" t="s">
        <v>6546</v>
      </c>
      <c r="U2735" t="s">
        <v>6546</v>
      </c>
      <c r="V2735">
        <v>23</v>
      </c>
      <c r="W2735">
        <v>15.67</v>
      </c>
      <c r="X2735">
        <v>23</v>
      </c>
      <c r="AC2735" t="s">
        <v>9852</v>
      </c>
      <c r="AE2735" t="s">
        <v>3016</v>
      </c>
      <c r="AH2735" t="s">
        <v>3016</v>
      </c>
      <c r="AI2735" t="s">
        <v>9852</v>
      </c>
      <c r="AL2735" t="s">
        <v>23176</v>
      </c>
      <c r="AO2735" t="s">
        <v>23177</v>
      </c>
    </row>
    <row r="2736" spans="1:41" hidden="1" x14ac:dyDescent="0.35">
      <c r="A2736" t="s">
        <v>23178</v>
      </c>
      <c r="B2736" t="s">
        <v>7246</v>
      </c>
      <c r="C2736" t="s">
        <v>84</v>
      </c>
      <c r="D2736" t="s">
        <v>84</v>
      </c>
      <c r="E2736" t="s">
        <v>84</v>
      </c>
      <c r="G2736" s="13" t="s">
        <v>23173</v>
      </c>
      <c r="H2736" t="s">
        <v>23174</v>
      </c>
      <c r="I2736" t="s">
        <v>23179</v>
      </c>
      <c r="K2736" t="s">
        <v>23157</v>
      </c>
      <c r="L2736" t="s">
        <v>23158</v>
      </c>
      <c r="M2736" t="s">
        <v>7250</v>
      </c>
      <c r="N2736">
        <v>2014</v>
      </c>
      <c r="T2736" t="s">
        <v>6546</v>
      </c>
      <c r="U2736" t="s">
        <v>6546</v>
      </c>
      <c r="V2736">
        <v>23.5</v>
      </c>
      <c r="W2736">
        <v>24.2</v>
      </c>
      <c r="X2736">
        <v>23.5</v>
      </c>
      <c r="AC2736" t="s">
        <v>9852</v>
      </c>
      <c r="AE2736" t="s">
        <v>3016</v>
      </c>
      <c r="AH2736" t="s">
        <v>3016</v>
      </c>
      <c r="AI2736" t="s">
        <v>9852</v>
      </c>
      <c r="AL2736" t="s">
        <v>23176</v>
      </c>
      <c r="AO2736" t="s">
        <v>23180</v>
      </c>
    </row>
    <row r="2737" spans="1:41" hidden="1" x14ac:dyDescent="0.35">
      <c r="A2737" t="s">
        <v>23181</v>
      </c>
      <c r="B2737" t="s">
        <v>7246</v>
      </c>
      <c r="C2737" t="s">
        <v>84</v>
      </c>
      <c r="D2737" t="s">
        <v>84</v>
      </c>
      <c r="E2737" t="s">
        <v>84</v>
      </c>
      <c r="G2737" s="13" t="s">
        <v>23173</v>
      </c>
      <c r="H2737" t="s">
        <v>23174</v>
      </c>
      <c r="I2737" t="s">
        <v>23182</v>
      </c>
      <c r="K2737" t="s">
        <v>23157</v>
      </c>
      <c r="L2737" t="s">
        <v>23158</v>
      </c>
      <c r="M2737" t="s">
        <v>7250</v>
      </c>
      <c r="N2737">
        <v>2014</v>
      </c>
      <c r="T2737" t="s">
        <v>6546</v>
      </c>
      <c r="U2737" t="s">
        <v>6546</v>
      </c>
      <c r="V2737">
        <v>22.5</v>
      </c>
      <c r="W2737">
        <v>25.78</v>
      </c>
      <c r="X2737">
        <v>22.5</v>
      </c>
      <c r="AA2737" t="s">
        <v>23183</v>
      </c>
      <c r="AC2737" t="s">
        <v>9852</v>
      </c>
      <c r="AE2737" t="s">
        <v>3016</v>
      </c>
      <c r="AH2737" t="s">
        <v>3016</v>
      </c>
      <c r="AI2737" t="s">
        <v>9852</v>
      </c>
      <c r="AL2737" t="s">
        <v>23176</v>
      </c>
      <c r="AO2737" t="s">
        <v>23184</v>
      </c>
    </row>
    <row r="2738" spans="1:41" hidden="1" x14ac:dyDescent="0.35">
      <c r="A2738" t="s">
        <v>23185</v>
      </c>
      <c r="B2738" t="s">
        <v>7246</v>
      </c>
      <c r="C2738" t="s">
        <v>84</v>
      </c>
      <c r="D2738" t="s">
        <v>84</v>
      </c>
      <c r="E2738" t="s">
        <v>84</v>
      </c>
      <c r="G2738" s="13" t="s">
        <v>23173</v>
      </c>
      <c r="H2738" t="s">
        <v>23174</v>
      </c>
      <c r="I2738" t="s">
        <v>23186</v>
      </c>
      <c r="K2738" t="s">
        <v>23157</v>
      </c>
      <c r="L2738" t="s">
        <v>23158</v>
      </c>
      <c r="M2738" t="s">
        <v>7250</v>
      </c>
      <c r="N2738">
        <v>2014</v>
      </c>
      <c r="R2738">
        <v>9</v>
      </c>
      <c r="S2738" t="s">
        <v>8257</v>
      </c>
      <c r="T2738">
        <v>9</v>
      </c>
      <c r="U2738">
        <v>4188.45</v>
      </c>
      <c r="V2738">
        <v>158.6</v>
      </c>
      <c r="W2738">
        <v>99.52</v>
      </c>
      <c r="X2738">
        <v>158.6</v>
      </c>
      <c r="AA2738" t="s">
        <v>23187</v>
      </c>
      <c r="AC2738" t="s">
        <v>9852</v>
      </c>
      <c r="AE2738" t="s">
        <v>3016</v>
      </c>
      <c r="AH2738" t="s">
        <v>3016</v>
      </c>
      <c r="AI2738" t="s">
        <v>9852</v>
      </c>
      <c r="AL2738" t="s">
        <v>23176</v>
      </c>
      <c r="AO2738" t="s">
        <v>23188</v>
      </c>
    </row>
    <row r="2739" spans="1:41" hidden="1" x14ac:dyDescent="0.35">
      <c r="A2739" t="s">
        <v>23189</v>
      </c>
      <c r="B2739" t="s">
        <v>7246</v>
      </c>
      <c r="C2739" t="s">
        <v>84</v>
      </c>
      <c r="D2739" t="s">
        <v>84</v>
      </c>
      <c r="E2739" t="s">
        <v>84</v>
      </c>
      <c r="G2739" s="13" t="s">
        <v>23190</v>
      </c>
      <c r="H2739" t="s">
        <v>23191</v>
      </c>
      <c r="I2739" t="s">
        <v>23192</v>
      </c>
      <c r="J2739" t="s">
        <v>23193</v>
      </c>
      <c r="K2739" t="s">
        <v>23157</v>
      </c>
      <c r="L2739" t="s">
        <v>23158</v>
      </c>
      <c r="M2739" t="s">
        <v>7415</v>
      </c>
      <c r="N2739">
        <v>2023</v>
      </c>
      <c r="R2739">
        <v>8</v>
      </c>
      <c r="S2739" t="s">
        <v>8257</v>
      </c>
      <c r="T2739">
        <v>8</v>
      </c>
      <c r="U2739">
        <v>3723.07</v>
      </c>
      <c r="V2739">
        <v>59</v>
      </c>
      <c r="W2739">
        <v>50.52</v>
      </c>
      <c r="X2739">
        <v>59</v>
      </c>
      <c r="Y2739">
        <v>914</v>
      </c>
      <c r="Z2739" t="s">
        <v>8842</v>
      </c>
      <c r="AA2739" t="s">
        <v>23194</v>
      </c>
      <c r="AB2739" t="s">
        <v>23195</v>
      </c>
      <c r="AC2739" t="s">
        <v>9852</v>
      </c>
      <c r="AD2739" t="s">
        <v>23196</v>
      </c>
      <c r="AE2739" t="s">
        <v>3016</v>
      </c>
      <c r="AF2739" t="s">
        <v>23197</v>
      </c>
      <c r="AG2739" t="s">
        <v>23198</v>
      </c>
      <c r="AH2739" t="s">
        <v>3016</v>
      </c>
      <c r="AI2739" t="s">
        <v>9852</v>
      </c>
      <c r="AL2739" t="s">
        <v>23199</v>
      </c>
      <c r="AO2739" t="s">
        <v>23200</v>
      </c>
    </row>
    <row r="2740" spans="1:41" hidden="1" x14ac:dyDescent="0.35">
      <c r="A2740" t="s">
        <v>23201</v>
      </c>
      <c r="B2740" t="s">
        <v>7246</v>
      </c>
      <c r="C2740" t="s">
        <v>84</v>
      </c>
      <c r="D2740" t="s">
        <v>84</v>
      </c>
      <c r="E2740" t="s">
        <v>84</v>
      </c>
      <c r="G2740" s="13" t="s">
        <v>23202</v>
      </c>
      <c r="H2740" t="s">
        <v>23191</v>
      </c>
      <c r="I2740" t="s">
        <v>23203</v>
      </c>
      <c r="J2740" t="s">
        <v>23204</v>
      </c>
      <c r="K2740" t="s">
        <v>23157</v>
      </c>
      <c r="L2740" t="s">
        <v>23158</v>
      </c>
      <c r="M2740" t="s">
        <v>7415</v>
      </c>
      <c r="R2740">
        <v>5.74</v>
      </c>
      <c r="S2740" t="s">
        <v>8257</v>
      </c>
      <c r="T2740">
        <v>5.74</v>
      </c>
      <c r="U2740">
        <v>2671.3</v>
      </c>
      <c r="V2740">
        <v>166.6</v>
      </c>
      <c r="W2740">
        <v>104.19</v>
      </c>
      <c r="X2740">
        <v>166.6</v>
      </c>
      <c r="Y2740">
        <v>914</v>
      </c>
      <c r="Z2740" t="s">
        <v>8842</v>
      </c>
      <c r="AB2740" t="s">
        <v>23205</v>
      </c>
      <c r="AC2740" t="s">
        <v>9852</v>
      </c>
      <c r="AD2740" t="s">
        <v>23206</v>
      </c>
      <c r="AE2740" t="s">
        <v>3016</v>
      </c>
      <c r="AF2740" t="s">
        <v>23207</v>
      </c>
      <c r="AG2740" t="s">
        <v>4236</v>
      </c>
      <c r="AH2740" t="s">
        <v>3016</v>
      </c>
      <c r="AI2740" t="s">
        <v>9852</v>
      </c>
      <c r="AL2740" t="s">
        <v>23199</v>
      </c>
      <c r="AO2740" t="s">
        <v>23208</v>
      </c>
    </row>
    <row r="2741" spans="1:41" hidden="1" x14ac:dyDescent="0.35">
      <c r="A2741" t="s">
        <v>23209</v>
      </c>
      <c r="B2741" t="s">
        <v>7246</v>
      </c>
      <c r="C2741" t="s">
        <v>84</v>
      </c>
      <c r="D2741" t="s">
        <v>84</v>
      </c>
      <c r="E2741" t="s">
        <v>84</v>
      </c>
      <c r="G2741" s="13" t="s">
        <v>23202</v>
      </c>
      <c r="H2741" t="s">
        <v>23191</v>
      </c>
      <c r="I2741" t="s">
        <v>23210</v>
      </c>
      <c r="J2741" t="s">
        <v>23204</v>
      </c>
      <c r="K2741" t="s">
        <v>23157</v>
      </c>
      <c r="L2741" t="s">
        <v>23158</v>
      </c>
      <c r="M2741" t="s">
        <v>7415</v>
      </c>
      <c r="N2741">
        <v>2023</v>
      </c>
      <c r="R2741">
        <v>3.65</v>
      </c>
      <c r="S2741" t="s">
        <v>8257</v>
      </c>
      <c r="T2741">
        <v>3.65</v>
      </c>
      <c r="U2741">
        <v>1698.65</v>
      </c>
      <c r="V2741">
        <v>155</v>
      </c>
      <c r="W2741">
        <v>104.04</v>
      </c>
      <c r="X2741">
        <v>155</v>
      </c>
      <c r="Y2741">
        <v>914</v>
      </c>
      <c r="Z2741" t="s">
        <v>8842</v>
      </c>
      <c r="AC2741" t="s">
        <v>9852</v>
      </c>
      <c r="AD2741" t="s">
        <v>6740</v>
      </c>
      <c r="AE2741" t="s">
        <v>3016</v>
      </c>
      <c r="AF2741" t="s">
        <v>23205</v>
      </c>
      <c r="AG2741" t="s">
        <v>23206</v>
      </c>
      <c r="AH2741" t="s">
        <v>3016</v>
      </c>
      <c r="AI2741" t="s">
        <v>9852</v>
      </c>
      <c r="AL2741" t="s">
        <v>23199</v>
      </c>
      <c r="AO2741" t="s">
        <v>23211</v>
      </c>
    </row>
    <row r="2742" spans="1:41" hidden="1" x14ac:dyDescent="0.35">
      <c r="A2742" t="s">
        <v>23212</v>
      </c>
      <c r="B2742" t="s">
        <v>7246</v>
      </c>
      <c r="C2742" t="s">
        <v>84</v>
      </c>
      <c r="D2742" t="s">
        <v>84</v>
      </c>
      <c r="E2742" t="s">
        <v>84</v>
      </c>
      <c r="G2742" s="13" t="s">
        <v>23202</v>
      </c>
      <c r="H2742" t="s">
        <v>23191</v>
      </c>
      <c r="I2742" t="s">
        <v>23213</v>
      </c>
      <c r="J2742" t="s">
        <v>23204</v>
      </c>
      <c r="K2742" t="s">
        <v>23157</v>
      </c>
      <c r="L2742" t="s">
        <v>23158</v>
      </c>
      <c r="M2742" t="s">
        <v>7415</v>
      </c>
      <c r="R2742">
        <v>0.3</v>
      </c>
      <c r="S2742" t="s">
        <v>8257</v>
      </c>
      <c r="T2742">
        <v>0.3</v>
      </c>
      <c r="U2742">
        <v>139.62</v>
      </c>
      <c r="V2742">
        <v>89</v>
      </c>
      <c r="W2742">
        <v>128.1</v>
      </c>
      <c r="X2742">
        <v>89</v>
      </c>
      <c r="Y2742">
        <v>610</v>
      </c>
      <c r="Z2742" t="s">
        <v>8842</v>
      </c>
      <c r="AA2742" t="s">
        <v>23214</v>
      </c>
      <c r="AB2742" t="s">
        <v>23215</v>
      </c>
      <c r="AC2742" t="s">
        <v>9852</v>
      </c>
      <c r="AD2742" t="s">
        <v>6740</v>
      </c>
      <c r="AE2742" t="s">
        <v>3016</v>
      </c>
      <c r="AF2742" t="s">
        <v>23216</v>
      </c>
      <c r="AG2742" t="s">
        <v>4232</v>
      </c>
      <c r="AH2742" t="s">
        <v>3016</v>
      </c>
      <c r="AI2742" t="s">
        <v>9852</v>
      </c>
      <c r="AL2742" t="s">
        <v>23199</v>
      </c>
      <c r="AO2742" t="s">
        <v>23217</v>
      </c>
    </row>
    <row r="2743" spans="1:41" hidden="1" x14ac:dyDescent="0.35">
      <c r="A2743" t="s">
        <v>23218</v>
      </c>
      <c r="B2743" t="s">
        <v>7246</v>
      </c>
      <c r="C2743" t="s">
        <v>84</v>
      </c>
      <c r="D2743" t="s">
        <v>84</v>
      </c>
      <c r="E2743" t="s">
        <v>84</v>
      </c>
      <c r="G2743" s="13" t="s">
        <v>23202</v>
      </c>
      <c r="H2743" t="s">
        <v>23191</v>
      </c>
      <c r="I2743" t="s">
        <v>23219</v>
      </c>
      <c r="J2743" t="s">
        <v>23220</v>
      </c>
      <c r="K2743" t="s">
        <v>23157</v>
      </c>
      <c r="L2743" t="s">
        <v>23158</v>
      </c>
      <c r="M2743" t="s">
        <v>7250</v>
      </c>
      <c r="N2743">
        <v>2021</v>
      </c>
      <c r="R2743">
        <v>5.3</v>
      </c>
      <c r="S2743" t="s">
        <v>8257</v>
      </c>
      <c r="T2743">
        <v>5.3</v>
      </c>
      <c r="U2743">
        <v>2466.5300000000002</v>
      </c>
      <c r="V2743">
        <v>171.35</v>
      </c>
      <c r="W2743">
        <v>76.05</v>
      </c>
      <c r="X2743">
        <v>171.35</v>
      </c>
      <c r="AA2743" t="s">
        <v>23221</v>
      </c>
      <c r="AB2743" t="s">
        <v>23207</v>
      </c>
      <c r="AC2743" t="s">
        <v>9852</v>
      </c>
      <c r="AD2743" t="s">
        <v>4236</v>
      </c>
      <c r="AE2743" t="s">
        <v>3016</v>
      </c>
      <c r="AF2743" t="s">
        <v>23222</v>
      </c>
      <c r="AG2743" t="s">
        <v>4236</v>
      </c>
      <c r="AH2743" t="s">
        <v>3016</v>
      </c>
      <c r="AI2743" t="s">
        <v>9852</v>
      </c>
      <c r="AL2743" t="s">
        <v>23199</v>
      </c>
      <c r="AO2743" t="s">
        <v>23223</v>
      </c>
    </row>
    <row r="2744" spans="1:41" hidden="1" x14ac:dyDescent="0.35">
      <c r="A2744" t="s">
        <v>23224</v>
      </c>
      <c r="B2744" t="s">
        <v>7246</v>
      </c>
      <c r="C2744" t="s">
        <v>84</v>
      </c>
      <c r="D2744" t="s">
        <v>84</v>
      </c>
      <c r="E2744" t="s">
        <v>84</v>
      </c>
      <c r="G2744" s="13" t="s">
        <v>23202</v>
      </c>
      <c r="H2744" t="s">
        <v>23191</v>
      </c>
      <c r="I2744" t="s">
        <v>23225</v>
      </c>
      <c r="J2744" t="s">
        <v>23204</v>
      </c>
      <c r="K2744" t="s">
        <v>23157</v>
      </c>
      <c r="L2744" t="s">
        <v>23158</v>
      </c>
      <c r="M2744" t="s">
        <v>7250</v>
      </c>
      <c r="N2744">
        <v>2020</v>
      </c>
      <c r="R2744">
        <v>1.27</v>
      </c>
      <c r="S2744" t="s">
        <v>8257</v>
      </c>
      <c r="T2744">
        <v>1.27</v>
      </c>
      <c r="U2744">
        <v>591.04</v>
      </c>
      <c r="V2744">
        <v>150.69999999999999</v>
      </c>
      <c r="W2744">
        <v>128.1</v>
      </c>
      <c r="X2744">
        <v>150.69999999999999</v>
      </c>
      <c r="AA2744" t="s">
        <v>23226</v>
      </c>
      <c r="AB2744" t="s">
        <v>23222</v>
      </c>
      <c r="AC2744" t="s">
        <v>9852</v>
      </c>
      <c r="AD2744" t="s">
        <v>23196</v>
      </c>
      <c r="AE2744" t="s">
        <v>3016</v>
      </c>
      <c r="AF2744" t="s">
        <v>23227</v>
      </c>
      <c r="AG2744" t="s">
        <v>23228</v>
      </c>
      <c r="AH2744" t="s">
        <v>3016</v>
      </c>
      <c r="AI2744" t="s">
        <v>9852</v>
      </c>
      <c r="AL2744" t="s">
        <v>23199</v>
      </c>
      <c r="AO2744" t="s">
        <v>23217</v>
      </c>
    </row>
    <row r="2745" spans="1:41" hidden="1" x14ac:dyDescent="0.35">
      <c r="A2745" t="s">
        <v>23229</v>
      </c>
      <c r="B2745" t="s">
        <v>7246</v>
      </c>
      <c r="C2745" t="s">
        <v>84</v>
      </c>
      <c r="D2745" t="s">
        <v>84</v>
      </c>
      <c r="E2745" t="s">
        <v>84</v>
      </c>
      <c r="G2745" s="13" t="s">
        <v>23230</v>
      </c>
      <c r="H2745" t="s">
        <v>23231</v>
      </c>
      <c r="I2745" t="s">
        <v>23232</v>
      </c>
      <c r="K2745" t="s">
        <v>23157</v>
      </c>
      <c r="L2745" t="s">
        <v>23158</v>
      </c>
      <c r="M2745" t="s">
        <v>7250</v>
      </c>
      <c r="N2745">
        <v>2021</v>
      </c>
      <c r="T2745" t="s">
        <v>6546</v>
      </c>
      <c r="U2745" t="s">
        <v>6546</v>
      </c>
      <c r="V2745">
        <v>236.43</v>
      </c>
      <c r="W2745">
        <v>162.04</v>
      </c>
      <c r="X2745">
        <v>236.43</v>
      </c>
      <c r="Y2745" t="s">
        <v>23233</v>
      </c>
      <c r="Z2745" t="s">
        <v>8842</v>
      </c>
      <c r="AC2745" t="s">
        <v>9852</v>
      </c>
      <c r="AE2745" t="s">
        <v>3016</v>
      </c>
      <c r="AH2745" t="s">
        <v>3016</v>
      </c>
      <c r="AI2745" t="s">
        <v>9852</v>
      </c>
      <c r="AL2745" t="s">
        <v>23234</v>
      </c>
      <c r="AO2745" t="s">
        <v>23235</v>
      </c>
    </row>
    <row r="2746" spans="1:41" hidden="1" x14ac:dyDescent="0.35">
      <c r="A2746" t="s">
        <v>23236</v>
      </c>
      <c r="B2746" t="s">
        <v>7246</v>
      </c>
      <c r="C2746" t="s">
        <v>84</v>
      </c>
      <c r="D2746" t="s">
        <v>84</v>
      </c>
      <c r="E2746" t="s">
        <v>84</v>
      </c>
      <c r="G2746" s="13" t="s">
        <v>23237</v>
      </c>
      <c r="H2746" t="s">
        <v>23238</v>
      </c>
      <c r="I2746" t="s">
        <v>23239</v>
      </c>
      <c r="J2746" t="s">
        <v>23204</v>
      </c>
      <c r="K2746" t="s">
        <v>23157</v>
      </c>
      <c r="L2746" t="s">
        <v>23158</v>
      </c>
      <c r="M2746" t="s">
        <v>7250</v>
      </c>
      <c r="N2746">
        <v>2021</v>
      </c>
      <c r="R2746">
        <v>4</v>
      </c>
      <c r="S2746" t="s">
        <v>8257</v>
      </c>
      <c r="T2746">
        <v>4</v>
      </c>
      <c r="U2746">
        <v>1861.53</v>
      </c>
      <c r="V2746">
        <v>156</v>
      </c>
      <c r="W2746">
        <v>115.3</v>
      </c>
      <c r="X2746">
        <v>156</v>
      </c>
      <c r="Y2746">
        <v>813</v>
      </c>
      <c r="Z2746" t="s">
        <v>8842</v>
      </c>
      <c r="AB2746" t="s">
        <v>23240</v>
      </c>
      <c r="AC2746" t="s">
        <v>9852</v>
      </c>
      <c r="AD2746" t="s">
        <v>3019</v>
      </c>
      <c r="AE2746" t="s">
        <v>4255</v>
      </c>
      <c r="AF2746" t="s">
        <v>23241</v>
      </c>
      <c r="AG2746" t="s">
        <v>4240</v>
      </c>
      <c r="AH2746" t="s">
        <v>3016</v>
      </c>
      <c r="AI2746" t="s">
        <v>9852</v>
      </c>
      <c r="AL2746" t="s">
        <v>23242</v>
      </c>
      <c r="AO2746" t="s">
        <v>23243</v>
      </c>
    </row>
    <row r="2747" spans="1:41" hidden="1" x14ac:dyDescent="0.35">
      <c r="A2747" t="s">
        <v>23244</v>
      </c>
      <c r="B2747" t="s">
        <v>7246</v>
      </c>
      <c r="C2747" t="s">
        <v>84</v>
      </c>
      <c r="D2747" t="s">
        <v>84</v>
      </c>
      <c r="E2747" t="s">
        <v>84</v>
      </c>
      <c r="G2747" s="13" t="s">
        <v>23237</v>
      </c>
      <c r="H2747" t="s">
        <v>23238</v>
      </c>
      <c r="I2747" t="s">
        <v>23245</v>
      </c>
      <c r="J2747" t="s">
        <v>23204</v>
      </c>
      <c r="K2747" t="s">
        <v>23246</v>
      </c>
      <c r="L2747" t="s">
        <v>23247</v>
      </c>
      <c r="M2747" t="s">
        <v>7292</v>
      </c>
      <c r="N2747">
        <v>2023</v>
      </c>
      <c r="R2747">
        <v>6.67</v>
      </c>
      <c r="S2747" t="s">
        <v>8257</v>
      </c>
      <c r="T2747">
        <v>6.67</v>
      </c>
      <c r="U2747">
        <v>3104.11</v>
      </c>
      <c r="V2747">
        <v>42.7</v>
      </c>
      <c r="W2747">
        <v>33.880000000000003</v>
      </c>
      <c r="X2747">
        <v>42.7</v>
      </c>
      <c r="Y2747">
        <v>813</v>
      </c>
      <c r="Z2747" t="s">
        <v>8842</v>
      </c>
      <c r="AB2747" t="s">
        <v>23248</v>
      </c>
      <c r="AC2747" t="s">
        <v>9852</v>
      </c>
      <c r="AD2747" t="s">
        <v>4240</v>
      </c>
      <c r="AE2747" t="s">
        <v>3016</v>
      </c>
      <c r="AF2747" t="s">
        <v>23249</v>
      </c>
      <c r="AG2747" t="s">
        <v>4240</v>
      </c>
      <c r="AH2747" t="s">
        <v>3016</v>
      </c>
      <c r="AI2747" t="s">
        <v>9852</v>
      </c>
      <c r="AL2747" t="s">
        <v>23242</v>
      </c>
      <c r="AO2747" t="s">
        <v>23250</v>
      </c>
    </row>
    <row r="2748" spans="1:41" hidden="1" x14ac:dyDescent="0.35">
      <c r="A2748" t="s">
        <v>23251</v>
      </c>
      <c r="B2748" t="s">
        <v>7246</v>
      </c>
      <c r="C2748" t="s">
        <v>84</v>
      </c>
      <c r="D2748" t="s">
        <v>84</v>
      </c>
      <c r="E2748" t="s">
        <v>84</v>
      </c>
      <c r="G2748" s="13" t="s">
        <v>23237</v>
      </c>
      <c r="H2748" t="s">
        <v>23238</v>
      </c>
      <c r="I2748" t="s">
        <v>23252</v>
      </c>
      <c r="J2748" t="s">
        <v>23204</v>
      </c>
      <c r="K2748" t="s">
        <v>23157</v>
      </c>
      <c r="L2748" t="s">
        <v>23158</v>
      </c>
      <c r="M2748" t="s">
        <v>7250</v>
      </c>
      <c r="N2748">
        <v>2020</v>
      </c>
      <c r="R2748">
        <v>2.69</v>
      </c>
      <c r="S2748" t="s">
        <v>8257</v>
      </c>
      <c r="T2748">
        <v>2.69</v>
      </c>
      <c r="U2748">
        <v>1251.8800000000001</v>
      </c>
      <c r="V2748">
        <v>170.3</v>
      </c>
      <c r="W2748">
        <v>145.34</v>
      </c>
      <c r="X2748">
        <v>170.3</v>
      </c>
      <c r="Y2748">
        <v>813</v>
      </c>
      <c r="Z2748" t="s">
        <v>8842</v>
      </c>
      <c r="AB2748" t="s">
        <v>23249</v>
      </c>
      <c r="AC2748" t="s">
        <v>9852</v>
      </c>
      <c r="AD2748" t="s">
        <v>4240</v>
      </c>
      <c r="AE2748" t="s">
        <v>3016</v>
      </c>
      <c r="AF2748" t="s">
        <v>23253</v>
      </c>
      <c r="AG2748" t="s">
        <v>23254</v>
      </c>
      <c r="AH2748" t="s">
        <v>3016</v>
      </c>
      <c r="AI2748" t="s">
        <v>9852</v>
      </c>
      <c r="AL2748" t="s">
        <v>23242</v>
      </c>
      <c r="AO2748" t="s">
        <v>23255</v>
      </c>
    </row>
    <row r="2749" spans="1:41" hidden="1" x14ac:dyDescent="0.35">
      <c r="A2749" t="s">
        <v>23256</v>
      </c>
      <c r="B2749" t="s">
        <v>7246</v>
      </c>
      <c r="C2749" t="s">
        <v>84</v>
      </c>
      <c r="D2749" t="s">
        <v>84</v>
      </c>
      <c r="E2749" t="s">
        <v>84</v>
      </c>
      <c r="G2749" s="13" t="s">
        <v>23237</v>
      </c>
      <c r="H2749" t="s">
        <v>23238</v>
      </c>
      <c r="I2749" t="s">
        <v>23257</v>
      </c>
      <c r="J2749" t="s">
        <v>23204</v>
      </c>
      <c r="K2749" t="s">
        <v>23157</v>
      </c>
      <c r="L2749" t="s">
        <v>23158</v>
      </c>
      <c r="M2749" t="s">
        <v>7292</v>
      </c>
      <c r="T2749" t="s">
        <v>6546</v>
      </c>
      <c r="U2749" t="s">
        <v>6546</v>
      </c>
      <c r="V2749">
        <v>151.66</v>
      </c>
      <c r="W2749">
        <v>53.66</v>
      </c>
      <c r="X2749">
        <v>151.66</v>
      </c>
      <c r="AC2749" t="s">
        <v>9852</v>
      </c>
      <c r="AD2749" t="s">
        <v>4250</v>
      </c>
      <c r="AE2749" t="s">
        <v>3016</v>
      </c>
      <c r="AF2749" t="s">
        <v>23258</v>
      </c>
      <c r="AG2749" t="s">
        <v>4250</v>
      </c>
      <c r="AH2749" t="s">
        <v>3016</v>
      </c>
      <c r="AI2749" t="s">
        <v>9852</v>
      </c>
      <c r="AL2749" t="s">
        <v>23242</v>
      </c>
      <c r="AO2749" t="s">
        <v>23259</v>
      </c>
    </row>
    <row r="2750" spans="1:41" hidden="1" x14ac:dyDescent="0.35">
      <c r="A2750" t="s">
        <v>23260</v>
      </c>
      <c r="B2750" t="s">
        <v>7246</v>
      </c>
      <c r="C2750" t="s">
        <v>84</v>
      </c>
      <c r="D2750" t="s">
        <v>84</v>
      </c>
      <c r="E2750" t="s">
        <v>84</v>
      </c>
      <c r="G2750" s="13" t="s">
        <v>23237</v>
      </c>
      <c r="H2750" t="s">
        <v>23238</v>
      </c>
      <c r="I2750" t="s">
        <v>23261</v>
      </c>
      <c r="J2750" t="s">
        <v>23204</v>
      </c>
      <c r="K2750" t="s">
        <v>23157</v>
      </c>
      <c r="L2750" t="s">
        <v>23158</v>
      </c>
      <c r="M2750" t="s">
        <v>7292</v>
      </c>
      <c r="T2750" t="s">
        <v>6546</v>
      </c>
      <c r="U2750" t="s">
        <v>6546</v>
      </c>
      <c r="V2750">
        <v>80</v>
      </c>
      <c r="W2750">
        <v>127.04</v>
      </c>
      <c r="X2750">
        <v>80</v>
      </c>
      <c r="AC2750" t="s">
        <v>9852</v>
      </c>
      <c r="AD2750" t="s">
        <v>4250</v>
      </c>
      <c r="AE2750" t="s">
        <v>3016</v>
      </c>
      <c r="AF2750" t="s">
        <v>23262</v>
      </c>
      <c r="AG2750" t="s">
        <v>4250</v>
      </c>
      <c r="AH2750" t="s">
        <v>3016</v>
      </c>
      <c r="AI2750" t="s">
        <v>9852</v>
      </c>
      <c r="AL2750" t="s">
        <v>23242</v>
      </c>
      <c r="AO2750" t="s">
        <v>23263</v>
      </c>
    </row>
    <row r="2751" spans="1:41" hidden="1" x14ac:dyDescent="0.35">
      <c r="A2751" t="s">
        <v>23264</v>
      </c>
      <c r="B2751" t="s">
        <v>7246</v>
      </c>
      <c r="C2751" t="s">
        <v>84</v>
      </c>
      <c r="D2751" t="s">
        <v>84</v>
      </c>
      <c r="E2751" t="s">
        <v>84</v>
      </c>
      <c r="G2751" s="13" t="s">
        <v>23237</v>
      </c>
      <c r="H2751" t="s">
        <v>23238</v>
      </c>
      <c r="I2751" t="s">
        <v>23265</v>
      </c>
      <c r="J2751" t="s">
        <v>23204</v>
      </c>
      <c r="K2751" t="s">
        <v>23157</v>
      </c>
      <c r="L2751" t="s">
        <v>23158</v>
      </c>
      <c r="M2751" t="s">
        <v>7250</v>
      </c>
      <c r="N2751">
        <v>2020</v>
      </c>
      <c r="R2751">
        <v>1.42</v>
      </c>
      <c r="S2751" t="s">
        <v>8257</v>
      </c>
      <c r="T2751">
        <v>1.42</v>
      </c>
      <c r="U2751">
        <v>660.84</v>
      </c>
      <c r="V2751">
        <v>42.9</v>
      </c>
      <c r="W2751">
        <v>58.12</v>
      </c>
      <c r="X2751">
        <v>42.9</v>
      </c>
      <c r="Y2751">
        <v>610</v>
      </c>
      <c r="Z2751" t="s">
        <v>8842</v>
      </c>
      <c r="AC2751" t="s">
        <v>9852</v>
      </c>
      <c r="AE2751" t="s">
        <v>3016</v>
      </c>
      <c r="AH2751" t="s">
        <v>3016</v>
      </c>
      <c r="AI2751" t="s">
        <v>9852</v>
      </c>
      <c r="AL2751" t="s">
        <v>23242</v>
      </c>
      <c r="AO2751" t="s">
        <v>23266</v>
      </c>
    </row>
    <row r="2752" spans="1:41" hidden="1" x14ac:dyDescent="0.35">
      <c r="A2752" t="s">
        <v>23267</v>
      </c>
      <c r="B2752" t="s">
        <v>7246</v>
      </c>
      <c r="C2752" t="s">
        <v>84</v>
      </c>
      <c r="D2752" t="s">
        <v>84</v>
      </c>
      <c r="E2752" t="s">
        <v>84</v>
      </c>
      <c r="G2752" s="13" t="s">
        <v>23154</v>
      </c>
      <c r="H2752" t="s">
        <v>23268</v>
      </c>
      <c r="I2752" t="s">
        <v>23269</v>
      </c>
      <c r="K2752" t="s">
        <v>23157</v>
      </c>
      <c r="L2752" t="s">
        <v>23158</v>
      </c>
      <c r="M2752" t="s">
        <v>7292</v>
      </c>
      <c r="N2752">
        <v>2023</v>
      </c>
      <c r="T2752" t="s">
        <v>6546</v>
      </c>
      <c r="U2752" t="s">
        <v>6546</v>
      </c>
      <c r="V2752">
        <v>60.8</v>
      </c>
      <c r="W2752" t="s">
        <v>6546</v>
      </c>
      <c r="X2752">
        <v>60.8</v>
      </c>
      <c r="Y2752">
        <v>600</v>
      </c>
      <c r="Z2752" t="s">
        <v>8842</v>
      </c>
      <c r="AB2752" t="s">
        <v>23270</v>
      </c>
      <c r="AC2752" t="s">
        <v>9852</v>
      </c>
      <c r="AD2752" t="s">
        <v>4232</v>
      </c>
      <c r="AE2752" t="s">
        <v>3016</v>
      </c>
      <c r="AF2752" t="s">
        <v>23271</v>
      </c>
      <c r="AG2752" t="s">
        <v>4232</v>
      </c>
      <c r="AH2752" t="s">
        <v>3016</v>
      </c>
      <c r="AI2752" t="s">
        <v>9852</v>
      </c>
      <c r="AL2752" t="s">
        <v>23272</v>
      </c>
      <c r="AO2752" t="s">
        <v>6546</v>
      </c>
    </row>
    <row r="2753" spans="1:41" hidden="1" x14ac:dyDescent="0.35">
      <c r="A2753" t="s">
        <v>23273</v>
      </c>
      <c r="B2753" t="s">
        <v>7246</v>
      </c>
      <c r="C2753" t="s">
        <v>84</v>
      </c>
      <c r="D2753" t="s">
        <v>84</v>
      </c>
      <c r="E2753" t="s">
        <v>84</v>
      </c>
      <c r="G2753" s="13" t="s">
        <v>23154</v>
      </c>
      <c r="H2753" t="s">
        <v>23268</v>
      </c>
      <c r="I2753" t="s">
        <v>23274</v>
      </c>
      <c r="K2753" t="s">
        <v>23157</v>
      </c>
      <c r="L2753" t="s">
        <v>23158</v>
      </c>
      <c r="M2753" t="s">
        <v>7292</v>
      </c>
      <c r="N2753">
        <v>2023</v>
      </c>
      <c r="R2753">
        <v>0.31</v>
      </c>
      <c r="S2753" t="s">
        <v>8257</v>
      </c>
      <c r="T2753">
        <v>0.31</v>
      </c>
      <c r="U2753">
        <v>144.27000000000001</v>
      </c>
      <c r="V2753">
        <v>189</v>
      </c>
      <c r="W2753" t="s">
        <v>6546</v>
      </c>
      <c r="X2753">
        <v>189</v>
      </c>
      <c r="Y2753" t="s">
        <v>23275</v>
      </c>
      <c r="Z2753" t="s">
        <v>8842</v>
      </c>
      <c r="AB2753" t="s">
        <v>23276</v>
      </c>
      <c r="AC2753" t="s">
        <v>9852</v>
      </c>
      <c r="AD2753" t="s">
        <v>23277</v>
      </c>
      <c r="AE2753" t="s">
        <v>3016</v>
      </c>
      <c r="AF2753" t="s">
        <v>23278</v>
      </c>
      <c r="AG2753" t="s">
        <v>23277</v>
      </c>
      <c r="AH2753" t="s">
        <v>3016</v>
      </c>
      <c r="AI2753" t="s">
        <v>9852</v>
      </c>
      <c r="AL2753" t="s">
        <v>23272</v>
      </c>
      <c r="AO2753" t="s">
        <v>6546</v>
      </c>
    </row>
    <row r="2754" spans="1:41" hidden="1" x14ac:dyDescent="0.35">
      <c r="A2754" t="s">
        <v>23279</v>
      </c>
      <c r="B2754" t="s">
        <v>7246</v>
      </c>
      <c r="C2754" t="s">
        <v>84</v>
      </c>
      <c r="D2754" t="s">
        <v>84</v>
      </c>
      <c r="E2754" t="s">
        <v>84</v>
      </c>
      <c r="G2754" s="13" t="s">
        <v>23154</v>
      </c>
      <c r="H2754" t="s">
        <v>23268</v>
      </c>
      <c r="I2754" t="s">
        <v>23280</v>
      </c>
      <c r="K2754" t="s">
        <v>23157</v>
      </c>
      <c r="L2754" t="s">
        <v>23158</v>
      </c>
      <c r="M2754" t="s">
        <v>7292</v>
      </c>
      <c r="N2754">
        <v>2023</v>
      </c>
      <c r="R2754">
        <v>0.45</v>
      </c>
      <c r="S2754" t="s">
        <v>8257</v>
      </c>
      <c r="T2754">
        <v>0.45</v>
      </c>
      <c r="U2754">
        <v>209.42</v>
      </c>
      <c r="V2754">
        <v>91.18</v>
      </c>
      <c r="W2754" t="s">
        <v>6546</v>
      </c>
      <c r="X2754">
        <v>91.18</v>
      </c>
      <c r="AA2754" t="s">
        <v>23281</v>
      </c>
      <c r="AC2754" t="s">
        <v>9852</v>
      </c>
      <c r="AD2754" t="s">
        <v>3019</v>
      </c>
      <c r="AE2754" t="s">
        <v>3016</v>
      </c>
      <c r="AG2754" t="s">
        <v>23282</v>
      </c>
      <c r="AH2754" t="s">
        <v>3016</v>
      </c>
      <c r="AI2754" t="s">
        <v>9852</v>
      </c>
      <c r="AL2754" t="s">
        <v>23272</v>
      </c>
      <c r="AO2754" t="s">
        <v>6546</v>
      </c>
    </row>
    <row r="2755" spans="1:41" hidden="1" x14ac:dyDescent="0.35">
      <c r="A2755" t="s">
        <v>23283</v>
      </c>
      <c r="B2755" t="s">
        <v>7246</v>
      </c>
      <c r="C2755" t="s">
        <v>84</v>
      </c>
      <c r="D2755" t="s">
        <v>84</v>
      </c>
      <c r="E2755" t="s">
        <v>84</v>
      </c>
      <c r="G2755" s="13" t="s">
        <v>23154</v>
      </c>
      <c r="H2755" t="s">
        <v>23268</v>
      </c>
      <c r="I2755" t="s">
        <v>23284</v>
      </c>
      <c r="K2755" t="s">
        <v>23157</v>
      </c>
      <c r="L2755" t="s">
        <v>23158</v>
      </c>
      <c r="M2755" t="s">
        <v>7292</v>
      </c>
      <c r="N2755">
        <v>2023</v>
      </c>
      <c r="R2755">
        <v>0.87</v>
      </c>
      <c r="S2755" t="s">
        <v>8257</v>
      </c>
      <c r="T2755">
        <v>0.87</v>
      </c>
      <c r="U2755">
        <v>404.88</v>
      </c>
      <c r="V2755">
        <v>68.540000000000006</v>
      </c>
      <c r="W2755" t="s">
        <v>6546</v>
      </c>
      <c r="X2755">
        <v>68.540000000000006</v>
      </c>
      <c r="AA2755" t="s">
        <v>23285</v>
      </c>
      <c r="AB2755" t="s">
        <v>23286</v>
      </c>
      <c r="AC2755" t="s">
        <v>9852</v>
      </c>
      <c r="AD2755" t="s">
        <v>4246</v>
      </c>
      <c r="AE2755" t="s">
        <v>3016</v>
      </c>
      <c r="AG2755" t="s">
        <v>23287</v>
      </c>
      <c r="AH2755" t="s">
        <v>3016</v>
      </c>
      <c r="AI2755" t="s">
        <v>9852</v>
      </c>
      <c r="AL2755" t="s">
        <v>23272</v>
      </c>
      <c r="AO2755" t="s">
        <v>6546</v>
      </c>
    </row>
    <row r="2756" spans="1:41" hidden="1" x14ac:dyDescent="0.35">
      <c r="A2756" t="s">
        <v>23288</v>
      </c>
      <c r="B2756" t="s">
        <v>7246</v>
      </c>
      <c r="C2756" t="s">
        <v>84</v>
      </c>
      <c r="D2756" t="s">
        <v>84</v>
      </c>
      <c r="E2756" t="s">
        <v>84</v>
      </c>
      <c r="G2756" s="13" t="s">
        <v>23154</v>
      </c>
      <c r="H2756" t="s">
        <v>23268</v>
      </c>
      <c r="I2756" t="s">
        <v>23289</v>
      </c>
      <c r="K2756" t="s">
        <v>23157</v>
      </c>
      <c r="L2756" t="s">
        <v>23158</v>
      </c>
      <c r="M2756" t="s">
        <v>7292</v>
      </c>
      <c r="N2756">
        <v>2023</v>
      </c>
      <c r="R2756">
        <v>0.15</v>
      </c>
      <c r="S2756" t="s">
        <v>8257</v>
      </c>
      <c r="T2756">
        <v>0.15</v>
      </c>
      <c r="U2756">
        <v>69.81</v>
      </c>
      <c r="V2756">
        <v>93</v>
      </c>
      <c r="W2756" t="s">
        <v>6546</v>
      </c>
      <c r="X2756">
        <v>93</v>
      </c>
      <c r="Y2756">
        <v>219.1</v>
      </c>
      <c r="Z2756" t="s">
        <v>8842</v>
      </c>
      <c r="AA2756" t="s">
        <v>23290</v>
      </c>
      <c r="AC2756" t="s">
        <v>9852</v>
      </c>
      <c r="AD2756" t="s">
        <v>23228</v>
      </c>
      <c r="AE2756" t="s">
        <v>3016</v>
      </c>
      <c r="AF2756" t="s">
        <v>23291</v>
      </c>
      <c r="AG2756" t="s">
        <v>23228</v>
      </c>
      <c r="AH2756" t="s">
        <v>3016</v>
      </c>
      <c r="AI2756" t="s">
        <v>9852</v>
      </c>
      <c r="AL2756" t="s">
        <v>23272</v>
      </c>
      <c r="AO2756" t="s">
        <v>6546</v>
      </c>
    </row>
    <row r="2757" spans="1:41" hidden="1" x14ac:dyDescent="0.35">
      <c r="A2757" t="s">
        <v>23292</v>
      </c>
      <c r="B2757" t="s">
        <v>7246</v>
      </c>
      <c r="C2757" t="s">
        <v>84</v>
      </c>
      <c r="D2757" t="s">
        <v>84</v>
      </c>
      <c r="E2757" t="s">
        <v>84</v>
      </c>
      <c r="G2757" s="13" t="s">
        <v>23154</v>
      </c>
      <c r="H2757" t="s">
        <v>23268</v>
      </c>
      <c r="I2757" t="s">
        <v>23293</v>
      </c>
      <c r="K2757" t="s">
        <v>23157</v>
      </c>
      <c r="L2757" t="s">
        <v>23158</v>
      </c>
      <c r="M2757" t="s">
        <v>7415</v>
      </c>
      <c r="N2757">
        <v>2022</v>
      </c>
      <c r="R2757">
        <v>0.16</v>
      </c>
      <c r="S2757" t="s">
        <v>8257</v>
      </c>
      <c r="T2757">
        <v>0.16</v>
      </c>
      <c r="U2757">
        <v>74.459999999999994</v>
      </c>
      <c r="V2757">
        <v>58.5</v>
      </c>
      <c r="W2757" t="s">
        <v>6546</v>
      </c>
      <c r="X2757">
        <v>58.5</v>
      </c>
      <c r="AA2757" t="s">
        <v>23290</v>
      </c>
      <c r="AB2757" t="s">
        <v>23294</v>
      </c>
      <c r="AC2757" t="s">
        <v>9852</v>
      </c>
      <c r="AD2757" t="s">
        <v>23228</v>
      </c>
      <c r="AE2757" t="s">
        <v>3016</v>
      </c>
      <c r="AG2757" t="s">
        <v>23295</v>
      </c>
      <c r="AH2757" t="s">
        <v>3016</v>
      </c>
      <c r="AI2757" t="s">
        <v>9852</v>
      </c>
      <c r="AL2757" t="s">
        <v>23272</v>
      </c>
      <c r="AO2757" t="s">
        <v>6546</v>
      </c>
    </row>
    <row r="2758" spans="1:41" hidden="1" x14ac:dyDescent="0.35">
      <c r="A2758" t="s">
        <v>23296</v>
      </c>
      <c r="B2758" t="s">
        <v>7246</v>
      </c>
      <c r="C2758" t="s">
        <v>84</v>
      </c>
      <c r="D2758" t="s">
        <v>84</v>
      </c>
      <c r="E2758" t="s">
        <v>84</v>
      </c>
      <c r="G2758" s="13" t="s">
        <v>23154</v>
      </c>
      <c r="H2758" t="s">
        <v>23268</v>
      </c>
      <c r="I2758" t="s">
        <v>23297</v>
      </c>
      <c r="K2758" t="s">
        <v>23298</v>
      </c>
      <c r="L2758" t="s">
        <v>23299</v>
      </c>
      <c r="M2758" t="s">
        <v>7292</v>
      </c>
      <c r="R2758">
        <v>9</v>
      </c>
      <c r="S2758" t="s">
        <v>8257</v>
      </c>
      <c r="T2758">
        <v>9</v>
      </c>
      <c r="U2758">
        <v>4188.45</v>
      </c>
      <c r="V2758">
        <v>144</v>
      </c>
      <c r="W2758" t="s">
        <v>6546</v>
      </c>
      <c r="X2758">
        <v>144</v>
      </c>
      <c r="AC2758" t="s">
        <v>9852</v>
      </c>
      <c r="AD2758" t="s">
        <v>4236</v>
      </c>
      <c r="AE2758" t="s">
        <v>3016</v>
      </c>
      <c r="AF2758" t="s">
        <v>23300</v>
      </c>
      <c r="AG2758" t="s">
        <v>4236</v>
      </c>
      <c r="AH2758" t="s">
        <v>3016</v>
      </c>
      <c r="AI2758" t="s">
        <v>9852</v>
      </c>
      <c r="AL2758" t="s">
        <v>23272</v>
      </c>
      <c r="AO2758" t="s">
        <v>6546</v>
      </c>
    </row>
    <row r="2759" spans="1:41" hidden="1" x14ac:dyDescent="0.35">
      <c r="A2759" t="s">
        <v>23301</v>
      </c>
      <c r="B2759" t="s">
        <v>7246</v>
      </c>
      <c r="C2759" t="s">
        <v>84</v>
      </c>
      <c r="D2759" t="s">
        <v>84</v>
      </c>
      <c r="E2759" t="s">
        <v>84</v>
      </c>
      <c r="G2759" s="13" t="s">
        <v>23154</v>
      </c>
      <c r="H2759" t="s">
        <v>23268</v>
      </c>
      <c r="I2759" t="s">
        <v>23302</v>
      </c>
      <c r="K2759" t="s">
        <v>23157</v>
      </c>
      <c r="L2759" t="s">
        <v>23158</v>
      </c>
      <c r="M2759" t="s">
        <v>7415</v>
      </c>
      <c r="N2759">
        <v>2022</v>
      </c>
      <c r="R2759">
        <v>0.82</v>
      </c>
      <c r="S2759" t="s">
        <v>8257</v>
      </c>
      <c r="T2759">
        <v>0.82</v>
      </c>
      <c r="U2759">
        <v>381.61</v>
      </c>
      <c r="V2759">
        <v>52</v>
      </c>
      <c r="W2759" t="s">
        <v>6546</v>
      </c>
      <c r="X2759">
        <v>52</v>
      </c>
      <c r="Y2759">
        <v>600</v>
      </c>
      <c r="AA2759" t="s">
        <v>23303</v>
      </c>
      <c r="AC2759" t="s">
        <v>9852</v>
      </c>
      <c r="AD2759" t="s">
        <v>23277</v>
      </c>
      <c r="AE2759" t="s">
        <v>3016</v>
      </c>
      <c r="AF2759" t="s">
        <v>23304</v>
      </c>
      <c r="AG2759" t="s">
        <v>23277</v>
      </c>
      <c r="AH2759" t="s">
        <v>3016</v>
      </c>
      <c r="AI2759" t="s">
        <v>9852</v>
      </c>
      <c r="AL2759" t="s">
        <v>23272</v>
      </c>
      <c r="AO2759" t="s">
        <v>6546</v>
      </c>
    </row>
    <row r="2760" spans="1:41" hidden="1" x14ac:dyDescent="0.35">
      <c r="A2760" t="s">
        <v>23305</v>
      </c>
      <c r="B2760" t="s">
        <v>7246</v>
      </c>
      <c r="C2760" t="s">
        <v>84</v>
      </c>
      <c r="D2760" t="s">
        <v>84</v>
      </c>
      <c r="E2760" t="s">
        <v>84</v>
      </c>
      <c r="G2760" s="13" t="s">
        <v>23154</v>
      </c>
      <c r="H2760" t="s">
        <v>23268</v>
      </c>
      <c r="I2760" t="s">
        <v>23306</v>
      </c>
      <c r="K2760" t="s">
        <v>23157</v>
      </c>
      <c r="L2760" t="s">
        <v>23158</v>
      </c>
      <c r="M2760" t="s">
        <v>7292</v>
      </c>
      <c r="N2760">
        <v>2023</v>
      </c>
      <c r="R2760">
        <v>0.15</v>
      </c>
      <c r="S2760" t="s">
        <v>8257</v>
      </c>
      <c r="T2760">
        <v>0.15</v>
      </c>
      <c r="U2760">
        <v>69.81</v>
      </c>
      <c r="V2760">
        <v>160.80000000000001</v>
      </c>
      <c r="W2760" t="s">
        <v>6546</v>
      </c>
      <c r="X2760">
        <v>160.80000000000001</v>
      </c>
      <c r="Y2760" t="s">
        <v>23307</v>
      </c>
      <c r="Z2760" t="s">
        <v>8842</v>
      </c>
      <c r="AA2760" t="s">
        <v>23293</v>
      </c>
      <c r="AB2760" t="s">
        <v>23295</v>
      </c>
      <c r="AC2760" t="s">
        <v>9852</v>
      </c>
      <c r="AD2760" t="s">
        <v>23228</v>
      </c>
      <c r="AE2760" t="s">
        <v>3016</v>
      </c>
      <c r="AF2760" t="s">
        <v>23308</v>
      </c>
      <c r="AG2760" t="s">
        <v>4232</v>
      </c>
      <c r="AH2760" t="s">
        <v>3016</v>
      </c>
      <c r="AI2760" t="s">
        <v>9852</v>
      </c>
      <c r="AL2760" t="s">
        <v>23272</v>
      </c>
      <c r="AO2760" t="s">
        <v>6546</v>
      </c>
    </row>
    <row r="2761" spans="1:41" hidden="1" x14ac:dyDescent="0.35">
      <c r="A2761" t="s">
        <v>23309</v>
      </c>
      <c r="B2761" t="s">
        <v>7246</v>
      </c>
      <c r="C2761" t="s">
        <v>84</v>
      </c>
      <c r="D2761" t="s">
        <v>84</v>
      </c>
      <c r="E2761" t="s">
        <v>84</v>
      </c>
      <c r="G2761" s="13" t="s">
        <v>23154</v>
      </c>
      <c r="H2761" t="s">
        <v>23268</v>
      </c>
      <c r="I2761" t="s">
        <v>23310</v>
      </c>
      <c r="K2761" t="s">
        <v>23157</v>
      </c>
      <c r="L2761" t="s">
        <v>23158</v>
      </c>
      <c r="M2761" t="s">
        <v>7292</v>
      </c>
      <c r="N2761">
        <v>2023</v>
      </c>
      <c r="R2761">
        <v>4.5999999999999996</v>
      </c>
      <c r="S2761" t="s">
        <v>8257</v>
      </c>
      <c r="T2761">
        <v>4.5999999999999996</v>
      </c>
      <c r="U2761">
        <v>2140.7600000000002</v>
      </c>
      <c r="V2761">
        <v>98</v>
      </c>
      <c r="W2761" t="s">
        <v>6546</v>
      </c>
      <c r="X2761">
        <v>98</v>
      </c>
      <c r="Y2761" t="s">
        <v>23311</v>
      </c>
      <c r="Z2761" t="s">
        <v>8842</v>
      </c>
      <c r="AB2761" t="s">
        <v>23312</v>
      </c>
      <c r="AC2761" t="s">
        <v>9852</v>
      </c>
      <c r="AD2761" t="s">
        <v>23254</v>
      </c>
      <c r="AE2761" t="s">
        <v>3016</v>
      </c>
      <c r="AG2761" t="s">
        <v>23313</v>
      </c>
      <c r="AH2761" t="s">
        <v>3016</v>
      </c>
      <c r="AI2761" t="s">
        <v>9852</v>
      </c>
      <c r="AL2761" t="s">
        <v>23272</v>
      </c>
      <c r="AO2761" t="s">
        <v>6546</v>
      </c>
    </row>
    <row r="2762" spans="1:41" hidden="1" x14ac:dyDescent="0.35">
      <c r="A2762" t="s">
        <v>23314</v>
      </c>
      <c r="B2762" t="s">
        <v>7246</v>
      </c>
      <c r="C2762" t="s">
        <v>84</v>
      </c>
      <c r="D2762" t="s">
        <v>84</v>
      </c>
      <c r="E2762" t="s">
        <v>84</v>
      </c>
      <c r="G2762" s="13" t="s">
        <v>23315</v>
      </c>
      <c r="H2762" t="s">
        <v>23268</v>
      </c>
      <c r="I2762" t="s">
        <v>23316</v>
      </c>
      <c r="K2762" t="s">
        <v>23317</v>
      </c>
      <c r="L2762" t="s">
        <v>23318</v>
      </c>
      <c r="M2762" t="s">
        <v>7415</v>
      </c>
      <c r="N2762">
        <v>2024</v>
      </c>
      <c r="R2762">
        <v>14</v>
      </c>
      <c r="S2762" t="s">
        <v>8257</v>
      </c>
      <c r="T2762">
        <v>14</v>
      </c>
      <c r="U2762">
        <v>6515.37</v>
      </c>
      <c r="V2762">
        <v>115</v>
      </c>
      <c r="W2762">
        <v>107.41</v>
      </c>
      <c r="X2762">
        <v>115</v>
      </c>
      <c r="Y2762">
        <v>914</v>
      </c>
      <c r="Z2762" t="s">
        <v>8842</v>
      </c>
      <c r="AA2762" t="s">
        <v>6739</v>
      </c>
      <c r="AB2762" t="s">
        <v>23319</v>
      </c>
      <c r="AC2762" t="s">
        <v>9852</v>
      </c>
      <c r="AD2762" t="s">
        <v>23320</v>
      </c>
      <c r="AE2762" t="s">
        <v>3016</v>
      </c>
      <c r="AF2762" t="s">
        <v>23321</v>
      </c>
      <c r="AG2762" t="s">
        <v>6740</v>
      </c>
      <c r="AH2762" t="s">
        <v>3016</v>
      </c>
      <c r="AI2762" t="s">
        <v>9852</v>
      </c>
      <c r="AL2762" t="s">
        <v>23272</v>
      </c>
      <c r="AO2762" t="s">
        <v>23322</v>
      </c>
    </row>
    <row r="2763" spans="1:41" hidden="1" x14ac:dyDescent="0.35">
      <c r="A2763" t="s">
        <v>23323</v>
      </c>
      <c r="B2763" t="s">
        <v>7246</v>
      </c>
      <c r="C2763" t="s">
        <v>84</v>
      </c>
      <c r="D2763" t="s">
        <v>84</v>
      </c>
      <c r="E2763" t="s">
        <v>84</v>
      </c>
      <c r="G2763" s="13" t="s">
        <v>23324</v>
      </c>
      <c r="H2763" t="s">
        <v>23268</v>
      </c>
      <c r="I2763" t="s">
        <v>23325</v>
      </c>
      <c r="K2763" t="s">
        <v>23157</v>
      </c>
      <c r="L2763" t="s">
        <v>23158</v>
      </c>
      <c r="M2763" t="s">
        <v>7415</v>
      </c>
      <c r="N2763">
        <v>2022</v>
      </c>
      <c r="R2763">
        <v>1.1000000000000001</v>
      </c>
      <c r="S2763" t="s">
        <v>8257</v>
      </c>
      <c r="T2763">
        <v>1.1000000000000001</v>
      </c>
      <c r="U2763">
        <v>511.92</v>
      </c>
      <c r="V2763">
        <v>62</v>
      </c>
      <c r="W2763">
        <v>21.18</v>
      </c>
      <c r="X2763">
        <v>62</v>
      </c>
      <c r="AA2763" t="s">
        <v>23326</v>
      </c>
      <c r="AC2763" t="s">
        <v>9852</v>
      </c>
      <c r="AD2763" t="s">
        <v>23198</v>
      </c>
      <c r="AE2763" t="s">
        <v>3016</v>
      </c>
      <c r="AF2763" t="s">
        <v>23327</v>
      </c>
      <c r="AG2763" t="s">
        <v>23198</v>
      </c>
      <c r="AH2763" t="s">
        <v>3016</v>
      </c>
      <c r="AI2763" t="s">
        <v>9852</v>
      </c>
      <c r="AL2763" t="s">
        <v>23272</v>
      </c>
      <c r="AO2763" t="s">
        <v>23328</v>
      </c>
    </row>
    <row r="2764" spans="1:41" hidden="1" x14ac:dyDescent="0.35">
      <c r="A2764" t="s">
        <v>23329</v>
      </c>
      <c r="B2764" t="s">
        <v>7246</v>
      </c>
      <c r="C2764" t="s">
        <v>84</v>
      </c>
      <c r="D2764" t="s">
        <v>84</v>
      </c>
      <c r="E2764" t="s">
        <v>84</v>
      </c>
      <c r="G2764" s="13" t="s">
        <v>23330</v>
      </c>
      <c r="H2764" t="s">
        <v>23268</v>
      </c>
      <c r="I2764" t="s">
        <v>23331</v>
      </c>
      <c r="K2764" t="s">
        <v>22428</v>
      </c>
      <c r="L2764" t="s">
        <v>22428</v>
      </c>
      <c r="M2764" t="s">
        <v>7250</v>
      </c>
      <c r="N2764">
        <v>2020</v>
      </c>
      <c r="R2764">
        <v>10.7</v>
      </c>
      <c r="S2764" t="s">
        <v>8257</v>
      </c>
      <c r="T2764">
        <v>10.7</v>
      </c>
      <c r="U2764">
        <v>4979.6000000000004</v>
      </c>
      <c r="V2764">
        <v>65</v>
      </c>
      <c r="W2764">
        <v>50.8</v>
      </c>
      <c r="X2764">
        <v>65</v>
      </c>
      <c r="AA2764" t="s">
        <v>23332</v>
      </c>
      <c r="AB2764" t="s">
        <v>23333</v>
      </c>
      <c r="AC2764" t="s">
        <v>9852</v>
      </c>
      <c r="AD2764" t="s">
        <v>23334</v>
      </c>
      <c r="AE2764" t="s">
        <v>3016</v>
      </c>
      <c r="AF2764" t="s">
        <v>23335</v>
      </c>
      <c r="AG2764" t="s">
        <v>3017</v>
      </c>
      <c r="AH2764" t="s">
        <v>3016</v>
      </c>
      <c r="AI2764" t="s">
        <v>9852</v>
      </c>
      <c r="AL2764" t="s">
        <v>23272</v>
      </c>
      <c r="AO2764" t="s">
        <v>23336</v>
      </c>
    </row>
    <row r="2765" spans="1:41" hidden="1" x14ac:dyDescent="0.35">
      <c r="A2765" t="s">
        <v>23337</v>
      </c>
      <c r="B2765" t="s">
        <v>7246</v>
      </c>
      <c r="C2765" t="s">
        <v>84</v>
      </c>
      <c r="D2765" t="s">
        <v>84</v>
      </c>
      <c r="E2765" t="s">
        <v>84</v>
      </c>
      <c r="G2765" s="13" t="s">
        <v>23154</v>
      </c>
      <c r="H2765" t="s">
        <v>23268</v>
      </c>
      <c r="I2765" t="s">
        <v>23338</v>
      </c>
      <c r="K2765" t="s">
        <v>22428</v>
      </c>
      <c r="L2765" t="s">
        <v>22428</v>
      </c>
      <c r="M2765" t="s">
        <v>7250</v>
      </c>
      <c r="N2765">
        <v>2020</v>
      </c>
      <c r="R2765">
        <v>1.8</v>
      </c>
      <c r="S2765" t="s">
        <v>8257</v>
      </c>
      <c r="T2765">
        <v>1.8</v>
      </c>
      <c r="U2765">
        <v>837.69</v>
      </c>
      <c r="V2765">
        <v>75</v>
      </c>
      <c r="W2765" t="s">
        <v>6546</v>
      </c>
      <c r="X2765">
        <v>75</v>
      </c>
      <c r="Y2765">
        <v>508</v>
      </c>
      <c r="Z2765" t="s">
        <v>8842</v>
      </c>
      <c r="AC2765" t="s">
        <v>9852</v>
      </c>
      <c r="AE2765" t="s">
        <v>3016</v>
      </c>
      <c r="AH2765" t="s">
        <v>3016</v>
      </c>
      <c r="AI2765" t="s">
        <v>9852</v>
      </c>
      <c r="AL2765" t="s">
        <v>23272</v>
      </c>
      <c r="AO2765" t="s">
        <v>6546</v>
      </c>
    </row>
    <row r="2766" spans="1:41" hidden="1" x14ac:dyDescent="0.35">
      <c r="A2766" t="s">
        <v>23339</v>
      </c>
      <c r="B2766" t="s">
        <v>7246</v>
      </c>
      <c r="C2766" t="s">
        <v>84</v>
      </c>
      <c r="D2766" t="s">
        <v>84</v>
      </c>
      <c r="E2766" t="s">
        <v>84</v>
      </c>
      <c r="G2766" s="13" t="s">
        <v>23340</v>
      </c>
      <c r="H2766" t="s">
        <v>23341</v>
      </c>
      <c r="I2766" t="s">
        <v>23342</v>
      </c>
      <c r="K2766" t="s">
        <v>23343</v>
      </c>
      <c r="L2766" t="s">
        <v>23344</v>
      </c>
      <c r="M2766" t="s">
        <v>7250</v>
      </c>
      <c r="N2766">
        <v>2006</v>
      </c>
      <c r="R2766">
        <v>10.3</v>
      </c>
      <c r="S2766" t="s">
        <v>8257</v>
      </c>
      <c r="T2766">
        <v>10.3</v>
      </c>
      <c r="U2766">
        <v>4793.45</v>
      </c>
      <c r="V2766">
        <v>441</v>
      </c>
      <c r="W2766">
        <v>371.25</v>
      </c>
      <c r="X2766">
        <v>441</v>
      </c>
      <c r="AA2766" t="s">
        <v>23345</v>
      </c>
      <c r="AB2766" t="s">
        <v>23346</v>
      </c>
      <c r="AC2766" t="s">
        <v>9852</v>
      </c>
      <c r="AD2766" t="s">
        <v>23334</v>
      </c>
      <c r="AE2766" t="s">
        <v>3016</v>
      </c>
      <c r="AG2766" t="s">
        <v>23347</v>
      </c>
      <c r="AH2766" t="s">
        <v>3016</v>
      </c>
      <c r="AI2766" t="s">
        <v>9852</v>
      </c>
      <c r="AL2766" t="s">
        <v>23272</v>
      </c>
      <c r="AO2766" t="s">
        <v>23348</v>
      </c>
    </row>
    <row r="2767" spans="1:41" hidden="1" x14ac:dyDescent="0.35">
      <c r="A2767" t="s">
        <v>23349</v>
      </c>
      <c r="B2767" t="s">
        <v>7246</v>
      </c>
      <c r="C2767" t="s">
        <v>84</v>
      </c>
      <c r="D2767" t="s">
        <v>84</v>
      </c>
      <c r="E2767" t="s">
        <v>84</v>
      </c>
      <c r="G2767" s="13" t="s">
        <v>23350</v>
      </c>
      <c r="H2767" t="s">
        <v>23351</v>
      </c>
      <c r="I2767" t="s">
        <v>23352</v>
      </c>
      <c r="K2767" t="s">
        <v>23353</v>
      </c>
      <c r="L2767" t="s">
        <v>23354</v>
      </c>
      <c r="M2767" t="s">
        <v>7250</v>
      </c>
      <c r="N2767">
        <v>2017</v>
      </c>
      <c r="T2767" t="s">
        <v>6546</v>
      </c>
      <c r="U2767" t="s">
        <v>6546</v>
      </c>
      <c r="V2767" t="s">
        <v>6546</v>
      </c>
      <c r="W2767" t="s">
        <v>6546</v>
      </c>
      <c r="X2767" t="s">
        <v>6546</v>
      </c>
      <c r="AC2767" t="s">
        <v>9852</v>
      </c>
      <c r="AE2767" t="s">
        <v>4255</v>
      </c>
      <c r="AH2767" t="s">
        <v>4255</v>
      </c>
      <c r="AI2767" t="s">
        <v>9852</v>
      </c>
      <c r="AL2767" t="s">
        <v>23355</v>
      </c>
      <c r="AO2767" t="s">
        <v>6546</v>
      </c>
    </row>
    <row r="2768" spans="1:41" hidden="1" x14ac:dyDescent="0.35">
      <c r="A2768" t="s">
        <v>23356</v>
      </c>
      <c r="B2768" t="s">
        <v>7246</v>
      </c>
      <c r="C2768" t="s">
        <v>84</v>
      </c>
      <c r="D2768" t="s">
        <v>84</v>
      </c>
      <c r="E2768" t="s">
        <v>84</v>
      </c>
      <c r="G2768" s="13" t="s">
        <v>23350</v>
      </c>
      <c r="H2768" t="s">
        <v>23351</v>
      </c>
      <c r="I2768" t="s">
        <v>23357</v>
      </c>
      <c r="K2768" t="s">
        <v>22280</v>
      </c>
      <c r="L2768" t="s">
        <v>22257</v>
      </c>
      <c r="M2768" t="s">
        <v>7292</v>
      </c>
      <c r="T2768" t="s">
        <v>6546</v>
      </c>
      <c r="U2768" t="s">
        <v>6546</v>
      </c>
      <c r="V2768" t="s">
        <v>6546</v>
      </c>
      <c r="W2768" t="s">
        <v>6546</v>
      </c>
      <c r="X2768" t="s">
        <v>6546</v>
      </c>
      <c r="AC2768" t="s">
        <v>9852</v>
      </c>
      <c r="AE2768" t="s">
        <v>4255</v>
      </c>
      <c r="AH2768" t="s">
        <v>4255</v>
      </c>
      <c r="AI2768" t="s">
        <v>9852</v>
      </c>
      <c r="AL2768" t="s">
        <v>23355</v>
      </c>
      <c r="AO2768" t="s">
        <v>6546</v>
      </c>
    </row>
    <row r="2769" spans="1:41" hidden="1" x14ac:dyDescent="0.35">
      <c r="A2769" t="s">
        <v>23358</v>
      </c>
      <c r="B2769" t="s">
        <v>7246</v>
      </c>
      <c r="C2769" t="s">
        <v>84</v>
      </c>
      <c r="D2769" t="s">
        <v>84</v>
      </c>
      <c r="E2769" t="s">
        <v>84</v>
      </c>
      <c r="G2769" s="13" t="s">
        <v>23350</v>
      </c>
      <c r="H2769" t="s">
        <v>23351</v>
      </c>
      <c r="I2769" t="s">
        <v>23359</v>
      </c>
      <c r="K2769" t="s">
        <v>6543</v>
      </c>
      <c r="L2769" t="s">
        <v>6543</v>
      </c>
      <c r="M2769" t="s">
        <v>7269</v>
      </c>
      <c r="T2769" t="s">
        <v>6546</v>
      </c>
      <c r="U2769" t="s">
        <v>6546</v>
      </c>
      <c r="V2769" t="s">
        <v>6546</v>
      </c>
      <c r="W2769" t="s">
        <v>6546</v>
      </c>
      <c r="X2769" t="s">
        <v>6546</v>
      </c>
      <c r="AC2769" t="s">
        <v>9852</v>
      </c>
      <c r="AE2769" t="s">
        <v>4255</v>
      </c>
      <c r="AH2769" t="s">
        <v>4255</v>
      </c>
      <c r="AI2769" t="s">
        <v>9852</v>
      </c>
      <c r="AL2769" t="s">
        <v>23355</v>
      </c>
      <c r="AO2769" t="s">
        <v>6546</v>
      </c>
    </row>
    <row r="2770" spans="1:41" hidden="1" x14ac:dyDescent="0.35">
      <c r="A2770" t="s">
        <v>23360</v>
      </c>
      <c r="B2770" t="s">
        <v>7246</v>
      </c>
      <c r="C2770" t="s">
        <v>84</v>
      </c>
      <c r="D2770" t="s">
        <v>84</v>
      </c>
      <c r="E2770" t="s">
        <v>84</v>
      </c>
      <c r="G2770" s="13" t="s">
        <v>23350</v>
      </c>
      <c r="H2770" t="s">
        <v>23351</v>
      </c>
      <c r="I2770" t="s">
        <v>23361</v>
      </c>
      <c r="K2770" t="s">
        <v>22280</v>
      </c>
      <c r="L2770" t="s">
        <v>22257</v>
      </c>
      <c r="M2770" t="s">
        <v>7250</v>
      </c>
      <c r="N2770">
        <v>2013</v>
      </c>
      <c r="T2770" t="s">
        <v>6546</v>
      </c>
      <c r="U2770" t="s">
        <v>6546</v>
      </c>
      <c r="V2770" t="s">
        <v>6546</v>
      </c>
      <c r="W2770" t="s">
        <v>6546</v>
      </c>
      <c r="X2770" t="s">
        <v>6546</v>
      </c>
      <c r="AC2770" t="s">
        <v>9852</v>
      </c>
      <c r="AE2770" t="s">
        <v>4255</v>
      </c>
      <c r="AH2770" t="s">
        <v>4255</v>
      </c>
      <c r="AI2770" t="s">
        <v>9852</v>
      </c>
      <c r="AL2770" t="s">
        <v>23355</v>
      </c>
      <c r="AO2770" t="s">
        <v>6546</v>
      </c>
    </row>
    <row r="2771" spans="1:41" hidden="1" x14ac:dyDescent="0.35">
      <c r="A2771" t="s">
        <v>23362</v>
      </c>
      <c r="B2771" t="s">
        <v>7246</v>
      </c>
      <c r="C2771" t="s">
        <v>84</v>
      </c>
      <c r="D2771" t="s">
        <v>84</v>
      </c>
      <c r="E2771" t="s">
        <v>84</v>
      </c>
      <c r="G2771" s="13" t="s">
        <v>23350</v>
      </c>
      <c r="H2771" t="s">
        <v>23351</v>
      </c>
      <c r="I2771" t="s">
        <v>23363</v>
      </c>
      <c r="K2771" t="s">
        <v>6543</v>
      </c>
      <c r="L2771" t="s">
        <v>6543</v>
      </c>
      <c r="M2771" t="s">
        <v>7415</v>
      </c>
      <c r="N2771">
        <v>2022</v>
      </c>
      <c r="R2771">
        <v>2.5</v>
      </c>
      <c r="S2771" t="s">
        <v>8257</v>
      </c>
      <c r="T2771">
        <v>2.5</v>
      </c>
      <c r="U2771">
        <v>1163.46</v>
      </c>
      <c r="V2771" t="s">
        <v>6546</v>
      </c>
      <c r="W2771" t="s">
        <v>6546</v>
      </c>
      <c r="X2771" t="s">
        <v>6546</v>
      </c>
      <c r="Y2771">
        <v>813</v>
      </c>
      <c r="Z2771" t="s">
        <v>8842</v>
      </c>
      <c r="AC2771" t="s">
        <v>9852</v>
      </c>
      <c r="AD2771" t="s">
        <v>4275</v>
      </c>
      <c r="AE2771" t="s">
        <v>4255</v>
      </c>
      <c r="AG2771" t="s">
        <v>4267</v>
      </c>
      <c r="AH2771" t="s">
        <v>4255</v>
      </c>
      <c r="AI2771" t="s">
        <v>9852</v>
      </c>
      <c r="AL2771" t="s">
        <v>23355</v>
      </c>
      <c r="AO2771" t="s">
        <v>6546</v>
      </c>
    </row>
    <row r="2772" spans="1:41" hidden="1" x14ac:dyDescent="0.35">
      <c r="A2772" t="s">
        <v>23364</v>
      </c>
      <c r="B2772" t="s">
        <v>7246</v>
      </c>
      <c r="C2772" t="s">
        <v>84</v>
      </c>
      <c r="D2772" t="s">
        <v>84</v>
      </c>
      <c r="E2772" t="s">
        <v>84</v>
      </c>
      <c r="G2772" s="13" t="s">
        <v>23350</v>
      </c>
      <c r="H2772" t="s">
        <v>23351</v>
      </c>
      <c r="I2772" t="s">
        <v>23365</v>
      </c>
      <c r="K2772" t="s">
        <v>6543</v>
      </c>
      <c r="L2772" t="s">
        <v>6543</v>
      </c>
      <c r="M2772" t="s">
        <v>7269</v>
      </c>
      <c r="T2772" t="s">
        <v>6546</v>
      </c>
      <c r="U2772" t="s">
        <v>6546</v>
      </c>
      <c r="V2772" t="s">
        <v>6546</v>
      </c>
      <c r="W2772" t="s">
        <v>6546</v>
      </c>
      <c r="X2772" t="s">
        <v>6546</v>
      </c>
      <c r="AC2772" t="s">
        <v>9852</v>
      </c>
      <c r="AE2772" t="s">
        <v>4255</v>
      </c>
      <c r="AH2772" t="s">
        <v>4255</v>
      </c>
      <c r="AI2772" t="s">
        <v>9852</v>
      </c>
      <c r="AL2772" t="s">
        <v>23355</v>
      </c>
      <c r="AO2772" t="s">
        <v>6546</v>
      </c>
    </row>
    <row r="2773" spans="1:41" hidden="1" x14ac:dyDescent="0.35">
      <c r="A2773" t="s">
        <v>23366</v>
      </c>
      <c r="B2773" t="s">
        <v>7246</v>
      </c>
      <c r="C2773" t="s">
        <v>84</v>
      </c>
      <c r="D2773" t="s">
        <v>84</v>
      </c>
      <c r="E2773" t="s">
        <v>84</v>
      </c>
      <c r="G2773" s="13" t="s">
        <v>23350</v>
      </c>
      <c r="H2773" t="s">
        <v>23351</v>
      </c>
      <c r="K2773" t="s">
        <v>23353</v>
      </c>
      <c r="L2773" t="s">
        <v>23354</v>
      </c>
      <c r="M2773" t="s">
        <v>7250</v>
      </c>
      <c r="N2773">
        <v>2013</v>
      </c>
      <c r="O2773">
        <v>2015</v>
      </c>
      <c r="P2773">
        <v>2019</v>
      </c>
      <c r="R2773">
        <v>4</v>
      </c>
      <c r="S2773" t="s">
        <v>8257</v>
      </c>
      <c r="T2773">
        <v>4</v>
      </c>
      <c r="U2773">
        <v>1861.53</v>
      </c>
      <c r="V2773">
        <v>684</v>
      </c>
      <c r="W2773">
        <v>1057.68</v>
      </c>
      <c r="X2773">
        <v>684</v>
      </c>
      <c r="AA2773" t="s">
        <v>6763</v>
      </c>
      <c r="AB2773" t="s">
        <v>3022</v>
      </c>
      <c r="AC2773" t="s">
        <v>9852</v>
      </c>
      <c r="AE2773" t="s">
        <v>4255</v>
      </c>
      <c r="AG2773" t="s">
        <v>23367</v>
      </c>
      <c r="AH2773" t="s">
        <v>4255</v>
      </c>
      <c r="AI2773" t="s">
        <v>9852</v>
      </c>
      <c r="AL2773" t="s">
        <v>23355</v>
      </c>
      <c r="AO2773" t="s">
        <v>23368</v>
      </c>
    </row>
    <row r="2774" spans="1:41" hidden="1" x14ac:dyDescent="0.35">
      <c r="A2774" t="s">
        <v>23369</v>
      </c>
      <c r="B2774" t="s">
        <v>7246</v>
      </c>
      <c r="C2774" t="s">
        <v>84</v>
      </c>
      <c r="D2774" t="s">
        <v>84</v>
      </c>
      <c r="E2774" t="s">
        <v>84</v>
      </c>
      <c r="G2774" s="13" t="s">
        <v>23350</v>
      </c>
      <c r="H2774" t="s">
        <v>23370</v>
      </c>
      <c r="K2774" t="s">
        <v>22280</v>
      </c>
      <c r="L2774" t="s">
        <v>22257</v>
      </c>
      <c r="M2774" t="s">
        <v>7292</v>
      </c>
      <c r="R2774">
        <v>7</v>
      </c>
      <c r="S2774" t="s">
        <v>8257</v>
      </c>
      <c r="T2774">
        <v>7</v>
      </c>
      <c r="U2774">
        <v>3257.68</v>
      </c>
      <c r="V2774">
        <v>244</v>
      </c>
      <c r="W2774" t="s">
        <v>6546</v>
      </c>
      <c r="X2774">
        <v>244</v>
      </c>
      <c r="Y2774">
        <v>1016</v>
      </c>
      <c r="Z2774" t="s">
        <v>8842</v>
      </c>
      <c r="AA2774" t="s">
        <v>6763</v>
      </c>
      <c r="AC2774" t="s">
        <v>9852</v>
      </c>
      <c r="AE2774" t="s">
        <v>4255</v>
      </c>
      <c r="AH2774" t="s">
        <v>4255</v>
      </c>
      <c r="AI2774" t="s">
        <v>9852</v>
      </c>
      <c r="AL2774" t="s">
        <v>23371</v>
      </c>
      <c r="AO2774" t="s">
        <v>6546</v>
      </c>
    </row>
    <row r="2775" spans="1:41" hidden="1" x14ac:dyDescent="0.35">
      <c r="A2775" t="s">
        <v>23372</v>
      </c>
      <c r="B2775" t="s">
        <v>7246</v>
      </c>
      <c r="C2775" t="s">
        <v>84</v>
      </c>
      <c r="D2775" t="s">
        <v>84</v>
      </c>
      <c r="E2775" t="s">
        <v>84</v>
      </c>
      <c r="G2775" s="13" t="s">
        <v>23350</v>
      </c>
      <c r="H2775" t="s">
        <v>23370</v>
      </c>
      <c r="I2775" t="s">
        <v>23373</v>
      </c>
      <c r="K2775" t="s">
        <v>22280</v>
      </c>
      <c r="L2775" t="s">
        <v>22257</v>
      </c>
      <c r="M2775" t="s">
        <v>7292</v>
      </c>
      <c r="R2775">
        <v>1</v>
      </c>
      <c r="S2775" t="s">
        <v>8257</v>
      </c>
      <c r="T2775">
        <v>1</v>
      </c>
      <c r="U2775">
        <v>465.38</v>
      </c>
      <c r="V2775">
        <v>344.4</v>
      </c>
      <c r="W2775" t="s">
        <v>6546</v>
      </c>
      <c r="X2775">
        <v>344.4</v>
      </c>
      <c r="Y2775">
        <v>500</v>
      </c>
      <c r="Z2775" t="s">
        <v>8842</v>
      </c>
      <c r="AA2775" t="s">
        <v>23374</v>
      </c>
      <c r="AB2775" t="s">
        <v>23375</v>
      </c>
      <c r="AC2775" t="s">
        <v>9852</v>
      </c>
      <c r="AD2775" t="s">
        <v>23375</v>
      </c>
      <c r="AE2775" t="s">
        <v>4255</v>
      </c>
      <c r="AF2775" t="s">
        <v>23376</v>
      </c>
      <c r="AG2775" t="s">
        <v>23376</v>
      </c>
      <c r="AH2775" t="s">
        <v>4840</v>
      </c>
      <c r="AI2775" t="s">
        <v>9852</v>
      </c>
      <c r="AL2775" t="s">
        <v>23377</v>
      </c>
      <c r="AO2775" t="s">
        <v>6546</v>
      </c>
    </row>
    <row r="2776" spans="1:41" hidden="1" x14ac:dyDescent="0.35">
      <c r="A2776" t="s">
        <v>23378</v>
      </c>
      <c r="B2776" t="s">
        <v>7246</v>
      </c>
      <c r="C2776" t="s">
        <v>84</v>
      </c>
      <c r="D2776" t="s">
        <v>84</v>
      </c>
      <c r="E2776" t="s">
        <v>84</v>
      </c>
      <c r="G2776" s="13" t="s">
        <v>23379</v>
      </c>
      <c r="H2776" t="s">
        <v>23380</v>
      </c>
      <c r="I2776" t="s">
        <v>23381</v>
      </c>
      <c r="K2776" t="s">
        <v>23382</v>
      </c>
      <c r="L2776" t="s">
        <v>23383</v>
      </c>
      <c r="M2776" t="s">
        <v>7292</v>
      </c>
      <c r="R2776">
        <v>0.36</v>
      </c>
      <c r="S2776" t="s">
        <v>8257</v>
      </c>
      <c r="T2776">
        <v>0.36</v>
      </c>
      <c r="U2776">
        <v>167.54</v>
      </c>
      <c r="V2776">
        <v>92</v>
      </c>
      <c r="W2776">
        <v>58.59</v>
      </c>
      <c r="X2776">
        <v>92</v>
      </c>
      <c r="Y2776">
        <v>323.89999999999998</v>
      </c>
      <c r="Z2776" t="s">
        <v>8842</v>
      </c>
      <c r="AC2776" t="s">
        <v>9852</v>
      </c>
      <c r="AD2776" t="s">
        <v>23375</v>
      </c>
      <c r="AE2776" t="s">
        <v>4255</v>
      </c>
      <c r="AF2776" t="s">
        <v>23384</v>
      </c>
      <c r="AG2776" t="s">
        <v>23375</v>
      </c>
      <c r="AH2776" t="s">
        <v>4255</v>
      </c>
      <c r="AI2776" t="s">
        <v>9852</v>
      </c>
      <c r="AL2776" t="s">
        <v>23377</v>
      </c>
      <c r="AO2776" t="s">
        <v>23385</v>
      </c>
    </row>
    <row r="2777" spans="1:41" hidden="1" x14ac:dyDescent="0.35">
      <c r="A2777" t="s">
        <v>23386</v>
      </c>
      <c r="B2777" t="s">
        <v>7246</v>
      </c>
      <c r="C2777" t="s">
        <v>84</v>
      </c>
      <c r="D2777" t="s">
        <v>84</v>
      </c>
      <c r="E2777" t="s">
        <v>84</v>
      </c>
      <c r="G2777" s="13" t="s">
        <v>23379</v>
      </c>
      <c r="H2777" t="s">
        <v>23380</v>
      </c>
      <c r="I2777" t="s">
        <v>23387</v>
      </c>
      <c r="K2777" t="s">
        <v>23382</v>
      </c>
      <c r="L2777" t="s">
        <v>23383</v>
      </c>
      <c r="M2777" t="s">
        <v>7415</v>
      </c>
      <c r="R2777">
        <v>0.85</v>
      </c>
      <c r="S2777" t="s">
        <v>8257</v>
      </c>
      <c r="T2777">
        <v>0.85</v>
      </c>
      <c r="U2777">
        <v>395.58</v>
      </c>
      <c r="V2777">
        <v>83</v>
      </c>
      <c r="W2777">
        <v>58.48</v>
      </c>
      <c r="X2777">
        <v>83</v>
      </c>
      <c r="Y2777">
        <v>355.6</v>
      </c>
      <c r="Z2777" t="s">
        <v>8842</v>
      </c>
      <c r="AC2777" t="s">
        <v>9852</v>
      </c>
      <c r="AE2777" t="s">
        <v>4255</v>
      </c>
      <c r="AH2777" t="s">
        <v>4255</v>
      </c>
      <c r="AI2777" t="s">
        <v>9852</v>
      </c>
      <c r="AL2777" t="s">
        <v>23377</v>
      </c>
      <c r="AO2777" t="s">
        <v>23388</v>
      </c>
    </row>
    <row r="2778" spans="1:41" hidden="1" x14ac:dyDescent="0.35">
      <c r="A2778" t="s">
        <v>23389</v>
      </c>
      <c r="B2778" t="s">
        <v>7246</v>
      </c>
      <c r="C2778" t="s">
        <v>84</v>
      </c>
      <c r="D2778" t="s">
        <v>84</v>
      </c>
      <c r="E2778" t="s">
        <v>84</v>
      </c>
      <c r="G2778" s="13" t="s">
        <v>23379</v>
      </c>
      <c r="H2778" t="s">
        <v>23380</v>
      </c>
      <c r="I2778" t="s">
        <v>23390</v>
      </c>
      <c r="K2778" t="s">
        <v>6543</v>
      </c>
      <c r="L2778" t="s">
        <v>6543</v>
      </c>
      <c r="M2778" t="s">
        <v>7292</v>
      </c>
      <c r="R2778">
        <v>0.22</v>
      </c>
      <c r="S2778" t="s">
        <v>8257</v>
      </c>
      <c r="T2778">
        <v>0.22</v>
      </c>
      <c r="U2778">
        <v>102.38</v>
      </c>
      <c r="V2778">
        <v>100</v>
      </c>
      <c r="W2778">
        <v>66.900000000000006</v>
      </c>
      <c r="X2778">
        <v>100</v>
      </c>
      <c r="Y2778">
        <v>273.10000000000002</v>
      </c>
      <c r="Z2778" t="s">
        <v>8842</v>
      </c>
      <c r="AC2778" t="s">
        <v>9852</v>
      </c>
      <c r="AE2778" t="s">
        <v>4255</v>
      </c>
      <c r="AH2778" t="s">
        <v>4255</v>
      </c>
      <c r="AI2778" t="s">
        <v>9852</v>
      </c>
      <c r="AL2778" t="s">
        <v>23377</v>
      </c>
      <c r="AO2778" t="s">
        <v>23391</v>
      </c>
    </row>
    <row r="2779" spans="1:41" hidden="1" x14ac:dyDescent="0.35">
      <c r="A2779" t="s">
        <v>23392</v>
      </c>
      <c r="B2779" t="s">
        <v>7246</v>
      </c>
      <c r="C2779" t="s">
        <v>84</v>
      </c>
      <c r="D2779" t="s">
        <v>84</v>
      </c>
      <c r="E2779" t="s">
        <v>84</v>
      </c>
      <c r="G2779" s="13" t="s">
        <v>23379</v>
      </c>
      <c r="H2779" t="s">
        <v>23380</v>
      </c>
      <c r="I2779" t="s">
        <v>23393</v>
      </c>
      <c r="K2779" t="s">
        <v>23394</v>
      </c>
      <c r="L2779" t="s">
        <v>23394</v>
      </c>
      <c r="M2779" t="s">
        <v>7292</v>
      </c>
      <c r="R2779">
        <v>0.84</v>
      </c>
      <c r="S2779" t="s">
        <v>8257</v>
      </c>
      <c r="T2779">
        <v>0.84</v>
      </c>
      <c r="U2779">
        <v>390.92</v>
      </c>
      <c r="V2779">
        <v>106</v>
      </c>
      <c r="W2779">
        <v>97.24</v>
      </c>
      <c r="X2779">
        <v>106</v>
      </c>
      <c r="Y2779">
        <v>406.4</v>
      </c>
      <c r="Z2779" t="s">
        <v>8842</v>
      </c>
      <c r="AA2779" t="s">
        <v>23395</v>
      </c>
      <c r="AB2779" t="s">
        <v>23396</v>
      </c>
      <c r="AC2779" t="s">
        <v>9852</v>
      </c>
      <c r="AD2779" t="s">
        <v>4267</v>
      </c>
      <c r="AE2779" t="s">
        <v>4255</v>
      </c>
      <c r="AF2779" t="s">
        <v>23397</v>
      </c>
      <c r="AG2779" t="s">
        <v>4267</v>
      </c>
      <c r="AH2779" t="s">
        <v>4255</v>
      </c>
      <c r="AI2779" t="s">
        <v>9852</v>
      </c>
      <c r="AL2779" t="s">
        <v>23377</v>
      </c>
      <c r="AO2779" t="s">
        <v>23398</v>
      </c>
    </row>
    <row r="2780" spans="1:41" hidden="1" x14ac:dyDescent="0.35">
      <c r="A2780" t="s">
        <v>23399</v>
      </c>
      <c r="B2780" t="s">
        <v>7246</v>
      </c>
      <c r="C2780" t="s">
        <v>84</v>
      </c>
      <c r="D2780" t="s">
        <v>84</v>
      </c>
      <c r="E2780" t="s">
        <v>84</v>
      </c>
      <c r="G2780" s="13" t="s">
        <v>23379</v>
      </c>
      <c r="H2780" t="s">
        <v>23380</v>
      </c>
      <c r="I2780" t="s">
        <v>23400</v>
      </c>
      <c r="K2780" t="s">
        <v>23401</v>
      </c>
      <c r="L2780" t="s">
        <v>23402</v>
      </c>
      <c r="M2780" t="s">
        <v>7415</v>
      </c>
      <c r="R2780">
        <v>0.9</v>
      </c>
      <c r="S2780" t="s">
        <v>8257</v>
      </c>
      <c r="T2780">
        <v>0.9</v>
      </c>
      <c r="U2780">
        <v>418.85</v>
      </c>
      <c r="V2780">
        <v>157</v>
      </c>
      <c r="W2780">
        <v>75.75</v>
      </c>
      <c r="X2780">
        <v>157</v>
      </c>
      <c r="Y2780" t="s">
        <v>23403</v>
      </c>
      <c r="Z2780" t="s">
        <v>8842</v>
      </c>
      <c r="AB2780" t="s">
        <v>23404</v>
      </c>
      <c r="AC2780" t="s">
        <v>9852</v>
      </c>
      <c r="AD2780" t="s">
        <v>4287</v>
      </c>
      <c r="AE2780" t="s">
        <v>4255</v>
      </c>
      <c r="AF2780" t="s">
        <v>23405</v>
      </c>
      <c r="AG2780" t="s">
        <v>22281</v>
      </c>
      <c r="AH2780" t="s">
        <v>4255</v>
      </c>
      <c r="AI2780" t="s">
        <v>9852</v>
      </c>
      <c r="AL2780" t="s">
        <v>23377</v>
      </c>
      <c r="AO2780" t="s">
        <v>23406</v>
      </c>
    </row>
    <row r="2781" spans="1:41" hidden="1" x14ac:dyDescent="0.35">
      <c r="A2781" t="s">
        <v>23407</v>
      </c>
      <c r="B2781" t="s">
        <v>7246</v>
      </c>
      <c r="C2781" t="s">
        <v>84</v>
      </c>
      <c r="D2781" t="s">
        <v>84</v>
      </c>
      <c r="E2781" t="s">
        <v>84</v>
      </c>
      <c r="G2781" s="13" t="s">
        <v>23379</v>
      </c>
      <c r="H2781" t="s">
        <v>23380</v>
      </c>
      <c r="I2781" t="s">
        <v>23408</v>
      </c>
      <c r="K2781" t="s">
        <v>23382</v>
      </c>
      <c r="L2781" t="s">
        <v>23383</v>
      </c>
      <c r="M2781" t="s">
        <v>7292</v>
      </c>
      <c r="R2781">
        <v>0.19</v>
      </c>
      <c r="S2781" t="s">
        <v>8257</v>
      </c>
      <c r="T2781">
        <v>0.19</v>
      </c>
      <c r="U2781">
        <v>88.42</v>
      </c>
      <c r="V2781">
        <v>148</v>
      </c>
      <c r="W2781">
        <v>58.62</v>
      </c>
      <c r="X2781">
        <v>148</v>
      </c>
      <c r="Y2781">
        <v>273.10000000000002</v>
      </c>
      <c r="Z2781" t="s">
        <v>8842</v>
      </c>
      <c r="AC2781" t="s">
        <v>9852</v>
      </c>
      <c r="AE2781" t="s">
        <v>4255</v>
      </c>
      <c r="AH2781" t="s">
        <v>4255</v>
      </c>
      <c r="AI2781" t="s">
        <v>9852</v>
      </c>
      <c r="AL2781" t="s">
        <v>23377</v>
      </c>
      <c r="AO2781" t="s">
        <v>23409</v>
      </c>
    </row>
    <row r="2782" spans="1:41" hidden="1" x14ac:dyDescent="0.35">
      <c r="A2782" t="s">
        <v>23410</v>
      </c>
      <c r="B2782" t="s">
        <v>7246</v>
      </c>
      <c r="C2782" t="s">
        <v>84</v>
      </c>
      <c r="D2782" t="s">
        <v>84</v>
      </c>
      <c r="E2782" t="s">
        <v>84</v>
      </c>
      <c r="G2782" s="13" t="s">
        <v>23379</v>
      </c>
      <c r="H2782" t="s">
        <v>23380</v>
      </c>
      <c r="I2782" t="s">
        <v>23411</v>
      </c>
      <c r="K2782" t="s">
        <v>23382</v>
      </c>
      <c r="L2782" t="s">
        <v>23383</v>
      </c>
      <c r="M2782" t="s">
        <v>7415</v>
      </c>
      <c r="N2782">
        <v>2022</v>
      </c>
      <c r="R2782">
        <v>0.45</v>
      </c>
      <c r="S2782" t="s">
        <v>8257</v>
      </c>
      <c r="T2782">
        <v>0.45</v>
      </c>
      <c r="U2782">
        <v>209.42</v>
      </c>
      <c r="V2782">
        <v>120</v>
      </c>
      <c r="W2782">
        <v>86.88</v>
      </c>
      <c r="X2782">
        <v>120</v>
      </c>
      <c r="Y2782">
        <v>355.6</v>
      </c>
      <c r="Z2782" t="s">
        <v>8842</v>
      </c>
      <c r="AC2782" t="s">
        <v>9852</v>
      </c>
      <c r="AE2782" t="s">
        <v>4255</v>
      </c>
      <c r="AH2782" t="s">
        <v>4255</v>
      </c>
      <c r="AI2782" t="s">
        <v>9852</v>
      </c>
      <c r="AL2782" t="s">
        <v>23377</v>
      </c>
      <c r="AO2782" t="s">
        <v>23412</v>
      </c>
    </row>
    <row r="2783" spans="1:41" hidden="1" x14ac:dyDescent="0.35">
      <c r="A2783" t="s">
        <v>23413</v>
      </c>
      <c r="B2783" t="s">
        <v>7246</v>
      </c>
      <c r="C2783" t="s">
        <v>84</v>
      </c>
      <c r="D2783" t="s">
        <v>84</v>
      </c>
      <c r="E2783" t="s">
        <v>84</v>
      </c>
      <c r="G2783" s="13" t="s">
        <v>23379</v>
      </c>
      <c r="H2783" t="s">
        <v>23380</v>
      </c>
      <c r="I2783" t="s">
        <v>23414</v>
      </c>
      <c r="K2783" t="s">
        <v>23394</v>
      </c>
      <c r="L2783" t="s">
        <v>23394</v>
      </c>
      <c r="M2783" t="s">
        <v>7292</v>
      </c>
      <c r="N2783">
        <v>2023</v>
      </c>
      <c r="R2783">
        <v>0.59</v>
      </c>
      <c r="S2783" t="s">
        <v>8257</v>
      </c>
      <c r="T2783">
        <v>0.59</v>
      </c>
      <c r="U2783">
        <v>274.58</v>
      </c>
      <c r="V2783">
        <v>60</v>
      </c>
      <c r="W2783">
        <v>58.62</v>
      </c>
      <c r="X2783">
        <v>60</v>
      </c>
      <c r="Y2783">
        <v>406.4</v>
      </c>
      <c r="Z2783" t="s">
        <v>8842</v>
      </c>
      <c r="AB2783" t="s">
        <v>23415</v>
      </c>
      <c r="AC2783" t="s">
        <v>9852</v>
      </c>
      <c r="AD2783" t="s">
        <v>4281</v>
      </c>
      <c r="AE2783" t="s">
        <v>4255</v>
      </c>
      <c r="AF2783" t="s">
        <v>23416</v>
      </c>
      <c r="AG2783" t="s">
        <v>23417</v>
      </c>
      <c r="AH2783" t="s">
        <v>4255</v>
      </c>
      <c r="AI2783" t="s">
        <v>9852</v>
      </c>
      <c r="AL2783" t="s">
        <v>23377</v>
      </c>
      <c r="AO2783" t="s">
        <v>23409</v>
      </c>
    </row>
    <row r="2784" spans="1:41" hidden="1" x14ac:dyDescent="0.35">
      <c r="A2784" t="s">
        <v>23418</v>
      </c>
      <c r="B2784" t="s">
        <v>7246</v>
      </c>
      <c r="C2784" t="s">
        <v>84</v>
      </c>
      <c r="D2784" t="s">
        <v>84</v>
      </c>
      <c r="E2784" t="s">
        <v>84</v>
      </c>
      <c r="G2784" s="13" t="s">
        <v>23379</v>
      </c>
      <c r="H2784" t="s">
        <v>23380</v>
      </c>
      <c r="I2784" t="s">
        <v>23419</v>
      </c>
      <c r="K2784" t="s">
        <v>23394</v>
      </c>
      <c r="L2784" t="s">
        <v>23394</v>
      </c>
      <c r="M2784" t="s">
        <v>7292</v>
      </c>
      <c r="R2784">
        <v>1</v>
      </c>
      <c r="S2784" t="s">
        <v>8257</v>
      </c>
      <c r="T2784">
        <v>1</v>
      </c>
      <c r="U2784">
        <v>465.38</v>
      </c>
      <c r="V2784">
        <v>125</v>
      </c>
      <c r="W2784" t="s">
        <v>6546</v>
      </c>
      <c r="X2784">
        <v>125</v>
      </c>
      <c r="Y2784">
        <v>406.4</v>
      </c>
      <c r="Z2784" t="s">
        <v>8842</v>
      </c>
      <c r="AB2784" t="s">
        <v>23420</v>
      </c>
      <c r="AC2784" t="s">
        <v>9852</v>
      </c>
      <c r="AD2784" t="s">
        <v>4279</v>
      </c>
      <c r="AE2784" t="s">
        <v>4255</v>
      </c>
      <c r="AF2784" t="s">
        <v>23421</v>
      </c>
      <c r="AG2784" t="s">
        <v>23422</v>
      </c>
      <c r="AH2784" t="s">
        <v>4255</v>
      </c>
      <c r="AI2784" t="s">
        <v>9852</v>
      </c>
      <c r="AL2784" t="s">
        <v>23377</v>
      </c>
      <c r="AO2784" t="s">
        <v>6546</v>
      </c>
    </row>
    <row r="2785" spans="1:41" hidden="1" x14ac:dyDescent="0.35">
      <c r="A2785" t="s">
        <v>23423</v>
      </c>
      <c r="B2785" t="s">
        <v>7246</v>
      </c>
      <c r="C2785" t="s">
        <v>84</v>
      </c>
      <c r="D2785" t="s">
        <v>84</v>
      </c>
      <c r="E2785" t="s">
        <v>84</v>
      </c>
      <c r="G2785" s="13" t="s">
        <v>23424</v>
      </c>
      <c r="H2785" t="s">
        <v>23425</v>
      </c>
      <c r="I2785" t="s">
        <v>23426</v>
      </c>
      <c r="K2785" t="s">
        <v>22428</v>
      </c>
      <c r="L2785" t="s">
        <v>22428</v>
      </c>
      <c r="M2785" t="s">
        <v>7250</v>
      </c>
      <c r="N2785">
        <v>2004</v>
      </c>
      <c r="T2785" t="s">
        <v>6546</v>
      </c>
      <c r="U2785" t="s">
        <v>6546</v>
      </c>
      <c r="V2785" t="s">
        <v>6546</v>
      </c>
      <c r="W2785" t="s">
        <v>6546</v>
      </c>
      <c r="X2785" t="s">
        <v>6546</v>
      </c>
      <c r="AC2785" t="s">
        <v>9852</v>
      </c>
      <c r="AE2785" t="s">
        <v>3033</v>
      </c>
      <c r="AH2785" t="s">
        <v>3033</v>
      </c>
      <c r="AI2785" t="s">
        <v>9852</v>
      </c>
      <c r="AL2785" t="s">
        <v>23427</v>
      </c>
      <c r="AO2785" t="s">
        <v>6546</v>
      </c>
    </row>
    <row r="2786" spans="1:41" hidden="1" x14ac:dyDescent="0.35">
      <c r="A2786" t="s">
        <v>23428</v>
      </c>
      <c r="B2786" t="s">
        <v>7246</v>
      </c>
      <c r="C2786" t="s">
        <v>84</v>
      </c>
      <c r="D2786" t="s">
        <v>84</v>
      </c>
      <c r="E2786" t="s">
        <v>84</v>
      </c>
      <c r="G2786" s="13" t="s">
        <v>23424</v>
      </c>
      <c r="H2786" t="s">
        <v>23425</v>
      </c>
      <c r="I2786" t="s">
        <v>23429</v>
      </c>
      <c r="K2786" t="s">
        <v>22428</v>
      </c>
      <c r="L2786" t="s">
        <v>22428</v>
      </c>
      <c r="M2786" t="s">
        <v>7250</v>
      </c>
      <c r="N2786">
        <v>2004</v>
      </c>
      <c r="T2786" t="s">
        <v>6546</v>
      </c>
      <c r="U2786" t="s">
        <v>6546</v>
      </c>
      <c r="V2786" t="s">
        <v>6546</v>
      </c>
      <c r="W2786" t="s">
        <v>6546</v>
      </c>
      <c r="X2786" t="s">
        <v>6546</v>
      </c>
      <c r="AC2786" t="s">
        <v>9852</v>
      </c>
      <c r="AE2786" t="s">
        <v>3033</v>
      </c>
      <c r="AH2786" t="s">
        <v>3038</v>
      </c>
      <c r="AI2786" t="s">
        <v>9852</v>
      </c>
      <c r="AL2786" t="s">
        <v>23427</v>
      </c>
      <c r="AO2786" t="s">
        <v>6546</v>
      </c>
    </row>
    <row r="2787" spans="1:41" hidden="1" x14ac:dyDescent="0.35">
      <c r="A2787" t="s">
        <v>23430</v>
      </c>
      <c r="B2787" t="s">
        <v>7246</v>
      </c>
      <c r="C2787" t="s">
        <v>84</v>
      </c>
      <c r="D2787" t="s">
        <v>84</v>
      </c>
      <c r="E2787" t="s">
        <v>84</v>
      </c>
      <c r="G2787" s="13" t="s">
        <v>23424</v>
      </c>
      <c r="H2787" t="s">
        <v>23425</v>
      </c>
      <c r="I2787" t="s">
        <v>23431</v>
      </c>
      <c r="K2787" t="s">
        <v>22428</v>
      </c>
      <c r="L2787" t="s">
        <v>22428</v>
      </c>
      <c r="M2787" t="s">
        <v>7250</v>
      </c>
      <c r="N2787">
        <v>2004</v>
      </c>
      <c r="T2787" t="s">
        <v>6546</v>
      </c>
      <c r="U2787" t="s">
        <v>6546</v>
      </c>
      <c r="V2787" t="s">
        <v>6546</v>
      </c>
      <c r="W2787" t="s">
        <v>6546</v>
      </c>
      <c r="X2787" t="s">
        <v>6546</v>
      </c>
      <c r="AC2787" t="s">
        <v>9852</v>
      </c>
      <c r="AE2787" t="s">
        <v>3033</v>
      </c>
      <c r="AH2787" t="s">
        <v>3033</v>
      </c>
      <c r="AI2787" t="s">
        <v>9852</v>
      </c>
      <c r="AL2787" t="s">
        <v>23427</v>
      </c>
      <c r="AO2787" t="s">
        <v>6546</v>
      </c>
    </row>
    <row r="2788" spans="1:41" hidden="1" x14ac:dyDescent="0.35">
      <c r="A2788" t="s">
        <v>23432</v>
      </c>
      <c r="B2788" t="s">
        <v>7246</v>
      </c>
      <c r="C2788" t="s">
        <v>84</v>
      </c>
      <c r="D2788" t="s">
        <v>84</v>
      </c>
      <c r="E2788" t="s">
        <v>84</v>
      </c>
      <c r="G2788" s="13" t="s">
        <v>23424</v>
      </c>
      <c r="H2788" t="s">
        <v>23425</v>
      </c>
      <c r="K2788" t="s">
        <v>22428</v>
      </c>
      <c r="L2788" t="s">
        <v>22428</v>
      </c>
      <c r="M2788" t="s">
        <v>7250</v>
      </c>
      <c r="N2788">
        <v>2004</v>
      </c>
      <c r="R2788">
        <v>3</v>
      </c>
      <c r="S2788" t="s">
        <v>8257</v>
      </c>
      <c r="T2788">
        <v>3</v>
      </c>
      <c r="U2788">
        <v>1396.15</v>
      </c>
      <c r="V2788">
        <v>1347</v>
      </c>
      <c r="W2788">
        <v>1182.3800000000001</v>
      </c>
      <c r="X2788">
        <v>1347</v>
      </c>
      <c r="AA2788" t="s">
        <v>23433</v>
      </c>
      <c r="AB2788" t="s">
        <v>23434</v>
      </c>
      <c r="AC2788" t="s">
        <v>9852</v>
      </c>
      <c r="AD2788" t="s">
        <v>23434</v>
      </c>
      <c r="AE2788" t="s">
        <v>4178</v>
      </c>
      <c r="AG2788" t="s">
        <v>3036</v>
      </c>
      <c r="AH2788" t="s">
        <v>3033</v>
      </c>
      <c r="AI2788" t="s">
        <v>9852</v>
      </c>
      <c r="AL2788" t="s">
        <v>23427</v>
      </c>
      <c r="AO2788" t="s">
        <v>23435</v>
      </c>
    </row>
    <row r="2789" spans="1:41" hidden="1" x14ac:dyDescent="0.35">
      <c r="A2789" t="s">
        <v>23436</v>
      </c>
      <c r="B2789" t="s">
        <v>7246</v>
      </c>
      <c r="C2789" t="s">
        <v>84</v>
      </c>
      <c r="D2789" t="s">
        <v>84</v>
      </c>
      <c r="E2789" t="s">
        <v>84</v>
      </c>
      <c r="G2789" s="13" t="s">
        <v>23437</v>
      </c>
      <c r="H2789" t="s">
        <v>23438</v>
      </c>
      <c r="I2789" t="s">
        <v>23439</v>
      </c>
      <c r="J2789" t="s">
        <v>23440</v>
      </c>
      <c r="K2789" t="s">
        <v>23441</v>
      </c>
      <c r="L2789" t="s">
        <v>23441</v>
      </c>
      <c r="M2789" t="s">
        <v>7250</v>
      </c>
      <c r="N2789">
        <v>2006</v>
      </c>
      <c r="R2789">
        <v>1</v>
      </c>
      <c r="S2789" t="s">
        <v>8257</v>
      </c>
      <c r="T2789">
        <v>1</v>
      </c>
      <c r="U2789">
        <v>465.38</v>
      </c>
      <c r="V2789" t="s">
        <v>6546</v>
      </c>
      <c r="W2789">
        <v>290.23</v>
      </c>
      <c r="X2789">
        <v>290.23</v>
      </c>
      <c r="AA2789" t="s">
        <v>23442</v>
      </c>
      <c r="AB2789" t="s">
        <v>23443</v>
      </c>
      <c r="AC2789" t="s">
        <v>9852</v>
      </c>
      <c r="AD2789" t="s">
        <v>3068</v>
      </c>
      <c r="AE2789" t="s">
        <v>4824</v>
      </c>
      <c r="AF2789" t="s">
        <v>23444</v>
      </c>
      <c r="AG2789" t="s">
        <v>4837</v>
      </c>
      <c r="AH2789" t="s">
        <v>4824</v>
      </c>
      <c r="AI2789" t="s">
        <v>9852</v>
      </c>
      <c r="AL2789" t="s">
        <v>23445</v>
      </c>
      <c r="AO2789" t="s">
        <v>23446</v>
      </c>
    </row>
    <row r="2790" spans="1:41" hidden="1" x14ac:dyDescent="0.35">
      <c r="A2790" t="s">
        <v>23447</v>
      </c>
      <c r="B2790" t="s">
        <v>7246</v>
      </c>
      <c r="C2790" t="s">
        <v>84</v>
      </c>
      <c r="D2790" t="s">
        <v>84</v>
      </c>
      <c r="E2790" t="s">
        <v>84</v>
      </c>
      <c r="G2790" s="13" t="s">
        <v>23437</v>
      </c>
      <c r="H2790" t="s">
        <v>23438</v>
      </c>
      <c r="I2790" t="s">
        <v>23448</v>
      </c>
      <c r="J2790" t="s">
        <v>23449</v>
      </c>
      <c r="K2790" t="s">
        <v>23441</v>
      </c>
      <c r="L2790" t="s">
        <v>23441</v>
      </c>
      <c r="M2790" t="s">
        <v>7250</v>
      </c>
      <c r="N2790">
        <v>2008</v>
      </c>
      <c r="T2790" t="s">
        <v>6546</v>
      </c>
      <c r="U2790" t="s">
        <v>6546</v>
      </c>
      <c r="V2790" t="s">
        <v>6546</v>
      </c>
      <c r="W2790" t="s">
        <v>6546</v>
      </c>
      <c r="X2790" t="s">
        <v>6546</v>
      </c>
      <c r="AC2790" t="s">
        <v>9852</v>
      </c>
      <c r="AI2790" t="s">
        <v>9852</v>
      </c>
      <c r="AO2790" t="s">
        <v>6546</v>
      </c>
    </row>
    <row r="2791" spans="1:41" hidden="1" x14ac:dyDescent="0.35">
      <c r="A2791" t="s">
        <v>23450</v>
      </c>
      <c r="B2791" t="s">
        <v>7246</v>
      </c>
      <c r="C2791" t="s">
        <v>84</v>
      </c>
      <c r="D2791" t="s">
        <v>84</v>
      </c>
      <c r="E2791" t="s">
        <v>84</v>
      </c>
      <c r="G2791" s="13" t="s">
        <v>23437</v>
      </c>
      <c r="H2791" t="s">
        <v>23438</v>
      </c>
      <c r="I2791" t="s">
        <v>23451</v>
      </c>
      <c r="J2791" t="s">
        <v>23452</v>
      </c>
      <c r="K2791" t="s">
        <v>23441</v>
      </c>
      <c r="L2791" t="s">
        <v>23441</v>
      </c>
      <c r="M2791" t="s">
        <v>7250</v>
      </c>
      <c r="N2791">
        <v>2007</v>
      </c>
      <c r="T2791" t="s">
        <v>6546</v>
      </c>
      <c r="U2791" t="s">
        <v>6546</v>
      </c>
      <c r="V2791" t="s">
        <v>6546</v>
      </c>
      <c r="W2791" t="s">
        <v>6546</v>
      </c>
      <c r="X2791" t="s">
        <v>6546</v>
      </c>
      <c r="AC2791" t="s">
        <v>9852</v>
      </c>
      <c r="AI2791" t="s">
        <v>9852</v>
      </c>
      <c r="AO2791" t="s">
        <v>6546</v>
      </c>
    </row>
    <row r="2792" spans="1:41" hidden="1" x14ac:dyDescent="0.35">
      <c r="A2792" t="s">
        <v>23453</v>
      </c>
      <c r="B2792" t="s">
        <v>7246</v>
      </c>
      <c r="C2792" t="s">
        <v>84</v>
      </c>
      <c r="D2792" t="s">
        <v>84</v>
      </c>
      <c r="E2792" t="s">
        <v>84</v>
      </c>
      <c r="G2792" s="13" t="s">
        <v>23437</v>
      </c>
      <c r="H2792" t="s">
        <v>23438</v>
      </c>
      <c r="K2792" t="s">
        <v>23441</v>
      </c>
      <c r="L2792" t="s">
        <v>23441</v>
      </c>
      <c r="M2792" t="s">
        <v>7250</v>
      </c>
      <c r="N2792">
        <v>2008</v>
      </c>
      <c r="R2792">
        <v>12</v>
      </c>
      <c r="S2792" t="s">
        <v>8257</v>
      </c>
      <c r="T2792">
        <v>12</v>
      </c>
      <c r="U2792">
        <v>5584.6</v>
      </c>
      <c r="V2792">
        <v>760</v>
      </c>
      <c r="W2792" t="s">
        <v>6546</v>
      </c>
      <c r="X2792">
        <v>760</v>
      </c>
      <c r="AB2792" t="s">
        <v>23454</v>
      </c>
      <c r="AC2792" t="s">
        <v>9852</v>
      </c>
      <c r="AE2792" t="s">
        <v>4824</v>
      </c>
      <c r="AH2792" t="s">
        <v>4824</v>
      </c>
      <c r="AI2792" t="s">
        <v>9852</v>
      </c>
      <c r="AL2792" t="s">
        <v>23445</v>
      </c>
      <c r="AO2792" t="s">
        <v>6546</v>
      </c>
    </row>
    <row r="2793" spans="1:41" hidden="1" x14ac:dyDescent="0.35">
      <c r="A2793" t="s">
        <v>23455</v>
      </c>
      <c r="B2793" t="s">
        <v>7246</v>
      </c>
      <c r="C2793" t="s">
        <v>84</v>
      </c>
      <c r="D2793" t="s">
        <v>84</v>
      </c>
      <c r="E2793" t="s">
        <v>84</v>
      </c>
      <c r="G2793" s="13" t="s">
        <v>23456</v>
      </c>
      <c r="H2793" t="s">
        <v>23457</v>
      </c>
      <c r="I2793" t="s">
        <v>23457</v>
      </c>
      <c r="K2793" t="s">
        <v>23458</v>
      </c>
      <c r="L2793" t="s">
        <v>23459</v>
      </c>
      <c r="M2793" t="s">
        <v>7415</v>
      </c>
      <c r="N2793">
        <v>2022</v>
      </c>
      <c r="R2793">
        <v>2.8</v>
      </c>
      <c r="S2793" t="s">
        <v>8257</v>
      </c>
      <c r="T2793">
        <v>2.8</v>
      </c>
      <c r="U2793">
        <v>1303.07</v>
      </c>
      <c r="V2793">
        <v>141.27000000000001</v>
      </c>
      <c r="W2793">
        <v>165.55</v>
      </c>
      <c r="X2793">
        <v>141.27000000000001</v>
      </c>
      <c r="AA2793" t="s">
        <v>23460</v>
      </c>
      <c r="AB2793" t="s">
        <v>23461</v>
      </c>
      <c r="AC2793" t="s">
        <v>9852</v>
      </c>
      <c r="AD2793" t="s">
        <v>23462</v>
      </c>
      <c r="AE2793" t="s">
        <v>4824</v>
      </c>
      <c r="AF2793" t="s">
        <v>23463</v>
      </c>
      <c r="AG2793" t="s">
        <v>23463</v>
      </c>
      <c r="AH2793" t="s">
        <v>4824</v>
      </c>
      <c r="AI2793" t="s">
        <v>9852</v>
      </c>
      <c r="AL2793" t="s">
        <v>23464</v>
      </c>
      <c r="AO2793" t="s">
        <v>23465</v>
      </c>
    </row>
    <row r="2794" spans="1:41" hidden="1" x14ac:dyDescent="0.35">
      <c r="A2794" t="s">
        <v>23466</v>
      </c>
      <c r="B2794" t="s">
        <v>7246</v>
      </c>
      <c r="C2794" t="s">
        <v>84</v>
      </c>
      <c r="D2794" t="s">
        <v>84</v>
      </c>
      <c r="E2794" t="s">
        <v>84</v>
      </c>
      <c r="G2794" s="13" t="s">
        <v>23467</v>
      </c>
      <c r="H2794" t="s">
        <v>23468</v>
      </c>
      <c r="I2794" t="s">
        <v>23468</v>
      </c>
      <c r="K2794" t="s">
        <v>23469</v>
      </c>
      <c r="L2794" t="s">
        <v>22257</v>
      </c>
      <c r="M2794" t="s">
        <v>7250</v>
      </c>
      <c r="N2794">
        <v>1998</v>
      </c>
      <c r="R2794">
        <v>1.1000000000000001</v>
      </c>
      <c r="S2794" t="s">
        <v>8257</v>
      </c>
      <c r="T2794">
        <v>1.1000000000000001</v>
      </c>
      <c r="U2794">
        <v>511.92</v>
      </c>
      <c r="V2794">
        <v>192.4</v>
      </c>
      <c r="W2794">
        <v>163.68</v>
      </c>
      <c r="X2794">
        <v>192.4</v>
      </c>
      <c r="AA2794" t="s">
        <v>23460</v>
      </c>
      <c r="AB2794" t="s">
        <v>23461</v>
      </c>
      <c r="AC2794" t="s">
        <v>9852</v>
      </c>
      <c r="AD2794" t="s">
        <v>23462</v>
      </c>
      <c r="AE2794" t="s">
        <v>4824</v>
      </c>
      <c r="AF2794" t="s">
        <v>23463</v>
      </c>
      <c r="AG2794" t="s">
        <v>23463</v>
      </c>
      <c r="AH2794" t="s">
        <v>4824</v>
      </c>
      <c r="AI2794" t="s">
        <v>9852</v>
      </c>
      <c r="AL2794" t="s">
        <v>23464</v>
      </c>
      <c r="AO2794" t="s">
        <v>23470</v>
      </c>
    </row>
    <row r="2795" spans="1:41" hidden="1" x14ac:dyDescent="0.35">
      <c r="A2795" t="s">
        <v>23471</v>
      </c>
      <c r="B2795" t="s">
        <v>7246</v>
      </c>
      <c r="C2795" t="s">
        <v>84</v>
      </c>
      <c r="D2795" t="s">
        <v>84</v>
      </c>
      <c r="E2795" t="s">
        <v>84</v>
      </c>
      <c r="G2795" s="13" t="s">
        <v>23472</v>
      </c>
      <c r="H2795" t="s">
        <v>23473</v>
      </c>
      <c r="I2795" t="s">
        <v>23473</v>
      </c>
      <c r="K2795" t="s">
        <v>23469</v>
      </c>
      <c r="L2795" t="s">
        <v>22257</v>
      </c>
      <c r="M2795" t="s">
        <v>7250</v>
      </c>
      <c r="N2795">
        <v>2007</v>
      </c>
      <c r="R2795">
        <v>0.6</v>
      </c>
      <c r="S2795" t="s">
        <v>8257</v>
      </c>
      <c r="T2795">
        <v>0.6</v>
      </c>
      <c r="U2795">
        <v>279.23</v>
      </c>
      <c r="V2795">
        <v>301.63</v>
      </c>
      <c r="W2795">
        <v>295.07</v>
      </c>
      <c r="X2795">
        <v>301.63</v>
      </c>
      <c r="AA2795" t="s">
        <v>23460</v>
      </c>
      <c r="AB2795" t="s">
        <v>23474</v>
      </c>
      <c r="AC2795" t="s">
        <v>9852</v>
      </c>
      <c r="AE2795" t="s">
        <v>4824</v>
      </c>
      <c r="AF2795" t="s">
        <v>3070</v>
      </c>
      <c r="AH2795" t="s">
        <v>4824</v>
      </c>
      <c r="AI2795" t="s">
        <v>9852</v>
      </c>
      <c r="AL2795" t="s">
        <v>23464</v>
      </c>
      <c r="AO2795" t="s">
        <v>23475</v>
      </c>
    </row>
    <row r="2796" spans="1:41" hidden="1" x14ac:dyDescent="0.35">
      <c r="A2796" t="s">
        <v>23476</v>
      </c>
      <c r="B2796" t="s">
        <v>7246</v>
      </c>
      <c r="C2796" t="s">
        <v>84</v>
      </c>
      <c r="D2796" t="s">
        <v>84</v>
      </c>
      <c r="E2796" t="s">
        <v>84</v>
      </c>
      <c r="G2796" s="13" t="s">
        <v>23477</v>
      </c>
      <c r="H2796" t="s">
        <v>23478</v>
      </c>
      <c r="I2796" t="s">
        <v>23478</v>
      </c>
      <c r="K2796" t="s">
        <v>23469</v>
      </c>
      <c r="L2796" t="s">
        <v>22257</v>
      </c>
      <c r="M2796" t="s">
        <v>7250</v>
      </c>
      <c r="N2796">
        <v>2011</v>
      </c>
      <c r="O2796">
        <v>2016</v>
      </c>
      <c r="R2796">
        <v>17</v>
      </c>
      <c r="S2796" t="s">
        <v>8257</v>
      </c>
      <c r="T2796">
        <v>17</v>
      </c>
      <c r="U2796">
        <v>7911.52</v>
      </c>
      <c r="V2796">
        <v>526</v>
      </c>
      <c r="W2796">
        <v>453.25</v>
      </c>
      <c r="X2796">
        <v>526</v>
      </c>
      <c r="AA2796" t="s">
        <v>23460</v>
      </c>
      <c r="AB2796" t="s">
        <v>23461</v>
      </c>
      <c r="AC2796" t="s">
        <v>9852</v>
      </c>
      <c r="AD2796" t="s">
        <v>23462</v>
      </c>
      <c r="AE2796" t="s">
        <v>4824</v>
      </c>
      <c r="AG2796" t="s">
        <v>23479</v>
      </c>
      <c r="AH2796" t="s">
        <v>4824</v>
      </c>
      <c r="AI2796" t="s">
        <v>9852</v>
      </c>
      <c r="AL2796" t="s">
        <v>23464</v>
      </c>
      <c r="AO2796" t="s">
        <v>23480</v>
      </c>
    </row>
    <row r="2797" spans="1:41" hidden="1" x14ac:dyDescent="0.35">
      <c r="A2797" t="s">
        <v>23481</v>
      </c>
      <c r="B2797" t="s">
        <v>7246</v>
      </c>
      <c r="C2797" t="s">
        <v>84</v>
      </c>
      <c r="D2797" t="s">
        <v>84</v>
      </c>
      <c r="E2797" t="s">
        <v>84</v>
      </c>
      <c r="G2797" s="13" t="s">
        <v>23482</v>
      </c>
      <c r="H2797" t="s">
        <v>23483</v>
      </c>
      <c r="K2797" t="s">
        <v>23484</v>
      </c>
      <c r="L2797" t="s">
        <v>23484</v>
      </c>
      <c r="M2797" t="s">
        <v>7250</v>
      </c>
      <c r="N2797">
        <v>2013</v>
      </c>
      <c r="T2797" t="s">
        <v>6546</v>
      </c>
      <c r="U2797" t="s">
        <v>6546</v>
      </c>
      <c r="V2797">
        <v>3000</v>
      </c>
      <c r="W2797" t="s">
        <v>6546</v>
      </c>
      <c r="X2797">
        <v>3000</v>
      </c>
      <c r="AC2797" t="s">
        <v>9852</v>
      </c>
      <c r="AE2797" t="s">
        <v>4824</v>
      </c>
      <c r="AH2797" t="s">
        <v>4824</v>
      </c>
      <c r="AI2797" t="s">
        <v>9852</v>
      </c>
      <c r="AL2797" t="s">
        <v>23464</v>
      </c>
      <c r="AO2797" t="s">
        <v>6546</v>
      </c>
    </row>
    <row r="2798" spans="1:41" hidden="1" x14ac:dyDescent="0.35">
      <c r="A2798" t="s">
        <v>23485</v>
      </c>
      <c r="B2798" t="s">
        <v>7246</v>
      </c>
      <c r="C2798" t="s">
        <v>84</v>
      </c>
      <c r="D2798" t="s">
        <v>84</v>
      </c>
      <c r="E2798" t="s">
        <v>84</v>
      </c>
      <c r="G2798" s="13" t="s">
        <v>23486</v>
      </c>
      <c r="H2798" t="s">
        <v>23487</v>
      </c>
      <c r="I2798" t="s">
        <v>23488</v>
      </c>
      <c r="K2798" t="s">
        <v>23489</v>
      </c>
      <c r="L2798" t="s">
        <v>23490</v>
      </c>
      <c r="M2798" t="s">
        <v>7250</v>
      </c>
      <c r="N2798">
        <v>2021</v>
      </c>
      <c r="R2798">
        <v>16.8</v>
      </c>
      <c r="S2798" t="s">
        <v>8257</v>
      </c>
      <c r="T2798">
        <v>16.8</v>
      </c>
      <c r="U2798">
        <v>7818.44</v>
      </c>
      <c r="V2798">
        <v>602</v>
      </c>
      <c r="W2798" t="s">
        <v>6546</v>
      </c>
      <c r="X2798">
        <v>602</v>
      </c>
      <c r="Y2798">
        <v>1016</v>
      </c>
      <c r="Z2798" t="s">
        <v>8842</v>
      </c>
      <c r="AC2798" t="s">
        <v>9852</v>
      </c>
      <c r="AD2798" t="s">
        <v>23088</v>
      </c>
      <c r="AE2798" t="s">
        <v>3033</v>
      </c>
      <c r="AG2798" t="s">
        <v>23491</v>
      </c>
      <c r="AH2798" t="s">
        <v>3038</v>
      </c>
      <c r="AI2798" t="s">
        <v>9852</v>
      </c>
      <c r="AL2798" t="s">
        <v>23492</v>
      </c>
      <c r="AO2798" t="s">
        <v>6546</v>
      </c>
    </row>
    <row r="2799" spans="1:41" hidden="1" x14ac:dyDescent="0.35">
      <c r="A2799" t="s">
        <v>23493</v>
      </c>
      <c r="B2799" t="s">
        <v>7246</v>
      </c>
      <c r="C2799" t="s">
        <v>84</v>
      </c>
      <c r="D2799" t="s">
        <v>84</v>
      </c>
      <c r="E2799" t="s">
        <v>84</v>
      </c>
      <c r="G2799" s="13" t="s">
        <v>23486</v>
      </c>
      <c r="H2799" t="s">
        <v>23487</v>
      </c>
      <c r="K2799" t="s">
        <v>23489</v>
      </c>
      <c r="L2799" t="s">
        <v>23490</v>
      </c>
      <c r="M2799" t="s">
        <v>7292</v>
      </c>
      <c r="N2799">
        <v>2022</v>
      </c>
      <c r="R2799">
        <v>30</v>
      </c>
      <c r="S2799" t="s">
        <v>8257</v>
      </c>
      <c r="T2799">
        <v>30</v>
      </c>
      <c r="U2799">
        <v>13961.5</v>
      </c>
      <c r="V2799">
        <v>4159</v>
      </c>
      <c r="W2799">
        <v>6607.16</v>
      </c>
      <c r="X2799">
        <v>4159</v>
      </c>
      <c r="Y2799">
        <v>1219</v>
      </c>
      <c r="Z2799" t="s">
        <v>8842</v>
      </c>
      <c r="AA2799" t="s">
        <v>23494</v>
      </c>
      <c r="AB2799" t="s">
        <v>23495</v>
      </c>
      <c r="AC2799" t="s">
        <v>9852</v>
      </c>
      <c r="AD2799" t="s">
        <v>4827</v>
      </c>
      <c r="AE2799" t="s">
        <v>4824</v>
      </c>
      <c r="AG2799" t="s">
        <v>4238</v>
      </c>
      <c r="AH2799" t="s">
        <v>3016</v>
      </c>
      <c r="AI2799" t="s">
        <v>9852</v>
      </c>
      <c r="AL2799" t="s">
        <v>23492</v>
      </c>
      <c r="AO2799" t="s">
        <v>23496</v>
      </c>
    </row>
    <row r="2800" spans="1:41" hidden="1" x14ac:dyDescent="0.35">
      <c r="A2800" t="s">
        <v>23497</v>
      </c>
      <c r="B2800" t="s">
        <v>7246</v>
      </c>
      <c r="C2800" t="s">
        <v>84</v>
      </c>
      <c r="D2800" t="s">
        <v>84</v>
      </c>
      <c r="E2800" t="s">
        <v>84</v>
      </c>
      <c r="G2800" s="13" t="s">
        <v>23486</v>
      </c>
      <c r="H2800" t="s">
        <v>23487</v>
      </c>
      <c r="I2800" t="s">
        <v>23498</v>
      </c>
      <c r="K2800" t="s">
        <v>23489</v>
      </c>
      <c r="L2800" t="s">
        <v>23490</v>
      </c>
      <c r="M2800" t="s">
        <v>7731</v>
      </c>
      <c r="R2800">
        <v>30</v>
      </c>
      <c r="T2800" t="s">
        <v>6546</v>
      </c>
      <c r="U2800" t="s">
        <v>6546</v>
      </c>
      <c r="V2800">
        <v>793</v>
      </c>
      <c r="W2800" t="s">
        <v>6546</v>
      </c>
      <c r="X2800">
        <v>793</v>
      </c>
      <c r="Y2800">
        <v>1219</v>
      </c>
      <c r="Z2800" t="s">
        <v>8842</v>
      </c>
      <c r="AC2800" t="s">
        <v>9852</v>
      </c>
      <c r="AI2800" t="s">
        <v>9852</v>
      </c>
      <c r="AL2800" t="s">
        <v>23492</v>
      </c>
      <c r="AO2800" t="s">
        <v>6546</v>
      </c>
    </row>
    <row r="2801" spans="1:41" hidden="1" x14ac:dyDescent="0.35">
      <c r="A2801" t="s">
        <v>23499</v>
      </c>
      <c r="B2801" t="s">
        <v>7246</v>
      </c>
      <c r="C2801" t="s">
        <v>84</v>
      </c>
      <c r="D2801" t="s">
        <v>84</v>
      </c>
      <c r="E2801" t="s">
        <v>84</v>
      </c>
      <c r="G2801" s="13" t="s">
        <v>23486</v>
      </c>
      <c r="H2801" t="s">
        <v>23487</v>
      </c>
      <c r="I2801" t="s">
        <v>23500</v>
      </c>
      <c r="K2801" t="s">
        <v>23489</v>
      </c>
      <c r="L2801" t="s">
        <v>23490</v>
      </c>
      <c r="M2801" t="s">
        <v>7292</v>
      </c>
      <c r="R2801">
        <v>30</v>
      </c>
      <c r="T2801" t="s">
        <v>6546</v>
      </c>
      <c r="U2801" t="s">
        <v>6546</v>
      </c>
      <c r="V2801">
        <v>127</v>
      </c>
      <c r="W2801" t="s">
        <v>6546</v>
      </c>
      <c r="X2801">
        <v>127</v>
      </c>
      <c r="Y2801">
        <v>1219</v>
      </c>
      <c r="Z2801" t="s">
        <v>8842</v>
      </c>
      <c r="AC2801" t="s">
        <v>9852</v>
      </c>
      <c r="AI2801" t="s">
        <v>9852</v>
      </c>
      <c r="AL2801" t="s">
        <v>23492</v>
      </c>
      <c r="AO2801" t="s">
        <v>6546</v>
      </c>
    </row>
    <row r="2802" spans="1:41" hidden="1" x14ac:dyDescent="0.35">
      <c r="A2802" t="s">
        <v>23501</v>
      </c>
      <c r="B2802" t="s">
        <v>7246</v>
      </c>
      <c r="C2802" t="s">
        <v>84</v>
      </c>
      <c r="D2802" t="s">
        <v>84</v>
      </c>
      <c r="E2802" t="s">
        <v>84</v>
      </c>
      <c r="G2802" s="13" t="s">
        <v>23486</v>
      </c>
      <c r="H2802" t="s">
        <v>23487</v>
      </c>
      <c r="I2802" t="s">
        <v>23502</v>
      </c>
      <c r="K2802" t="s">
        <v>23489</v>
      </c>
      <c r="L2802" t="s">
        <v>23490</v>
      </c>
      <c r="M2802" t="s">
        <v>7292</v>
      </c>
      <c r="R2802">
        <v>6</v>
      </c>
      <c r="T2802" t="s">
        <v>6546</v>
      </c>
      <c r="U2802" t="s">
        <v>6546</v>
      </c>
      <c r="V2802">
        <v>862</v>
      </c>
      <c r="W2802" t="s">
        <v>6546</v>
      </c>
      <c r="X2802">
        <v>862</v>
      </c>
      <c r="Y2802">
        <v>914</v>
      </c>
      <c r="Z2802" t="s">
        <v>8842</v>
      </c>
      <c r="AC2802" t="s">
        <v>9852</v>
      </c>
      <c r="AI2802" t="s">
        <v>9852</v>
      </c>
      <c r="AL2802" t="s">
        <v>23492</v>
      </c>
      <c r="AO2802" t="s">
        <v>6546</v>
      </c>
    </row>
    <row r="2803" spans="1:41" hidden="1" x14ac:dyDescent="0.35">
      <c r="A2803" t="s">
        <v>23503</v>
      </c>
      <c r="B2803" t="s">
        <v>7246</v>
      </c>
      <c r="C2803" t="s">
        <v>84</v>
      </c>
      <c r="D2803" t="s">
        <v>84</v>
      </c>
      <c r="E2803" t="s">
        <v>84</v>
      </c>
      <c r="G2803" s="13" t="s">
        <v>23486</v>
      </c>
      <c r="H2803" t="s">
        <v>23487</v>
      </c>
      <c r="I2803" t="s">
        <v>23504</v>
      </c>
      <c r="K2803" t="s">
        <v>23489</v>
      </c>
      <c r="L2803" t="s">
        <v>23490</v>
      </c>
      <c r="M2803" t="s">
        <v>7292</v>
      </c>
      <c r="R2803">
        <v>15</v>
      </c>
      <c r="T2803" t="s">
        <v>6546</v>
      </c>
      <c r="U2803" t="s">
        <v>6546</v>
      </c>
      <c r="V2803">
        <v>993</v>
      </c>
      <c r="W2803" t="s">
        <v>6546</v>
      </c>
      <c r="X2803">
        <v>993</v>
      </c>
      <c r="Y2803" t="s">
        <v>23505</v>
      </c>
      <c r="Z2803" t="s">
        <v>8842</v>
      </c>
      <c r="AC2803" t="s">
        <v>9852</v>
      </c>
      <c r="AI2803" t="s">
        <v>9852</v>
      </c>
      <c r="AL2803" t="s">
        <v>23492</v>
      </c>
      <c r="AO2803" t="s">
        <v>6546</v>
      </c>
    </row>
    <row r="2804" spans="1:41" hidden="1" x14ac:dyDescent="0.35">
      <c r="A2804" t="s">
        <v>23506</v>
      </c>
      <c r="B2804" t="s">
        <v>7246</v>
      </c>
      <c r="C2804" t="s">
        <v>84</v>
      </c>
      <c r="D2804" t="s">
        <v>84</v>
      </c>
      <c r="E2804" t="s">
        <v>84</v>
      </c>
      <c r="G2804" s="13" t="s">
        <v>23486</v>
      </c>
      <c r="H2804" t="s">
        <v>23487</v>
      </c>
      <c r="I2804" t="s">
        <v>23507</v>
      </c>
      <c r="K2804" t="s">
        <v>23489</v>
      </c>
      <c r="L2804" t="s">
        <v>23490</v>
      </c>
      <c r="M2804" t="s">
        <v>7292</v>
      </c>
      <c r="R2804">
        <v>8.5</v>
      </c>
      <c r="T2804" t="s">
        <v>6546</v>
      </c>
      <c r="U2804" t="s">
        <v>6546</v>
      </c>
      <c r="V2804">
        <v>1002</v>
      </c>
      <c r="W2804" t="s">
        <v>6546</v>
      </c>
      <c r="X2804">
        <v>1002</v>
      </c>
      <c r="Y2804" t="s">
        <v>23508</v>
      </c>
      <c r="Z2804" t="s">
        <v>8842</v>
      </c>
      <c r="AC2804" t="s">
        <v>9852</v>
      </c>
      <c r="AD2804" t="s">
        <v>23509</v>
      </c>
      <c r="AE2804" t="s">
        <v>4189</v>
      </c>
      <c r="AG2804" t="s">
        <v>4188</v>
      </c>
      <c r="AH2804" t="s">
        <v>3044</v>
      </c>
      <c r="AI2804" t="s">
        <v>9852</v>
      </c>
      <c r="AL2804" t="s">
        <v>23492</v>
      </c>
      <c r="AO2804" t="s">
        <v>6546</v>
      </c>
    </row>
    <row r="2805" spans="1:41" hidden="1" x14ac:dyDescent="0.35">
      <c r="A2805" t="s">
        <v>23510</v>
      </c>
      <c r="B2805" t="s">
        <v>7246</v>
      </c>
      <c r="C2805" t="s">
        <v>84</v>
      </c>
      <c r="D2805" t="s">
        <v>84</v>
      </c>
      <c r="E2805" t="s">
        <v>84</v>
      </c>
      <c r="G2805" s="13" t="s">
        <v>23486</v>
      </c>
      <c r="H2805" t="s">
        <v>23487</v>
      </c>
      <c r="I2805" t="s">
        <v>23511</v>
      </c>
      <c r="K2805" t="s">
        <v>23489</v>
      </c>
      <c r="L2805" t="s">
        <v>23490</v>
      </c>
      <c r="M2805" t="s">
        <v>7415</v>
      </c>
      <c r="N2805">
        <v>2022</v>
      </c>
      <c r="R2805">
        <v>2.5</v>
      </c>
      <c r="S2805" t="s">
        <v>8257</v>
      </c>
      <c r="T2805">
        <v>2.5</v>
      </c>
      <c r="U2805">
        <v>1163.46</v>
      </c>
      <c r="V2805">
        <v>463</v>
      </c>
      <c r="W2805" t="s">
        <v>6546</v>
      </c>
      <c r="X2805">
        <v>463</v>
      </c>
      <c r="Y2805">
        <v>800</v>
      </c>
      <c r="Z2805" t="s">
        <v>8842</v>
      </c>
      <c r="AB2805" t="s">
        <v>23512</v>
      </c>
      <c r="AC2805" t="s">
        <v>9852</v>
      </c>
      <c r="AD2805" t="s">
        <v>4510</v>
      </c>
      <c r="AE2805" t="s">
        <v>3038</v>
      </c>
      <c r="AF2805" t="s">
        <v>23513</v>
      </c>
      <c r="AG2805" t="s">
        <v>4267</v>
      </c>
      <c r="AH2805" t="s">
        <v>4255</v>
      </c>
      <c r="AI2805" t="s">
        <v>9852</v>
      </c>
      <c r="AL2805" t="s">
        <v>23492</v>
      </c>
      <c r="AO2805" t="s">
        <v>6546</v>
      </c>
    </row>
    <row r="2806" spans="1:41" hidden="1" x14ac:dyDescent="0.35">
      <c r="A2806" t="s">
        <v>23514</v>
      </c>
      <c r="B2806" t="s">
        <v>7246</v>
      </c>
      <c r="C2806" t="s">
        <v>84</v>
      </c>
      <c r="D2806" t="s">
        <v>84</v>
      </c>
      <c r="E2806" t="s">
        <v>84</v>
      </c>
      <c r="G2806" s="13" t="s">
        <v>23515</v>
      </c>
      <c r="H2806" t="s">
        <v>23516</v>
      </c>
      <c r="I2806" t="s">
        <v>23517</v>
      </c>
      <c r="K2806" t="s">
        <v>23518</v>
      </c>
      <c r="L2806" t="s">
        <v>22257</v>
      </c>
      <c r="M2806" t="s">
        <v>7250</v>
      </c>
      <c r="N2806">
        <v>2005</v>
      </c>
      <c r="R2806">
        <v>3</v>
      </c>
      <c r="S2806" t="s">
        <v>8257</v>
      </c>
      <c r="T2806">
        <v>3</v>
      </c>
      <c r="U2806">
        <v>1396.15</v>
      </c>
      <c r="V2806">
        <v>250</v>
      </c>
      <c r="W2806">
        <v>192.65</v>
      </c>
      <c r="X2806">
        <v>250</v>
      </c>
      <c r="AB2806" t="s">
        <v>22421</v>
      </c>
      <c r="AC2806" t="s">
        <v>9852</v>
      </c>
      <c r="AD2806" t="s">
        <v>22422</v>
      </c>
      <c r="AE2806" t="s">
        <v>23519</v>
      </c>
      <c r="AF2806" t="s">
        <v>3059</v>
      </c>
      <c r="AG2806" t="s">
        <v>3059</v>
      </c>
      <c r="AH2806" t="s">
        <v>3058</v>
      </c>
      <c r="AI2806" t="s">
        <v>9852</v>
      </c>
      <c r="AL2806" t="s">
        <v>23520</v>
      </c>
      <c r="AO2806" t="s">
        <v>23521</v>
      </c>
    </row>
    <row r="2807" spans="1:41" hidden="1" x14ac:dyDescent="0.35">
      <c r="A2807" t="s">
        <v>23522</v>
      </c>
      <c r="B2807" t="s">
        <v>7246</v>
      </c>
      <c r="C2807" t="s">
        <v>84</v>
      </c>
      <c r="D2807" t="s">
        <v>84</v>
      </c>
      <c r="E2807" t="s">
        <v>84</v>
      </c>
      <c r="G2807" s="13" t="s">
        <v>23523</v>
      </c>
      <c r="H2807" t="s">
        <v>23516</v>
      </c>
      <c r="I2807" t="s">
        <v>23524</v>
      </c>
      <c r="K2807" t="s">
        <v>23518</v>
      </c>
      <c r="L2807" t="s">
        <v>22257</v>
      </c>
      <c r="M2807" t="s">
        <v>7250</v>
      </c>
      <c r="N2807">
        <v>1999</v>
      </c>
      <c r="R2807">
        <v>0.4</v>
      </c>
      <c r="S2807" t="s">
        <v>8257</v>
      </c>
      <c r="T2807">
        <v>0.4</v>
      </c>
      <c r="U2807">
        <v>186.15</v>
      </c>
      <c r="V2807">
        <v>278</v>
      </c>
      <c r="W2807">
        <v>195.42</v>
      </c>
      <c r="X2807">
        <v>278</v>
      </c>
      <c r="AC2807" t="s">
        <v>9852</v>
      </c>
      <c r="AD2807" t="s">
        <v>23525</v>
      </c>
      <c r="AE2807" t="s">
        <v>3058</v>
      </c>
      <c r="AG2807" t="s">
        <v>3059</v>
      </c>
      <c r="AH2807" t="s">
        <v>3058</v>
      </c>
      <c r="AI2807" t="s">
        <v>9852</v>
      </c>
      <c r="AL2807" t="s">
        <v>23520</v>
      </c>
      <c r="AO2807" t="s">
        <v>23526</v>
      </c>
    </row>
    <row r="2808" spans="1:41" hidden="1" x14ac:dyDescent="0.35">
      <c r="A2808" t="s">
        <v>23527</v>
      </c>
      <c r="B2808" t="s">
        <v>7246</v>
      </c>
      <c r="C2808" t="s">
        <v>84</v>
      </c>
      <c r="D2808" t="s">
        <v>84</v>
      </c>
      <c r="E2808" t="s">
        <v>84</v>
      </c>
      <c r="G2808" s="13" t="s">
        <v>23528</v>
      </c>
      <c r="H2808" t="s">
        <v>23516</v>
      </c>
      <c r="I2808" t="s">
        <v>23529</v>
      </c>
      <c r="K2808" t="s">
        <v>23518</v>
      </c>
      <c r="L2808" t="s">
        <v>22257</v>
      </c>
      <c r="M2808" t="s">
        <v>7250</v>
      </c>
      <c r="N2808">
        <v>2010</v>
      </c>
      <c r="R2808">
        <v>3</v>
      </c>
      <c r="S2808" t="s">
        <v>8257</v>
      </c>
      <c r="T2808">
        <v>3</v>
      </c>
      <c r="U2808">
        <v>1396.15</v>
      </c>
      <c r="V2808">
        <v>911</v>
      </c>
      <c r="W2808">
        <v>791.96</v>
      </c>
      <c r="X2808">
        <v>911</v>
      </c>
      <c r="AA2808" t="s">
        <v>22485</v>
      </c>
      <c r="AB2808" t="s">
        <v>4287</v>
      </c>
      <c r="AC2808" t="s">
        <v>9852</v>
      </c>
      <c r="AD2808" t="s">
        <v>4287</v>
      </c>
      <c r="AE2808" t="s">
        <v>4675</v>
      </c>
      <c r="AF2808" t="s">
        <v>23530</v>
      </c>
      <c r="AG2808" t="s">
        <v>4691</v>
      </c>
      <c r="AH2808" t="s">
        <v>3058</v>
      </c>
      <c r="AI2808" t="s">
        <v>9852</v>
      </c>
      <c r="AL2808" t="s">
        <v>23520</v>
      </c>
      <c r="AO2808" t="s">
        <v>23531</v>
      </c>
    </row>
    <row r="2809" spans="1:41" hidden="1" x14ac:dyDescent="0.35">
      <c r="A2809" t="s">
        <v>23532</v>
      </c>
      <c r="B2809" t="s">
        <v>7246</v>
      </c>
      <c r="C2809" t="s">
        <v>84</v>
      </c>
      <c r="D2809" t="s">
        <v>84</v>
      </c>
      <c r="E2809" t="s">
        <v>84</v>
      </c>
      <c r="G2809" s="13" t="s">
        <v>23533</v>
      </c>
      <c r="H2809" t="s">
        <v>23534</v>
      </c>
      <c r="I2809" t="s">
        <v>23535</v>
      </c>
      <c r="K2809" t="s">
        <v>23536</v>
      </c>
      <c r="L2809" t="s">
        <v>23536</v>
      </c>
      <c r="M2809" t="s">
        <v>7292</v>
      </c>
      <c r="R2809">
        <v>5</v>
      </c>
      <c r="S2809" t="s">
        <v>8257</v>
      </c>
      <c r="T2809">
        <v>5</v>
      </c>
      <c r="U2809">
        <v>2326.92</v>
      </c>
      <c r="V2809">
        <v>78</v>
      </c>
      <c r="W2809" t="s">
        <v>6546</v>
      </c>
      <c r="X2809">
        <v>78</v>
      </c>
      <c r="Y2809">
        <v>1016</v>
      </c>
      <c r="Z2809" t="s">
        <v>8842</v>
      </c>
      <c r="AB2809" t="s">
        <v>23537</v>
      </c>
      <c r="AC2809" t="s">
        <v>9852</v>
      </c>
      <c r="AE2809" t="s">
        <v>3041</v>
      </c>
      <c r="AF2809" t="s">
        <v>23538</v>
      </c>
      <c r="AG2809" t="s">
        <v>3042</v>
      </c>
      <c r="AH2809" t="s">
        <v>3041</v>
      </c>
      <c r="AI2809" t="s">
        <v>9852</v>
      </c>
      <c r="AL2809" t="s">
        <v>23539</v>
      </c>
      <c r="AO2809" t="s">
        <v>6546</v>
      </c>
    </row>
    <row r="2810" spans="1:41" hidden="1" x14ac:dyDescent="0.35">
      <c r="A2810" t="s">
        <v>23540</v>
      </c>
      <c r="B2810" t="s">
        <v>7246</v>
      </c>
      <c r="C2810" t="s">
        <v>84</v>
      </c>
      <c r="D2810" t="s">
        <v>84</v>
      </c>
      <c r="E2810" t="s">
        <v>84</v>
      </c>
      <c r="G2810" s="13" t="s">
        <v>23533</v>
      </c>
      <c r="H2810" t="s">
        <v>23534</v>
      </c>
      <c r="I2810" t="s">
        <v>23541</v>
      </c>
      <c r="K2810" t="s">
        <v>23542</v>
      </c>
      <c r="L2810" t="s">
        <v>23543</v>
      </c>
      <c r="M2810" t="s">
        <v>7250</v>
      </c>
      <c r="N2810">
        <v>2011</v>
      </c>
      <c r="R2810">
        <v>0.35</v>
      </c>
      <c r="S2810" t="s">
        <v>8257</v>
      </c>
      <c r="T2810">
        <v>0.35</v>
      </c>
      <c r="U2810">
        <v>162.88</v>
      </c>
      <c r="V2810">
        <v>136</v>
      </c>
      <c r="W2810">
        <v>124.32</v>
      </c>
      <c r="X2810">
        <v>136</v>
      </c>
      <c r="AA2810" t="s">
        <v>22439</v>
      </c>
      <c r="AB2810" t="s">
        <v>23544</v>
      </c>
      <c r="AC2810" t="s">
        <v>9852</v>
      </c>
      <c r="AE2810" t="s">
        <v>3041</v>
      </c>
      <c r="AF2810" t="s">
        <v>23545</v>
      </c>
      <c r="AH2810" t="s">
        <v>3041</v>
      </c>
      <c r="AI2810" t="s">
        <v>9852</v>
      </c>
      <c r="AL2810" t="s">
        <v>23539</v>
      </c>
      <c r="AO2810" t="s">
        <v>23546</v>
      </c>
    </row>
    <row r="2811" spans="1:41" hidden="1" x14ac:dyDescent="0.35">
      <c r="A2811" t="s">
        <v>23547</v>
      </c>
      <c r="B2811" t="s">
        <v>7246</v>
      </c>
      <c r="C2811" t="s">
        <v>84</v>
      </c>
      <c r="D2811" t="s">
        <v>84</v>
      </c>
      <c r="E2811" t="s">
        <v>84</v>
      </c>
      <c r="G2811" s="13" t="s">
        <v>23533</v>
      </c>
      <c r="H2811" t="s">
        <v>23534</v>
      </c>
      <c r="I2811" t="s">
        <v>23548</v>
      </c>
      <c r="K2811" t="s">
        <v>6543</v>
      </c>
      <c r="L2811" t="s">
        <v>6543</v>
      </c>
      <c r="M2811" t="s">
        <v>7292</v>
      </c>
      <c r="R2811">
        <v>2.38</v>
      </c>
      <c r="S2811" t="s">
        <v>8257</v>
      </c>
      <c r="T2811">
        <v>2.38</v>
      </c>
      <c r="U2811">
        <v>1107.6099999999999</v>
      </c>
      <c r="V2811">
        <v>254</v>
      </c>
      <c r="W2811">
        <v>225.54</v>
      </c>
      <c r="X2811">
        <v>254</v>
      </c>
      <c r="Y2811">
        <v>508</v>
      </c>
      <c r="Z2811" t="s">
        <v>8842</v>
      </c>
      <c r="AC2811" t="s">
        <v>9852</v>
      </c>
      <c r="AE2811" t="s">
        <v>3041</v>
      </c>
      <c r="AH2811" t="s">
        <v>3041</v>
      </c>
      <c r="AI2811" t="s">
        <v>9852</v>
      </c>
      <c r="AL2811" t="s">
        <v>23539</v>
      </c>
      <c r="AO2811" t="s">
        <v>23549</v>
      </c>
    </row>
    <row r="2812" spans="1:41" hidden="1" x14ac:dyDescent="0.35">
      <c r="A2812" t="s">
        <v>23550</v>
      </c>
      <c r="B2812" t="s">
        <v>7246</v>
      </c>
      <c r="C2812" t="s">
        <v>84</v>
      </c>
      <c r="D2812" t="s">
        <v>84</v>
      </c>
      <c r="E2812" t="s">
        <v>84</v>
      </c>
      <c r="G2812" s="13" t="s">
        <v>23533</v>
      </c>
      <c r="H2812" t="s">
        <v>23534</v>
      </c>
      <c r="I2812" t="s">
        <v>23551</v>
      </c>
      <c r="K2812" t="s">
        <v>23552</v>
      </c>
      <c r="L2812" t="s">
        <v>23553</v>
      </c>
      <c r="M2812" t="s">
        <v>7292</v>
      </c>
      <c r="R2812">
        <v>1.2</v>
      </c>
      <c r="S2812" t="s">
        <v>8257</v>
      </c>
      <c r="T2812">
        <v>1.2</v>
      </c>
      <c r="U2812">
        <v>558.46</v>
      </c>
      <c r="V2812">
        <v>639</v>
      </c>
      <c r="W2812">
        <v>532.22</v>
      </c>
      <c r="X2812">
        <v>639</v>
      </c>
      <c r="Y2812" t="s">
        <v>23554</v>
      </c>
      <c r="Z2812" t="s">
        <v>8842</v>
      </c>
      <c r="AB2812" t="s">
        <v>23555</v>
      </c>
      <c r="AC2812" t="s">
        <v>9852</v>
      </c>
      <c r="AD2812" t="s">
        <v>4564</v>
      </c>
      <c r="AE2812" t="s">
        <v>3041</v>
      </c>
      <c r="AF2812" t="s">
        <v>23556</v>
      </c>
      <c r="AG2812" t="s">
        <v>4575</v>
      </c>
      <c r="AH2812" t="s">
        <v>3041</v>
      </c>
      <c r="AI2812" t="s">
        <v>9852</v>
      </c>
      <c r="AL2812" t="s">
        <v>23539</v>
      </c>
      <c r="AO2812" t="s">
        <v>23557</v>
      </c>
    </row>
    <row r="2813" spans="1:41" hidden="1" x14ac:dyDescent="0.35">
      <c r="A2813" t="s">
        <v>23558</v>
      </c>
      <c r="B2813" t="s">
        <v>7246</v>
      </c>
      <c r="C2813" t="s">
        <v>84</v>
      </c>
      <c r="D2813" t="s">
        <v>84</v>
      </c>
      <c r="E2813" t="s">
        <v>84</v>
      </c>
      <c r="G2813" s="13" t="s">
        <v>23533</v>
      </c>
      <c r="H2813" t="s">
        <v>23534</v>
      </c>
      <c r="I2813" t="s">
        <v>23559</v>
      </c>
      <c r="K2813" t="s">
        <v>23552</v>
      </c>
      <c r="L2813" t="s">
        <v>23553</v>
      </c>
      <c r="M2813" t="s">
        <v>7415</v>
      </c>
      <c r="N2813">
        <v>2024</v>
      </c>
      <c r="R2813">
        <v>6.16</v>
      </c>
      <c r="S2813" t="s">
        <v>8257</v>
      </c>
      <c r="T2813">
        <v>6.16</v>
      </c>
      <c r="U2813">
        <v>2866.76</v>
      </c>
      <c r="V2813" t="s">
        <v>6546</v>
      </c>
      <c r="W2813" t="s">
        <v>6546</v>
      </c>
      <c r="X2813" t="s">
        <v>6546</v>
      </c>
      <c r="Y2813">
        <v>1422</v>
      </c>
      <c r="Z2813" t="s">
        <v>8842</v>
      </c>
      <c r="AA2813" t="s">
        <v>23560</v>
      </c>
      <c r="AB2813" t="s">
        <v>6664</v>
      </c>
      <c r="AC2813" t="s">
        <v>9852</v>
      </c>
      <c r="AD2813" t="s">
        <v>4572</v>
      </c>
      <c r="AE2813" t="s">
        <v>3041</v>
      </c>
      <c r="AF2813" t="s">
        <v>23556</v>
      </c>
      <c r="AG2813" t="s">
        <v>4575</v>
      </c>
      <c r="AH2813" t="s">
        <v>3041</v>
      </c>
      <c r="AI2813" t="s">
        <v>9852</v>
      </c>
      <c r="AL2813" t="s">
        <v>23539</v>
      </c>
      <c r="AO2813" t="s">
        <v>6546</v>
      </c>
    </row>
    <row r="2814" spans="1:41" hidden="1" x14ac:dyDescent="0.35">
      <c r="A2814" t="s">
        <v>23561</v>
      </c>
      <c r="B2814" t="s">
        <v>7246</v>
      </c>
      <c r="C2814" t="s">
        <v>84</v>
      </c>
      <c r="D2814" t="s">
        <v>84</v>
      </c>
      <c r="E2814" t="s">
        <v>84</v>
      </c>
      <c r="G2814" s="13" t="s">
        <v>23533</v>
      </c>
      <c r="H2814" t="s">
        <v>23534</v>
      </c>
      <c r="I2814" t="s">
        <v>23562</v>
      </c>
      <c r="K2814" t="s">
        <v>23552</v>
      </c>
      <c r="L2814" t="s">
        <v>23553</v>
      </c>
      <c r="M2814" t="s">
        <v>7292</v>
      </c>
      <c r="T2814" t="s">
        <v>6546</v>
      </c>
      <c r="U2814" t="s">
        <v>6546</v>
      </c>
      <c r="V2814" t="s">
        <v>6546</v>
      </c>
      <c r="W2814" t="s">
        <v>6546</v>
      </c>
      <c r="X2814" t="s">
        <v>6546</v>
      </c>
      <c r="AB2814" t="s">
        <v>6664</v>
      </c>
      <c r="AC2814" t="s">
        <v>9852</v>
      </c>
      <c r="AD2814" t="s">
        <v>4572</v>
      </c>
      <c r="AE2814" t="s">
        <v>3041</v>
      </c>
      <c r="AF2814" t="s">
        <v>6701</v>
      </c>
      <c r="AH2814" t="s">
        <v>3041</v>
      </c>
      <c r="AI2814" t="s">
        <v>9852</v>
      </c>
      <c r="AL2814" t="s">
        <v>23539</v>
      </c>
      <c r="AO2814" t="s">
        <v>6546</v>
      </c>
    </row>
    <row r="2815" spans="1:41" hidden="1" x14ac:dyDescent="0.35">
      <c r="A2815" t="s">
        <v>23563</v>
      </c>
      <c r="B2815" t="s">
        <v>7246</v>
      </c>
      <c r="C2815" t="s">
        <v>84</v>
      </c>
      <c r="D2815" t="s">
        <v>84</v>
      </c>
      <c r="E2815" t="s">
        <v>84</v>
      </c>
      <c r="G2815" s="13" t="s">
        <v>23533</v>
      </c>
      <c r="H2815" t="s">
        <v>23534</v>
      </c>
      <c r="I2815" t="s">
        <v>23564</v>
      </c>
      <c r="K2815" t="s">
        <v>6543</v>
      </c>
      <c r="L2815" t="s">
        <v>6543</v>
      </c>
      <c r="M2815" t="s">
        <v>7292</v>
      </c>
      <c r="R2815">
        <v>3.73</v>
      </c>
      <c r="S2815" t="s">
        <v>8257</v>
      </c>
      <c r="T2815">
        <v>3.73</v>
      </c>
      <c r="U2815">
        <v>1735.88</v>
      </c>
      <c r="V2815">
        <v>154</v>
      </c>
      <c r="W2815">
        <v>136.72</v>
      </c>
      <c r="X2815">
        <v>154</v>
      </c>
      <c r="Y2815">
        <v>508</v>
      </c>
      <c r="Z2815" t="s">
        <v>8842</v>
      </c>
      <c r="AB2815" t="s">
        <v>23565</v>
      </c>
      <c r="AC2815" t="s">
        <v>9852</v>
      </c>
      <c r="AD2815" t="s">
        <v>4572</v>
      </c>
      <c r="AE2815" t="s">
        <v>3041</v>
      </c>
      <c r="AF2815" t="s">
        <v>23565</v>
      </c>
      <c r="AG2815" t="s">
        <v>4572</v>
      </c>
      <c r="AH2815" t="s">
        <v>3041</v>
      </c>
      <c r="AI2815" t="s">
        <v>9852</v>
      </c>
      <c r="AL2815" t="s">
        <v>23539</v>
      </c>
      <c r="AO2815" t="s">
        <v>23566</v>
      </c>
    </row>
    <row r="2816" spans="1:41" hidden="1" x14ac:dyDescent="0.35">
      <c r="A2816" t="s">
        <v>23567</v>
      </c>
      <c r="B2816" t="s">
        <v>7246</v>
      </c>
      <c r="C2816" t="s">
        <v>84</v>
      </c>
      <c r="D2816" t="s">
        <v>84</v>
      </c>
      <c r="E2816" t="s">
        <v>84</v>
      </c>
      <c r="G2816" s="13" t="s">
        <v>23533</v>
      </c>
      <c r="H2816" t="s">
        <v>23534</v>
      </c>
      <c r="I2816" t="s">
        <v>23568</v>
      </c>
      <c r="K2816" t="s">
        <v>6543</v>
      </c>
      <c r="L2816" t="s">
        <v>6543</v>
      </c>
      <c r="M2816" t="s">
        <v>7292</v>
      </c>
      <c r="R2816">
        <v>0.6</v>
      </c>
      <c r="S2816" t="s">
        <v>8257</v>
      </c>
      <c r="T2816">
        <v>0.6</v>
      </c>
      <c r="U2816">
        <v>279.23</v>
      </c>
      <c r="V2816">
        <v>53</v>
      </c>
      <c r="W2816" t="s">
        <v>6546</v>
      </c>
      <c r="X2816">
        <v>53</v>
      </c>
      <c r="Y2816">
        <v>323.8</v>
      </c>
      <c r="Z2816" t="s">
        <v>8842</v>
      </c>
      <c r="AA2816" t="s">
        <v>23569</v>
      </c>
      <c r="AB2816" t="s">
        <v>23570</v>
      </c>
      <c r="AC2816" t="s">
        <v>9852</v>
      </c>
      <c r="AD2816" t="s">
        <v>23051</v>
      </c>
      <c r="AE2816" t="s">
        <v>3041</v>
      </c>
      <c r="AF2816" t="s">
        <v>23571</v>
      </c>
      <c r="AG2816" t="s">
        <v>4553</v>
      </c>
      <c r="AH2816" t="s">
        <v>3041</v>
      </c>
      <c r="AI2816" t="s">
        <v>9852</v>
      </c>
      <c r="AL2816" t="s">
        <v>23539</v>
      </c>
      <c r="AO2816" t="s">
        <v>6546</v>
      </c>
    </row>
    <row r="2817" spans="1:41" hidden="1" x14ac:dyDescent="0.35">
      <c r="A2817" t="s">
        <v>23572</v>
      </c>
      <c r="B2817" t="s">
        <v>7246</v>
      </c>
      <c r="C2817" t="s">
        <v>84</v>
      </c>
      <c r="D2817" t="s">
        <v>84</v>
      </c>
      <c r="E2817" t="s">
        <v>84</v>
      </c>
      <c r="G2817" s="13" t="s">
        <v>23533</v>
      </c>
      <c r="H2817" t="s">
        <v>23534</v>
      </c>
      <c r="I2817" t="s">
        <v>23569</v>
      </c>
      <c r="K2817" t="s">
        <v>23552</v>
      </c>
      <c r="L2817" t="s">
        <v>23553</v>
      </c>
      <c r="M2817" t="s">
        <v>7292</v>
      </c>
      <c r="R2817">
        <v>7.37</v>
      </c>
      <c r="S2817" t="s">
        <v>8257</v>
      </c>
      <c r="T2817">
        <v>7.37</v>
      </c>
      <c r="U2817">
        <v>3429.88</v>
      </c>
      <c r="V2817">
        <v>336</v>
      </c>
      <c r="W2817">
        <v>299.33</v>
      </c>
      <c r="X2817">
        <v>336</v>
      </c>
      <c r="Y2817">
        <v>711</v>
      </c>
      <c r="Z2817" t="s">
        <v>8842</v>
      </c>
      <c r="AC2817" t="s">
        <v>9852</v>
      </c>
      <c r="AE2817" t="s">
        <v>3041</v>
      </c>
      <c r="AH2817" t="s">
        <v>3041</v>
      </c>
      <c r="AI2817" t="s">
        <v>9852</v>
      </c>
      <c r="AL2817" t="s">
        <v>23539</v>
      </c>
      <c r="AO2817" t="s">
        <v>23573</v>
      </c>
    </row>
    <row r="2818" spans="1:41" hidden="1" x14ac:dyDescent="0.35">
      <c r="A2818" t="s">
        <v>23574</v>
      </c>
      <c r="B2818" t="s">
        <v>7246</v>
      </c>
      <c r="C2818" t="s">
        <v>84</v>
      </c>
      <c r="D2818" t="s">
        <v>84</v>
      </c>
      <c r="E2818" t="s">
        <v>84</v>
      </c>
      <c r="G2818" s="13" t="s">
        <v>23533</v>
      </c>
      <c r="H2818" t="s">
        <v>23534</v>
      </c>
      <c r="I2818" t="s">
        <v>23575</v>
      </c>
      <c r="K2818" t="s">
        <v>23552</v>
      </c>
      <c r="L2818" t="s">
        <v>23553</v>
      </c>
      <c r="M2818" t="s">
        <v>7292</v>
      </c>
      <c r="R2818">
        <v>2.76</v>
      </c>
      <c r="S2818" t="s">
        <v>8257</v>
      </c>
      <c r="T2818">
        <v>2.76</v>
      </c>
      <c r="U2818">
        <v>1284.46</v>
      </c>
      <c r="V2818">
        <v>55</v>
      </c>
      <c r="W2818">
        <v>49.99</v>
      </c>
      <c r="X2818">
        <v>55</v>
      </c>
      <c r="Y2818">
        <v>508</v>
      </c>
      <c r="Z2818" t="s">
        <v>8842</v>
      </c>
      <c r="AC2818" t="s">
        <v>9852</v>
      </c>
      <c r="AE2818" t="s">
        <v>3041</v>
      </c>
      <c r="AH2818" t="s">
        <v>3041</v>
      </c>
      <c r="AI2818" t="s">
        <v>9852</v>
      </c>
      <c r="AL2818" t="s">
        <v>23539</v>
      </c>
      <c r="AO2818" t="s">
        <v>23576</v>
      </c>
    </row>
    <row r="2819" spans="1:41" hidden="1" x14ac:dyDescent="0.35">
      <c r="A2819" t="s">
        <v>23577</v>
      </c>
      <c r="B2819" t="s">
        <v>7246</v>
      </c>
      <c r="C2819" t="s">
        <v>84</v>
      </c>
      <c r="D2819" t="s">
        <v>84</v>
      </c>
      <c r="E2819" t="s">
        <v>84</v>
      </c>
      <c r="G2819" s="13" t="s">
        <v>23533</v>
      </c>
      <c r="H2819" t="s">
        <v>23534</v>
      </c>
      <c r="I2819" t="s">
        <v>23578</v>
      </c>
      <c r="K2819" t="s">
        <v>23552</v>
      </c>
      <c r="L2819" t="s">
        <v>23553</v>
      </c>
      <c r="M2819" t="s">
        <v>7292</v>
      </c>
      <c r="R2819">
        <v>1.5</v>
      </c>
      <c r="S2819" t="s">
        <v>8257</v>
      </c>
      <c r="T2819">
        <v>1.5</v>
      </c>
      <c r="U2819">
        <v>698.08</v>
      </c>
      <c r="V2819">
        <v>48</v>
      </c>
      <c r="W2819" t="s">
        <v>6546</v>
      </c>
      <c r="X2819">
        <v>48</v>
      </c>
      <c r="Y2819">
        <v>600</v>
      </c>
      <c r="Z2819" t="s">
        <v>8842</v>
      </c>
      <c r="AA2819" t="s">
        <v>23579</v>
      </c>
      <c r="AB2819" t="s">
        <v>6659</v>
      </c>
      <c r="AC2819" t="s">
        <v>9852</v>
      </c>
      <c r="AD2819" t="s">
        <v>4572</v>
      </c>
      <c r="AE2819" t="s">
        <v>3041</v>
      </c>
      <c r="AF2819" t="s">
        <v>23580</v>
      </c>
      <c r="AG2819" t="s">
        <v>4572</v>
      </c>
      <c r="AH2819" t="s">
        <v>3041</v>
      </c>
      <c r="AI2819" t="s">
        <v>9852</v>
      </c>
      <c r="AL2819" t="s">
        <v>23539</v>
      </c>
      <c r="AO2819" t="s">
        <v>6546</v>
      </c>
    </row>
    <row r="2820" spans="1:41" hidden="1" x14ac:dyDescent="0.35">
      <c r="A2820" t="s">
        <v>23581</v>
      </c>
      <c r="B2820" t="s">
        <v>7246</v>
      </c>
      <c r="C2820" t="s">
        <v>84</v>
      </c>
      <c r="D2820" t="s">
        <v>84</v>
      </c>
      <c r="E2820" t="s">
        <v>84</v>
      </c>
      <c r="G2820" s="13" t="s">
        <v>23533</v>
      </c>
      <c r="H2820" t="s">
        <v>23534</v>
      </c>
      <c r="I2820" t="s">
        <v>23582</v>
      </c>
      <c r="K2820" t="s">
        <v>23583</v>
      </c>
      <c r="L2820" t="s">
        <v>23584</v>
      </c>
      <c r="M2820" t="s">
        <v>7250</v>
      </c>
      <c r="N2820">
        <v>2020</v>
      </c>
      <c r="R2820">
        <v>4</v>
      </c>
      <c r="S2820" t="s">
        <v>8257</v>
      </c>
      <c r="T2820">
        <v>4</v>
      </c>
      <c r="U2820">
        <v>1861.53</v>
      </c>
      <c r="V2820">
        <v>101</v>
      </c>
      <c r="W2820">
        <v>63.14</v>
      </c>
      <c r="X2820">
        <v>101</v>
      </c>
      <c r="Y2820">
        <v>600</v>
      </c>
      <c r="Z2820" t="s">
        <v>8842</v>
      </c>
      <c r="AA2820" t="s">
        <v>23585</v>
      </c>
      <c r="AB2820" t="s">
        <v>6659</v>
      </c>
      <c r="AC2820" t="s">
        <v>9852</v>
      </c>
      <c r="AD2820" t="s">
        <v>4572</v>
      </c>
      <c r="AE2820" t="s">
        <v>3041</v>
      </c>
      <c r="AF2820" t="s">
        <v>23586</v>
      </c>
      <c r="AG2820" t="s">
        <v>4572</v>
      </c>
      <c r="AH2820" t="s">
        <v>3041</v>
      </c>
      <c r="AI2820" t="s">
        <v>9852</v>
      </c>
      <c r="AL2820" t="s">
        <v>23539</v>
      </c>
      <c r="AO2820" t="s">
        <v>23587</v>
      </c>
    </row>
    <row r="2821" spans="1:41" hidden="1" x14ac:dyDescent="0.35">
      <c r="A2821" t="s">
        <v>23588</v>
      </c>
      <c r="B2821" t="s">
        <v>7246</v>
      </c>
      <c r="C2821" t="s">
        <v>84</v>
      </c>
      <c r="D2821" t="s">
        <v>84</v>
      </c>
      <c r="E2821" t="s">
        <v>84</v>
      </c>
      <c r="G2821" s="13" t="s">
        <v>23533</v>
      </c>
      <c r="H2821" t="s">
        <v>23534</v>
      </c>
      <c r="I2821" t="s">
        <v>23589</v>
      </c>
      <c r="K2821" t="s">
        <v>23552</v>
      </c>
      <c r="L2821" t="s">
        <v>23553</v>
      </c>
      <c r="M2821" t="s">
        <v>7292</v>
      </c>
      <c r="R2821">
        <v>2.04</v>
      </c>
      <c r="S2821" t="s">
        <v>8257</v>
      </c>
      <c r="T2821">
        <v>2.04</v>
      </c>
      <c r="U2821">
        <v>949.38</v>
      </c>
      <c r="V2821">
        <v>52</v>
      </c>
      <c r="W2821" t="s">
        <v>6546</v>
      </c>
      <c r="X2821">
        <v>52</v>
      </c>
      <c r="Y2821">
        <v>508</v>
      </c>
      <c r="Z2821" t="s">
        <v>8842</v>
      </c>
      <c r="AC2821" t="s">
        <v>9852</v>
      </c>
      <c r="AD2821" t="s">
        <v>4572</v>
      </c>
      <c r="AE2821" t="s">
        <v>3041</v>
      </c>
      <c r="AF2821" t="s">
        <v>23565</v>
      </c>
      <c r="AG2821" t="s">
        <v>4572</v>
      </c>
      <c r="AH2821" t="s">
        <v>3041</v>
      </c>
      <c r="AI2821" t="s">
        <v>9852</v>
      </c>
      <c r="AL2821" t="s">
        <v>23539</v>
      </c>
      <c r="AO2821" t="s">
        <v>6546</v>
      </c>
    </row>
    <row r="2822" spans="1:41" hidden="1" x14ac:dyDescent="0.35">
      <c r="A2822" t="s">
        <v>23590</v>
      </c>
      <c r="B2822" t="s">
        <v>7246</v>
      </c>
      <c r="C2822" t="s">
        <v>84</v>
      </c>
      <c r="D2822" t="s">
        <v>84</v>
      </c>
      <c r="E2822" t="s">
        <v>84</v>
      </c>
      <c r="G2822" s="13" t="s">
        <v>23533</v>
      </c>
      <c r="H2822" t="s">
        <v>23534</v>
      </c>
      <c r="I2822" t="s">
        <v>23591</v>
      </c>
      <c r="K2822" t="s">
        <v>23552</v>
      </c>
      <c r="L2822" t="s">
        <v>23553</v>
      </c>
      <c r="M2822" t="s">
        <v>7292</v>
      </c>
      <c r="R2822">
        <v>1.81</v>
      </c>
      <c r="S2822" t="s">
        <v>8257</v>
      </c>
      <c r="T2822">
        <v>1.81</v>
      </c>
      <c r="U2822">
        <v>842.34</v>
      </c>
      <c r="V2822">
        <v>133</v>
      </c>
      <c r="W2822">
        <v>115.17</v>
      </c>
      <c r="X2822">
        <v>133</v>
      </c>
      <c r="Y2822">
        <v>508</v>
      </c>
      <c r="Z2822" t="s">
        <v>8842</v>
      </c>
      <c r="AB2822" t="s">
        <v>23592</v>
      </c>
      <c r="AC2822" t="s">
        <v>9852</v>
      </c>
      <c r="AD2822" t="s">
        <v>6735</v>
      </c>
      <c r="AE2822" t="s">
        <v>3041</v>
      </c>
      <c r="AF2822" t="s">
        <v>23593</v>
      </c>
      <c r="AG2822" t="s">
        <v>4597</v>
      </c>
      <c r="AH2822" t="s">
        <v>3041</v>
      </c>
      <c r="AI2822" t="s">
        <v>9852</v>
      </c>
      <c r="AL2822" t="s">
        <v>23539</v>
      </c>
      <c r="AO2822" t="s">
        <v>23594</v>
      </c>
    </row>
    <row r="2823" spans="1:41" hidden="1" x14ac:dyDescent="0.35">
      <c r="A2823" t="s">
        <v>23595</v>
      </c>
      <c r="B2823" t="s">
        <v>7246</v>
      </c>
      <c r="C2823" t="s">
        <v>84</v>
      </c>
      <c r="D2823" t="s">
        <v>84</v>
      </c>
      <c r="E2823" t="s">
        <v>84</v>
      </c>
      <c r="G2823" s="13" t="s">
        <v>23533</v>
      </c>
      <c r="H2823" t="s">
        <v>23534</v>
      </c>
      <c r="I2823" t="s">
        <v>23596</v>
      </c>
      <c r="K2823" t="s">
        <v>23552</v>
      </c>
      <c r="L2823" t="s">
        <v>23553</v>
      </c>
      <c r="M2823" t="s">
        <v>7292</v>
      </c>
      <c r="T2823" t="s">
        <v>6546</v>
      </c>
      <c r="U2823" t="s">
        <v>6546</v>
      </c>
      <c r="V2823">
        <v>74</v>
      </c>
      <c r="W2823" t="s">
        <v>6546</v>
      </c>
      <c r="X2823">
        <v>74</v>
      </c>
      <c r="Y2823">
        <v>323.8</v>
      </c>
      <c r="Z2823" t="s">
        <v>8842</v>
      </c>
      <c r="AC2823" t="s">
        <v>9852</v>
      </c>
      <c r="AD2823" t="s">
        <v>4564</v>
      </c>
      <c r="AE2823" t="s">
        <v>3041</v>
      </c>
      <c r="AF2823" t="s">
        <v>23597</v>
      </c>
      <c r="AG2823" t="s">
        <v>4564</v>
      </c>
      <c r="AH2823" t="s">
        <v>3041</v>
      </c>
      <c r="AI2823" t="s">
        <v>9852</v>
      </c>
      <c r="AL2823" t="s">
        <v>23539</v>
      </c>
      <c r="AO2823" t="s">
        <v>6546</v>
      </c>
    </row>
    <row r="2824" spans="1:41" hidden="1" x14ac:dyDescent="0.35">
      <c r="A2824" t="s">
        <v>23598</v>
      </c>
      <c r="B2824" t="s">
        <v>7246</v>
      </c>
      <c r="C2824" t="s">
        <v>84</v>
      </c>
      <c r="D2824" t="s">
        <v>84</v>
      </c>
      <c r="E2824" t="s">
        <v>84</v>
      </c>
      <c r="G2824" s="13" t="s">
        <v>23533</v>
      </c>
      <c r="H2824" t="s">
        <v>23534</v>
      </c>
      <c r="I2824" t="s">
        <v>23599</v>
      </c>
      <c r="K2824" t="s">
        <v>23552</v>
      </c>
      <c r="L2824" t="s">
        <v>23553</v>
      </c>
      <c r="M2824" t="s">
        <v>7292</v>
      </c>
      <c r="T2824" t="s">
        <v>6546</v>
      </c>
      <c r="U2824" t="s">
        <v>6546</v>
      </c>
      <c r="V2824">
        <v>95</v>
      </c>
      <c r="W2824" t="s">
        <v>6546</v>
      </c>
      <c r="X2824">
        <v>95</v>
      </c>
      <c r="Y2824">
        <v>711</v>
      </c>
      <c r="Z2824" t="s">
        <v>8842</v>
      </c>
      <c r="AA2824" t="s">
        <v>23600</v>
      </c>
      <c r="AB2824" t="s">
        <v>23601</v>
      </c>
      <c r="AC2824" t="s">
        <v>9852</v>
      </c>
      <c r="AD2824" t="s">
        <v>23051</v>
      </c>
      <c r="AE2824" t="s">
        <v>3041</v>
      </c>
      <c r="AF2824" t="s">
        <v>23602</v>
      </c>
      <c r="AG2824" t="s">
        <v>4553</v>
      </c>
      <c r="AH2824" t="s">
        <v>3041</v>
      </c>
      <c r="AI2824" t="s">
        <v>9852</v>
      </c>
      <c r="AL2824" t="s">
        <v>23539</v>
      </c>
      <c r="AO2824" t="s">
        <v>6546</v>
      </c>
    </row>
    <row r="2825" spans="1:41" hidden="1" x14ac:dyDescent="0.35">
      <c r="A2825" t="s">
        <v>23603</v>
      </c>
      <c r="B2825" t="s">
        <v>7246</v>
      </c>
      <c r="C2825" t="s">
        <v>84</v>
      </c>
      <c r="D2825" t="s">
        <v>84</v>
      </c>
      <c r="E2825" t="s">
        <v>84</v>
      </c>
      <c r="G2825" s="13" t="s">
        <v>23533</v>
      </c>
      <c r="H2825" t="s">
        <v>23534</v>
      </c>
      <c r="I2825" t="s">
        <v>23600</v>
      </c>
      <c r="K2825" t="s">
        <v>23552</v>
      </c>
      <c r="L2825" t="s">
        <v>23553</v>
      </c>
      <c r="M2825" t="s">
        <v>7292</v>
      </c>
      <c r="R2825">
        <v>7.28</v>
      </c>
      <c r="S2825" t="s">
        <v>8257</v>
      </c>
      <c r="T2825">
        <v>7.28</v>
      </c>
      <c r="U2825">
        <v>3387.99</v>
      </c>
      <c r="V2825">
        <v>332</v>
      </c>
      <c r="W2825">
        <v>181.19</v>
      </c>
      <c r="X2825">
        <v>332</v>
      </c>
      <c r="Y2825">
        <v>711</v>
      </c>
      <c r="Z2825" t="s">
        <v>8842</v>
      </c>
      <c r="AC2825" t="s">
        <v>9852</v>
      </c>
      <c r="AE2825" t="s">
        <v>3041</v>
      </c>
      <c r="AH2825" t="s">
        <v>3041</v>
      </c>
      <c r="AI2825" t="s">
        <v>9852</v>
      </c>
      <c r="AL2825" t="s">
        <v>23539</v>
      </c>
      <c r="AO2825" t="s">
        <v>23604</v>
      </c>
    </row>
    <row r="2826" spans="1:41" hidden="1" x14ac:dyDescent="0.35">
      <c r="A2826" t="s">
        <v>23605</v>
      </c>
      <c r="B2826" t="s">
        <v>7246</v>
      </c>
      <c r="C2826" t="s">
        <v>84</v>
      </c>
      <c r="D2826" t="s">
        <v>84</v>
      </c>
      <c r="E2826" t="s">
        <v>84</v>
      </c>
      <c r="G2826" s="13" t="s">
        <v>23533</v>
      </c>
      <c r="H2826" t="s">
        <v>23534</v>
      </c>
      <c r="I2826" t="s">
        <v>23606</v>
      </c>
      <c r="K2826" t="s">
        <v>23552</v>
      </c>
      <c r="L2826" t="s">
        <v>23553</v>
      </c>
      <c r="M2826" t="s">
        <v>7292</v>
      </c>
      <c r="R2826">
        <v>4.8</v>
      </c>
      <c r="S2826" t="s">
        <v>8257</v>
      </c>
      <c r="T2826">
        <v>4.8</v>
      </c>
      <c r="U2826">
        <v>2233.84</v>
      </c>
      <c r="V2826">
        <v>112</v>
      </c>
      <c r="W2826" t="s">
        <v>6546</v>
      </c>
      <c r="X2826">
        <v>112</v>
      </c>
      <c r="AC2826" t="s">
        <v>9852</v>
      </c>
      <c r="AD2826" t="s">
        <v>4553</v>
      </c>
      <c r="AE2826" t="s">
        <v>3041</v>
      </c>
      <c r="AG2826" t="s">
        <v>4592</v>
      </c>
      <c r="AH2826" t="s">
        <v>3041</v>
      </c>
      <c r="AI2826" t="s">
        <v>9852</v>
      </c>
      <c r="AL2826" t="s">
        <v>23539</v>
      </c>
      <c r="AO2826" t="s">
        <v>6546</v>
      </c>
    </row>
    <row r="2827" spans="1:41" hidden="1" x14ac:dyDescent="0.35">
      <c r="A2827" t="s">
        <v>23607</v>
      </c>
      <c r="B2827" t="s">
        <v>7246</v>
      </c>
      <c r="C2827" t="s">
        <v>84</v>
      </c>
      <c r="D2827" t="s">
        <v>84</v>
      </c>
      <c r="E2827" t="s">
        <v>84</v>
      </c>
      <c r="G2827" s="13" t="s">
        <v>23608</v>
      </c>
      <c r="H2827" t="s">
        <v>23534</v>
      </c>
      <c r="I2827" t="s">
        <v>23609</v>
      </c>
      <c r="K2827" t="s">
        <v>23610</v>
      </c>
      <c r="L2827" t="s">
        <v>23611</v>
      </c>
      <c r="M2827" t="s">
        <v>7415</v>
      </c>
      <c r="R2827">
        <v>5.95</v>
      </c>
      <c r="S2827" t="s">
        <v>8257</v>
      </c>
      <c r="T2827">
        <v>5.95</v>
      </c>
      <c r="U2827">
        <v>2769.03</v>
      </c>
      <c r="V2827">
        <v>533.4</v>
      </c>
      <c r="W2827">
        <v>444.73</v>
      </c>
      <c r="X2827">
        <v>533.4</v>
      </c>
      <c r="AA2827" t="s">
        <v>23612</v>
      </c>
      <c r="AB2827" t="s">
        <v>6701</v>
      </c>
      <c r="AC2827" t="s">
        <v>9852</v>
      </c>
      <c r="AD2827" t="s">
        <v>4592</v>
      </c>
      <c r="AE2827" t="s">
        <v>3041</v>
      </c>
      <c r="AG2827" t="s">
        <v>22804</v>
      </c>
      <c r="AH2827" t="s">
        <v>3008</v>
      </c>
      <c r="AI2827" t="s">
        <v>9852</v>
      </c>
      <c r="AL2827" t="s">
        <v>23539</v>
      </c>
      <c r="AO2827" t="s">
        <v>23613</v>
      </c>
    </row>
    <row r="2828" spans="1:41" hidden="1" x14ac:dyDescent="0.35">
      <c r="A2828" t="s">
        <v>23614</v>
      </c>
      <c r="B2828" t="s">
        <v>7246</v>
      </c>
      <c r="C2828" t="s">
        <v>84</v>
      </c>
      <c r="D2828" t="s">
        <v>84</v>
      </c>
      <c r="E2828" t="s">
        <v>84</v>
      </c>
      <c r="G2828" s="13" t="s">
        <v>23615</v>
      </c>
      <c r="H2828" t="s">
        <v>23616</v>
      </c>
      <c r="I2828" t="s">
        <v>23617</v>
      </c>
      <c r="K2828" t="s">
        <v>23618</v>
      </c>
      <c r="L2828" t="s">
        <v>23619</v>
      </c>
      <c r="M2828" t="s">
        <v>7250</v>
      </c>
      <c r="N2828">
        <v>2010</v>
      </c>
      <c r="T2828" t="s">
        <v>6546</v>
      </c>
      <c r="U2828" t="s">
        <v>6546</v>
      </c>
      <c r="V2828">
        <v>1518</v>
      </c>
      <c r="W2828">
        <v>61.36</v>
      </c>
      <c r="X2828">
        <v>1518</v>
      </c>
      <c r="AC2828" t="s">
        <v>9852</v>
      </c>
      <c r="AE2828" t="s">
        <v>3044</v>
      </c>
      <c r="AH2828" t="s">
        <v>3044</v>
      </c>
      <c r="AI2828" t="s">
        <v>9852</v>
      </c>
      <c r="AL2828" t="s">
        <v>23620</v>
      </c>
      <c r="AO2828" t="s">
        <v>23621</v>
      </c>
    </row>
    <row r="2829" spans="1:41" hidden="1" x14ac:dyDescent="0.35">
      <c r="A2829" t="s">
        <v>23622</v>
      </c>
      <c r="B2829" t="s">
        <v>7246</v>
      </c>
      <c r="C2829" t="s">
        <v>84</v>
      </c>
      <c r="D2829" t="s">
        <v>84</v>
      </c>
      <c r="E2829" t="s">
        <v>84</v>
      </c>
      <c r="G2829" s="13" t="s">
        <v>23615</v>
      </c>
      <c r="H2829" t="s">
        <v>23616</v>
      </c>
      <c r="I2829" t="s">
        <v>23617</v>
      </c>
      <c r="K2829" t="s">
        <v>23618</v>
      </c>
      <c r="L2829" t="s">
        <v>23619</v>
      </c>
      <c r="M2829" t="s">
        <v>7250</v>
      </c>
      <c r="N2829">
        <v>2010</v>
      </c>
      <c r="T2829" t="s">
        <v>6546</v>
      </c>
      <c r="U2829" t="s">
        <v>6546</v>
      </c>
      <c r="V2829" t="s">
        <v>6546</v>
      </c>
      <c r="W2829">
        <v>61.36</v>
      </c>
      <c r="X2829">
        <v>61.36</v>
      </c>
      <c r="AC2829" t="s">
        <v>9852</v>
      </c>
      <c r="AE2829" t="s">
        <v>3044</v>
      </c>
      <c r="AH2829" t="s">
        <v>3044</v>
      </c>
      <c r="AI2829" t="s">
        <v>9852</v>
      </c>
      <c r="AL2829" t="s">
        <v>23620</v>
      </c>
      <c r="AO2829" t="s">
        <v>23621</v>
      </c>
    </row>
    <row r="2830" spans="1:41" hidden="1" x14ac:dyDescent="0.35">
      <c r="A2830" t="s">
        <v>23623</v>
      </c>
      <c r="B2830" t="s">
        <v>7246</v>
      </c>
      <c r="C2830" t="s">
        <v>84</v>
      </c>
      <c r="D2830" t="s">
        <v>84</v>
      </c>
      <c r="E2830" t="s">
        <v>84</v>
      </c>
      <c r="G2830" s="13" t="s">
        <v>23615</v>
      </c>
      <c r="H2830" t="s">
        <v>23616</v>
      </c>
      <c r="I2830" t="s">
        <v>23624</v>
      </c>
      <c r="K2830" t="s">
        <v>22428</v>
      </c>
      <c r="L2830" t="s">
        <v>22428</v>
      </c>
      <c r="M2830" t="s">
        <v>7250</v>
      </c>
      <c r="N2830">
        <v>2010</v>
      </c>
      <c r="R2830">
        <v>1</v>
      </c>
      <c r="S2830" t="s">
        <v>8257</v>
      </c>
      <c r="T2830">
        <v>1</v>
      </c>
      <c r="U2830">
        <v>465.38</v>
      </c>
      <c r="V2830" t="s">
        <v>6546</v>
      </c>
      <c r="W2830">
        <v>56.86</v>
      </c>
      <c r="X2830">
        <v>56.86</v>
      </c>
      <c r="AB2830" t="s">
        <v>23625</v>
      </c>
      <c r="AC2830" t="s">
        <v>9852</v>
      </c>
      <c r="AD2830" t="s">
        <v>4440</v>
      </c>
      <c r="AE2830" t="s">
        <v>23626</v>
      </c>
      <c r="AG2830" t="s">
        <v>4617</v>
      </c>
      <c r="AH2830" t="s">
        <v>23626</v>
      </c>
      <c r="AI2830" t="s">
        <v>9852</v>
      </c>
      <c r="AL2830" t="s">
        <v>23620</v>
      </c>
      <c r="AO2830" t="s">
        <v>23627</v>
      </c>
    </row>
    <row r="2831" spans="1:41" hidden="1" x14ac:dyDescent="0.35">
      <c r="A2831" t="s">
        <v>23628</v>
      </c>
      <c r="B2831" t="s">
        <v>7246</v>
      </c>
      <c r="C2831" t="s">
        <v>84</v>
      </c>
      <c r="D2831" t="s">
        <v>84</v>
      </c>
      <c r="E2831" t="s">
        <v>84</v>
      </c>
      <c r="G2831" s="13" t="s">
        <v>23615</v>
      </c>
      <c r="H2831" t="s">
        <v>23616</v>
      </c>
      <c r="I2831" t="s">
        <v>23629</v>
      </c>
      <c r="K2831" t="s">
        <v>22428</v>
      </c>
      <c r="L2831" t="s">
        <v>22428</v>
      </c>
      <c r="M2831" t="s">
        <v>7250</v>
      </c>
      <c r="N2831">
        <v>2010</v>
      </c>
      <c r="R2831">
        <v>3</v>
      </c>
      <c r="S2831" t="s">
        <v>8257</v>
      </c>
      <c r="T2831">
        <v>3</v>
      </c>
      <c r="U2831">
        <v>1396.15</v>
      </c>
      <c r="V2831" t="s">
        <v>6546</v>
      </c>
      <c r="W2831">
        <v>118.43</v>
      </c>
      <c r="X2831">
        <v>118.43</v>
      </c>
      <c r="Y2831">
        <v>508</v>
      </c>
      <c r="Z2831" t="s">
        <v>8842</v>
      </c>
      <c r="AB2831" t="s">
        <v>23630</v>
      </c>
      <c r="AC2831" t="s">
        <v>9852</v>
      </c>
      <c r="AD2831" t="s">
        <v>3045</v>
      </c>
      <c r="AE2831" t="s">
        <v>3044</v>
      </c>
      <c r="AG2831" t="s">
        <v>23631</v>
      </c>
      <c r="AH2831" t="s">
        <v>3044</v>
      </c>
      <c r="AI2831" t="s">
        <v>9852</v>
      </c>
      <c r="AL2831" t="s">
        <v>23620</v>
      </c>
      <c r="AO2831" t="s">
        <v>23632</v>
      </c>
    </row>
    <row r="2832" spans="1:41" hidden="1" x14ac:dyDescent="0.35">
      <c r="A2832" t="s">
        <v>23633</v>
      </c>
      <c r="B2832" t="s">
        <v>7246</v>
      </c>
      <c r="C2832" t="s">
        <v>84</v>
      </c>
      <c r="D2832" t="s">
        <v>84</v>
      </c>
      <c r="E2832" t="s">
        <v>84</v>
      </c>
      <c r="G2832" s="13" t="s">
        <v>23615</v>
      </c>
      <c r="H2832" t="s">
        <v>23616</v>
      </c>
      <c r="I2832" t="s">
        <v>23634</v>
      </c>
      <c r="K2832" t="s">
        <v>22428</v>
      </c>
      <c r="L2832" t="s">
        <v>22428</v>
      </c>
      <c r="M2832" t="s">
        <v>7250</v>
      </c>
      <c r="N2832">
        <v>2009</v>
      </c>
      <c r="T2832" t="s">
        <v>6546</v>
      </c>
      <c r="U2832" t="s">
        <v>6546</v>
      </c>
      <c r="V2832" t="s">
        <v>6546</v>
      </c>
      <c r="W2832">
        <v>135.75</v>
      </c>
      <c r="X2832">
        <v>135.75</v>
      </c>
      <c r="AC2832" t="s">
        <v>9852</v>
      </c>
      <c r="AE2832" t="s">
        <v>3044</v>
      </c>
      <c r="AH2832" t="s">
        <v>3044</v>
      </c>
      <c r="AI2832" t="s">
        <v>9852</v>
      </c>
      <c r="AL2832" t="s">
        <v>23620</v>
      </c>
      <c r="AO2832" t="s">
        <v>23635</v>
      </c>
    </row>
    <row r="2833" spans="1:41" hidden="1" x14ac:dyDescent="0.35">
      <c r="A2833" t="s">
        <v>23636</v>
      </c>
      <c r="B2833" t="s">
        <v>7246</v>
      </c>
      <c r="C2833" t="s">
        <v>84</v>
      </c>
      <c r="D2833" t="s">
        <v>84</v>
      </c>
      <c r="E2833" t="s">
        <v>84</v>
      </c>
      <c r="G2833" s="13" t="s">
        <v>23615</v>
      </c>
      <c r="H2833" t="s">
        <v>23616</v>
      </c>
      <c r="I2833" t="s">
        <v>23637</v>
      </c>
      <c r="K2833" t="s">
        <v>23618</v>
      </c>
      <c r="L2833" t="s">
        <v>23619</v>
      </c>
      <c r="M2833" t="s">
        <v>7250</v>
      </c>
      <c r="N2833">
        <v>2010</v>
      </c>
      <c r="T2833" t="s">
        <v>6546</v>
      </c>
      <c r="U2833" t="s">
        <v>6546</v>
      </c>
      <c r="V2833" t="s">
        <v>6546</v>
      </c>
      <c r="W2833">
        <v>19.36</v>
      </c>
      <c r="X2833">
        <v>19.36</v>
      </c>
      <c r="AC2833" t="s">
        <v>9852</v>
      </c>
      <c r="AE2833" t="s">
        <v>3044</v>
      </c>
      <c r="AH2833" t="s">
        <v>3044</v>
      </c>
      <c r="AI2833" t="s">
        <v>9852</v>
      </c>
      <c r="AL2833" t="s">
        <v>23620</v>
      </c>
      <c r="AO2833" t="s">
        <v>23638</v>
      </c>
    </row>
    <row r="2834" spans="1:41" hidden="1" x14ac:dyDescent="0.35">
      <c r="A2834" t="s">
        <v>23639</v>
      </c>
      <c r="B2834" t="s">
        <v>7246</v>
      </c>
      <c r="C2834" t="s">
        <v>84</v>
      </c>
      <c r="D2834" t="s">
        <v>84</v>
      </c>
      <c r="E2834" t="s">
        <v>84</v>
      </c>
      <c r="G2834" s="13" t="s">
        <v>23615</v>
      </c>
      <c r="H2834" t="s">
        <v>23616</v>
      </c>
      <c r="I2834" t="s">
        <v>23640</v>
      </c>
      <c r="K2834" t="s">
        <v>23618</v>
      </c>
      <c r="L2834" t="s">
        <v>23619</v>
      </c>
      <c r="M2834" t="s">
        <v>7250</v>
      </c>
      <c r="N2834">
        <v>2010</v>
      </c>
      <c r="T2834" t="s">
        <v>6546</v>
      </c>
      <c r="U2834" t="s">
        <v>6546</v>
      </c>
      <c r="V2834" t="s">
        <v>6546</v>
      </c>
      <c r="W2834">
        <v>100.87</v>
      </c>
      <c r="X2834">
        <v>100.87</v>
      </c>
      <c r="AC2834" t="s">
        <v>9852</v>
      </c>
      <c r="AE2834" t="s">
        <v>3044</v>
      </c>
      <c r="AH2834" t="s">
        <v>3044</v>
      </c>
      <c r="AI2834" t="s">
        <v>9852</v>
      </c>
      <c r="AL2834" t="s">
        <v>23620</v>
      </c>
      <c r="AO2834" t="s">
        <v>23641</v>
      </c>
    </row>
    <row r="2835" spans="1:41" hidden="1" x14ac:dyDescent="0.35">
      <c r="A2835" t="s">
        <v>23642</v>
      </c>
      <c r="B2835" t="s">
        <v>7246</v>
      </c>
      <c r="C2835" t="s">
        <v>84</v>
      </c>
      <c r="D2835" t="s">
        <v>84</v>
      </c>
      <c r="E2835" t="s">
        <v>84</v>
      </c>
      <c r="G2835" s="13" t="s">
        <v>23615</v>
      </c>
      <c r="H2835" t="s">
        <v>23616</v>
      </c>
      <c r="I2835" t="s">
        <v>23643</v>
      </c>
      <c r="K2835" t="s">
        <v>23618</v>
      </c>
      <c r="L2835" t="s">
        <v>23619</v>
      </c>
      <c r="M2835" t="s">
        <v>7250</v>
      </c>
      <c r="N2835">
        <v>2010</v>
      </c>
      <c r="T2835" t="s">
        <v>6546</v>
      </c>
      <c r="U2835" t="s">
        <v>6546</v>
      </c>
      <c r="V2835" t="s">
        <v>6546</v>
      </c>
      <c r="W2835">
        <v>16.79</v>
      </c>
      <c r="X2835">
        <v>16.79</v>
      </c>
      <c r="AC2835" t="s">
        <v>9852</v>
      </c>
      <c r="AE2835" t="s">
        <v>3044</v>
      </c>
      <c r="AH2835" t="s">
        <v>3044</v>
      </c>
      <c r="AI2835" t="s">
        <v>9852</v>
      </c>
      <c r="AL2835" t="s">
        <v>23620</v>
      </c>
      <c r="AO2835" t="s">
        <v>23644</v>
      </c>
    </row>
    <row r="2836" spans="1:41" hidden="1" x14ac:dyDescent="0.35">
      <c r="A2836" t="s">
        <v>23645</v>
      </c>
      <c r="B2836" t="s">
        <v>7246</v>
      </c>
      <c r="C2836" t="s">
        <v>84</v>
      </c>
      <c r="D2836" t="s">
        <v>84</v>
      </c>
      <c r="E2836" t="s">
        <v>84</v>
      </c>
      <c r="G2836" s="13" t="s">
        <v>23615</v>
      </c>
      <c r="H2836" t="s">
        <v>23616</v>
      </c>
      <c r="I2836" t="s">
        <v>23646</v>
      </c>
      <c r="K2836" t="s">
        <v>23618</v>
      </c>
      <c r="L2836" t="s">
        <v>23619</v>
      </c>
      <c r="M2836" t="s">
        <v>7415</v>
      </c>
      <c r="N2836">
        <v>2022</v>
      </c>
      <c r="T2836" t="s">
        <v>6546</v>
      </c>
      <c r="U2836" t="s">
        <v>6546</v>
      </c>
      <c r="V2836" t="s">
        <v>6546</v>
      </c>
      <c r="W2836">
        <v>258.13</v>
      </c>
      <c r="X2836">
        <v>258.13</v>
      </c>
      <c r="AC2836" t="s">
        <v>9852</v>
      </c>
      <c r="AE2836" t="s">
        <v>3044</v>
      </c>
      <c r="AH2836" t="s">
        <v>3044</v>
      </c>
      <c r="AI2836" t="s">
        <v>9852</v>
      </c>
      <c r="AL2836" t="s">
        <v>23620</v>
      </c>
      <c r="AO2836" t="s">
        <v>23647</v>
      </c>
    </row>
    <row r="2837" spans="1:41" hidden="1" x14ac:dyDescent="0.35">
      <c r="A2837" t="s">
        <v>23648</v>
      </c>
      <c r="B2837" t="s">
        <v>7246</v>
      </c>
      <c r="C2837" t="s">
        <v>84</v>
      </c>
      <c r="D2837" t="s">
        <v>84</v>
      </c>
      <c r="E2837" t="s">
        <v>84</v>
      </c>
      <c r="G2837" s="13" t="s">
        <v>23615</v>
      </c>
      <c r="H2837" t="s">
        <v>23616</v>
      </c>
      <c r="I2837" t="s">
        <v>23649</v>
      </c>
      <c r="K2837" t="s">
        <v>23618</v>
      </c>
      <c r="L2837" t="s">
        <v>23619</v>
      </c>
      <c r="M2837" t="s">
        <v>7292</v>
      </c>
      <c r="T2837" t="s">
        <v>6546</v>
      </c>
      <c r="U2837" t="s">
        <v>6546</v>
      </c>
      <c r="V2837">
        <v>57.7</v>
      </c>
      <c r="W2837">
        <v>89.19</v>
      </c>
      <c r="X2837">
        <v>57.7</v>
      </c>
      <c r="AC2837" t="s">
        <v>9852</v>
      </c>
      <c r="AE2837" t="s">
        <v>3044</v>
      </c>
      <c r="AH2837" t="s">
        <v>3044</v>
      </c>
      <c r="AI2837" t="s">
        <v>9852</v>
      </c>
      <c r="AL2837" t="s">
        <v>23620</v>
      </c>
      <c r="AO2837" t="s">
        <v>23650</v>
      </c>
    </row>
    <row r="2838" spans="1:41" hidden="1" x14ac:dyDescent="0.35">
      <c r="A2838" t="s">
        <v>23651</v>
      </c>
      <c r="B2838" t="s">
        <v>7246</v>
      </c>
      <c r="C2838" t="s">
        <v>84</v>
      </c>
      <c r="D2838" t="s">
        <v>84</v>
      </c>
      <c r="E2838" t="s">
        <v>84</v>
      </c>
      <c r="G2838" s="13" t="s">
        <v>23615</v>
      </c>
      <c r="H2838" t="s">
        <v>23616</v>
      </c>
      <c r="I2838" t="s">
        <v>23652</v>
      </c>
      <c r="K2838" t="s">
        <v>23618</v>
      </c>
      <c r="L2838" t="s">
        <v>23619</v>
      </c>
      <c r="M2838" t="s">
        <v>7292</v>
      </c>
      <c r="T2838" t="s">
        <v>6546</v>
      </c>
      <c r="U2838" t="s">
        <v>6546</v>
      </c>
      <c r="V2838">
        <v>97.5</v>
      </c>
      <c r="W2838">
        <v>419.76</v>
      </c>
      <c r="X2838">
        <v>97.5</v>
      </c>
      <c r="AC2838" t="s">
        <v>9852</v>
      </c>
      <c r="AE2838" t="s">
        <v>3044</v>
      </c>
      <c r="AH2838" t="s">
        <v>3044</v>
      </c>
      <c r="AI2838" t="s">
        <v>9852</v>
      </c>
      <c r="AL2838" t="s">
        <v>23620</v>
      </c>
      <c r="AO2838" t="s">
        <v>23653</v>
      </c>
    </row>
    <row r="2839" spans="1:41" hidden="1" x14ac:dyDescent="0.35">
      <c r="A2839" t="s">
        <v>23654</v>
      </c>
      <c r="B2839" t="s">
        <v>7246</v>
      </c>
      <c r="C2839" t="s">
        <v>84</v>
      </c>
      <c r="D2839" t="s">
        <v>84</v>
      </c>
      <c r="E2839" t="s">
        <v>84</v>
      </c>
      <c r="G2839" s="13" t="s">
        <v>23615</v>
      </c>
      <c r="H2839" t="s">
        <v>23616</v>
      </c>
      <c r="I2839" t="s">
        <v>23655</v>
      </c>
      <c r="K2839" t="s">
        <v>23618</v>
      </c>
      <c r="L2839" t="s">
        <v>23619</v>
      </c>
      <c r="M2839" t="s">
        <v>7292</v>
      </c>
      <c r="T2839" t="s">
        <v>6546</v>
      </c>
      <c r="U2839" t="s">
        <v>6546</v>
      </c>
      <c r="V2839">
        <v>56.7</v>
      </c>
      <c r="W2839">
        <v>254.73</v>
      </c>
      <c r="X2839">
        <v>56.7</v>
      </c>
      <c r="AA2839" t="s">
        <v>23656</v>
      </c>
      <c r="AC2839" t="s">
        <v>9852</v>
      </c>
      <c r="AE2839" t="s">
        <v>3044</v>
      </c>
      <c r="AH2839" t="s">
        <v>3044</v>
      </c>
      <c r="AI2839" t="s">
        <v>9852</v>
      </c>
      <c r="AL2839" t="s">
        <v>23620</v>
      </c>
      <c r="AO2839" t="s">
        <v>23657</v>
      </c>
    </row>
    <row r="2840" spans="1:41" hidden="1" x14ac:dyDescent="0.35">
      <c r="A2840" t="s">
        <v>23658</v>
      </c>
      <c r="B2840" t="s">
        <v>7246</v>
      </c>
      <c r="C2840" t="s">
        <v>84</v>
      </c>
      <c r="D2840" t="s">
        <v>84</v>
      </c>
      <c r="E2840" t="s">
        <v>84</v>
      </c>
      <c r="G2840" s="13" t="s">
        <v>23615</v>
      </c>
      <c r="H2840" t="s">
        <v>23616</v>
      </c>
      <c r="I2840" t="s">
        <v>23659</v>
      </c>
      <c r="K2840" t="s">
        <v>23618</v>
      </c>
      <c r="L2840" t="s">
        <v>23619</v>
      </c>
      <c r="M2840" t="s">
        <v>7250</v>
      </c>
      <c r="N2840">
        <v>2018</v>
      </c>
      <c r="T2840" t="s">
        <v>6546</v>
      </c>
      <c r="U2840" t="s">
        <v>6546</v>
      </c>
      <c r="V2840">
        <v>340</v>
      </c>
      <c r="W2840">
        <v>31.75</v>
      </c>
      <c r="X2840">
        <v>340</v>
      </c>
      <c r="AA2840" t="s">
        <v>23656</v>
      </c>
      <c r="AC2840" t="s">
        <v>9852</v>
      </c>
      <c r="AE2840" t="s">
        <v>3044</v>
      </c>
      <c r="AH2840" t="s">
        <v>3044</v>
      </c>
      <c r="AI2840" t="s">
        <v>9852</v>
      </c>
      <c r="AL2840" t="s">
        <v>23620</v>
      </c>
      <c r="AO2840" t="s">
        <v>23660</v>
      </c>
    </row>
    <row r="2841" spans="1:41" hidden="1" x14ac:dyDescent="0.35">
      <c r="A2841" t="s">
        <v>23661</v>
      </c>
      <c r="B2841" t="s">
        <v>7246</v>
      </c>
      <c r="C2841" t="s">
        <v>84</v>
      </c>
      <c r="D2841" t="s">
        <v>84</v>
      </c>
      <c r="E2841" t="s">
        <v>84</v>
      </c>
      <c r="G2841" s="13" t="s">
        <v>23662</v>
      </c>
      <c r="H2841" t="s">
        <v>23616</v>
      </c>
      <c r="I2841" t="s">
        <v>23663</v>
      </c>
      <c r="K2841" t="s">
        <v>23618</v>
      </c>
      <c r="L2841" t="s">
        <v>23619</v>
      </c>
      <c r="M2841" t="s">
        <v>7250</v>
      </c>
      <c r="N2841">
        <v>2018</v>
      </c>
      <c r="R2841">
        <v>0.32</v>
      </c>
      <c r="S2841" t="s">
        <v>8257</v>
      </c>
      <c r="T2841">
        <v>0.32</v>
      </c>
      <c r="U2841">
        <v>148.91999999999999</v>
      </c>
      <c r="V2841">
        <v>129</v>
      </c>
      <c r="W2841">
        <v>106.9</v>
      </c>
      <c r="X2841">
        <v>129</v>
      </c>
      <c r="AA2841" t="s">
        <v>23664</v>
      </c>
      <c r="AB2841" t="s">
        <v>23665</v>
      </c>
      <c r="AC2841" t="s">
        <v>9852</v>
      </c>
      <c r="AD2841" t="s">
        <v>23666</v>
      </c>
      <c r="AE2841" t="s">
        <v>3044</v>
      </c>
      <c r="AF2841" t="s">
        <v>23667</v>
      </c>
      <c r="AG2841" t="s">
        <v>23667</v>
      </c>
      <c r="AH2841" t="s">
        <v>3044</v>
      </c>
      <c r="AI2841" t="s">
        <v>9852</v>
      </c>
      <c r="AL2841" t="s">
        <v>23620</v>
      </c>
      <c r="AO2841" t="s">
        <v>23668</v>
      </c>
    </row>
    <row r="2842" spans="1:41" hidden="1" x14ac:dyDescent="0.35">
      <c r="A2842" t="s">
        <v>23669</v>
      </c>
      <c r="B2842" t="s">
        <v>7246</v>
      </c>
      <c r="C2842" t="s">
        <v>84</v>
      </c>
      <c r="D2842" t="s">
        <v>84</v>
      </c>
      <c r="E2842" t="s">
        <v>84</v>
      </c>
      <c r="G2842" s="13" t="s">
        <v>23615</v>
      </c>
      <c r="H2842" t="s">
        <v>23616</v>
      </c>
      <c r="I2842" t="s">
        <v>23670</v>
      </c>
      <c r="K2842" t="s">
        <v>23618</v>
      </c>
      <c r="L2842" t="s">
        <v>23619</v>
      </c>
      <c r="M2842" t="s">
        <v>7292</v>
      </c>
      <c r="T2842" t="s">
        <v>6546</v>
      </c>
      <c r="U2842" t="s">
        <v>6546</v>
      </c>
      <c r="V2842">
        <v>175.5</v>
      </c>
      <c r="W2842">
        <v>136.27000000000001</v>
      </c>
      <c r="X2842">
        <v>175.5</v>
      </c>
      <c r="AC2842" t="s">
        <v>9852</v>
      </c>
      <c r="AE2842" t="s">
        <v>3044</v>
      </c>
      <c r="AH2842" t="s">
        <v>3044</v>
      </c>
      <c r="AI2842" t="s">
        <v>9852</v>
      </c>
      <c r="AL2842" t="s">
        <v>23620</v>
      </c>
      <c r="AO2842" t="s">
        <v>23671</v>
      </c>
    </row>
    <row r="2843" spans="1:41" hidden="1" x14ac:dyDescent="0.35">
      <c r="A2843" t="s">
        <v>23672</v>
      </c>
      <c r="B2843" t="s">
        <v>7246</v>
      </c>
      <c r="C2843" t="s">
        <v>84</v>
      </c>
      <c r="D2843" t="s">
        <v>84</v>
      </c>
      <c r="E2843" t="s">
        <v>84</v>
      </c>
      <c r="G2843" s="13" t="s">
        <v>23615</v>
      </c>
      <c r="H2843" t="s">
        <v>23616</v>
      </c>
      <c r="I2843" t="s">
        <v>23673</v>
      </c>
      <c r="K2843" t="s">
        <v>23618</v>
      </c>
      <c r="L2843" t="s">
        <v>23619</v>
      </c>
      <c r="M2843" t="s">
        <v>7292</v>
      </c>
      <c r="T2843" t="s">
        <v>6546</v>
      </c>
      <c r="U2843" t="s">
        <v>6546</v>
      </c>
      <c r="V2843">
        <v>97</v>
      </c>
      <c r="W2843">
        <v>89.19</v>
      </c>
      <c r="X2843">
        <v>97</v>
      </c>
      <c r="AC2843" t="s">
        <v>9852</v>
      </c>
      <c r="AE2843" t="s">
        <v>3044</v>
      </c>
      <c r="AH2843" t="s">
        <v>3044</v>
      </c>
      <c r="AI2843" t="s">
        <v>9852</v>
      </c>
      <c r="AL2843" t="s">
        <v>23620</v>
      </c>
      <c r="AO2843" t="s">
        <v>23650</v>
      </c>
    </row>
    <row r="2844" spans="1:41" hidden="1" x14ac:dyDescent="0.35">
      <c r="A2844" t="s">
        <v>23674</v>
      </c>
      <c r="B2844" t="s">
        <v>7246</v>
      </c>
      <c r="C2844" t="s">
        <v>84</v>
      </c>
      <c r="D2844" t="s">
        <v>84</v>
      </c>
      <c r="E2844" t="s">
        <v>84</v>
      </c>
      <c r="G2844" s="13" t="s">
        <v>23615</v>
      </c>
      <c r="H2844" t="s">
        <v>23616</v>
      </c>
      <c r="I2844" t="s">
        <v>23675</v>
      </c>
      <c r="K2844" t="s">
        <v>23618</v>
      </c>
      <c r="L2844" t="s">
        <v>23619</v>
      </c>
      <c r="M2844" t="s">
        <v>7292</v>
      </c>
      <c r="T2844" t="s">
        <v>6546</v>
      </c>
      <c r="U2844" t="s">
        <v>6546</v>
      </c>
      <c r="V2844">
        <v>177.4</v>
      </c>
      <c r="W2844">
        <v>158.77000000000001</v>
      </c>
      <c r="X2844">
        <v>177.4</v>
      </c>
      <c r="AC2844" t="s">
        <v>9852</v>
      </c>
      <c r="AE2844" t="s">
        <v>3044</v>
      </c>
      <c r="AH2844" t="s">
        <v>3044</v>
      </c>
      <c r="AI2844" t="s">
        <v>9852</v>
      </c>
      <c r="AL2844" t="s">
        <v>23620</v>
      </c>
      <c r="AO2844" t="s">
        <v>23676</v>
      </c>
    </row>
    <row r="2845" spans="1:41" hidden="1" x14ac:dyDescent="0.35">
      <c r="A2845" t="s">
        <v>23677</v>
      </c>
      <c r="B2845" t="s">
        <v>7246</v>
      </c>
      <c r="C2845" t="s">
        <v>84</v>
      </c>
      <c r="D2845" t="s">
        <v>84</v>
      </c>
      <c r="E2845" t="s">
        <v>84</v>
      </c>
      <c r="G2845" s="13" t="s">
        <v>23615</v>
      </c>
      <c r="H2845" t="s">
        <v>23616</v>
      </c>
      <c r="I2845" t="s">
        <v>23678</v>
      </c>
      <c r="K2845" t="s">
        <v>22428</v>
      </c>
      <c r="L2845" t="s">
        <v>22428</v>
      </c>
      <c r="M2845" t="s">
        <v>7250</v>
      </c>
      <c r="N2845">
        <v>2011</v>
      </c>
      <c r="R2845">
        <v>3</v>
      </c>
      <c r="S2845" t="s">
        <v>8257</v>
      </c>
      <c r="T2845">
        <v>3</v>
      </c>
      <c r="U2845">
        <v>1396.15</v>
      </c>
      <c r="V2845">
        <v>116.37</v>
      </c>
      <c r="W2845" t="s">
        <v>6546</v>
      </c>
      <c r="X2845">
        <v>116.37</v>
      </c>
      <c r="AB2845" t="s">
        <v>23679</v>
      </c>
      <c r="AC2845" t="s">
        <v>9852</v>
      </c>
      <c r="AD2845" t="s">
        <v>4440</v>
      </c>
      <c r="AE2845" t="s">
        <v>23626</v>
      </c>
      <c r="AF2845" t="s">
        <v>23680</v>
      </c>
      <c r="AG2845" t="s">
        <v>23681</v>
      </c>
      <c r="AH2845" t="s">
        <v>23626</v>
      </c>
      <c r="AI2845" t="s">
        <v>9852</v>
      </c>
      <c r="AL2845" t="s">
        <v>23682</v>
      </c>
      <c r="AO2845" t="s">
        <v>6546</v>
      </c>
    </row>
    <row r="2846" spans="1:41" hidden="1" x14ac:dyDescent="0.35">
      <c r="A2846" t="s">
        <v>23683</v>
      </c>
      <c r="B2846" t="s">
        <v>7246</v>
      </c>
      <c r="C2846" t="s">
        <v>84</v>
      </c>
      <c r="D2846" t="s">
        <v>84</v>
      </c>
      <c r="E2846" t="s">
        <v>84</v>
      </c>
      <c r="G2846" s="13" t="s">
        <v>23615</v>
      </c>
      <c r="H2846" t="s">
        <v>23616</v>
      </c>
      <c r="I2846" t="s">
        <v>23684</v>
      </c>
      <c r="K2846" t="s">
        <v>22428</v>
      </c>
      <c r="L2846" t="s">
        <v>22428</v>
      </c>
      <c r="M2846" t="s">
        <v>7250</v>
      </c>
      <c r="N2846">
        <v>2010</v>
      </c>
      <c r="R2846">
        <v>3</v>
      </c>
      <c r="S2846" t="s">
        <v>8257</v>
      </c>
      <c r="T2846">
        <v>3</v>
      </c>
      <c r="U2846">
        <v>1396.15</v>
      </c>
      <c r="V2846">
        <v>199.16</v>
      </c>
      <c r="W2846" t="s">
        <v>6546</v>
      </c>
      <c r="X2846">
        <v>199.16</v>
      </c>
      <c r="AB2846" t="s">
        <v>23630</v>
      </c>
      <c r="AC2846" t="s">
        <v>9852</v>
      </c>
      <c r="AD2846" t="s">
        <v>3045</v>
      </c>
      <c r="AE2846" t="s">
        <v>3044</v>
      </c>
      <c r="AF2846" t="s">
        <v>23625</v>
      </c>
      <c r="AG2846" t="s">
        <v>4440</v>
      </c>
      <c r="AH2846" t="s">
        <v>23626</v>
      </c>
      <c r="AI2846" t="s">
        <v>9852</v>
      </c>
      <c r="AL2846" t="s">
        <v>23682</v>
      </c>
      <c r="AO2846" t="s">
        <v>6546</v>
      </c>
    </row>
    <row r="2847" spans="1:41" hidden="1" x14ac:dyDescent="0.35">
      <c r="A2847" t="s">
        <v>23685</v>
      </c>
      <c r="B2847" t="s">
        <v>7246</v>
      </c>
      <c r="C2847" t="s">
        <v>84</v>
      </c>
      <c r="D2847" t="s">
        <v>84</v>
      </c>
      <c r="E2847" t="s">
        <v>84</v>
      </c>
      <c r="G2847" s="13" t="s">
        <v>23615</v>
      </c>
      <c r="H2847" t="s">
        <v>23616</v>
      </c>
      <c r="I2847" t="s">
        <v>23686</v>
      </c>
      <c r="K2847" t="s">
        <v>22428</v>
      </c>
      <c r="L2847" t="s">
        <v>22428</v>
      </c>
      <c r="M2847" t="s">
        <v>7250</v>
      </c>
      <c r="N2847">
        <v>2015</v>
      </c>
      <c r="R2847">
        <v>0.4</v>
      </c>
      <c r="S2847" t="s">
        <v>8257</v>
      </c>
      <c r="T2847">
        <v>0.4</v>
      </c>
      <c r="U2847">
        <v>186.15</v>
      </c>
      <c r="V2847">
        <v>125.15</v>
      </c>
      <c r="W2847" t="s">
        <v>6546</v>
      </c>
      <c r="X2847">
        <v>125.15</v>
      </c>
      <c r="AB2847" t="s">
        <v>23687</v>
      </c>
      <c r="AC2847" t="s">
        <v>9852</v>
      </c>
      <c r="AD2847" t="s">
        <v>4188</v>
      </c>
      <c r="AE2847" t="s">
        <v>23626</v>
      </c>
      <c r="AF2847" t="s">
        <v>23688</v>
      </c>
      <c r="AG2847" t="s">
        <v>4188</v>
      </c>
      <c r="AH2847" t="s">
        <v>23626</v>
      </c>
      <c r="AI2847" t="s">
        <v>9852</v>
      </c>
      <c r="AL2847" t="s">
        <v>23682</v>
      </c>
      <c r="AO2847" t="s">
        <v>6546</v>
      </c>
    </row>
    <row r="2848" spans="1:41" hidden="1" x14ac:dyDescent="0.35">
      <c r="A2848" t="s">
        <v>23689</v>
      </c>
      <c r="B2848" t="s">
        <v>7246</v>
      </c>
      <c r="C2848" t="s">
        <v>84</v>
      </c>
      <c r="D2848" t="s">
        <v>84</v>
      </c>
      <c r="E2848" t="s">
        <v>84</v>
      </c>
      <c r="G2848" s="13" t="s">
        <v>23615</v>
      </c>
      <c r="H2848" t="s">
        <v>23616</v>
      </c>
      <c r="I2848" t="s">
        <v>23690</v>
      </c>
      <c r="K2848" t="s">
        <v>22428</v>
      </c>
      <c r="L2848" t="s">
        <v>22428</v>
      </c>
      <c r="M2848" t="s">
        <v>7250</v>
      </c>
      <c r="N2848">
        <v>2014</v>
      </c>
      <c r="R2848">
        <v>3</v>
      </c>
      <c r="S2848" t="s">
        <v>8257</v>
      </c>
      <c r="T2848">
        <v>3</v>
      </c>
      <c r="U2848">
        <v>1396.15</v>
      </c>
      <c r="V2848">
        <v>118.67</v>
      </c>
      <c r="W2848" t="s">
        <v>6546</v>
      </c>
      <c r="X2848">
        <v>118.67</v>
      </c>
      <c r="AC2848" t="s">
        <v>9852</v>
      </c>
      <c r="AD2848" t="s">
        <v>23631</v>
      </c>
      <c r="AE2848" t="s">
        <v>23626</v>
      </c>
      <c r="AF2848" t="s">
        <v>23691</v>
      </c>
      <c r="AG2848" t="s">
        <v>4615</v>
      </c>
      <c r="AH2848" t="s">
        <v>23626</v>
      </c>
      <c r="AI2848" t="s">
        <v>9852</v>
      </c>
      <c r="AL2848" t="s">
        <v>23682</v>
      </c>
      <c r="AO2848" t="s">
        <v>6546</v>
      </c>
    </row>
    <row r="2849" spans="1:41" hidden="1" x14ac:dyDescent="0.35">
      <c r="A2849" t="s">
        <v>23692</v>
      </c>
      <c r="B2849" t="s">
        <v>7246</v>
      </c>
      <c r="C2849" t="s">
        <v>84</v>
      </c>
      <c r="D2849" t="s">
        <v>84</v>
      </c>
      <c r="E2849" t="s">
        <v>84</v>
      </c>
      <c r="G2849" s="13" t="s">
        <v>23615</v>
      </c>
      <c r="H2849" t="s">
        <v>23616</v>
      </c>
      <c r="I2849" t="s">
        <v>23693</v>
      </c>
      <c r="K2849" t="s">
        <v>22428</v>
      </c>
      <c r="L2849" t="s">
        <v>22428</v>
      </c>
      <c r="M2849" t="s">
        <v>7250</v>
      </c>
      <c r="N2849">
        <v>2015</v>
      </c>
      <c r="R2849">
        <v>0.4</v>
      </c>
      <c r="S2849" t="s">
        <v>8257</v>
      </c>
      <c r="T2849">
        <v>0.4</v>
      </c>
      <c r="U2849">
        <v>186.15</v>
      </c>
      <c r="V2849">
        <v>40.229999999999997</v>
      </c>
      <c r="W2849" t="s">
        <v>6546</v>
      </c>
      <c r="X2849">
        <v>40.229999999999997</v>
      </c>
      <c r="AB2849" t="s">
        <v>23680</v>
      </c>
      <c r="AC2849" t="s">
        <v>9852</v>
      </c>
      <c r="AD2849" t="s">
        <v>23681</v>
      </c>
      <c r="AE2849" t="s">
        <v>23626</v>
      </c>
      <c r="AG2849" t="s">
        <v>23681</v>
      </c>
      <c r="AH2849" t="s">
        <v>23626</v>
      </c>
      <c r="AI2849" t="s">
        <v>9852</v>
      </c>
      <c r="AL2849" t="s">
        <v>23682</v>
      </c>
      <c r="AO2849" t="s">
        <v>6546</v>
      </c>
    </row>
    <row r="2850" spans="1:41" hidden="1" x14ac:dyDescent="0.35">
      <c r="A2850" t="s">
        <v>23694</v>
      </c>
      <c r="B2850" t="s">
        <v>7246</v>
      </c>
      <c r="C2850" t="s">
        <v>84</v>
      </c>
      <c r="D2850" t="s">
        <v>84</v>
      </c>
      <c r="E2850" t="s">
        <v>84</v>
      </c>
      <c r="G2850" s="13" t="s">
        <v>23695</v>
      </c>
      <c r="H2850" t="s">
        <v>23696</v>
      </c>
      <c r="I2850" t="s">
        <v>23697</v>
      </c>
      <c r="K2850" t="s">
        <v>23698</v>
      </c>
      <c r="L2850" t="s">
        <v>23699</v>
      </c>
      <c r="M2850" t="s">
        <v>7415</v>
      </c>
      <c r="R2850">
        <v>22.4</v>
      </c>
      <c r="S2850" t="s">
        <v>8257</v>
      </c>
      <c r="T2850">
        <v>22.4</v>
      </c>
      <c r="U2850">
        <v>10424.59</v>
      </c>
      <c r="V2850">
        <v>288</v>
      </c>
      <c r="W2850">
        <v>219.64</v>
      </c>
      <c r="X2850">
        <v>288</v>
      </c>
      <c r="Y2850">
        <v>1442</v>
      </c>
      <c r="Z2850" t="s">
        <v>8842</v>
      </c>
      <c r="AA2850" t="s">
        <v>23700</v>
      </c>
      <c r="AB2850" t="s">
        <v>23701</v>
      </c>
      <c r="AC2850" t="s">
        <v>9852</v>
      </c>
      <c r="AD2850" t="s">
        <v>4372</v>
      </c>
      <c r="AE2850" t="s">
        <v>3024</v>
      </c>
      <c r="AF2850" t="s">
        <v>22259</v>
      </c>
      <c r="AG2850" t="s">
        <v>4351</v>
      </c>
      <c r="AH2850" t="s">
        <v>3024</v>
      </c>
      <c r="AI2850" t="s">
        <v>9852</v>
      </c>
      <c r="AL2850" t="s">
        <v>23702</v>
      </c>
      <c r="AO2850" t="s">
        <v>23703</v>
      </c>
    </row>
    <row r="2851" spans="1:41" hidden="1" x14ac:dyDescent="0.35">
      <c r="A2851" t="s">
        <v>23704</v>
      </c>
      <c r="B2851" t="s">
        <v>7246</v>
      </c>
      <c r="C2851" t="s">
        <v>84</v>
      </c>
      <c r="D2851" t="s">
        <v>84</v>
      </c>
      <c r="E2851" t="s">
        <v>84</v>
      </c>
      <c r="G2851" s="13" t="s">
        <v>23705</v>
      </c>
      <c r="H2851" t="s">
        <v>23706</v>
      </c>
      <c r="I2851" t="s">
        <v>23707</v>
      </c>
      <c r="K2851" t="s">
        <v>22676</v>
      </c>
      <c r="L2851" t="s">
        <v>22677</v>
      </c>
      <c r="M2851" t="s">
        <v>7250</v>
      </c>
      <c r="N2851">
        <v>2013</v>
      </c>
      <c r="R2851">
        <v>14.7</v>
      </c>
      <c r="S2851" t="s">
        <v>8257</v>
      </c>
      <c r="T2851">
        <v>14.7</v>
      </c>
      <c r="U2851">
        <v>6841.14</v>
      </c>
      <c r="V2851">
        <v>134</v>
      </c>
      <c r="W2851" t="s">
        <v>6546</v>
      </c>
      <c r="X2851">
        <v>134</v>
      </c>
      <c r="AA2851" t="s">
        <v>23708</v>
      </c>
      <c r="AB2851" t="s">
        <v>23709</v>
      </c>
      <c r="AC2851" t="s">
        <v>9852</v>
      </c>
      <c r="AD2851" t="s">
        <v>4372</v>
      </c>
      <c r="AE2851" t="s">
        <v>3024</v>
      </c>
      <c r="AG2851" t="s">
        <v>4372</v>
      </c>
      <c r="AH2851" t="s">
        <v>3024</v>
      </c>
      <c r="AI2851" t="s">
        <v>9852</v>
      </c>
      <c r="AL2851" t="s">
        <v>23702</v>
      </c>
      <c r="AO2851" t="s">
        <v>6546</v>
      </c>
    </row>
    <row r="2852" spans="1:41" hidden="1" x14ac:dyDescent="0.35">
      <c r="A2852" t="s">
        <v>23710</v>
      </c>
      <c r="B2852" t="s">
        <v>7246</v>
      </c>
      <c r="C2852" t="s">
        <v>84</v>
      </c>
      <c r="D2852" t="s">
        <v>84</v>
      </c>
      <c r="E2852" t="s">
        <v>84</v>
      </c>
      <c r="G2852" s="13" t="s">
        <v>23711</v>
      </c>
      <c r="H2852" t="s">
        <v>23706</v>
      </c>
      <c r="I2852" t="s">
        <v>23712</v>
      </c>
      <c r="K2852" t="s">
        <v>23713</v>
      </c>
      <c r="L2852" t="s">
        <v>23714</v>
      </c>
      <c r="M2852" t="s">
        <v>7292</v>
      </c>
      <c r="R2852">
        <v>5.0999999999999996</v>
      </c>
      <c r="S2852" t="s">
        <v>8257</v>
      </c>
      <c r="T2852">
        <v>5.0999999999999996</v>
      </c>
      <c r="U2852">
        <v>2373.46</v>
      </c>
      <c r="V2852">
        <v>125</v>
      </c>
      <c r="W2852">
        <v>102.21</v>
      </c>
      <c r="X2852">
        <v>125</v>
      </c>
      <c r="Y2852" t="s">
        <v>23715</v>
      </c>
      <c r="Z2852" t="s">
        <v>8842</v>
      </c>
      <c r="AC2852" t="s">
        <v>9852</v>
      </c>
      <c r="AD2852" t="s">
        <v>4351</v>
      </c>
      <c r="AE2852" t="s">
        <v>3024</v>
      </c>
      <c r="AG2852" t="s">
        <v>23716</v>
      </c>
      <c r="AH2852" t="s">
        <v>3024</v>
      </c>
      <c r="AI2852" t="s">
        <v>9852</v>
      </c>
      <c r="AL2852" t="s">
        <v>23702</v>
      </c>
      <c r="AO2852" t="s">
        <v>23717</v>
      </c>
    </row>
    <row r="2853" spans="1:41" hidden="1" x14ac:dyDescent="0.35">
      <c r="A2853" t="s">
        <v>23718</v>
      </c>
      <c r="B2853" t="s">
        <v>7246</v>
      </c>
      <c r="C2853" t="s">
        <v>84</v>
      </c>
      <c r="D2853" t="s">
        <v>84</v>
      </c>
      <c r="E2853" t="s">
        <v>84</v>
      </c>
      <c r="G2853" s="13" t="s">
        <v>23719</v>
      </c>
      <c r="H2853" t="s">
        <v>23706</v>
      </c>
      <c r="I2853" t="s">
        <v>23720</v>
      </c>
      <c r="K2853" t="s">
        <v>22841</v>
      </c>
      <c r="L2853" t="s">
        <v>22842</v>
      </c>
      <c r="M2853" t="s">
        <v>7250</v>
      </c>
      <c r="N2853">
        <v>2002</v>
      </c>
      <c r="R2853">
        <v>1.05</v>
      </c>
      <c r="S2853" t="s">
        <v>8257</v>
      </c>
      <c r="T2853">
        <v>1.05</v>
      </c>
      <c r="U2853">
        <v>488.65</v>
      </c>
      <c r="V2853">
        <v>211.6</v>
      </c>
      <c r="W2853">
        <v>183.54</v>
      </c>
      <c r="X2853">
        <v>211.6</v>
      </c>
      <c r="AA2853" t="s">
        <v>23721</v>
      </c>
      <c r="AB2853" t="s">
        <v>3025</v>
      </c>
      <c r="AC2853" t="s">
        <v>9852</v>
      </c>
      <c r="AD2853" t="s">
        <v>3025</v>
      </c>
      <c r="AE2853" t="s">
        <v>3024</v>
      </c>
      <c r="AF2853" t="s">
        <v>3061</v>
      </c>
      <c r="AG2853" t="s">
        <v>3061</v>
      </c>
      <c r="AH2853" t="s">
        <v>3058</v>
      </c>
      <c r="AI2853" t="s">
        <v>9852</v>
      </c>
      <c r="AL2853" t="s">
        <v>23702</v>
      </c>
      <c r="AO2853" t="s">
        <v>23722</v>
      </c>
    </row>
    <row r="2854" spans="1:41" hidden="1" x14ac:dyDescent="0.35">
      <c r="A2854" t="s">
        <v>23723</v>
      </c>
      <c r="B2854" t="s">
        <v>7246</v>
      </c>
      <c r="C2854" t="s">
        <v>84</v>
      </c>
      <c r="D2854" t="s">
        <v>84</v>
      </c>
      <c r="E2854" t="s">
        <v>84</v>
      </c>
      <c r="G2854" s="13" t="s">
        <v>23724</v>
      </c>
      <c r="H2854" t="s">
        <v>23706</v>
      </c>
      <c r="I2854" t="s">
        <v>23725</v>
      </c>
      <c r="K2854" t="s">
        <v>23726</v>
      </c>
      <c r="L2854" t="s">
        <v>23727</v>
      </c>
      <c r="M2854" t="s">
        <v>7292</v>
      </c>
      <c r="R2854">
        <v>3.86</v>
      </c>
      <c r="S2854" t="s">
        <v>8257</v>
      </c>
      <c r="T2854">
        <v>3.86</v>
      </c>
      <c r="U2854">
        <v>1796.38</v>
      </c>
      <c r="V2854">
        <v>100</v>
      </c>
      <c r="W2854">
        <v>158.63</v>
      </c>
      <c r="X2854">
        <v>100</v>
      </c>
      <c r="AA2854" t="s">
        <v>23728</v>
      </c>
      <c r="AC2854" t="s">
        <v>9852</v>
      </c>
      <c r="AD2854" t="s">
        <v>4356</v>
      </c>
      <c r="AE2854" t="s">
        <v>3024</v>
      </c>
      <c r="AF2854" t="s">
        <v>23729</v>
      </c>
      <c r="AG2854" t="s">
        <v>4372</v>
      </c>
      <c r="AH2854" t="s">
        <v>3024</v>
      </c>
      <c r="AI2854" t="s">
        <v>9852</v>
      </c>
      <c r="AL2854" t="s">
        <v>23702</v>
      </c>
      <c r="AO2854" t="s">
        <v>23730</v>
      </c>
    </row>
    <row r="2855" spans="1:41" hidden="1" x14ac:dyDescent="0.35">
      <c r="A2855" t="s">
        <v>23731</v>
      </c>
      <c r="B2855" t="s">
        <v>7246</v>
      </c>
      <c r="C2855" t="s">
        <v>84</v>
      </c>
      <c r="D2855" t="s">
        <v>84</v>
      </c>
      <c r="E2855" t="s">
        <v>84</v>
      </c>
      <c r="G2855" s="13" t="s">
        <v>23724</v>
      </c>
      <c r="H2855" t="s">
        <v>23706</v>
      </c>
      <c r="I2855" t="s">
        <v>23732</v>
      </c>
      <c r="K2855" t="s">
        <v>23726</v>
      </c>
      <c r="L2855" t="s">
        <v>23727</v>
      </c>
      <c r="M2855" t="s">
        <v>7292</v>
      </c>
      <c r="T2855" t="s">
        <v>6546</v>
      </c>
      <c r="U2855" t="s">
        <v>6546</v>
      </c>
      <c r="V2855">
        <v>85</v>
      </c>
      <c r="W2855" t="s">
        <v>6546</v>
      </c>
      <c r="X2855">
        <v>85</v>
      </c>
      <c r="AC2855" t="s">
        <v>9852</v>
      </c>
      <c r="AE2855" t="s">
        <v>3024</v>
      </c>
      <c r="AH2855" t="s">
        <v>3024</v>
      </c>
      <c r="AI2855" t="s">
        <v>9852</v>
      </c>
      <c r="AL2855" t="s">
        <v>23702</v>
      </c>
      <c r="AO2855" t="s">
        <v>6546</v>
      </c>
    </row>
    <row r="2856" spans="1:41" hidden="1" x14ac:dyDescent="0.35">
      <c r="A2856" t="s">
        <v>23733</v>
      </c>
      <c r="B2856" t="s">
        <v>7246</v>
      </c>
      <c r="C2856" t="s">
        <v>84</v>
      </c>
      <c r="D2856" t="s">
        <v>84</v>
      </c>
      <c r="E2856" t="s">
        <v>84</v>
      </c>
      <c r="G2856" s="13" t="s">
        <v>23734</v>
      </c>
      <c r="H2856" t="s">
        <v>23706</v>
      </c>
      <c r="I2856" t="s">
        <v>23735</v>
      </c>
      <c r="K2856" t="s">
        <v>23736</v>
      </c>
      <c r="L2856" t="s">
        <v>23737</v>
      </c>
      <c r="M2856" t="s">
        <v>7250</v>
      </c>
      <c r="N2856">
        <v>2011</v>
      </c>
      <c r="R2856">
        <v>0.47</v>
      </c>
      <c r="S2856" t="s">
        <v>8257</v>
      </c>
      <c r="T2856">
        <v>0.47</v>
      </c>
      <c r="U2856">
        <v>218.73</v>
      </c>
      <c r="V2856">
        <v>254</v>
      </c>
      <c r="W2856">
        <v>187.21</v>
      </c>
      <c r="X2856">
        <v>254</v>
      </c>
      <c r="AA2856" t="s">
        <v>23738</v>
      </c>
      <c r="AB2856" t="s">
        <v>23739</v>
      </c>
      <c r="AC2856" t="s">
        <v>9852</v>
      </c>
      <c r="AD2856" t="s">
        <v>23740</v>
      </c>
      <c r="AE2856" t="s">
        <v>4731</v>
      </c>
      <c r="AF2856" t="s">
        <v>4430</v>
      </c>
      <c r="AG2856" t="s">
        <v>4430</v>
      </c>
      <c r="AH2856" t="s">
        <v>3024</v>
      </c>
      <c r="AI2856" t="s">
        <v>9852</v>
      </c>
      <c r="AL2856" t="s">
        <v>23702</v>
      </c>
      <c r="AO2856" t="s">
        <v>23741</v>
      </c>
    </row>
    <row r="2857" spans="1:41" hidden="1" x14ac:dyDescent="0.35">
      <c r="A2857" t="s">
        <v>23742</v>
      </c>
      <c r="B2857" t="s">
        <v>7246</v>
      </c>
      <c r="C2857" t="s">
        <v>84</v>
      </c>
      <c r="D2857" t="s">
        <v>84</v>
      </c>
      <c r="E2857" t="s">
        <v>84</v>
      </c>
      <c r="G2857" s="13" t="s">
        <v>23743</v>
      </c>
      <c r="H2857" t="s">
        <v>23706</v>
      </c>
      <c r="I2857" t="s">
        <v>23744</v>
      </c>
      <c r="K2857" t="s">
        <v>23726</v>
      </c>
      <c r="L2857" t="s">
        <v>23727</v>
      </c>
      <c r="M2857" t="s">
        <v>7250</v>
      </c>
      <c r="N2857">
        <v>2002</v>
      </c>
      <c r="R2857">
        <v>1.5</v>
      </c>
      <c r="S2857" t="s">
        <v>8257</v>
      </c>
      <c r="T2857">
        <v>1.5</v>
      </c>
      <c r="U2857">
        <v>698.08</v>
      </c>
      <c r="V2857">
        <v>361</v>
      </c>
      <c r="W2857">
        <v>361.3</v>
      </c>
      <c r="X2857">
        <v>361</v>
      </c>
      <c r="Y2857">
        <v>508</v>
      </c>
      <c r="Z2857" t="s">
        <v>8842</v>
      </c>
      <c r="AC2857" t="s">
        <v>9852</v>
      </c>
      <c r="AD2857" t="s">
        <v>23745</v>
      </c>
      <c r="AE2857" t="s">
        <v>3024</v>
      </c>
      <c r="AG2857" t="s">
        <v>4317</v>
      </c>
      <c r="AH2857" t="s">
        <v>3024</v>
      </c>
      <c r="AI2857" t="s">
        <v>9852</v>
      </c>
      <c r="AL2857" t="s">
        <v>23702</v>
      </c>
      <c r="AO2857" t="s">
        <v>23746</v>
      </c>
    </row>
    <row r="2858" spans="1:41" hidden="1" x14ac:dyDescent="0.35">
      <c r="A2858" t="s">
        <v>23747</v>
      </c>
      <c r="B2858" t="s">
        <v>7246</v>
      </c>
      <c r="C2858" t="s">
        <v>84</v>
      </c>
      <c r="D2858" t="s">
        <v>84</v>
      </c>
      <c r="E2858" t="s">
        <v>84</v>
      </c>
      <c r="G2858" s="13" t="s">
        <v>23748</v>
      </c>
      <c r="H2858" t="s">
        <v>23706</v>
      </c>
      <c r="I2858" t="s">
        <v>23749</v>
      </c>
      <c r="K2858" t="s">
        <v>23726</v>
      </c>
      <c r="L2858" t="s">
        <v>23727</v>
      </c>
      <c r="M2858" t="s">
        <v>7250</v>
      </c>
      <c r="R2858">
        <v>1.51</v>
      </c>
      <c r="S2858" t="s">
        <v>8257</v>
      </c>
      <c r="T2858">
        <v>1.51</v>
      </c>
      <c r="U2858">
        <v>702.73</v>
      </c>
      <c r="V2858">
        <v>102</v>
      </c>
      <c r="W2858">
        <v>79.03</v>
      </c>
      <c r="X2858">
        <v>102</v>
      </c>
      <c r="Y2858">
        <v>1219</v>
      </c>
      <c r="Z2858" t="s">
        <v>8842</v>
      </c>
      <c r="AC2858" t="s">
        <v>9852</v>
      </c>
      <c r="AE2858" t="s">
        <v>3011</v>
      </c>
      <c r="AG2858" t="s">
        <v>4317</v>
      </c>
      <c r="AH2858" t="s">
        <v>3024</v>
      </c>
      <c r="AI2858" t="s">
        <v>9852</v>
      </c>
      <c r="AL2858" t="s">
        <v>23702</v>
      </c>
      <c r="AO2858" t="s">
        <v>23750</v>
      </c>
    </row>
    <row r="2859" spans="1:41" hidden="1" x14ac:dyDescent="0.35">
      <c r="A2859" t="s">
        <v>23751</v>
      </c>
      <c r="B2859" t="s">
        <v>7246</v>
      </c>
      <c r="C2859" t="s">
        <v>84</v>
      </c>
      <c r="D2859" t="s">
        <v>84</v>
      </c>
      <c r="E2859" t="s">
        <v>84</v>
      </c>
      <c r="G2859" s="13" t="s">
        <v>23752</v>
      </c>
      <c r="H2859" t="s">
        <v>23753</v>
      </c>
      <c r="I2859" t="s">
        <v>23754</v>
      </c>
      <c r="K2859" t="s">
        <v>23755</v>
      </c>
      <c r="L2859" t="s">
        <v>23756</v>
      </c>
      <c r="M2859" t="s">
        <v>7250</v>
      </c>
      <c r="N2859">
        <v>2011</v>
      </c>
      <c r="R2859">
        <v>0.48</v>
      </c>
      <c r="S2859" t="s">
        <v>8257</v>
      </c>
      <c r="T2859">
        <v>0.48</v>
      </c>
      <c r="U2859">
        <v>223.38</v>
      </c>
      <c r="V2859">
        <v>90.05</v>
      </c>
      <c r="W2859">
        <v>47.47</v>
      </c>
      <c r="X2859">
        <v>90.05</v>
      </c>
      <c r="AB2859" t="s">
        <v>22921</v>
      </c>
      <c r="AC2859" t="s">
        <v>9852</v>
      </c>
      <c r="AD2859" t="s">
        <v>22922</v>
      </c>
      <c r="AE2859" t="s">
        <v>3030</v>
      </c>
      <c r="AF2859" t="s">
        <v>23757</v>
      </c>
      <c r="AG2859" t="s">
        <v>22922</v>
      </c>
      <c r="AH2859" t="s">
        <v>3030</v>
      </c>
      <c r="AI2859" t="s">
        <v>9852</v>
      </c>
      <c r="AL2859" t="s">
        <v>23758</v>
      </c>
      <c r="AO2859" t="s">
        <v>23759</v>
      </c>
    </row>
    <row r="2860" spans="1:41" hidden="1" x14ac:dyDescent="0.35">
      <c r="A2860" t="s">
        <v>23760</v>
      </c>
      <c r="B2860" t="s">
        <v>7246</v>
      </c>
      <c r="C2860" t="s">
        <v>84</v>
      </c>
      <c r="D2860" t="s">
        <v>84</v>
      </c>
      <c r="E2860" t="s">
        <v>84</v>
      </c>
      <c r="G2860" s="13" t="s">
        <v>23752</v>
      </c>
      <c r="H2860" t="s">
        <v>23753</v>
      </c>
      <c r="I2860" t="s">
        <v>23761</v>
      </c>
      <c r="K2860" t="s">
        <v>23762</v>
      </c>
      <c r="L2860" t="s">
        <v>23763</v>
      </c>
      <c r="M2860" t="s">
        <v>7250</v>
      </c>
      <c r="N2860">
        <v>2003</v>
      </c>
      <c r="R2860">
        <v>0.98</v>
      </c>
      <c r="S2860" t="s">
        <v>8257</v>
      </c>
      <c r="T2860">
        <v>0.98</v>
      </c>
      <c r="U2860">
        <v>456.08</v>
      </c>
      <c r="V2860">
        <v>206</v>
      </c>
      <c r="W2860">
        <v>153.65</v>
      </c>
      <c r="X2860">
        <v>206</v>
      </c>
      <c r="AC2860" t="s">
        <v>9852</v>
      </c>
      <c r="AD2860" t="s">
        <v>22922</v>
      </c>
      <c r="AE2860" t="s">
        <v>3030</v>
      </c>
      <c r="AG2860" t="s">
        <v>4442</v>
      </c>
      <c r="AH2860" t="s">
        <v>3030</v>
      </c>
      <c r="AI2860" t="s">
        <v>9852</v>
      </c>
      <c r="AL2860" t="s">
        <v>23758</v>
      </c>
      <c r="AO2860" t="s">
        <v>23764</v>
      </c>
    </row>
    <row r="2861" spans="1:41" hidden="1" x14ac:dyDescent="0.35">
      <c r="A2861" t="s">
        <v>23765</v>
      </c>
      <c r="B2861" t="s">
        <v>7246</v>
      </c>
      <c r="C2861" t="s">
        <v>84</v>
      </c>
      <c r="D2861" t="s">
        <v>84</v>
      </c>
      <c r="E2861" t="s">
        <v>84</v>
      </c>
      <c r="G2861" s="13" t="s">
        <v>23766</v>
      </c>
      <c r="H2861" t="s">
        <v>23753</v>
      </c>
      <c r="I2861" t="s">
        <v>23767</v>
      </c>
      <c r="K2861" t="s">
        <v>23768</v>
      </c>
      <c r="L2861" t="s">
        <v>23768</v>
      </c>
      <c r="M2861" t="s">
        <v>7250</v>
      </c>
      <c r="N2861">
        <v>2004</v>
      </c>
      <c r="R2861">
        <v>1.6</v>
      </c>
      <c r="S2861" t="s">
        <v>8257</v>
      </c>
      <c r="T2861">
        <v>1.6</v>
      </c>
      <c r="U2861">
        <v>744.61</v>
      </c>
      <c r="V2861">
        <v>187.8</v>
      </c>
      <c r="W2861">
        <v>518.48</v>
      </c>
      <c r="X2861">
        <v>187.8</v>
      </c>
      <c r="AA2861" t="s">
        <v>23769</v>
      </c>
      <c r="AB2861" t="s">
        <v>23770</v>
      </c>
      <c r="AC2861" t="s">
        <v>9852</v>
      </c>
      <c r="AD2861" t="s">
        <v>4472</v>
      </c>
      <c r="AE2861" t="s">
        <v>3030</v>
      </c>
      <c r="AG2861" t="s">
        <v>23771</v>
      </c>
      <c r="AH2861" t="s">
        <v>3030</v>
      </c>
      <c r="AI2861" t="s">
        <v>9852</v>
      </c>
      <c r="AL2861" t="s">
        <v>23758</v>
      </c>
      <c r="AO2861" t="s">
        <v>23772</v>
      </c>
    </row>
    <row r="2862" spans="1:41" hidden="1" x14ac:dyDescent="0.35">
      <c r="A2862" t="s">
        <v>23773</v>
      </c>
      <c r="B2862" t="s">
        <v>7246</v>
      </c>
      <c r="C2862" t="s">
        <v>84</v>
      </c>
      <c r="D2862" t="s">
        <v>84</v>
      </c>
      <c r="E2862" t="s">
        <v>84</v>
      </c>
      <c r="G2862" s="13" t="s">
        <v>23774</v>
      </c>
      <c r="H2862" t="s">
        <v>23753</v>
      </c>
      <c r="I2862" t="s">
        <v>23775</v>
      </c>
      <c r="K2862" t="s">
        <v>23776</v>
      </c>
      <c r="L2862" t="s">
        <v>23777</v>
      </c>
      <c r="M2862" t="s">
        <v>7292</v>
      </c>
      <c r="R2862">
        <v>1</v>
      </c>
      <c r="S2862" t="s">
        <v>8257</v>
      </c>
      <c r="T2862">
        <v>1</v>
      </c>
      <c r="U2862">
        <v>465.38</v>
      </c>
      <c r="V2862">
        <v>150</v>
      </c>
      <c r="W2862">
        <v>138.30000000000001</v>
      </c>
      <c r="X2862">
        <v>150</v>
      </c>
      <c r="Y2862">
        <v>711</v>
      </c>
      <c r="Z2862" t="s">
        <v>8842</v>
      </c>
      <c r="AC2862" t="s">
        <v>9852</v>
      </c>
      <c r="AE2862" t="s">
        <v>3030</v>
      </c>
      <c r="AH2862" t="s">
        <v>3030</v>
      </c>
      <c r="AI2862" t="s">
        <v>9852</v>
      </c>
      <c r="AL2862" t="s">
        <v>23758</v>
      </c>
      <c r="AO2862" t="s">
        <v>23778</v>
      </c>
    </row>
    <row r="2863" spans="1:41" hidden="1" x14ac:dyDescent="0.35">
      <c r="A2863" t="s">
        <v>23779</v>
      </c>
      <c r="B2863" t="s">
        <v>7246</v>
      </c>
      <c r="C2863" t="s">
        <v>84</v>
      </c>
      <c r="D2863" t="s">
        <v>84</v>
      </c>
      <c r="E2863" t="s">
        <v>84</v>
      </c>
      <c r="G2863" s="13" t="s">
        <v>23780</v>
      </c>
      <c r="H2863" t="s">
        <v>23753</v>
      </c>
      <c r="I2863" t="s">
        <v>23781</v>
      </c>
      <c r="K2863" t="s">
        <v>23768</v>
      </c>
      <c r="L2863" t="s">
        <v>23768</v>
      </c>
      <c r="M2863" t="s">
        <v>7250</v>
      </c>
      <c r="N2863">
        <v>2011</v>
      </c>
      <c r="R2863">
        <v>1.6</v>
      </c>
      <c r="S2863" t="s">
        <v>8257</v>
      </c>
      <c r="T2863">
        <v>1.6</v>
      </c>
      <c r="U2863">
        <v>744.61</v>
      </c>
      <c r="V2863">
        <v>134.5</v>
      </c>
      <c r="W2863">
        <v>77.150000000000006</v>
      </c>
      <c r="X2863">
        <v>134.5</v>
      </c>
      <c r="AA2863" t="s">
        <v>23782</v>
      </c>
      <c r="AC2863" t="s">
        <v>9852</v>
      </c>
      <c r="AD2863" t="s">
        <v>4462</v>
      </c>
      <c r="AE2863" t="s">
        <v>3030</v>
      </c>
      <c r="AG2863" t="s">
        <v>23771</v>
      </c>
      <c r="AH2863" t="s">
        <v>3030</v>
      </c>
      <c r="AI2863" t="s">
        <v>9852</v>
      </c>
      <c r="AL2863" t="s">
        <v>23758</v>
      </c>
      <c r="AO2863" t="s">
        <v>23783</v>
      </c>
    </row>
    <row r="2864" spans="1:41" hidden="1" x14ac:dyDescent="0.35">
      <c r="A2864" t="s">
        <v>23784</v>
      </c>
      <c r="B2864" t="s">
        <v>7246</v>
      </c>
      <c r="C2864" t="s">
        <v>84</v>
      </c>
      <c r="D2864" t="s">
        <v>84</v>
      </c>
      <c r="E2864" t="s">
        <v>84</v>
      </c>
      <c r="G2864" s="13" t="s">
        <v>23774</v>
      </c>
      <c r="H2864" t="s">
        <v>23753</v>
      </c>
      <c r="I2864" t="s">
        <v>23785</v>
      </c>
      <c r="K2864" t="s">
        <v>23786</v>
      </c>
      <c r="L2864" t="s">
        <v>23777</v>
      </c>
      <c r="M2864" t="s">
        <v>7292</v>
      </c>
      <c r="R2864">
        <v>3</v>
      </c>
      <c r="S2864" t="s">
        <v>8257</v>
      </c>
      <c r="T2864">
        <v>3</v>
      </c>
      <c r="U2864">
        <v>1396.15</v>
      </c>
      <c r="V2864">
        <v>257</v>
      </c>
      <c r="W2864">
        <v>191.14</v>
      </c>
      <c r="X2864">
        <v>257</v>
      </c>
      <c r="Y2864">
        <v>711</v>
      </c>
      <c r="Z2864" t="s">
        <v>8842</v>
      </c>
      <c r="AB2864" t="s">
        <v>23787</v>
      </c>
      <c r="AC2864" t="s">
        <v>9852</v>
      </c>
      <c r="AE2864" t="s">
        <v>3030</v>
      </c>
      <c r="AF2864" t="s">
        <v>23788</v>
      </c>
      <c r="AH2864" t="s">
        <v>3030</v>
      </c>
      <c r="AI2864" t="s">
        <v>9852</v>
      </c>
      <c r="AL2864" t="s">
        <v>23758</v>
      </c>
      <c r="AO2864" t="s">
        <v>23789</v>
      </c>
    </row>
    <row r="2865" spans="1:41" hidden="1" x14ac:dyDescent="0.35">
      <c r="A2865" t="s">
        <v>23790</v>
      </c>
      <c r="B2865" t="s">
        <v>7246</v>
      </c>
      <c r="C2865" t="s">
        <v>84</v>
      </c>
      <c r="D2865" t="s">
        <v>84</v>
      </c>
      <c r="E2865" t="s">
        <v>84</v>
      </c>
      <c r="G2865" s="13" t="s">
        <v>23774</v>
      </c>
      <c r="H2865" t="s">
        <v>23753</v>
      </c>
      <c r="I2865" t="s">
        <v>23791</v>
      </c>
      <c r="K2865" t="s">
        <v>23792</v>
      </c>
      <c r="L2865" t="s">
        <v>23793</v>
      </c>
      <c r="M2865" t="s">
        <v>7250</v>
      </c>
      <c r="N2865">
        <v>2011</v>
      </c>
      <c r="R2865">
        <v>0.5</v>
      </c>
      <c r="S2865" t="s">
        <v>8257</v>
      </c>
      <c r="T2865">
        <v>0.5</v>
      </c>
      <c r="U2865">
        <v>232.69</v>
      </c>
      <c r="V2865">
        <v>150</v>
      </c>
      <c r="W2865">
        <v>103.76</v>
      </c>
      <c r="X2865">
        <v>150</v>
      </c>
      <c r="AB2865" t="s">
        <v>23529</v>
      </c>
      <c r="AC2865" t="s">
        <v>9852</v>
      </c>
      <c r="AD2865" t="s">
        <v>23794</v>
      </c>
      <c r="AE2865" t="s">
        <v>3030</v>
      </c>
      <c r="AG2865" t="s">
        <v>23795</v>
      </c>
      <c r="AH2865" t="s">
        <v>3030</v>
      </c>
      <c r="AI2865" t="s">
        <v>9852</v>
      </c>
      <c r="AL2865" t="s">
        <v>23758</v>
      </c>
      <c r="AO2865" t="s">
        <v>23796</v>
      </c>
    </row>
    <row r="2866" spans="1:41" hidden="1" x14ac:dyDescent="0.35">
      <c r="A2866" t="s">
        <v>23797</v>
      </c>
      <c r="B2866" t="s">
        <v>7246</v>
      </c>
      <c r="C2866" t="s">
        <v>84</v>
      </c>
      <c r="D2866" t="s">
        <v>84</v>
      </c>
      <c r="E2866" t="s">
        <v>84</v>
      </c>
      <c r="G2866" s="13" t="s">
        <v>23774</v>
      </c>
      <c r="H2866" t="s">
        <v>23753</v>
      </c>
      <c r="I2866" t="s">
        <v>23798</v>
      </c>
      <c r="K2866" t="s">
        <v>23799</v>
      </c>
      <c r="L2866" t="s">
        <v>23800</v>
      </c>
      <c r="M2866" t="s">
        <v>7415</v>
      </c>
      <c r="R2866">
        <v>2.4</v>
      </c>
      <c r="S2866" t="s">
        <v>8257</v>
      </c>
      <c r="T2866">
        <v>2.4</v>
      </c>
      <c r="U2866">
        <v>1116.92</v>
      </c>
      <c r="V2866">
        <v>178</v>
      </c>
      <c r="W2866">
        <v>82.53</v>
      </c>
      <c r="X2866">
        <v>178</v>
      </c>
      <c r="Y2866">
        <v>700</v>
      </c>
      <c r="Z2866" t="s">
        <v>8842</v>
      </c>
      <c r="AC2866" t="s">
        <v>9852</v>
      </c>
      <c r="AE2866" t="s">
        <v>3030</v>
      </c>
      <c r="AH2866" t="s">
        <v>3030</v>
      </c>
      <c r="AI2866" t="s">
        <v>9852</v>
      </c>
      <c r="AL2866" t="s">
        <v>23758</v>
      </c>
      <c r="AO2866" t="s">
        <v>23801</v>
      </c>
    </row>
    <row r="2867" spans="1:41" hidden="1" x14ac:dyDescent="0.35">
      <c r="A2867" t="s">
        <v>23802</v>
      </c>
      <c r="B2867" t="s">
        <v>7246</v>
      </c>
      <c r="C2867" t="s">
        <v>84</v>
      </c>
      <c r="D2867" t="s">
        <v>84</v>
      </c>
      <c r="E2867" t="s">
        <v>84</v>
      </c>
      <c r="G2867" s="13" t="s">
        <v>23774</v>
      </c>
      <c r="H2867" t="s">
        <v>23753</v>
      </c>
      <c r="I2867" t="s">
        <v>23803</v>
      </c>
      <c r="K2867" t="s">
        <v>23768</v>
      </c>
      <c r="L2867" t="s">
        <v>23768</v>
      </c>
      <c r="M2867" t="s">
        <v>7250</v>
      </c>
      <c r="R2867">
        <v>2</v>
      </c>
      <c r="S2867" t="s">
        <v>8257</v>
      </c>
      <c r="T2867">
        <v>2</v>
      </c>
      <c r="U2867">
        <v>930.77</v>
      </c>
      <c r="V2867">
        <v>247</v>
      </c>
      <c r="W2867">
        <v>215.82</v>
      </c>
      <c r="X2867">
        <v>247</v>
      </c>
      <c r="AB2867" t="s">
        <v>23804</v>
      </c>
      <c r="AC2867" t="s">
        <v>9852</v>
      </c>
      <c r="AD2867" t="s">
        <v>23525</v>
      </c>
      <c r="AE2867" t="s">
        <v>3030</v>
      </c>
      <c r="AF2867" t="s">
        <v>23770</v>
      </c>
      <c r="AG2867" t="s">
        <v>4472</v>
      </c>
      <c r="AH2867" t="s">
        <v>3030</v>
      </c>
      <c r="AI2867" t="s">
        <v>9852</v>
      </c>
      <c r="AL2867" t="s">
        <v>23758</v>
      </c>
      <c r="AO2867" t="s">
        <v>23805</v>
      </c>
    </row>
    <row r="2868" spans="1:41" hidden="1" x14ac:dyDescent="0.35">
      <c r="A2868" t="s">
        <v>23806</v>
      </c>
      <c r="B2868" t="s">
        <v>7246</v>
      </c>
      <c r="C2868" t="s">
        <v>84</v>
      </c>
      <c r="D2868" t="s">
        <v>84</v>
      </c>
      <c r="E2868" t="s">
        <v>84</v>
      </c>
      <c r="G2868" s="13" t="s">
        <v>23774</v>
      </c>
      <c r="H2868" t="s">
        <v>23753</v>
      </c>
      <c r="I2868" t="s">
        <v>23807</v>
      </c>
      <c r="K2868" t="s">
        <v>23808</v>
      </c>
      <c r="L2868" t="s">
        <v>23809</v>
      </c>
      <c r="M2868" t="s">
        <v>7250</v>
      </c>
      <c r="R2868">
        <v>0.49</v>
      </c>
      <c r="S2868" t="s">
        <v>8257</v>
      </c>
      <c r="T2868">
        <v>0.49</v>
      </c>
      <c r="U2868">
        <v>228.04</v>
      </c>
      <c r="V2868">
        <v>53.2</v>
      </c>
      <c r="W2868">
        <v>44.69</v>
      </c>
      <c r="X2868">
        <v>53.2</v>
      </c>
      <c r="AB2868" t="s">
        <v>23810</v>
      </c>
      <c r="AC2868" t="s">
        <v>9852</v>
      </c>
      <c r="AD2868" t="s">
        <v>3031</v>
      </c>
      <c r="AE2868" t="s">
        <v>3030</v>
      </c>
      <c r="AF2868" t="s">
        <v>23811</v>
      </c>
      <c r="AG2868" t="s">
        <v>23812</v>
      </c>
      <c r="AH2868" t="s">
        <v>3030</v>
      </c>
      <c r="AI2868" t="s">
        <v>9852</v>
      </c>
      <c r="AL2868" t="s">
        <v>23758</v>
      </c>
      <c r="AO2868" t="s">
        <v>23813</v>
      </c>
    </row>
    <row r="2869" spans="1:41" hidden="1" x14ac:dyDescent="0.35">
      <c r="A2869" t="s">
        <v>23814</v>
      </c>
      <c r="B2869" t="s">
        <v>7246</v>
      </c>
      <c r="C2869" t="s">
        <v>84</v>
      </c>
      <c r="D2869" t="s">
        <v>84</v>
      </c>
      <c r="E2869" t="s">
        <v>84</v>
      </c>
      <c r="G2869" s="13" t="s">
        <v>23774</v>
      </c>
      <c r="H2869" t="s">
        <v>23753</v>
      </c>
      <c r="I2869" t="s">
        <v>23815</v>
      </c>
      <c r="K2869" t="s">
        <v>23816</v>
      </c>
      <c r="L2869" t="s">
        <v>23817</v>
      </c>
      <c r="M2869" t="s">
        <v>7250</v>
      </c>
      <c r="R2869">
        <v>0.46</v>
      </c>
      <c r="S2869" t="s">
        <v>8257</v>
      </c>
      <c r="T2869">
        <v>0.46</v>
      </c>
      <c r="U2869">
        <v>214.08</v>
      </c>
      <c r="V2869">
        <v>120</v>
      </c>
      <c r="W2869">
        <v>84.85</v>
      </c>
      <c r="X2869">
        <v>120</v>
      </c>
      <c r="AC2869" t="s">
        <v>9852</v>
      </c>
      <c r="AD2869" t="s">
        <v>23818</v>
      </c>
      <c r="AE2869" t="s">
        <v>3030</v>
      </c>
      <c r="AF2869" t="s">
        <v>4469</v>
      </c>
      <c r="AG2869" t="s">
        <v>23818</v>
      </c>
      <c r="AH2869" t="s">
        <v>3030</v>
      </c>
      <c r="AI2869" t="s">
        <v>9852</v>
      </c>
      <c r="AL2869" t="s">
        <v>23758</v>
      </c>
      <c r="AO2869" t="s">
        <v>23819</v>
      </c>
    </row>
    <row r="2870" spans="1:41" hidden="1" x14ac:dyDescent="0.35">
      <c r="A2870" t="s">
        <v>23820</v>
      </c>
      <c r="B2870" t="s">
        <v>7246</v>
      </c>
      <c r="C2870" t="s">
        <v>84</v>
      </c>
      <c r="D2870" t="s">
        <v>84</v>
      </c>
      <c r="E2870" t="s">
        <v>84</v>
      </c>
      <c r="G2870" s="13" t="s">
        <v>23821</v>
      </c>
      <c r="H2870" t="s">
        <v>23753</v>
      </c>
      <c r="I2870" t="s">
        <v>23822</v>
      </c>
      <c r="K2870" t="s">
        <v>23823</v>
      </c>
      <c r="L2870" t="s">
        <v>23824</v>
      </c>
      <c r="M2870" t="s">
        <v>7250</v>
      </c>
      <c r="N2870">
        <v>2012</v>
      </c>
      <c r="R2870">
        <v>2</v>
      </c>
      <c r="S2870" t="s">
        <v>8257</v>
      </c>
      <c r="T2870">
        <v>2</v>
      </c>
      <c r="U2870">
        <v>930.77</v>
      </c>
      <c r="V2870">
        <v>192</v>
      </c>
      <c r="W2870">
        <v>66.5</v>
      </c>
      <c r="X2870">
        <v>192</v>
      </c>
      <c r="AA2870" t="s">
        <v>23782</v>
      </c>
      <c r="AC2870" t="s">
        <v>9852</v>
      </c>
      <c r="AD2870" t="s">
        <v>4472</v>
      </c>
      <c r="AE2870" t="s">
        <v>3030</v>
      </c>
      <c r="AG2870" t="s">
        <v>23825</v>
      </c>
      <c r="AH2870" t="s">
        <v>3030</v>
      </c>
      <c r="AI2870" t="s">
        <v>9852</v>
      </c>
      <c r="AL2870" t="s">
        <v>23758</v>
      </c>
      <c r="AO2870" t="s">
        <v>23826</v>
      </c>
    </row>
    <row r="2871" spans="1:41" hidden="1" x14ac:dyDescent="0.35">
      <c r="A2871" t="s">
        <v>23827</v>
      </c>
      <c r="B2871" t="s">
        <v>7246</v>
      </c>
      <c r="C2871" t="s">
        <v>84</v>
      </c>
      <c r="D2871" t="s">
        <v>84</v>
      </c>
      <c r="E2871" t="s">
        <v>84</v>
      </c>
      <c r="G2871" s="13" t="s">
        <v>23774</v>
      </c>
      <c r="H2871" t="s">
        <v>23753</v>
      </c>
      <c r="I2871" t="s">
        <v>23828</v>
      </c>
      <c r="K2871" t="s">
        <v>23829</v>
      </c>
      <c r="L2871" t="s">
        <v>23830</v>
      </c>
      <c r="M2871" t="s">
        <v>7250</v>
      </c>
      <c r="R2871">
        <v>0.25</v>
      </c>
      <c r="S2871" t="s">
        <v>8257</v>
      </c>
      <c r="T2871">
        <v>0.25</v>
      </c>
      <c r="U2871">
        <v>116.35</v>
      </c>
      <c r="V2871">
        <v>198</v>
      </c>
      <c r="W2871">
        <v>161.68</v>
      </c>
      <c r="X2871">
        <v>198</v>
      </c>
      <c r="AA2871" t="s">
        <v>23831</v>
      </c>
      <c r="AB2871" t="s">
        <v>23529</v>
      </c>
      <c r="AC2871" t="s">
        <v>9852</v>
      </c>
      <c r="AD2871" t="s">
        <v>4466</v>
      </c>
      <c r="AE2871" t="s">
        <v>3030</v>
      </c>
      <c r="AF2871" t="s">
        <v>23832</v>
      </c>
      <c r="AG2871" t="s">
        <v>4466</v>
      </c>
      <c r="AH2871" t="s">
        <v>3030</v>
      </c>
      <c r="AI2871" t="s">
        <v>9852</v>
      </c>
      <c r="AL2871" t="s">
        <v>23758</v>
      </c>
      <c r="AO2871" t="s">
        <v>23833</v>
      </c>
    </row>
    <row r="2872" spans="1:41" hidden="1" x14ac:dyDescent="0.35">
      <c r="A2872" t="s">
        <v>23834</v>
      </c>
      <c r="B2872" t="s">
        <v>7246</v>
      </c>
      <c r="C2872" t="s">
        <v>84</v>
      </c>
      <c r="D2872" t="s">
        <v>84</v>
      </c>
      <c r="E2872" t="s">
        <v>84</v>
      </c>
      <c r="G2872" s="13" t="s">
        <v>23835</v>
      </c>
      <c r="H2872" t="s">
        <v>23753</v>
      </c>
      <c r="I2872" t="s">
        <v>23836</v>
      </c>
      <c r="K2872" t="s">
        <v>23768</v>
      </c>
      <c r="L2872" t="s">
        <v>23768</v>
      </c>
      <c r="M2872" t="s">
        <v>7250</v>
      </c>
      <c r="N2872">
        <v>2015</v>
      </c>
      <c r="R2872">
        <v>1.6</v>
      </c>
      <c r="S2872" t="s">
        <v>8257</v>
      </c>
      <c r="T2872">
        <v>1.6</v>
      </c>
      <c r="U2872">
        <v>744.61</v>
      </c>
      <c r="V2872">
        <v>107.32</v>
      </c>
      <c r="W2872">
        <v>100.2</v>
      </c>
      <c r="X2872">
        <v>107.32</v>
      </c>
      <c r="AA2872" t="s">
        <v>23782</v>
      </c>
      <c r="AB2872" t="s">
        <v>22921</v>
      </c>
      <c r="AC2872" t="s">
        <v>9852</v>
      </c>
      <c r="AD2872" t="s">
        <v>22922</v>
      </c>
      <c r="AE2872" t="s">
        <v>3030</v>
      </c>
      <c r="AF2872" t="s">
        <v>23837</v>
      </c>
      <c r="AG2872" t="s">
        <v>4472</v>
      </c>
      <c r="AH2872" t="s">
        <v>3030</v>
      </c>
      <c r="AI2872" t="s">
        <v>9852</v>
      </c>
      <c r="AL2872" t="s">
        <v>23758</v>
      </c>
      <c r="AO2872" t="s">
        <v>23838</v>
      </c>
    </row>
    <row r="2873" spans="1:41" hidden="1" x14ac:dyDescent="0.35">
      <c r="A2873" t="s">
        <v>23839</v>
      </c>
      <c r="B2873" t="s">
        <v>7246</v>
      </c>
      <c r="C2873" t="s">
        <v>84</v>
      </c>
      <c r="D2873" t="s">
        <v>84</v>
      </c>
      <c r="E2873" t="s">
        <v>84</v>
      </c>
      <c r="G2873" s="13" t="s">
        <v>23774</v>
      </c>
      <c r="H2873" t="s">
        <v>23753</v>
      </c>
      <c r="I2873" t="s">
        <v>23840</v>
      </c>
      <c r="K2873" t="s">
        <v>23841</v>
      </c>
      <c r="L2873" t="s">
        <v>23842</v>
      </c>
      <c r="M2873" t="s">
        <v>7269</v>
      </c>
      <c r="T2873" t="s">
        <v>6546</v>
      </c>
      <c r="U2873" t="s">
        <v>6546</v>
      </c>
      <c r="V2873">
        <v>55</v>
      </c>
      <c r="W2873" t="s">
        <v>6546</v>
      </c>
      <c r="X2873">
        <v>55</v>
      </c>
      <c r="Y2873">
        <v>610</v>
      </c>
      <c r="Z2873" t="s">
        <v>8842</v>
      </c>
      <c r="AC2873" t="s">
        <v>9852</v>
      </c>
      <c r="AE2873" t="s">
        <v>3030</v>
      </c>
      <c r="AH2873" t="s">
        <v>3030</v>
      </c>
      <c r="AI2873" t="s">
        <v>9852</v>
      </c>
      <c r="AL2873" t="s">
        <v>23758</v>
      </c>
      <c r="AO2873" t="s">
        <v>6546</v>
      </c>
    </row>
    <row r="2874" spans="1:41" hidden="1" x14ac:dyDescent="0.35">
      <c r="A2874" t="s">
        <v>23843</v>
      </c>
      <c r="B2874" t="s">
        <v>7246</v>
      </c>
      <c r="C2874" t="s">
        <v>84</v>
      </c>
      <c r="D2874" t="s">
        <v>84</v>
      </c>
      <c r="E2874" t="s">
        <v>84</v>
      </c>
      <c r="G2874" s="13" t="s">
        <v>23774</v>
      </c>
      <c r="H2874" t="s">
        <v>23753</v>
      </c>
      <c r="I2874" t="s">
        <v>23844</v>
      </c>
      <c r="K2874" t="s">
        <v>23786</v>
      </c>
      <c r="L2874" t="s">
        <v>23777</v>
      </c>
      <c r="M2874" t="s">
        <v>7292</v>
      </c>
      <c r="R2874">
        <v>2</v>
      </c>
      <c r="S2874" t="s">
        <v>8257</v>
      </c>
      <c r="T2874">
        <v>2</v>
      </c>
      <c r="U2874">
        <v>930.77</v>
      </c>
      <c r="V2874">
        <v>152</v>
      </c>
      <c r="W2874" t="s">
        <v>6546</v>
      </c>
      <c r="X2874">
        <v>152</v>
      </c>
      <c r="Y2874">
        <v>711</v>
      </c>
      <c r="Z2874" t="s">
        <v>8842</v>
      </c>
      <c r="AB2874" t="s">
        <v>23845</v>
      </c>
      <c r="AC2874" t="s">
        <v>9852</v>
      </c>
      <c r="AD2874" t="s">
        <v>3031</v>
      </c>
      <c r="AE2874" t="s">
        <v>3030</v>
      </c>
      <c r="AF2874" t="s">
        <v>23770</v>
      </c>
      <c r="AG2874" t="s">
        <v>4472</v>
      </c>
      <c r="AH2874" t="s">
        <v>3030</v>
      </c>
      <c r="AI2874" t="s">
        <v>9852</v>
      </c>
      <c r="AL2874" t="s">
        <v>23758</v>
      </c>
      <c r="AO2874" t="s">
        <v>6546</v>
      </c>
    </row>
    <row r="2875" spans="1:41" hidden="1" x14ac:dyDescent="0.35">
      <c r="A2875" t="s">
        <v>23846</v>
      </c>
      <c r="B2875" t="s">
        <v>7246</v>
      </c>
      <c r="C2875" t="s">
        <v>84</v>
      </c>
      <c r="D2875" t="s">
        <v>84</v>
      </c>
      <c r="E2875" t="s">
        <v>84</v>
      </c>
      <c r="G2875" s="13" t="s">
        <v>23774</v>
      </c>
      <c r="H2875" t="s">
        <v>23753</v>
      </c>
      <c r="I2875" t="s">
        <v>23847</v>
      </c>
      <c r="K2875" t="s">
        <v>23848</v>
      </c>
      <c r="L2875" t="s">
        <v>23777</v>
      </c>
      <c r="M2875" t="s">
        <v>7292</v>
      </c>
      <c r="R2875">
        <v>3</v>
      </c>
      <c r="S2875" t="s">
        <v>8257</v>
      </c>
      <c r="T2875">
        <v>3</v>
      </c>
      <c r="U2875">
        <v>1396.15</v>
      </c>
      <c r="V2875">
        <v>287.87</v>
      </c>
      <c r="W2875" t="s">
        <v>6546</v>
      </c>
      <c r="X2875">
        <v>287.87</v>
      </c>
      <c r="Y2875">
        <v>700</v>
      </c>
      <c r="Z2875" t="s">
        <v>8842</v>
      </c>
      <c r="AC2875" t="s">
        <v>9852</v>
      </c>
      <c r="AD2875" t="s">
        <v>23006</v>
      </c>
      <c r="AE2875" t="s">
        <v>3030</v>
      </c>
      <c r="AG2875" t="s">
        <v>23845</v>
      </c>
      <c r="AH2875" t="s">
        <v>3030</v>
      </c>
      <c r="AI2875" t="s">
        <v>9852</v>
      </c>
      <c r="AL2875" t="s">
        <v>23758</v>
      </c>
      <c r="AO2875" t="s">
        <v>6546</v>
      </c>
    </row>
    <row r="2876" spans="1:41" hidden="1" x14ac:dyDescent="0.35">
      <c r="A2876" t="s">
        <v>23849</v>
      </c>
      <c r="B2876" t="s">
        <v>7246</v>
      </c>
      <c r="C2876" t="s">
        <v>84</v>
      </c>
      <c r="D2876" t="s">
        <v>84</v>
      </c>
      <c r="E2876" t="s">
        <v>84</v>
      </c>
      <c r="G2876" s="13" t="s">
        <v>23774</v>
      </c>
      <c r="H2876" t="s">
        <v>23753</v>
      </c>
      <c r="I2876" t="s">
        <v>23850</v>
      </c>
      <c r="K2876" t="s">
        <v>23851</v>
      </c>
      <c r="L2876" t="s">
        <v>23777</v>
      </c>
      <c r="M2876" t="s">
        <v>7415</v>
      </c>
      <c r="R2876">
        <v>0.15</v>
      </c>
      <c r="S2876" t="s">
        <v>8257</v>
      </c>
      <c r="T2876">
        <v>0.15</v>
      </c>
      <c r="U2876">
        <v>69.81</v>
      </c>
      <c r="V2876">
        <v>34.9</v>
      </c>
      <c r="W2876">
        <v>30.62</v>
      </c>
      <c r="X2876">
        <v>34.9</v>
      </c>
      <c r="AB2876" t="s">
        <v>23852</v>
      </c>
      <c r="AC2876" t="s">
        <v>9852</v>
      </c>
      <c r="AD2876" t="s">
        <v>4462</v>
      </c>
      <c r="AE2876" t="s">
        <v>3030</v>
      </c>
      <c r="AF2876" t="s">
        <v>23853</v>
      </c>
      <c r="AG2876" t="s">
        <v>4462</v>
      </c>
      <c r="AH2876" t="s">
        <v>3030</v>
      </c>
      <c r="AI2876" t="s">
        <v>9852</v>
      </c>
      <c r="AL2876" t="s">
        <v>23758</v>
      </c>
      <c r="AO2876" t="s">
        <v>23854</v>
      </c>
    </row>
    <row r="2877" spans="1:41" hidden="1" x14ac:dyDescent="0.35">
      <c r="A2877" t="s">
        <v>23855</v>
      </c>
      <c r="B2877" t="s">
        <v>7246</v>
      </c>
      <c r="C2877" t="s">
        <v>84</v>
      </c>
      <c r="D2877" t="s">
        <v>84</v>
      </c>
      <c r="E2877" t="s">
        <v>84</v>
      </c>
      <c r="G2877" s="13" t="s">
        <v>23774</v>
      </c>
      <c r="H2877" t="s">
        <v>23753</v>
      </c>
      <c r="I2877" t="s">
        <v>23856</v>
      </c>
      <c r="K2877" t="s">
        <v>23786</v>
      </c>
      <c r="L2877" t="s">
        <v>23777</v>
      </c>
      <c r="M2877" t="s">
        <v>7292</v>
      </c>
      <c r="R2877">
        <v>2</v>
      </c>
      <c r="S2877" t="s">
        <v>8257</v>
      </c>
      <c r="T2877">
        <v>2</v>
      </c>
      <c r="U2877">
        <v>930.77</v>
      </c>
      <c r="V2877">
        <v>98.8</v>
      </c>
      <c r="W2877" t="s">
        <v>6546</v>
      </c>
      <c r="X2877">
        <v>98.8</v>
      </c>
      <c r="Y2877">
        <v>700</v>
      </c>
      <c r="Z2877" t="s">
        <v>8842</v>
      </c>
      <c r="AC2877" t="s">
        <v>9852</v>
      </c>
      <c r="AD2877" t="s">
        <v>23771</v>
      </c>
      <c r="AE2877" t="s">
        <v>3030</v>
      </c>
      <c r="AG2877" t="s">
        <v>4466</v>
      </c>
      <c r="AH2877" t="s">
        <v>3030</v>
      </c>
      <c r="AI2877" t="s">
        <v>9852</v>
      </c>
      <c r="AL2877" t="s">
        <v>23758</v>
      </c>
      <c r="AO2877" t="s">
        <v>6546</v>
      </c>
    </row>
    <row r="2878" spans="1:41" hidden="1" x14ac:dyDescent="0.35">
      <c r="A2878" t="s">
        <v>23857</v>
      </c>
      <c r="B2878" t="s">
        <v>7246</v>
      </c>
      <c r="C2878" t="s">
        <v>84</v>
      </c>
      <c r="D2878" t="s">
        <v>84</v>
      </c>
      <c r="E2878" t="s">
        <v>84</v>
      </c>
      <c r="G2878" s="13" t="s">
        <v>23774</v>
      </c>
      <c r="H2878" t="s">
        <v>23753</v>
      </c>
      <c r="I2878" t="s">
        <v>23858</v>
      </c>
      <c r="K2878" t="s">
        <v>23859</v>
      </c>
      <c r="L2878" t="s">
        <v>23860</v>
      </c>
      <c r="M2878" t="s">
        <v>7250</v>
      </c>
      <c r="N2878">
        <v>2022</v>
      </c>
      <c r="R2878">
        <v>0.28999999999999998</v>
      </c>
      <c r="S2878" t="s">
        <v>8257</v>
      </c>
      <c r="T2878">
        <v>0.28999999999999998</v>
      </c>
      <c r="U2878">
        <v>134.96</v>
      </c>
      <c r="V2878">
        <v>103</v>
      </c>
      <c r="W2878">
        <v>90.85</v>
      </c>
      <c r="X2878">
        <v>103</v>
      </c>
      <c r="Y2878">
        <v>600</v>
      </c>
      <c r="Z2878" t="s">
        <v>8842</v>
      </c>
      <c r="AC2878" t="s">
        <v>9852</v>
      </c>
      <c r="AD2878" t="s">
        <v>4474</v>
      </c>
      <c r="AE2878" t="s">
        <v>3030</v>
      </c>
      <c r="AG2878" t="s">
        <v>23795</v>
      </c>
      <c r="AH2878" t="s">
        <v>3030</v>
      </c>
      <c r="AI2878" t="s">
        <v>9852</v>
      </c>
      <c r="AL2878" t="s">
        <v>23758</v>
      </c>
      <c r="AO2878" t="s">
        <v>23861</v>
      </c>
    </row>
    <row r="2879" spans="1:41" hidden="1" x14ac:dyDescent="0.35">
      <c r="A2879" t="s">
        <v>23862</v>
      </c>
      <c r="B2879" t="s">
        <v>7246</v>
      </c>
      <c r="C2879" t="s">
        <v>84</v>
      </c>
      <c r="D2879" t="s">
        <v>84</v>
      </c>
      <c r="E2879" t="s">
        <v>84</v>
      </c>
      <c r="G2879" s="13" t="s">
        <v>23774</v>
      </c>
      <c r="H2879" t="s">
        <v>23753</v>
      </c>
      <c r="I2879" t="s">
        <v>23863</v>
      </c>
      <c r="K2879" t="s">
        <v>23864</v>
      </c>
      <c r="L2879" t="s">
        <v>23777</v>
      </c>
      <c r="M2879" t="s">
        <v>7292</v>
      </c>
      <c r="R2879">
        <v>2</v>
      </c>
      <c r="S2879" t="s">
        <v>8257</v>
      </c>
      <c r="T2879">
        <v>2</v>
      </c>
      <c r="U2879">
        <v>930.77</v>
      </c>
      <c r="V2879">
        <v>100</v>
      </c>
      <c r="W2879">
        <v>61.86</v>
      </c>
      <c r="X2879">
        <v>100</v>
      </c>
      <c r="Y2879">
        <v>711</v>
      </c>
      <c r="Z2879" t="s">
        <v>8842</v>
      </c>
      <c r="AC2879" t="s">
        <v>9852</v>
      </c>
      <c r="AE2879" t="s">
        <v>3030</v>
      </c>
      <c r="AH2879" t="s">
        <v>3030</v>
      </c>
      <c r="AI2879" t="s">
        <v>9852</v>
      </c>
      <c r="AL2879" t="s">
        <v>23758</v>
      </c>
      <c r="AO2879" t="s">
        <v>23865</v>
      </c>
    </row>
    <row r="2880" spans="1:41" hidden="1" x14ac:dyDescent="0.35">
      <c r="A2880" t="s">
        <v>23866</v>
      </c>
      <c r="B2880" t="s">
        <v>7246</v>
      </c>
      <c r="C2880" t="s">
        <v>84</v>
      </c>
      <c r="D2880" t="s">
        <v>84</v>
      </c>
      <c r="E2880" t="s">
        <v>84</v>
      </c>
      <c r="G2880" s="13" t="s">
        <v>23867</v>
      </c>
      <c r="H2880" t="s">
        <v>23753</v>
      </c>
      <c r="I2880" t="s">
        <v>23868</v>
      </c>
      <c r="K2880" t="s">
        <v>23762</v>
      </c>
      <c r="L2880" t="s">
        <v>23763</v>
      </c>
      <c r="M2880" t="s">
        <v>7250</v>
      </c>
      <c r="N2880">
        <v>2012</v>
      </c>
      <c r="R2880">
        <v>1.1399999999999999</v>
      </c>
      <c r="S2880" t="s">
        <v>8257</v>
      </c>
      <c r="T2880">
        <v>1.1399999999999999</v>
      </c>
      <c r="U2880">
        <v>530.54</v>
      </c>
      <c r="V2880">
        <v>311.60000000000002</v>
      </c>
      <c r="W2880">
        <v>258.33999999999997</v>
      </c>
      <c r="X2880">
        <v>311.60000000000002</v>
      </c>
      <c r="AC2880" t="s">
        <v>9852</v>
      </c>
      <c r="AD2880" t="s">
        <v>4442</v>
      </c>
      <c r="AE2880" t="s">
        <v>3030</v>
      </c>
      <c r="AG2880" t="s">
        <v>3031</v>
      </c>
      <c r="AH2880" t="s">
        <v>3030</v>
      </c>
      <c r="AI2880" t="s">
        <v>9852</v>
      </c>
      <c r="AL2880" t="s">
        <v>23758</v>
      </c>
      <c r="AO2880" t="s">
        <v>23869</v>
      </c>
    </row>
    <row r="2881" spans="1:41" hidden="1" x14ac:dyDescent="0.35">
      <c r="A2881" t="s">
        <v>23870</v>
      </c>
      <c r="B2881" t="s">
        <v>7246</v>
      </c>
      <c r="C2881" t="s">
        <v>84</v>
      </c>
      <c r="D2881" t="s">
        <v>84</v>
      </c>
      <c r="E2881" t="s">
        <v>84</v>
      </c>
      <c r="G2881" s="13" t="s">
        <v>23871</v>
      </c>
      <c r="H2881" t="s">
        <v>23753</v>
      </c>
      <c r="I2881" t="s">
        <v>23872</v>
      </c>
      <c r="K2881" t="s">
        <v>23808</v>
      </c>
      <c r="L2881" t="s">
        <v>23809</v>
      </c>
      <c r="M2881" t="s">
        <v>7250</v>
      </c>
      <c r="N2881">
        <v>2001</v>
      </c>
      <c r="R2881">
        <v>0.4</v>
      </c>
      <c r="S2881" t="s">
        <v>8257</v>
      </c>
      <c r="T2881">
        <v>0.4</v>
      </c>
      <c r="U2881">
        <v>186.15</v>
      </c>
      <c r="V2881">
        <v>249.65</v>
      </c>
      <c r="W2881">
        <v>161.82</v>
      </c>
      <c r="X2881">
        <v>249.65</v>
      </c>
      <c r="AC2881" t="s">
        <v>9852</v>
      </c>
      <c r="AD2881" t="s">
        <v>23873</v>
      </c>
      <c r="AE2881" t="s">
        <v>3030</v>
      </c>
      <c r="AG2881" t="s">
        <v>4472</v>
      </c>
      <c r="AH2881" t="s">
        <v>3030</v>
      </c>
      <c r="AI2881" t="s">
        <v>9852</v>
      </c>
      <c r="AL2881" t="s">
        <v>23758</v>
      </c>
      <c r="AO2881" t="s">
        <v>23874</v>
      </c>
    </row>
    <row r="2882" spans="1:41" hidden="1" x14ac:dyDescent="0.35">
      <c r="A2882" t="s">
        <v>23875</v>
      </c>
      <c r="B2882" t="s">
        <v>7246</v>
      </c>
      <c r="C2882" t="s">
        <v>84</v>
      </c>
      <c r="D2882" t="s">
        <v>84</v>
      </c>
      <c r="E2882" t="s">
        <v>84</v>
      </c>
      <c r="G2882" s="13" t="s">
        <v>23876</v>
      </c>
      <c r="H2882" t="s">
        <v>23753</v>
      </c>
      <c r="I2882" t="s">
        <v>23877</v>
      </c>
      <c r="K2882" t="s">
        <v>23878</v>
      </c>
      <c r="L2882" t="s">
        <v>23879</v>
      </c>
      <c r="M2882" t="s">
        <v>7250</v>
      </c>
      <c r="N2882">
        <v>2020</v>
      </c>
      <c r="R2882">
        <v>0.9</v>
      </c>
      <c r="S2882" t="s">
        <v>8257</v>
      </c>
      <c r="T2882">
        <v>0.9</v>
      </c>
      <c r="U2882">
        <v>418.85</v>
      </c>
      <c r="V2882">
        <v>62.2</v>
      </c>
      <c r="W2882">
        <v>54.88</v>
      </c>
      <c r="X2882">
        <v>62.2</v>
      </c>
      <c r="Y2882">
        <v>508</v>
      </c>
      <c r="Z2882" t="s">
        <v>8842</v>
      </c>
      <c r="AA2882" t="s">
        <v>23880</v>
      </c>
      <c r="AC2882" t="s">
        <v>9852</v>
      </c>
      <c r="AE2882" t="s">
        <v>3030</v>
      </c>
      <c r="AH2882" t="s">
        <v>3024</v>
      </c>
      <c r="AI2882" t="s">
        <v>9852</v>
      </c>
      <c r="AL2882" t="s">
        <v>23758</v>
      </c>
      <c r="AO2882" t="s">
        <v>23881</v>
      </c>
    </row>
    <row r="2883" spans="1:41" hidden="1" x14ac:dyDescent="0.35">
      <c r="A2883" t="s">
        <v>23882</v>
      </c>
      <c r="B2883" t="s">
        <v>7246</v>
      </c>
      <c r="C2883" t="s">
        <v>84</v>
      </c>
      <c r="D2883" t="s">
        <v>84</v>
      </c>
      <c r="E2883" t="s">
        <v>84</v>
      </c>
      <c r="G2883" s="13" t="s">
        <v>23883</v>
      </c>
      <c r="H2883" t="s">
        <v>23753</v>
      </c>
      <c r="I2883" t="s">
        <v>23884</v>
      </c>
      <c r="K2883" t="s">
        <v>22428</v>
      </c>
      <c r="L2883" t="s">
        <v>22428</v>
      </c>
      <c r="M2883" t="s">
        <v>7250</v>
      </c>
      <c r="N2883">
        <v>2016</v>
      </c>
      <c r="R2883">
        <v>3</v>
      </c>
      <c r="S2883" t="s">
        <v>8257</v>
      </c>
      <c r="T2883">
        <v>3</v>
      </c>
      <c r="U2883">
        <v>1396.15</v>
      </c>
      <c r="V2883">
        <v>192</v>
      </c>
      <c r="W2883">
        <v>180.86</v>
      </c>
      <c r="X2883">
        <v>192</v>
      </c>
      <c r="AA2883" t="s">
        <v>23885</v>
      </c>
      <c r="AB2883" t="s">
        <v>23886</v>
      </c>
      <c r="AC2883" t="s">
        <v>9852</v>
      </c>
      <c r="AD2883" t="s">
        <v>23525</v>
      </c>
      <c r="AE2883" t="s">
        <v>3030</v>
      </c>
      <c r="AG2883" t="s">
        <v>23825</v>
      </c>
      <c r="AH2883" t="s">
        <v>3030</v>
      </c>
      <c r="AI2883" t="s">
        <v>9852</v>
      </c>
      <c r="AL2883" t="s">
        <v>23758</v>
      </c>
      <c r="AO2883" t="s">
        <v>23887</v>
      </c>
    </row>
    <row r="2884" spans="1:41" hidden="1" x14ac:dyDescent="0.35">
      <c r="A2884" t="s">
        <v>23888</v>
      </c>
      <c r="B2884" t="s">
        <v>7246</v>
      </c>
      <c r="C2884" t="s">
        <v>84</v>
      </c>
      <c r="D2884" t="s">
        <v>84</v>
      </c>
      <c r="E2884" t="s">
        <v>84</v>
      </c>
      <c r="G2884" s="13" t="s">
        <v>23889</v>
      </c>
      <c r="H2884" t="s">
        <v>23890</v>
      </c>
      <c r="I2884" t="s">
        <v>23891</v>
      </c>
      <c r="K2884" t="s">
        <v>23892</v>
      </c>
      <c r="L2884" t="s">
        <v>23893</v>
      </c>
      <c r="M2884" t="s">
        <v>7415</v>
      </c>
      <c r="R2884">
        <v>1.85</v>
      </c>
      <c r="S2884" t="s">
        <v>8257</v>
      </c>
      <c r="T2884">
        <v>1.85</v>
      </c>
      <c r="U2884">
        <v>860.96</v>
      </c>
      <c r="V2884">
        <v>200</v>
      </c>
      <c r="W2884">
        <v>76.83</v>
      </c>
      <c r="X2884">
        <v>200</v>
      </c>
      <c r="Y2884">
        <v>813</v>
      </c>
      <c r="Z2884" t="s">
        <v>8842</v>
      </c>
      <c r="AC2884" t="s">
        <v>9852</v>
      </c>
      <c r="AD2884" t="s">
        <v>23894</v>
      </c>
      <c r="AE2884" t="s">
        <v>3072</v>
      </c>
      <c r="AG2884" t="s">
        <v>4864</v>
      </c>
      <c r="AH2884" t="s">
        <v>3072</v>
      </c>
      <c r="AI2884" t="s">
        <v>9852</v>
      </c>
      <c r="AL2884" t="s">
        <v>23895</v>
      </c>
      <c r="AO2884" t="s">
        <v>23896</v>
      </c>
    </row>
    <row r="2885" spans="1:41" hidden="1" x14ac:dyDescent="0.35">
      <c r="A2885" t="s">
        <v>23897</v>
      </c>
      <c r="B2885" t="s">
        <v>7246</v>
      </c>
      <c r="C2885" t="s">
        <v>84</v>
      </c>
      <c r="D2885" t="s">
        <v>84</v>
      </c>
      <c r="E2885" t="s">
        <v>84</v>
      </c>
      <c r="G2885" s="13" t="s">
        <v>23889</v>
      </c>
      <c r="H2885" t="s">
        <v>23890</v>
      </c>
      <c r="I2885" t="s">
        <v>23898</v>
      </c>
      <c r="K2885" t="s">
        <v>23892</v>
      </c>
      <c r="L2885" t="s">
        <v>23893</v>
      </c>
      <c r="M2885" t="s">
        <v>7415</v>
      </c>
      <c r="T2885" t="s">
        <v>6546</v>
      </c>
      <c r="U2885" t="s">
        <v>6546</v>
      </c>
      <c r="V2885">
        <v>331</v>
      </c>
      <c r="W2885">
        <v>126.9</v>
      </c>
      <c r="X2885">
        <v>331</v>
      </c>
      <c r="Y2885">
        <v>1016</v>
      </c>
      <c r="Z2885" t="s">
        <v>8842</v>
      </c>
      <c r="AB2885" t="s">
        <v>23899</v>
      </c>
      <c r="AC2885" t="s">
        <v>9852</v>
      </c>
      <c r="AD2885" t="s">
        <v>3073</v>
      </c>
      <c r="AE2885" t="s">
        <v>3072</v>
      </c>
      <c r="AF2885" t="s">
        <v>23900</v>
      </c>
      <c r="AG2885" t="s">
        <v>23894</v>
      </c>
      <c r="AH2885" t="s">
        <v>3072</v>
      </c>
      <c r="AI2885" t="s">
        <v>9852</v>
      </c>
      <c r="AL2885" t="s">
        <v>23895</v>
      </c>
      <c r="AO2885" t="s">
        <v>23901</v>
      </c>
    </row>
    <row r="2886" spans="1:41" hidden="1" x14ac:dyDescent="0.35">
      <c r="A2886" t="s">
        <v>23902</v>
      </c>
      <c r="B2886" t="s">
        <v>7246</v>
      </c>
      <c r="C2886" t="s">
        <v>84</v>
      </c>
      <c r="D2886" t="s">
        <v>84</v>
      </c>
      <c r="E2886" t="s">
        <v>84</v>
      </c>
      <c r="G2886" s="13" t="s">
        <v>23889</v>
      </c>
      <c r="H2886" t="s">
        <v>23890</v>
      </c>
      <c r="I2886" t="s">
        <v>23903</v>
      </c>
      <c r="K2886" t="s">
        <v>23892</v>
      </c>
      <c r="L2886" t="s">
        <v>23893</v>
      </c>
      <c r="M2886" t="s">
        <v>7250</v>
      </c>
      <c r="N2886">
        <v>2020</v>
      </c>
      <c r="T2886" t="s">
        <v>6546</v>
      </c>
      <c r="U2886" t="s">
        <v>6546</v>
      </c>
      <c r="V2886">
        <v>107.13</v>
      </c>
      <c r="W2886">
        <v>77.290000000000006</v>
      </c>
      <c r="X2886">
        <v>107.13</v>
      </c>
      <c r="Y2886" t="s">
        <v>23904</v>
      </c>
      <c r="Z2886" t="s">
        <v>8842</v>
      </c>
      <c r="AC2886" t="s">
        <v>9852</v>
      </c>
      <c r="AE2886" t="s">
        <v>3072</v>
      </c>
      <c r="AH2886" t="s">
        <v>3072</v>
      </c>
      <c r="AI2886" t="s">
        <v>9852</v>
      </c>
      <c r="AL2886" t="s">
        <v>23895</v>
      </c>
      <c r="AO2886" t="s">
        <v>23905</v>
      </c>
    </row>
    <row r="2887" spans="1:41" hidden="1" x14ac:dyDescent="0.35">
      <c r="A2887" t="s">
        <v>23906</v>
      </c>
      <c r="B2887" t="s">
        <v>7246</v>
      </c>
      <c r="C2887" t="s">
        <v>84</v>
      </c>
      <c r="D2887" t="s">
        <v>84</v>
      </c>
      <c r="E2887" t="s">
        <v>84</v>
      </c>
      <c r="G2887" s="13" t="s">
        <v>23889</v>
      </c>
      <c r="H2887" t="s">
        <v>23890</v>
      </c>
      <c r="I2887" t="s">
        <v>23907</v>
      </c>
      <c r="K2887" t="s">
        <v>6543</v>
      </c>
      <c r="L2887" t="s">
        <v>6543</v>
      </c>
      <c r="M2887" t="s">
        <v>7292</v>
      </c>
      <c r="T2887" t="s">
        <v>6546</v>
      </c>
      <c r="U2887" t="s">
        <v>6546</v>
      </c>
      <c r="V2887">
        <v>110</v>
      </c>
      <c r="W2887">
        <v>89.73</v>
      </c>
      <c r="X2887">
        <v>110</v>
      </c>
      <c r="Y2887">
        <v>1016</v>
      </c>
      <c r="Z2887" t="s">
        <v>8842</v>
      </c>
      <c r="AA2887" t="s">
        <v>23908</v>
      </c>
      <c r="AB2887" t="s">
        <v>6792</v>
      </c>
      <c r="AC2887" t="s">
        <v>9852</v>
      </c>
      <c r="AD2887" t="s">
        <v>3073</v>
      </c>
      <c r="AE2887" t="s">
        <v>3072</v>
      </c>
      <c r="AG2887" t="s">
        <v>3073</v>
      </c>
      <c r="AH2887" t="s">
        <v>3072</v>
      </c>
      <c r="AI2887" t="s">
        <v>9852</v>
      </c>
      <c r="AL2887" t="s">
        <v>23895</v>
      </c>
      <c r="AO2887" t="s">
        <v>23909</v>
      </c>
    </row>
    <row r="2888" spans="1:41" hidden="1" x14ac:dyDescent="0.35">
      <c r="A2888" t="s">
        <v>23910</v>
      </c>
      <c r="B2888" t="s">
        <v>7246</v>
      </c>
      <c r="C2888" t="s">
        <v>84</v>
      </c>
      <c r="D2888" t="s">
        <v>84</v>
      </c>
      <c r="E2888" t="s">
        <v>84</v>
      </c>
      <c r="G2888" s="13" t="s">
        <v>23889</v>
      </c>
      <c r="H2888" t="s">
        <v>23890</v>
      </c>
      <c r="I2888" t="s">
        <v>23911</v>
      </c>
      <c r="K2888" t="s">
        <v>23892</v>
      </c>
      <c r="L2888" t="s">
        <v>23893</v>
      </c>
      <c r="M2888" t="s">
        <v>7250</v>
      </c>
      <c r="N2888">
        <v>2017</v>
      </c>
      <c r="R2888">
        <v>0.49</v>
      </c>
      <c r="S2888" t="s">
        <v>8257</v>
      </c>
      <c r="T2888">
        <v>0.49</v>
      </c>
      <c r="U2888">
        <v>228.04</v>
      </c>
      <c r="V2888">
        <v>83.2</v>
      </c>
      <c r="W2888">
        <v>63.56</v>
      </c>
      <c r="X2888">
        <v>83.2</v>
      </c>
      <c r="Y2888">
        <v>813</v>
      </c>
      <c r="Z2888" t="s">
        <v>8842</v>
      </c>
      <c r="AB2888" t="s">
        <v>23912</v>
      </c>
      <c r="AC2888" t="s">
        <v>9852</v>
      </c>
      <c r="AD2888" t="s">
        <v>23913</v>
      </c>
      <c r="AE2888" t="s">
        <v>3072</v>
      </c>
      <c r="AF2888" t="s">
        <v>23914</v>
      </c>
      <c r="AG2888" t="s">
        <v>23913</v>
      </c>
      <c r="AH2888" t="s">
        <v>3072</v>
      </c>
      <c r="AI2888" t="s">
        <v>9852</v>
      </c>
      <c r="AL2888" t="s">
        <v>23895</v>
      </c>
      <c r="AO2888" t="s">
        <v>23915</v>
      </c>
    </row>
    <row r="2889" spans="1:41" hidden="1" x14ac:dyDescent="0.35">
      <c r="A2889" t="s">
        <v>23916</v>
      </c>
      <c r="B2889" t="s">
        <v>7246</v>
      </c>
      <c r="C2889" t="s">
        <v>84</v>
      </c>
      <c r="D2889" t="s">
        <v>84</v>
      </c>
      <c r="E2889" t="s">
        <v>84</v>
      </c>
      <c r="G2889" s="13" t="s">
        <v>23889</v>
      </c>
      <c r="H2889" t="s">
        <v>23890</v>
      </c>
      <c r="I2889" t="s">
        <v>23917</v>
      </c>
      <c r="K2889" t="s">
        <v>23892</v>
      </c>
      <c r="L2889" t="s">
        <v>23893</v>
      </c>
      <c r="M2889" t="s">
        <v>7292</v>
      </c>
      <c r="T2889" t="s">
        <v>6546</v>
      </c>
      <c r="U2889" t="s">
        <v>6546</v>
      </c>
      <c r="V2889">
        <v>200</v>
      </c>
      <c r="W2889">
        <v>236.16</v>
      </c>
      <c r="X2889">
        <v>200</v>
      </c>
      <c r="AC2889" t="s">
        <v>9852</v>
      </c>
      <c r="AE2889" t="s">
        <v>3072</v>
      </c>
      <c r="AH2889" t="s">
        <v>3072</v>
      </c>
      <c r="AI2889" t="s">
        <v>9852</v>
      </c>
      <c r="AL2889" t="s">
        <v>23895</v>
      </c>
      <c r="AO2889" t="s">
        <v>23918</v>
      </c>
    </row>
    <row r="2890" spans="1:41" hidden="1" x14ac:dyDescent="0.35">
      <c r="A2890" t="s">
        <v>23919</v>
      </c>
      <c r="B2890" t="s">
        <v>7246</v>
      </c>
      <c r="C2890" t="s">
        <v>84</v>
      </c>
      <c r="D2890" t="s">
        <v>84</v>
      </c>
      <c r="E2890" t="s">
        <v>84</v>
      </c>
      <c r="G2890" s="13" t="s">
        <v>23889</v>
      </c>
      <c r="H2890" t="s">
        <v>23890</v>
      </c>
      <c r="I2890" t="s">
        <v>23920</v>
      </c>
      <c r="K2890" t="s">
        <v>23892</v>
      </c>
      <c r="L2890" t="s">
        <v>23893</v>
      </c>
      <c r="M2890" t="s">
        <v>7250</v>
      </c>
      <c r="N2890">
        <v>2022</v>
      </c>
      <c r="R2890">
        <v>4.5</v>
      </c>
      <c r="S2890" t="s">
        <v>8257</v>
      </c>
      <c r="T2890">
        <v>4.5</v>
      </c>
      <c r="U2890">
        <v>2094.23</v>
      </c>
      <c r="V2890">
        <v>122</v>
      </c>
      <c r="W2890">
        <v>98.18</v>
      </c>
      <c r="X2890">
        <v>122</v>
      </c>
      <c r="Y2890" t="s">
        <v>23921</v>
      </c>
      <c r="Z2890" t="s">
        <v>8842</v>
      </c>
      <c r="AB2890" t="s">
        <v>23900</v>
      </c>
      <c r="AC2890" t="s">
        <v>9852</v>
      </c>
      <c r="AD2890" t="s">
        <v>23894</v>
      </c>
      <c r="AE2890" t="s">
        <v>3072</v>
      </c>
      <c r="AG2890" t="s">
        <v>23922</v>
      </c>
      <c r="AH2890" t="s">
        <v>3072</v>
      </c>
      <c r="AI2890" t="s">
        <v>9852</v>
      </c>
      <c r="AL2890" t="s">
        <v>23895</v>
      </c>
      <c r="AO2890" t="s">
        <v>23923</v>
      </c>
    </row>
    <row r="2891" spans="1:41" hidden="1" x14ac:dyDescent="0.35">
      <c r="A2891" t="s">
        <v>23924</v>
      </c>
      <c r="B2891" t="s">
        <v>7246</v>
      </c>
      <c r="C2891" t="s">
        <v>84</v>
      </c>
      <c r="D2891" t="s">
        <v>84</v>
      </c>
      <c r="E2891" t="s">
        <v>84</v>
      </c>
      <c r="G2891" s="13" t="s">
        <v>23889</v>
      </c>
      <c r="H2891" t="s">
        <v>23890</v>
      </c>
      <c r="I2891" t="s">
        <v>23925</v>
      </c>
      <c r="K2891" t="s">
        <v>23892</v>
      </c>
      <c r="L2891" t="s">
        <v>23893</v>
      </c>
      <c r="M2891" t="s">
        <v>7415</v>
      </c>
      <c r="T2891" t="s">
        <v>6546</v>
      </c>
      <c r="U2891" t="s">
        <v>6546</v>
      </c>
      <c r="V2891">
        <v>147</v>
      </c>
      <c r="W2891">
        <v>202.64</v>
      </c>
      <c r="X2891">
        <v>147</v>
      </c>
      <c r="Y2891">
        <v>1219</v>
      </c>
      <c r="Z2891" t="s">
        <v>8842</v>
      </c>
      <c r="AC2891" t="s">
        <v>9852</v>
      </c>
      <c r="AE2891" t="s">
        <v>3072</v>
      </c>
      <c r="AH2891" t="s">
        <v>3072</v>
      </c>
      <c r="AI2891" t="s">
        <v>9852</v>
      </c>
      <c r="AL2891" t="s">
        <v>23895</v>
      </c>
      <c r="AO2891" t="s">
        <v>23926</v>
      </c>
    </row>
    <row r="2892" spans="1:41" hidden="1" x14ac:dyDescent="0.35">
      <c r="A2892" t="s">
        <v>23927</v>
      </c>
      <c r="B2892" t="s">
        <v>7246</v>
      </c>
      <c r="C2892" t="s">
        <v>84</v>
      </c>
      <c r="D2892" t="s">
        <v>84</v>
      </c>
      <c r="E2892" t="s">
        <v>84</v>
      </c>
      <c r="G2892" s="13" t="s">
        <v>23889</v>
      </c>
      <c r="H2892" t="s">
        <v>23890</v>
      </c>
      <c r="I2892" t="s">
        <v>23925</v>
      </c>
      <c r="K2892" t="s">
        <v>23892</v>
      </c>
      <c r="L2892" t="s">
        <v>23893</v>
      </c>
      <c r="M2892" t="s">
        <v>7292</v>
      </c>
      <c r="T2892" t="s">
        <v>6546</v>
      </c>
      <c r="U2892" t="s">
        <v>6546</v>
      </c>
      <c r="V2892">
        <v>85</v>
      </c>
      <c r="W2892">
        <v>202.64</v>
      </c>
      <c r="X2892">
        <v>85</v>
      </c>
      <c r="Y2892">
        <v>1219</v>
      </c>
      <c r="Z2892" t="s">
        <v>8842</v>
      </c>
      <c r="AC2892" t="s">
        <v>9852</v>
      </c>
      <c r="AE2892" t="s">
        <v>3072</v>
      </c>
      <c r="AH2892" t="s">
        <v>3072</v>
      </c>
      <c r="AI2892" t="s">
        <v>9852</v>
      </c>
      <c r="AL2892" t="s">
        <v>23895</v>
      </c>
      <c r="AO2892" t="s">
        <v>23926</v>
      </c>
    </row>
    <row r="2893" spans="1:41" hidden="1" x14ac:dyDescent="0.35">
      <c r="A2893" t="s">
        <v>23928</v>
      </c>
      <c r="B2893" t="s">
        <v>7246</v>
      </c>
      <c r="C2893" t="s">
        <v>84</v>
      </c>
      <c r="D2893" t="s">
        <v>84</v>
      </c>
      <c r="E2893" t="s">
        <v>84</v>
      </c>
      <c r="G2893" s="13" t="s">
        <v>23889</v>
      </c>
      <c r="H2893" t="s">
        <v>23890</v>
      </c>
      <c r="I2893" t="s">
        <v>23929</v>
      </c>
      <c r="K2893" t="s">
        <v>23892</v>
      </c>
      <c r="L2893" t="s">
        <v>23893</v>
      </c>
      <c r="M2893" t="s">
        <v>7292</v>
      </c>
      <c r="T2893" t="s">
        <v>6546</v>
      </c>
      <c r="U2893" t="s">
        <v>6546</v>
      </c>
      <c r="V2893">
        <v>115</v>
      </c>
      <c r="W2893">
        <v>103.3</v>
      </c>
      <c r="X2893">
        <v>115</v>
      </c>
      <c r="Y2893">
        <v>406</v>
      </c>
      <c r="Z2893" t="s">
        <v>8842</v>
      </c>
      <c r="AC2893" t="s">
        <v>9852</v>
      </c>
      <c r="AE2893" t="s">
        <v>3072</v>
      </c>
      <c r="AH2893" t="s">
        <v>3072</v>
      </c>
      <c r="AI2893" t="s">
        <v>9852</v>
      </c>
      <c r="AL2893" t="s">
        <v>23895</v>
      </c>
      <c r="AO2893" t="s">
        <v>23930</v>
      </c>
    </row>
    <row r="2894" spans="1:41" hidden="1" x14ac:dyDescent="0.35">
      <c r="A2894" t="s">
        <v>23931</v>
      </c>
      <c r="B2894" t="s">
        <v>7246</v>
      </c>
      <c r="C2894" t="s">
        <v>84</v>
      </c>
      <c r="D2894" t="s">
        <v>84</v>
      </c>
      <c r="E2894" t="s">
        <v>84</v>
      </c>
      <c r="G2894" s="13" t="s">
        <v>23889</v>
      </c>
      <c r="H2894" t="s">
        <v>23890</v>
      </c>
      <c r="I2894" t="s">
        <v>23932</v>
      </c>
      <c r="K2894" t="s">
        <v>23933</v>
      </c>
      <c r="L2894" t="s">
        <v>23934</v>
      </c>
      <c r="M2894" t="s">
        <v>7250</v>
      </c>
      <c r="N2894">
        <v>2020</v>
      </c>
      <c r="R2894">
        <v>8</v>
      </c>
      <c r="S2894" t="s">
        <v>8257</v>
      </c>
      <c r="T2894">
        <v>8</v>
      </c>
      <c r="U2894">
        <v>3723.07</v>
      </c>
      <c r="V2894">
        <v>81</v>
      </c>
      <c r="W2894">
        <v>43.25</v>
      </c>
      <c r="X2894">
        <v>81</v>
      </c>
      <c r="Y2894">
        <v>1016</v>
      </c>
      <c r="Z2894" t="s">
        <v>8842</v>
      </c>
      <c r="AC2894" t="s">
        <v>9852</v>
      </c>
      <c r="AD2894" t="s">
        <v>6757</v>
      </c>
      <c r="AE2894" t="s">
        <v>3072</v>
      </c>
      <c r="AG2894" t="s">
        <v>3073</v>
      </c>
      <c r="AH2894" t="s">
        <v>3072</v>
      </c>
      <c r="AI2894" t="s">
        <v>9852</v>
      </c>
      <c r="AL2894" t="s">
        <v>23895</v>
      </c>
      <c r="AO2894" t="s">
        <v>23935</v>
      </c>
    </row>
    <row r="2895" spans="1:41" hidden="1" x14ac:dyDescent="0.35">
      <c r="A2895" t="s">
        <v>23936</v>
      </c>
      <c r="B2895" t="s">
        <v>7246</v>
      </c>
      <c r="C2895" t="s">
        <v>84</v>
      </c>
      <c r="D2895" t="s">
        <v>84</v>
      </c>
      <c r="E2895" t="s">
        <v>84</v>
      </c>
      <c r="G2895" s="13" t="s">
        <v>23889</v>
      </c>
      <c r="H2895" t="s">
        <v>23890</v>
      </c>
      <c r="I2895" t="s">
        <v>23937</v>
      </c>
      <c r="K2895" t="s">
        <v>23892</v>
      </c>
      <c r="L2895" t="s">
        <v>23893</v>
      </c>
      <c r="M2895" t="s">
        <v>7250</v>
      </c>
      <c r="N2895">
        <v>2003</v>
      </c>
      <c r="R2895">
        <v>1.79</v>
      </c>
      <c r="S2895" t="s">
        <v>8257</v>
      </c>
      <c r="T2895">
        <v>1.79</v>
      </c>
      <c r="U2895">
        <v>833.04</v>
      </c>
      <c r="V2895">
        <v>100.1</v>
      </c>
      <c r="W2895">
        <v>90.78</v>
      </c>
      <c r="X2895">
        <v>100.1</v>
      </c>
      <c r="AA2895" t="s">
        <v>23938</v>
      </c>
      <c r="AC2895" t="s">
        <v>9852</v>
      </c>
      <c r="AD2895" t="s">
        <v>4544</v>
      </c>
      <c r="AE2895" t="s">
        <v>3041</v>
      </c>
      <c r="AG2895" t="s">
        <v>22729</v>
      </c>
      <c r="AH2895" t="s">
        <v>3072</v>
      </c>
      <c r="AI2895" t="s">
        <v>9852</v>
      </c>
      <c r="AL2895" t="s">
        <v>23895</v>
      </c>
      <c r="AO2895" t="s">
        <v>23939</v>
      </c>
    </row>
    <row r="2896" spans="1:41" hidden="1" x14ac:dyDescent="0.35">
      <c r="A2896" t="s">
        <v>23940</v>
      </c>
      <c r="B2896" t="s">
        <v>7246</v>
      </c>
      <c r="C2896" t="s">
        <v>84</v>
      </c>
      <c r="D2896" t="s">
        <v>84</v>
      </c>
      <c r="E2896" t="s">
        <v>84</v>
      </c>
      <c r="G2896" s="13" t="s">
        <v>23889</v>
      </c>
      <c r="H2896" t="s">
        <v>23890</v>
      </c>
      <c r="I2896" t="s">
        <v>23941</v>
      </c>
      <c r="K2896" t="s">
        <v>23942</v>
      </c>
      <c r="L2896" t="s">
        <v>23942</v>
      </c>
      <c r="M2896" t="s">
        <v>7250</v>
      </c>
      <c r="N2896">
        <v>2006</v>
      </c>
      <c r="R2896">
        <v>2.5</v>
      </c>
      <c r="S2896" t="s">
        <v>8257</v>
      </c>
      <c r="T2896">
        <v>2.5</v>
      </c>
      <c r="U2896">
        <v>1163.46</v>
      </c>
      <c r="V2896">
        <v>350</v>
      </c>
      <c r="W2896">
        <v>485.81</v>
      </c>
      <c r="X2896">
        <v>350</v>
      </c>
      <c r="AA2896" t="s">
        <v>23943</v>
      </c>
      <c r="AB2896" t="s">
        <v>23944</v>
      </c>
      <c r="AC2896" t="s">
        <v>9852</v>
      </c>
      <c r="AE2896" t="s">
        <v>3072</v>
      </c>
      <c r="AF2896" t="s">
        <v>23945</v>
      </c>
      <c r="AG2896" t="s">
        <v>3073</v>
      </c>
      <c r="AH2896" t="s">
        <v>3072</v>
      </c>
      <c r="AI2896" t="s">
        <v>9852</v>
      </c>
      <c r="AL2896" t="s">
        <v>23895</v>
      </c>
      <c r="AO2896" t="s">
        <v>23946</v>
      </c>
    </row>
    <row r="2897" spans="1:41" hidden="1" x14ac:dyDescent="0.35">
      <c r="A2897" t="s">
        <v>23947</v>
      </c>
      <c r="B2897" t="s">
        <v>7246</v>
      </c>
      <c r="C2897" t="s">
        <v>84</v>
      </c>
      <c r="D2897" t="s">
        <v>84</v>
      </c>
      <c r="E2897" t="s">
        <v>84</v>
      </c>
      <c r="G2897" s="13" t="s">
        <v>23889</v>
      </c>
      <c r="H2897" t="s">
        <v>23890</v>
      </c>
      <c r="I2897" t="s">
        <v>23948</v>
      </c>
      <c r="K2897" t="s">
        <v>23892</v>
      </c>
      <c r="L2897" t="s">
        <v>23893</v>
      </c>
      <c r="M2897" t="s">
        <v>7250</v>
      </c>
      <c r="N2897">
        <v>2005</v>
      </c>
      <c r="R2897">
        <v>2</v>
      </c>
      <c r="S2897" t="s">
        <v>8257</v>
      </c>
      <c r="T2897">
        <v>2</v>
      </c>
      <c r="U2897">
        <v>930.77</v>
      </c>
      <c r="V2897">
        <v>190</v>
      </c>
      <c r="W2897">
        <v>88.36</v>
      </c>
      <c r="X2897">
        <v>190</v>
      </c>
      <c r="AC2897" t="s">
        <v>9852</v>
      </c>
      <c r="AD2897" t="s">
        <v>23894</v>
      </c>
      <c r="AE2897" t="s">
        <v>3072</v>
      </c>
      <c r="AG2897" t="s">
        <v>22729</v>
      </c>
      <c r="AH2897" t="s">
        <v>3072</v>
      </c>
      <c r="AI2897" t="s">
        <v>9852</v>
      </c>
      <c r="AL2897" t="s">
        <v>23895</v>
      </c>
      <c r="AO2897" t="s">
        <v>23949</v>
      </c>
    </row>
    <row r="2898" spans="1:41" hidden="1" x14ac:dyDescent="0.35">
      <c r="A2898" t="s">
        <v>23950</v>
      </c>
      <c r="B2898" t="s">
        <v>7246</v>
      </c>
      <c r="C2898" t="s">
        <v>84</v>
      </c>
      <c r="D2898" t="s">
        <v>84</v>
      </c>
      <c r="E2898" t="s">
        <v>84</v>
      </c>
      <c r="G2898" s="13" t="s">
        <v>23889</v>
      </c>
      <c r="H2898" t="s">
        <v>23890</v>
      </c>
      <c r="I2898" t="s">
        <v>23951</v>
      </c>
      <c r="K2898" t="s">
        <v>23892</v>
      </c>
      <c r="L2898" t="s">
        <v>23893</v>
      </c>
      <c r="M2898" t="s">
        <v>7250</v>
      </c>
      <c r="N2898">
        <v>2009</v>
      </c>
      <c r="R2898">
        <v>3.5</v>
      </c>
      <c r="S2898" t="s">
        <v>8257</v>
      </c>
      <c r="T2898">
        <v>3.5</v>
      </c>
      <c r="U2898">
        <v>1628.84</v>
      </c>
      <c r="V2898">
        <v>331</v>
      </c>
      <c r="W2898">
        <v>158.4</v>
      </c>
      <c r="X2898">
        <v>331</v>
      </c>
      <c r="AC2898" t="s">
        <v>9852</v>
      </c>
      <c r="AD2898" t="s">
        <v>23894</v>
      </c>
      <c r="AE2898" t="s">
        <v>3072</v>
      </c>
      <c r="AG2898" t="s">
        <v>3073</v>
      </c>
      <c r="AH2898" t="s">
        <v>3072</v>
      </c>
      <c r="AI2898" t="s">
        <v>9852</v>
      </c>
      <c r="AL2898" t="s">
        <v>23895</v>
      </c>
      <c r="AO2898" t="s">
        <v>23952</v>
      </c>
    </row>
    <row r="2899" spans="1:41" hidden="1" x14ac:dyDescent="0.35">
      <c r="A2899" t="s">
        <v>23953</v>
      </c>
      <c r="B2899" t="s">
        <v>7246</v>
      </c>
      <c r="C2899" t="s">
        <v>84</v>
      </c>
      <c r="D2899" t="s">
        <v>84</v>
      </c>
      <c r="E2899" t="s">
        <v>84</v>
      </c>
      <c r="G2899" s="13" t="s">
        <v>23889</v>
      </c>
      <c r="H2899" t="s">
        <v>23890</v>
      </c>
      <c r="I2899" t="s">
        <v>23954</v>
      </c>
      <c r="K2899" t="s">
        <v>23892</v>
      </c>
      <c r="L2899" t="s">
        <v>23893</v>
      </c>
      <c r="M2899" t="s">
        <v>7250</v>
      </c>
      <c r="N2899">
        <v>2018</v>
      </c>
      <c r="R2899">
        <v>4.5</v>
      </c>
      <c r="S2899" t="s">
        <v>8257</v>
      </c>
      <c r="T2899">
        <v>4.5</v>
      </c>
      <c r="U2899">
        <v>2094.23</v>
      </c>
      <c r="V2899">
        <v>220.2</v>
      </c>
      <c r="W2899">
        <v>141.33000000000001</v>
      </c>
      <c r="X2899">
        <v>220.2</v>
      </c>
      <c r="Y2899">
        <v>813</v>
      </c>
      <c r="Z2899" t="s">
        <v>8842</v>
      </c>
      <c r="AC2899" t="s">
        <v>9852</v>
      </c>
      <c r="AD2899" t="s">
        <v>23955</v>
      </c>
      <c r="AE2899" t="s">
        <v>3072</v>
      </c>
      <c r="AG2899" t="s">
        <v>23097</v>
      </c>
      <c r="AH2899" t="s">
        <v>3072</v>
      </c>
      <c r="AI2899" t="s">
        <v>9852</v>
      </c>
      <c r="AL2899" t="s">
        <v>23895</v>
      </c>
      <c r="AO2899" t="s">
        <v>23956</v>
      </c>
    </row>
    <row r="2900" spans="1:41" hidden="1" x14ac:dyDescent="0.35">
      <c r="A2900" t="s">
        <v>23957</v>
      </c>
      <c r="B2900" t="s">
        <v>7246</v>
      </c>
      <c r="C2900" t="s">
        <v>84</v>
      </c>
      <c r="D2900" t="s">
        <v>84</v>
      </c>
      <c r="E2900" t="s">
        <v>84</v>
      </c>
      <c r="G2900" s="13" t="s">
        <v>23889</v>
      </c>
      <c r="H2900" t="s">
        <v>23890</v>
      </c>
      <c r="I2900" t="s">
        <v>23958</v>
      </c>
      <c r="K2900" t="s">
        <v>23892</v>
      </c>
      <c r="L2900" t="s">
        <v>23893</v>
      </c>
      <c r="M2900" t="s">
        <v>7250</v>
      </c>
      <c r="N2900">
        <v>2017</v>
      </c>
      <c r="R2900">
        <v>9.5</v>
      </c>
      <c r="S2900" t="s">
        <v>8257</v>
      </c>
      <c r="T2900">
        <v>9.5</v>
      </c>
      <c r="U2900">
        <v>4421.1400000000003</v>
      </c>
      <c r="V2900">
        <v>430</v>
      </c>
      <c r="W2900">
        <v>364.85</v>
      </c>
      <c r="X2900">
        <v>430</v>
      </c>
      <c r="AA2900" t="s">
        <v>23959</v>
      </c>
      <c r="AB2900" t="s">
        <v>23960</v>
      </c>
      <c r="AC2900" t="s">
        <v>9852</v>
      </c>
      <c r="AD2900" t="s">
        <v>3073</v>
      </c>
      <c r="AE2900" t="s">
        <v>3072</v>
      </c>
      <c r="AF2900" t="s">
        <v>23961</v>
      </c>
      <c r="AG2900" t="s">
        <v>23097</v>
      </c>
      <c r="AH2900" t="s">
        <v>3072</v>
      </c>
      <c r="AI2900" t="s">
        <v>9852</v>
      </c>
      <c r="AL2900" t="s">
        <v>23895</v>
      </c>
      <c r="AO2900" t="s">
        <v>23962</v>
      </c>
    </row>
    <row r="2901" spans="1:41" hidden="1" x14ac:dyDescent="0.35">
      <c r="A2901" t="s">
        <v>23963</v>
      </c>
      <c r="B2901" t="s">
        <v>7246</v>
      </c>
      <c r="C2901" t="s">
        <v>84</v>
      </c>
      <c r="D2901" t="s">
        <v>84</v>
      </c>
      <c r="E2901" t="s">
        <v>84</v>
      </c>
      <c r="G2901" s="13" t="s">
        <v>23889</v>
      </c>
      <c r="H2901" t="s">
        <v>23890</v>
      </c>
      <c r="I2901" t="s">
        <v>23964</v>
      </c>
      <c r="K2901" t="s">
        <v>23892</v>
      </c>
      <c r="L2901" t="s">
        <v>23893</v>
      </c>
      <c r="M2901" t="s">
        <v>7415</v>
      </c>
      <c r="R2901">
        <v>0.9</v>
      </c>
      <c r="S2901" t="s">
        <v>8257</v>
      </c>
      <c r="T2901">
        <v>0.9</v>
      </c>
      <c r="U2901">
        <v>418.85</v>
      </c>
      <c r="V2901">
        <v>116.2</v>
      </c>
      <c r="W2901">
        <v>95.17</v>
      </c>
      <c r="X2901">
        <v>116.2</v>
      </c>
      <c r="Y2901">
        <v>813</v>
      </c>
      <c r="Z2901" t="s">
        <v>8842</v>
      </c>
      <c r="AA2901" t="s">
        <v>22420</v>
      </c>
      <c r="AB2901" t="s">
        <v>23965</v>
      </c>
      <c r="AC2901" t="s">
        <v>9852</v>
      </c>
      <c r="AD2901" t="s">
        <v>6735</v>
      </c>
      <c r="AE2901" t="s">
        <v>3072</v>
      </c>
      <c r="AF2901" t="s">
        <v>23966</v>
      </c>
      <c r="AG2901" t="s">
        <v>23913</v>
      </c>
      <c r="AH2901" t="s">
        <v>3072</v>
      </c>
      <c r="AI2901" t="s">
        <v>9852</v>
      </c>
      <c r="AL2901" t="s">
        <v>23895</v>
      </c>
      <c r="AO2901" t="s">
        <v>23967</v>
      </c>
    </row>
    <row r="2902" spans="1:41" hidden="1" x14ac:dyDescent="0.35">
      <c r="A2902" t="s">
        <v>23968</v>
      </c>
      <c r="B2902" t="s">
        <v>7246</v>
      </c>
      <c r="C2902" t="s">
        <v>84</v>
      </c>
      <c r="D2902" t="s">
        <v>84</v>
      </c>
      <c r="E2902" t="s">
        <v>84</v>
      </c>
      <c r="G2902" s="13" t="s">
        <v>23889</v>
      </c>
      <c r="H2902" t="s">
        <v>23890</v>
      </c>
      <c r="I2902" t="s">
        <v>23969</v>
      </c>
      <c r="K2902" t="s">
        <v>23892</v>
      </c>
      <c r="L2902" t="s">
        <v>23893</v>
      </c>
      <c r="M2902" t="s">
        <v>7250</v>
      </c>
      <c r="N2902">
        <v>2021</v>
      </c>
      <c r="R2902">
        <v>0.6</v>
      </c>
      <c r="S2902" t="s">
        <v>8257</v>
      </c>
      <c r="T2902">
        <v>0.6</v>
      </c>
      <c r="U2902">
        <v>279.23</v>
      </c>
      <c r="V2902">
        <v>72.2</v>
      </c>
      <c r="W2902">
        <v>62.01</v>
      </c>
      <c r="X2902">
        <v>72.2</v>
      </c>
      <c r="AB2902" t="s">
        <v>23970</v>
      </c>
      <c r="AC2902" t="s">
        <v>9852</v>
      </c>
      <c r="AD2902" t="s">
        <v>4867</v>
      </c>
      <c r="AE2902" t="s">
        <v>3072</v>
      </c>
      <c r="AF2902" t="s">
        <v>23971</v>
      </c>
      <c r="AG2902" t="s">
        <v>4867</v>
      </c>
      <c r="AH2902" t="s">
        <v>3072</v>
      </c>
      <c r="AI2902" t="s">
        <v>9852</v>
      </c>
      <c r="AL2902" t="s">
        <v>23895</v>
      </c>
      <c r="AO2902" t="s">
        <v>23972</v>
      </c>
    </row>
    <row r="2903" spans="1:41" hidden="1" x14ac:dyDescent="0.35">
      <c r="A2903" t="s">
        <v>23973</v>
      </c>
      <c r="B2903" t="s">
        <v>7246</v>
      </c>
      <c r="C2903" t="s">
        <v>84</v>
      </c>
      <c r="D2903" t="s">
        <v>84</v>
      </c>
      <c r="E2903" t="s">
        <v>84</v>
      </c>
      <c r="G2903" s="13" t="s">
        <v>23889</v>
      </c>
      <c r="H2903" t="s">
        <v>23890</v>
      </c>
      <c r="I2903" t="s">
        <v>23974</v>
      </c>
      <c r="K2903" t="s">
        <v>23892</v>
      </c>
      <c r="L2903" t="s">
        <v>23893</v>
      </c>
      <c r="M2903" t="s">
        <v>7292</v>
      </c>
      <c r="T2903" t="s">
        <v>6546</v>
      </c>
      <c r="U2903" t="s">
        <v>6546</v>
      </c>
      <c r="V2903">
        <v>60</v>
      </c>
      <c r="W2903">
        <v>49.99</v>
      </c>
      <c r="X2903">
        <v>60</v>
      </c>
      <c r="Y2903">
        <v>406</v>
      </c>
      <c r="Z2903" t="s">
        <v>8842</v>
      </c>
      <c r="AB2903" t="s">
        <v>23971</v>
      </c>
      <c r="AC2903" t="s">
        <v>9852</v>
      </c>
      <c r="AE2903" t="s">
        <v>3072</v>
      </c>
      <c r="AF2903" t="s">
        <v>23277</v>
      </c>
      <c r="AH2903" t="s">
        <v>3072</v>
      </c>
      <c r="AI2903" t="s">
        <v>9852</v>
      </c>
      <c r="AL2903" t="s">
        <v>23895</v>
      </c>
      <c r="AO2903" t="s">
        <v>23975</v>
      </c>
    </row>
    <row r="2904" spans="1:41" hidden="1" x14ac:dyDescent="0.35">
      <c r="A2904" t="s">
        <v>23976</v>
      </c>
      <c r="B2904" t="s">
        <v>7246</v>
      </c>
      <c r="C2904" t="s">
        <v>84</v>
      </c>
      <c r="D2904" t="s">
        <v>84</v>
      </c>
      <c r="E2904" t="s">
        <v>84</v>
      </c>
      <c r="G2904" s="13" t="s">
        <v>23889</v>
      </c>
      <c r="H2904" t="s">
        <v>23890</v>
      </c>
      <c r="I2904" t="s">
        <v>23977</v>
      </c>
      <c r="K2904" t="s">
        <v>23892</v>
      </c>
      <c r="L2904" t="s">
        <v>23893</v>
      </c>
      <c r="M2904" t="s">
        <v>7292</v>
      </c>
      <c r="T2904" t="s">
        <v>6546</v>
      </c>
      <c r="U2904" t="s">
        <v>6546</v>
      </c>
      <c r="V2904">
        <v>46</v>
      </c>
      <c r="W2904">
        <v>46.73</v>
      </c>
      <c r="X2904">
        <v>46</v>
      </c>
      <c r="Y2904">
        <v>1219</v>
      </c>
      <c r="Z2904" t="s">
        <v>8842</v>
      </c>
      <c r="AB2904" t="s">
        <v>23978</v>
      </c>
      <c r="AC2904" t="s">
        <v>9852</v>
      </c>
      <c r="AE2904" t="s">
        <v>3072</v>
      </c>
      <c r="AG2904" t="s">
        <v>23097</v>
      </c>
      <c r="AH2904" t="s">
        <v>3072</v>
      </c>
      <c r="AI2904" t="s">
        <v>9852</v>
      </c>
      <c r="AL2904" t="s">
        <v>23895</v>
      </c>
      <c r="AO2904" t="s">
        <v>23979</v>
      </c>
    </row>
    <row r="2905" spans="1:41" hidden="1" x14ac:dyDescent="0.35">
      <c r="A2905" t="s">
        <v>23980</v>
      </c>
      <c r="B2905" t="s">
        <v>7246</v>
      </c>
      <c r="C2905" t="s">
        <v>84</v>
      </c>
      <c r="D2905" t="s">
        <v>84</v>
      </c>
      <c r="E2905" t="s">
        <v>84</v>
      </c>
      <c r="G2905" s="13" t="s">
        <v>23981</v>
      </c>
      <c r="H2905" t="s">
        <v>23982</v>
      </c>
      <c r="I2905" t="s">
        <v>23983</v>
      </c>
      <c r="K2905" t="s">
        <v>23984</v>
      </c>
      <c r="L2905" t="s">
        <v>23985</v>
      </c>
      <c r="M2905" t="s">
        <v>7250</v>
      </c>
      <c r="N2905">
        <v>2016</v>
      </c>
      <c r="R2905">
        <v>3.8</v>
      </c>
      <c r="S2905" t="s">
        <v>8257</v>
      </c>
      <c r="T2905">
        <v>3.8</v>
      </c>
      <c r="U2905">
        <v>1768.46</v>
      </c>
      <c r="V2905">
        <v>112.93</v>
      </c>
      <c r="W2905">
        <v>92.8</v>
      </c>
      <c r="X2905">
        <v>112.93</v>
      </c>
      <c r="AA2905" t="s">
        <v>23986</v>
      </c>
      <c r="AB2905" t="s">
        <v>23987</v>
      </c>
      <c r="AC2905" t="s">
        <v>9852</v>
      </c>
      <c r="AD2905" t="s">
        <v>23988</v>
      </c>
      <c r="AE2905" t="s">
        <v>10775</v>
      </c>
      <c r="AF2905" t="s">
        <v>23989</v>
      </c>
      <c r="AG2905" t="s">
        <v>23990</v>
      </c>
      <c r="AH2905" t="s">
        <v>10775</v>
      </c>
      <c r="AI2905" t="s">
        <v>9852</v>
      </c>
      <c r="AL2905" t="s">
        <v>23991</v>
      </c>
      <c r="AO2905" t="s">
        <v>23992</v>
      </c>
    </row>
    <row r="2906" spans="1:41" hidden="1" x14ac:dyDescent="0.35">
      <c r="A2906" t="s">
        <v>23993</v>
      </c>
      <c r="B2906" t="s">
        <v>7246</v>
      </c>
      <c r="C2906" t="s">
        <v>84</v>
      </c>
      <c r="D2906" t="s">
        <v>84</v>
      </c>
      <c r="E2906" t="s">
        <v>84</v>
      </c>
      <c r="G2906" s="13" t="s">
        <v>23981</v>
      </c>
      <c r="H2906" t="s">
        <v>23982</v>
      </c>
      <c r="I2906" t="s">
        <v>23994</v>
      </c>
      <c r="K2906" t="s">
        <v>23995</v>
      </c>
      <c r="L2906" t="s">
        <v>23995</v>
      </c>
      <c r="M2906" t="s">
        <v>7731</v>
      </c>
      <c r="N2906">
        <v>2021</v>
      </c>
      <c r="R2906">
        <v>4.6500000000000004</v>
      </c>
      <c r="S2906" t="s">
        <v>8257</v>
      </c>
      <c r="T2906">
        <v>4.6500000000000004</v>
      </c>
      <c r="U2906">
        <v>2164.0300000000002</v>
      </c>
      <c r="V2906">
        <v>289</v>
      </c>
      <c r="W2906">
        <v>457.68</v>
      </c>
      <c r="X2906">
        <v>289</v>
      </c>
      <c r="AA2906" t="s">
        <v>23996</v>
      </c>
      <c r="AB2906" t="s">
        <v>23989</v>
      </c>
      <c r="AC2906" t="s">
        <v>9852</v>
      </c>
      <c r="AD2906" t="s">
        <v>23990</v>
      </c>
      <c r="AE2906" t="s">
        <v>10775</v>
      </c>
      <c r="AF2906" t="s">
        <v>23997</v>
      </c>
      <c r="AG2906" t="s">
        <v>23998</v>
      </c>
      <c r="AH2906" t="s">
        <v>10775</v>
      </c>
      <c r="AI2906" t="s">
        <v>9852</v>
      </c>
      <c r="AL2906" t="s">
        <v>23991</v>
      </c>
      <c r="AO2906" t="s">
        <v>23999</v>
      </c>
    </row>
    <row r="2907" spans="1:41" hidden="1" x14ac:dyDescent="0.35">
      <c r="A2907" t="s">
        <v>24000</v>
      </c>
      <c r="B2907" t="s">
        <v>7246</v>
      </c>
      <c r="C2907" t="s">
        <v>84</v>
      </c>
      <c r="D2907" t="s">
        <v>84</v>
      </c>
      <c r="E2907" t="s">
        <v>84</v>
      </c>
      <c r="G2907" s="13" t="s">
        <v>23981</v>
      </c>
      <c r="H2907" t="s">
        <v>23982</v>
      </c>
      <c r="I2907" t="s">
        <v>24001</v>
      </c>
      <c r="K2907" t="s">
        <v>24002</v>
      </c>
      <c r="L2907" t="s">
        <v>24003</v>
      </c>
      <c r="M2907" t="s">
        <v>7250</v>
      </c>
      <c r="N2907">
        <v>1996</v>
      </c>
      <c r="O2907">
        <v>2003</v>
      </c>
      <c r="P2907">
        <v>2010</v>
      </c>
      <c r="R2907">
        <v>1.6</v>
      </c>
      <c r="S2907" t="s">
        <v>8257</v>
      </c>
      <c r="T2907">
        <v>1.6</v>
      </c>
      <c r="U2907">
        <v>744.61</v>
      </c>
      <c r="V2907">
        <v>625</v>
      </c>
      <c r="W2907">
        <v>577.5</v>
      </c>
      <c r="X2907">
        <v>625</v>
      </c>
      <c r="AA2907" t="s">
        <v>24004</v>
      </c>
      <c r="AB2907" t="s">
        <v>24005</v>
      </c>
      <c r="AC2907" t="s">
        <v>9852</v>
      </c>
      <c r="AD2907" t="s">
        <v>10774</v>
      </c>
      <c r="AE2907" t="s">
        <v>10775</v>
      </c>
      <c r="AF2907" t="s">
        <v>23997</v>
      </c>
      <c r="AG2907" t="s">
        <v>24006</v>
      </c>
      <c r="AH2907" t="s">
        <v>10775</v>
      </c>
      <c r="AI2907" t="s">
        <v>9852</v>
      </c>
      <c r="AL2907" t="s">
        <v>23991</v>
      </c>
      <c r="AO2907" t="s">
        <v>24007</v>
      </c>
    </row>
    <row r="2908" spans="1:41" hidden="1" x14ac:dyDescent="0.35">
      <c r="A2908" t="s">
        <v>24008</v>
      </c>
      <c r="B2908" t="s">
        <v>7246</v>
      </c>
      <c r="C2908" t="s">
        <v>84</v>
      </c>
      <c r="D2908" t="s">
        <v>84</v>
      </c>
      <c r="E2908" t="s">
        <v>84</v>
      </c>
      <c r="G2908" s="13" t="s">
        <v>23981</v>
      </c>
      <c r="H2908" t="s">
        <v>23982</v>
      </c>
      <c r="I2908" t="s">
        <v>24009</v>
      </c>
      <c r="K2908" t="s">
        <v>24002</v>
      </c>
      <c r="L2908" t="s">
        <v>24003</v>
      </c>
      <c r="M2908" t="s">
        <v>7250</v>
      </c>
      <c r="N2908">
        <v>2021</v>
      </c>
      <c r="R2908">
        <v>2.4300000000000002</v>
      </c>
      <c r="S2908" t="s">
        <v>8257</v>
      </c>
      <c r="T2908">
        <v>2.4300000000000002</v>
      </c>
      <c r="U2908">
        <v>1130.8800000000001</v>
      </c>
      <c r="V2908">
        <v>275</v>
      </c>
      <c r="W2908">
        <v>245.63</v>
      </c>
      <c r="X2908">
        <v>275</v>
      </c>
      <c r="AA2908" t="s">
        <v>24004</v>
      </c>
      <c r="AB2908" t="s">
        <v>23997</v>
      </c>
      <c r="AC2908" t="s">
        <v>9852</v>
      </c>
      <c r="AD2908" t="s">
        <v>23998</v>
      </c>
      <c r="AE2908" t="s">
        <v>10775</v>
      </c>
      <c r="AF2908" t="s">
        <v>24010</v>
      </c>
      <c r="AG2908" t="s">
        <v>10774</v>
      </c>
      <c r="AH2908" t="s">
        <v>10775</v>
      </c>
      <c r="AI2908" t="s">
        <v>9852</v>
      </c>
      <c r="AL2908" t="s">
        <v>23991</v>
      </c>
      <c r="AO2908" t="s">
        <v>24011</v>
      </c>
    </row>
    <row r="2909" spans="1:41" hidden="1" x14ac:dyDescent="0.35">
      <c r="A2909" t="s">
        <v>24012</v>
      </c>
      <c r="B2909" t="s">
        <v>7246</v>
      </c>
      <c r="C2909" t="s">
        <v>84</v>
      </c>
      <c r="D2909" t="s">
        <v>84</v>
      </c>
      <c r="E2909" t="s">
        <v>84</v>
      </c>
      <c r="G2909" s="13" t="s">
        <v>24013</v>
      </c>
      <c r="H2909" t="s">
        <v>24014</v>
      </c>
      <c r="K2909" t="s">
        <v>23469</v>
      </c>
      <c r="L2909" t="s">
        <v>22257</v>
      </c>
      <c r="M2909" t="s">
        <v>7250</v>
      </c>
      <c r="N2909">
        <v>2001</v>
      </c>
      <c r="R2909">
        <v>2</v>
      </c>
      <c r="S2909" t="s">
        <v>8257</v>
      </c>
      <c r="T2909">
        <v>2</v>
      </c>
      <c r="U2909">
        <v>930.77</v>
      </c>
      <c r="V2909">
        <v>953</v>
      </c>
      <c r="W2909">
        <v>869.71</v>
      </c>
      <c r="X2909">
        <v>953</v>
      </c>
      <c r="AA2909" t="s">
        <v>23460</v>
      </c>
      <c r="AB2909" t="s">
        <v>24015</v>
      </c>
      <c r="AC2909" t="s">
        <v>9852</v>
      </c>
      <c r="AD2909" t="s">
        <v>24016</v>
      </c>
      <c r="AE2909" t="s">
        <v>4672</v>
      </c>
      <c r="AG2909" t="s">
        <v>3014</v>
      </c>
      <c r="AH2909" t="s">
        <v>3013</v>
      </c>
      <c r="AI2909" t="s">
        <v>9852</v>
      </c>
      <c r="AJ2909" t="s">
        <v>22295</v>
      </c>
      <c r="AL2909" t="s">
        <v>24017</v>
      </c>
      <c r="AO2909" t="s">
        <v>24018</v>
      </c>
    </row>
    <row r="2910" spans="1:41" hidden="1" x14ac:dyDescent="0.35">
      <c r="A2910" t="s">
        <v>24019</v>
      </c>
      <c r="B2910" t="s">
        <v>7246</v>
      </c>
      <c r="C2910" t="s">
        <v>84</v>
      </c>
      <c r="D2910" t="s">
        <v>84</v>
      </c>
      <c r="E2910" t="s">
        <v>84</v>
      </c>
      <c r="G2910" s="13" t="s">
        <v>24020</v>
      </c>
      <c r="H2910" t="s">
        <v>24021</v>
      </c>
      <c r="K2910" t="s">
        <v>23469</v>
      </c>
      <c r="L2910" t="s">
        <v>22257</v>
      </c>
      <c r="M2910" t="s">
        <v>7250</v>
      </c>
      <c r="N2910">
        <v>2016</v>
      </c>
      <c r="R2910">
        <v>3.3</v>
      </c>
      <c r="S2910" t="s">
        <v>8257</v>
      </c>
      <c r="T2910">
        <v>3.3</v>
      </c>
      <c r="U2910">
        <v>1535.77</v>
      </c>
      <c r="V2910">
        <v>918.43</v>
      </c>
      <c r="W2910">
        <v>868.04</v>
      </c>
      <c r="X2910">
        <v>918.43</v>
      </c>
      <c r="AA2910" t="s">
        <v>24022</v>
      </c>
      <c r="AB2910" t="s">
        <v>24023</v>
      </c>
      <c r="AC2910" t="s">
        <v>9852</v>
      </c>
      <c r="AD2910" t="s">
        <v>24016</v>
      </c>
      <c r="AE2910" t="s">
        <v>4672</v>
      </c>
      <c r="AG2910" t="s">
        <v>3014</v>
      </c>
      <c r="AH2910" t="s">
        <v>3013</v>
      </c>
      <c r="AI2910" t="s">
        <v>9852</v>
      </c>
      <c r="AL2910" t="s">
        <v>24024</v>
      </c>
      <c r="AO2910" t="s">
        <v>24025</v>
      </c>
    </row>
    <row r="2911" spans="1:41" hidden="1" x14ac:dyDescent="0.35">
      <c r="A2911" t="s">
        <v>24026</v>
      </c>
      <c r="B2911" t="s">
        <v>7246</v>
      </c>
      <c r="C2911" t="s">
        <v>84</v>
      </c>
      <c r="D2911" t="s">
        <v>84</v>
      </c>
      <c r="E2911" t="s">
        <v>84</v>
      </c>
      <c r="G2911" s="13" t="s">
        <v>24027</v>
      </c>
      <c r="H2911" t="s">
        <v>24028</v>
      </c>
      <c r="I2911" t="s">
        <v>24029</v>
      </c>
      <c r="K2911" t="s">
        <v>24030</v>
      </c>
      <c r="L2911" t="s">
        <v>24031</v>
      </c>
      <c r="M2911" t="s">
        <v>7292</v>
      </c>
      <c r="R2911">
        <v>0.2</v>
      </c>
      <c r="S2911" t="s">
        <v>8257</v>
      </c>
      <c r="T2911">
        <v>0.2</v>
      </c>
      <c r="U2911">
        <v>93.08</v>
      </c>
      <c r="V2911">
        <v>142</v>
      </c>
      <c r="W2911">
        <v>83.42</v>
      </c>
      <c r="X2911">
        <v>142</v>
      </c>
      <c r="Y2911">
        <v>219</v>
      </c>
      <c r="Z2911" t="s">
        <v>8842</v>
      </c>
      <c r="AC2911" t="s">
        <v>9852</v>
      </c>
      <c r="AE2911" t="s">
        <v>3033</v>
      </c>
      <c r="AH2911" t="s">
        <v>3033</v>
      </c>
      <c r="AI2911" t="s">
        <v>9852</v>
      </c>
      <c r="AL2911" t="s">
        <v>24032</v>
      </c>
      <c r="AO2911" t="s">
        <v>24033</v>
      </c>
    </row>
    <row r="2912" spans="1:41" hidden="1" x14ac:dyDescent="0.35">
      <c r="A2912" t="s">
        <v>24034</v>
      </c>
      <c r="B2912" t="s">
        <v>7246</v>
      </c>
      <c r="C2912" t="s">
        <v>84</v>
      </c>
      <c r="D2912" t="s">
        <v>84</v>
      </c>
      <c r="E2912" t="s">
        <v>84</v>
      </c>
      <c r="G2912" s="13" t="s">
        <v>24027</v>
      </c>
      <c r="H2912" t="s">
        <v>24028</v>
      </c>
      <c r="I2912" t="s">
        <v>24035</v>
      </c>
      <c r="K2912" t="s">
        <v>22428</v>
      </c>
      <c r="L2912" t="s">
        <v>22428</v>
      </c>
      <c r="M2912" t="s">
        <v>7250</v>
      </c>
      <c r="N2912">
        <v>2015</v>
      </c>
      <c r="R2912">
        <v>1.07</v>
      </c>
      <c r="S2912" t="s">
        <v>8257</v>
      </c>
      <c r="T2912">
        <v>1.07</v>
      </c>
      <c r="U2912">
        <v>497.96</v>
      </c>
      <c r="V2912">
        <v>80.5</v>
      </c>
      <c r="W2912">
        <v>40.98</v>
      </c>
      <c r="X2912">
        <v>80.5</v>
      </c>
      <c r="AC2912" t="s">
        <v>9852</v>
      </c>
      <c r="AD2912" t="s">
        <v>4482</v>
      </c>
      <c r="AE2912" t="s">
        <v>3033</v>
      </c>
      <c r="AG2912" t="s">
        <v>24036</v>
      </c>
      <c r="AH2912" t="s">
        <v>3033</v>
      </c>
      <c r="AI2912" t="s">
        <v>9852</v>
      </c>
      <c r="AL2912" t="s">
        <v>24032</v>
      </c>
      <c r="AO2912" t="s">
        <v>24037</v>
      </c>
    </row>
    <row r="2913" spans="1:41" hidden="1" x14ac:dyDescent="0.35">
      <c r="A2913" t="s">
        <v>24038</v>
      </c>
      <c r="B2913" t="s">
        <v>7246</v>
      </c>
      <c r="C2913" t="s">
        <v>84</v>
      </c>
      <c r="D2913" t="s">
        <v>84</v>
      </c>
      <c r="E2913" t="s">
        <v>84</v>
      </c>
      <c r="G2913" s="13" t="s">
        <v>24027</v>
      </c>
      <c r="H2913" t="s">
        <v>24028</v>
      </c>
      <c r="I2913" t="s">
        <v>24039</v>
      </c>
      <c r="K2913" t="s">
        <v>22428</v>
      </c>
      <c r="L2913" t="s">
        <v>22428</v>
      </c>
      <c r="M2913" t="s">
        <v>7250</v>
      </c>
      <c r="N2913">
        <v>2014</v>
      </c>
      <c r="O2913">
        <v>2015</v>
      </c>
      <c r="R2913">
        <v>0.86</v>
      </c>
      <c r="S2913" t="s">
        <v>8257</v>
      </c>
      <c r="T2913">
        <v>0.86</v>
      </c>
      <c r="U2913">
        <v>398.37</v>
      </c>
      <c r="V2913">
        <v>100.44</v>
      </c>
      <c r="W2913">
        <v>80.790000000000006</v>
      </c>
      <c r="X2913">
        <v>100.44</v>
      </c>
      <c r="AC2913" t="s">
        <v>9852</v>
      </c>
      <c r="AD2913" t="s">
        <v>24036</v>
      </c>
      <c r="AE2913" t="s">
        <v>3033</v>
      </c>
      <c r="AG2913" t="s">
        <v>24040</v>
      </c>
      <c r="AH2913" t="s">
        <v>3033</v>
      </c>
      <c r="AI2913" t="s">
        <v>9852</v>
      </c>
      <c r="AL2913" t="s">
        <v>24032</v>
      </c>
      <c r="AO2913" t="s">
        <v>24041</v>
      </c>
    </row>
    <row r="2914" spans="1:41" hidden="1" x14ac:dyDescent="0.35">
      <c r="A2914" t="s">
        <v>24042</v>
      </c>
      <c r="B2914" t="s">
        <v>7246</v>
      </c>
      <c r="C2914" t="s">
        <v>84</v>
      </c>
      <c r="D2914" t="s">
        <v>84</v>
      </c>
      <c r="E2914" t="s">
        <v>84</v>
      </c>
      <c r="G2914" s="13" t="s">
        <v>24027</v>
      </c>
      <c r="H2914" t="s">
        <v>24028</v>
      </c>
      <c r="I2914" t="s">
        <v>24043</v>
      </c>
      <c r="K2914" t="s">
        <v>22428</v>
      </c>
      <c r="L2914" t="s">
        <v>22428</v>
      </c>
      <c r="M2914" t="s">
        <v>7250</v>
      </c>
      <c r="N2914">
        <v>2014</v>
      </c>
      <c r="O2914">
        <v>2015</v>
      </c>
      <c r="R2914">
        <v>0.5</v>
      </c>
      <c r="S2914" t="s">
        <v>8257</v>
      </c>
      <c r="T2914">
        <v>0.5</v>
      </c>
      <c r="U2914">
        <v>232.69</v>
      </c>
      <c r="V2914">
        <v>139.78</v>
      </c>
      <c r="W2914">
        <v>70.489999999999995</v>
      </c>
      <c r="X2914">
        <v>139.78</v>
      </c>
      <c r="AC2914" t="s">
        <v>9852</v>
      </c>
      <c r="AD2914" t="s">
        <v>4490</v>
      </c>
      <c r="AE2914" t="s">
        <v>3033</v>
      </c>
      <c r="AG2914" t="s">
        <v>24044</v>
      </c>
      <c r="AH2914" t="s">
        <v>3033</v>
      </c>
      <c r="AI2914" t="s">
        <v>9852</v>
      </c>
      <c r="AL2914" t="s">
        <v>24032</v>
      </c>
      <c r="AO2914" t="s">
        <v>24045</v>
      </c>
    </row>
    <row r="2915" spans="1:41" hidden="1" x14ac:dyDescent="0.35">
      <c r="A2915" t="s">
        <v>24046</v>
      </c>
      <c r="B2915" t="s">
        <v>7246</v>
      </c>
      <c r="C2915" t="s">
        <v>84</v>
      </c>
      <c r="D2915" t="s">
        <v>84</v>
      </c>
      <c r="E2915" t="s">
        <v>84</v>
      </c>
      <c r="G2915" s="13" t="s">
        <v>24027</v>
      </c>
      <c r="H2915" t="s">
        <v>24028</v>
      </c>
      <c r="I2915" t="s">
        <v>24047</v>
      </c>
      <c r="K2915" t="s">
        <v>24048</v>
      </c>
      <c r="L2915" t="s">
        <v>24049</v>
      </c>
      <c r="M2915" t="s">
        <v>7250</v>
      </c>
      <c r="N2915">
        <v>2017</v>
      </c>
      <c r="O2915">
        <v>2019</v>
      </c>
      <c r="R2915">
        <v>0.3</v>
      </c>
      <c r="S2915" t="s">
        <v>8257</v>
      </c>
      <c r="T2915">
        <v>0.3</v>
      </c>
      <c r="U2915">
        <v>139.62</v>
      </c>
      <c r="V2915">
        <v>180.4</v>
      </c>
      <c r="W2915">
        <v>119.34</v>
      </c>
      <c r="X2915">
        <v>180.4</v>
      </c>
      <c r="AC2915" t="s">
        <v>9852</v>
      </c>
      <c r="AE2915" t="s">
        <v>3033</v>
      </c>
      <c r="AH2915" t="s">
        <v>3033</v>
      </c>
      <c r="AI2915" t="s">
        <v>9852</v>
      </c>
      <c r="AL2915" t="s">
        <v>24032</v>
      </c>
      <c r="AO2915" t="s">
        <v>24050</v>
      </c>
    </row>
    <row r="2916" spans="1:41" hidden="1" x14ac:dyDescent="0.35">
      <c r="A2916" t="s">
        <v>24051</v>
      </c>
      <c r="B2916" t="s">
        <v>7246</v>
      </c>
      <c r="C2916" t="s">
        <v>84</v>
      </c>
      <c r="D2916" t="s">
        <v>84</v>
      </c>
      <c r="E2916" t="s">
        <v>84</v>
      </c>
      <c r="G2916" s="13" t="s">
        <v>24027</v>
      </c>
      <c r="H2916" t="s">
        <v>24028</v>
      </c>
      <c r="I2916" t="s">
        <v>24052</v>
      </c>
      <c r="K2916" t="s">
        <v>24053</v>
      </c>
      <c r="L2916" t="s">
        <v>24054</v>
      </c>
      <c r="M2916" t="s">
        <v>7415</v>
      </c>
      <c r="R2916">
        <v>4.0599999999999996</v>
      </c>
      <c r="S2916" t="s">
        <v>8257</v>
      </c>
      <c r="T2916">
        <v>4.0599999999999996</v>
      </c>
      <c r="U2916">
        <v>1889.46</v>
      </c>
      <c r="V2916">
        <v>366.8</v>
      </c>
      <c r="W2916">
        <v>293.08999999999997</v>
      </c>
      <c r="X2916">
        <v>366.8</v>
      </c>
      <c r="Y2916">
        <v>813</v>
      </c>
      <c r="Z2916" t="s">
        <v>8842</v>
      </c>
      <c r="AC2916" t="s">
        <v>9852</v>
      </c>
      <c r="AD2916" t="s">
        <v>3036</v>
      </c>
      <c r="AE2916" t="s">
        <v>3033</v>
      </c>
      <c r="AG2916" t="s">
        <v>4508</v>
      </c>
      <c r="AH2916" t="s">
        <v>3033</v>
      </c>
      <c r="AI2916" t="s">
        <v>9852</v>
      </c>
      <c r="AL2916" t="s">
        <v>24032</v>
      </c>
      <c r="AO2916" t="s">
        <v>24055</v>
      </c>
    </row>
    <row r="2917" spans="1:41" hidden="1" x14ac:dyDescent="0.35">
      <c r="A2917" t="s">
        <v>24056</v>
      </c>
      <c r="B2917" t="s">
        <v>7246</v>
      </c>
      <c r="C2917" t="s">
        <v>84</v>
      </c>
      <c r="D2917" t="s">
        <v>84</v>
      </c>
      <c r="E2917" t="s">
        <v>84</v>
      </c>
      <c r="G2917" s="13" t="s">
        <v>24027</v>
      </c>
      <c r="H2917" t="s">
        <v>24028</v>
      </c>
      <c r="I2917" t="s">
        <v>24057</v>
      </c>
      <c r="K2917" t="s">
        <v>22428</v>
      </c>
      <c r="L2917" t="s">
        <v>22428</v>
      </c>
      <c r="M2917" t="s">
        <v>7250</v>
      </c>
      <c r="N2917">
        <v>2013</v>
      </c>
      <c r="O2917">
        <v>2014</v>
      </c>
      <c r="R2917">
        <v>0.16</v>
      </c>
      <c r="S2917" t="s">
        <v>8257</v>
      </c>
      <c r="T2917">
        <v>0.16</v>
      </c>
      <c r="U2917">
        <v>74.459999999999994</v>
      </c>
      <c r="V2917">
        <v>70.45</v>
      </c>
      <c r="W2917">
        <v>104.71</v>
      </c>
      <c r="X2917">
        <v>70.45</v>
      </c>
      <c r="AC2917" t="s">
        <v>9852</v>
      </c>
      <c r="AD2917" t="s">
        <v>3036</v>
      </c>
      <c r="AE2917" t="s">
        <v>3033</v>
      </c>
      <c r="AG2917" t="s">
        <v>4503</v>
      </c>
      <c r="AH2917" t="s">
        <v>3033</v>
      </c>
      <c r="AI2917" t="s">
        <v>9852</v>
      </c>
      <c r="AL2917" t="s">
        <v>24032</v>
      </c>
      <c r="AO2917" t="s">
        <v>24058</v>
      </c>
    </row>
    <row r="2918" spans="1:41" hidden="1" x14ac:dyDescent="0.35">
      <c r="A2918" t="s">
        <v>24059</v>
      </c>
      <c r="B2918" t="s">
        <v>7246</v>
      </c>
      <c r="C2918" t="s">
        <v>84</v>
      </c>
      <c r="D2918" t="s">
        <v>84</v>
      </c>
      <c r="E2918" t="s">
        <v>84</v>
      </c>
      <c r="G2918" s="13" t="s">
        <v>24027</v>
      </c>
      <c r="H2918" t="s">
        <v>24028</v>
      </c>
      <c r="I2918" t="s">
        <v>24060</v>
      </c>
      <c r="K2918" t="s">
        <v>22428</v>
      </c>
      <c r="L2918" t="s">
        <v>22428</v>
      </c>
      <c r="M2918" t="s">
        <v>7292</v>
      </c>
      <c r="T2918" t="s">
        <v>6546</v>
      </c>
      <c r="U2918" t="s">
        <v>6546</v>
      </c>
      <c r="V2918">
        <v>110</v>
      </c>
      <c r="W2918">
        <v>49.02</v>
      </c>
      <c r="X2918">
        <v>110</v>
      </c>
      <c r="AC2918" t="s">
        <v>9852</v>
      </c>
      <c r="AE2918" t="s">
        <v>3033</v>
      </c>
      <c r="AH2918" t="s">
        <v>3033</v>
      </c>
      <c r="AI2918" t="s">
        <v>9852</v>
      </c>
      <c r="AL2918" t="s">
        <v>24032</v>
      </c>
      <c r="AO2918" t="s">
        <v>24061</v>
      </c>
    </row>
    <row r="2919" spans="1:41" hidden="1" x14ac:dyDescent="0.35">
      <c r="A2919" t="s">
        <v>24062</v>
      </c>
      <c r="B2919" t="s">
        <v>7246</v>
      </c>
      <c r="C2919" t="s">
        <v>84</v>
      </c>
      <c r="D2919" t="s">
        <v>84</v>
      </c>
      <c r="E2919" t="s">
        <v>84</v>
      </c>
      <c r="G2919" s="13" t="s">
        <v>24027</v>
      </c>
      <c r="H2919" t="s">
        <v>24028</v>
      </c>
      <c r="I2919" t="s">
        <v>24063</v>
      </c>
      <c r="K2919" t="s">
        <v>24053</v>
      </c>
      <c r="L2919" t="s">
        <v>24054</v>
      </c>
      <c r="M2919" t="s">
        <v>7292</v>
      </c>
      <c r="R2919">
        <v>0.1</v>
      </c>
      <c r="S2919" t="s">
        <v>8257</v>
      </c>
      <c r="T2919">
        <v>0.1</v>
      </c>
      <c r="U2919">
        <v>46.54</v>
      </c>
      <c r="V2919">
        <v>76.599999999999994</v>
      </c>
      <c r="W2919">
        <v>84.7</v>
      </c>
      <c r="X2919">
        <v>76.599999999999994</v>
      </c>
      <c r="Y2919">
        <v>355</v>
      </c>
      <c r="Z2919" t="s">
        <v>8842</v>
      </c>
      <c r="AC2919" t="s">
        <v>9852</v>
      </c>
      <c r="AE2919" t="s">
        <v>3033</v>
      </c>
      <c r="AH2919" t="s">
        <v>3033</v>
      </c>
      <c r="AI2919" t="s">
        <v>9852</v>
      </c>
      <c r="AL2919" t="s">
        <v>24032</v>
      </c>
      <c r="AO2919" t="s">
        <v>24064</v>
      </c>
    </row>
    <row r="2920" spans="1:41" hidden="1" x14ac:dyDescent="0.35">
      <c r="A2920" t="s">
        <v>24065</v>
      </c>
      <c r="B2920" t="s">
        <v>7246</v>
      </c>
      <c r="C2920" t="s">
        <v>84</v>
      </c>
      <c r="D2920" t="s">
        <v>84</v>
      </c>
      <c r="E2920" t="s">
        <v>84</v>
      </c>
      <c r="G2920" s="13" t="s">
        <v>24027</v>
      </c>
      <c r="H2920" t="s">
        <v>24028</v>
      </c>
      <c r="I2920" t="s">
        <v>24066</v>
      </c>
      <c r="K2920" t="s">
        <v>22428</v>
      </c>
      <c r="L2920" t="s">
        <v>22428</v>
      </c>
      <c r="M2920" t="s">
        <v>7250</v>
      </c>
      <c r="N2920">
        <v>2013</v>
      </c>
      <c r="O2920">
        <v>2016</v>
      </c>
      <c r="R2920">
        <v>0.4</v>
      </c>
      <c r="S2920" t="s">
        <v>8257</v>
      </c>
      <c r="T2920">
        <v>0.4</v>
      </c>
      <c r="U2920">
        <v>186.15</v>
      </c>
      <c r="V2920">
        <v>181.3</v>
      </c>
      <c r="W2920">
        <v>265.62</v>
      </c>
      <c r="X2920">
        <v>181.3</v>
      </c>
      <c r="AC2920" t="s">
        <v>9852</v>
      </c>
      <c r="AD2920" t="s">
        <v>23088</v>
      </c>
      <c r="AE2920" t="s">
        <v>3033</v>
      </c>
      <c r="AG2920" t="s">
        <v>4506</v>
      </c>
      <c r="AH2920" t="s">
        <v>3033</v>
      </c>
      <c r="AI2920" t="s">
        <v>9852</v>
      </c>
      <c r="AL2920" t="s">
        <v>24032</v>
      </c>
      <c r="AO2920" t="s">
        <v>24067</v>
      </c>
    </row>
    <row r="2921" spans="1:41" hidden="1" x14ac:dyDescent="0.35">
      <c r="A2921" t="s">
        <v>24068</v>
      </c>
      <c r="B2921" t="s">
        <v>7246</v>
      </c>
      <c r="C2921" t="s">
        <v>84</v>
      </c>
      <c r="D2921" t="s">
        <v>84</v>
      </c>
      <c r="E2921" t="s">
        <v>84</v>
      </c>
      <c r="G2921" s="13" t="s">
        <v>24027</v>
      </c>
      <c r="H2921" t="s">
        <v>24028</v>
      </c>
      <c r="K2921" t="s">
        <v>22428</v>
      </c>
      <c r="L2921" t="s">
        <v>22428</v>
      </c>
      <c r="M2921" t="s">
        <v>7250</v>
      </c>
      <c r="N2921">
        <v>2019</v>
      </c>
      <c r="R2921">
        <v>0.12</v>
      </c>
      <c r="S2921" t="s">
        <v>8257</v>
      </c>
      <c r="T2921">
        <v>0.12</v>
      </c>
      <c r="U2921">
        <v>54.92</v>
      </c>
      <c r="V2921">
        <v>45</v>
      </c>
      <c r="W2921">
        <v>84.7</v>
      </c>
      <c r="X2921">
        <v>45</v>
      </c>
      <c r="AB2921" t="s">
        <v>24069</v>
      </c>
      <c r="AC2921" t="s">
        <v>9852</v>
      </c>
      <c r="AD2921" t="s">
        <v>4506</v>
      </c>
      <c r="AE2921" t="s">
        <v>3033</v>
      </c>
      <c r="AF2921" t="s">
        <v>24070</v>
      </c>
      <c r="AG2921" t="s">
        <v>4506</v>
      </c>
      <c r="AH2921" t="s">
        <v>3033</v>
      </c>
      <c r="AI2921" t="s">
        <v>9852</v>
      </c>
      <c r="AL2921" t="s">
        <v>24032</v>
      </c>
      <c r="AO2921" t="s">
        <v>24064</v>
      </c>
    </row>
    <row r="2922" spans="1:41" hidden="1" x14ac:dyDescent="0.35">
      <c r="A2922" t="s">
        <v>24071</v>
      </c>
      <c r="B2922" t="s">
        <v>7246</v>
      </c>
      <c r="C2922" t="s">
        <v>84</v>
      </c>
      <c r="D2922" t="s">
        <v>84</v>
      </c>
      <c r="E2922" t="s">
        <v>84</v>
      </c>
      <c r="G2922" s="13" t="s">
        <v>24027</v>
      </c>
      <c r="H2922" t="s">
        <v>24028</v>
      </c>
      <c r="I2922" t="s">
        <v>24072</v>
      </c>
      <c r="K2922" t="s">
        <v>22428</v>
      </c>
      <c r="L2922" t="s">
        <v>22428</v>
      </c>
      <c r="M2922" t="s">
        <v>7250</v>
      </c>
      <c r="N2922">
        <v>2011</v>
      </c>
      <c r="R2922" t="s">
        <v>24073</v>
      </c>
      <c r="S2922" t="s">
        <v>8257</v>
      </c>
      <c r="T2922" t="s">
        <v>6546</v>
      </c>
      <c r="U2922" t="s">
        <v>6546</v>
      </c>
      <c r="V2922">
        <v>237.3</v>
      </c>
      <c r="W2922" t="s">
        <v>6546</v>
      </c>
      <c r="X2922">
        <v>237.3</v>
      </c>
      <c r="AC2922" t="s">
        <v>9852</v>
      </c>
      <c r="AD2922" t="s">
        <v>23102</v>
      </c>
      <c r="AE2922" t="s">
        <v>3033</v>
      </c>
      <c r="AG2922" t="s">
        <v>4492</v>
      </c>
      <c r="AH2922" t="s">
        <v>3033</v>
      </c>
      <c r="AI2922" t="s">
        <v>9852</v>
      </c>
      <c r="AL2922" t="s">
        <v>24032</v>
      </c>
      <c r="AO2922" t="s">
        <v>6546</v>
      </c>
    </row>
    <row r="2923" spans="1:41" hidden="1" x14ac:dyDescent="0.35">
      <c r="A2923" t="s">
        <v>24074</v>
      </c>
      <c r="B2923" t="s">
        <v>7246</v>
      </c>
      <c r="C2923" t="s">
        <v>84</v>
      </c>
      <c r="D2923" t="s">
        <v>84</v>
      </c>
      <c r="E2923" t="s">
        <v>84</v>
      </c>
      <c r="G2923" s="13" t="s">
        <v>24027</v>
      </c>
      <c r="H2923" t="s">
        <v>24028</v>
      </c>
      <c r="I2923" t="s">
        <v>24075</v>
      </c>
      <c r="K2923" t="s">
        <v>24053</v>
      </c>
      <c r="L2923" t="s">
        <v>24054</v>
      </c>
      <c r="M2923" t="s">
        <v>7292</v>
      </c>
      <c r="R2923">
        <v>0.18</v>
      </c>
      <c r="S2923" t="s">
        <v>8257</v>
      </c>
      <c r="T2923">
        <v>0.18</v>
      </c>
      <c r="U2923">
        <v>81.44</v>
      </c>
      <c r="V2923">
        <v>138</v>
      </c>
      <c r="W2923" t="s">
        <v>6546</v>
      </c>
      <c r="X2923">
        <v>138</v>
      </c>
      <c r="Y2923" t="s">
        <v>23275</v>
      </c>
      <c r="Z2923" t="s">
        <v>8842</v>
      </c>
      <c r="AC2923" t="s">
        <v>9852</v>
      </c>
      <c r="AD2923" t="s">
        <v>4503</v>
      </c>
      <c r="AE2923" t="s">
        <v>3033</v>
      </c>
      <c r="AG2923" t="s">
        <v>4503</v>
      </c>
      <c r="AH2923" t="s">
        <v>3033</v>
      </c>
      <c r="AI2923" t="s">
        <v>9852</v>
      </c>
      <c r="AL2923" t="s">
        <v>24032</v>
      </c>
      <c r="AO2923" t="s">
        <v>6546</v>
      </c>
    </row>
    <row r="2924" spans="1:41" hidden="1" x14ac:dyDescent="0.35">
      <c r="A2924" t="s">
        <v>24076</v>
      </c>
      <c r="B2924" t="s">
        <v>7246</v>
      </c>
      <c r="C2924" t="s">
        <v>84</v>
      </c>
      <c r="D2924" t="s">
        <v>84</v>
      </c>
      <c r="E2924" t="s">
        <v>84</v>
      </c>
      <c r="G2924" s="13" t="s">
        <v>24077</v>
      </c>
      <c r="H2924" t="s">
        <v>24078</v>
      </c>
      <c r="I2924" t="s">
        <v>24079</v>
      </c>
      <c r="K2924" t="s">
        <v>24080</v>
      </c>
      <c r="L2924" t="s">
        <v>24081</v>
      </c>
      <c r="M2924" t="s">
        <v>7250</v>
      </c>
      <c r="N2924">
        <v>2015</v>
      </c>
      <c r="R2924">
        <v>0.44</v>
      </c>
      <c r="S2924" t="s">
        <v>8257</v>
      </c>
      <c r="T2924">
        <v>0.44</v>
      </c>
      <c r="U2924">
        <v>204.77</v>
      </c>
      <c r="V2924">
        <v>245.9</v>
      </c>
      <c r="W2924">
        <v>189.25</v>
      </c>
      <c r="X2924">
        <v>245.9</v>
      </c>
      <c r="Y2924">
        <v>406</v>
      </c>
      <c r="Z2924" t="s">
        <v>8842</v>
      </c>
      <c r="AC2924" t="s">
        <v>9852</v>
      </c>
      <c r="AD2924" t="s">
        <v>24082</v>
      </c>
      <c r="AE2924" t="s">
        <v>3038</v>
      </c>
      <c r="AG2924" t="s">
        <v>24082</v>
      </c>
      <c r="AH2924" t="s">
        <v>3038</v>
      </c>
      <c r="AI2924" t="s">
        <v>9852</v>
      </c>
      <c r="AL2924" t="s">
        <v>24083</v>
      </c>
      <c r="AO2924" t="s">
        <v>24084</v>
      </c>
    </row>
    <row r="2925" spans="1:41" hidden="1" x14ac:dyDescent="0.35">
      <c r="A2925" t="s">
        <v>24085</v>
      </c>
      <c r="B2925" t="s">
        <v>7246</v>
      </c>
      <c r="C2925" t="s">
        <v>84</v>
      </c>
      <c r="D2925" t="s">
        <v>84</v>
      </c>
      <c r="E2925" t="s">
        <v>84</v>
      </c>
      <c r="G2925" s="13" t="s">
        <v>24077</v>
      </c>
      <c r="H2925" t="s">
        <v>24078</v>
      </c>
      <c r="I2925" t="s">
        <v>24086</v>
      </c>
      <c r="K2925" t="s">
        <v>24087</v>
      </c>
      <c r="L2925" t="s">
        <v>24088</v>
      </c>
      <c r="M2925" t="s">
        <v>7250</v>
      </c>
      <c r="N2925">
        <v>2006</v>
      </c>
      <c r="R2925">
        <v>0.64</v>
      </c>
      <c r="S2925" t="s">
        <v>8257</v>
      </c>
      <c r="T2925">
        <v>0.64</v>
      </c>
      <c r="U2925">
        <v>297.85000000000002</v>
      </c>
      <c r="V2925">
        <v>188</v>
      </c>
      <c r="W2925">
        <v>157.44999999999999</v>
      </c>
      <c r="X2925">
        <v>188</v>
      </c>
      <c r="Y2925">
        <v>406.4</v>
      </c>
      <c r="Z2925" t="s">
        <v>8842</v>
      </c>
      <c r="AC2925" t="s">
        <v>9852</v>
      </c>
      <c r="AE2925" t="s">
        <v>3038</v>
      </c>
      <c r="AH2925" t="s">
        <v>3038</v>
      </c>
      <c r="AI2925" t="s">
        <v>9852</v>
      </c>
      <c r="AL2925" t="s">
        <v>24083</v>
      </c>
      <c r="AO2925" t="s">
        <v>24089</v>
      </c>
    </row>
    <row r="2926" spans="1:41" hidden="1" x14ac:dyDescent="0.35">
      <c r="A2926" t="s">
        <v>24090</v>
      </c>
      <c r="B2926" t="s">
        <v>7246</v>
      </c>
      <c r="C2926" t="s">
        <v>84</v>
      </c>
      <c r="D2926" t="s">
        <v>84</v>
      </c>
      <c r="E2926" t="s">
        <v>84</v>
      </c>
      <c r="G2926" s="13" t="s">
        <v>24077</v>
      </c>
      <c r="H2926" t="s">
        <v>24078</v>
      </c>
      <c r="I2926" t="s">
        <v>24091</v>
      </c>
      <c r="K2926" t="s">
        <v>24092</v>
      </c>
      <c r="L2926" t="s">
        <v>24093</v>
      </c>
      <c r="M2926" t="s">
        <v>7250</v>
      </c>
      <c r="N2926">
        <v>2017</v>
      </c>
      <c r="R2926">
        <v>0.26</v>
      </c>
      <c r="S2926" t="s">
        <v>8257</v>
      </c>
      <c r="T2926">
        <v>0.26</v>
      </c>
      <c r="U2926">
        <v>121</v>
      </c>
      <c r="V2926">
        <v>62.4</v>
      </c>
      <c r="W2926">
        <v>75.77</v>
      </c>
      <c r="X2926">
        <v>62.4</v>
      </c>
      <c r="AC2926" t="s">
        <v>9852</v>
      </c>
      <c r="AD2926" t="s">
        <v>24094</v>
      </c>
      <c r="AE2926" t="s">
        <v>3038</v>
      </c>
      <c r="AG2926" t="s">
        <v>24095</v>
      </c>
      <c r="AH2926" t="s">
        <v>3038</v>
      </c>
      <c r="AI2926" t="s">
        <v>9852</v>
      </c>
      <c r="AL2926" t="s">
        <v>24083</v>
      </c>
      <c r="AO2926" t="s">
        <v>24096</v>
      </c>
    </row>
    <row r="2927" spans="1:41" hidden="1" x14ac:dyDescent="0.35">
      <c r="A2927" t="s">
        <v>24097</v>
      </c>
      <c r="B2927" t="s">
        <v>7246</v>
      </c>
      <c r="C2927" t="s">
        <v>84</v>
      </c>
      <c r="D2927" t="s">
        <v>84</v>
      </c>
      <c r="E2927" t="s">
        <v>84</v>
      </c>
      <c r="G2927" s="13" t="s">
        <v>24077</v>
      </c>
      <c r="H2927" t="s">
        <v>24078</v>
      </c>
      <c r="I2927" t="s">
        <v>24098</v>
      </c>
      <c r="K2927" t="s">
        <v>24092</v>
      </c>
      <c r="L2927" t="s">
        <v>24093</v>
      </c>
      <c r="M2927" t="s">
        <v>7250</v>
      </c>
      <c r="N2927">
        <v>2020</v>
      </c>
      <c r="R2927">
        <v>0.88</v>
      </c>
      <c r="S2927" t="s">
        <v>8257</v>
      </c>
      <c r="T2927">
        <v>0.88</v>
      </c>
      <c r="U2927">
        <v>409.54</v>
      </c>
      <c r="V2927">
        <v>78.7</v>
      </c>
      <c r="W2927">
        <v>74.239999999999995</v>
      </c>
      <c r="X2927">
        <v>78.7</v>
      </c>
      <c r="AC2927" t="s">
        <v>9852</v>
      </c>
      <c r="AD2927" t="s">
        <v>24094</v>
      </c>
      <c r="AE2927" t="s">
        <v>3038</v>
      </c>
      <c r="AG2927" t="s">
        <v>24099</v>
      </c>
      <c r="AH2927" t="s">
        <v>3038</v>
      </c>
      <c r="AI2927" t="s">
        <v>9852</v>
      </c>
      <c r="AL2927" t="s">
        <v>24083</v>
      </c>
      <c r="AO2927" t="s">
        <v>24100</v>
      </c>
    </row>
    <row r="2928" spans="1:41" hidden="1" x14ac:dyDescent="0.35">
      <c r="A2928" t="s">
        <v>24101</v>
      </c>
      <c r="B2928" t="s">
        <v>7246</v>
      </c>
      <c r="C2928" t="s">
        <v>84</v>
      </c>
      <c r="D2928" t="s">
        <v>84</v>
      </c>
      <c r="E2928" t="s">
        <v>84</v>
      </c>
      <c r="G2928" s="13" t="s">
        <v>24077</v>
      </c>
      <c r="H2928" t="s">
        <v>24078</v>
      </c>
      <c r="I2928" t="s">
        <v>24102</v>
      </c>
      <c r="K2928" t="s">
        <v>24103</v>
      </c>
      <c r="L2928" t="s">
        <v>24104</v>
      </c>
      <c r="M2928" t="s">
        <v>7250</v>
      </c>
      <c r="N2928">
        <v>2020</v>
      </c>
      <c r="T2928" t="s">
        <v>6546</v>
      </c>
      <c r="U2928" t="s">
        <v>6546</v>
      </c>
      <c r="V2928">
        <v>37</v>
      </c>
      <c r="W2928">
        <v>50.38</v>
      </c>
      <c r="X2928">
        <v>37</v>
      </c>
      <c r="Y2928">
        <v>300</v>
      </c>
      <c r="Z2928" t="s">
        <v>8842</v>
      </c>
      <c r="AC2928" t="s">
        <v>9852</v>
      </c>
      <c r="AE2928" t="s">
        <v>3038</v>
      </c>
      <c r="AH2928" t="s">
        <v>3038</v>
      </c>
      <c r="AI2928" t="s">
        <v>9852</v>
      </c>
      <c r="AL2928" t="s">
        <v>24083</v>
      </c>
      <c r="AO2928" t="s">
        <v>24105</v>
      </c>
    </row>
    <row r="2929" spans="1:41" hidden="1" x14ac:dyDescent="0.35">
      <c r="A2929" t="s">
        <v>24106</v>
      </c>
      <c r="B2929" t="s">
        <v>7246</v>
      </c>
      <c r="C2929" t="s">
        <v>84</v>
      </c>
      <c r="D2929" t="s">
        <v>84</v>
      </c>
      <c r="E2929" t="s">
        <v>84</v>
      </c>
      <c r="G2929" s="13" t="s">
        <v>24077</v>
      </c>
      <c r="H2929" t="s">
        <v>24078</v>
      </c>
      <c r="I2929" t="s">
        <v>24107</v>
      </c>
      <c r="K2929" t="s">
        <v>24103</v>
      </c>
      <c r="L2929" t="s">
        <v>24104</v>
      </c>
      <c r="M2929" t="s">
        <v>7415</v>
      </c>
      <c r="T2929" t="s">
        <v>6546</v>
      </c>
      <c r="U2929" t="s">
        <v>6546</v>
      </c>
      <c r="V2929">
        <v>171</v>
      </c>
      <c r="W2929">
        <v>148.69</v>
      </c>
      <c r="X2929">
        <v>171</v>
      </c>
      <c r="Y2929">
        <v>400</v>
      </c>
      <c r="Z2929" t="s">
        <v>8842</v>
      </c>
      <c r="AC2929" t="s">
        <v>9852</v>
      </c>
      <c r="AE2929" t="s">
        <v>3038</v>
      </c>
      <c r="AH2929" t="s">
        <v>3038</v>
      </c>
      <c r="AI2929" t="s">
        <v>9852</v>
      </c>
      <c r="AL2929" t="s">
        <v>24083</v>
      </c>
      <c r="AO2929" t="s">
        <v>24108</v>
      </c>
    </row>
    <row r="2930" spans="1:41" hidden="1" x14ac:dyDescent="0.35">
      <c r="A2930" t="s">
        <v>24109</v>
      </c>
      <c r="B2930" t="s">
        <v>7246</v>
      </c>
      <c r="C2930" t="s">
        <v>84</v>
      </c>
      <c r="D2930" t="s">
        <v>84</v>
      </c>
      <c r="E2930" t="s">
        <v>84</v>
      </c>
      <c r="G2930" s="13" t="s">
        <v>24077</v>
      </c>
      <c r="H2930" t="s">
        <v>24078</v>
      </c>
      <c r="I2930" t="s">
        <v>24110</v>
      </c>
      <c r="K2930" t="s">
        <v>24103</v>
      </c>
      <c r="L2930" t="s">
        <v>24104</v>
      </c>
      <c r="M2930" t="s">
        <v>7415</v>
      </c>
      <c r="R2930">
        <v>0.21</v>
      </c>
      <c r="S2930" t="s">
        <v>8257</v>
      </c>
      <c r="T2930">
        <v>0.21</v>
      </c>
      <c r="U2930">
        <v>97.73</v>
      </c>
      <c r="V2930">
        <v>135</v>
      </c>
      <c r="W2930">
        <v>59.98</v>
      </c>
      <c r="X2930">
        <v>135</v>
      </c>
      <c r="AC2930" t="s">
        <v>9852</v>
      </c>
      <c r="AE2930" t="s">
        <v>3038</v>
      </c>
      <c r="AH2930" t="s">
        <v>3038</v>
      </c>
      <c r="AI2930" t="s">
        <v>9852</v>
      </c>
      <c r="AL2930" t="s">
        <v>24083</v>
      </c>
      <c r="AO2930" t="s">
        <v>24111</v>
      </c>
    </row>
    <row r="2931" spans="1:41" hidden="1" x14ac:dyDescent="0.35">
      <c r="A2931" t="s">
        <v>24112</v>
      </c>
      <c r="B2931" t="s">
        <v>7246</v>
      </c>
      <c r="C2931" t="s">
        <v>84</v>
      </c>
      <c r="D2931" t="s">
        <v>84</v>
      </c>
      <c r="E2931" t="s">
        <v>84</v>
      </c>
      <c r="G2931" s="13" t="s">
        <v>24077</v>
      </c>
      <c r="H2931" t="s">
        <v>24078</v>
      </c>
      <c r="I2931" t="s">
        <v>24113</v>
      </c>
      <c r="K2931" t="s">
        <v>24103</v>
      </c>
      <c r="L2931" t="s">
        <v>24104</v>
      </c>
      <c r="M2931" t="s">
        <v>7250</v>
      </c>
      <c r="N2931">
        <v>2020</v>
      </c>
      <c r="R2931">
        <v>0.7</v>
      </c>
      <c r="S2931" t="s">
        <v>8257</v>
      </c>
      <c r="T2931">
        <v>0.7</v>
      </c>
      <c r="U2931">
        <v>325.77</v>
      </c>
      <c r="V2931">
        <v>111</v>
      </c>
      <c r="W2931">
        <v>100.23</v>
      </c>
      <c r="X2931">
        <v>111</v>
      </c>
      <c r="Y2931">
        <v>400</v>
      </c>
      <c r="Z2931" t="s">
        <v>8842</v>
      </c>
      <c r="AC2931" t="s">
        <v>9852</v>
      </c>
      <c r="AE2931" t="s">
        <v>3038</v>
      </c>
      <c r="AH2931" t="s">
        <v>3038</v>
      </c>
      <c r="AI2931" t="s">
        <v>9852</v>
      </c>
      <c r="AL2931" t="s">
        <v>24083</v>
      </c>
      <c r="AO2931" t="s">
        <v>24114</v>
      </c>
    </row>
    <row r="2932" spans="1:41" hidden="1" x14ac:dyDescent="0.35">
      <c r="A2932" t="s">
        <v>24115</v>
      </c>
      <c r="B2932" t="s">
        <v>7246</v>
      </c>
      <c r="C2932" t="s">
        <v>84</v>
      </c>
      <c r="D2932" t="s">
        <v>84</v>
      </c>
      <c r="E2932" t="s">
        <v>84</v>
      </c>
      <c r="G2932" s="13" t="s">
        <v>24077</v>
      </c>
      <c r="H2932" t="s">
        <v>24078</v>
      </c>
      <c r="I2932" t="s">
        <v>24116</v>
      </c>
      <c r="K2932" t="s">
        <v>24103</v>
      </c>
      <c r="L2932" t="s">
        <v>24104</v>
      </c>
      <c r="M2932" t="s">
        <v>7415</v>
      </c>
      <c r="R2932">
        <v>0.13</v>
      </c>
      <c r="S2932" t="s">
        <v>8257</v>
      </c>
      <c r="T2932">
        <v>0.13</v>
      </c>
      <c r="U2932">
        <v>60.5</v>
      </c>
      <c r="V2932">
        <v>50</v>
      </c>
      <c r="W2932">
        <v>78.58</v>
      </c>
      <c r="X2932">
        <v>50</v>
      </c>
      <c r="Y2932">
        <v>300</v>
      </c>
      <c r="Z2932" t="s">
        <v>8842</v>
      </c>
      <c r="AC2932" t="s">
        <v>9852</v>
      </c>
      <c r="AE2932" t="s">
        <v>3038</v>
      </c>
      <c r="AH2932" t="s">
        <v>3038</v>
      </c>
      <c r="AI2932" t="s">
        <v>9852</v>
      </c>
      <c r="AL2932" t="s">
        <v>24083</v>
      </c>
      <c r="AO2932" t="s">
        <v>24117</v>
      </c>
    </row>
    <row r="2933" spans="1:41" hidden="1" x14ac:dyDescent="0.35">
      <c r="A2933" t="s">
        <v>24118</v>
      </c>
      <c r="B2933" t="s">
        <v>7246</v>
      </c>
      <c r="C2933" t="s">
        <v>84</v>
      </c>
      <c r="D2933" t="s">
        <v>84</v>
      </c>
      <c r="E2933" t="s">
        <v>84</v>
      </c>
      <c r="G2933" s="13" t="s">
        <v>24077</v>
      </c>
      <c r="H2933" t="s">
        <v>24078</v>
      </c>
      <c r="I2933" t="s">
        <v>24119</v>
      </c>
      <c r="K2933" t="s">
        <v>24120</v>
      </c>
      <c r="L2933" t="s">
        <v>24121</v>
      </c>
      <c r="M2933" t="s">
        <v>7415</v>
      </c>
      <c r="R2933">
        <v>0.42</v>
      </c>
      <c r="S2933" t="s">
        <v>8257</v>
      </c>
      <c r="T2933">
        <v>0.42</v>
      </c>
      <c r="U2933">
        <v>195.46</v>
      </c>
      <c r="V2933">
        <v>60</v>
      </c>
      <c r="W2933" t="s">
        <v>6546</v>
      </c>
      <c r="X2933">
        <v>60</v>
      </c>
      <c r="Y2933" t="s">
        <v>24122</v>
      </c>
      <c r="Z2933" t="s">
        <v>8842</v>
      </c>
      <c r="AB2933" t="s">
        <v>4290</v>
      </c>
      <c r="AC2933" t="s">
        <v>9852</v>
      </c>
      <c r="AD2933" t="s">
        <v>23491</v>
      </c>
      <c r="AE2933" t="s">
        <v>3038</v>
      </c>
      <c r="AF2933" t="s">
        <v>24123</v>
      </c>
      <c r="AG2933" t="s">
        <v>23491</v>
      </c>
      <c r="AH2933" t="s">
        <v>3038</v>
      </c>
      <c r="AI2933" t="s">
        <v>9852</v>
      </c>
      <c r="AL2933" t="s">
        <v>24083</v>
      </c>
      <c r="AO2933" t="s">
        <v>6546</v>
      </c>
    </row>
    <row r="2934" spans="1:41" hidden="1" x14ac:dyDescent="0.35">
      <c r="A2934" t="s">
        <v>24124</v>
      </c>
      <c r="B2934" t="s">
        <v>7246</v>
      </c>
      <c r="C2934" t="s">
        <v>84</v>
      </c>
      <c r="D2934" t="s">
        <v>84</v>
      </c>
      <c r="E2934" t="s">
        <v>84</v>
      </c>
      <c r="G2934" s="13" t="s">
        <v>24077</v>
      </c>
      <c r="H2934" t="s">
        <v>24078</v>
      </c>
      <c r="I2934" t="s">
        <v>24125</v>
      </c>
      <c r="K2934" t="s">
        <v>24120</v>
      </c>
      <c r="L2934" t="s">
        <v>24121</v>
      </c>
      <c r="M2934" t="s">
        <v>7250</v>
      </c>
      <c r="N2934">
        <v>2020</v>
      </c>
      <c r="R2934">
        <v>0.9</v>
      </c>
      <c r="S2934" t="s">
        <v>8257</v>
      </c>
      <c r="T2934">
        <v>0.9</v>
      </c>
      <c r="U2934">
        <v>418.85</v>
      </c>
      <c r="V2934">
        <v>83</v>
      </c>
      <c r="W2934">
        <v>62.59</v>
      </c>
      <c r="X2934">
        <v>83</v>
      </c>
      <c r="Y2934">
        <v>406</v>
      </c>
      <c r="Z2934" t="s">
        <v>8842</v>
      </c>
      <c r="AC2934" t="s">
        <v>9852</v>
      </c>
      <c r="AE2934" t="s">
        <v>3038</v>
      </c>
      <c r="AH2934" t="s">
        <v>3038</v>
      </c>
      <c r="AI2934" t="s">
        <v>9852</v>
      </c>
      <c r="AL2934" t="s">
        <v>24083</v>
      </c>
      <c r="AO2934" t="s">
        <v>24126</v>
      </c>
    </row>
    <row r="2935" spans="1:41" hidden="1" x14ac:dyDescent="0.35">
      <c r="A2935" t="s">
        <v>24127</v>
      </c>
      <c r="B2935" t="s">
        <v>7246</v>
      </c>
      <c r="C2935" t="s">
        <v>84</v>
      </c>
      <c r="D2935" t="s">
        <v>84</v>
      </c>
      <c r="E2935" t="s">
        <v>84</v>
      </c>
      <c r="G2935" s="13" t="s">
        <v>24077</v>
      </c>
      <c r="H2935" t="s">
        <v>24078</v>
      </c>
      <c r="I2935" t="s">
        <v>24128</v>
      </c>
      <c r="K2935" t="s">
        <v>24129</v>
      </c>
      <c r="L2935" t="s">
        <v>24130</v>
      </c>
      <c r="M2935" t="s">
        <v>7415</v>
      </c>
      <c r="R2935">
        <v>0.16</v>
      </c>
      <c r="S2935" t="s">
        <v>8257</v>
      </c>
      <c r="T2935">
        <v>0.16</v>
      </c>
      <c r="U2935">
        <v>74.459999999999994</v>
      </c>
      <c r="V2935">
        <v>20</v>
      </c>
      <c r="W2935" t="s">
        <v>6546</v>
      </c>
      <c r="X2935">
        <v>20</v>
      </c>
      <c r="Y2935" t="s">
        <v>24131</v>
      </c>
      <c r="Z2935" t="s">
        <v>8842</v>
      </c>
      <c r="AB2935" t="s">
        <v>24132</v>
      </c>
      <c r="AC2935" t="s">
        <v>9852</v>
      </c>
      <c r="AD2935" t="s">
        <v>4510</v>
      </c>
      <c r="AE2935" t="s">
        <v>3038</v>
      </c>
      <c r="AF2935" t="s">
        <v>24133</v>
      </c>
      <c r="AG2935" t="s">
        <v>4510</v>
      </c>
      <c r="AH2935" t="s">
        <v>3038</v>
      </c>
      <c r="AI2935" t="s">
        <v>9852</v>
      </c>
      <c r="AL2935" t="s">
        <v>24083</v>
      </c>
      <c r="AO2935" t="s">
        <v>6546</v>
      </c>
    </row>
    <row r="2936" spans="1:41" hidden="1" x14ac:dyDescent="0.35">
      <c r="A2936" t="s">
        <v>24134</v>
      </c>
      <c r="B2936" t="s">
        <v>7246</v>
      </c>
      <c r="C2936" t="s">
        <v>84</v>
      </c>
      <c r="D2936" t="s">
        <v>84</v>
      </c>
      <c r="E2936" t="s">
        <v>84</v>
      </c>
      <c r="G2936" s="13" t="s">
        <v>24077</v>
      </c>
      <c r="H2936" t="s">
        <v>24078</v>
      </c>
      <c r="I2936" t="s">
        <v>24135</v>
      </c>
      <c r="K2936" t="s">
        <v>24092</v>
      </c>
      <c r="L2936" t="s">
        <v>24093</v>
      </c>
      <c r="M2936" t="s">
        <v>7415</v>
      </c>
      <c r="N2936">
        <v>2022</v>
      </c>
      <c r="R2936">
        <v>0.44</v>
      </c>
      <c r="S2936" t="s">
        <v>8257</v>
      </c>
      <c r="T2936">
        <v>0.44</v>
      </c>
      <c r="U2936">
        <v>204.77</v>
      </c>
      <c r="V2936">
        <v>161</v>
      </c>
      <c r="W2936">
        <v>144.29</v>
      </c>
      <c r="X2936">
        <v>161</v>
      </c>
      <c r="AC2936" t="s">
        <v>9852</v>
      </c>
      <c r="AE2936" t="s">
        <v>3038</v>
      </c>
      <c r="AH2936" t="s">
        <v>3038</v>
      </c>
      <c r="AI2936" t="s">
        <v>9852</v>
      </c>
      <c r="AL2936" t="s">
        <v>24083</v>
      </c>
      <c r="AO2936" t="s">
        <v>24136</v>
      </c>
    </row>
    <row r="2937" spans="1:41" hidden="1" x14ac:dyDescent="0.35">
      <c r="A2937" t="s">
        <v>24137</v>
      </c>
      <c r="B2937" t="s">
        <v>7246</v>
      </c>
      <c r="C2937" t="s">
        <v>84</v>
      </c>
      <c r="D2937" t="s">
        <v>84</v>
      </c>
      <c r="E2937" t="s">
        <v>84</v>
      </c>
      <c r="G2937" s="13" t="s">
        <v>24077</v>
      </c>
      <c r="H2937" t="s">
        <v>24078</v>
      </c>
      <c r="I2937" t="s">
        <v>24138</v>
      </c>
      <c r="K2937" t="s">
        <v>24092</v>
      </c>
      <c r="L2937" t="s">
        <v>24093</v>
      </c>
      <c r="M2937" t="s">
        <v>7292</v>
      </c>
      <c r="T2937" t="s">
        <v>6546</v>
      </c>
      <c r="U2937" t="s">
        <v>6546</v>
      </c>
      <c r="V2937">
        <v>65</v>
      </c>
      <c r="W2937" t="s">
        <v>6546</v>
      </c>
      <c r="X2937">
        <v>65</v>
      </c>
      <c r="Y2937">
        <v>300</v>
      </c>
      <c r="Z2937" t="s">
        <v>8842</v>
      </c>
      <c r="AB2937" t="s">
        <v>24139</v>
      </c>
      <c r="AC2937" t="s">
        <v>9852</v>
      </c>
      <c r="AD2937" t="s">
        <v>24140</v>
      </c>
      <c r="AE2937" t="s">
        <v>3038</v>
      </c>
      <c r="AF2937" t="s">
        <v>24141</v>
      </c>
      <c r="AG2937" t="s">
        <v>24140</v>
      </c>
      <c r="AH2937" t="s">
        <v>3038</v>
      </c>
      <c r="AI2937" t="s">
        <v>9852</v>
      </c>
      <c r="AL2937" t="s">
        <v>24083</v>
      </c>
      <c r="AO2937" t="s">
        <v>6546</v>
      </c>
    </row>
    <row r="2938" spans="1:41" hidden="1" x14ac:dyDescent="0.35">
      <c r="A2938" t="s">
        <v>24142</v>
      </c>
      <c r="B2938" t="s">
        <v>7246</v>
      </c>
      <c r="C2938" t="s">
        <v>84</v>
      </c>
      <c r="D2938" t="s">
        <v>84</v>
      </c>
      <c r="E2938" t="s">
        <v>84</v>
      </c>
      <c r="G2938" s="13" t="s">
        <v>24077</v>
      </c>
      <c r="H2938" t="s">
        <v>24078</v>
      </c>
      <c r="I2938" t="s">
        <v>24143</v>
      </c>
      <c r="K2938" t="s">
        <v>24120</v>
      </c>
      <c r="L2938" t="s">
        <v>24121</v>
      </c>
      <c r="M2938" t="s">
        <v>7292</v>
      </c>
      <c r="T2938" t="s">
        <v>6546</v>
      </c>
      <c r="U2938" t="s">
        <v>6546</v>
      </c>
      <c r="V2938">
        <v>72</v>
      </c>
      <c r="W2938" t="s">
        <v>6546</v>
      </c>
      <c r="X2938">
        <v>72</v>
      </c>
      <c r="AC2938" t="s">
        <v>9852</v>
      </c>
      <c r="AE2938" t="s">
        <v>3038</v>
      </c>
      <c r="AH2938" t="s">
        <v>3038</v>
      </c>
      <c r="AI2938" t="s">
        <v>9852</v>
      </c>
      <c r="AL2938" t="s">
        <v>24083</v>
      </c>
      <c r="AO2938" t="s">
        <v>6546</v>
      </c>
    </row>
    <row r="2939" spans="1:41" hidden="1" x14ac:dyDescent="0.35">
      <c r="A2939" t="s">
        <v>24144</v>
      </c>
      <c r="B2939" t="s">
        <v>7246</v>
      </c>
      <c r="C2939" t="s">
        <v>84</v>
      </c>
      <c r="D2939" t="s">
        <v>84</v>
      </c>
      <c r="E2939" t="s">
        <v>84</v>
      </c>
      <c r="G2939" s="13" t="s">
        <v>24077</v>
      </c>
      <c r="H2939" t="s">
        <v>24078</v>
      </c>
      <c r="I2939" t="s">
        <v>24145</v>
      </c>
      <c r="K2939" t="s">
        <v>24120</v>
      </c>
      <c r="L2939" t="s">
        <v>24121</v>
      </c>
      <c r="M2939" t="s">
        <v>7250</v>
      </c>
      <c r="N2939">
        <v>2018</v>
      </c>
      <c r="R2939">
        <v>0.6</v>
      </c>
      <c r="S2939" t="s">
        <v>8257</v>
      </c>
      <c r="T2939">
        <v>0.6</v>
      </c>
      <c r="U2939">
        <v>279.23</v>
      </c>
      <c r="V2939">
        <v>62.77</v>
      </c>
      <c r="W2939">
        <v>47.41</v>
      </c>
      <c r="X2939">
        <v>62.77</v>
      </c>
      <c r="AC2939" t="s">
        <v>9852</v>
      </c>
      <c r="AE2939" t="s">
        <v>3038</v>
      </c>
      <c r="AH2939" t="s">
        <v>3038</v>
      </c>
      <c r="AI2939" t="s">
        <v>9852</v>
      </c>
      <c r="AL2939" t="s">
        <v>24083</v>
      </c>
      <c r="AO2939" t="s">
        <v>24146</v>
      </c>
    </row>
    <row r="2940" spans="1:41" hidden="1" x14ac:dyDescent="0.35">
      <c r="A2940" t="s">
        <v>24147</v>
      </c>
      <c r="B2940" t="s">
        <v>7246</v>
      </c>
      <c r="C2940" t="s">
        <v>84</v>
      </c>
      <c r="D2940" t="s">
        <v>84</v>
      </c>
      <c r="E2940" t="s">
        <v>84</v>
      </c>
      <c r="G2940" s="13" t="s">
        <v>24077</v>
      </c>
      <c r="H2940" t="s">
        <v>24078</v>
      </c>
      <c r="I2940" t="s">
        <v>24148</v>
      </c>
      <c r="K2940" t="s">
        <v>24092</v>
      </c>
      <c r="L2940" t="s">
        <v>24093</v>
      </c>
      <c r="M2940" t="s">
        <v>7250</v>
      </c>
      <c r="N2940">
        <v>2017</v>
      </c>
      <c r="R2940">
        <v>0.38</v>
      </c>
      <c r="S2940" t="s">
        <v>8257</v>
      </c>
      <c r="T2940">
        <v>0.38</v>
      </c>
      <c r="U2940">
        <v>176.85</v>
      </c>
      <c r="V2940">
        <v>62.8</v>
      </c>
      <c r="W2940">
        <v>33.57</v>
      </c>
      <c r="X2940">
        <v>62.8</v>
      </c>
      <c r="Y2940" t="s">
        <v>24149</v>
      </c>
      <c r="Z2940" t="s">
        <v>8842</v>
      </c>
      <c r="AC2940" t="s">
        <v>9852</v>
      </c>
      <c r="AE2940" t="s">
        <v>3038</v>
      </c>
      <c r="AH2940" t="s">
        <v>3038</v>
      </c>
      <c r="AI2940" t="s">
        <v>9852</v>
      </c>
      <c r="AL2940" t="s">
        <v>24083</v>
      </c>
      <c r="AO2940" t="s">
        <v>24150</v>
      </c>
    </row>
    <row r="2941" spans="1:41" hidden="1" x14ac:dyDescent="0.35">
      <c r="A2941" t="s">
        <v>24151</v>
      </c>
      <c r="B2941" t="s">
        <v>7246</v>
      </c>
      <c r="C2941" t="s">
        <v>84</v>
      </c>
      <c r="D2941" t="s">
        <v>84</v>
      </c>
      <c r="E2941" t="s">
        <v>84</v>
      </c>
      <c r="G2941" s="13" t="s">
        <v>24077</v>
      </c>
      <c r="H2941" t="s">
        <v>24078</v>
      </c>
      <c r="I2941" t="s">
        <v>24152</v>
      </c>
      <c r="K2941" t="s">
        <v>24092</v>
      </c>
      <c r="L2941" t="s">
        <v>24093</v>
      </c>
      <c r="M2941" t="s">
        <v>7250</v>
      </c>
      <c r="N2941">
        <v>2019</v>
      </c>
      <c r="R2941">
        <v>0.15</v>
      </c>
      <c r="S2941" t="s">
        <v>8257</v>
      </c>
      <c r="T2941">
        <v>0.15</v>
      </c>
      <c r="U2941">
        <v>69.81</v>
      </c>
      <c r="V2941">
        <v>50.25</v>
      </c>
      <c r="W2941">
        <v>52.25</v>
      </c>
      <c r="X2941">
        <v>50.25</v>
      </c>
      <c r="Y2941">
        <v>219</v>
      </c>
      <c r="Z2941" t="s">
        <v>8842</v>
      </c>
      <c r="AC2941" t="s">
        <v>9852</v>
      </c>
      <c r="AE2941" t="s">
        <v>3038</v>
      </c>
      <c r="AH2941" t="s">
        <v>3038</v>
      </c>
      <c r="AI2941" t="s">
        <v>9852</v>
      </c>
      <c r="AL2941" t="s">
        <v>24083</v>
      </c>
      <c r="AO2941" t="s">
        <v>24153</v>
      </c>
    </row>
    <row r="2942" spans="1:41" hidden="1" x14ac:dyDescent="0.35">
      <c r="A2942" t="s">
        <v>24154</v>
      </c>
      <c r="B2942" t="s">
        <v>7246</v>
      </c>
      <c r="C2942" t="s">
        <v>84</v>
      </c>
      <c r="D2942" t="s">
        <v>84</v>
      </c>
      <c r="E2942" t="s">
        <v>84</v>
      </c>
      <c r="G2942" s="13" t="s">
        <v>24077</v>
      </c>
      <c r="H2942" t="s">
        <v>24078</v>
      </c>
      <c r="I2942" t="s">
        <v>24155</v>
      </c>
      <c r="K2942" t="s">
        <v>24092</v>
      </c>
      <c r="L2942" t="s">
        <v>24093</v>
      </c>
      <c r="M2942" t="s">
        <v>7250</v>
      </c>
      <c r="N2942">
        <v>2019</v>
      </c>
      <c r="R2942">
        <v>0.19</v>
      </c>
      <c r="S2942" t="s">
        <v>8257</v>
      </c>
      <c r="T2942">
        <v>0.19</v>
      </c>
      <c r="U2942">
        <v>88.42</v>
      </c>
      <c r="V2942">
        <v>48</v>
      </c>
      <c r="W2942">
        <v>45.42</v>
      </c>
      <c r="X2942">
        <v>48</v>
      </c>
      <c r="Y2942">
        <v>300</v>
      </c>
      <c r="Z2942" t="s">
        <v>8842</v>
      </c>
      <c r="AC2942" t="s">
        <v>9852</v>
      </c>
      <c r="AE2942" t="s">
        <v>3038</v>
      </c>
      <c r="AH2942" t="s">
        <v>3038</v>
      </c>
      <c r="AI2942" t="s">
        <v>9852</v>
      </c>
      <c r="AL2942" t="s">
        <v>24083</v>
      </c>
      <c r="AO2942" t="s">
        <v>24156</v>
      </c>
    </row>
    <row r="2943" spans="1:41" hidden="1" x14ac:dyDescent="0.35">
      <c r="A2943" t="s">
        <v>24157</v>
      </c>
      <c r="B2943" t="s">
        <v>7246</v>
      </c>
      <c r="C2943" t="s">
        <v>84</v>
      </c>
      <c r="D2943" t="s">
        <v>84</v>
      </c>
      <c r="E2943" t="s">
        <v>84</v>
      </c>
      <c r="G2943" s="13" t="s">
        <v>24077</v>
      </c>
      <c r="H2943" t="s">
        <v>24078</v>
      </c>
      <c r="I2943" t="s">
        <v>24158</v>
      </c>
      <c r="K2943" t="s">
        <v>24120</v>
      </c>
      <c r="L2943" t="s">
        <v>24121</v>
      </c>
      <c r="M2943" t="s">
        <v>7415</v>
      </c>
      <c r="R2943">
        <v>0.15</v>
      </c>
      <c r="S2943" t="s">
        <v>8257</v>
      </c>
      <c r="T2943">
        <v>0.15</v>
      </c>
      <c r="U2943">
        <v>69.81</v>
      </c>
      <c r="V2943">
        <v>64</v>
      </c>
      <c r="W2943" t="s">
        <v>6546</v>
      </c>
      <c r="X2943">
        <v>64</v>
      </c>
      <c r="Y2943">
        <v>200</v>
      </c>
      <c r="Z2943" t="s">
        <v>8842</v>
      </c>
      <c r="AB2943" t="s">
        <v>24159</v>
      </c>
      <c r="AC2943" t="s">
        <v>9852</v>
      </c>
      <c r="AD2943" t="s">
        <v>24160</v>
      </c>
      <c r="AE2943" t="s">
        <v>3038</v>
      </c>
      <c r="AF2943" t="s">
        <v>24161</v>
      </c>
      <c r="AG2943" t="s">
        <v>4514</v>
      </c>
      <c r="AH2943" t="s">
        <v>3038</v>
      </c>
      <c r="AI2943" t="s">
        <v>9852</v>
      </c>
      <c r="AL2943" t="s">
        <v>24083</v>
      </c>
      <c r="AO2943" t="s">
        <v>6546</v>
      </c>
    </row>
    <row r="2944" spans="1:41" hidden="1" x14ac:dyDescent="0.35">
      <c r="A2944" t="s">
        <v>24162</v>
      </c>
      <c r="B2944" t="s">
        <v>7246</v>
      </c>
      <c r="C2944" t="s">
        <v>84</v>
      </c>
      <c r="D2944" t="s">
        <v>84</v>
      </c>
      <c r="E2944" t="s">
        <v>84</v>
      </c>
      <c r="G2944" s="13" t="s">
        <v>24077</v>
      </c>
      <c r="H2944" t="s">
        <v>24078</v>
      </c>
      <c r="I2944" t="s">
        <v>24163</v>
      </c>
      <c r="K2944" t="s">
        <v>24120</v>
      </c>
      <c r="L2944" t="s">
        <v>24121</v>
      </c>
      <c r="M2944" t="s">
        <v>7415</v>
      </c>
      <c r="R2944">
        <v>0.45</v>
      </c>
      <c r="S2944" t="s">
        <v>8257</v>
      </c>
      <c r="T2944">
        <v>0.45</v>
      </c>
      <c r="U2944">
        <v>209.42</v>
      </c>
      <c r="V2944">
        <v>140.1</v>
      </c>
      <c r="W2944">
        <v>143.29</v>
      </c>
      <c r="X2944">
        <v>140.1</v>
      </c>
      <c r="AC2944" t="s">
        <v>9852</v>
      </c>
      <c r="AD2944" t="s">
        <v>24160</v>
      </c>
      <c r="AE2944" t="s">
        <v>3038</v>
      </c>
      <c r="AG2944" t="s">
        <v>24164</v>
      </c>
      <c r="AH2944" t="s">
        <v>3038</v>
      </c>
      <c r="AI2944" t="s">
        <v>9852</v>
      </c>
      <c r="AL2944" t="s">
        <v>24083</v>
      </c>
      <c r="AO2944" t="s">
        <v>24165</v>
      </c>
    </row>
    <row r="2945" spans="1:41" hidden="1" x14ac:dyDescent="0.35">
      <c r="A2945" t="s">
        <v>24166</v>
      </c>
      <c r="B2945" t="s">
        <v>7246</v>
      </c>
      <c r="C2945" t="s">
        <v>84</v>
      </c>
      <c r="D2945" t="s">
        <v>84</v>
      </c>
      <c r="E2945" t="s">
        <v>84</v>
      </c>
      <c r="G2945" s="13" t="s">
        <v>24077</v>
      </c>
      <c r="H2945" t="s">
        <v>24078</v>
      </c>
      <c r="I2945" t="s">
        <v>24167</v>
      </c>
      <c r="K2945" t="s">
        <v>24092</v>
      </c>
      <c r="L2945" t="s">
        <v>24093</v>
      </c>
      <c r="M2945" t="s">
        <v>7292</v>
      </c>
      <c r="R2945">
        <v>0.2</v>
      </c>
      <c r="S2945" t="s">
        <v>8257</v>
      </c>
      <c r="T2945">
        <v>0.2</v>
      </c>
      <c r="U2945">
        <v>93.08</v>
      </c>
      <c r="V2945">
        <v>134.69999999999999</v>
      </c>
      <c r="W2945">
        <v>151.09</v>
      </c>
      <c r="X2945">
        <v>134.69999999999999</v>
      </c>
      <c r="Y2945">
        <v>273.10000000000002</v>
      </c>
      <c r="Z2945" t="s">
        <v>8842</v>
      </c>
      <c r="AA2945" t="s">
        <v>23487</v>
      </c>
      <c r="AB2945" t="s">
        <v>24168</v>
      </c>
      <c r="AC2945" t="s">
        <v>9852</v>
      </c>
      <c r="AD2945" t="s">
        <v>23491</v>
      </c>
      <c r="AE2945" t="s">
        <v>3038</v>
      </c>
      <c r="AF2945" t="s">
        <v>24169</v>
      </c>
      <c r="AG2945" t="s">
        <v>23491</v>
      </c>
      <c r="AH2945" t="s">
        <v>3038</v>
      </c>
      <c r="AI2945" t="s">
        <v>9852</v>
      </c>
      <c r="AL2945" t="s">
        <v>24083</v>
      </c>
      <c r="AO2945" t="s">
        <v>24170</v>
      </c>
    </row>
    <row r="2946" spans="1:41" hidden="1" x14ac:dyDescent="0.35">
      <c r="A2946" t="s">
        <v>24171</v>
      </c>
      <c r="B2946" t="s">
        <v>7246</v>
      </c>
      <c r="C2946" t="s">
        <v>84</v>
      </c>
      <c r="D2946" t="s">
        <v>84</v>
      </c>
      <c r="E2946" t="s">
        <v>84</v>
      </c>
      <c r="G2946" s="13" t="s">
        <v>24077</v>
      </c>
      <c r="H2946" t="s">
        <v>24078</v>
      </c>
      <c r="I2946" t="s">
        <v>24172</v>
      </c>
      <c r="K2946" t="s">
        <v>24173</v>
      </c>
      <c r="L2946" t="s">
        <v>24173</v>
      </c>
      <c r="M2946" t="s">
        <v>7250</v>
      </c>
      <c r="N2946">
        <v>2007</v>
      </c>
      <c r="R2946">
        <v>0.5</v>
      </c>
      <c r="S2946" t="s">
        <v>8257</v>
      </c>
      <c r="T2946">
        <v>0.5</v>
      </c>
      <c r="U2946">
        <v>232.69</v>
      </c>
      <c r="V2946">
        <v>138</v>
      </c>
      <c r="W2946">
        <v>110.56</v>
      </c>
      <c r="X2946">
        <v>138</v>
      </c>
      <c r="Y2946">
        <v>457</v>
      </c>
      <c r="Z2946" t="s">
        <v>8842</v>
      </c>
      <c r="AC2946" t="s">
        <v>9852</v>
      </c>
      <c r="AE2946" t="s">
        <v>3038</v>
      </c>
      <c r="AH2946" t="s">
        <v>3038</v>
      </c>
      <c r="AI2946" t="s">
        <v>9852</v>
      </c>
      <c r="AL2946" t="s">
        <v>24083</v>
      </c>
      <c r="AO2946" t="s">
        <v>24174</v>
      </c>
    </row>
    <row r="2947" spans="1:41" hidden="1" x14ac:dyDescent="0.35">
      <c r="A2947" t="s">
        <v>24175</v>
      </c>
      <c r="B2947" t="s">
        <v>7246</v>
      </c>
      <c r="C2947" t="s">
        <v>84</v>
      </c>
      <c r="D2947" t="s">
        <v>84</v>
      </c>
      <c r="E2947" t="s">
        <v>84</v>
      </c>
      <c r="G2947" s="13" t="s">
        <v>24077</v>
      </c>
      <c r="H2947" t="s">
        <v>24078</v>
      </c>
      <c r="I2947" t="s">
        <v>24176</v>
      </c>
      <c r="K2947" t="s">
        <v>24177</v>
      </c>
      <c r="L2947" t="s">
        <v>24178</v>
      </c>
      <c r="M2947" t="s">
        <v>7250</v>
      </c>
      <c r="N2947">
        <v>2006</v>
      </c>
      <c r="R2947">
        <v>0.8</v>
      </c>
      <c r="S2947" t="s">
        <v>8257</v>
      </c>
      <c r="T2947">
        <v>0.8</v>
      </c>
      <c r="U2947">
        <v>372.31</v>
      </c>
      <c r="V2947">
        <v>67</v>
      </c>
      <c r="W2947">
        <v>59.74</v>
      </c>
      <c r="X2947">
        <v>67</v>
      </c>
      <c r="Y2947">
        <v>355.6</v>
      </c>
      <c r="Z2947" t="s">
        <v>8842</v>
      </c>
      <c r="AC2947" t="s">
        <v>9852</v>
      </c>
      <c r="AD2947" t="s">
        <v>4516</v>
      </c>
      <c r="AE2947" t="s">
        <v>3038</v>
      </c>
      <c r="AG2947" t="s">
        <v>24179</v>
      </c>
      <c r="AH2947" t="s">
        <v>3038</v>
      </c>
      <c r="AI2947" t="s">
        <v>9852</v>
      </c>
      <c r="AL2947" t="s">
        <v>24083</v>
      </c>
      <c r="AO2947" t="s">
        <v>24180</v>
      </c>
    </row>
    <row r="2948" spans="1:41" hidden="1" x14ac:dyDescent="0.35">
      <c r="A2948" t="s">
        <v>24181</v>
      </c>
      <c r="B2948" t="s">
        <v>7246</v>
      </c>
      <c r="C2948" t="s">
        <v>84</v>
      </c>
      <c r="D2948" t="s">
        <v>84</v>
      </c>
      <c r="E2948" t="s">
        <v>84</v>
      </c>
      <c r="G2948" s="13" t="s">
        <v>24077</v>
      </c>
      <c r="H2948" t="s">
        <v>24078</v>
      </c>
      <c r="I2948" t="s">
        <v>24182</v>
      </c>
      <c r="K2948" t="s">
        <v>24183</v>
      </c>
      <c r="L2948" t="s">
        <v>24184</v>
      </c>
      <c r="M2948" t="s">
        <v>7250</v>
      </c>
      <c r="N2948">
        <v>2012</v>
      </c>
      <c r="R2948">
        <v>0.48</v>
      </c>
      <c r="S2948" t="s">
        <v>8257</v>
      </c>
      <c r="T2948">
        <v>0.48</v>
      </c>
      <c r="U2948">
        <v>223.38</v>
      </c>
      <c r="V2948">
        <v>213</v>
      </c>
      <c r="W2948">
        <v>184.23</v>
      </c>
      <c r="X2948">
        <v>213</v>
      </c>
      <c r="Y2948">
        <v>508</v>
      </c>
      <c r="Z2948" t="s">
        <v>8842</v>
      </c>
      <c r="AC2948" t="s">
        <v>9852</v>
      </c>
      <c r="AE2948" t="s">
        <v>3038</v>
      </c>
      <c r="AH2948" t="s">
        <v>3038</v>
      </c>
      <c r="AI2948" t="s">
        <v>9852</v>
      </c>
      <c r="AL2948" t="s">
        <v>24083</v>
      </c>
      <c r="AO2948" t="s">
        <v>24185</v>
      </c>
    </row>
    <row r="2949" spans="1:41" hidden="1" x14ac:dyDescent="0.35">
      <c r="A2949" t="s">
        <v>24186</v>
      </c>
      <c r="B2949" t="s">
        <v>7246</v>
      </c>
      <c r="C2949" t="s">
        <v>84</v>
      </c>
      <c r="D2949" t="s">
        <v>84</v>
      </c>
      <c r="E2949" t="s">
        <v>84</v>
      </c>
      <c r="G2949" s="13" t="s">
        <v>24077</v>
      </c>
      <c r="H2949" t="s">
        <v>24078</v>
      </c>
      <c r="I2949" t="s">
        <v>24187</v>
      </c>
      <c r="K2949" t="s">
        <v>24120</v>
      </c>
      <c r="L2949" t="s">
        <v>24121</v>
      </c>
      <c r="M2949" t="s">
        <v>7292</v>
      </c>
      <c r="R2949">
        <v>0.1</v>
      </c>
      <c r="S2949" t="s">
        <v>8257</v>
      </c>
      <c r="T2949">
        <v>0.1</v>
      </c>
      <c r="U2949">
        <v>46.54</v>
      </c>
      <c r="V2949">
        <v>163</v>
      </c>
      <c r="W2949">
        <v>116.19</v>
      </c>
      <c r="X2949">
        <v>163</v>
      </c>
      <c r="AC2949" t="s">
        <v>9852</v>
      </c>
      <c r="AE2949" t="s">
        <v>3038</v>
      </c>
      <c r="AH2949" t="s">
        <v>3038</v>
      </c>
      <c r="AI2949" t="s">
        <v>9852</v>
      </c>
      <c r="AL2949" t="s">
        <v>24083</v>
      </c>
      <c r="AO2949" t="s">
        <v>24188</v>
      </c>
    </row>
    <row r="2950" spans="1:41" hidden="1" x14ac:dyDescent="0.35">
      <c r="A2950" t="s">
        <v>24189</v>
      </c>
      <c r="B2950" t="s">
        <v>7246</v>
      </c>
      <c r="C2950" t="s">
        <v>84</v>
      </c>
      <c r="D2950" t="s">
        <v>84</v>
      </c>
      <c r="E2950" t="s">
        <v>84</v>
      </c>
      <c r="G2950" s="13" t="s">
        <v>24077</v>
      </c>
      <c r="H2950" t="s">
        <v>24078</v>
      </c>
      <c r="I2950" t="s">
        <v>24190</v>
      </c>
      <c r="K2950" t="s">
        <v>24120</v>
      </c>
      <c r="L2950" t="s">
        <v>24121</v>
      </c>
      <c r="M2950" t="s">
        <v>7415</v>
      </c>
      <c r="N2950">
        <v>2022</v>
      </c>
      <c r="R2950">
        <v>0.37</v>
      </c>
      <c r="S2950" t="s">
        <v>8257</v>
      </c>
      <c r="T2950">
        <v>0.37</v>
      </c>
      <c r="U2950">
        <v>172.19</v>
      </c>
      <c r="V2950">
        <v>120</v>
      </c>
      <c r="W2950">
        <v>101.35</v>
      </c>
      <c r="X2950">
        <v>120</v>
      </c>
      <c r="Y2950">
        <v>400</v>
      </c>
      <c r="Z2950" t="s">
        <v>8842</v>
      </c>
      <c r="AC2950" t="s">
        <v>9852</v>
      </c>
      <c r="AE2950" t="s">
        <v>3038</v>
      </c>
      <c r="AH2950" t="s">
        <v>3038</v>
      </c>
      <c r="AI2950" t="s">
        <v>9852</v>
      </c>
      <c r="AL2950" t="s">
        <v>24083</v>
      </c>
      <c r="AO2950" t="s">
        <v>24191</v>
      </c>
    </row>
    <row r="2951" spans="1:41" hidden="1" x14ac:dyDescent="0.35">
      <c r="A2951" t="s">
        <v>24192</v>
      </c>
      <c r="B2951" t="s">
        <v>7246</v>
      </c>
      <c r="C2951" t="s">
        <v>84</v>
      </c>
      <c r="D2951" t="s">
        <v>84</v>
      </c>
      <c r="E2951" t="s">
        <v>84</v>
      </c>
      <c r="G2951" s="13" t="s">
        <v>24077</v>
      </c>
      <c r="H2951" t="s">
        <v>24078</v>
      </c>
      <c r="I2951" t="s">
        <v>24193</v>
      </c>
      <c r="K2951" t="s">
        <v>24120</v>
      </c>
      <c r="L2951" t="s">
        <v>24121</v>
      </c>
      <c r="M2951" t="s">
        <v>7292</v>
      </c>
      <c r="R2951">
        <v>0.45</v>
      </c>
      <c r="S2951" t="s">
        <v>8257</v>
      </c>
      <c r="T2951">
        <v>0.45</v>
      </c>
      <c r="U2951">
        <v>209.42</v>
      </c>
      <c r="V2951">
        <v>98</v>
      </c>
      <c r="W2951">
        <v>101.35</v>
      </c>
      <c r="X2951">
        <v>98</v>
      </c>
      <c r="AC2951" t="s">
        <v>9852</v>
      </c>
      <c r="AE2951" t="s">
        <v>3038</v>
      </c>
      <c r="AH2951" t="s">
        <v>3038</v>
      </c>
      <c r="AI2951" t="s">
        <v>9852</v>
      </c>
      <c r="AL2951" t="s">
        <v>24083</v>
      </c>
      <c r="AO2951" t="s">
        <v>24191</v>
      </c>
    </row>
    <row r="2952" spans="1:41" hidden="1" x14ac:dyDescent="0.35">
      <c r="A2952" t="s">
        <v>24194</v>
      </c>
      <c r="B2952" t="s">
        <v>7246</v>
      </c>
      <c r="C2952" t="s">
        <v>84</v>
      </c>
      <c r="D2952" t="s">
        <v>84</v>
      </c>
      <c r="E2952" t="s">
        <v>84</v>
      </c>
      <c r="G2952" s="13" t="s">
        <v>24077</v>
      </c>
      <c r="H2952" t="s">
        <v>24078</v>
      </c>
      <c r="I2952" t="s">
        <v>24195</v>
      </c>
      <c r="K2952" t="s">
        <v>24092</v>
      </c>
      <c r="L2952" t="s">
        <v>24093</v>
      </c>
      <c r="M2952" t="s">
        <v>7250</v>
      </c>
      <c r="N2952">
        <v>2021</v>
      </c>
      <c r="R2952">
        <v>0.35</v>
      </c>
      <c r="S2952" t="s">
        <v>8257</v>
      </c>
      <c r="T2952">
        <v>0.35</v>
      </c>
      <c r="U2952">
        <v>162.88</v>
      </c>
      <c r="V2952">
        <v>36.299999999999997</v>
      </c>
      <c r="W2952" t="s">
        <v>6546</v>
      </c>
      <c r="X2952">
        <v>36.299999999999997</v>
      </c>
      <c r="AA2952" t="s">
        <v>24196</v>
      </c>
      <c r="AB2952" t="s">
        <v>24197</v>
      </c>
      <c r="AC2952" t="s">
        <v>9852</v>
      </c>
      <c r="AD2952" t="s">
        <v>3039</v>
      </c>
      <c r="AE2952" t="s">
        <v>3038</v>
      </c>
      <c r="AG2952" t="s">
        <v>24198</v>
      </c>
      <c r="AH2952" t="s">
        <v>3038</v>
      </c>
      <c r="AI2952" t="s">
        <v>9852</v>
      </c>
      <c r="AL2952" t="s">
        <v>24083</v>
      </c>
      <c r="AO2952" t="s">
        <v>6546</v>
      </c>
    </row>
    <row r="2953" spans="1:41" hidden="1" x14ac:dyDescent="0.35">
      <c r="A2953" t="s">
        <v>24199</v>
      </c>
      <c r="B2953" t="s">
        <v>7246</v>
      </c>
      <c r="C2953" t="s">
        <v>84</v>
      </c>
      <c r="D2953" t="s">
        <v>84</v>
      </c>
      <c r="E2953" t="s">
        <v>84</v>
      </c>
      <c r="G2953" s="13" t="s">
        <v>24077</v>
      </c>
      <c r="H2953" t="s">
        <v>24078</v>
      </c>
      <c r="I2953" t="s">
        <v>24200</v>
      </c>
      <c r="K2953" t="s">
        <v>24120</v>
      </c>
      <c r="L2953" t="s">
        <v>24121</v>
      </c>
      <c r="M2953" t="s">
        <v>7292</v>
      </c>
      <c r="T2953" t="s">
        <v>6546</v>
      </c>
      <c r="U2953" t="s">
        <v>6546</v>
      </c>
      <c r="V2953">
        <v>168</v>
      </c>
      <c r="W2953" t="s">
        <v>6546</v>
      </c>
      <c r="X2953">
        <v>168</v>
      </c>
      <c r="AC2953" t="s">
        <v>9852</v>
      </c>
      <c r="AE2953" t="s">
        <v>3038</v>
      </c>
      <c r="AH2953" t="s">
        <v>3038</v>
      </c>
      <c r="AI2953" t="s">
        <v>9852</v>
      </c>
      <c r="AL2953" t="s">
        <v>24083</v>
      </c>
      <c r="AO2953" t="s">
        <v>6546</v>
      </c>
    </row>
    <row r="2954" spans="1:41" hidden="1" x14ac:dyDescent="0.35">
      <c r="A2954" t="s">
        <v>24201</v>
      </c>
      <c r="B2954" t="s">
        <v>7246</v>
      </c>
      <c r="C2954" t="s">
        <v>84</v>
      </c>
      <c r="D2954" t="s">
        <v>84</v>
      </c>
      <c r="E2954" t="s">
        <v>84</v>
      </c>
      <c r="G2954" s="13" t="s">
        <v>24202</v>
      </c>
      <c r="H2954" t="s">
        <v>24078</v>
      </c>
      <c r="I2954" t="s">
        <v>24203</v>
      </c>
      <c r="K2954" t="s">
        <v>24120</v>
      </c>
      <c r="L2954" t="s">
        <v>24121</v>
      </c>
      <c r="M2954" t="s">
        <v>7250</v>
      </c>
      <c r="N2954">
        <v>2018</v>
      </c>
      <c r="R2954">
        <v>0.6</v>
      </c>
      <c r="S2954" t="s">
        <v>8257</v>
      </c>
      <c r="T2954">
        <v>0.6</v>
      </c>
      <c r="U2954">
        <v>279.23</v>
      </c>
      <c r="V2954">
        <v>62.77</v>
      </c>
      <c r="W2954">
        <v>68.95</v>
      </c>
      <c r="X2954">
        <v>62.77</v>
      </c>
      <c r="AA2954" t="s">
        <v>22774</v>
      </c>
      <c r="AB2954" t="s">
        <v>24044</v>
      </c>
      <c r="AC2954" t="s">
        <v>9852</v>
      </c>
      <c r="AD2954" t="s">
        <v>4490</v>
      </c>
      <c r="AE2954" t="s">
        <v>3033</v>
      </c>
      <c r="AG2954" t="s">
        <v>24082</v>
      </c>
      <c r="AH2954" t="s">
        <v>3038</v>
      </c>
      <c r="AI2954" t="s">
        <v>9852</v>
      </c>
      <c r="AL2954" t="s">
        <v>24083</v>
      </c>
      <c r="AO2954" t="s">
        <v>24204</v>
      </c>
    </row>
    <row r="2955" spans="1:41" hidden="1" x14ac:dyDescent="0.35">
      <c r="A2955" t="s">
        <v>24205</v>
      </c>
      <c r="B2955" t="s">
        <v>7246</v>
      </c>
      <c r="C2955" t="s">
        <v>84</v>
      </c>
      <c r="D2955" t="s">
        <v>84</v>
      </c>
      <c r="E2955" t="s">
        <v>84</v>
      </c>
      <c r="G2955" s="13" t="s">
        <v>24206</v>
      </c>
      <c r="H2955" t="s">
        <v>24207</v>
      </c>
      <c r="I2955" t="s">
        <v>24208</v>
      </c>
      <c r="K2955" t="s">
        <v>24209</v>
      </c>
      <c r="L2955" t="s">
        <v>24210</v>
      </c>
      <c r="M2955" t="s">
        <v>7292</v>
      </c>
      <c r="T2955" t="s">
        <v>6546</v>
      </c>
      <c r="U2955" t="s">
        <v>6546</v>
      </c>
      <c r="V2955">
        <v>604</v>
      </c>
      <c r="W2955">
        <v>386.89</v>
      </c>
      <c r="X2955">
        <v>604</v>
      </c>
      <c r="Y2955">
        <v>711</v>
      </c>
      <c r="Z2955" t="s">
        <v>8842</v>
      </c>
      <c r="AB2955" t="s">
        <v>24211</v>
      </c>
      <c r="AC2955" t="s">
        <v>9852</v>
      </c>
      <c r="AD2955" t="s">
        <v>24212</v>
      </c>
      <c r="AE2955" t="s">
        <v>3013</v>
      </c>
      <c r="AG2955" t="s">
        <v>3014</v>
      </c>
      <c r="AH2955" t="s">
        <v>3013</v>
      </c>
      <c r="AI2955" t="s">
        <v>9852</v>
      </c>
      <c r="AL2955" t="s">
        <v>24213</v>
      </c>
      <c r="AO2955" t="s">
        <v>24214</v>
      </c>
    </row>
    <row r="2956" spans="1:41" hidden="1" x14ac:dyDescent="0.35">
      <c r="A2956" t="s">
        <v>24215</v>
      </c>
      <c r="B2956" t="s">
        <v>7246</v>
      </c>
      <c r="C2956" t="s">
        <v>84</v>
      </c>
      <c r="D2956" t="s">
        <v>84</v>
      </c>
      <c r="E2956" t="s">
        <v>84</v>
      </c>
      <c r="G2956" s="13" t="s">
        <v>24216</v>
      </c>
      <c r="H2956" t="s">
        <v>24207</v>
      </c>
      <c r="I2956" t="s">
        <v>24217</v>
      </c>
      <c r="K2956" t="s">
        <v>23469</v>
      </c>
      <c r="L2956" t="s">
        <v>22257</v>
      </c>
      <c r="M2956" t="s">
        <v>7250</v>
      </c>
      <c r="N2956">
        <v>2017</v>
      </c>
      <c r="R2956">
        <v>0.77</v>
      </c>
      <c r="S2956" t="s">
        <v>8257</v>
      </c>
      <c r="T2956">
        <v>0.77</v>
      </c>
      <c r="U2956">
        <v>358.35</v>
      </c>
      <c r="V2956">
        <v>146.5</v>
      </c>
      <c r="W2956">
        <v>105.16</v>
      </c>
      <c r="X2956">
        <v>146.5</v>
      </c>
      <c r="Y2956" t="s">
        <v>24218</v>
      </c>
      <c r="Z2956" t="s">
        <v>8842</v>
      </c>
      <c r="AB2956" t="s">
        <v>24219</v>
      </c>
      <c r="AC2956" t="s">
        <v>9852</v>
      </c>
      <c r="AD2956" t="s">
        <v>24220</v>
      </c>
      <c r="AE2956" t="s">
        <v>3013</v>
      </c>
      <c r="AF2956" t="s">
        <v>24221</v>
      </c>
      <c r="AG2956" t="s">
        <v>3014</v>
      </c>
      <c r="AH2956" t="s">
        <v>3013</v>
      </c>
      <c r="AI2956" t="s">
        <v>9852</v>
      </c>
      <c r="AL2956" t="s">
        <v>24213</v>
      </c>
      <c r="AO2956" t="s">
        <v>24222</v>
      </c>
    </row>
    <row r="2957" spans="1:41" hidden="1" x14ac:dyDescent="0.35">
      <c r="A2957" t="s">
        <v>24223</v>
      </c>
      <c r="B2957" t="s">
        <v>7246</v>
      </c>
      <c r="C2957" t="s">
        <v>84</v>
      </c>
      <c r="D2957" t="s">
        <v>84</v>
      </c>
      <c r="E2957" t="s">
        <v>84</v>
      </c>
      <c r="G2957" s="13" t="s">
        <v>24224</v>
      </c>
      <c r="H2957" t="s">
        <v>24207</v>
      </c>
      <c r="I2957" t="s">
        <v>24225</v>
      </c>
      <c r="K2957" t="s">
        <v>22428</v>
      </c>
      <c r="L2957" t="s">
        <v>22428</v>
      </c>
      <c r="M2957" t="s">
        <v>7250</v>
      </c>
      <c r="N2957">
        <v>2016</v>
      </c>
      <c r="R2957">
        <v>1.08</v>
      </c>
      <c r="S2957" t="s">
        <v>8257</v>
      </c>
      <c r="T2957">
        <v>1.08</v>
      </c>
      <c r="U2957">
        <v>502.61</v>
      </c>
      <c r="V2957">
        <v>291</v>
      </c>
      <c r="W2957">
        <v>284.75</v>
      </c>
      <c r="X2957">
        <v>291</v>
      </c>
      <c r="Y2957">
        <v>426</v>
      </c>
      <c r="Z2957" t="s">
        <v>8842</v>
      </c>
      <c r="AA2957" t="s">
        <v>22492</v>
      </c>
      <c r="AB2957" t="s">
        <v>24226</v>
      </c>
      <c r="AC2957" t="s">
        <v>9852</v>
      </c>
      <c r="AD2957" t="s">
        <v>24227</v>
      </c>
      <c r="AE2957" t="s">
        <v>4675</v>
      </c>
      <c r="AF2957" t="s">
        <v>22235</v>
      </c>
      <c r="AG2957" t="s">
        <v>22235</v>
      </c>
      <c r="AH2957" t="s">
        <v>4666</v>
      </c>
      <c r="AI2957" t="s">
        <v>9852</v>
      </c>
      <c r="AL2957" t="s">
        <v>24213</v>
      </c>
      <c r="AO2957" t="s">
        <v>24228</v>
      </c>
    </row>
    <row r="2958" spans="1:41" hidden="1" x14ac:dyDescent="0.35">
      <c r="A2958" t="s">
        <v>24229</v>
      </c>
      <c r="B2958" t="s">
        <v>7246</v>
      </c>
      <c r="C2958" t="s">
        <v>84</v>
      </c>
      <c r="D2958" t="s">
        <v>84</v>
      </c>
      <c r="E2958" t="s">
        <v>84</v>
      </c>
      <c r="G2958" s="13" t="s">
        <v>24230</v>
      </c>
      <c r="H2958" t="s">
        <v>24207</v>
      </c>
      <c r="I2958" t="s">
        <v>24231</v>
      </c>
      <c r="K2958" t="s">
        <v>24232</v>
      </c>
      <c r="L2958" t="s">
        <v>24233</v>
      </c>
      <c r="M2958" t="s">
        <v>7415</v>
      </c>
      <c r="R2958">
        <v>5.08</v>
      </c>
      <c r="S2958" t="s">
        <v>8257</v>
      </c>
      <c r="T2958">
        <v>5.08</v>
      </c>
      <c r="U2958">
        <v>2364.15</v>
      </c>
      <c r="V2958">
        <v>188</v>
      </c>
      <c r="W2958">
        <v>232.79</v>
      </c>
      <c r="X2958">
        <v>188</v>
      </c>
      <c r="Y2958">
        <v>924</v>
      </c>
      <c r="Z2958" t="s">
        <v>8842</v>
      </c>
      <c r="AA2958" t="s">
        <v>24234</v>
      </c>
      <c r="AC2958" t="s">
        <v>9852</v>
      </c>
      <c r="AD2958" t="s">
        <v>6740</v>
      </c>
      <c r="AE2958" t="s">
        <v>3016</v>
      </c>
      <c r="AH2958" t="s">
        <v>3016</v>
      </c>
      <c r="AI2958" t="s">
        <v>9852</v>
      </c>
      <c r="AL2958" t="s">
        <v>24213</v>
      </c>
      <c r="AO2958" t="s">
        <v>24235</v>
      </c>
    </row>
    <row r="2959" spans="1:41" hidden="1" x14ac:dyDescent="0.35">
      <c r="A2959" t="s">
        <v>24236</v>
      </c>
      <c r="B2959" t="s">
        <v>7246</v>
      </c>
      <c r="C2959" t="s">
        <v>84</v>
      </c>
      <c r="D2959" t="s">
        <v>84</v>
      </c>
      <c r="E2959" t="s">
        <v>84</v>
      </c>
      <c r="G2959" s="13" t="s">
        <v>24237</v>
      </c>
      <c r="H2959" t="s">
        <v>24207</v>
      </c>
      <c r="I2959" t="s">
        <v>24238</v>
      </c>
      <c r="K2959" t="s">
        <v>24232</v>
      </c>
      <c r="L2959" t="s">
        <v>24233</v>
      </c>
      <c r="M2959" t="s">
        <v>7250</v>
      </c>
      <c r="N2959">
        <v>2017</v>
      </c>
      <c r="R2959">
        <v>0.02</v>
      </c>
      <c r="S2959" t="s">
        <v>8257</v>
      </c>
      <c r="T2959">
        <v>0.02</v>
      </c>
      <c r="U2959">
        <v>9.31</v>
      </c>
      <c r="V2959">
        <v>149</v>
      </c>
      <c r="W2959">
        <v>146.77000000000001</v>
      </c>
      <c r="X2959">
        <v>149</v>
      </c>
      <c r="Y2959" t="s">
        <v>24239</v>
      </c>
      <c r="Z2959" t="s">
        <v>8842</v>
      </c>
      <c r="AB2959" t="s">
        <v>24240</v>
      </c>
      <c r="AC2959" t="s">
        <v>9852</v>
      </c>
      <c r="AE2959" t="s">
        <v>3013</v>
      </c>
      <c r="AF2959" t="s">
        <v>24241</v>
      </c>
      <c r="AH2959" t="s">
        <v>3013</v>
      </c>
      <c r="AI2959" t="s">
        <v>9852</v>
      </c>
      <c r="AL2959" t="s">
        <v>24213</v>
      </c>
      <c r="AO2959" t="s">
        <v>24242</v>
      </c>
    </row>
    <row r="2960" spans="1:41" hidden="1" x14ac:dyDescent="0.35">
      <c r="A2960" t="s">
        <v>24243</v>
      </c>
      <c r="B2960" t="s">
        <v>7246</v>
      </c>
      <c r="C2960" t="s">
        <v>84</v>
      </c>
      <c r="D2960" t="s">
        <v>84</v>
      </c>
      <c r="E2960" t="s">
        <v>84</v>
      </c>
      <c r="G2960" s="13" t="s">
        <v>24244</v>
      </c>
      <c r="H2960" t="s">
        <v>24245</v>
      </c>
      <c r="K2960" t="s">
        <v>24246</v>
      </c>
      <c r="L2960" t="s">
        <v>24247</v>
      </c>
      <c r="M2960" t="s">
        <v>7250</v>
      </c>
      <c r="N2960">
        <v>2009</v>
      </c>
      <c r="R2960">
        <v>7.28</v>
      </c>
      <c r="S2960" t="s">
        <v>8257</v>
      </c>
      <c r="T2960">
        <v>7.28</v>
      </c>
      <c r="U2960">
        <v>3387.99</v>
      </c>
      <c r="V2960">
        <v>361.3</v>
      </c>
      <c r="W2960">
        <v>247.64</v>
      </c>
      <c r="X2960">
        <v>361.3</v>
      </c>
      <c r="AA2960" t="s">
        <v>24248</v>
      </c>
      <c r="AB2960" t="s">
        <v>6629</v>
      </c>
      <c r="AC2960" t="s">
        <v>9852</v>
      </c>
      <c r="AD2960" t="s">
        <v>6656</v>
      </c>
      <c r="AE2960" t="s">
        <v>4189</v>
      </c>
      <c r="AF2960" t="s">
        <v>24249</v>
      </c>
      <c r="AG2960" t="s">
        <v>24250</v>
      </c>
      <c r="AH2960" t="s">
        <v>4189</v>
      </c>
      <c r="AI2960" t="s">
        <v>9852</v>
      </c>
      <c r="AL2960" t="s">
        <v>24251</v>
      </c>
      <c r="AO2960" t="s">
        <v>24252</v>
      </c>
    </row>
    <row r="2961" spans="1:41" hidden="1" x14ac:dyDescent="0.35">
      <c r="A2961" t="s">
        <v>24253</v>
      </c>
      <c r="B2961" t="s">
        <v>7246</v>
      </c>
      <c r="C2961" t="s">
        <v>84</v>
      </c>
      <c r="D2961" t="s">
        <v>84</v>
      </c>
      <c r="E2961" t="s">
        <v>84</v>
      </c>
      <c r="G2961" s="13" t="s">
        <v>24254</v>
      </c>
      <c r="H2961" t="s">
        <v>24255</v>
      </c>
      <c r="I2961" t="s">
        <v>24256</v>
      </c>
      <c r="K2961" t="s">
        <v>24246</v>
      </c>
      <c r="L2961" t="s">
        <v>24247</v>
      </c>
      <c r="M2961" t="s">
        <v>7250</v>
      </c>
      <c r="N2961">
        <v>2020</v>
      </c>
      <c r="T2961" t="s">
        <v>6546</v>
      </c>
      <c r="U2961" t="s">
        <v>6546</v>
      </c>
      <c r="V2961">
        <v>256.8</v>
      </c>
      <c r="W2961">
        <v>236.07</v>
      </c>
      <c r="X2961">
        <v>256.8</v>
      </c>
      <c r="Y2961">
        <v>813</v>
      </c>
      <c r="Z2961" t="s">
        <v>8842</v>
      </c>
      <c r="AA2961" t="s">
        <v>24257</v>
      </c>
      <c r="AB2961" t="s">
        <v>24258</v>
      </c>
      <c r="AC2961" t="s">
        <v>9852</v>
      </c>
      <c r="AD2961" t="s">
        <v>4188</v>
      </c>
      <c r="AE2961" t="s">
        <v>4189</v>
      </c>
      <c r="AF2961" t="s">
        <v>23098</v>
      </c>
      <c r="AG2961" t="s">
        <v>4206</v>
      </c>
      <c r="AH2961" t="s">
        <v>4189</v>
      </c>
      <c r="AI2961" t="s">
        <v>9852</v>
      </c>
      <c r="AL2961" t="s">
        <v>24259</v>
      </c>
      <c r="AO2961" t="s">
        <v>24260</v>
      </c>
    </row>
    <row r="2962" spans="1:41" hidden="1" x14ac:dyDescent="0.35">
      <c r="A2962" t="s">
        <v>24261</v>
      </c>
      <c r="B2962" t="s">
        <v>7246</v>
      </c>
      <c r="C2962" t="s">
        <v>84</v>
      </c>
      <c r="D2962" t="s">
        <v>84</v>
      </c>
      <c r="E2962" t="s">
        <v>84</v>
      </c>
      <c r="G2962" s="13" t="s">
        <v>24254</v>
      </c>
      <c r="H2962" t="s">
        <v>24255</v>
      </c>
      <c r="I2962" t="s">
        <v>24262</v>
      </c>
      <c r="K2962" t="s">
        <v>24246</v>
      </c>
      <c r="L2962" t="s">
        <v>24247</v>
      </c>
      <c r="M2962" t="s">
        <v>7415</v>
      </c>
      <c r="N2962">
        <v>2022</v>
      </c>
      <c r="R2962">
        <v>1.6</v>
      </c>
      <c r="S2962" t="s">
        <v>8257</v>
      </c>
      <c r="T2962">
        <v>1.6</v>
      </c>
      <c r="U2962">
        <v>744.61</v>
      </c>
      <c r="V2962">
        <v>286.60000000000002</v>
      </c>
      <c r="W2962">
        <v>241.59</v>
      </c>
      <c r="X2962">
        <v>286.60000000000002</v>
      </c>
      <c r="Y2962">
        <v>813</v>
      </c>
      <c r="Z2962" t="s">
        <v>8842</v>
      </c>
      <c r="AA2962" t="s">
        <v>24257</v>
      </c>
      <c r="AB2962" t="s">
        <v>24263</v>
      </c>
      <c r="AC2962" t="s">
        <v>9852</v>
      </c>
      <c r="AD2962" t="s">
        <v>4188</v>
      </c>
      <c r="AE2962" t="s">
        <v>4189</v>
      </c>
      <c r="AF2962" t="s">
        <v>24264</v>
      </c>
      <c r="AG2962" t="s">
        <v>4217</v>
      </c>
      <c r="AH2962" t="s">
        <v>4189</v>
      </c>
      <c r="AI2962" t="s">
        <v>9852</v>
      </c>
      <c r="AL2962" t="s">
        <v>24259</v>
      </c>
      <c r="AO2962" t="s">
        <v>24265</v>
      </c>
    </row>
    <row r="2963" spans="1:41" hidden="1" x14ac:dyDescent="0.35">
      <c r="A2963" t="s">
        <v>24266</v>
      </c>
      <c r="B2963" t="s">
        <v>7246</v>
      </c>
      <c r="C2963" t="s">
        <v>84</v>
      </c>
      <c r="D2963" t="s">
        <v>84</v>
      </c>
      <c r="E2963" t="s">
        <v>84</v>
      </c>
      <c r="G2963" s="13" t="s">
        <v>24254</v>
      </c>
      <c r="H2963" t="s">
        <v>24255</v>
      </c>
      <c r="I2963" t="s">
        <v>24267</v>
      </c>
      <c r="K2963" t="s">
        <v>24246</v>
      </c>
      <c r="L2963" t="s">
        <v>24247</v>
      </c>
      <c r="M2963" t="s">
        <v>7415</v>
      </c>
      <c r="N2963">
        <v>2022</v>
      </c>
      <c r="R2963">
        <v>1.07</v>
      </c>
      <c r="S2963" t="s">
        <v>8257</v>
      </c>
      <c r="T2963">
        <v>1.07</v>
      </c>
      <c r="U2963">
        <v>497.96</v>
      </c>
      <c r="V2963">
        <v>124</v>
      </c>
      <c r="W2963">
        <v>122.68</v>
      </c>
      <c r="X2963">
        <v>124</v>
      </c>
      <c r="Y2963">
        <v>813</v>
      </c>
      <c r="Z2963" t="s">
        <v>8842</v>
      </c>
      <c r="AA2963" t="s">
        <v>24257</v>
      </c>
      <c r="AC2963" t="s">
        <v>9852</v>
      </c>
      <c r="AD2963" t="s">
        <v>24268</v>
      </c>
      <c r="AE2963" t="s">
        <v>4189</v>
      </c>
      <c r="AF2963" t="s">
        <v>24269</v>
      </c>
      <c r="AG2963" t="s">
        <v>4214</v>
      </c>
      <c r="AH2963" t="s">
        <v>4189</v>
      </c>
      <c r="AI2963" t="s">
        <v>9852</v>
      </c>
      <c r="AL2963" t="s">
        <v>24259</v>
      </c>
      <c r="AO2963" t="s">
        <v>24270</v>
      </c>
    </row>
    <row r="2964" spans="1:41" hidden="1" x14ac:dyDescent="0.35">
      <c r="A2964" t="s">
        <v>24271</v>
      </c>
      <c r="B2964" t="s">
        <v>7246</v>
      </c>
      <c r="C2964" t="s">
        <v>84</v>
      </c>
      <c r="D2964" t="s">
        <v>84</v>
      </c>
      <c r="E2964" t="s">
        <v>84</v>
      </c>
      <c r="G2964" s="13" t="s">
        <v>24254</v>
      </c>
      <c r="H2964" t="s">
        <v>24255</v>
      </c>
      <c r="I2964" t="s">
        <v>24272</v>
      </c>
      <c r="K2964" t="s">
        <v>24246</v>
      </c>
      <c r="L2964" t="s">
        <v>24247</v>
      </c>
      <c r="M2964" t="s">
        <v>7250</v>
      </c>
      <c r="N2964">
        <v>2019</v>
      </c>
      <c r="T2964" t="s">
        <v>6546</v>
      </c>
      <c r="U2964" t="s">
        <v>6546</v>
      </c>
      <c r="V2964">
        <v>100</v>
      </c>
      <c r="W2964">
        <v>105.35</v>
      </c>
      <c r="X2964">
        <v>100</v>
      </c>
      <c r="Y2964">
        <v>813</v>
      </c>
      <c r="Z2964" t="s">
        <v>8842</v>
      </c>
      <c r="AA2964" t="s">
        <v>24273</v>
      </c>
      <c r="AC2964" t="s">
        <v>9852</v>
      </c>
      <c r="AE2964" t="s">
        <v>4189</v>
      </c>
      <c r="AH2964" t="s">
        <v>4189</v>
      </c>
      <c r="AI2964" t="s">
        <v>9852</v>
      </c>
      <c r="AL2964" t="s">
        <v>24259</v>
      </c>
      <c r="AO2964" t="s">
        <v>24274</v>
      </c>
    </row>
    <row r="2965" spans="1:41" hidden="1" x14ac:dyDescent="0.35">
      <c r="A2965" t="s">
        <v>24275</v>
      </c>
      <c r="B2965" t="s">
        <v>7246</v>
      </c>
      <c r="C2965" t="s">
        <v>84</v>
      </c>
      <c r="D2965" t="s">
        <v>84</v>
      </c>
      <c r="E2965" t="s">
        <v>84</v>
      </c>
      <c r="G2965" s="13" t="s">
        <v>24254</v>
      </c>
      <c r="H2965" t="s">
        <v>24255</v>
      </c>
      <c r="I2965" t="s">
        <v>24276</v>
      </c>
      <c r="K2965" t="s">
        <v>24246</v>
      </c>
      <c r="L2965" t="s">
        <v>24247</v>
      </c>
      <c r="M2965" t="s">
        <v>7250</v>
      </c>
      <c r="N2965">
        <v>2020</v>
      </c>
      <c r="T2965" t="s">
        <v>6546</v>
      </c>
      <c r="U2965" t="s">
        <v>6546</v>
      </c>
      <c r="V2965">
        <v>182</v>
      </c>
      <c r="W2965">
        <v>131.37</v>
      </c>
      <c r="X2965">
        <v>182</v>
      </c>
      <c r="Y2965">
        <v>813</v>
      </c>
      <c r="Z2965" t="s">
        <v>8842</v>
      </c>
      <c r="AA2965" t="s">
        <v>24273</v>
      </c>
      <c r="AC2965" t="s">
        <v>9852</v>
      </c>
      <c r="AD2965" t="s">
        <v>4220</v>
      </c>
      <c r="AE2965" t="s">
        <v>4189</v>
      </c>
      <c r="AF2965" t="s">
        <v>24277</v>
      </c>
      <c r="AG2965" t="s">
        <v>4220</v>
      </c>
      <c r="AH2965" t="s">
        <v>4189</v>
      </c>
      <c r="AI2965" t="s">
        <v>9852</v>
      </c>
      <c r="AL2965" t="s">
        <v>24259</v>
      </c>
      <c r="AO2965" t="s">
        <v>24278</v>
      </c>
    </row>
    <row r="2966" spans="1:41" hidden="1" x14ac:dyDescent="0.35">
      <c r="A2966" t="s">
        <v>24279</v>
      </c>
      <c r="B2966" t="s">
        <v>7246</v>
      </c>
      <c r="C2966" t="s">
        <v>84</v>
      </c>
      <c r="D2966" t="s">
        <v>84</v>
      </c>
      <c r="E2966" t="s">
        <v>84</v>
      </c>
      <c r="G2966" s="13" t="s">
        <v>24254</v>
      </c>
      <c r="H2966" t="s">
        <v>24255</v>
      </c>
      <c r="I2966" t="s">
        <v>24280</v>
      </c>
      <c r="K2966" t="s">
        <v>24246</v>
      </c>
      <c r="L2966" t="s">
        <v>24247</v>
      </c>
      <c r="M2966" t="s">
        <v>7415</v>
      </c>
      <c r="N2966">
        <v>2022</v>
      </c>
      <c r="R2966">
        <v>4.2</v>
      </c>
      <c r="S2966" t="s">
        <v>8257</v>
      </c>
      <c r="T2966">
        <v>4.2</v>
      </c>
      <c r="U2966">
        <v>1954.61</v>
      </c>
      <c r="V2966">
        <v>77.8</v>
      </c>
      <c r="W2966" t="s">
        <v>6546</v>
      </c>
      <c r="X2966">
        <v>77.8</v>
      </c>
      <c r="Y2966">
        <v>1016</v>
      </c>
      <c r="Z2966" t="s">
        <v>8842</v>
      </c>
      <c r="AA2966" t="s">
        <v>24281</v>
      </c>
      <c r="AC2966" t="s">
        <v>9852</v>
      </c>
      <c r="AD2966" t="s">
        <v>4220</v>
      </c>
      <c r="AE2966" t="s">
        <v>4189</v>
      </c>
      <c r="AF2966" t="s">
        <v>24282</v>
      </c>
      <c r="AG2966" t="s">
        <v>4220</v>
      </c>
      <c r="AH2966" t="s">
        <v>4189</v>
      </c>
      <c r="AI2966" t="s">
        <v>9852</v>
      </c>
      <c r="AL2966" t="s">
        <v>24259</v>
      </c>
      <c r="AO2966" t="s">
        <v>6546</v>
      </c>
    </row>
    <row r="2967" spans="1:41" hidden="1" x14ac:dyDescent="0.35">
      <c r="A2967" t="s">
        <v>24283</v>
      </c>
      <c r="B2967" t="s">
        <v>7246</v>
      </c>
      <c r="C2967" t="s">
        <v>84</v>
      </c>
      <c r="D2967" t="s">
        <v>84</v>
      </c>
      <c r="E2967" t="s">
        <v>84</v>
      </c>
      <c r="G2967" s="13" t="s">
        <v>24284</v>
      </c>
      <c r="H2967" t="s">
        <v>24255</v>
      </c>
      <c r="I2967" t="s">
        <v>24285</v>
      </c>
      <c r="K2967" t="s">
        <v>6543</v>
      </c>
      <c r="L2967" t="s">
        <v>6543</v>
      </c>
      <c r="M2967" t="s">
        <v>7292</v>
      </c>
      <c r="R2967">
        <v>3.39</v>
      </c>
      <c r="S2967" t="s">
        <v>8257</v>
      </c>
      <c r="T2967">
        <v>3.39</v>
      </c>
      <c r="U2967">
        <v>1577.65</v>
      </c>
      <c r="V2967">
        <v>107</v>
      </c>
      <c r="W2967">
        <v>56.35</v>
      </c>
      <c r="X2967">
        <v>107</v>
      </c>
      <c r="Y2967">
        <v>1060</v>
      </c>
      <c r="Z2967" t="s">
        <v>8842</v>
      </c>
      <c r="AA2967" t="s">
        <v>24286</v>
      </c>
      <c r="AC2967" t="s">
        <v>9852</v>
      </c>
      <c r="AD2967" t="s">
        <v>24287</v>
      </c>
      <c r="AE2967" t="s">
        <v>4189</v>
      </c>
      <c r="AG2967" t="s">
        <v>24287</v>
      </c>
      <c r="AH2967" t="s">
        <v>4189</v>
      </c>
      <c r="AI2967" t="s">
        <v>9852</v>
      </c>
      <c r="AO2967" t="s">
        <v>24288</v>
      </c>
    </row>
    <row r="2968" spans="1:41" hidden="1" x14ac:dyDescent="0.35">
      <c r="A2968" t="s">
        <v>24289</v>
      </c>
      <c r="B2968" t="s">
        <v>7246</v>
      </c>
      <c r="C2968" t="s">
        <v>84</v>
      </c>
      <c r="D2968" t="s">
        <v>84</v>
      </c>
      <c r="E2968" t="s">
        <v>84</v>
      </c>
      <c r="G2968" s="13" t="s">
        <v>24290</v>
      </c>
      <c r="H2968" t="s">
        <v>24291</v>
      </c>
      <c r="I2968" t="s">
        <v>24292</v>
      </c>
      <c r="K2968" t="s">
        <v>24293</v>
      </c>
      <c r="L2968" t="s">
        <v>24294</v>
      </c>
      <c r="M2968" t="s">
        <v>7415</v>
      </c>
      <c r="T2968" t="s">
        <v>6546</v>
      </c>
      <c r="U2968" t="s">
        <v>6546</v>
      </c>
      <c r="V2968">
        <v>84</v>
      </c>
      <c r="W2968" t="s">
        <v>6546</v>
      </c>
      <c r="X2968">
        <v>84</v>
      </c>
      <c r="AC2968" t="s">
        <v>9852</v>
      </c>
      <c r="AE2968" t="s">
        <v>3024</v>
      </c>
      <c r="AG2968" t="s">
        <v>4351</v>
      </c>
      <c r="AH2968" t="s">
        <v>3024</v>
      </c>
      <c r="AI2968" t="s">
        <v>9852</v>
      </c>
      <c r="AL2968" t="s">
        <v>24295</v>
      </c>
      <c r="AO2968" t="s">
        <v>6546</v>
      </c>
    </row>
    <row r="2969" spans="1:41" hidden="1" x14ac:dyDescent="0.35">
      <c r="A2969" t="s">
        <v>24296</v>
      </c>
      <c r="B2969" t="s">
        <v>7246</v>
      </c>
      <c r="C2969" t="s">
        <v>84</v>
      </c>
      <c r="D2969" t="s">
        <v>84</v>
      </c>
      <c r="E2969" t="s">
        <v>84</v>
      </c>
      <c r="G2969" s="13" t="s">
        <v>24290</v>
      </c>
      <c r="H2969" t="s">
        <v>24291</v>
      </c>
      <c r="I2969" t="s">
        <v>24297</v>
      </c>
      <c r="K2969" t="s">
        <v>24293</v>
      </c>
      <c r="L2969" t="s">
        <v>24294</v>
      </c>
      <c r="M2969" t="s">
        <v>7415</v>
      </c>
      <c r="T2969" t="s">
        <v>6546</v>
      </c>
      <c r="U2969" t="s">
        <v>6546</v>
      </c>
      <c r="V2969">
        <v>88</v>
      </c>
      <c r="W2969" t="s">
        <v>6546</v>
      </c>
      <c r="X2969">
        <v>88</v>
      </c>
      <c r="AC2969" t="s">
        <v>9852</v>
      </c>
      <c r="AE2969" t="s">
        <v>4519</v>
      </c>
      <c r="AG2969" t="s">
        <v>4349</v>
      </c>
      <c r="AH2969" t="s">
        <v>3024</v>
      </c>
      <c r="AI2969" t="s">
        <v>9852</v>
      </c>
      <c r="AL2969" t="s">
        <v>24295</v>
      </c>
      <c r="AO2969" t="s">
        <v>6546</v>
      </c>
    </row>
    <row r="2970" spans="1:41" hidden="1" x14ac:dyDescent="0.35">
      <c r="A2970" t="s">
        <v>24298</v>
      </c>
      <c r="B2970" t="s">
        <v>7246</v>
      </c>
      <c r="C2970" t="s">
        <v>84</v>
      </c>
      <c r="D2970" t="s">
        <v>84</v>
      </c>
      <c r="E2970" t="s">
        <v>84</v>
      </c>
      <c r="G2970" s="13" t="s">
        <v>24290</v>
      </c>
      <c r="H2970" t="s">
        <v>24291</v>
      </c>
      <c r="K2970" t="s">
        <v>24293</v>
      </c>
      <c r="L2970" t="s">
        <v>24294</v>
      </c>
      <c r="M2970" t="s">
        <v>7415</v>
      </c>
      <c r="N2970">
        <v>2022</v>
      </c>
      <c r="R2970">
        <v>20</v>
      </c>
      <c r="S2970" t="s">
        <v>8257</v>
      </c>
      <c r="T2970">
        <v>20</v>
      </c>
      <c r="U2970">
        <v>9307.67</v>
      </c>
      <c r="V2970">
        <v>1022</v>
      </c>
      <c r="W2970">
        <v>941.31</v>
      </c>
      <c r="X2970">
        <v>1022</v>
      </c>
      <c r="Y2970" t="s">
        <v>24299</v>
      </c>
      <c r="Z2970" t="s">
        <v>8842</v>
      </c>
      <c r="AA2970" t="s">
        <v>24300</v>
      </c>
      <c r="AB2970" t="s">
        <v>22234</v>
      </c>
      <c r="AC2970" t="s">
        <v>9852</v>
      </c>
      <c r="AD2970" t="s">
        <v>4536</v>
      </c>
      <c r="AE2970" t="s">
        <v>4519</v>
      </c>
      <c r="AF2970" t="s">
        <v>4349</v>
      </c>
      <c r="AG2970" t="s">
        <v>3025</v>
      </c>
      <c r="AH2970" t="s">
        <v>3024</v>
      </c>
      <c r="AI2970" t="s">
        <v>9852</v>
      </c>
      <c r="AL2970" t="s">
        <v>24295</v>
      </c>
      <c r="AO2970" t="s">
        <v>24301</v>
      </c>
    </row>
    <row r="2971" spans="1:41" hidden="1" x14ac:dyDescent="0.35">
      <c r="A2971" t="s">
        <v>24302</v>
      </c>
      <c r="B2971" t="s">
        <v>7246</v>
      </c>
      <c r="C2971" t="s">
        <v>84</v>
      </c>
      <c r="D2971" t="s">
        <v>84</v>
      </c>
      <c r="E2971" t="s">
        <v>84</v>
      </c>
      <c r="G2971" s="13" t="s">
        <v>24303</v>
      </c>
      <c r="H2971" t="s">
        <v>22420</v>
      </c>
      <c r="I2971" t="s">
        <v>24304</v>
      </c>
      <c r="K2971" t="s">
        <v>22428</v>
      </c>
      <c r="L2971" t="s">
        <v>22428</v>
      </c>
      <c r="M2971" t="s">
        <v>7250</v>
      </c>
      <c r="N2971">
        <v>2019</v>
      </c>
      <c r="R2971">
        <v>3.5</v>
      </c>
      <c r="S2971" t="s">
        <v>8257</v>
      </c>
      <c r="T2971">
        <v>3.5</v>
      </c>
      <c r="U2971">
        <v>1628.84</v>
      </c>
      <c r="V2971">
        <v>68.900000000000006</v>
      </c>
      <c r="W2971">
        <v>95.33</v>
      </c>
      <c r="X2971">
        <v>68.900000000000006</v>
      </c>
      <c r="AA2971" t="s">
        <v>22420</v>
      </c>
      <c r="AB2971" t="s">
        <v>24305</v>
      </c>
      <c r="AC2971" t="s">
        <v>9852</v>
      </c>
      <c r="AD2971" t="s">
        <v>22753</v>
      </c>
      <c r="AE2971" t="s">
        <v>3008</v>
      </c>
      <c r="AF2971" t="s">
        <v>24306</v>
      </c>
      <c r="AG2971" t="s">
        <v>22804</v>
      </c>
      <c r="AH2971" t="s">
        <v>3008</v>
      </c>
      <c r="AI2971" t="s">
        <v>9852</v>
      </c>
      <c r="AL2971" t="s">
        <v>24307</v>
      </c>
      <c r="AO2971" t="s">
        <v>24308</v>
      </c>
    </row>
    <row r="2972" spans="1:41" hidden="1" x14ac:dyDescent="0.35">
      <c r="A2972" t="s">
        <v>24309</v>
      </c>
      <c r="B2972" t="s">
        <v>7246</v>
      </c>
      <c r="C2972" t="s">
        <v>84</v>
      </c>
      <c r="D2972" t="s">
        <v>84</v>
      </c>
      <c r="E2972" t="s">
        <v>84</v>
      </c>
      <c r="G2972" s="13" t="s">
        <v>24310</v>
      </c>
      <c r="H2972" t="s">
        <v>22420</v>
      </c>
      <c r="I2972" t="s">
        <v>24311</v>
      </c>
      <c r="K2972" t="s">
        <v>6543</v>
      </c>
      <c r="L2972" t="s">
        <v>6543</v>
      </c>
      <c r="M2972" t="s">
        <v>7250</v>
      </c>
      <c r="N2972">
        <v>2007</v>
      </c>
      <c r="R2972">
        <v>3.5</v>
      </c>
      <c r="S2972" t="s">
        <v>8257</v>
      </c>
      <c r="T2972">
        <v>3.5</v>
      </c>
      <c r="U2972">
        <v>1628.84</v>
      </c>
      <c r="V2972">
        <v>457</v>
      </c>
      <c r="W2972">
        <v>354.17</v>
      </c>
      <c r="X2972">
        <v>457</v>
      </c>
      <c r="Y2972">
        <v>610</v>
      </c>
      <c r="Z2972" t="s">
        <v>8842</v>
      </c>
      <c r="AA2972" t="s">
        <v>23460</v>
      </c>
      <c r="AB2972" t="s">
        <v>24312</v>
      </c>
      <c r="AC2972" t="s">
        <v>9852</v>
      </c>
      <c r="AD2972" t="s">
        <v>3014</v>
      </c>
      <c r="AE2972" t="s">
        <v>3013</v>
      </c>
      <c r="AG2972" t="s">
        <v>22235</v>
      </c>
      <c r="AH2972" t="s">
        <v>4666</v>
      </c>
      <c r="AI2972" t="s">
        <v>9852</v>
      </c>
      <c r="AL2972" t="s">
        <v>24307</v>
      </c>
      <c r="AO2972" t="s">
        <v>24313</v>
      </c>
    </row>
    <row r="2973" spans="1:41" hidden="1" x14ac:dyDescent="0.35">
      <c r="A2973" t="s">
        <v>24314</v>
      </c>
      <c r="B2973" t="s">
        <v>7246</v>
      </c>
      <c r="C2973" t="s">
        <v>84</v>
      </c>
      <c r="D2973" t="s">
        <v>84</v>
      </c>
      <c r="E2973" t="s">
        <v>84</v>
      </c>
      <c r="G2973" s="13" t="s">
        <v>24315</v>
      </c>
      <c r="H2973" t="s">
        <v>22420</v>
      </c>
      <c r="I2973" t="s">
        <v>24316</v>
      </c>
      <c r="K2973" t="s">
        <v>22428</v>
      </c>
      <c r="L2973" t="s">
        <v>22428</v>
      </c>
      <c r="M2973" t="s">
        <v>7250</v>
      </c>
      <c r="N2973">
        <v>2004</v>
      </c>
      <c r="R2973">
        <v>1.67</v>
      </c>
      <c r="S2973" t="s">
        <v>8257</v>
      </c>
      <c r="T2973">
        <v>1.67</v>
      </c>
      <c r="U2973">
        <v>777.19</v>
      </c>
      <c r="V2973">
        <v>130.19999999999999</v>
      </c>
      <c r="W2973">
        <v>157.06</v>
      </c>
      <c r="X2973">
        <v>130.19999999999999</v>
      </c>
      <c r="AA2973" t="s">
        <v>23938</v>
      </c>
      <c r="AC2973" t="s">
        <v>9852</v>
      </c>
      <c r="AD2973" t="s">
        <v>3042</v>
      </c>
      <c r="AE2973" t="s">
        <v>3041</v>
      </c>
      <c r="AG2973" t="s">
        <v>4169</v>
      </c>
      <c r="AH2973" t="s">
        <v>3008</v>
      </c>
      <c r="AI2973" t="s">
        <v>9852</v>
      </c>
      <c r="AL2973" t="s">
        <v>24307</v>
      </c>
      <c r="AO2973" t="s">
        <v>24317</v>
      </c>
    </row>
    <row r="2974" spans="1:41" hidden="1" x14ac:dyDescent="0.35">
      <c r="A2974" t="s">
        <v>24318</v>
      </c>
      <c r="B2974" t="s">
        <v>7246</v>
      </c>
      <c r="C2974" t="s">
        <v>84</v>
      </c>
      <c r="D2974" t="s">
        <v>84</v>
      </c>
      <c r="E2974" t="s">
        <v>84</v>
      </c>
      <c r="G2974" s="13" t="s">
        <v>24319</v>
      </c>
      <c r="H2974" t="s">
        <v>22420</v>
      </c>
      <c r="J2974" t="s">
        <v>24320</v>
      </c>
      <c r="K2974" t="s">
        <v>6543</v>
      </c>
      <c r="L2974" t="s">
        <v>6543</v>
      </c>
      <c r="M2974" t="s">
        <v>7250</v>
      </c>
      <c r="N2974">
        <v>2005</v>
      </c>
      <c r="R2974">
        <v>17</v>
      </c>
      <c r="S2974" t="s">
        <v>8257</v>
      </c>
      <c r="T2974">
        <v>17</v>
      </c>
      <c r="U2974">
        <v>7911.52</v>
      </c>
      <c r="V2974">
        <v>4000</v>
      </c>
      <c r="W2974">
        <v>3625.23</v>
      </c>
      <c r="X2974">
        <v>4000</v>
      </c>
      <c r="AA2974" t="s">
        <v>24321</v>
      </c>
      <c r="AB2974" t="s">
        <v>23461</v>
      </c>
      <c r="AC2974" t="s">
        <v>9852</v>
      </c>
      <c r="AE2974" t="s">
        <v>4824</v>
      </c>
      <c r="AH2974" t="s">
        <v>3063</v>
      </c>
      <c r="AI2974" t="s">
        <v>9852</v>
      </c>
      <c r="AL2974" t="s">
        <v>24307</v>
      </c>
      <c r="AO2974" t="s">
        <v>24322</v>
      </c>
    </row>
    <row r="2975" spans="1:41" hidden="1" x14ac:dyDescent="0.35">
      <c r="A2975" t="s">
        <v>24323</v>
      </c>
      <c r="B2975" t="s">
        <v>7246</v>
      </c>
      <c r="C2975" t="s">
        <v>84</v>
      </c>
      <c r="D2975" t="s">
        <v>84</v>
      </c>
      <c r="E2975" t="s">
        <v>84</v>
      </c>
      <c r="G2975" s="13" t="s">
        <v>24324</v>
      </c>
      <c r="H2975" t="s">
        <v>24325</v>
      </c>
      <c r="I2975" t="s">
        <v>24326</v>
      </c>
      <c r="J2975" t="s">
        <v>24327</v>
      </c>
      <c r="K2975" t="s">
        <v>24328</v>
      </c>
      <c r="L2975" t="s">
        <v>24329</v>
      </c>
      <c r="M2975" t="s">
        <v>7250</v>
      </c>
      <c r="N2975">
        <v>2016</v>
      </c>
      <c r="R2975">
        <v>30</v>
      </c>
      <c r="S2975" t="s">
        <v>8257</v>
      </c>
      <c r="T2975">
        <v>30</v>
      </c>
      <c r="U2975">
        <v>13961.5</v>
      </c>
      <c r="V2975" t="s">
        <v>6546</v>
      </c>
      <c r="W2975">
        <v>633.62</v>
      </c>
      <c r="X2975">
        <v>633.62</v>
      </c>
      <c r="AB2975" t="s">
        <v>24330</v>
      </c>
      <c r="AC2975" t="s">
        <v>9852</v>
      </c>
      <c r="AE2975" t="s">
        <v>4824</v>
      </c>
      <c r="AG2975" t="s">
        <v>4188</v>
      </c>
      <c r="AH2975" t="s">
        <v>4189</v>
      </c>
      <c r="AI2975" t="s">
        <v>9852</v>
      </c>
      <c r="AL2975" t="s">
        <v>24331</v>
      </c>
      <c r="AO2975" t="s">
        <v>24332</v>
      </c>
    </row>
    <row r="2976" spans="1:41" hidden="1" x14ac:dyDescent="0.35">
      <c r="A2976" t="s">
        <v>24333</v>
      </c>
      <c r="B2976" t="s">
        <v>7246</v>
      </c>
      <c r="C2976" t="s">
        <v>84</v>
      </c>
      <c r="D2976" t="s">
        <v>84</v>
      </c>
      <c r="E2976" t="s">
        <v>84</v>
      </c>
      <c r="G2976" s="13" t="s">
        <v>24324</v>
      </c>
      <c r="H2976" t="s">
        <v>24325</v>
      </c>
      <c r="I2976" t="s">
        <v>24334</v>
      </c>
      <c r="J2976" t="s">
        <v>24327</v>
      </c>
      <c r="K2976" t="s">
        <v>22428</v>
      </c>
      <c r="L2976" t="s">
        <v>22428</v>
      </c>
      <c r="M2976" t="s">
        <v>7250</v>
      </c>
      <c r="N2976">
        <v>2020</v>
      </c>
      <c r="R2976">
        <v>5.8</v>
      </c>
      <c r="S2976" t="s">
        <v>8257</v>
      </c>
      <c r="T2976">
        <v>5.8</v>
      </c>
      <c r="U2976">
        <v>2699.22</v>
      </c>
      <c r="V2976">
        <v>385.88</v>
      </c>
      <c r="W2976">
        <v>292.01</v>
      </c>
      <c r="X2976">
        <v>385.88</v>
      </c>
      <c r="Y2976">
        <v>813</v>
      </c>
      <c r="Z2976" t="s">
        <v>8842</v>
      </c>
      <c r="AB2976" t="s">
        <v>24335</v>
      </c>
      <c r="AC2976" t="s">
        <v>9852</v>
      </c>
      <c r="AD2976" t="s">
        <v>4230</v>
      </c>
      <c r="AE2976" t="s">
        <v>3016</v>
      </c>
      <c r="AF2976" t="s">
        <v>3016</v>
      </c>
      <c r="AG2976" t="s">
        <v>23196</v>
      </c>
      <c r="AH2976" t="s">
        <v>4189</v>
      </c>
      <c r="AI2976" t="s">
        <v>9852</v>
      </c>
      <c r="AL2976" t="s">
        <v>24331</v>
      </c>
      <c r="AO2976" t="s">
        <v>24336</v>
      </c>
    </row>
    <row r="2977" spans="1:41" hidden="1" x14ac:dyDescent="0.35">
      <c r="A2977" t="s">
        <v>24337</v>
      </c>
      <c r="B2977" t="s">
        <v>7246</v>
      </c>
      <c r="C2977" t="s">
        <v>84</v>
      </c>
      <c r="D2977" t="s">
        <v>84</v>
      </c>
      <c r="E2977" t="s">
        <v>84</v>
      </c>
      <c r="G2977" s="13" t="s">
        <v>24324</v>
      </c>
      <c r="H2977" t="s">
        <v>24325</v>
      </c>
      <c r="I2977" t="s">
        <v>24338</v>
      </c>
      <c r="J2977" t="s">
        <v>24327</v>
      </c>
      <c r="K2977" t="s">
        <v>22428</v>
      </c>
      <c r="L2977" t="s">
        <v>22428</v>
      </c>
      <c r="M2977" t="s">
        <v>7415</v>
      </c>
      <c r="N2977">
        <v>2025</v>
      </c>
      <c r="R2977">
        <v>5.8</v>
      </c>
      <c r="S2977" t="s">
        <v>8257</v>
      </c>
      <c r="T2977">
        <v>5.8</v>
      </c>
      <c r="U2977">
        <v>2699.22</v>
      </c>
      <c r="V2977">
        <v>209.12</v>
      </c>
      <c r="W2977">
        <v>140.6</v>
      </c>
      <c r="X2977">
        <v>209.12</v>
      </c>
      <c r="Y2977">
        <v>813</v>
      </c>
      <c r="Z2977" t="s">
        <v>8842</v>
      </c>
      <c r="AC2977" t="s">
        <v>9852</v>
      </c>
      <c r="AD2977" t="s">
        <v>23196</v>
      </c>
      <c r="AE2977" t="s">
        <v>3016</v>
      </c>
      <c r="AF2977" t="s">
        <v>24339</v>
      </c>
      <c r="AG2977" t="s">
        <v>4220</v>
      </c>
      <c r="AH2977" t="s">
        <v>4189</v>
      </c>
      <c r="AI2977" t="s">
        <v>9852</v>
      </c>
      <c r="AL2977" t="s">
        <v>24331</v>
      </c>
      <c r="AO2977" t="s">
        <v>24340</v>
      </c>
    </row>
    <row r="2978" spans="1:41" hidden="1" x14ac:dyDescent="0.35">
      <c r="A2978" t="s">
        <v>24341</v>
      </c>
      <c r="B2978" t="s">
        <v>7246</v>
      </c>
      <c r="C2978" t="s">
        <v>84</v>
      </c>
      <c r="D2978" t="s">
        <v>84</v>
      </c>
      <c r="E2978" t="s">
        <v>84</v>
      </c>
      <c r="G2978" s="13" t="s">
        <v>24324</v>
      </c>
      <c r="H2978" t="s">
        <v>24325</v>
      </c>
      <c r="I2978" t="s">
        <v>24342</v>
      </c>
      <c r="J2978" t="s">
        <v>24327</v>
      </c>
      <c r="K2978" t="s">
        <v>24328</v>
      </c>
      <c r="L2978" t="s">
        <v>24329</v>
      </c>
      <c r="M2978" t="s">
        <v>7415</v>
      </c>
      <c r="R2978">
        <v>25</v>
      </c>
      <c r="S2978" t="s">
        <v>8257</v>
      </c>
      <c r="T2978">
        <v>25</v>
      </c>
      <c r="U2978">
        <v>11634.59</v>
      </c>
      <c r="V2978" t="s">
        <v>6546</v>
      </c>
      <c r="W2978">
        <v>2003.22</v>
      </c>
      <c r="X2978">
        <v>2003.22</v>
      </c>
      <c r="Y2978">
        <v>1219</v>
      </c>
      <c r="Z2978" t="s">
        <v>8842</v>
      </c>
      <c r="AB2978" t="s">
        <v>24330</v>
      </c>
      <c r="AC2978" t="s">
        <v>9852</v>
      </c>
      <c r="AE2978" t="s">
        <v>4824</v>
      </c>
      <c r="AG2978" t="s">
        <v>4188</v>
      </c>
      <c r="AH2978" t="s">
        <v>4189</v>
      </c>
      <c r="AI2978" t="s">
        <v>9852</v>
      </c>
      <c r="AL2978" t="s">
        <v>24331</v>
      </c>
      <c r="AO2978" t="s">
        <v>24343</v>
      </c>
    </row>
    <row r="2979" spans="1:41" hidden="1" x14ac:dyDescent="0.35">
      <c r="A2979" t="s">
        <v>24344</v>
      </c>
      <c r="B2979" t="s">
        <v>7246</v>
      </c>
      <c r="C2979" t="s">
        <v>84</v>
      </c>
      <c r="D2979" t="s">
        <v>84</v>
      </c>
      <c r="E2979" t="s">
        <v>84</v>
      </c>
      <c r="G2979" s="13" t="s">
        <v>24324</v>
      </c>
      <c r="H2979" t="s">
        <v>24325</v>
      </c>
      <c r="I2979" t="s">
        <v>24345</v>
      </c>
      <c r="J2979" t="s">
        <v>24327</v>
      </c>
      <c r="K2979" t="s">
        <v>24328</v>
      </c>
      <c r="L2979" t="s">
        <v>24329</v>
      </c>
      <c r="M2979" t="s">
        <v>7250</v>
      </c>
      <c r="N2979">
        <v>2014</v>
      </c>
      <c r="R2979">
        <v>30</v>
      </c>
      <c r="S2979" t="s">
        <v>8257</v>
      </c>
      <c r="T2979">
        <v>30</v>
      </c>
      <c r="U2979">
        <v>13961.5</v>
      </c>
      <c r="V2979" t="s">
        <v>6546</v>
      </c>
      <c r="W2979">
        <v>2431.83</v>
      </c>
      <c r="X2979">
        <v>2431.83</v>
      </c>
      <c r="Y2979">
        <v>1219</v>
      </c>
      <c r="Z2979" t="s">
        <v>8842</v>
      </c>
      <c r="AB2979" t="s">
        <v>24330</v>
      </c>
      <c r="AC2979" t="s">
        <v>9852</v>
      </c>
      <c r="AE2979" t="s">
        <v>4824</v>
      </c>
      <c r="AG2979" t="s">
        <v>4188</v>
      </c>
      <c r="AH2979" t="s">
        <v>4189</v>
      </c>
      <c r="AI2979" t="s">
        <v>9852</v>
      </c>
      <c r="AL2979" t="s">
        <v>24331</v>
      </c>
      <c r="AO2979" t="s">
        <v>24346</v>
      </c>
    </row>
    <row r="2980" spans="1:41" hidden="1" x14ac:dyDescent="0.35">
      <c r="A2980" t="s">
        <v>24347</v>
      </c>
      <c r="B2980" t="s">
        <v>7246</v>
      </c>
      <c r="C2980" t="s">
        <v>84</v>
      </c>
      <c r="D2980" t="s">
        <v>84</v>
      </c>
      <c r="E2980" t="s">
        <v>84</v>
      </c>
      <c r="G2980" s="13" t="s">
        <v>24324</v>
      </c>
      <c r="H2980" t="s">
        <v>24325</v>
      </c>
      <c r="I2980" t="s">
        <v>24348</v>
      </c>
      <c r="K2980" t="s">
        <v>23469</v>
      </c>
      <c r="L2980" t="s">
        <v>22257</v>
      </c>
      <c r="M2980" t="s">
        <v>7250</v>
      </c>
      <c r="N2980">
        <v>2013</v>
      </c>
      <c r="R2980">
        <v>30</v>
      </c>
      <c r="S2980" t="s">
        <v>8257</v>
      </c>
      <c r="T2980">
        <v>30</v>
      </c>
      <c r="U2980">
        <v>13961.5</v>
      </c>
      <c r="V2980" t="s">
        <v>6546</v>
      </c>
      <c r="W2980" t="s">
        <v>6546</v>
      </c>
      <c r="X2980" t="s">
        <v>6546</v>
      </c>
      <c r="AB2980" t="s">
        <v>24349</v>
      </c>
      <c r="AC2980" t="s">
        <v>9852</v>
      </c>
      <c r="AD2980" t="s">
        <v>24350</v>
      </c>
      <c r="AE2980" t="s">
        <v>4824</v>
      </c>
      <c r="AF2980" t="s">
        <v>24330</v>
      </c>
      <c r="AG2980" t="s">
        <v>24350</v>
      </c>
      <c r="AH2980" t="s">
        <v>4824</v>
      </c>
      <c r="AI2980" t="s">
        <v>9852</v>
      </c>
      <c r="AL2980" t="s">
        <v>24331</v>
      </c>
      <c r="AO2980" t="s">
        <v>6546</v>
      </c>
    </row>
    <row r="2981" spans="1:41" hidden="1" x14ac:dyDescent="0.35">
      <c r="A2981" t="s">
        <v>24351</v>
      </c>
      <c r="B2981" t="s">
        <v>7246</v>
      </c>
      <c r="C2981" t="s">
        <v>84</v>
      </c>
      <c r="D2981" t="s">
        <v>84</v>
      </c>
      <c r="E2981" t="s">
        <v>84</v>
      </c>
      <c r="G2981" s="13" t="s">
        <v>24324</v>
      </c>
      <c r="H2981" t="s">
        <v>24325</v>
      </c>
      <c r="J2981" t="s">
        <v>24327</v>
      </c>
      <c r="K2981" t="s">
        <v>6543</v>
      </c>
      <c r="L2981" t="s">
        <v>6543</v>
      </c>
      <c r="M2981" t="s">
        <v>7250</v>
      </c>
      <c r="R2981">
        <v>30</v>
      </c>
      <c r="S2981" t="s">
        <v>8257</v>
      </c>
      <c r="T2981">
        <v>30</v>
      </c>
      <c r="U2981">
        <v>13961.5</v>
      </c>
      <c r="V2981">
        <v>7378</v>
      </c>
      <c r="W2981" t="s">
        <v>6546</v>
      </c>
      <c r="X2981">
        <v>7378</v>
      </c>
      <c r="AC2981" t="s">
        <v>9852</v>
      </c>
      <c r="AI2981" t="s">
        <v>9852</v>
      </c>
      <c r="AL2981" t="s">
        <v>24331</v>
      </c>
      <c r="AO2981" t="s">
        <v>6546</v>
      </c>
    </row>
    <row r="2982" spans="1:41" hidden="1" x14ac:dyDescent="0.35">
      <c r="A2982" t="s">
        <v>24352</v>
      </c>
      <c r="B2982" t="s">
        <v>7246</v>
      </c>
      <c r="C2982" t="s">
        <v>84</v>
      </c>
      <c r="D2982" t="s">
        <v>84</v>
      </c>
      <c r="E2982" t="s">
        <v>84</v>
      </c>
      <c r="G2982" s="13" t="s">
        <v>24324</v>
      </c>
      <c r="H2982" t="s">
        <v>24325</v>
      </c>
      <c r="I2982" t="s">
        <v>24353</v>
      </c>
      <c r="K2982" t="s">
        <v>22428</v>
      </c>
      <c r="L2982" t="s">
        <v>22428</v>
      </c>
      <c r="M2982" t="s">
        <v>7250</v>
      </c>
      <c r="N2982">
        <v>2017</v>
      </c>
      <c r="R2982">
        <v>30</v>
      </c>
      <c r="S2982" t="s">
        <v>8257</v>
      </c>
      <c r="T2982">
        <v>30</v>
      </c>
      <c r="U2982">
        <v>13961.5</v>
      </c>
      <c r="V2982">
        <v>376.58</v>
      </c>
      <c r="W2982">
        <v>338.14</v>
      </c>
      <c r="X2982">
        <v>376.58</v>
      </c>
      <c r="AA2982" t="s">
        <v>24354</v>
      </c>
      <c r="AB2982" t="s">
        <v>4669</v>
      </c>
      <c r="AC2982" t="s">
        <v>9852</v>
      </c>
      <c r="AD2982" t="s">
        <v>4669</v>
      </c>
      <c r="AE2982" t="s">
        <v>4666</v>
      </c>
      <c r="AF2982" t="s">
        <v>24226</v>
      </c>
      <c r="AG2982" t="s">
        <v>4287</v>
      </c>
      <c r="AH2982" t="s">
        <v>4675</v>
      </c>
      <c r="AI2982" t="s">
        <v>9852</v>
      </c>
      <c r="AL2982" t="s">
        <v>24331</v>
      </c>
      <c r="AO2982" t="s">
        <v>24355</v>
      </c>
    </row>
    <row r="2983" spans="1:41" hidden="1" x14ac:dyDescent="0.35">
      <c r="A2983" t="s">
        <v>24356</v>
      </c>
      <c r="B2983" t="s">
        <v>7246</v>
      </c>
      <c r="C2983" t="s">
        <v>84</v>
      </c>
      <c r="D2983" t="s">
        <v>84</v>
      </c>
      <c r="E2983" t="s">
        <v>84</v>
      </c>
      <c r="G2983" s="13" t="s">
        <v>24324</v>
      </c>
      <c r="H2983" t="s">
        <v>24325</v>
      </c>
      <c r="I2983" t="s">
        <v>24357</v>
      </c>
      <c r="K2983" t="s">
        <v>22428</v>
      </c>
      <c r="L2983" t="s">
        <v>22428</v>
      </c>
      <c r="M2983" t="s">
        <v>7250</v>
      </c>
      <c r="N2983">
        <v>2019</v>
      </c>
      <c r="R2983">
        <v>3</v>
      </c>
      <c r="S2983" t="s">
        <v>8257</v>
      </c>
      <c r="T2983">
        <v>3</v>
      </c>
      <c r="U2983">
        <v>1396.15</v>
      </c>
      <c r="V2983">
        <v>46</v>
      </c>
      <c r="W2983" t="s">
        <v>6546</v>
      </c>
      <c r="X2983">
        <v>46</v>
      </c>
      <c r="Y2983">
        <v>508</v>
      </c>
      <c r="Z2983" t="s">
        <v>8842</v>
      </c>
      <c r="AC2983" t="s">
        <v>9852</v>
      </c>
      <c r="AE2983" t="s">
        <v>3038</v>
      </c>
      <c r="AF2983" t="s">
        <v>24358</v>
      </c>
      <c r="AG2983" t="s">
        <v>24094</v>
      </c>
      <c r="AH2983" t="s">
        <v>3038</v>
      </c>
      <c r="AI2983" t="s">
        <v>9852</v>
      </c>
      <c r="AL2983" t="s">
        <v>24331</v>
      </c>
      <c r="AO2983" t="s">
        <v>6546</v>
      </c>
    </row>
    <row r="2984" spans="1:41" hidden="1" x14ac:dyDescent="0.35">
      <c r="A2984" t="s">
        <v>24359</v>
      </c>
      <c r="B2984" t="s">
        <v>7246</v>
      </c>
      <c r="C2984" t="s">
        <v>84</v>
      </c>
      <c r="D2984" t="s">
        <v>84</v>
      </c>
      <c r="E2984" t="s">
        <v>84</v>
      </c>
      <c r="G2984" s="13" t="s">
        <v>24324</v>
      </c>
      <c r="H2984" t="s">
        <v>24325</v>
      </c>
      <c r="I2984" t="s">
        <v>24360</v>
      </c>
      <c r="K2984" t="s">
        <v>22428</v>
      </c>
      <c r="L2984" t="s">
        <v>22428</v>
      </c>
      <c r="M2984" t="s">
        <v>7292</v>
      </c>
      <c r="R2984">
        <v>20</v>
      </c>
      <c r="S2984" t="s">
        <v>8257</v>
      </c>
      <c r="T2984">
        <v>20</v>
      </c>
      <c r="U2984">
        <v>9307.67</v>
      </c>
      <c r="V2984">
        <v>21</v>
      </c>
      <c r="W2984" t="s">
        <v>6546</v>
      </c>
      <c r="X2984">
        <v>21</v>
      </c>
      <c r="Y2984">
        <v>1200</v>
      </c>
      <c r="Z2984" t="s">
        <v>8842</v>
      </c>
      <c r="AC2984" t="s">
        <v>9852</v>
      </c>
      <c r="AE2984" t="s">
        <v>3033</v>
      </c>
      <c r="AH2984" t="s">
        <v>3033</v>
      </c>
      <c r="AI2984" t="s">
        <v>9852</v>
      </c>
      <c r="AL2984" t="s">
        <v>24331</v>
      </c>
      <c r="AO2984" t="s">
        <v>6546</v>
      </c>
    </row>
    <row r="2985" spans="1:41" hidden="1" x14ac:dyDescent="0.35">
      <c r="A2985" t="s">
        <v>24361</v>
      </c>
      <c r="B2985" t="s">
        <v>7246</v>
      </c>
      <c r="C2985" t="s">
        <v>84</v>
      </c>
      <c r="D2985" t="s">
        <v>84</v>
      </c>
      <c r="E2985" t="s">
        <v>84</v>
      </c>
      <c r="G2985" s="13" t="s">
        <v>24362</v>
      </c>
      <c r="H2985" t="s">
        <v>24363</v>
      </c>
      <c r="I2985" t="s">
        <v>24364</v>
      </c>
      <c r="K2985" t="s">
        <v>22428</v>
      </c>
      <c r="L2985" t="s">
        <v>22428</v>
      </c>
      <c r="M2985" t="s">
        <v>7250</v>
      </c>
      <c r="N2985">
        <v>2014</v>
      </c>
      <c r="R2985">
        <v>6</v>
      </c>
      <c r="S2985" t="s">
        <v>8257</v>
      </c>
      <c r="T2985">
        <v>6</v>
      </c>
      <c r="U2985">
        <v>2792.3</v>
      </c>
      <c r="V2985">
        <v>58</v>
      </c>
      <c r="W2985" t="s">
        <v>6546</v>
      </c>
      <c r="X2985">
        <v>58</v>
      </c>
      <c r="AB2985" t="s">
        <v>24365</v>
      </c>
      <c r="AC2985" t="s">
        <v>9852</v>
      </c>
      <c r="AD2985" t="s">
        <v>6735</v>
      </c>
      <c r="AE2985" t="s">
        <v>3041</v>
      </c>
      <c r="AF2985" t="s">
        <v>24366</v>
      </c>
      <c r="AG2985" t="s">
        <v>4544</v>
      </c>
      <c r="AH2985" t="s">
        <v>3041</v>
      </c>
      <c r="AI2985" t="s">
        <v>9852</v>
      </c>
      <c r="AL2985" t="s">
        <v>24367</v>
      </c>
      <c r="AO2985" t="s">
        <v>6546</v>
      </c>
    </row>
    <row r="2986" spans="1:41" hidden="1" x14ac:dyDescent="0.35">
      <c r="A2986" t="s">
        <v>24368</v>
      </c>
      <c r="B2986" t="s">
        <v>7246</v>
      </c>
      <c r="C2986" t="s">
        <v>84</v>
      </c>
      <c r="D2986" t="s">
        <v>84</v>
      </c>
      <c r="E2986" t="s">
        <v>84</v>
      </c>
      <c r="G2986" t="s">
        <v>24369</v>
      </c>
      <c r="H2986" t="s">
        <v>24363</v>
      </c>
      <c r="I2986" t="s">
        <v>24370</v>
      </c>
      <c r="K2986" t="s">
        <v>22428</v>
      </c>
      <c r="L2986" t="s">
        <v>22428</v>
      </c>
      <c r="M2986" t="s">
        <v>7250</v>
      </c>
      <c r="N2986">
        <v>2011</v>
      </c>
      <c r="R2986">
        <v>0.7</v>
      </c>
      <c r="S2986" t="s">
        <v>8257</v>
      </c>
      <c r="T2986">
        <v>0.7</v>
      </c>
      <c r="U2986">
        <v>325.77</v>
      </c>
      <c r="V2986">
        <v>48</v>
      </c>
      <c r="W2986" t="s">
        <v>6546</v>
      </c>
      <c r="X2986">
        <v>48</v>
      </c>
      <c r="AC2986" t="s">
        <v>9852</v>
      </c>
      <c r="AD2986" t="s">
        <v>4553</v>
      </c>
      <c r="AE2986" t="s">
        <v>3041</v>
      </c>
      <c r="AF2986" t="s">
        <v>24371</v>
      </c>
      <c r="AG2986" t="s">
        <v>4553</v>
      </c>
      <c r="AH2986" t="s">
        <v>3041</v>
      </c>
      <c r="AI2986" t="s">
        <v>9852</v>
      </c>
      <c r="AL2986" t="s">
        <v>24367</v>
      </c>
      <c r="AO2986" t="s">
        <v>6546</v>
      </c>
    </row>
    <row r="2987" spans="1:41" hidden="1" x14ac:dyDescent="0.35">
      <c r="A2987" t="s">
        <v>24372</v>
      </c>
      <c r="B2987" t="s">
        <v>7246</v>
      </c>
      <c r="C2987" t="s">
        <v>84</v>
      </c>
      <c r="D2987" t="s">
        <v>84</v>
      </c>
      <c r="E2987" t="s">
        <v>84</v>
      </c>
      <c r="G2987" s="13" t="s">
        <v>24373</v>
      </c>
      <c r="H2987" t="s">
        <v>24363</v>
      </c>
      <c r="I2987" t="s">
        <v>24374</v>
      </c>
      <c r="K2987" t="s">
        <v>22280</v>
      </c>
      <c r="L2987" t="s">
        <v>22257</v>
      </c>
      <c r="M2987" t="s">
        <v>7250</v>
      </c>
      <c r="N2987">
        <v>2014</v>
      </c>
      <c r="R2987">
        <v>1.69</v>
      </c>
      <c r="S2987" t="s">
        <v>8257</v>
      </c>
      <c r="T2987">
        <v>1.69</v>
      </c>
      <c r="U2987">
        <v>786.5</v>
      </c>
      <c r="V2987">
        <v>300</v>
      </c>
      <c r="W2987">
        <v>225.72</v>
      </c>
      <c r="X2987">
        <v>300</v>
      </c>
      <c r="AC2987" t="s">
        <v>9852</v>
      </c>
      <c r="AE2987" t="s">
        <v>4255</v>
      </c>
      <c r="AH2987" t="s">
        <v>4255</v>
      </c>
      <c r="AI2987" t="s">
        <v>9852</v>
      </c>
      <c r="AL2987" t="s">
        <v>24367</v>
      </c>
      <c r="AO2987" t="s">
        <v>24375</v>
      </c>
    </row>
    <row r="2988" spans="1:41" hidden="1" x14ac:dyDescent="0.35">
      <c r="A2988" t="s">
        <v>24376</v>
      </c>
      <c r="B2988" t="s">
        <v>7246</v>
      </c>
      <c r="C2988" t="s">
        <v>84</v>
      </c>
      <c r="D2988" t="s">
        <v>84</v>
      </c>
      <c r="E2988" t="s">
        <v>84</v>
      </c>
      <c r="G2988" s="13" t="s">
        <v>24373</v>
      </c>
      <c r="H2988" t="s">
        <v>24363</v>
      </c>
      <c r="I2988" t="s">
        <v>24377</v>
      </c>
      <c r="K2988" t="s">
        <v>22280</v>
      </c>
      <c r="L2988" t="s">
        <v>22257</v>
      </c>
      <c r="M2988" t="s">
        <v>7250</v>
      </c>
      <c r="N2988">
        <v>2014</v>
      </c>
      <c r="R2988">
        <v>0.89</v>
      </c>
      <c r="S2988" t="s">
        <v>8257</v>
      </c>
      <c r="T2988">
        <v>0.89</v>
      </c>
      <c r="U2988">
        <v>414.19</v>
      </c>
      <c r="V2988">
        <v>212</v>
      </c>
      <c r="W2988">
        <v>106.83</v>
      </c>
      <c r="X2988">
        <v>212</v>
      </c>
      <c r="AC2988" t="s">
        <v>9852</v>
      </c>
      <c r="AD2988" t="s">
        <v>4281</v>
      </c>
      <c r="AE2988" t="s">
        <v>4255</v>
      </c>
      <c r="AG2988" t="s">
        <v>4269</v>
      </c>
      <c r="AH2988" t="s">
        <v>4255</v>
      </c>
      <c r="AI2988" t="s">
        <v>9852</v>
      </c>
      <c r="AL2988" t="s">
        <v>24367</v>
      </c>
      <c r="AO2988" t="s">
        <v>24378</v>
      </c>
    </row>
    <row r="2989" spans="1:41" hidden="1" x14ac:dyDescent="0.35">
      <c r="A2989" t="s">
        <v>24379</v>
      </c>
      <c r="B2989" t="s">
        <v>7246</v>
      </c>
      <c r="C2989" t="s">
        <v>84</v>
      </c>
      <c r="D2989" t="s">
        <v>84</v>
      </c>
      <c r="E2989" t="s">
        <v>84</v>
      </c>
      <c r="G2989" s="13" t="s">
        <v>24373</v>
      </c>
      <c r="H2989" t="s">
        <v>24363</v>
      </c>
      <c r="I2989" t="s">
        <v>24380</v>
      </c>
      <c r="K2989" t="s">
        <v>22280</v>
      </c>
      <c r="L2989" t="s">
        <v>22257</v>
      </c>
      <c r="M2989" t="s">
        <v>7250</v>
      </c>
      <c r="N2989">
        <v>2016</v>
      </c>
      <c r="R2989">
        <v>0.74</v>
      </c>
      <c r="S2989" t="s">
        <v>8257</v>
      </c>
      <c r="T2989">
        <v>0.74</v>
      </c>
      <c r="U2989">
        <v>344.38</v>
      </c>
      <c r="V2989">
        <v>103</v>
      </c>
      <c r="W2989">
        <v>78.349999999999994</v>
      </c>
      <c r="X2989">
        <v>103</v>
      </c>
      <c r="AC2989" t="s">
        <v>9852</v>
      </c>
      <c r="AD2989" t="s">
        <v>4263</v>
      </c>
      <c r="AE2989" t="s">
        <v>4255</v>
      </c>
      <c r="AG2989" t="s">
        <v>4287</v>
      </c>
      <c r="AH2989" t="s">
        <v>4255</v>
      </c>
      <c r="AI2989" t="s">
        <v>9852</v>
      </c>
      <c r="AL2989" t="s">
        <v>24367</v>
      </c>
      <c r="AO2989" t="s">
        <v>24381</v>
      </c>
    </row>
    <row r="2990" spans="1:41" hidden="1" x14ac:dyDescent="0.35">
      <c r="A2990" t="s">
        <v>24382</v>
      </c>
      <c r="B2990" t="s">
        <v>7246</v>
      </c>
      <c r="C2990" t="s">
        <v>84</v>
      </c>
      <c r="D2990" t="s">
        <v>84</v>
      </c>
      <c r="E2990" t="s">
        <v>84</v>
      </c>
      <c r="G2990" s="13" t="s">
        <v>24362</v>
      </c>
      <c r="H2990" t="s">
        <v>24363</v>
      </c>
      <c r="I2990" t="s">
        <v>24383</v>
      </c>
      <c r="K2990" t="s">
        <v>22428</v>
      </c>
      <c r="L2990" t="s">
        <v>22428</v>
      </c>
      <c r="M2990" t="s">
        <v>7250</v>
      </c>
      <c r="N2990">
        <v>2012</v>
      </c>
      <c r="R2990">
        <v>0.2</v>
      </c>
      <c r="S2990" t="s">
        <v>8257</v>
      </c>
      <c r="T2990">
        <v>0.2</v>
      </c>
      <c r="U2990">
        <v>93.08</v>
      </c>
      <c r="V2990" t="s">
        <v>6546</v>
      </c>
      <c r="W2990" t="s">
        <v>6546</v>
      </c>
      <c r="X2990" t="s">
        <v>6546</v>
      </c>
      <c r="Y2990">
        <v>1060</v>
      </c>
      <c r="Z2990" t="s">
        <v>8842</v>
      </c>
      <c r="AC2990" t="s">
        <v>9852</v>
      </c>
      <c r="AD2990" t="s">
        <v>4864</v>
      </c>
      <c r="AE2990" t="s">
        <v>3072</v>
      </c>
      <c r="AF2990" t="s">
        <v>24384</v>
      </c>
      <c r="AG2990" t="s">
        <v>4575</v>
      </c>
      <c r="AH2990" t="s">
        <v>3041</v>
      </c>
      <c r="AI2990" t="s">
        <v>9852</v>
      </c>
      <c r="AL2990" t="s">
        <v>24367</v>
      </c>
      <c r="AO2990" t="s">
        <v>6546</v>
      </c>
    </row>
    <row r="2991" spans="1:41" hidden="1" x14ac:dyDescent="0.35">
      <c r="A2991" t="s">
        <v>24385</v>
      </c>
      <c r="B2991" t="s">
        <v>7246</v>
      </c>
      <c r="C2991" t="s">
        <v>84</v>
      </c>
      <c r="D2991" t="s">
        <v>84</v>
      </c>
      <c r="E2991" t="s">
        <v>84</v>
      </c>
      <c r="G2991" s="13" t="s">
        <v>24386</v>
      </c>
      <c r="H2991" t="s">
        <v>24363</v>
      </c>
      <c r="I2991" t="s">
        <v>24387</v>
      </c>
      <c r="K2991" t="s">
        <v>22428</v>
      </c>
      <c r="L2991" t="s">
        <v>22428</v>
      </c>
      <c r="M2991" t="s">
        <v>7250</v>
      </c>
      <c r="N2991">
        <v>2011</v>
      </c>
      <c r="R2991">
        <v>10</v>
      </c>
      <c r="S2991" t="s">
        <v>8257</v>
      </c>
      <c r="T2991">
        <v>10</v>
      </c>
      <c r="U2991">
        <v>4653.83</v>
      </c>
      <c r="V2991" t="s">
        <v>6546</v>
      </c>
      <c r="W2991">
        <v>771.98</v>
      </c>
      <c r="X2991">
        <v>771.98</v>
      </c>
      <c r="AA2991" t="s">
        <v>24363</v>
      </c>
      <c r="AB2991" t="s">
        <v>24388</v>
      </c>
      <c r="AC2991" t="s">
        <v>9852</v>
      </c>
      <c r="AD2991" t="s">
        <v>4611</v>
      </c>
      <c r="AE2991" t="s">
        <v>3044</v>
      </c>
      <c r="AF2991" t="s">
        <v>24389</v>
      </c>
      <c r="AH2991" t="s">
        <v>3063</v>
      </c>
      <c r="AI2991" t="s">
        <v>9852</v>
      </c>
      <c r="AL2991" t="s">
        <v>24367</v>
      </c>
      <c r="AO2991" t="s">
        <v>24390</v>
      </c>
    </row>
    <row r="2992" spans="1:41" hidden="1" x14ac:dyDescent="0.35">
      <c r="A2992" t="s">
        <v>24391</v>
      </c>
      <c r="B2992" t="s">
        <v>7246</v>
      </c>
      <c r="C2992" t="s">
        <v>84</v>
      </c>
      <c r="D2992" t="s">
        <v>84</v>
      </c>
      <c r="E2992" t="s">
        <v>84</v>
      </c>
      <c r="G2992" s="13" t="s">
        <v>24392</v>
      </c>
      <c r="H2992" t="s">
        <v>24363</v>
      </c>
      <c r="I2992" t="s">
        <v>24393</v>
      </c>
      <c r="K2992" t="s">
        <v>22428</v>
      </c>
      <c r="L2992" t="s">
        <v>22428</v>
      </c>
      <c r="M2992" t="s">
        <v>7250</v>
      </c>
      <c r="N2992">
        <v>2012</v>
      </c>
      <c r="R2992">
        <v>10</v>
      </c>
      <c r="S2992" t="s">
        <v>8257</v>
      </c>
      <c r="T2992">
        <v>10</v>
      </c>
      <c r="U2992">
        <v>4653.83</v>
      </c>
      <c r="V2992" t="s">
        <v>6546</v>
      </c>
      <c r="W2992">
        <v>461.63</v>
      </c>
      <c r="X2992">
        <v>461.63</v>
      </c>
      <c r="AA2992" t="s">
        <v>24363</v>
      </c>
      <c r="AC2992" t="s">
        <v>9852</v>
      </c>
      <c r="AD2992" t="s">
        <v>23794</v>
      </c>
      <c r="AE2992" t="s">
        <v>3030</v>
      </c>
      <c r="AG2992" t="s">
        <v>4716</v>
      </c>
      <c r="AH2992" t="s">
        <v>3058</v>
      </c>
      <c r="AI2992" t="s">
        <v>9852</v>
      </c>
      <c r="AL2992" t="s">
        <v>24367</v>
      </c>
      <c r="AO2992" t="s">
        <v>24394</v>
      </c>
    </row>
    <row r="2993" spans="1:41" hidden="1" x14ac:dyDescent="0.35">
      <c r="A2993" t="s">
        <v>24395</v>
      </c>
      <c r="B2993" t="s">
        <v>7246</v>
      </c>
      <c r="C2993" t="s">
        <v>84</v>
      </c>
      <c r="D2993" t="s">
        <v>84</v>
      </c>
      <c r="E2993" t="s">
        <v>84</v>
      </c>
      <c r="G2993" s="13" t="s">
        <v>24396</v>
      </c>
      <c r="H2993" t="s">
        <v>24363</v>
      </c>
      <c r="I2993" t="s">
        <v>24397</v>
      </c>
      <c r="K2993" t="s">
        <v>22428</v>
      </c>
      <c r="L2993" t="s">
        <v>22428</v>
      </c>
      <c r="M2993" t="s">
        <v>7250</v>
      </c>
      <c r="N2993">
        <v>2011</v>
      </c>
      <c r="R2993">
        <v>3</v>
      </c>
      <c r="S2993" t="s">
        <v>8257</v>
      </c>
      <c r="T2993">
        <v>3</v>
      </c>
      <c r="U2993">
        <v>1396.15</v>
      </c>
      <c r="V2993" t="s">
        <v>6546</v>
      </c>
      <c r="W2993">
        <v>259.49</v>
      </c>
      <c r="X2993">
        <v>259.49</v>
      </c>
      <c r="AA2993" t="s">
        <v>24363</v>
      </c>
      <c r="AB2993" t="s">
        <v>24398</v>
      </c>
      <c r="AC2993" t="s">
        <v>9852</v>
      </c>
      <c r="AD2993" t="s">
        <v>4440</v>
      </c>
      <c r="AE2993" t="s">
        <v>3044</v>
      </c>
      <c r="AG2993" t="s">
        <v>4516</v>
      </c>
      <c r="AH2993" t="s">
        <v>3038</v>
      </c>
      <c r="AI2993" t="s">
        <v>9852</v>
      </c>
      <c r="AL2993" t="s">
        <v>24367</v>
      </c>
      <c r="AO2993" t="s">
        <v>24399</v>
      </c>
    </row>
    <row r="2994" spans="1:41" hidden="1" x14ac:dyDescent="0.35">
      <c r="A2994" t="s">
        <v>24400</v>
      </c>
      <c r="B2994" t="s">
        <v>7246</v>
      </c>
      <c r="C2994" t="s">
        <v>84</v>
      </c>
      <c r="D2994" t="s">
        <v>84</v>
      </c>
      <c r="E2994" t="s">
        <v>84</v>
      </c>
      <c r="G2994" s="13" t="s">
        <v>24362</v>
      </c>
      <c r="H2994" t="s">
        <v>24363</v>
      </c>
      <c r="J2994" t="s">
        <v>24401</v>
      </c>
      <c r="K2994" t="s">
        <v>23469</v>
      </c>
      <c r="L2994" t="s">
        <v>22257</v>
      </c>
      <c r="M2994" t="s">
        <v>7250</v>
      </c>
      <c r="N2994">
        <v>2012</v>
      </c>
      <c r="R2994">
        <v>30</v>
      </c>
      <c r="S2994" t="s">
        <v>8257</v>
      </c>
      <c r="T2994">
        <v>30</v>
      </c>
      <c r="U2994">
        <v>13961.5</v>
      </c>
      <c r="V2994">
        <v>9102</v>
      </c>
      <c r="W2994">
        <v>7541.37</v>
      </c>
      <c r="X2994">
        <v>9102</v>
      </c>
      <c r="AB2994" t="s">
        <v>24330</v>
      </c>
      <c r="AC2994" t="s">
        <v>9852</v>
      </c>
      <c r="AE2994" t="s">
        <v>4824</v>
      </c>
      <c r="AG2994" t="s">
        <v>4230</v>
      </c>
      <c r="AH2994" t="s">
        <v>3016</v>
      </c>
      <c r="AI2994" t="s">
        <v>9852</v>
      </c>
      <c r="AL2994" t="s">
        <v>24367</v>
      </c>
      <c r="AO2994" t="s">
        <v>24402</v>
      </c>
    </row>
    <row r="2995" spans="1:41" hidden="1" x14ac:dyDescent="0.35">
      <c r="A2995" t="s">
        <v>24403</v>
      </c>
      <c r="B2995" t="s">
        <v>7246</v>
      </c>
      <c r="C2995" t="s">
        <v>84</v>
      </c>
      <c r="D2995" t="s">
        <v>84</v>
      </c>
      <c r="E2995" t="s">
        <v>84</v>
      </c>
      <c r="G2995" s="13" t="s">
        <v>24373</v>
      </c>
      <c r="H2995" t="s">
        <v>24363</v>
      </c>
      <c r="I2995" t="s">
        <v>24404</v>
      </c>
      <c r="K2995" t="s">
        <v>6543</v>
      </c>
      <c r="L2995" t="s">
        <v>6543</v>
      </c>
      <c r="M2995" t="s">
        <v>7250</v>
      </c>
      <c r="N2995">
        <v>2012</v>
      </c>
      <c r="R2995">
        <v>10</v>
      </c>
      <c r="S2995" t="s">
        <v>8257</v>
      </c>
      <c r="T2995">
        <v>10</v>
      </c>
      <c r="U2995">
        <v>4653.83</v>
      </c>
      <c r="V2995" t="s">
        <v>6546</v>
      </c>
      <c r="W2995">
        <v>550.65</v>
      </c>
      <c r="X2995">
        <v>550.65</v>
      </c>
      <c r="AA2995" t="s">
        <v>24363</v>
      </c>
      <c r="AB2995" t="s">
        <v>24405</v>
      </c>
      <c r="AC2995" t="s">
        <v>9852</v>
      </c>
      <c r="AD2995" t="s">
        <v>24406</v>
      </c>
      <c r="AE2995" t="s">
        <v>4230</v>
      </c>
      <c r="AF2995" t="s">
        <v>24407</v>
      </c>
      <c r="AG2995" t="s">
        <v>4279</v>
      </c>
      <c r="AH2995" t="s">
        <v>4255</v>
      </c>
      <c r="AI2995" t="s">
        <v>9852</v>
      </c>
      <c r="AL2995" t="s">
        <v>24367</v>
      </c>
      <c r="AO2995" t="s">
        <v>24408</v>
      </c>
    </row>
    <row r="2996" spans="1:41" hidden="1" x14ac:dyDescent="0.35">
      <c r="A2996" t="s">
        <v>24409</v>
      </c>
      <c r="B2996" t="s">
        <v>7246</v>
      </c>
      <c r="C2996" t="s">
        <v>84</v>
      </c>
      <c r="D2996" t="s">
        <v>84</v>
      </c>
      <c r="E2996" t="s">
        <v>84</v>
      </c>
      <c r="G2996" s="13" t="s">
        <v>24362</v>
      </c>
      <c r="H2996" t="s">
        <v>24363</v>
      </c>
      <c r="I2996" t="s">
        <v>24410</v>
      </c>
      <c r="K2996" t="s">
        <v>22428</v>
      </c>
      <c r="L2996" t="s">
        <v>22428</v>
      </c>
      <c r="M2996" t="s">
        <v>7250</v>
      </c>
      <c r="N2996">
        <v>2012</v>
      </c>
      <c r="R2996" t="s">
        <v>24411</v>
      </c>
      <c r="S2996" t="s">
        <v>8257</v>
      </c>
      <c r="T2996" t="s">
        <v>6546</v>
      </c>
      <c r="U2996" t="s">
        <v>6546</v>
      </c>
      <c r="V2996" t="s">
        <v>6546</v>
      </c>
      <c r="W2996" t="s">
        <v>6546</v>
      </c>
      <c r="X2996" t="s">
        <v>6546</v>
      </c>
      <c r="AA2996" t="s">
        <v>24363</v>
      </c>
      <c r="AC2996" t="s">
        <v>9852</v>
      </c>
      <c r="AD2996" t="s">
        <v>4230</v>
      </c>
      <c r="AE2996" t="s">
        <v>3016</v>
      </c>
      <c r="AF2996" t="s">
        <v>24412</v>
      </c>
      <c r="AG2996" t="s">
        <v>23334</v>
      </c>
      <c r="AH2996" t="s">
        <v>3016</v>
      </c>
      <c r="AI2996" t="s">
        <v>9852</v>
      </c>
      <c r="AL2996" t="s">
        <v>24367</v>
      </c>
      <c r="AO2996" t="s">
        <v>6546</v>
      </c>
    </row>
    <row r="2997" spans="1:41" hidden="1" x14ac:dyDescent="0.35">
      <c r="A2997" t="s">
        <v>24413</v>
      </c>
      <c r="B2997" t="s">
        <v>7246</v>
      </c>
      <c r="C2997" t="s">
        <v>84</v>
      </c>
      <c r="D2997" t="s">
        <v>84</v>
      </c>
      <c r="E2997" t="s">
        <v>84</v>
      </c>
      <c r="G2997" s="13" t="s">
        <v>24414</v>
      </c>
      <c r="H2997" t="s">
        <v>24415</v>
      </c>
      <c r="J2997" t="s">
        <v>24416</v>
      </c>
      <c r="K2997" t="s">
        <v>6543</v>
      </c>
      <c r="L2997" t="s">
        <v>6543</v>
      </c>
      <c r="M2997" t="s">
        <v>7292</v>
      </c>
      <c r="R2997">
        <v>45</v>
      </c>
      <c r="S2997" t="s">
        <v>8257</v>
      </c>
      <c r="T2997">
        <v>45</v>
      </c>
      <c r="U2997">
        <v>20942.25</v>
      </c>
      <c r="V2997">
        <v>3200</v>
      </c>
      <c r="W2997">
        <v>2906.84</v>
      </c>
      <c r="X2997">
        <v>3200</v>
      </c>
      <c r="AB2997" t="s">
        <v>24417</v>
      </c>
      <c r="AC2997" t="s">
        <v>9852</v>
      </c>
      <c r="AE2997" t="s">
        <v>4824</v>
      </c>
      <c r="AG2997" t="s">
        <v>4669</v>
      </c>
      <c r="AH2997" t="s">
        <v>4666</v>
      </c>
      <c r="AI2997" t="s">
        <v>9852</v>
      </c>
      <c r="AL2997" t="s">
        <v>24418</v>
      </c>
      <c r="AO2997" t="s">
        <v>24419</v>
      </c>
    </row>
    <row r="2998" spans="1:41" hidden="1" x14ac:dyDescent="0.35">
      <c r="A2998" t="s">
        <v>24420</v>
      </c>
      <c r="B2998" t="s">
        <v>7246</v>
      </c>
      <c r="C2998" t="s">
        <v>84</v>
      </c>
      <c r="D2998" t="s">
        <v>84</v>
      </c>
      <c r="E2998" t="s">
        <v>84</v>
      </c>
      <c r="G2998" s="13" t="s">
        <v>24421</v>
      </c>
      <c r="H2998" t="s">
        <v>24422</v>
      </c>
      <c r="J2998" t="s">
        <v>24423</v>
      </c>
      <c r="K2998" t="s">
        <v>22257</v>
      </c>
      <c r="L2998" t="s">
        <v>22257</v>
      </c>
      <c r="M2998" t="s">
        <v>7250</v>
      </c>
      <c r="R2998">
        <v>15</v>
      </c>
      <c r="S2998" t="s">
        <v>8257</v>
      </c>
      <c r="T2998">
        <v>15</v>
      </c>
      <c r="U2998">
        <v>6980.75</v>
      </c>
      <c r="V2998">
        <v>3123</v>
      </c>
      <c r="W2998">
        <v>2906.84</v>
      </c>
      <c r="X2998">
        <v>3123</v>
      </c>
      <c r="Y2998">
        <v>1219</v>
      </c>
      <c r="Z2998" t="s">
        <v>8842</v>
      </c>
      <c r="AB2998" t="s">
        <v>24349</v>
      </c>
      <c r="AC2998" t="s">
        <v>9852</v>
      </c>
      <c r="AE2998" t="s">
        <v>4824</v>
      </c>
      <c r="AG2998" t="s">
        <v>4669</v>
      </c>
      <c r="AH2998" t="s">
        <v>4666</v>
      </c>
      <c r="AI2998" t="s">
        <v>9852</v>
      </c>
      <c r="AL2998" t="s">
        <v>24424</v>
      </c>
      <c r="AO2998" t="s">
        <v>24419</v>
      </c>
    </row>
    <row r="2999" spans="1:41" hidden="1" x14ac:dyDescent="0.35">
      <c r="A2999" t="s">
        <v>24425</v>
      </c>
      <c r="B2999" t="s">
        <v>7246</v>
      </c>
      <c r="C2999" t="s">
        <v>84</v>
      </c>
      <c r="D2999" t="s">
        <v>84</v>
      </c>
      <c r="E2999" t="s">
        <v>84</v>
      </c>
      <c r="G2999" s="13" t="s">
        <v>24421</v>
      </c>
      <c r="H2999" t="s">
        <v>24422</v>
      </c>
      <c r="I2999" t="s">
        <v>7331</v>
      </c>
      <c r="J2999" t="s">
        <v>24423</v>
      </c>
      <c r="K2999" t="s">
        <v>22257</v>
      </c>
      <c r="L2999" t="s">
        <v>22257</v>
      </c>
      <c r="M2999" t="s">
        <v>7415</v>
      </c>
      <c r="R2999">
        <v>40</v>
      </c>
      <c r="S2999" t="s">
        <v>8257</v>
      </c>
      <c r="T2999">
        <v>40</v>
      </c>
      <c r="U2999">
        <v>18615.34</v>
      </c>
      <c r="V2999" t="s">
        <v>6546</v>
      </c>
      <c r="W2999" t="s">
        <v>6546</v>
      </c>
      <c r="X2999" t="s">
        <v>6546</v>
      </c>
      <c r="AB2999" t="s">
        <v>24349</v>
      </c>
      <c r="AC2999" t="s">
        <v>9852</v>
      </c>
      <c r="AE2999" t="s">
        <v>4824</v>
      </c>
      <c r="AG2999" t="s">
        <v>4669</v>
      </c>
      <c r="AH2999" t="s">
        <v>4666</v>
      </c>
      <c r="AI2999" t="s">
        <v>9852</v>
      </c>
      <c r="AL2999" t="s">
        <v>24424</v>
      </c>
      <c r="AO2999" t="s">
        <v>6546</v>
      </c>
    </row>
    <row r="3000" spans="1:41" hidden="1" x14ac:dyDescent="0.35">
      <c r="A3000" t="s">
        <v>24426</v>
      </c>
      <c r="B3000" t="s">
        <v>7246</v>
      </c>
      <c r="C3000" t="s">
        <v>84</v>
      </c>
      <c r="D3000" t="s">
        <v>84</v>
      </c>
      <c r="E3000" t="s">
        <v>84</v>
      </c>
      <c r="G3000" s="13" t="s">
        <v>24427</v>
      </c>
      <c r="H3000" t="s">
        <v>24428</v>
      </c>
      <c r="I3000" t="s">
        <v>24429</v>
      </c>
      <c r="K3000" t="s">
        <v>24430</v>
      </c>
      <c r="L3000" t="s">
        <v>24431</v>
      </c>
      <c r="M3000" t="s">
        <v>7250</v>
      </c>
      <c r="N3000">
        <v>2021</v>
      </c>
      <c r="R3000">
        <v>0.95</v>
      </c>
      <c r="S3000" t="s">
        <v>8257</v>
      </c>
      <c r="T3000">
        <v>0.95</v>
      </c>
      <c r="U3000">
        <v>439.79</v>
      </c>
      <c r="V3000">
        <v>205.8</v>
      </c>
      <c r="W3000" t="s">
        <v>6546</v>
      </c>
      <c r="X3000">
        <v>205.8</v>
      </c>
      <c r="Y3000">
        <v>406.4</v>
      </c>
      <c r="Z3000" t="s">
        <v>8842</v>
      </c>
      <c r="AC3000" t="s">
        <v>9852</v>
      </c>
      <c r="AE3000" t="s">
        <v>4291</v>
      </c>
      <c r="AH3000" t="s">
        <v>4291</v>
      </c>
      <c r="AI3000" t="s">
        <v>9852</v>
      </c>
      <c r="AL3000" t="s">
        <v>24432</v>
      </c>
      <c r="AO3000" t="s">
        <v>6546</v>
      </c>
    </row>
    <row r="3001" spans="1:41" hidden="1" x14ac:dyDescent="0.35">
      <c r="A3001" t="s">
        <v>24433</v>
      </c>
      <c r="B3001" t="s">
        <v>7246</v>
      </c>
      <c r="C3001" t="s">
        <v>84</v>
      </c>
      <c r="D3001" t="s">
        <v>84</v>
      </c>
      <c r="E3001" t="s">
        <v>84</v>
      </c>
      <c r="G3001" s="13" t="s">
        <v>24427</v>
      </c>
      <c r="H3001" t="s">
        <v>24428</v>
      </c>
      <c r="I3001" t="s">
        <v>24434</v>
      </c>
      <c r="K3001" t="s">
        <v>6543</v>
      </c>
      <c r="L3001" t="s">
        <v>6543</v>
      </c>
      <c r="M3001" t="s">
        <v>7292</v>
      </c>
      <c r="T3001" t="s">
        <v>6546</v>
      </c>
      <c r="U3001" t="s">
        <v>6546</v>
      </c>
      <c r="V3001" t="s">
        <v>6546</v>
      </c>
      <c r="W3001" t="s">
        <v>6546</v>
      </c>
      <c r="X3001" t="s">
        <v>6546</v>
      </c>
      <c r="AC3001" t="s">
        <v>9852</v>
      </c>
      <c r="AE3001" t="s">
        <v>4291</v>
      </c>
      <c r="AH3001" t="s">
        <v>4291</v>
      </c>
      <c r="AI3001" t="s">
        <v>9852</v>
      </c>
      <c r="AL3001" t="s">
        <v>24432</v>
      </c>
      <c r="AO3001" t="s">
        <v>6546</v>
      </c>
    </row>
    <row r="3002" spans="1:41" hidden="1" x14ac:dyDescent="0.35">
      <c r="A3002" t="s">
        <v>24435</v>
      </c>
      <c r="B3002" t="s">
        <v>7246</v>
      </c>
      <c r="C3002" t="s">
        <v>84</v>
      </c>
      <c r="D3002" t="s">
        <v>84</v>
      </c>
      <c r="E3002" t="s">
        <v>84</v>
      </c>
      <c r="G3002" s="13" t="s">
        <v>24427</v>
      </c>
      <c r="H3002" t="s">
        <v>24428</v>
      </c>
      <c r="I3002" t="s">
        <v>24436</v>
      </c>
      <c r="K3002" t="s">
        <v>6543</v>
      </c>
      <c r="L3002" t="s">
        <v>6543</v>
      </c>
      <c r="M3002" t="s">
        <v>7415</v>
      </c>
      <c r="N3002">
        <v>2021</v>
      </c>
      <c r="R3002">
        <v>0.15</v>
      </c>
      <c r="S3002" t="s">
        <v>8257</v>
      </c>
      <c r="T3002">
        <v>0.15</v>
      </c>
      <c r="U3002">
        <v>69.81</v>
      </c>
      <c r="V3002">
        <v>15.2</v>
      </c>
      <c r="W3002" t="s">
        <v>6546</v>
      </c>
      <c r="X3002">
        <v>15.2</v>
      </c>
      <c r="AC3002" t="s">
        <v>9852</v>
      </c>
      <c r="AE3002" t="s">
        <v>4291</v>
      </c>
      <c r="AH3002" t="s">
        <v>4291</v>
      </c>
      <c r="AI3002" t="s">
        <v>9852</v>
      </c>
      <c r="AL3002" t="s">
        <v>24432</v>
      </c>
      <c r="AO3002" t="s">
        <v>6546</v>
      </c>
    </row>
    <row r="3003" spans="1:41" hidden="1" x14ac:dyDescent="0.35">
      <c r="A3003" t="s">
        <v>24437</v>
      </c>
      <c r="B3003" t="s">
        <v>7246</v>
      </c>
      <c r="C3003" t="s">
        <v>84</v>
      </c>
      <c r="D3003" t="s">
        <v>84</v>
      </c>
      <c r="E3003" t="s">
        <v>84</v>
      </c>
      <c r="G3003" s="13" t="s">
        <v>24427</v>
      </c>
      <c r="H3003" t="s">
        <v>24428</v>
      </c>
      <c r="I3003" t="s">
        <v>24438</v>
      </c>
      <c r="K3003" t="s">
        <v>24439</v>
      </c>
      <c r="L3003" t="s">
        <v>24440</v>
      </c>
      <c r="M3003" t="s">
        <v>7292</v>
      </c>
      <c r="T3003" t="s">
        <v>6546</v>
      </c>
      <c r="U3003" t="s">
        <v>6546</v>
      </c>
      <c r="V3003">
        <v>146</v>
      </c>
      <c r="W3003" t="s">
        <v>6546</v>
      </c>
      <c r="X3003">
        <v>146</v>
      </c>
      <c r="Y3003" t="s">
        <v>24441</v>
      </c>
      <c r="Z3003" t="s">
        <v>8842</v>
      </c>
      <c r="AC3003" t="s">
        <v>9852</v>
      </c>
      <c r="AE3003" t="s">
        <v>4291</v>
      </c>
      <c r="AH3003" t="s">
        <v>4291</v>
      </c>
      <c r="AI3003" t="s">
        <v>9852</v>
      </c>
      <c r="AL3003" t="s">
        <v>24432</v>
      </c>
      <c r="AO3003" t="s">
        <v>6546</v>
      </c>
    </row>
    <row r="3004" spans="1:41" hidden="1" x14ac:dyDescent="0.35">
      <c r="A3004" t="s">
        <v>24442</v>
      </c>
      <c r="B3004" t="s">
        <v>7246</v>
      </c>
      <c r="C3004" t="s">
        <v>84</v>
      </c>
      <c r="D3004" t="s">
        <v>84</v>
      </c>
      <c r="E3004" t="s">
        <v>84</v>
      </c>
      <c r="G3004" s="13" t="s">
        <v>24427</v>
      </c>
      <c r="H3004" t="s">
        <v>24428</v>
      </c>
      <c r="I3004" t="s">
        <v>24443</v>
      </c>
      <c r="K3004" t="s">
        <v>24444</v>
      </c>
      <c r="L3004" t="s">
        <v>24445</v>
      </c>
      <c r="M3004" t="s">
        <v>7292</v>
      </c>
      <c r="T3004" t="s">
        <v>6546</v>
      </c>
      <c r="U3004" t="s">
        <v>6546</v>
      </c>
      <c r="V3004" t="s">
        <v>6546</v>
      </c>
      <c r="W3004" t="s">
        <v>6546</v>
      </c>
      <c r="X3004" t="s">
        <v>6546</v>
      </c>
      <c r="AC3004" t="s">
        <v>9852</v>
      </c>
      <c r="AE3004" t="s">
        <v>4291</v>
      </c>
      <c r="AH3004" t="s">
        <v>4291</v>
      </c>
      <c r="AI3004" t="s">
        <v>9852</v>
      </c>
      <c r="AL3004" t="s">
        <v>24432</v>
      </c>
      <c r="AO3004" t="s">
        <v>6546</v>
      </c>
    </row>
    <row r="3005" spans="1:41" hidden="1" x14ac:dyDescent="0.35">
      <c r="A3005" t="s">
        <v>24446</v>
      </c>
      <c r="B3005" t="s">
        <v>7246</v>
      </c>
      <c r="C3005" t="s">
        <v>84</v>
      </c>
      <c r="D3005" t="s">
        <v>84</v>
      </c>
      <c r="E3005" t="s">
        <v>84</v>
      </c>
      <c r="G3005" s="13" t="s">
        <v>24427</v>
      </c>
      <c r="H3005" t="s">
        <v>24428</v>
      </c>
      <c r="I3005" t="s">
        <v>24447</v>
      </c>
      <c r="K3005" t="s">
        <v>24444</v>
      </c>
      <c r="L3005" t="s">
        <v>24445</v>
      </c>
      <c r="M3005" t="s">
        <v>7292</v>
      </c>
      <c r="T3005" t="s">
        <v>6546</v>
      </c>
      <c r="U3005" t="s">
        <v>6546</v>
      </c>
      <c r="V3005" t="s">
        <v>6546</v>
      </c>
      <c r="W3005" t="s">
        <v>6546</v>
      </c>
      <c r="X3005" t="s">
        <v>6546</v>
      </c>
      <c r="AC3005" t="s">
        <v>9852</v>
      </c>
      <c r="AE3005" t="s">
        <v>4291</v>
      </c>
      <c r="AH3005" t="s">
        <v>4291</v>
      </c>
      <c r="AI3005" t="s">
        <v>9852</v>
      </c>
      <c r="AL3005" t="s">
        <v>24432</v>
      </c>
      <c r="AO3005" t="s">
        <v>6546</v>
      </c>
    </row>
    <row r="3006" spans="1:41" hidden="1" x14ac:dyDescent="0.35">
      <c r="A3006" t="s">
        <v>24448</v>
      </c>
      <c r="B3006" t="s">
        <v>7246</v>
      </c>
      <c r="C3006" t="s">
        <v>84</v>
      </c>
      <c r="D3006" t="s">
        <v>84</v>
      </c>
      <c r="E3006" t="s">
        <v>84</v>
      </c>
      <c r="G3006" s="13" t="s">
        <v>24427</v>
      </c>
      <c r="H3006" t="s">
        <v>24428</v>
      </c>
      <c r="I3006" t="s">
        <v>24449</v>
      </c>
      <c r="K3006" t="s">
        <v>24444</v>
      </c>
      <c r="L3006" t="s">
        <v>24445</v>
      </c>
      <c r="M3006" t="s">
        <v>7292</v>
      </c>
      <c r="T3006" t="s">
        <v>6546</v>
      </c>
      <c r="U3006" t="s">
        <v>6546</v>
      </c>
      <c r="V3006" t="s">
        <v>6546</v>
      </c>
      <c r="W3006" t="s">
        <v>6546</v>
      </c>
      <c r="X3006" t="s">
        <v>6546</v>
      </c>
      <c r="AC3006" t="s">
        <v>9852</v>
      </c>
      <c r="AE3006" t="s">
        <v>4291</v>
      </c>
      <c r="AH3006" t="s">
        <v>4291</v>
      </c>
      <c r="AI3006" t="s">
        <v>9852</v>
      </c>
      <c r="AL3006" t="s">
        <v>24432</v>
      </c>
      <c r="AO3006" t="s">
        <v>6546</v>
      </c>
    </row>
    <row r="3007" spans="1:41" hidden="1" x14ac:dyDescent="0.35">
      <c r="A3007" t="s">
        <v>24450</v>
      </c>
      <c r="B3007" t="s">
        <v>7246</v>
      </c>
      <c r="C3007" t="s">
        <v>84</v>
      </c>
      <c r="D3007" t="s">
        <v>84</v>
      </c>
      <c r="E3007" t="s">
        <v>84</v>
      </c>
      <c r="G3007" s="13" t="s">
        <v>24427</v>
      </c>
      <c r="H3007" t="s">
        <v>24428</v>
      </c>
      <c r="I3007" t="s">
        <v>24451</v>
      </c>
      <c r="K3007" t="s">
        <v>24444</v>
      </c>
      <c r="L3007" t="s">
        <v>24445</v>
      </c>
      <c r="M3007" t="s">
        <v>7292</v>
      </c>
      <c r="T3007" t="s">
        <v>6546</v>
      </c>
      <c r="U3007" t="s">
        <v>6546</v>
      </c>
      <c r="V3007" t="s">
        <v>6546</v>
      </c>
      <c r="W3007" t="s">
        <v>6546</v>
      </c>
      <c r="X3007" t="s">
        <v>6546</v>
      </c>
      <c r="AC3007" t="s">
        <v>9852</v>
      </c>
      <c r="AE3007" t="s">
        <v>4291</v>
      </c>
      <c r="AH3007" t="s">
        <v>4291</v>
      </c>
      <c r="AI3007" t="s">
        <v>9852</v>
      </c>
      <c r="AL3007" t="s">
        <v>24432</v>
      </c>
      <c r="AO3007" t="s">
        <v>6546</v>
      </c>
    </row>
    <row r="3008" spans="1:41" hidden="1" x14ac:dyDescent="0.35">
      <c r="A3008" t="s">
        <v>24452</v>
      </c>
      <c r="B3008" t="s">
        <v>7246</v>
      </c>
      <c r="C3008" t="s">
        <v>84</v>
      </c>
      <c r="D3008" t="s">
        <v>84</v>
      </c>
      <c r="E3008" t="s">
        <v>84</v>
      </c>
      <c r="G3008" s="13" t="s">
        <v>24427</v>
      </c>
      <c r="H3008" t="s">
        <v>24428</v>
      </c>
      <c r="I3008" t="s">
        <v>24453</v>
      </c>
      <c r="K3008" t="s">
        <v>24444</v>
      </c>
      <c r="L3008" t="s">
        <v>24445</v>
      </c>
      <c r="M3008" t="s">
        <v>7415</v>
      </c>
      <c r="R3008">
        <v>3</v>
      </c>
      <c r="S3008" t="s">
        <v>8257</v>
      </c>
      <c r="T3008">
        <v>3</v>
      </c>
      <c r="U3008">
        <v>1396.15</v>
      </c>
      <c r="V3008">
        <v>150</v>
      </c>
      <c r="W3008" t="s">
        <v>6546</v>
      </c>
      <c r="X3008">
        <v>150</v>
      </c>
      <c r="Y3008">
        <v>610</v>
      </c>
      <c r="Z3008" t="s">
        <v>8842</v>
      </c>
      <c r="AC3008" t="s">
        <v>9852</v>
      </c>
      <c r="AE3008" t="s">
        <v>4291</v>
      </c>
      <c r="AH3008" t="s">
        <v>4291</v>
      </c>
      <c r="AI3008" t="s">
        <v>9852</v>
      </c>
      <c r="AL3008" t="s">
        <v>24432</v>
      </c>
      <c r="AO3008" t="s">
        <v>6546</v>
      </c>
    </row>
    <row r="3009" spans="1:41" hidden="1" x14ac:dyDescent="0.35">
      <c r="A3009" t="s">
        <v>24454</v>
      </c>
      <c r="B3009" t="s">
        <v>7246</v>
      </c>
      <c r="C3009" t="s">
        <v>84</v>
      </c>
      <c r="D3009" t="s">
        <v>84</v>
      </c>
      <c r="E3009" t="s">
        <v>84</v>
      </c>
      <c r="G3009" s="13" t="s">
        <v>24427</v>
      </c>
      <c r="H3009" t="s">
        <v>24428</v>
      </c>
      <c r="I3009" t="s">
        <v>24455</v>
      </c>
      <c r="K3009" t="s">
        <v>24444</v>
      </c>
      <c r="L3009" t="s">
        <v>24445</v>
      </c>
      <c r="M3009" t="s">
        <v>7292</v>
      </c>
      <c r="T3009" t="s">
        <v>6546</v>
      </c>
      <c r="U3009" t="s">
        <v>6546</v>
      </c>
      <c r="V3009" t="s">
        <v>6546</v>
      </c>
      <c r="W3009" t="s">
        <v>6546</v>
      </c>
      <c r="X3009" t="s">
        <v>6546</v>
      </c>
      <c r="AC3009" t="s">
        <v>9852</v>
      </c>
      <c r="AE3009" t="s">
        <v>4291</v>
      </c>
      <c r="AH3009" t="s">
        <v>4291</v>
      </c>
      <c r="AI3009" t="s">
        <v>9852</v>
      </c>
      <c r="AL3009" t="s">
        <v>24432</v>
      </c>
      <c r="AO3009" t="s">
        <v>6546</v>
      </c>
    </row>
    <row r="3010" spans="1:41" hidden="1" x14ac:dyDescent="0.35">
      <c r="A3010" t="s">
        <v>24456</v>
      </c>
      <c r="B3010" t="s">
        <v>7246</v>
      </c>
      <c r="C3010" t="s">
        <v>84</v>
      </c>
      <c r="D3010" t="s">
        <v>84</v>
      </c>
      <c r="E3010" t="s">
        <v>84</v>
      </c>
      <c r="G3010" s="13" t="s">
        <v>24427</v>
      </c>
      <c r="H3010" t="s">
        <v>24428</v>
      </c>
      <c r="I3010" t="s">
        <v>24457</v>
      </c>
      <c r="K3010" t="s">
        <v>24458</v>
      </c>
      <c r="L3010" t="s">
        <v>24458</v>
      </c>
      <c r="M3010" t="s">
        <v>7292</v>
      </c>
      <c r="T3010" t="s">
        <v>6546</v>
      </c>
      <c r="U3010" t="s">
        <v>6546</v>
      </c>
      <c r="V3010">
        <v>70</v>
      </c>
      <c r="W3010" t="s">
        <v>6546</v>
      </c>
      <c r="X3010">
        <v>70</v>
      </c>
      <c r="Y3010">
        <v>400</v>
      </c>
      <c r="Z3010" t="s">
        <v>8842</v>
      </c>
      <c r="AC3010" t="s">
        <v>9852</v>
      </c>
      <c r="AE3010" t="s">
        <v>4291</v>
      </c>
      <c r="AH3010" t="s">
        <v>4291</v>
      </c>
      <c r="AI3010" t="s">
        <v>9852</v>
      </c>
      <c r="AL3010" t="s">
        <v>24432</v>
      </c>
      <c r="AO3010" t="s">
        <v>6546</v>
      </c>
    </row>
    <row r="3011" spans="1:41" hidden="1" x14ac:dyDescent="0.35">
      <c r="A3011" t="s">
        <v>24459</v>
      </c>
      <c r="B3011" t="s">
        <v>7246</v>
      </c>
      <c r="C3011" t="s">
        <v>84</v>
      </c>
      <c r="D3011" t="s">
        <v>84</v>
      </c>
      <c r="E3011" t="s">
        <v>84</v>
      </c>
      <c r="G3011" s="13" t="s">
        <v>24427</v>
      </c>
      <c r="H3011" t="s">
        <v>24428</v>
      </c>
      <c r="I3011" t="s">
        <v>24460</v>
      </c>
      <c r="K3011" t="s">
        <v>6543</v>
      </c>
      <c r="L3011" t="s">
        <v>6543</v>
      </c>
      <c r="M3011" t="s">
        <v>7292</v>
      </c>
      <c r="N3011">
        <v>2025</v>
      </c>
      <c r="T3011" t="s">
        <v>6546</v>
      </c>
      <c r="U3011" t="s">
        <v>6546</v>
      </c>
      <c r="V3011">
        <v>19.5</v>
      </c>
      <c r="W3011" t="s">
        <v>6546</v>
      </c>
      <c r="X3011">
        <v>19.5</v>
      </c>
      <c r="Y3011" t="s">
        <v>24461</v>
      </c>
      <c r="Z3011" t="s">
        <v>8842</v>
      </c>
      <c r="AC3011" t="s">
        <v>9852</v>
      </c>
      <c r="AE3011" t="s">
        <v>4291</v>
      </c>
      <c r="AH3011" t="s">
        <v>4291</v>
      </c>
      <c r="AI3011" t="s">
        <v>9852</v>
      </c>
      <c r="AL3011" t="s">
        <v>24432</v>
      </c>
      <c r="AO3011" t="s">
        <v>6546</v>
      </c>
    </row>
    <row r="3012" spans="1:41" hidden="1" x14ac:dyDescent="0.35">
      <c r="A3012" t="s">
        <v>24462</v>
      </c>
      <c r="B3012" t="s">
        <v>7246</v>
      </c>
      <c r="C3012" t="s">
        <v>84</v>
      </c>
      <c r="D3012" t="s">
        <v>84</v>
      </c>
      <c r="E3012" t="s">
        <v>84</v>
      </c>
      <c r="G3012" s="13" t="s">
        <v>24427</v>
      </c>
      <c r="H3012" t="s">
        <v>24428</v>
      </c>
      <c r="I3012" t="s">
        <v>24463</v>
      </c>
      <c r="K3012" t="s">
        <v>6543</v>
      </c>
      <c r="L3012" t="s">
        <v>6543</v>
      </c>
      <c r="M3012" t="s">
        <v>7292</v>
      </c>
      <c r="R3012">
        <v>3</v>
      </c>
      <c r="S3012" t="s">
        <v>8257</v>
      </c>
      <c r="T3012">
        <v>3</v>
      </c>
      <c r="U3012">
        <v>1396.15</v>
      </c>
      <c r="V3012">
        <v>452</v>
      </c>
      <c r="W3012" t="s">
        <v>6546</v>
      </c>
      <c r="X3012">
        <v>452</v>
      </c>
      <c r="Y3012">
        <v>610</v>
      </c>
      <c r="Z3012" t="s">
        <v>8842</v>
      </c>
      <c r="AB3012" t="s">
        <v>24464</v>
      </c>
      <c r="AC3012" t="s">
        <v>9852</v>
      </c>
      <c r="AD3012" t="s">
        <v>24465</v>
      </c>
      <c r="AE3012" t="s">
        <v>4291</v>
      </c>
      <c r="AF3012" t="s">
        <v>24466</v>
      </c>
      <c r="AG3012" t="s">
        <v>4295</v>
      </c>
      <c r="AH3012" t="s">
        <v>4291</v>
      </c>
      <c r="AI3012" t="s">
        <v>9852</v>
      </c>
      <c r="AL3012" t="s">
        <v>24432</v>
      </c>
      <c r="AO3012" t="s">
        <v>6546</v>
      </c>
    </row>
    <row r="3013" spans="1:41" hidden="1" x14ac:dyDescent="0.35">
      <c r="A3013" t="s">
        <v>24467</v>
      </c>
      <c r="B3013" t="s">
        <v>7246</v>
      </c>
      <c r="C3013" t="s">
        <v>84</v>
      </c>
      <c r="D3013" t="s">
        <v>84</v>
      </c>
      <c r="E3013" t="s">
        <v>84</v>
      </c>
      <c r="G3013" s="13" t="s">
        <v>24427</v>
      </c>
      <c r="H3013" t="s">
        <v>24428</v>
      </c>
      <c r="I3013" t="s">
        <v>24468</v>
      </c>
      <c r="K3013" t="s">
        <v>24444</v>
      </c>
      <c r="L3013" t="s">
        <v>24445</v>
      </c>
      <c r="M3013" t="s">
        <v>7250</v>
      </c>
      <c r="N3013">
        <v>2019</v>
      </c>
      <c r="R3013">
        <v>0.5</v>
      </c>
      <c r="S3013" t="s">
        <v>8257</v>
      </c>
      <c r="T3013">
        <v>0.5</v>
      </c>
      <c r="U3013">
        <v>232.69</v>
      </c>
      <c r="V3013">
        <v>67</v>
      </c>
      <c r="W3013">
        <v>39.520000000000003</v>
      </c>
      <c r="X3013">
        <v>67</v>
      </c>
      <c r="Y3013">
        <v>323.89999999999998</v>
      </c>
      <c r="Z3013" t="s">
        <v>8842</v>
      </c>
      <c r="AB3013" t="s">
        <v>24469</v>
      </c>
      <c r="AC3013" t="s">
        <v>9852</v>
      </c>
      <c r="AD3013" t="s">
        <v>24470</v>
      </c>
      <c r="AE3013" t="s">
        <v>4291</v>
      </c>
      <c r="AF3013" t="s">
        <v>24471</v>
      </c>
      <c r="AH3013" t="s">
        <v>4291</v>
      </c>
      <c r="AI3013" t="s">
        <v>9852</v>
      </c>
      <c r="AL3013" t="s">
        <v>24432</v>
      </c>
      <c r="AO3013" t="s">
        <v>24472</v>
      </c>
    </row>
    <row r="3014" spans="1:41" hidden="1" x14ac:dyDescent="0.35">
      <c r="A3014" t="s">
        <v>24473</v>
      </c>
      <c r="B3014" t="s">
        <v>7246</v>
      </c>
      <c r="C3014" t="s">
        <v>84</v>
      </c>
      <c r="D3014" t="s">
        <v>84</v>
      </c>
      <c r="E3014" t="s">
        <v>84</v>
      </c>
      <c r="G3014" s="13" t="s">
        <v>24427</v>
      </c>
      <c r="H3014" t="s">
        <v>24428</v>
      </c>
      <c r="I3014" t="s">
        <v>24474</v>
      </c>
      <c r="K3014" t="s">
        <v>6543</v>
      </c>
      <c r="L3014" t="s">
        <v>6543</v>
      </c>
      <c r="M3014" t="s">
        <v>7292</v>
      </c>
      <c r="R3014">
        <v>0.5</v>
      </c>
      <c r="S3014" t="s">
        <v>8257</v>
      </c>
      <c r="T3014">
        <v>0.5</v>
      </c>
      <c r="U3014">
        <v>232.69</v>
      </c>
      <c r="V3014">
        <v>90</v>
      </c>
      <c r="W3014" t="s">
        <v>6546</v>
      </c>
      <c r="X3014">
        <v>90</v>
      </c>
      <c r="Y3014">
        <v>323.89999999999998</v>
      </c>
      <c r="Z3014" t="s">
        <v>8842</v>
      </c>
      <c r="AB3014" t="s">
        <v>24475</v>
      </c>
      <c r="AC3014" t="s">
        <v>9852</v>
      </c>
      <c r="AD3014" t="s">
        <v>24476</v>
      </c>
      <c r="AE3014" t="s">
        <v>4178</v>
      </c>
      <c r="AF3014" t="s">
        <v>24477</v>
      </c>
      <c r="AG3014" t="s">
        <v>4301</v>
      </c>
      <c r="AH3014" t="s">
        <v>4291</v>
      </c>
      <c r="AI3014" t="s">
        <v>9852</v>
      </c>
      <c r="AL3014" t="s">
        <v>24432</v>
      </c>
      <c r="AO3014" t="s">
        <v>6546</v>
      </c>
    </row>
    <row r="3015" spans="1:41" hidden="1" x14ac:dyDescent="0.35">
      <c r="A3015" t="s">
        <v>24478</v>
      </c>
      <c r="B3015" t="s">
        <v>7246</v>
      </c>
      <c r="C3015" t="s">
        <v>84</v>
      </c>
      <c r="D3015" t="s">
        <v>84</v>
      </c>
      <c r="E3015" t="s">
        <v>84</v>
      </c>
      <c r="G3015" s="13" t="s">
        <v>24427</v>
      </c>
      <c r="H3015" t="s">
        <v>24428</v>
      </c>
      <c r="I3015" t="s">
        <v>24479</v>
      </c>
      <c r="K3015" t="s">
        <v>24444</v>
      </c>
      <c r="L3015" t="s">
        <v>24445</v>
      </c>
      <c r="M3015" t="s">
        <v>7415</v>
      </c>
      <c r="T3015" t="s">
        <v>6546</v>
      </c>
      <c r="U3015" t="s">
        <v>6546</v>
      </c>
      <c r="V3015">
        <v>117</v>
      </c>
      <c r="W3015" t="s">
        <v>6546</v>
      </c>
      <c r="X3015">
        <v>117</v>
      </c>
      <c r="AB3015" t="s">
        <v>24480</v>
      </c>
      <c r="AC3015" t="s">
        <v>9852</v>
      </c>
      <c r="AD3015" t="s">
        <v>4301</v>
      </c>
      <c r="AE3015" t="s">
        <v>4291</v>
      </c>
      <c r="AF3015" t="s">
        <v>24481</v>
      </c>
      <c r="AG3015" t="s">
        <v>4301</v>
      </c>
      <c r="AH3015" t="s">
        <v>4291</v>
      </c>
      <c r="AI3015" t="s">
        <v>9852</v>
      </c>
      <c r="AL3015" t="s">
        <v>24432</v>
      </c>
      <c r="AO3015" t="s">
        <v>6546</v>
      </c>
    </row>
    <row r="3016" spans="1:41" hidden="1" x14ac:dyDescent="0.35">
      <c r="A3016" t="s">
        <v>24482</v>
      </c>
      <c r="B3016" t="s">
        <v>7246</v>
      </c>
      <c r="C3016" t="s">
        <v>84</v>
      </c>
      <c r="D3016" t="s">
        <v>84</v>
      </c>
      <c r="E3016" t="s">
        <v>84</v>
      </c>
      <c r="G3016" s="13" t="s">
        <v>24427</v>
      </c>
      <c r="H3016" t="s">
        <v>24428</v>
      </c>
      <c r="I3016" t="s">
        <v>24483</v>
      </c>
      <c r="K3016" t="s">
        <v>24444</v>
      </c>
      <c r="L3016" t="s">
        <v>24445</v>
      </c>
      <c r="M3016" t="s">
        <v>7292</v>
      </c>
      <c r="R3016">
        <v>3</v>
      </c>
      <c r="S3016" t="s">
        <v>8257</v>
      </c>
      <c r="T3016">
        <v>3</v>
      </c>
      <c r="U3016">
        <v>1396.15</v>
      </c>
      <c r="V3016">
        <v>180</v>
      </c>
      <c r="W3016" t="s">
        <v>6546</v>
      </c>
      <c r="X3016">
        <v>180</v>
      </c>
      <c r="Y3016">
        <v>610</v>
      </c>
      <c r="Z3016" t="s">
        <v>8842</v>
      </c>
      <c r="AC3016" t="s">
        <v>9852</v>
      </c>
      <c r="AD3016" t="s">
        <v>24484</v>
      </c>
      <c r="AE3016" t="s">
        <v>4291</v>
      </c>
      <c r="AG3016" t="s">
        <v>24485</v>
      </c>
      <c r="AH3016" t="s">
        <v>4291</v>
      </c>
      <c r="AI3016" t="s">
        <v>9852</v>
      </c>
      <c r="AL3016" t="s">
        <v>24432</v>
      </c>
      <c r="AO3016" t="s">
        <v>6546</v>
      </c>
    </row>
    <row r="3017" spans="1:41" hidden="1" x14ac:dyDescent="0.35">
      <c r="A3017" t="s">
        <v>24486</v>
      </c>
      <c r="B3017" t="s">
        <v>7246</v>
      </c>
      <c r="C3017" t="s">
        <v>84</v>
      </c>
      <c r="D3017" t="s">
        <v>84</v>
      </c>
      <c r="E3017" t="s">
        <v>84</v>
      </c>
      <c r="G3017" s="13" t="s">
        <v>24427</v>
      </c>
      <c r="H3017" t="s">
        <v>24428</v>
      </c>
      <c r="I3017" t="s">
        <v>24487</v>
      </c>
      <c r="K3017" t="s">
        <v>24444</v>
      </c>
      <c r="L3017" t="s">
        <v>24445</v>
      </c>
      <c r="M3017" t="s">
        <v>7292</v>
      </c>
      <c r="R3017">
        <v>2</v>
      </c>
      <c r="S3017" t="s">
        <v>8257</v>
      </c>
      <c r="T3017">
        <v>2</v>
      </c>
      <c r="U3017">
        <v>930.77</v>
      </c>
      <c r="V3017">
        <v>20</v>
      </c>
      <c r="W3017" t="s">
        <v>6546</v>
      </c>
      <c r="X3017">
        <v>20</v>
      </c>
      <c r="Y3017">
        <v>406.4</v>
      </c>
      <c r="Z3017" t="s">
        <v>8842</v>
      </c>
      <c r="AB3017" t="s">
        <v>24488</v>
      </c>
      <c r="AC3017" t="s">
        <v>9852</v>
      </c>
      <c r="AD3017" t="s">
        <v>24465</v>
      </c>
      <c r="AE3017" t="s">
        <v>4291</v>
      </c>
      <c r="AF3017" t="s">
        <v>24489</v>
      </c>
      <c r="AG3017" t="s">
        <v>24490</v>
      </c>
      <c r="AH3017" t="s">
        <v>3038</v>
      </c>
      <c r="AI3017" t="s">
        <v>9852</v>
      </c>
      <c r="AL3017" t="s">
        <v>24432</v>
      </c>
      <c r="AO3017" t="s">
        <v>6546</v>
      </c>
    </row>
    <row r="3018" spans="1:41" hidden="1" x14ac:dyDescent="0.35">
      <c r="A3018" t="s">
        <v>24491</v>
      </c>
      <c r="B3018" t="s">
        <v>7246</v>
      </c>
      <c r="C3018" t="s">
        <v>84</v>
      </c>
      <c r="D3018" t="s">
        <v>84</v>
      </c>
      <c r="E3018" t="s">
        <v>84</v>
      </c>
      <c r="G3018" s="13" t="s">
        <v>24427</v>
      </c>
      <c r="H3018" t="s">
        <v>24428</v>
      </c>
      <c r="I3018" t="s">
        <v>24492</v>
      </c>
      <c r="K3018" t="s">
        <v>24493</v>
      </c>
      <c r="L3018" t="s">
        <v>24494</v>
      </c>
      <c r="M3018" t="s">
        <v>7250</v>
      </c>
      <c r="N3018">
        <v>2022</v>
      </c>
      <c r="R3018">
        <v>2.6</v>
      </c>
      <c r="S3018" t="s">
        <v>8257</v>
      </c>
      <c r="T3018">
        <v>2.6</v>
      </c>
      <c r="U3018">
        <v>1210</v>
      </c>
      <c r="V3018">
        <v>73</v>
      </c>
      <c r="W3018" t="s">
        <v>6546</v>
      </c>
      <c r="X3018">
        <v>73</v>
      </c>
      <c r="Y3018">
        <v>610</v>
      </c>
      <c r="Z3018" t="s">
        <v>8842</v>
      </c>
      <c r="AA3018" t="s">
        <v>24495</v>
      </c>
      <c r="AB3018" t="s">
        <v>24481</v>
      </c>
      <c r="AC3018" t="s">
        <v>9852</v>
      </c>
      <c r="AD3018" t="s">
        <v>4301</v>
      </c>
      <c r="AE3018" t="s">
        <v>4291</v>
      </c>
      <c r="AF3018" t="s">
        <v>3050</v>
      </c>
      <c r="AG3018" t="s">
        <v>4301</v>
      </c>
      <c r="AH3018" t="s">
        <v>4291</v>
      </c>
      <c r="AI3018" t="s">
        <v>9852</v>
      </c>
      <c r="AL3018" t="s">
        <v>24432</v>
      </c>
      <c r="AO3018" t="s">
        <v>6546</v>
      </c>
    </row>
    <row r="3019" spans="1:41" hidden="1" x14ac:dyDescent="0.35">
      <c r="A3019" t="s">
        <v>24496</v>
      </c>
      <c r="B3019" t="s">
        <v>7246</v>
      </c>
      <c r="C3019" t="s">
        <v>84</v>
      </c>
      <c r="D3019" t="s">
        <v>84</v>
      </c>
      <c r="E3019" t="s">
        <v>84</v>
      </c>
      <c r="G3019" s="13" t="s">
        <v>24427</v>
      </c>
      <c r="H3019" t="s">
        <v>24428</v>
      </c>
      <c r="I3019" t="s">
        <v>24497</v>
      </c>
      <c r="K3019" t="s">
        <v>24444</v>
      </c>
      <c r="L3019" t="s">
        <v>24445</v>
      </c>
      <c r="M3019" t="s">
        <v>7415</v>
      </c>
      <c r="R3019">
        <v>3</v>
      </c>
      <c r="S3019" t="s">
        <v>8257</v>
      </c>
      <c r="T3019">
        <v>3</v>
      </c>
      <c r="U3019">
        <v>1396.15</v>
      </c>
      <c r="V3019">
        <v>275</v>
      </c>
      <c r="W3019" t="s">
        <v>6546</v>
      </c>
      <c r="X3019">
        <v>275</v>
      </c>
      <c r="Y3019" t="s">
        <v>24498</v>
      </c>
      <c r="Z3019" t="s">
        <v>8842</v>
      </c>
      <c r="AB3019" t="s">
        <v>24481</v>
      </c>
      <c r="AC3019" t="s">
        <v>9852</v>
      </c>
      <c r="AD3019" t="s">
        <v>4301</v>
      </c>
      <c r="AE3019" t="s">
        <v>4291</v>
      </c>
      <c r="AH3019" t="s">
        <v>4291</v>
      </c>
      <c r="AI3019" t="s">
        <v>9852</v>
      </c>
      <c r="AL3019" t="s">
        <v>24432</v>
      </c>
      <c r="AO3019" t="s">
        <v>6546</v>
      </c>
    </row>
    <row r="3020" spans="1:41" hidden="1" x14ac:dyDescent="0.35">
      <c r="A3020" t="s">
        <v>24499</v>
      </c>
      <c r="B3020" t="s">
        <v>7246</v>
      </c>
      <c r="C3020" t="s">
        <v>84</v>
      </c>
      <c r="D3020" t="s">
        <v>84</v>
      </c>
      <c r="E3020" t="s">
        <v>84</v>
      </c>
      <c r="G3020" s="13" t="s">
        <v>24427</v>
      </c>
      <c r="H3020" t="s">
        <v>24428</v>
      </c>
      <c r="I3020" t="s">
        <v>24500</v>
      </c>
      <c r="K3020" t="s">
        <v>24501</v>
      </c>
      <c r="L3020" t="s">
        <v>24502</v>
      </c>
      <c r="M3020" t="s">
        <v>7250</v>
      </c>
      <c r="N3020">
        <v>2018</v>
      </c>
      <c r="R3020">
        <v>0.4</v>
      </c>
      <c r="S3020" t="s">
        <v>8257</v>
      </c>
      <c r="T3020">
        <v>0.4</v>
      </c>
      <c r="U3020">
        <v>186.15</v>
      </c>
      <c r="V3020">
        <v>54.8</v>
      </c>
      <c r="W3020" t="s">
        <v>6546</v>
      </c>
      <c r="X3020">
        <v>54.8</v>
      </c>
      <c r="Y3020">
        <v>273</v>
      </c>
      <c r="Z3020" t="s">
        <v>8842</v>
      </c>
      <c r="AC3020" t="s">
        <v>9852</v>
      </c>
      <c r="AE3020" t="s">
        <v>4291</v>
      </c>
      <c r="AH3020" t="s">
        <v>4291</v>
      </c>
      <c r="AI3020" t="s">
        <v>9852</v>
      </c>
      <c r="AL3020" t="s">
        <v>24432</v>
      </c>
      <c r="AO3020" t="s">
        <v>6546</v>
      </c>
    </row>
    <row r="3021" spans="1:41" hidden="1" x14ac:dyDescent="0.35">
      <c r="A3021" t="s">
        <v>24503</v>
      </c>
      <c r="B3021" t="s">
        <v>7246</v>
      </c>
      <c r="C3021" t="s">
        <v>84</v>
      </c>
      <c r="D3021" t="s">
        <v>84</v>
      </c>
      <c r="E3021" t="s">
        <v>84</v>
      </c>
      <c r="G3021" s="13" t="s">
        <v>24427</v>
      </c>
      <c r="H3021" t="s">
        <v>24428</v>
      </c>
      <c r="I3021" t="s">
        <v>24504</v>
      </c>
      <c r="K3021" t="s">
        <v>24505</v>
      </c>
      <c r="L3021" t="s">
        <v>24506</v>
      </c>
      <c r="M3021" t="s">
        <v>7292</v>
      </c>
      <c r="T3021" t="s">
        <v>6546</v>
      </c>
      <c r="U3021" t="s">
        <v>6546</v>
      </c>
      <c r="V3021">
        <v>90</v>
      </c>
      <c r="W3021" t="s">
        <v>6546</v>
      </c>
      <c r="X3021">
        <v>90</v>
      </c>
      <c r="Y3021">
        <v>300</v>
      </c>
      <c r="Z3021" t="s">
        <v>8842</v>
      </c>
      <c r="AC3021" t="s">
        <v>9852</v>
      </c>
      <c r="AE3021" t="s">
        <v>4291</v>
      </c>
      <c r="AH3021" t="s">
        <v>4291</v>
      </c>
      <c r="AI3021" t="s">
        <v>9852</v>
      </c>
      <c r="AL3021" t="s">
        <v>24432</v>
      </c>
      <c r="AO3021" t="s">
        <v>6546</v>
      </c>
    </row>
    <row r="3022" spans="1:41" hidden="1" x14ac:dyDescent="0.35">
      <c r="A3022" t="s">
        <v>24507</v>
      </c>
      <c r="B3022" t="s">
        <v>7246</v>
      </c>
      <c r="C3022" t="s">
        <v>84</v>
      </c>
      <c r="D3022" t="s">
        <v>84</v>
      </c>
      <c r="E3022" t="s">
        <v>84</v>
      </c>
      <c r="G3022" s="13" t="s">
        <v>24427</v>
      </c>
      <c r="H3022" t="s">
        <v>24428</v>
      </c>
      <c r="I3022" t="s">
        <v>24508</v>
      </c>
      <c r="K3022" t="s">
        <v>24439</v>
      </c>
      <c r="L3022" t="s">
        <v>24440</v>
      </c>
      <c r="M3022" t="s">
        <v>7292</v>
      </c>
      <c r="T3022" t="s">
        <v>6546</v>
      </c>
      <c r="U3022" t="s">
        <v>6546</v>
      </c>
      <c r="V3022">
        <v>57</v>
      </c>
      <c r="W3022" t="s">
        <v>6546</v>
      </c>
      <c r="X3022">
        <v>57</v>
      </c>
      <c r="Y3022">
        <v>273</v>
      </c>
      <c r="Z3022" t="s">
        <v>8842</v>
      </c>
      <c r="AC3022" t="s">
        <v>9852</v>
      </c>
      <c r="AE3022" t="s">
        <v>4291</v>
      </c>
      <c r="AH3022" t="s">
        <v>4291</v>
      </c>
      <c r="AI3022" t="s">
        <v>9852</v>
      </c>
      <c r="AL3022" t="s">
        <v>24432</v>
      </c>
      <c r="AO3022" t="s">
        <v>6546</v>
      </c>
    </row>
    <row r="3023" spans="1:41" hidden="1" x14ac:dyDescent="0.35">
      <c r="A3023" t="s">
        <v>24509</v>
      </c>
      <c r="B3023" t="s">
        <v>7246</v>
      </c>
      <c r="C3023" t="s">
        <v>84</v>
      </c>
      <c r="D3023" t="s">
        <v>84</v>
      </c>
      <c r="E3023" t="s">
        <v>84</v>
      </c>
      <c r="G3023" s="13" t="s">
        <v>24427</v>
      </c>
      <c r="H3023" t="s">
        <v>24428</v>
      </c>
      <c r="I3023" t="s">
        <v>24510</v>
      </c>
      <c r="K3023" t="s">
        <v>24511</v>
      </c>
      <c r="L3023" t="s">
        <v>24512</v>
      </c>
      <c r="M3023" t="s">
        <v>7292</v>
      </c>
      <c r="T3023" t="s">
        <v>6546</v>
      </c>
      <c r="U3023" t="s">
        <v>6546</v>
      </c>
      <c r="V3023">
        <v>56.7</v>
      </c>
      <c r="W3023" t="s">
        <v>6546</v>
      </c>
      <c r="X3023">
        <v>56.7</v>
      </c>
      <c r="Y3023">
        <v>406</v>
      </c>
      <c r="Z3023" t="s">
        <v>8842</v>
      </c>
      <c r="AB3023" t="s">
        <v>22542</v>
      </c>
      <c r="AC3023" t="s">
        <v>9852</v>
      </c>
      <c r="AD3023" t="s">
        <v>4301</v>
      </c>
      <c r="AE3023" t="s">
        <v>4291</v>
      </c>
      <c r="AF3023" t="s">
        <v>24464</v>
      </c>
      <c r="AG3023" t="s">
        <v>24465</v>
      </c>
      <c r="AH3023" t="s">
        <v>4291</v>
      </c>
      <c r="AI3023" t="s">
        <v>9852</v>
      </c>
      <c r="AL3023" t="s">
        <v>24432</v>
      </c>
      <c r="AO3023" t="s">
        <v>6546</v>
      </c>
    </row>
    <row r="3024" spans="1:41" hidden="1" x14ac:dyDescent="0.35">
      <c r="A3024" t="s">
        <v>24513</v>
      </c>
      <c r="B3024" t="s">
        <v>7246</v>
      </c>
      <c r="C3024" t="s">
        <v>84</v>
      </c>
      <c r="D3024" t="s">
        <v>84</v>
      </c>
      <c r="E3024" t="s">
        <v>84</v>
      </c>
      <c r="G3024" s="13" t="s">
        <v>24427</v>
      </c>
      <c r="H3024" t="s">
        <v>24428</v>
      </c>
      <c r="I3024" t="s">
        <v>24514</v>
      </c>
      <c r="K3024" t="s">
        <v>6543</v>
      </c>
      <c r="L3024" t="s">
        <v>6543</v>
      </c>
      <c r="M3024" t="s">
        <v>7292</v>
      </c>
      <c r="N3024">
        <v>2020</v>
      </c>
      <c r="T3024" t="s">
        <v>6546</v>
      </c>
      <c r="U3024" t="s">
        <v>6546</v>
      </c>
      <c r="V3024">
        <v>125</v>
      </c>
      <c r="W3024" t="s">
        <v>6546</v>
      </c>
      <c r="X3024">
        <v>125</v>
      </c>
      <c r="Y3024" t="s">
        <v>24515</v>
      </c>
      <c r="Z3024" t="s">
        <v>8842</v>
      </c>
      <c r="AB3024" t="s">
        <v>24516</v>
      </c>
      <c r="AC3024" t="s">
        <v>9852</v>
      </c>
      <c r="AD3024" t="s">
        <v>4301</v>
      </c>
      <c r="AE3024" t="s">
        <v>4291</v>
      </c>
      <c r="AF3024" t="s">
        <v>24481</v>
      </c>
      <c r="AG3024" t="s">
        <v>4301</v>
      </c>
      <c r="AH3024" t="s">
        <v>4291</v>
      </c>
      <c r="AI3024" t="s">
        <v>9852</v>
      </c>
      <c r="AL3024" t="s">
        <v>24432</v>
      </c>
      <c r="AO3024" t="s">
        <v>6546</v>
      </c>
    </row>
    <row r="3025" spans="1:41" hidden="1" x14ac:dyDescent="0.35">
      <c r="A3025" t="s">
        <v>24517</v>
      </c>
      <c r="B3025" t="s">
        <v>7246</v>
      </c>
      <c r="C3025" t="s">
        <v>84</v>
      </c>
      <c r="D3025" t="s">
        <v>84</v>
      </c>
      <c r="E3025" t="s">
        <v>84</v>
      </c>
      <c r="G3025" s="13" t="s">
        <v>24427</v>
      </c>
      <c r="H3025" t="s">
        <v>24428</v>
      </c>
      <c r="I3025" t="s">
        <v>24518</v>
      </c>
      <c r="K3025" t="s">
        <v>6543</v>
      </c>
      <c r="L3025" t="s">
        <v>6543</v>
      </c>
      <c r="M3025" t="s">
        <v>7292</v>
      </c>
      <c r="N3025">
        <v>2020</v>
      </c>
      <c r="T3025" t="s">
        <v>6546</v>
      </c>
      <c r="U3025" t="s">
        <v>6546</v>
      </c>
      <c r="V3025">
        <v>80</v>
      </c>
      <c r="W3025" t="s">
        <v>6546</v>
      </c>
      <c r="X3025">
        <v>80</v>
      </c>
      <c r="Y3025">
        <v>300</v>
      </c>
      <c r="Z3025" t="s">
        <v>8842</v>
      </c>
      <c r="AB3025" t="s">
        <v>24519</v>
      </c>
      <c r="AC3025" t="s">
        <v>9852</v>
      </c>
      <c r="AD3025" t="s">
        <v>24470</v>
      </c>
      <c r="AE3025" t="s">
        <v>4291</v>
      </c>
      <c r="AF3025" t="s">
        <v>24520</v>
      </c>
      <c r="AG3025" t="s">
        <v>24470</v>
      </c>
      <c r="AH3025" t="s">
        <v>4291</v>
      </c>
      <c r="AI3025" t="s">
        <v>9852</v>
      </c>
      <c r="AL3025" t="s">
        <v>24432</v>
      </c>
      <c r="AO3025" t="s">
        <v>6546</v>
      </c>
    </row>
    <row r="3026" spans="1:41" hidden="1" x14ac:dyDescent="0.35">
      <c r="A3026" t="s">
        <v>24521</v>
      </c>
      <c r="B3026" t="s">
        <v>7246</v>
      </c>
      <c r="C3026" t="s">
        <v>84</v>
      </c>
      <c r="D3026" t="s">
        <v>84</v>
      </c>
      <c r="E3026" t="s">
        <v>84</v>
      </c>
      <c r="G3026" s="13" t="s">
        <v>24427</v>
      </c>
      <c r="H3026" t="s">
        <v>24428</v>
      </c>
      <c r="I3026" t="s">
        <v>24522</v>
      </c>
      <c r="K3026" t="s">
        <v>24511</v>
      </c>
      <c r="L3026" t="s">
        <v>24512</v>
      </c>
      <c r="M3026" t="s">
        <v>7292</v>
      </c>
      <c r="N3026">
        <v>2020</v>
      </c>
      <c r="T3026" t="s">
        <v>6546</v>
      </c>
      <c r="U3026" t="s">
        <v>6546</v>
      </c>
      <c r="V3026">
        <v>79</v>
      </c>
      <c r="W3026" t="s">
        <v>6546</v>
      </c>
      <c r="X3026">
        <v>79</v>
      </c>
      <c r="Y3026">
        <v>406</v>
      </c>
      <c r="Z3026" t="s">
        <v>8842</v>
      </c>
      <c r="AB3026" t="s">
        <v>24488</v>
      </c>
      <c r="AC3026" t="s">
        <v>9852</v>
      </c>
      <c r="AD3026" t="s">
        <v>24465</v>
      </c>
      <c r="AE3026" t="s">
        <v>4291</v>
      </c>
      <c r="AF3026" t="s">
        <v>24523</v>
      </c>
      <c r="AG3026" t="s">
        <v>24465</v>
      </c>
      <c r="AH3026" t="s">
        <v>4291</v>
      </c>
      <c r="AI3026" t="s">
        <v>9852</v>
      </c>
      <c r="AL3026" t="s">
        <v>24432</v>
      </c>
      <c r="AO3026" t="s">
        <v>6546</v>
      </c>
    </row>
    <row r="3027" spans="1:41" hidden="1" x14ac:dyDescent="0.35">
      <c r="A3027" t="s">
        <v>24524</v>
      </c>
      <c r="B3027" t="s">
        <v>7246</v>
      </c>
      <c r="C3027" t="s">
        <v>84</v>
      </c>
      <c r="D3027" t="s">
        <v>84</v>
      </c>
      <c r="E3027" t="s">
        <v>84</v>
      </c>
      <c r="G3027" s="13" t="s">
        <v>24427</v>
      </c>
      <c r="H3027" t="s">
        <v>24428</v>
      </c>
      <c r="I3027" t="s">
        <v>24525</v>
      </c>
      <c r="K3027" t="s">
        <v>24505</v>
      </c>
      <c r="L3027" t="s">
        <v>24506</v>
      </c>
      <c r="M3027" t="s">
        <v>7292</v>
      </c>
      <c r="N3027">
        <v>2020</v>
      </c>
      <c r="T3027" t="s">
        <v>6546</v>
      </c>
      <c r="U3027" t="s">
        <v>6546</v>
      </c>
      <c r="V3027">
        <v>60.3</v>
      </c>
      <c r="W3027" t="s">
        <v>6546</v>
      </c>
      <c r="X3027">
        <v>60.3</v>
      </c>
      <c r="Y3027">
        <v>300</v>
      </c>
      <c r="Z3027" t="s">
        <v>8842</v>
      </c>
      <c r="AB3027" t="s">
        <v>24471</v>
      </c>
      <c r="AC3027" t="s">
        <v>9852</v>
      </c>
      <c r="AD3027" t="s">
        <v>24526</v>
      </c>
      <c r="AE3027" t="s">
        <v>4291</v>
      </c>
      <c r="AF3027" t="s">
        <v>24466</v>
      </c>
      <c r="AG3027" t="s">
        <v>24526</v>
      </c>
      <c r="AH3027" t="s">
        <v>4291</v>
      </c>
      <c r="AI3027" t="s">
        <v>9852</v>
      </c>
      <c r="AL3027" t="s">
        <v>24432</v>
      </c>
      <c r="AO3027" t="s">
        <v>6546</v>
      </c>
    </row>
    <row r="3028" spans="1:41" hidden="1" x14ac:dyDescent="0.35">
      <c r="A3028" t="s">
        <v>24527</v>
      </c>
      <c r="B3028" t="s">
        <v>7246</v>
      </c>
      <c r="C3028" t="s">
        <v>84</v>
      </c>
      <c r="D3028" t="s">
        <v>84</v>
      </c>
      <c r="E3028" t="s">
        <v>84</v>
      </c>
      <c r="G3028" s="13" t="s">
        <v>24427</v>
      </c>
      <c r="H3028" t="s">
        <v>24428</v>
      </c>
      <c r="I3028" t="s">
        <v>24528</v>
      </c>
      <c r="K3028" t="s">
        <v>24505</v>
      </c>
      <c r="L3028" t="s">
        <v>24506</v>
      </c>
      <c r="M3028" t="s">
        <v>7292</v>
      </c>
      <c r="N3028">
        <v>2020</v>
      </c>
      <c r="T3028" t="s">
        <v>6546</v>
      </c>
      <c r="U3028" t="s">
        <v>6546</v>
      </c>
      <c r="V3028">
        <v>103</v>
      </c>
      <c r="W3028" t="s">
        <v>6546</v>
      </c>
      <c r="X3028">
        <v>103</v>
      </c>
      <c r="Y3028">
        <v>300</v>
      </c>
      <c r="Z3028" t="s">
        <v>8842</v>
      </c>
      <c r="AB3028" t="s">
        <v>24529</v>
      </c>
      <c r="AC3028" t="s">
        <v>9852</v>
      </c>
      <c r="AD3028" t="s">
        <v>24526</v>
      </c>
      <c r="AE3028" t="s">
        <v>4291</v>
      </c>
      <c r="AF3028" t="s">
        <v>24530</v>
      </c>
      <c r="AG3028" t="s">
        <v>24526</v>
      </c>
      <c r="AH3028" t="s">
        <v>4291</v>
      </c>
      <c r="AI3028" t="s">
        <v>9852</v>
      </c>
      <c r="AL3028" t="s">
        <v>24432</v>
      </c>
      <c r="AO3028" t="s">
        <v>6546</v>
      </c>
    </row>
    <row r="3029" spans="1:41" hidden="1" x14ac:dyDescent="0.35">
      <c r="A3029" t="s">
        <v>24531</v>
      </c>
      <c r="B3029" t="s">
        <v>7246</v>
      </c>
      <c r="C3029" t="s">
        <v>84</v>
      </c>
      <c r="D3029" t="s">
        <v>84</v>
      </c>
      <c r="E3029" t="s">
        <v>84</v>
      </c>
      <c r="G3029" s="13" t="s">
        <v>24427</v>
      </c>
      <c r="H3029" t="s">
        <v>24428</v>
      </c>
      <c r="I3029" t="s">
        <v>24532</v>
      </c>
      <c r="K3029" t="s">
        <v>24505</v>
      </c>
      <c r="L3029" t="s">
        <v>24506</v>
      </c>
      <c r="M3029" t="s">
        <v>7292</v>
      </c>
      <c r="N3029">
        <v>2020</v>
      </c>
      <c r="T3029" t="s">
        <v>6546</v>
      </c>
      <c r="U3029" t="s">
        <v>6546</v>
      </c>
      <c r="V3029">
        <v>73</v>
      </c>
      <c r="W3029" t="s">
        <v>6546</v>
      </c>
      <c r="X3029">
        <v>73</v>
      </c>
      <c r="Y3029">
        <v>300</v>
      </c>
      <c r="Z3029" t="s">
        <v>8842</v>
      </c>
      <c r="AB3029" t="s">
        <v>24530</v>
      </c>
      <c r="AC3029" t="s">
        <v>9852</v>
      </c>
      <c r="AD3029" t="s">
        <v>24526</v>
      </c>
      <c r="AE3029" t="s">
        <v>4291</v>
      </c>
      <c r="AF3029" t="s">
        <v>24533</v>
      </c>
      <c r="AG3029" t="s">
        <v>24471</v>
      </c>
      <c r="AH3029" t="s">
        <v>4291</v>
      </c>
      <c r="AI3029" t="s">
        <v>9852</v>
      </c>
      <c r="AL3029" t="s">
        <v>24432</v>
      </c>
      <c r="AO3029" t="s">
        <v>6546</v>
      </c>
    </row>
    <row r="3030" spans="1:41" hidden="1" x14ac:dyDescent="0.35">
      <c r="A3030" t="s">
        <v>24534</v>
      </c>
      <c r="B3030" t="s">
        <v>7246</v>
      </c>
      <c r="C3030" t="s">
        <v>84</v>
      </c>
      <c r="D3030" t="s">
        <v>84</v>
      </c>
      <c r="E3030" t="s">
        <v>84</v>
      </c>
      <c r="G3030" s="13" t="s">
        <v>24427</v>
      </c>
      <c r="H3030" t="s">
        <v>24428</v>
      </c>
      <c r="I3030" t="s">
        <v>24535</v>
      </c>
      <c r="K3030" t="s">
        <v>24536</v>
      </c>
      <c r="L3030" t="s">
        <v>24537</v>
      </c>
      <c r="M3030" t="s">
        <v>7292</v>
      </c>
      <c r="N3030">
        <v>2020</v>
      </c>
      <c r="T3030" t="s">
        <v>6546</v>
      </c>
      <c r="U3030" t="s">
        <v>6546</v>
      </c>
      <c r="V3030">
        <v>112</v>
      </c>
      <c r="W3030" t="s">
        <v>6546</v>
      </c>
      <c r="X3030">
        <v>112</v>
      </c>
      <c r="Y3030" t="s">
        <v>24538</v>
      </c>
      <c r="Z3030" t="s">
        <v>8842</v>
      </c>
      <c r="AC3030" t="s">
        <v>9852</v>
      </c>
      <c r="AE3030" t="s">
        <v>4291</v>
      </c>
      <c r="AH3030" t="s">
        <v>4291</v>
      </c>
      <c r="AI3030" t="s">
        <v>9852</v>
      </c>
      <c r="AL3030" t="s">
        <v>24432</v>
      </c>
      <c r="AO3030" t="s">
        <v>6546</v>
      </c>
    </row>
    <row r="3031" spans="1:41" hidden="1" x14ac:dyDescent="0.35">
      <c r="A3031" t="s">
        <v>24539</v>
      </c>
      <c r="B3031" t="s">
        <v>7246</v>
      </c>
      <c r="C3031" t="s">
        <v>84</v>
      </c>
      <c r="D3031" t="s">
        <v>84</v>
      </c>
      <c r="E3031" t="s">
        <v>84</v>
      </c>
      <c r="G3031" s="13" t="s">
        <v>24427</v>
      </c>
      <c r="H3031" t="s">
        <v>24428</v>
      </c>
      <c r="I3031" t="s">
        <v>24540</v>
      </c>
      <c r="K3031" t="s">
        <v>24511</v>
      </c>
      <c r="L3031" t="s">
        <v>24512</v>
      </c>
      <c r="M3031" t="s">
        <v>7292</v>
      </c>
      <c r="N3031">
        <v>2021</v>
      </c>
      <c r="T3031" t="s">
        <v>6546</v>
      </c>
      <c r="U3031" t="s">
        <v>6546</v>
      </c>
      <c r="V3031">
        <v>62</v>
      </c>
      <c r="W3031" t="s">
        <v>6546</v>
      </c>
      <c r="X3031">
        <v>62</v>
      </c>
      <c r="Y3031">
        <v>400</v>
      </c>
      <c r="Z3031" t="s">
        <v>8842</v>
      </c>
      <c r="AB3031" t="s">
        <v>24541</v>
      </c>
      <c r="AC3031" t="s">
        <v>9852</v>
      </c>
      <c r="AE3031" t="s">
        <v>4291</v>
      </c>
      <c r="AF3031" t="s">
        <v>24542</v>
      </c>
      <c r="AG3031" t="s">
        <v>24465</v>
      </c>
      <c r="AH3031" t="s">
        <v>4291</v>
      </c>
      <c r="AI3031" t="s">
        <v>9852</v>
      </c>
      <c r="AL3031" t="s">
        <v>24432</v>
      </c>
      <c r="AO3031" t="s">
        <v>6546</v>
      </c>
    </row>
    <row r="3032" spans="1:41" hidden="1" x14ac:dyDescent="0.35">
      <c r="A3032" t="s">
        <v>24543</v>
      </c>
      <c r="B3032" t="s">
        <v>7246</v>
      </c>
      <c r="C3032" t="s">
        <v>84</v>
      </c>
      <c r="D3032" t="s">
        <v>84</v>
      </c>
      <c r="E3032" t="s">
        <v>84</v>
      </c>
      <c r="G3032" s="13" t="s">
        <v>24427</v>
      </c>
      <c r="H3032" t="s">
        <v>24428</v>
      </c>
      <c r="I3032" t="s">
        <v>24544</v>
      </c>
      <c r="K3032" t="s">
        <v>24511</v>
      </c>
      <c r="L3032" t="s">
        <v>24512</v>
      </c>
      <c r="M3032" t="s">
        <v>7292</v>
      </c>
      <c r="N3032">
        <v>2021</v>
      </c>
      <c r="T3032" t="s">
        <v>6546</v>
      </c>
      <c r="U3032" t="s">
        <v>6546</v>
      </c>
      <c r="V3032">
        <v>79</v>
      </c>
      <c r="W3032" t="s">
        <v>6546</v>
      </c>
      <c r="X3032">
        <v>79</v>
      </c>
      <c r="Y3032">
        <v>400</v>
      </c>
      <c r="Z3032" t="s">
        <v>8842</v>
      </c>
      <c r="AB3032" t="s">
        <v>24523</v>
      </c>
      <c r="AC3032" t="s">
        <v>9852</v>
      </c>
      <c r="AD3032" t="s">
        <v>24465</v>
      </c>
      <c r="AE3032" t="s">
        <v>4291</v>
      </c>
      <c r="AF3032" t="s">
        <v>24545</v>
      </c>
      <c r="AG3032" t="s">
        <v>24465</v>
      </c>
      <c r="AH3032" t="s">
        <v>4291</v>
      </c>
      <c r="AI3032" t="s">
        <v>9852</v>
      </c>
      <c r="AL3032" t="s">
        <v>24432</v>
      </c>
      <c r="AO3032" t="s">
        <v>6546</v>
      </c>
    </row>
    <row r="3033" spans="1:41" hidden="1" x14ac:dyDescent="0.35">
      <c r="A3033" t="s">
        <v>24546</v>
      </c>
      <c r="B3033" t="s">
        <v>7246</v>
      </c>
      <c r="C3033" t="s">
        <v>84</v>
      </c>
      <c r="D3033" t="s">
        <v>84</v>
      </c>
      <c r="E3033" t="s">
        <v>84</v>
      </c>
      <c r="G3033" s="13" t="s">
        <v>24427</v>
      </c>
      <c r="H3033" t="s">
        <v>24428</v>
      </c>
      <c r="I3033" t="s">
        <v>24547</v>
      </c>
      <c r="K3033" t="s">
        <v>24511</v>
      </c>
      <c r="L3033" t="s">
        <v>24512</v>
      </c>
      <c r="M3033" t="s">
        <v>7292</v>
      </c>
      <c r="N3033">
        <v>2021</v>
      </c>
      <c r="T3033" t="s">
        <v>6546</v>
      </c>
      <c r="U3033" t="s">
        <v>6546</v>
      </c>
      <c r="V3033">
        <v>68</v>
      </c>
      <c r="W3033" t="s">
        <v>6546</v>
      </c>
      <c r="X3033">
        <v>68</v>
      </c>
      <c r="Y3033">
        <v>300</v>
      </c>
      <c r="Z3033" t="s">
        <v>8842</v>
      </c>
      <c r="AB3033" t="s">
        <v>24548</v>
      </c>
      <c r="AC3033" t="s">
        <v>9852</v>
      </c>
      <c r="AD3033" t="s">
        <v>24465</v>
      </c>
      <c r="AE3033" t="s">
        <v>4291</v>
      </c>
      <c r="AF3033" t="s">
        <v>24549</v>
      </c>
      <c r="AG3033" t="s">
        <v>24465</v>
      </c>
      <c r="AH3033" t="s">
        <v>4291</v>
      </c>
      <c r="AI3033" t="s">
        <v>9852</v>
      </c>
      <c r="AL3033" t="s">
        <v>24432</v>
      </c>
      <c r="AO3033" t="s">
        <v>6546</v>
      </c>
    </row>
    <row r="3034" spans="1:41" hidden="1" x14ac:dyDescent="0.35">
      <c r="A3034" t="s">
        <v>24550</v>
      </c>
      <c r="B3034" t="s">
        <v>7246</v>
      </c>
      <c r="C3034" t="s">
        <v>84</v>
      </c>
      <c r="D3034" t="s">
        <v>84</v>
      </c>
      <c r="E3034" t="s">
        <v>84</v>
      </c>
      <c r="G3034" s="13" t="s">
        <v>24427</v>
      </c>
      <c r="H3034" t="s">
        <v>24428</v>
      </c>
      <c r="I3034" t="s">
        <v>24551</v>
      </c>
      <c r="K3034" t="s">
        <v>6543</v>
      </c>
      <c r="L3034" t="s">
        <v>6543</v>
      </c>
      <c r="M3034" t="s">
        <v>7292</v>
      </c>
      <c r="T3034" t="s">
        <v>6546</v>
      </c>
      <c r="U3034" t="s">
        <v>6546</v>
      </c>
      <c r="V3034">
        <v>70</v>
      </c>
      <c r="W3034" t="s">
        <v>6546</v>
      </c>
      <c r="X3034">
        <v>70</v>
      </c>
      <c r="Y3034">
        <v>200</v>
      </c>
      <c r="Z3034" t="s">
        <v>8842</v>
      </c>
      <c r="AB3034" t="s">
        <v>24552</v>
      </c>
      <c r="AC3034" t="s">
        <v>9852</v>
      </c>
      <c r="AD3034" t="s">
        <v>4301</v>
      </c>
      <c r="AE3034" t="s">
        <v>4291</v>
      </c>
      <c r="AF3034" t="s">
        <v>24484</v>
      </c>
      <c r="AG3034" t="s">
        <v>4301</v>
      </c>
      <c r="AH3034" t="s">
        <v>4291</v>
      </c>
      <c r="AI3034" t="s">
        <v>9852</v>
      </c>
      <c r="AL3034" t="s">
        <v>24432</v>
      </c>
      <c r="AO3034" t="s">
        <v>6546</v>
      </c>
    </row>
    <row r="3035" spans="1:41" hidden="1" x14ac:dyDescent="0.35">
      <c r="A3035" t="s">
        <v>24553</v>
      </c>
      <c r="B3035" t="s">
        <v>7246</v>
      </c>
      <c r="C3035" t="s">
        <v>84</v>
      </c>
      <c r="D3035" t="s">
        <v>84</v>
      </c>
      <c r="E3035" t="s">
        <v>84</v>
      </c>
      <c r="G3035" s="13" t="s">
        <v>24427</v>
      </c>
      <c r="H3035" t="s">
        <v>24428</v>
      </c>
      <c r="I3035" t="s">
        <v>24554</v>
      </c>
      <c r="K3035" t="s">
        <v>6543</v>
      </c>
      <c r="L3035" t="s">
        <v>6543</v>
      </c>
      <c r="M3035" t="s">
        <v>7292</v>
      </c>
      <c r="T3035" t="s">
        <v>6546</v>
      </c>
      <c r="U3035" t="s">
        <v>6546</v>
      </c>
      <c r="V3035">
        <v>55</v>
      </c>
      <c r="W3035" t="s">
        <v>6546</v>
      </c>
      <c r="X3035">
        <v>55</v>
      </c>
      <c r="Y3035">
        <v>400</v>
      </c>
      <c r="Z3035" t="s">
        <v>8842</v>
      </c>
      <c r="AB3035" t="s">
        <v>24555</v>
      </c>
      <c r="AC3035" t="s">
        <v>9852</v>
      </c>
      <c r="AD3035" t="s">
        <v>24556</v>
      </c>
      <c r="AE3035" t="s">
        <v>4291</v>
      </c>
      <c r="AF3035" t="s">
        <v>24557</v>
      </c>
      <c r="AG3035" t="s">
        <v>24556</v>
      </c>
      <c r="AH3035" t="s">
        <v>4291</v>
      </c>
      <c r="AI3035" t="s">
        <v>9852</v>
      </c>
      <c r="AL3035" t="s">
        <v>24432</v>
      </c>
      <c r="AO3035" t="s">
        <v>6546</v>
      </c>
    </row>
    <row r="3036" spans="1:41" hidden="1" x14ac:dyDescent="0.35">
      <c r="A3036" t="s">
        <v>24558</v>
      </c>
      <c r="B3036" t="s">
        <v>7246</v>
      </c>
      <c r="C3036" t="s">
        <v>84</v>
      </c>
      <c r="D3036" t="s">
        <v>84</v>
      </c>
      <c r="E3036" t="s">
        <v>84</v>
      </c>
      <c r="G3036" s="13" t="s">
        <v>24427</v>
      </c>
      <c r="H3036" t="s">
        <v>24428</v>
      </c>
      <c r="I3036" t="s">
        <v>24559</v>
      </c>
      <c r="K3036" t="s">
        <v>6543</v>
      </c>
      <c r="L3036" t="s">
        <v>6543</v>
      </c>
      <c r="M3036" t="s">
        <v>7292</v>
      </c>
      <c r="T3036" t="s">
        <v>6546</v>
      </c>
      <c r="U3036" t="s">
        <v>6546</v>
      </c>
      <c r="V3036">
        <v>110</v>
      </c>
      <c r="W3036" t="s">
        <v>6546</v>
      </c>
      <c r="X3036">
        <v>110</v>
      </c>
      <c r="Y3036">
        <v>400</v>
      </c>
      <c r="Z3036" t="s">
        <v>8842</v>
      </c>
      <c r="AB3036" t="s">
        <v>24519</v>
      </c>
      <c r="AC3036" t="s">
        <v>9852</v>
      </c>
      <c r="AE3036" t="s">
        <v>4291</v>
      </c>
      <c r="AF3036" t="s">
        <v>24560</v>
      </c>
      <c r="AG3036" t="s">
        <v>24470</v>
      </c>
      <c r="AH3036" t="s">
        <v>4291</v>
      </c>
      <c r="AI3036" t="s">
        <v>9852</v>
      </c>
      <c r="AL3036" t="s">
        <v>24432</v>
      </c>
      <c r="AO3036" t="s">
        <v>6546</v>
      </c>
    </row>
    <row r="3037" spans="1:41" hidden="1" x14ac:dyDescent="0.35">
      <c r="A3037" t="s">
        <v>24561</v>
      </c>
      <c r="B3037" t="s">
        <v>7246</v>
      </c>
      <c r="C3037" t="s">
        <v>84</v>
      </c>
      <c r="D3037" t="s">
        <v>84</v>
      </c>
      <c r="E3037" t="s">
        <v>84</v>
      </c>
      <c r="G3037" s="13" t="s">
        <v>24427</v>
      </c>
      <c r="H3037" t="s">
        <v>24428</v>
      </c>
      <c r="I3037" t="s">
        <v>24562</v>
      </c>
      <c r="K3037" t="s">
        <v>6543</v>
      </c>
      <c r="L3037" t="s">
        <v>6543</v>
      </c>
      <c r="M3037" t="s">
        <v>7292</v>
      </c>
      <c r="T3037" t="s">
        <v>6546</v>
      </c>
      <c r="U3037" t="s">
        <v>6546</v>
      </c>
      <c r="V3037">
        <v>170</v>
      </c>
      <c r="W3037" t="s">
        <v>6546</v>
      </c>
      <c r="X3037">
        <v>170</v>
      </c>
      <c r="Y3037">
        <v>323</v>
      </c>
      <c r="Z3037" t="s">
        <v>8842</v>
      </c>
      <c r="AB3037" t="s">
        <v>24563</v>
      </c>
      <c r="AC3037" t="s">
        <v>9852</v>
      </c>
      <c r="AD3037" t="s">
        <v>24564</v>
      </c>
      <c r="AE3037" t="s">
        <v>4291</v>
      </c>
      <c r="AF3037" t="s">
        <v>24565</v>
      </c>
      <c r="AG3037" t="s">
        <v>24564</v>
      </c>
      <c r="AH3037" t="s">
        <v>4291</v>
      </c>
      <c r="AI3037" t="s">
        <v>9852</v>
      </c>
      <c r="AL3037" t="s">
        <v>24432</v>
      </c>
      <c r="AO3037" t="s">
        <v>6546</v>
      </c>
    </row>
    <row r="3038" spans="1:41" hidden="1" x14ac:dyDescent="0.35">
      <c r="A3038" t="s">
        <v>24566</v>
      </c>
      <c r="B3038" t="s">
        <v>7246</v>
      </c>
      <c r="C3038" t="s">
        <v>84</v>
      </c>
      <c r="D3038" t="s">
        <v>84</v>
      </c>
      <c r="E3038" t="s">
        <v>84</v>
      </c>
      <c r="G3038" s="13" t="s">
        <v>24427</v>
      </c>
      <c r="H3038" t="s">
        <v>24428</v>
      </c>
      <c r="I3038" t="s">
        <v>24567</v>
      </c>
      <c r="K3038" t="s">
        <v>6543</v>
      </c>
      <c r="L3038" t="s">
        <v>6543</v>
      </c>
      <c r="M3038" t="s">
        <v>7292</v>
      </c>
      <c r="T3038" t="s">
        <v>6546</v>
      </c>
      <c r="U3038" t="s">
        <v>6546</v>
      </c>
      <c r="V3038">
        <v>80</v>
      </c>
      <c r="W3038" t="s">
        <v>6546</v>
      </c>
      <c r="X3038">
        <v>80</v>
      </c>
      <c r="Y3038">
        <v>323</v>
      </c>
      <c r="Z3038" t="s">
        <v>8842</v>
      </c>
      <c r="AB3038" t="s">
        <v>24565</v>
      </c>
      <c r="AC3038" t="s">
        <v>9852</v>
      </c>
      <c r="AD3038" t="s">
        <v>24564</v>
      </c>
      <c r="AE3038" t="s">
        <v>4291</v>
      </c>
      <c r="AF3038" t="s">
        <v>24560</v>
      </c>
      <c r="AG3038" t="s">
        <v>24470</v>
      </c>
      <c r="AH3038" t="s">
        <v>4291</v>
      </c>
      <c r="AI3038" t="s">
        <v>9852</v>
      </c>
      <c r="AL3038" t="s">
        <v>24432</v>
      </c>
      <c r="AO3038" t="s">
        <v>6546</v>
      </c>
    </row>
    <row r="3039" spans="1:41" hidden="1" x14ac:dyDescent="0.35">
      <c r="A3039" t="s">
        <v>24568</v>
      </c>
      <c r="B3039" t="s">
        <v>7246</v>
      </c>
      <c r="C3039" t="s">
        <v>84</v>
      </c>
      <c r="D3039" t="s">
        <v>84</v>
      </c>
      <c r="E3039" t="s">
        <v>84</v>
      </c>
      <c r="G3039" s="13" t="s">
        <v>24427</v>
      </c>
      <c r="H3039" t="s">
        <v>24428</v>
      </c>
      <c r="I3039" t="s">
        <v>24569</v>
      </c>
      <c r="K3039" t="s">
        <v>24505</v>
      </c>
      <c r="L3039" t="s">
        <v>24506</v>
      </c>
      <c r="M3039" t="s">
        <v>7292</v>
      </c>
      <c r="T3039" t="s">
        <v>6546</v>
      </c>
      <c r="U3039" t="s">
        <v>6546</v>
      </c>
      <c r="V3039">
        <v>67.7</v>
      </c>
      <c r="W3039" t="s">
        <v>6546</v>
      </c>
      <c r="X3039">
        <v>67.7</v>
      </c>
      <c r="Y3039">
        <v>200</v>
      </c>
      <c r="Z3039" t="s">
        <v>8842</v>
      </c>
      <c r="AB3039" t="s">
        <v>24570</v>
      </c>
      <c r="AC3039" t="s">
        <v>9852</v>
      </c>
      <c r="AE3039" t="s">
        <v>4291</v>
      </c>
      <c r="AF3039" t="s">
        <v>24571</v>
      </c>
      <c r="AG3039" t="s">
        <v>24526</v>
      </c>
      <c r="AH3039" t="s">
        <v>4291</v>
      </c>
      <c r="AI3039" t="s">
        <v>9852</v>
      </c>
      <c r="AL3039" t="s">
        <v>24432</v>
      </c>
      <c r="AO3039" t="s">
        <v>6546</v>
      </c>
    </row>
    <row r="3040" spans="1:41" hidden="1" x14ac:dyDescent="0.35">
      <c r="A3040" t="s">
        <v>24572</v>
      </c>
      <c r="B3040" t="s">
        <v>7246</v>
      </c>
      <c r="C3040" t="s">
        <v>84</v>
      </c>
      <c r="D3040" t="s">
        <v>84</v>
      </c>
      <c r="E3040" t="s">
        <v>84</v>
      </c>
      <c r="G3040" s="13" t="s">
        <v>24427</v>
      </c>
      <c r="H3040" t="s">
        <v>24428</v>
      </c>
      <c r="I3040" t="s">
        <v>24573</v>
      </c>
      <c r="K3040" t="s">
        <v>24505</v>
      </c>
      <c r="L3040" t="s">
        <v>24506</v>
      </c>
      <c r="M3040" t="s">
        <v>7292</v>
      </c>
      <c r="T3040" t="s">
        <v>6546</v>
      </c>
      <c r="U3040" t="s">
        <v>6546</v>
      </c>
      <c r="V3040">
        <v>91</v>
      </c>
      <c r="W3040" t="s">
        <v>6546</v>
      </c>
      <c r="X3040">
        <v>91</v>
      </c>
      <c r="Y3040">
        <v>200</v>
      </c>
      <c r="Z3040" t="s">
        <v>8842</v>
      </c>
      <c r="AB3040" t="s">
        <v>24571</v>
      </c>
      <c r="AC3040" t="s">
        <v>9852</v>
      </c>
      <c r="AD3040" t="s">
        <v>24526</v>
      </c>
      <c r="AE3040" t="s">
        <v>4291</v>
      </c>
      <c r="AF3040" t="s">
        <v>24574</v>
      </c>
      <c r="AG3040" t="s">
        <v>24526</v>
      </c>
      <c r="AH3040" t="s">
        <v>4291</v>
      </c>
      <c r="AI3040" t="s">
        <v>9852</v>
      </c>
      <c r="AL3040" t="s">
        <v>24432</v>
      </c>
      <c r="AO3040" t="s">
        <v>6546</v>
      </c>
    </row>
    <row r="3041" spans="1:41" hidden="1" x14ac:dyDescent="0.35">
      <c r="A3041" t="s">
        <v>24575</v>
      </c>
      <c r="B3041" t="s">
        <v>7246</v>
      </c>
      <c r="C3041" t="s">
        <v>84</v>
      </c>
      <c r="D3041" t="s">
        <v>84</v>
      </c>
      <c r="E3041" t="s">
        <v>84</v>
      </c>
      <c r="G3041" s="13" t="s">
        <v>24576</v>
      </c>
      <c r="H3041" t="s">
        <v>24577</v>
      </c>
      <c r="I3041" t="s">
        <v>24578</v>
      </c>
      <c r="K3041" t="s">
        <v>22537</v>
      </c>
      <c r="L3041" t="s">
        <v>22538</v>
      </c>
      <c r="M3041" t="s">
        <v>7250</v>
      </c>
      <c r="N3041">
        <v>2015</v>
      </c>
      <c r="R3041">
        <v>1.8</v>
      </c>
      <c r="S3041" t="s">
        <v>8257</v>
      </c>
      <c r="T3041">
        <v>1.8</v>
      </c>
      <c r="U3041">
        <v>837.69</v>
      </c>
      <c r="V3041">
        <v>226</v>
      </c>
      <c r="W3041">
        <v>282.88</v>
      </c>
      <c r="X3041">
        <v>226</v>
      </c>
      <c r="AA3041" t="s">
        <v>22623</v>
      </c>
      <c r="AB3041" t="s">
        <v>24579</v>
      </c>
      <c r="AC3041" t="s">
        <v>9852</v>
      </c>
      <c r="AE3041" t="s">
        <v>3049</v>
      </c>
      <c r="AF3041" t="s">
        <v>24580</v>
      </c>
      <c r="AG3041" t="s">
        <v>22514</v>
      </c>
      <c r="AH3041" t="s">
        <v>4519</v>
      </c>
      <c r="AI3041" t="s">
        <v>9852</v>
      </c>
      <c r="AL3041" t="s">
        <v>24581</v>
      </c>
      <c r="AO3041" t="s">
        <v>22578</v>
      </c>
    </row>
    <row r="3042" spans="1:41" hidden="1" x14ac:dyDescent="0.35">
      <c r="A3042" t="s">
        <v>24582</v>
      </c>
      <c r="B3042" t="s">
        <v>7246</v>
      </c>
      <c r="C3042" t="s">
        <v>84</v>
      </c>
      <c r="D3042" t="s">
        <v>84</v>
      </c>
      <c r="E3042" t="s">
        <v>84</v>
      </c>
      <c r="G3042" s="13" t="s">
        <v>24576</v>
      </c>
      <c r="H3042" t="s">
        <v>24577</v>
      </c>
      <c r="I3042" t="s">
        <v>24583</v>
      </c>
      <c r="K3042" t="s">
        <v>22256</v>
      </c>
      <c r="L3042" t="s">
        <v>22257</v>
      </c>
      <c r="M3042" t="s">
        <v>7250</v>
      </c>
      <c r="N3042">
        <v>2011</v>
      </c>
      <c r="R3042">
        <v>8.4</v>
      </c>
      <c r="S3042" t="s">
        <v>8257</v>
      </c>
      <c r="T3042">
        <v>8.4</v>
      </c>
      <c r="U3042">
        <v>3909.22</v>
      </c>
      <c r="V3042">
        <v>433</v>
      </c>
      <c r="W3042">
        <v>462.04</v>
      </c>
      <c r="X3042">
        <v>433</v>
      </c>
      <c r="AA3042" t="s">
        <v>24584</v>
      </c>
      <c r="AB3042" t="s">
        <v>3050</v>
      </c>
      <c r="AC3042" t="s">
        <v>9852</v>
      </c>
      <c r="AE3042" t="s">
        <v>3049</v>
      </c>
      <c r="AG3042" t="s">
        <v>24585</v>
      </c>
      <c r="AH3042" t="s">
        <v>3049</v>
      </c>
      <c r="AI3042" t="s">
        <v>9852</v>
      </c>
      <c r="AL3042" t="s">
        <v>24581</v>
      </c>
      <c r="AO3042" t="s">
        <v>24586</v>
      </c>
    </row>
    <row r="3043" spans="1:41" hidden="1" x14ac:dyDescent="0.35">
      <c r="A3043" t="s">
        <v>24587</v>
      </c>
      <c r="B3043" t="s">
        <v>7246</v>
      </c>
      <c r="C3043" t="s">
        <v>84</v>
      </c>
      <c r="D3043" t="s">
        <v>84</v>
      </c>
      <c r="E3043" t="s">
        <v>84</v>
      </c>
      <c r="G3043" s="13" t="s">
        <v>24576</v>
      </c>
      <c r="H3043" t="s">
        <v>24577</v>
      </c>
      <c r="I3043" t="s">
        <v>24588</v>
      </c>
      <c r="K3043" t="s">
        <v>22256</v>
      </c>
      <c r="L3043" t="s">
        <v>22257</v>
      </c>
      <c r="M3043" t="s">
        <v>7250</v>
      </c>
      <c r="N3043">
        <v>2014</v>
      </c>
      <c r="R3043">
        <v>1.1599999999999999</v>
      </c>
      <c r="S3043" t="s">
        <v>8257</v>
      </c>
      <c r="T3043">
        <v>1.1599999999999999</v>
      </c>
      <c r="U3043">
        <v>539.84</v>
      </c>
      <c r="V3043">
        <v>96.7</v>
      </c>
      <c r="W3043" t="s">
        <v>6546</v>
      </c>
      <c r="X3043">
        <v>96.7</v>
      </c>
      <c r="AB3043" t="s">
        <v>24589</v>
      </c>
      <c r="AC3043" t="s">
        <v>9852</v>
      </c>
      <c r="AD3043" t="s">
        <v>4658</v>
      </c>
      <c r="AE3043" t="s">
        <v>3049</v>
      </c>
      <c r="AF3043" t="s">
        <v>24590</v>
      </c>
      <c r="AG3043" t="s">
        <v>3052</v>
      </c>
      <c r="AH3043" t="s">
        <v>3049</v>
      </c>
      <c r="AI3043" t="s">
        <v>9852</v>
      </c>
      <c r="AL3043" t="s">
        <v>24581</v>
      </c>
      <c r="AO3043" t="s">
        <v>6546</v>
      </c>
    </row>
    <row r="3044" spans="1:41" hidden="1" x14ac:dyDescent="0.35">
      <c r="A3044" t="s">
        <v>24591</v>
      </c>
      <c r="B3044" t="s">
        <v>7246</v>
      </c>
      <c r="C3044" t="s">
        <v>84</v>
      </c>
      <c r="D3044" t="s">
        <v>84</v>
      </c>
      <c r="E3044" t="s">
        <v>84</v>
      </c>
      <c r="G3044" s="13" t="s">
        <v>24576</v>
      </c>
      <c r="H3044" t="s">
        <v>24577</v>
      </c>
      <c r="I3044" t="s">
        <v>24592</v>
      </c>
      <c r="K3044" t="s">
        <v>24593</v>
      </c>
      <c r="L3044" t="s">
        <v>24594</v>
      </c>
      <c r="M3044" t="s">
        <v>7415</v>
      </c>
      <c r="N3044">
        <v>2022</v>
      </c>
      <c r="R3044">
        <v>0.53</v>
      </c>
      <c r="S3044" t="s">
        <v>8257</v>
      </c>
      <c r="T3044">
        <v>0.53</v>
      </c>
      <c r="U3044">
        <v>246.65</v>
      </c>
      <c r="V3044">
        <v>191</v>
      </c>
      <c r="W3044">
        <v>133.18</v>
      </c>
      <c r="X3044">
        <v>191</v>
      </c>
      <c r="AB3044" t="s">
        <v>24595</v>
      </c>
      <c r="AC3044" t="s">
        <v>9852</v>
      </c>
      <c r="AD3044" t="s">
        <v>4647</v>
      </c>
      <c r="AE3044" t="s">
        <v>3049</v>
      </c>
      <c r="AF3044" t="s">
        <v>24596</v>
      </c>
      <c r="AG3044" t="s">
        <v>24597</v>
      </c>
      <c r="AH3044" t="s">
        <v>4519</v>
      </c>
      <c r="AI3044" t="s">
        <v>9852</v>
      </c>
      <c r="AL3044" t="s">
        <v>24581</v>
      </c>
      <c r="AO3044" t="s">
        <v>24598</v>
      </c>
    </row>
    <row r="3045" spans="1:41" hidden="1" x14ac:dyDescent="0.35">
      <c r="A3045" t="s">
        <v>24599</v>
      </c>
      <c r="B3045" t="s">
        <v>7246</v>
      </c>
      <c r="C3045" t="s">
        <v>84</v>
      </c>
      <c r="D3045" t="s">
        <v>84</v>
      </c>
      <c r="E3045" t="s">
        <v>84</v>
      </c>
      <c r="G3045" s="13" t="s">
        <v>24576</v>
      </c>
      <c r="H3045" t="s">
        <v>24577</v>
      </c>
      <c r="I3045" t="s">
        <v>24600</v>
      </c>
      <c r="K3045" t="s">
        <v>24601</v>
      </c>
      <c r="L3045" t="s">
        <v>24602</v>
      </c>
      <c r="M3045" t="s">
        <v>7250</v>
      </c>
      <c r="N3045">
        <v>2014</v>
      </c>
      <c r="R3045">
        <v>0.14000000000000001</v>
      </c>
      <c r="S3045" t="s">
        <v>8257</v>
      </c>
      <c r="T3045">
        <v>0.14000000000000001</v>
      </c>
      <c r="U3045">
        <v>65.150000000000006</v>
      </c>
      <c r="V3045">
        <v>98</v>
      </c>
      <c r="W3045" t="s">
        <v>6546</v>
      </c>
      <c r="X3045">
        <v>98</v>
      </c>
      <c r="Y3045">
        <v>406.4</v>
      </c>
      <c r="Z3045" t="s">
        <v>8842</v>
      </c>
      <c r="AB3045" t="s">
        <v>24603</v>
      </c>
      <c r="AC3045" t="s">
        <v>9852</v>
      </c>
      <c r="AD3045" t="s">
        <v>4661</v>
      </c>
      <c r="AE3045" t="s">
        <v>3049</v>
      </c>
      <c r="AF3045" t="s">
        <v>24604</v>
      </c>
      <c r="AG3045" t="s">
        <v>24605</v>
      </c>
      <c r="AH3045" t="s">
        <v>3049</v>
      </c>
      <c r="AI3045" t="s">
        <v>9852</v>
      </c>
      <c r="AL3045" t="s">
        <v>24581</v>
      </c>
      <c r="AO3045" t="s">
        <v>6546</v>
      </c>
    </row>
    <row r="3046" spans="1:41" hidden="1" x14ac:dyDescent="0.35">
      <c r="A3046" t="s">
        <v>24606</v>
      </c>
      <c r="B3046" t="s">
        <v>7246</v>
      </c>
      <c r="C3046" t="s">
        <v>84</v>
      </c>
      <c r="D3046" t="s">
        <v>84</v>
      </c>
      <c r="E3046" t="s">
        <v>84</v>
      </c>
      <c r="G3046" s="13" t="s">
        <v>24576</v>
      </c>
      <c r="H3046" t="s">
        <v>24577</v>
      </c>
      <c r="I3046" t="s">
        <v>24607</v>
      </c>
      <c r="K3046" t="s">
        <v>24608</v>
      </c>
      <c r="L3046" t="s">
        <v>24608</v>
      </c>
      <c r="M3046" t="s">
        <v>7250</v>
      </c>
      <c r="N3046">
        <v>2014</v>
      </c>
      <c r="R3046">
        <v>4.2</v>
      </c>
      <c r="S3046" t="s">
        <v>8257</v>
      </c>
      <c r="T3046">
        <v>4.2</v>
      </c>
      <c r="U3046">
        <v>1954.61</v>
      </c>
      <c r="V3046">
        <v>70.099999999999994</v>
      </c>
      <c r="W3046" t="s">
        <v>6546</v>
      </c>
      <c r="X3046">
        <v>70.099999999999994</v>
      </c>
      <c r="AC3046" t="s">
        <v>9852</v>
      </c>
      <c r="AD3046" t="s">
        <v>4661</v>
      </c>
      <c r="AE3046" t="s">
        <v>3049</v>
      </c>
      <c r="AH3046" t="s">
        <v>3049</v>
      </c>
      <c r="AI3046" t="s">
        <v>9852</v>
      </c>
      <c r="AL3046" t="s">
        <v>24581</v>
      </c>
      <c r="AO3046" t="s">
        <v>6546</v>
      </c>
    </row>
    <row r="3047" spans="1:41" hidden="1" x14ac:dyDescent="0.35">
      <c r="A3047" t="s">
        <v>24609</v>
      </c>
      <c r="B3047" t="s">
        <v>7246</v>
      </c>
      <c r="C3047" t="s">
        <v>84</v>
      </c>
      <c r="D3047" t="s">
        <v>84</v>
      </c>
      <c r="E3047" t="s">
        <v>84</v>
      </c>
      <c r="G3047" s="13" t="s">
        <v>24576</v>
      </c>
      <c r="H3047" t="s">
        <v>24577</v>
      </c>
      <c r="I3047" t="s">
        <v>24610</v>
      </c>
      <c r="K3047" t="s">
        <v>24611</v>
      </c>
      <c r="L3047" t="s">
        <v>24612</v>
      </c>
      <c r="M3047" t="s">
        <v>7292</v>
      </c>
      <c r="T3047" t="s">
        <v>6546</v>
      </c>
      <c r="U3047" t="s">
        <v>6546</v>
      </c>
      <c r="V3047">
        <v>105.5</v>
      </c>
      <c r="W3047" t="s">
        <v>6546</v>
      </c>
      <c r="X3047">
        <v>105.5</v>
      </c>
      <c r="Y3047">
        <v>504</v>
      </c>
      <c r="Z3047" t="s">
        <v>8842</v>
      </c>
      <c r="AC3047" t="s">
        <v>9852</v>
      </c>
      <c r="AI3047" t="s">
        <v>9852</v>
      </c>
      <c r="AL3047" t="s">
        <v>24581</v>
      </c>
      <c r="AO3047" t="s">
        <v>6546</v>
      </c>
    </row>
    <row r="3048" spans="1:41" hidden="1" x14ac:dyDescent="0.35">
      <c r="A3048" t="s">
        <v>24613</v>
      </c>
      <c r="B3048" t="s">
        <v>7246</v>
      </c>
      <c r="C3048" t="s">
        <v>84</v>
      </c>
      <c r="D3048" t="s">
        <v>84</v>
      </c>
      <c r="E3048" t="s">
        <v>84</v>
      </c>
      <c r="G3048" s="13" t="s">
        <v>24576</v>
      </c>
      <c r="H3048" t="s">
        <v>24577</v>
      </c>
      <c r="I3048" t="s">
        <v>24614</v>
      </c>
      <c r="K3048" t="s">
        <v>24615</v>
      </c>
      <c r="L3048" t="s">
        <v>24616</v>
      </c>
      <c r="M3048" t="s">
        <v>7292</v>
      </c>
      <c r="R3048">
        <v>1.5</v>
      </c>
      <c r="S3048" t="s">
        <v>8257</v>
      </c>
      <c r="T3048">
        <v>1.5</v>
      </c>
      <c r="U3048">
        <v>698.08</v>
      </c>
      <c r="V3048">
        <v>147</v>
      </c>
      <c r="W3048" t="s">
        <v>6546</v>
      </c>
      <c r="X3048">
        <v>147</v>
      </c>
      <c r="Y3048">
        <v>700</v>
      </c>
      <c r="Z3048" t="s">
        <v>8842</v>
      </c>
      <c r="AC3048" t="s">
        <v>9852</v>
      </c>
      <c r="AI3048" t="s">
        <v>9852</v>
      </c>
      <c r="AL3048" t="s">
        <v>24581</v>
      </c>
      <c r="AO3048" t="s">
        <v>6546</v>
      </c>
    </row>
    <row r="3049" spans="1:41" hidden="1" x14ac:dyDescent="0.35">
      <c r="A3049" t="s">
        <v>24617</v>
      </c>
      <c r="B3049" t="s">
        <v>7246</v>
      </c>
      <c r="C3049" t="s">
        <v>84</v>
      </c>
      <c r="D3049" t="s">
        <v>84</v>
      </c>
      <c r="E3049" t="s">
        <v>84</v>
      </c>
      <c r="G3049" s="13" t="s">
        <v>24576</v>
      </c>
      <c r="H3049" t="s">
        <v>24577</v>
      </c>
      <c r="I3049" t="s">
        <v>24618</v>
      </c>
      <c r="K3049" t="s">
        <v>24619</v>
      </c>
      <c r="L3049" t="s">
        <v>24620</v>
      </c>
      <c r="M3049" t="s">
        <v>7250</v>
      </c>
      <c r="N3049">
        <v>2020</v>
      </c>
      <c r="R3049">
        <v>4</v>
      </c>
      <c r="S3049" t="s">
        <v>8257</v>
      </c>
      <c r="T3049">
        <v>4</v>
      </c>
      <c r="U3049">
        <v>1861.53</v>
      </c>
      <c r="V3049">
        <v>344</v>
      </c>
      <c r="W3049">
        <v>200.44</v>
      </c>
      <c r="X3049">
        <v>344</v>
      </c>
      <c r="AA3049" t="s">
        <v>24621</v>
      </c>
      <c r="AC3049" t="s">
        <v>9852</v>
      </c>
      <c r="AD3049" t="s">
        <v>24622</v>
      </c>
      <c r="AE3049" t="s">
        <v>3049</v>
      </c>
      <c r="AG3049" t="s">
        <v>24585</v>
      </c>
      <c r="AH3049" t="s">
        <v>3049</v>
      </c>
      <c r="AI3049" t="s">
        <v>9852</v>
      </c>
      <c r="AL3049" t="s">
        <v>24581</v>
      </c>
      <c r="AO3049" t="s">
        <v>24623</v>
      </c>
    </row>
    <row r="3050" spans="1:41" hidden="1" x14ac:dyDescent="0.35">
      <c r="A3050" t="s">
        <v>24624</v>
      </c>
      <c r="B3050" t="s">
        <v>7246</v>
      </c>
      <c r="C3050" t="s">
        <v>84</v>
      </c>
      <c r="D3050" t="s">
        <v>84</v>
      </c>
      <c r="E3050" t="s">
        <v>84</v>
      </c>
      <c r="G3050" s="13" t="s">
        <v>24576</v>
      </c>
      <c r="H3050" t="s">
        <v>24577</v>
      </c>
      <c r="I3050" t="s">
        <v>24625</v>
      </c>
      <c r="K3050" t="s">
        <v>24626</v>
      </c>
      <c r="L3050" t="s">
        <v>24626</v>
      </c>
      <c r="M3050" t="s">
        <v>7250</v>
      </c>
      <c r="N3050">
        <v>2013</v>
      </c>
      <c r="T3050" t="s">
        <v>6546</v>
      </c>
      <c r="U3050" t="s">
        <v>6546</v>
      </c>
      <c r="V3050">
        <v>168</v>
      </c>
      <c r="W3050">
        <v>96.82</v>
      </c>
      <c r="X3050">
        <v>168</v>
      </c>
      <c r="Y3050">
        <v>457</v>
      </c>
      <c r="Z3050" t="s">
        <v>8842</v>
      </c>
      <c r="AB3050" t="s">
        <v>24627</v>
      </c>
      <c r="AC3050" t="s">
        <v>9852</v>
      </c>
      <c r="AD3050" t="s">
        <v>3054</v>
      </c>
      <c r="AE3050" t="s">
        <v>3049</v>
      </c>
      <c r="AF3050" t="s">
        <v>24595</v>
      </c>
      <c r="AG3050" t="s">
        <v>4647</v>
      </c>
      <c r="AH3050" t="s">
        <v>3049</v>
      </c>
      <c r="AI3050" t="s">
        <v>9852</v>
      </c>
      <c r="AL3050" t="s">
        <v>24581</v>
      </c>
      <c r="AO3050" t="s">
        <v>24628</v>
      </c>
    </row>
    <row r="3051" spans="1:41" hidden="1" x14ac:dyDescent="0.35">
      <c r="A3051" t="s">
        <v>24629</v>
      </c>
      <c r="B3051" t="s">
        <v>7246</v>
      </c>
      <c r="C3051" t="s">
        <v>84</v>
      </c>
      <c r="D3051" t="s">
        <v>84</v>
      </c>
      <c r="E3051" t="s">
        <v>84</v>
      </c>
      <c r="G3051" s="13" t="s">
        <v>24576</v>
      </c>
      <c r="H3051" t="s">
        <v>24577</v>
      </c>
      <c r="I3051" t="s">
        <v>24630</v>
      </c>
      <c r="K3051" t="s">
        <v>22256</v>
      </c>
      <c r="L3051" t="s">
        <v>22257</v>
      </c>
      <c r="M3051" t="s">
        <v>7250</v>
      </c>
      <c r="N3051">
        <v>2011</v>
      </c>
      <c r="R3051">
        <v>8</v>
      </c>
      <c r="S3051" t="s">
        <v>8257</v>
      </c>
      <c r="T3051">
        <v>8</v>
      </c>
      <c r="U3051">
        <v>3723.07</v>
      </c>
      <c r="V3051">
        <v>472.75</v>
      </c>
      <c r="W3051">
        <v>364.74</v>
      </c>
      <c r="X3051">
        <v>472.75</v>
      </c>
      <c r="AA3051" t="s">
        <v>24631</v>
      </c>
      <c r="AC3051" t="s">
        <v>9852</v>
      </c>
      <c r="AD3051" t="s">
        <v>4356</v>
      </c>
      <c r="AE3051" t="s">
        <v>3024</v>
      </c>
      <c r="AG3051" t="s">
        <v>24585</v>
      </c>
      <c r="AH3051" t="s">
        <v>3049</v>
      </c>
      <c r="AI3051" t="s">
        <v>9852</v>
      </c>
      <c r="AL3051" t="s">
        <v>24581</v>
      </c>
      <c r="AO3051" t="s">
        <v>24632</v>
      </c>
    </row>
    <row r="3052" spans="1:41" hidden="1" x14ac:dyDescent="0.35">
      <c r="A3052" t="s">
        <v>24633</v>
      </c>
      <c r="B3052" t="s">
        <v>7246</v>
      </c>
      <c r="C3052" t="s">
        <v>84</v>
      </c>
      <c r="D3052" t="s">
        <v>84</v>
      </c>
      <c r="E3052" t="s">
        <v>84</v>
      </c>
      <c r="G3052" s="13" t="s">
        <v>24634</v>
      </c>
      <c r="H3052" t="s">
        <v>24635</v>
      </c>
      <c r="I3052" t="s">
        <v>24636</v>
      </c>
      <c r="K3052" t="s">
        <v>22256</v>
      </c>
      <c r="L3052" t="s">
        <v>22257</v>
      </c>
      <c r="M3052" t="s">
        <v>7292</v>
      </c>
      <c r="T3052" t="s">
        <v>6546</v>
      </c>
      <c r="U3052" t="s">
        <v>6546</v>
      </c>
      <c r="V3052" t="s">
        <v>6546</v>
      </c>
      <c r="W3052" t="s">
        <v>6546</v>
      </c>
      <c r="X3052" t="s">
        <v>6546</v>
      </c>
      <c r="Y3052">
        <v>1016</v>
      </c>
      <c r="Z3052" t="s">
        <v>8842</v>
      </c>
      <c r="AB3052" t="s">
        <v>24637</v>
      </c>
      <c r="AC3052" t="s">
        <v>9852</v>
      </c>
      <c r="AD3052" t="s">
        <v>4536</v>
      </c>
      <c r="AE3052" t="s">
        <v>4519</v>
      </c>
      <c r="AF3052" t="s">
        <v>24638</v>
      </c>
      <c r="AG3052" t="s">
        <v>4287</v>
      </c>
      <c r="AH3052" t="s">
        <v>4675</v>
      </c>
      <c r="AI3052" t="s">
        <v>9852</v>
      </c>
      <c r="AL3052" t="s">
        <v>24639</v>
      </c>
      <c r="AO3052" t="s">
        <v>6546</v>
      </c>
    </row>
    <row r="3053" spans="1:41" hidden="1" x14ac:dyDescent="0.35">
      <c r="A3053" t="s">
        <v>24640</v>
      </c>
      <c r="B3053" t="s">
        <v>7246</v>
      </c>
      <c r="C3053" t="s">
        <v>84</v>
      </c>
      <c r="D3053" t="s">
        <v>84</v>
      </c>
      <c r="E3053" t="s">
        <v>84</v>
      </c>
      <c r="G3053" s="13" t="s">
        <v>24634</v>
      </c>
      <c r="H3053" t="s">
        <v>24635</v>
      </c>
      <c r="I3053" t="s">
        <v>24641</v>
      </c>
      <c r="K3053" t="s">
        <v>22256</v>
      </c>
      <c r="L3053" t="s">
        <v>22257</v>
      </c>
      <c r="M3053" t="s">
        <v>7292</v>
      </c>
      <c r="T3053" t="s">
        <v>6546</v>
      </c>
      <c r="U3053" t="s">
        <v>6546</v>
      </c>
      <c r="V3053" t="s">
        <v>6546</v>
      </c>
      <c r="W3053" t="s">
        <v>6546</v>
      </c>
      <c r="X3053" t="s">
        <v>6546</v>
      </c>
      <c r="Y3053">
        <v>914</v>
      </c>
      <c r="Z3053" t="s">
        <v>8842</v>
      </c>
      <c r="AB3053" t="s">
        <v>24642</v>
      </c>
      <c r="AC3053" t="s">
        <v>9852</v>
      </c>
      <c r="AD3053" t="s">
        <v>4536</v>
      </c>
      <c r="AE3053" t="s">
        <v>4519</v>
      </c>
      <c r="AF3053" t="s">
        <v>24638</v>
      </c>
      <c r="AG3053" t="s">
        <v>4287</v>
      </c>
      <c r="AH3053" t="s">
        <v>4675</v>
      </c>
      <c r="AI3053" t="s">
        <v>9852</v>
      </c>
      <c r="AL3053" t="s">
        <v>24639</v>
      </c>
      <c r="AO3053" t="s">
        <v>6546</v>
      </c>
    </row>
    <row r="3054" spans="1:41" hidden="1" x14ac:dyDescent="0.35">
      <c r="A3054" t="s">
        <v>24643</v>
      </c>
      <c r="B3054" t="s">
        <v>7246</v>
      </c>
      <c r="C3054" t="s">
        <v>84</v>
      </c>
      <c r="D3054" t="s">
        <v>84</v>
      </c>
      <c r="E3054" t="s">
        <v>84</v>
      </c>
      <c r="G3054" s="13" t="s">
        <v>24634</v>
      </c>
      <c r="H3054" t="s">
        <v>24635</v>
      </c>
      <c r="I3054" t="s">
        <v>24644</v>
      </c>
      <c r="K3054" t="s">
        <v>22256</v>
      </c>
      <c r="L3054" t="s">
        <v>22257</v>
      </c>
      <c r="M3054" t="s">
        <v>7292</v>
      </c>
      <c r="T3054" t="s">
        <v>6546</v>
      </c>
      <c r="U3054" t="s">
        <v>6546</v>
      </c>
      <c r="V3054" t="s">
        <v>6546</v>
      </c>
      <c r="W3054" t="s">
        <v>6546</v>
      </c>
      <c r="X3054" t="s">
        <v>6546</v>
      </c>
      <c r="Y3054">
        <v>914</v>
      </c>
      <c r="Z3054" t="s">
        <v>8842</v>
      </c>
      <c r="AB3054" t="s">
        <v>24645</v>
      </c>
      <c r="AC3054" t="s">
        <v>9852</v>
      </c>
      <c r="AD3054" t="s">
        <v>4536</v>
      </c>
      <c r="AE3054" t="s">
        <v>4519</v>
      </c>
      <c r="AF3054" t="s">
        <v>24638</v>
      </c>
      <c r="AG3054" t="s">
        <v>4287</v>
      </c>
      <c r="AH3054" t="s">
        <v>4675</v>
      </c>
      <c r="AI3054" t="s">
        <v>9852</v>
      </c>
      <c r="AL3054" t="s">
        <v>24639</v>
      </c>
      <c r="AO3054" t="s">
        <v>6546</v>
      </c>
    </row>
    <row r="3055" spans="1:41" hidden="1" x14ac:dyDescent="0.35">
      <c r="A3055" t="s">
        <v>24646</v>
      </c>
      <c r="B3055" t="s">
        <v>7246</v>
      </c>
      <c r="C3055" t="s">
        <v>84</v>
      </c>
      <c r="D3055" t="s">
        <v>84</v>
      </c>
      <c r="E3055" t="s">
        <v>84</v>
      </c>
      <c r="G3055" s="13" t="s">
        <v>24634</v>
      </c>
      <c r="H3055" t="s">
        <v>24635</v>
      </c>
      <c r="I3055" t="s">
        <v>24647</v>
      </c>
      <c r="K3055" t="s">
        <v>22256</v>
      </c>
      <c r="L3055" t="s">
        <v>22257</v>
      </c>
      <c r="M3055" t="s">
        <v>7250</v>
      </c>
      <c r="N3055">
        <v>2019</v>
      </c>
      <c r="R3055">
        <v>7</v>
      </c>
      <c r="S3055" t="s">
        <v>8257</v>
      </c>
      <c r="T3055">
        <v>7</v>
      </c>
      <c r="U3055">
        <v>3257.68</v>
      </c>
      <c r="V3055" t="s">
        <v>6546</v>
      </c>
      <c r="W3055" t="s">
        <v>6546</v>
      </c>
      <c r="X3055" t="s">
        <v>6546</v>
      </c>
      <c r="Y3055">
        <v>1016</v>
      </c>
      <c r="Z3055" t="s">
        <v>8842</v>
      </c>
      <c r="AB3055" t="s">
        <v>24648</v>
      </c>
      <c r="AC3055" t="s">
        <v>9852</v>
      </c>
      <c r="AE3055" t="s">
        <v>3024</v>
      </c>
      <c r="AH3055" t="s">
        <v>3024</v>
      </c>
      <c r="AI3055" t="s">
        <v>9852</v>
      </c>
      <c r="AL3055" t="s">
        <v>24639</v>
      </c>
      <c r="AO3055" t="s">
        <v>6546</v>
      </c>
    </row>
    <row r="3056" spans="1:41" hidden="1" x14ac:dyDescent="0.35">
      <c r="A3056" t="s">
        <v>24649</v>
      </c>
      <c r="B3056" t="s">
        <v>7246</v>
      </c>
      <c r="C3056" t="s">
        <v>84</v>
      </c>
      <c r="D3056" t="s">
        <v>84</v>
      </c>
      <c r="E3056" t="s">
        <v>84</v>
      </c>
      <c r="G3056" s="13" t="s">
        <v>24634</v>
      </c>
      <c r="H3056" t="s">
        <v>24635</v>
      </c>
      <c r="I3056" t="s">
        <v>24650</v>
      </c>
      <c r="K3056" t="s">
        <v>22256</v>
      </c>
      <c r="L3056" t="s">
        <v>22257</v>
      </c>
      <c r="M3056" t="s">
        <v>7250</v>
      </c>
      <c r="N3056">
        <v>2018</v>
      </c>
      <c r="R3056">
        <v>7</v>
      </c>
      <c r="S3056" t="s">
        <v>8257</v>
      </c>
      <c r="T3056">
        <v>7</v>
      </c>
      <c r="U3056">
        <v>3257.68</v>
      </c>
      <c r="V3056" t="s">
        <v>6546</v>
      </c>
      <c r="W3056" t="s">
        <v>6546</v>
      </c>
      <c r="X3056" t="s">
        <v>6546</v>
      </c>
      <c r="Y3056">
        <v>1016</v>
      </c>
      <c r="Z3056" t="s">
        <v>8842</v>
      </c>
      <c r="AB3056" t="s">
        <v>24651</v>
      </c>
      <c r="AC3056" t="s">
        <v>9852</v>
      </c>
      <c r="AE3056" t="s">
        <v>3024</v>
      </c>
      <c r="AH3056" t="s">
        <v>3030</v>
      </c>
      <c r="AI3056" t="s">
        <v>9852</v>
      </c>
      <c r="AL3056" t="s">
        <v>24639</v>
      </c>
      <c r="AO3056" t="s">
        <v>6546</v>
      </c>
    </row>
    <row r="3057" spans="1:41" hidden="1" x14ac:dyDescent="0.35">
      <c r="A3057" t="s">
        <v>24652</v>
      </c>
      <c r="B3057" t="s">
        <v>7246</v>
      </c>
      <c r="C3057" t="s">
        <v>84</v>
      </c>
      <c r="D3057" t="s">
        <v>84</v>
      </c>
      <c r="E3057" t="s">
        <v>84</v>
      </c>
      <c r="G3057" s="13" t="s">
        <v>24634</v>
      </c>
      <c r="H3057" t="s">
        <v>24635</v>
      </c>
      <c r="K3057" t="s">
        <v>24653</v>
      </c>
      <c r="L3057" t="s">
        <v>24654</v>
      </c>
      <c r="M3057" t="s">
        <v>7250</v>
      </c>
      <c r="N3057">
        <v>2018</v>
      </c>
      <c r="R3057">
        <v>30</v>
      </c>
      <c r="S3057" t="s">
        <v>8257</v>
      </c>
      <c r="T3057">
        <v>30</v>
      </c>
      <c r="U3057">
        <v>13961.5</v>
      </c>
      <c r="V3057">
        <v>2293</v>
      </c>
      <c r="W3057">
        <v>1726.32</v>
      </c>
      <c r="X3057">
        <v>2293</v>
      </c>
      <c r="AA3057" t="s">
        <v>24655</v>
      </c>
      <c r="AB3057" t="s">
        <v>24656</v>
      </c>
      <c r="AC3057" t="s">
        <v>9852</v>
      </c>
      <c r="AD3057" t="s">
        <v>4287</v>
      </c>
      <c r="AE3057" t="s">
        <v>4675</v>
      </c>
      <c r="AF3057" t="s">
        <v>24657</v>
      </c>
      <c r="AG3057" t="s">
        <v>24658</v>
      </c>
      <c r="AH3057" t="s">
        <v>24659</v>
      </c>
      <c r="AI3057" t="s">
        <v>9852</v>
      </c>
      <c r="AL3057" t="s">
        <v>24660</v>
      </c>
      <c r="AO3057" t="s">
        <v>24661</v>
      </c>
    </row>
    <row r="3058" spans="1:41" hidden="1" x14ac:dyDescent="0.35">
      <c r="A3058" t="s">
        <v>24662</v>
      </c>
      <c r="B3058" t="s">
        <v>7246</v>
      </c>
      <c r="C3058" t="s">
        <v>84</v>
      </c>
      <c r="D3058" t="s">
        <v>84</v>
      </c>
      <c r="E3058" t="s">
        <v>84</v>
      </c>
      <c r="G3058" s="13" t="s">
        <v>24634</v>
      </c>
      <c r="H3058" t="s">
        <v>24635</v>
      </c>
      <c r="K3058" t="s">
        <v>22256</v>
      </c>
      <c r="L3058" t="s">
        <v>22257</v>
      </c>
      <c r="M3058" t="s">
        <v>7250</v>
      </c>
      <c r="N3058">
        <v>2018</v>
      </c>
      <c r="R3058">
        <v>70</v>
      </c>
      <c r="T3058" t="s">
        <v>6546</v>
      </c>
      <c r="U3058" t="s">
        <v>6546</v>
      </c>
      <c r="V3058" t="s">
        <v>6546</v>
      </c>
      <c r="W3058" t="s">
        <v>6546</v>
      </c>
      <c r="X3058" t="s">
        <v>6546</v>
      </c>
      <c r="Y3058" t="s">
        <v>23092</v>
      </c>
      <c r="Z3058" t="s">
        <v>8842</v>
      </c>
      <c r="AB3058" t="s">
        <v>24663</v>
      </c>
      <c r="AC3058" t="s">
        <v>9852</v>
      </c>
      <c r="AD3058" t="s">
        <v>3025</v>
      </c>
      <c r="AE3058" t="s">
        <v>3024</v>
      </c>
      <c r="AF3058" t="s">
        <v>24664</v>
      </c>
      <c r="AH3058" t="s">
        <v>4178</v>
      </c>
      <c r="AI3058" t="s">
        <v>9852</v>
      </c>
      <c r="AL3058" t="s">
        <v>24665</v>
      </c>
      <c r="AO3058" t="s">
        <v>6546</v>
      </c>
    </row>
    <row r="3059" spans="1:41" hidden="1" x14ac:dyDescent="0.35">
      <c r="A3059" t="s">
        <v>24666</v>
      </c>
      <c r="B3059" t="s">
        <v>7246</v>
      </c>
      <c r="C3059" t="s">
        <v>84</v>
      </c>
      <c r="D3059" t="s">
        <v>84</v>
      </c>
      <c r="E3059" t="s">
        <v>84</v>
      </c>
      <c r="G3059" s="13" t="s">
        <v>24667</v>
      </c>
      <c r="H3059" t="s">
        <v>24668</v>
      </c>
      <c r="I3059" t="s">
        <v>24669</v>
      </c>
      <c r="K3059" t="s">
        <v>22652</v>
      </c>
      <c r="L3059" t="s">
        <v>22652</v>
      </c>
      <c r="M3059" t="s">
        <v>7250</v>
      </c>
      <c r="T3059" t="s">
        <v>6546</v>
      </c>
      <c r="U3059" t="s">
        <v>6546</v>
      </c>
      <c r="V3059">
        <v>75.2</v>
      </c>
      <c r="W3059" t="s">
        <v>6546</v>
      </c>
      <c r="X3059">
        <v>75.2</v>
      </c>
      <c r="Y3059">
        <v>559</v>
      </c>
      <c r="Z3059" t="s">
        <v>8842</v>
      </c>
      <c r="AC3059" t="s">
        <v>9852</v>
      </c>
      <c r="AE3059" t="s">
        <v>4178</v>
      </c>
      <c r="AH3059" t="s">
        <v>4178</v>
      </c>
      <c r="AI3059" t="s">
        <v>9852</v>
      </c>
      <c r="AL3059" t="s">
        <v>24670</v>
      </c>
      <c r="AO3059" t="s">
        <v>6546</v>
      </c>
    </row>
    <row r="3060" spans="1:41" hidden="1" x14ac:dyDescent="0.35">
      <c r="A3060" t="s">
        <v>24671</v>
      </c>
      <c r="B3060" t="s">
        <v>7246</v>
      </c>
      <c r="C3060" t="s">
        <v>84</v>
      </c>
      <c r="D3060" t="s">
        <v>84</v>
      </c>
      <c r="E3060" t="s">
        <v>84</v>
      </c>
      <c r="G3060" s="13" t="s">
        <v>24667</v>
      </c>
      <c r="H3060" t="s">
        <v>24668</v>
      </c>
      <c r="I3060" t="s">
        <v>24672</v>
      </c>
      <c r="K3060" t="s">
        <v>22652</v>
      </c>
      <c r="L3060" t="s">
        <v>22652</v>
      </c>
      <c r="M3060" t="s">
        <v>7250</v>
      </c>
      <c r="N3060">
        <v>1986</v>
      </c>
      <c r="R3060">
        <v>2.5</v>
      </c>
      <c r="S3060" t="s">
        <v>8792</v>
      </c>
      <c r="T3060">
        <v>0.91</v>
      </c>
      <c r="U3060">
        <v>424.95</v>
      </c>
      <c r="V3060">
        <v>147.1</v>
      </c>
      <c r="W3060" t="s">
        <v>6546</v>
      </c>
      <c r="X3060">
        <v>147.1</v>
      </c>
      <c r="Y3060">
        <v>426</v>
      </c>
      <c r="Z3060" t="s">
        <v>8842</v>
      </c>
      <c r="AC3060" t="s">
        <v>9852</v>
      </c>
      <c r="AE3060" t="s">
        <v>4178</v>
      </c>
      <c r="AH3060" t="s">
        <v>4178</v>
      </c>
      <c r="AI3060" t="s">
        <v>9852</v>
      </c>
      <c r="AL3060" t="s">
        <v>24670</v>
      </c>
      <c r="AO3060" t="s">
        <v>6546</v>
      </c>
    </row>
    <row r="3061" spans="1:41" hidden="1" x14ac:dyDescent="0.35">
      <c r="A3061" t="s">
        <v>24673</v>
      </c>
      <c r="B3061" t="s">
        <v>7246</v>
      </c>
      <c r="C3061" t="s">
        <v>84</v>
      </c>
      <c r="D3061" t="s">
        <v>84</v>
      </c>
      <c r="E3061" t="s">
        <v>84</v>
      </c>
      <c r="G3061" s="13" t="s">
        <v>24667</v>
      </c>
      <c r="H3061" t="s">
        <v>24668</v>
      </c>
      <c r="I3061" t="s">
        <v>24674</v>
      </c>
      <c r="K3061" t="s">
        <v>22652</v>
      </c>
      <c r="L3061" t="s">
        <v>22652</v>
      </c>
      <c r="M3061" t="s">
        <v>7250</v>
      </c>
      <c r="N3061">
        <v>1963</v>
      </c>
      <c r="R3061">
        <v>2.5</v>
      </c>
      <c r="S3061" t="s">
        <v>8792</v>
      </c>
      <c r="T3061">
        <v>0.91</v>
      </c>
      <c r="U3061">
        <v>424.95</v>
      </c>
      <c r="V3061">
        <v>54.7</v>
      </c>
      <c r="W3061" t="s">
        <v>6546</v>
      </c>
      <c r="X3061">
        <v>54.7</v>
      </c>
      <c r="Y3061">
        <v>426</v>
      </c>
      <c r="Z3061" t="s">
        <v>8842</v>
      </c>
      <c r="AC3061" t="s">
        <v>9852</v>
      </c>
      <c r="AE3061" t="s">
        <v>4178</v>
      </c>
      <c r="AH3061" t="s">
        <v>4178</v>
      </c>
      <c r="AI3061" t="s">
        <v>9852</v>
      </c>
      <c r="AL3061" t="s">
        <v>24670</v>
      </c>
      <c r="AO3061" t="s">
        <v>6546</v>
      </c>
    </row>
    <row r="3062" spans="1:41" hidden="1" x14ac:dyDescent="0.35">
      <c r="A3062" t="s">
        <v>24675</v>
      </c>
      <c r="B3062" t="s">
        <v>7246</v>
      </c>
      <c r="C3062" t="s">
        <v>84</v>
      </c>
      <c r="D3062" t="s">
        <v>84</v>
      </c>
      <c r="E3062" t="s">
        <v>84</v>
      </c>
      <c r="G3062" s="13" t="s">
        <v>24667</v>
      </c>
      <c r="H3062" t="s">
        <v>24668</v>
      </c>
      <c r="I3062" t="s">
        <v>24676</v>
      </c>
      <c r="K3062" t="s">
        <v>22652</v>
      </c>
      <c r="L3062" t="s">
        <v>22652</v>
      </c>
      <c r="M3062" t="s">
        <v>7250</v>
      </c>
      <c r="R3062">
        <v>2.5</v>
      </c>
      <c r="S3062" t="s">
        <v>8792</v>
      </c>
      <c r="T3062">
        <v>0.91</v>
      </c>
      <c r="U3062">
        <v>424.95</v>
      </c>
      <c r="V3062">
        <v>139.30000000000001</v>
      </c>
      <c r="W3062" t="s">
        <v>6546</v>
      </c>
      <c r="X3062">
        <v>139.30000000000001</v>
      </c>
      <c r="AC3062" t="s">
        <v>9852</v>
      </c>
      <c r="AE3062" t="s">
        <v>4178</v>
      </c>
      <c r="AH3062" t="s">
        <v>4178</v>
      </c>
      <c r="AI3062" t="s">
        <v>9852</v>
      </c>
      <c r="AL3062" t="s">
        <v>24670</v>
      </c>
      <c r="AO3062" t="s">
        <v>6546</v>
      </c>
    </row>
    <row r="3063" spans="1:41" hidden="1" x14ac:dyDescent="0.35">
      <c r="A3063" t="s">
        <v>24677</v>
      </c>
      <c r="B3063" t="s">
        <v>7246</v>
      </c>
      <c r="C3063" t="s">
        <v>84</v>
      </c>
      <c r="D3063" t="s">
        <v>84</v>
      </c>
      <c r="E3063" t="s">
        <v>84</v>
      </c>
      <c r="G3063" s="13" t="s">
        <v>24667</v>
      </c>
      <c r="H3063" t="s">
        <v>24668</v>
      </c>
      <c r="I3063" t="s">
        <v>24678</v>
      </c>
      <c r="K3063" t="s">
        <v>24679</v>
      </c>
      <c r="L3063" t="s">
        <v>24680</v>
      </c>
      <c r="M3063" t="s">
        <v>7292</v>
      </c>
      <c r="R3063">
        <v>1</v>
      </c>
      <c r="S3063" t="s">
        <v>8257</v>
      </c>
      <c r="T3063">
        <v>1</v>
      </c>
      <c r="U3063">
        <v>465.38</v>
      </c>
      <c r="V3063">
        <v>42</v>
      </c>
      <c r="W3063" t="s">
        <v>6546</v>
      </c>
      <c r="X3063">
        <v>42</v>
      </c>
      <c r="Y3063">
        <v>600</v>
      </c>
      <c r="Z3063" t="s">
        <v>8842</v>
      </c>
      <c r="AC3063" t="s">
        <v>9852</v>
      </c>
      <c r="AE3063" t="s">
        <v>4178</v>
      </c>
      <c r="AH3063" t="s">
        <v>4178</v>
      </c>
      <c r="AI3063" t="s">
        <v>9852</v>
      </c>
      <c r="AL3063" t="s">
        <v>24670</v>
      </c>
      <c r="AO3063" t="s">
        <v>6546</v>
      </c>
    </row>
    <row r="3064" spans="1:41" hidden="1" x14ac:dyDescent="0.35">
      <c r="A3064" t="s">
        <v>24681</v>
      </c>
      <c r="B3064" t="s">
        <v>7246</v>
      </c>
      <c r="C3064" t="s">
        <v>84</v>
      </c>
      <c r="D3064" t="s">
        <v>84</v>
      </c>
      <c r="E3064" t="s">
        <v>84</v>
      </c>
      <c r="G3064" s="13" t="s">
        <v>24667</v>
      </c>
      <c r="H3064" t="s">
        <v>24668</v>
      </c>
      <c r="I3064" t="s">
        <v>24682</v>
      </c>
      <c r="K3064" t="s">
        <v>24683</v>
      </c>
      <c r="L3064" t="s">
        <v>24683</v>
      </c>
      <c r="M3064" t="s">
        <v>7292</v>
      </c>
      <c r="R3064">
        <v>0.08</v>
      </c>
      <c r="S3064" t="s">
        <v>8257</v>
      </c>
      <c r="T3064">
        <v>0.08</v>
      </c>
      <c r="U3064">
        <v>37.229999999999997</v>
      </c>
      <c r="V3064">
        <v>53</v>
      </c>
      <c r="W3064" t="s">
        <v>6546</v>
      </c>
      <c r="X3064">
        <v>53</v>
      </c>
      <c r="Y3064">
        <v>200</v>
      </c>
      <c r="Z3064" t="s">
        <v>8842</v>
      </c>
      <c r="AC3064" t="s">
        <v>9852</v>
      </c>
      <c r="AE3064" t="s">
        <v>4178</v>
      </c>
      <c r="AH3064" t="s">
        <v>4178</v>
      </c>
      <c r="AI3064" t="s">
        <v>9852</v>
      </c>
      <c r="AL3064" t="s">
        <v>24670</v>
      </c>
      <c r="AO3064" t="s">
        <v>6546</v>
      </c>
    </row>
    <row r="3065" spans="1:41" hidden="1" x14ac:dyDescent="0.35">
      <c r="A3065" t="s">
        <v>24684</v>
      </c>
      <c r="B3065" t="s">
        <v>7246</v>
      </c>
      <c r="C3065" t="s">
        <v>84</v>
      </c>
      <c r="D3065" t="s">
        <v>84</v>
      </c>
      <c r="E3065" t="s">
        <v>84</v>
      </c>
      <c r="G3065" s="13" t="s">
        <v>24667</v>
      </c>
      <c r="H3065" t="s">
        <v>24668</v>
      </c>
      <c r="I3065" t="s">
        <v>24685</v>
      </c>
      <c r="K3065" t="s">
        <v>22280</v>
      </c>
      <c r="L3065" t="s">
        <v>22257</v>
      </c>
      <c r="M3065" t="s">
        <v>7250</v>
      </c>
      <c r="N3065">
        <v>2015</v>
      </c>
      <c r="R3065">
        <v>10</v>
      </c>
      <c r="S3065" t="s">
        <v>8257</v>
      </c>
      <c r="T3065">
        <v>10</v>
      </c>
      <c r="U3065">
        <v>4653.83</v>
      </c>
      <c r="V3065">
        <v>130.30000000000001</v>
      </c>
      <c r="W3065" t="s">
        <v>6546</v>
      </c>
      <c r="X3065">
        <v>130.30000000000001</v>
      </c>
      <c r="Y3065">
        <v>1016</v>
      </c>
      <c r="Z3065" t="s">
        <v>8842</v>
      </c>
      <c r="AC3065" t="s">
        <v>9852</v>
      </c>
      <c r="AE3065" t="s">
        <v>4178</v>
      </c>
      <c r="AH3065" t="s">
        <v>4178</v>
      </c>
      <c r="AI3065" t="s">
        <v>9852</v>
      </c>
      <c r="AL3065" t="s">
        <v>24670</v>
      </c>
      <c r="AO3065" t="s">
        <v>6546</v>
      </c>
    </row>
    <row r="3066" spans="1:41" hidden="1" x14ac:dyDescent="0.35">
      <c r="A3066" t="s">
        <v>24686</v>
      </c>
      <c r="B3066" t="s">
        <v>7246</v>
      </c>
      <c r="C3066" t="s">
        <v>84</v>
      </c>
      <c r="D3066" t="s">
        <v>84</v>
      </c>
      <c r="E3066" t="s">
        <v>84</v>
      </c>
      <c r="G3066" s="13" t="s">
        <v>24667</v>
      </c>
      <c r="H3066" t="s">
        <v>24668</v>
      </c>
      <c r="I3066" t="s">
        <v>24687</v>
      </c>
      <c r="K3066" t="s">
        <v>24688</v>
      </c>
      <c r="L3066" t="s">
        <v>24689</v>
      </c>
      <c r="M3066" t="s">
        <v>7250</v>
      </c>
      <c r="N3066">
        <v>2019</v>
      </c>
      <c r="R3066">
        <v>0.4</v>
      </c>
      <c r="S3066" t="s">
        <v>8257</v>
      </c>
      <c r="T3066">
        <v>0.4</v>
      </c>
      <c r="U3066">
        <v>186.15</v>
      </c>
      <c r="V3066">
        <v>65</v>
      </c>
      <c r="W3066">
        <v>67.56</v>
      </c>
      <c r="X3066">
        <v>65</v>
      </c>
      <c r="Y3066">
        <v>1016</v>
      </c>
      <c r="Z3066" t="s">
        <v>8842</v>
      </c>
      <c r="AB3066" t="s">
        <v>24690</v>
      </c>
      <c r="AC3066" t="s">
        <v>9852</v>
      </c>
      <c r="AE3066" t="s">
        <v>4178</v>
      </c>
      <c r="AG3066" t="s">
        <v>24691</v>
      </c>
      <c r="AH3066" t="s">
        <v>4178</v>
      </c>
      <c r="AI3066" t="s">
        <v>9852</v>
      </c>
      <c r="AL3066" t="s">
        <v>24670</v>
      </c>
      <c r="AO3066" t="s">
        <v>24692</v>
      </c>
    </row>
    <row r="3067" spans="1:41" hidden="1" x14ac:dyDescent="0.35">
      <c r="A3067" t="s">
        <v>24693</v>
      </c>
      <c r="B3067" t="s">
        <v>7246</v>
      </c>
      <c r="C3067" t="s">
        <v>4178</v>
      </c>
      <c r="D3067" t="s">
        <v>84</v>
      </c>
      <c r="E3067" t="s">
        <v>84</v>
      </c>
      <c r="G3067" s="13" t="s">
        <v>24667</v>
      </c>
      <c r="H3067" t="s">
        <v>24668</v>
      </c>
      <c r="I3067" t="s">
        <v>24694</v>
      </c>
      <c r="K3067" t="s">
        <v>24695</v>
      </c>
      <c r="L3067" t="s">
        <v>24696</v>
      </c>
      <c r="M3067" t="s">
        <v>7250</v>
      </c>
      <c r="N3067">
        <v>2010</v>
      </c>
      <c r="R3067">
        <v>2.1</v>
      </c>
      <c r="S3067" t="s">
        <v>8257</v>
      </c>
      <c r="T3067">
        <v>2.1</v>
      </c>
      <c r="U3067">
        <v>977.31</v>
      </c>
      <c r="V3067">
        <v>130</v>
      </c>
      <c r="W3067" t="s">
        <v>6546</v>
      </c>
      <c r="X3067">
        <v>130</v>
      </c>
      <c r="Y3067" t="s">
        <v>24697</v>
      </c>
      <c r="Z3067" t="s">
        <v>8842</v>
      </c>
      <c r="AC3067" t="s">
        <v>6546</v>
      </c>
      <c r="AE3067" t="s">
        <v>4177</v>
      </c>
      <c r="AF3067" t="s">
        <v>9852</v>
      </c>
      <c r="AG3067" t="s">
        <v>24698</v>
      </c>
      <c r="AH3067" t="s">
        <v>4178</v>
      </c>
      <c r="AI3067" t="s">
        <v>9852</v>
      </c>
      <c r="AL3067" t="s">
        <v>24670</v>
      </c>
      <c r="AO3067" t="s">
        <v>6546</v>
      </c>
    </row>
    <row r="3068" spans="1:41" hidden="1" x14ac:dyDescent="0.35">
      <c r="A3068" t="s">
        <v>24699</v>
      </c>
      <c r="B3068" t="s">
        <v>7246</v>
      </c>
      <c r="C3068" t="s">
        <v>84</v>
      </c>
      <c r="D3068" t="s">
        <v>84</v>
      </c>
      <c r="E3068" t="s">
        <v>84</v>
      </c>
      <c r="G3068" s="13" t="s">
        <v>24667</v>
      </c>
      <c r="H3068" t="s">
        <v>24668</v>
      </c>
      <c r="I3068" t="s">
        <v>24700</v>
      </c>
      <c r="K3068" t="s">
        <v>24683</v>
      </c>
      <c r="L3068" t="s">
        <v>24683</v>
      </c>
      <c r="M3068" t="s">
        <v>7292</v>
      </c>
      <c r="R3068">
        <v>0.03</v>
      </c>
      <c r="S3068" t="s">
        <v>8257</v>
      </c>
      <c r="T3068">
        <v>0.03</v>
      </c>
      <c r="U3068">
        <v>13.96</v>
      </c>
      <c r="V3068">
        <v>55</v>
      </c>
      <c r="W3068" t="s">
        <v>6546</v>
      </c>
      <c r="X3068">
        <v>55</v>
      </c>
      <c r="Y3068">
        <v>219</v>
      </c>
      <c r="Z3068" t="s">
        <v>8842</v>
      </c>
      <c r="AC3068" t="s">
        <v>9852</v>
      </c>
      <c r="AD3068" t="s">
        <v>24701</v>
      </c>
      <c r="AE3068" t="s">
        <v>4178</v>
      </c>
      <c r="AG3068" t="s">
        <v>4582</v>
      </c>
      <c r="AH3068" t="s">
        <v>4178</v>
      </c>
      <c r="AI3068" t="s">
        <v>9852</v>
      </c>
      <c r="AL3068" t="s">
        <v>24670</v>
      </c>
      <c r="AO3068" t="s">
        <v>6546</v>
      </c>
    </row>
    <row r="3069" spans="1:41" hidden="1" x14ac:dyDescent="0.35">
      <c r="A3069" t="s">
        <v>24702</v>
      </c>
      <c r="B3069" t="s">
        <v>7246</v>
      </c>
      <c r="C3069" t="s">
        <v>84</v>
      </c>
      <c r="D3069" t="s">
        <v>84</v>
      </c>
      <c r="E3069" t="s">
        <v>84</v>
      </c>
      <c r="G3069" s="13" t="s">
        <v>24667</v>
      </c>
      <c r="H3069" t="s">
        <v>24668</v>
      </c>
      <c r="I3069" t="s">
        <v>24703</v>
      </c>
      <c r="K3069" t="s">
        <v>24704</v>
      </c>
      <c r="L3069" t="s">
        <v>24081</v>
      </c>
      <c r="M3069" t="s">
        <v>7292</v>
      </c>
      <c r="R3069">
        <v>0.61</v>
      </c>
      <c r="S3069" t="s">
        <v>8257</v>
      </c>
      <c r="T3069">
        <v>0.61</v>
      </c>
      <c r="U3069">
        <v>283.88</v>
      </c>
      <c r="V3069">
        <v>165.5</v>
      </c>
      <c r="W3069" t="s">
        <v>6546</v>
      </c>
      <c r="X3069">
        <v>165.5</v>
      </c>
      <c r="Y3069" t="s">
        <v>24705</v>
      </c>
      <c r="Z3069" t="s">
        <v>8842</v>
      </c>
      <c r="AC3069" t="s">
        <v>9852</v>
      </c>
      <c r="AI3069" t="s">
        <v>9852</v>
      </c>
      <c r="AL3069" t="s">
        <v>24670</v>
      </c>
      <c r="AO3069" t="s">
        <v>6546</v>
      </c>
    </row>
    <row r="3070" spans="1:41" hidden="1" x14ac:dyDescent="0.35">
      <c r="A3070" t="s">
        <v>24706</v>
      </c>
      <c r="B3070" t="s">
        <v>7246</v>
      </c>
      <c r="C3070" t="s">
        <v>84</v>
      </c>
      <c r="D3070" t="s">
        <v>84</v>
      </c>
      <c r="E3070" t="s">
        <v>84</v>
      </c>
      <c r="G3070" s="13" t="s">
        <v>24667</v>
      </c>
      <c r="H3070" t="s">
        <v>24668</v>
      </c>
      <c r="I3070" t="s">
        <v>24707</v>
      </c>
      <c r="K3070" t="s">
        <v>24683</v>
      </c>
      <c r="L3070" t="s">
        <v>24683</v>
      </c>
      <c r="M3070" t="s">
        <v>7292</v>
      </c>
      <c r="R3070">
        <v>0.1</v>
      </c>
      <c r="S3070" t="s">
        <v>8257</v>
      </c>
      <c r="T3070">
        <v>0.1</v>
      </c>
      <c r="U3070">
        <v>46.54</v>
      </c>
      <c r="V3070">
        <v>87</v>
      </c>
      <c r="W3070" t="s">
        <v>6546</v>
      </c>
      <c r="X3070">
        <v>87</v>
      </c>
      <c r="Y3070">
        <v>219</v>
      </c>
      <c r="Z3070" t="s">
        <v>8842</v>
      </c>
      <c r="AC3070" t="s">
        <v>9852</v>
      </c>
      <c r="AI3070" t="s">
        <v>9852</v>
      </c>
      <c r="AL3070" t="s">
        <v>24670</v>
      </c>
      <c r="AO3070" t="s">
        <v>6546</v>
      </c>
    </row>
    <row r="3071" spans="1:41" hidden="1" x14ac:dyDescent="0.35">
      <c r="A3071" t="s">
        <v>24708</v>
      </c>
      <c r="B3071" t="s">
        <v>7246</v>
      </c>
      <c r="C3071" t="s">
        <v>84</v>
      </c>
      <c r="D3071" t="s">
        <v>84</v>
      </c>
      <c r="E3071" t="s">
        <v>84</v>
      </c>
      <c r="G3071" s="13" t="s">
        <v>24667</v>
      </c>
      <c r="H3071" t="s">
        <v>24668</v>
      </c>
      <c r="I3071" t="s">
        <v>24709</v>
      </c>
      <c r="K3071" t="s">
        <v>22652</v>
      </c>
      <c r="L3071" t="s">
        <v>22652</v>
      </c>
      <c r="M3071" t="s">
        <v>7292</v>
      </c>
      <c r="R3071">
        <v>35</v>
      </c>
      <c r="S3071" t="s">
        <v>8257</v>
      </c>
      <c r="T3071">
        <v>35</v>
      </c>
      <c r="U3071">
        <v>16288.42</v>
      </c>
      <c r="V3071">
        <v>64.5</v>
      </c>
      <c r="W3071" t="s">
        <v>6546</v>
      </c>
      <c r="X3071">
        <v>64.5</v>
      </c>
      <c r="Y3071">
        <v>1219</v>
      </c>
      <c r="Z3071" t="s">
        <v>8842</v>
      </c>
      <c r="AC3071" t="s">
        <v>9852</v>
      </c>
      <c r="AI3071" t="s">
        <v>9852</v>
      </c>
      <c r="AL3071" t="s">
        <v>24670</v>
      </c>
      <c r="AO3071" t="s">
        <v>6546</v>
      </c>
    </row>
    <row r="3072" spans="1:41" hidden="1" x14ac:dyDescent="0.35">
      <c r="A3072" t="s">
        <v>24710</v>
      </c>
      <c r="B3072" t="s">
        <v>7246</v>
      </c>
      <c r="C3072" t="s">
        <v>84</v>
      </c>
      <c r="D3072" t="s">
        <v>84</v>
      </c>
      <c r="E3072" t="s">
        <v>84</v>
      </c>
      <c r="G3072" s="13" t="s">
        <v>24711</v>
      </c>
      <c r="H3072" t="s">
        <v>24668</v>
      </c>
      <c r="I3072" t="s">
        <v>24712</v>
      </c>
      <c r="J3072" t="s">
        <v>24713</v>
      </c>
      <c r="K3072" t="s">
        <v>24714</v>
      </c>
      <c r="L3072" t="s">
        <v>24715</v>
      </c>
      <c r="M3072" t="s">
        <v>7415</v>
      </c>
      <c r="R3072">
        <v>4.8</v>
      </c>
      <c r="S3072" t="s">
        <v>8257</v>
      </c>
      <c r="T3072">
        <v>4.8</v>
      </c>
      <c r="U3072">
        <v>2233.84</v>
      </c>
      <c r="V3072">
        <v>140</v>
      </c>
      <c r="W3072">
        <v>83.72</v>
      </c>
      <c r="X3072">
        <v>140</v>
      </c>
      <c r="Y3072">
        <v>1060</v>
      </c>
      <c r="Z3072" t="s">
        <v>8842</v>
      </c>
      <c r="AC3072" t="s">
        <v>9852</v>
      </c>
      <c r="AD3072" t="s">
        <v>24716</v>
      </c>
      <c r="AE3072" t="s">
        <v>4178</v>
      </c>
      <c r="AG3072" t="s">
        <v>24698</v>
      </c>
      <c r="AH3072" t="s">
        <v>4178</v>
      </c>
      <c r="AI3072" t="s">
        <v>9852</v>
      </c>
      <c r="AL3072" t="s">
        <v>24670</v>
      </c>
      <c r="AO3072" t="s">
        <v>24717</v>
      </c>
    </row>
    <row r="3073" spans="1:41" hidden="1" x14ac:dyDescent="0.35">
      <c r="A3073" t="s">
        <v>24718</v>
      </c>
      <c r="B3073" t="s">
        <v>7246</v>
      </c>
      <c r="C3073" t="s">
        <v>84</v>
      </c>
      <c r="D3073" t="s">
        <v>84</v>
      </c>
      <c r="E3073" t="s">
        <v>84</v>
      </c>
      <c r="G3073" s="13" t="s">
        <v>24711</v>
      </c>
      <c r="H3073" t="s">
        <v>24668</v>
      </c>
      <c r="I3073" t="s">
        <v>24719</v>
      </c>
      <c r="J3073" t="s">
        <v>24720</v>
      </c>
      <c r="K3073" t="s">
        <v>24714</v>
      </c>
      <c r="L3073" t="s">
        <v>24715</v>
      </c>
      <c r="M3073" t="s">
        <v>7292</v>
      </c>
      <c r="T3073" t="s">
        <v>6546</v>
      </c>
      <c r="U3073" t="s">
        <v>6546</v>
      </c>
      <c r="V3073" t="s">
        <v>6546</v>
      </c>
      <c r="W3073">
        <v>31.71</v>
      </c>
      <c r="X3073">
        <v>31.71</v>
      </c>
      <c r="AC3073" t="s">
        <v>9852</v>
      </c>
      <c r="AE3073" t="s">
        <v>4178</v>
      </c>
      <c r="AH3073" t="s">
        <v>4178</v>
      </c>
      <c r="AI3073" t="s">
        <v>9852</v>
      </c>
      <c r="AL3073" t="s">
        <v>24670</v>
      </c>
      <c r="AO3073" t="s">
        <v>24721</v>
      </c>
    </row>
    <row r="3074" spans="1:41" hidden="1" x14ac:dyDescent="0.35">
      <c r="A3074" t="s">
        <v>24722</v>
      </c>
      <c r="B3074" t="s">
        <v>7246</v>
      </c>
      <c r="C3074" t="s">
        <v>84</v>
      </c>
      <c r="D3074" t="s">
        <v>84</v>
      </c>
      <c r="E3074" t="s">
        <v>84</v>
      </c>
      <c r="G3074" s="13" t="s">
        <v>24711</v>
      </c>
      <c r="H3074" t="s">
        <v>24668</v>
      </c>
      <c r="I3074" t="s">
        <v>24723</v>
      </c>
      <c r="K3074" t="s">
        <v>24714</v>
      </c>
      <c r="L3074" t="s">
        <v>24715</v>
      </c>
      <c r="M3074" t="s">
        <v>7415</v>
      </c>
      <c r="R3074">
        <v>0.98</v>
      </c>
      <c r="S3074" t="s">
        <v>8257</v>
      </c>
      <c r="T3074">
        <v>0.98</v>
      </c>
      <c r="U3074">
        <v>456.08</v>
      </c>
      <c r="V3074">
        <v>128.71</v>
      </c>
      <c r="W3074">
        <v>51.39</v>
      </c>
      <c r="X3074">
        <v>128.71</v>
      </c>
      <c r="AC3074" t="s">
        <v>9852</v>
      </c>
      <c r="AE3074" t="s">
        <v>4178</v>
      </c>
      <c r="AH3074" t="s">
        <v>4178</v>
      </c>
      <c r="AI3074" t="s">
        <v>9852</v>
      </c>
      <c r="AL3074" t="s">
        <v>24670</v>
      </c>
      <c r="AO3074" t="s">
        <v>24724</v>
      </c>
    </row>
    <row r="3075" spans="1:41" hidden="1" x14ac:dyDescent="0.35">
      <c r="A3075" t="s">
        <v>24725</v>
      </c>
      <c r="B3075" t="s">
        <v>7246</v>
      </c>
      <c r="C3075" t="s">
        <v>84</v>
      </c>
      <c r="D3075" t="s">
        <v>84</v>
      </c>
      <c r="E3075" t="s">
        <v>84</v>
      </c>
      <c r="G3075" s="13" t="s">
        <v>24711</v>
      </c>
      <c r="H3075" t="s">
        <v>24668</v>
      </c>
      <c r="I3075" t="s">
        <v>24726</v>
      </c>
      <c r="J3075" t="s">
        <v>24727</v>
      </c>
      <c r="K3075" t="s">
        <v>24714</v>
      </c>
      <c r="L3075" t="s">
        <v>24715</v>
      </c>
      <c r="M3075" t="s">
        <v>7292</v>
      </c>
      <c r="T3075" t="s">
        <v>6546</v>
      </c>
      <c r="U3075" t="s">
        <v>6546</v>
      </c>
      <c r="V3075">
        <v>551</v>
      </c>
      <c r="W3075">
        <v>138.66999999999999</v>
      </c>
      <c r="X3075">
        <v>551</v>
      </c>
      <c r="AA3075" t="s">
        <v>24728</v>
      </c>
      <c r="AB3075" t="s">
        <v>24729</v>
      </c>
      <c r="AC3075" t="s">
        <v>9852</v>
      </c>
      <c r="AD3075" t="s">
        <v>24698</v>
      </c>
      <c r="AE3075" t="s">
        <v>4178</v>
      </c>
      <c r="AF3075" t="s">
        <v>24730</v>
      </c>
      <c r="AG3075" t="s">
        <v>23434</v>
      </c>
      <c r="AH3075" t="s">
        <v>4178</v>
      </c>
      <c r="AI3075" t="s">
        <v>9852</v>
      </c>
      <c r="AL3075" t="s">
        <v>24670</v>
      </c>
      <c r="AO3075" t="s">
        <v>24731</v>
      </c>
    </row>
    <row r="3076" spans="1:41" hidden="1" x14ac:dyDescent="0.35">
      <c r="A3076" t="s">
        <v>24732</v>
      </c>
      <c r="B3076" t="s">
        <v>7246</v>
      </c>
      <c r="C3076" t="s">
        <v>84</v>
      </c>
      <c r="D3076" t="s">
        <v>84</v>
      </c>
      <c r="E3076" t="s">
        <v>84</v>
      </c>
      <c r="G3076" s="13" t="s">
        <v>24733</v>
      </c>
      <c r="H3076" t="s">
        <v>24734</v>
      </c>
      <c r="I3076" t="s">
        <v>24735</v>
      </c>
      <c r="K3076" t="s">
        <v>22676</v>
      </c>
      <c r="L3076" t="s">
        <v>22677</v>
      </c>
      <c r="M3076" t="s">
        <v>7250</v>
      </c>
      <c r="N3076">
        <v>2009</v>
      </c>
      <c r="R3076">
        <v>9</v>
      </c>
      <c r="S3076" t="s">
        <v>8257</v>
      </c>
      <c r="T3076">
        <v>9</v>
      </c>
      <c r="U3076">
        <v>4188.45</v>
      </c>
      <c r="V3076">
        <v>312.39999999999998</v>
      </c>
      <c r="W3076">
        <v>270.61</v>
      </c>
      <c r="X3076">
        <v>312.39999999999998</v>
      </c>
      <c r="AA3076" t="s">
        <v>24736</v>
      </c>
      <c r="AB3076" t="s">
        <v>22259</v>
      </c>
      <c r="AC3076" t="s">
        <v>9852</v>
      </c>
      <c r="AD3076" t="s">
        <v>4351</v>
      </c>
      <c r="AE3076" t="s">
        <v>3024</v>
      </c>
      <c r="AF3076" t="s">
        <v>24737</v>
      </c>
      <c r="AG3076" t="s">
        <v>4356</v>
      </c>
      <c r="AH3076" t="s">
        <v>3024</v>
      </c>
      <c r="AI3076" t="s">
        <v>9852</v>
      </c>
      <c r="AL3076" t="s">
        <v>24738</v>
      </c>
      <c r="AO3076" t="s">
        <v>24739</v>
      </c>
    </row>
    <row r="3077" spans="1:41" hidden="1" x14ac:dyDescent="0.35">
      <c r="A3077" t="s">
        <v>24740</v>
      </c>
      <c r="B3077" t="s">
        <v>7246</v>
      </c>
      <c r="C3077" t="s">
        <v>84</v>
      </c>
      <c r="D3077" t="s">
        <v>84</v>
      </c>
      <c r="E3077" t="s">
        <v>84</v>
      </c>
      <c r="G3077" s="13" t="s">
        <v>24741</v>
      </c>
      <c r="H3077" t="s">
        <v>24742</v>
      </c>
      <c r="I3077" t="s">
        <v>24743</v>
      </c>
      <c r="K3077" t="s">
        <v>22676</v>
      </c>
      <c r="L3077" t="s">
        <v>22677</v>
      </c>
      <c r="M3077" t="s">
        <v>7250</v>
      </c>
      <c r="N3077">
        <v>2016</v>
      </c>
      <c r="R3077">
        <v>17</v>
      </c>
      <c r="S3077" t="s">
        <v>8257</v>
      </c>
      <c r="T3077">
        <v>17</v>
      </c>
      <c r="U3077">
        <v>7911.52</v>
      </c>
      <c r="V3077">
        <v>77.5</v>
      </c>
      <c r="W3077">
        <v>53.48</v>
      </c>
      <c r="X3077">
        <v>77.5</v>
      </c>
      <c r="AA3077" t="s">
        <v>24744</v>
      </c>
      <c r="AC3077" t="s">
        <v>9852</v>
      </c>
      <c r="AD3077" t="s">
        <v>24745</v>
      </c>
      <c r="AE3077" t="s">
        <v>3065</v>
      </c>
      <c r="AF3077" t="s">
        <v>24746</v>
      </c>
      <c r="AG3077" t="s">
        <v>24747</v>
      </c>
      <c r="AH3077" t="s">
        <v>3011</v>
      </c>
      <c r="AI3077" t="s">
        <v>9852</v>
      </c>
      <c r="AL3077" t="s">
        <v>24748</v>
      </c>
      <c r="AO3077" t="s">
        <v>24749</v>
      </c>
    </row>
    <row r="3078" spans="1:41" hidden="1" x14ac:dyDescent="0.35">
      <c r="A3078" t="s">
        <v>24750</v>
      </c>
      <c r="B3078" t="s">
        <v>7246</v>
      </c>
      <c r="C3078" t="s">
        <v>84</v>
      </c>
      <c r="D3078" t="s">
        <v>84</v>
      </c>
      <c r="E3078" t="s">
        <v>84</v>
      </c>
      <c r="G3078" s="13" t="s">
        <v>24751</v>
      </c>
      <c r="H3078" t="s">
        <v>24742</v>
      </c>
      <c r="I3078" t="s">
        <v>24752</v>
      </c>
      <c r="K3078" t="s">
        <v>22676</v>
      </c>
      <c r="L3078" t="s">
        <v>22677</v>
      </c>
      <c r="M3078" t="s">
        <v>7250</v>
      </c>
      <c r="N3078">
        <v>2019</v>
      </c>
      <c r="R3078">
        <v>17</v>
      </c>
      <c r="S3078" t="s">
        <v>8257</v>
      </c>
      <c r="T3078">
        <v>17</v>
      </c>
      <c r="U3078">
        <v>7911.52</v>
      </c>
      <c r="V3078">
        <v>77</v>
      </c>
      <c r="W3078">
        <v>80.52</v>
      </c>
      <c r="X3078">
        <v>77</v>
      </c>
      <c r="AA3078" t="s">
        <v>24753</v>
      </c>
      <c r="AC3078" t="s">
        <v>9852</v>
      </c>
      <c r="AD3078" t="s">
        <v>24754</v>
      </c>
      <c r="AE3078" t="s">
        <v>3011</v>
      </c>
      <c r="AF3078" t="s">
        <v>24755</v>
      </c>
      <c r="AG3078" t="s">
        <v>4351</v>
      </c>
      <c r="AH3078" t="s">
        <v>3024</v>
      </c>
      <c r="AI3078" t="s">
        <v>9852</v>
      </c>
      <c r="AL3078" t="s">
        <v>24748</v>
      </c>
      <c r="AO3078" t="s">
        <v>24756</v>
      </c>
    </row>
    <row r="3079" spans="1:41" hidden="1" x14ac:dyDescent="0.35">
      <c r="A3079" t="s">
        <v>24757</v>
      </c>
      <c r="B3079" t="s">
        <v>7246</v>
      </c>
      <c r="C3079" t="s">
        <v>84</v>
      </c>
      <c r="D3079" t="s">
        <v>84</v>
      </c>
      <c r="E3079" t="s">
        <v>84</v>
      </c>
      <c r="G3079" s="13" t="s">
        <v>24758</v>
      </c>
      <c r="H3079" t="s">
        <v>24742</v>
      </c>
      <c r="I3079" t="s">
        <v>24759</v>
      </c>
      <c r="K3079" t="s">
        <v>22676</v>
      </c>
      <c r="L3079" t="s">
        <v>22677</v>
      </c>
      <c r="M3079" t="s">
        <v>7250</v>
      </c>
      <c r="N3079">
        <v>2021</v>
      </c>
      <c r="R3079">
        <v>3.2</v>
      </c>
      <c r="S3079" t="s">
        <v>8257</v>
      </c>
      <c r="T3079">
        <v>3.2</v>
      </c>
      <c r="U3079">
        <v>1489.23</v>
      </c>
      <c r="V3079">
        <v>173.7</v>
      </c>
      <c r="W3079" t="s">
        <v>6546</v>
      </c>
      <c r="X3079">
        <v>173.7</v>
      </c>
      <c r="AC3079" t="s">
        <v>9852</v>
      </c>
      <c r="AD3079" t="s">
        <v>4430</v>
      </c>
      <c r="AE3079" t="s">
        <v>3024</v>
      </c>
      <c r="AG3079" t="s">
        <v>4430</v>
      </c>
      <c r="AH3079" t="s">
        <v>3024</v>
      </c>
      <c r="AI3079" t="s">
        <v>9852</v>
      </c>
      <c r="AL3079" t="s">
        <v>24748</v>
      </c>
      <c r="AO3079" t="s">
        <v>6546</v>
      </c>
    </row>
    <row r="3080" spans="1:41" hidden="1" x14ac:dyDescent="0.35">
      <c r="A3080" t="s">
        <v>24760</v>
      </c>
      <c r="B3080" t="s">
        <v>7246</v>
      </c>
      <c r="C3080" t="s">
        <v>84</v>
      </c>
      <c r="D3080" t="s">
        <v>84</v>
      </c>
      <c r="E3080" t="s">
        <v>84</v>
      </c>
      <c r="G3080" s="13" t="s">
        <v>24761</v>
      </c>
      <c r="H3080" t="s">
        <v>24762</v>
      </c>
      <c r="K3080" t="s">
        <v>22676</v>
      </c>
      <c r="L3080" t="s">
        <v>22677</v>
      </c>
      <c r="M3080" t="s">
        <v>7250</v>
      </c>
      <c r="N3080">
        <v>1997</v>
      </c>
      <c r="R3080">
        <v>4</v>
      </c>
      <c r="S3080" t="s">
        <v>8257</v>
      </c>
      <c r="T3080">
        <v>4</v>
      </c>
      <c r="U3080">
        <v>1861.53</v>
      </c>
      <c r="V3080">
        <v>918</v>
      </c>
      <c r="W3080">
        <v>759.55</v>
      </c>
      <c r="X3080">
        <v>918</v>
      </c>
      <c r="AA3080" t="s">
        <v>24763</v>
      </c>
      <c r="AC3080" t="s">
        <v>9852</v>
      </c>
      <c r="AE3080" t="s">
        <v>4675</v>
      </c>
      <c r="AF3080" t="s">
        <v>24764</v>
      </c>
      <c r="AG3080" t="s">
        <v>24765</v>
      </c>
      <c r="AH3080" t="s">
        <v>3011</v>
      </c>
      <c r="AI3080" t="s">
        <v>9852</v>
      </c>
      <c r="AL3080" t="s">
        <v>24766</v>
      </c>
      <c r="AO3080" t="s">
        <v>24767</v>
      </c>
    </row>
    <row r="3081" spans="1:41" hidden="1" x14ac:dyDescent="0.35">
      <c r="A3081" t="s">
        <v>24768</v>
      </c>
      <c r="B3081" t="s">
        <v>7246</v>
      </c>
      <c r="C3081" t="s">
        <v>84</v>
      </c>
      <c r="D3081" t="s">
        <v>84</v>
      </c>
      <c r="E3081" t="s">
        <v>84</v>
      </c>
      <c r="G3081" s="13" t="s">
        <v>24769</v>
      </c>
      <c r="H3081" t="s">
        <v>24734</v>
      </c>
      <c r="K3081" t="s">
        <v>22676</v>
      </c>
      <c r="L3081" t="s">
        <v>22677</v>
      </c>
      <c r="M3081" t="s">
        <v>7250</v>
      </c>
      <c r="N3081">
        <v>2005</v>
      </c>
      <c r="R3081">
        <v>12</v>
      </c>
      <c r="S3081" t="s">
        <v>8257</v>
      </c>
      <c r="T3081">
        <v>12</v>
      </c>
      <c r="U3081">
        <v>5584.6</v>
      </c>
      <c r="V3081">
        <v>935</v>
      </c>
      <c r="W3081">
        <v>816.61</v>
      </c>
      <c r="X3081">
        <v>935</v>
      </c>
      <c r="Y3081">
        <v>1016</v>
      </c>
      <c r="Z3081" t="s">
        <v>8842</v>
      </c>
      <c r="AB3081" t="s">
        <v>24770</v>
      </c>
      <c r="AC3081" t="s">
        <v>9852</v>
      </c>
      <c r="AE3081" t="s">
        <v>4675</v>
      </c>
      <c r="AG3081" t="s">
        <v>24747</v>
      </c>
      <c r="AH3081" t="s">
        <v>3011</v>
      </c>
      <c r="AI3081" t="s">
        <v>9852</v>
      </c>
      <c r="AL3081" t="s">
        <v>24771</v>
      </c>
      <c r="AO3081" t="s">
        <v>24772</v>
      </c>
    </row>
    <row r="3082" spans="1:41" hidden="1" x14ac:dyDescent="0.35">
      <c r="A3082" t="s">
        <v>24773</v>
      </c>
      <c r="B3082" t="s">
        <v>7246</v>
      </c>
      <c r="C3082" t="s">
        <v>84</v>
      </c>
      <c r="D3082" t="s">
        <v>84</v>
      </c>
      <c r="E3082" t="s">
        <v>84</v>
      </c>
      <c r="G3082" s="13" t="s">
        <v>24774</v>
      </c>
      <c r="H3082" t="s">
        <v>24775</v>
      </c>
      <c r="K3082" t="s">
        <v>22676</v>
      </c>
      <c r="L3082" t="s">
        <v>22677</v>
      </c>
      <c r="M3082" t="s">
        <v>7250</v>
      </c>
      <c r="N3082">
        <v>2010</v>
      </c>
      <c r="R3082">
        <v>15</v>
      </c>
      <c r="S3082" t="s">
        <v>8257</v>
      </c>
      <c r="T3082">
        <v>15</v>
      </c>
      <c r="U3082">
        <v>6980.75</v>
      </c>
      <c r="V3082">
        <v>1011</v>
      </c>
      <c r="W3082">
        <v>801.46</v>
      </c>
      <c r="X3082">
        <v>1011</v>
      </c>
      <c r="AB3082" t="s">
        <v>4287</v>
      </c>
      <c r="AC3082" t="s">
        <v>9852</v>
      </c>
      <c r="AE3082" t="s">
        <v>4675</v>
      </c>
      <c r="AF3082" t="s">
        <v>24776</v>
      </c>
      <c r="AG3082" t="s">
        <v>24777</v>
      </c>
      <c r="AH3082" t="s">
        <v>3011</v>
      </c>
      <c r="AI3082" t="s">
        <v>9852</v>
      </c>
      <c r="AL3082" t="s">
        <v>24778</v>
      </c>
      <c r="AO3082" t="s">
        <v>24779</v>
      </c>
    </row>
    <row r="3083" spans="1:41" hidden="1" x14ac:dyDescent="0.35">
      <c r="A3083" t="s">
        <v>24780</v>
      </c>
      <c r="B3083" t="s">
        <v>7246</v>
      </c>
      <c r="C3083" t="s">
        <v>84</v>
      </c>
      <c r="D3083" t="s">
        <v>84</v>
      </c>
      <c r="E3083" t="s">
        <v>84</v>
      </c>
      <c r="G3083" s="13" t="s">
        <v>24781</v>
      </c>
      <c r="H3083" t="s">
        <v>24742</v>
      </c>
      <c r="K3083" t="s">
        <v>22676</v>
      </c>
      <c r="L3083" t="s">
        <v>22677</v>
      </c>
      <c r="M3083" t="s">
        <v>7250</v>
      </c>
      <c r="N3083">
        <v>2017</v>
      </c>
      <c r="R3083">
        <v>25</v>
      </c>
      <c r="S3083" t="s">
        <v>8257</v>
      </c>
      <c r="T3083">
        <v>25</v>
      </c>
      <c r="U3083">
        <v>11634.59</v>
      </c>
      <c r="V3083">
        <v>1114</v>
      </c>
      <c r="W3083">
        <v>887.99</v>
      </c>
      <c r="X3083">
        <v>1114</v>
      </c>
      <c r="Y3083">
        <v>1219</v>
      </c>
      <c r="Z3083" t="s">
        <v>8842</v>
      </c>
      <c r="AA3083" t="s">
        <v>24782</v>
      </c>
      <c r="AB3083" t="s">
        <v>24226</v>
      </c>
      <c r="AC3083" t="s">
        <v>9852</v>
      </c>
      <c r="AD3083" t="s">
        <v>4287</v>
      </c>
      <c r="AE3083" t="s">
        <v>4675</v>
      </c>
      <c r="AF3083" t="s">
        <v>24783</v>
      </c>
      <c r="AG3083" t="s">
        <v>24784</v>
      </c>
      <c r="AH3083" t="s">
        <v>3011</v>
      </c>
      <c r="AI3083" t="s">
        <v>9852</v>
      </c>
      <c r="AL3083" t="s">
        <v>24748</v>
      </c>
      <c r="AO3083" t="s">
        <v>24785</v>
      </c>
    </row>
    <row r="3084" spans="1:41" hidden="1" x14ac:dyDescent="0.35">
      <c r="A3084" t="s">
        <v>24786</v>
      </c>
      <c r="B3084" t="s">
        <v>7246</v>
      </c>
      <c r="C3084" t="s">
        <v>84</v>
      </c>
      <c r="D3084" t="s">
        <v>84</v>
      </c>
      <c r="E3084" t="s">
        <v>84</v>
      </c>
      <c r="G3084" s="13" t="s">
        <v>24787</v>
      </c>
      <c r="H3084" t="s">
        <v>24788</v>
      </c>
      <c r="I3084" t="s">
        <v>24789</v>
      </c>
      <c r="K3084" t="s">
        <v>24790</v>
      </c>
      <c r="L3084" t="s">
        <v>24790</v>
      </c>
      <c r="M3084" t="s">
        <v>7250</v>
      </c>
      <c r="N3084">
        <v>2010</v>
      </c>
      <c r="R3084">
        <v>0.34</v>
      </c>
      <c r="S3084" t="s">
        <v>8257</v>
      </c>
      <c r="T3084">
        <v>0.34</v>
      </c>
      <c r="U3084">
        <v>158.22999999999999</v>
      </c>
      <c r="V3084">
        <v>228</v>
      </c>
      <c r="W3084">
        <v>140.44999999999999</v>
      </c>
      <c r="X3084">
        <v>228</v>
      </c>
      <c r="AA3084" t="s">
        <v>24791</v>
      </c>
      <c r="AC3084" t="s">
        <v>9852</v>
      </c>
      <c r="AD3084" t="s">
        <v>24792</v>
      </c>
      <c r="AE3084" t="s">
        <v>4675</v>
      </c>
      <c r="AG3084" t="s">
        <v>4679</v>
      </c>
      <c r="AH3084" t="s">
        <v>4675</v>
      </c>
      <c r="AI3084" t="s">
        <v>9852</v>
      </c>
      <c r="AL3084" t="s">
        <v>24793</v>
      </c>
      <c r="AO3084" t="s">
        <v>24794</v>
      </c>
    </row>
    <row r="3085" spans="1:41" hidden="1" x14ac:dyDescent="0.35">
      <c r="A3085" t="s">
        <v>24795</v>
      </c>
      <c r="B3085" t="s">
        <v>7246</v>
      </c>
      <c r="C3085" t="s">
        <v>84</v>
      </c>
      <c r="D3085" t="s">
        <v>84</v>
      </c>
      <c r="E3085" t="s">
        <v>84</v>
      </c>
      <c r="G3085" s="13" t="s">
        <v>24787</v>
      </c>
      <c r="H3085" t="s">
        <v>24788</v>
      </c>
      <c r="I3085" t="s">
        <v>24796</v>
      </c>
      <c r="K3085" t="s">
        <v>24790</v>
      </c>
      <c r="L3085" t="s">
        <v>24790</v>
      </c>
      <c r="M3085" t="s">
        <v>7250</v>
      </c>
      <c r="N3085">
        <v>2014</v>
      </c>
      <c r="R3085">
        <v>11.1</v>
      </c>
      <c r="S3085" t="s">
        <v>8257</v>
      </c>
      <c r="T3085">
        <v>11.1</v>
      </c>
      <c r="U3085">
        <v>5165.76</v>
      </c>
      <c r="V3085">
        <v>272</v>
      </c>
      <c r="W3085">
        <v>366.72</v>
      </c>
      <c r="X3085">
        <v>272</v>
      </c>
      <c r="AA3085" t="s">
        <v>24791</v>
      </c>
      <c r="AC3085" t="s">
        <v>9852</v>
      </c>
      <c r="AE3085" t="s">
        <v>4675</v>
      </c>
      <c r="AH3085" t="s">
        <v>4675</v>
      </c>
      <c r="AI3085" t="s">
        <v>9852</v>
      </c>
      <c r="AL3085" t="s">
        <v>24793</v>
      </c>
      <c r="AO3085" t="s">
        <v>24797</v>
      </c>
    </row>
    <row r="3086" spans="1:41" hidden="1" x14ac:dyDescent="0.35">
      <c r="A3086" t="s">
        <v>24798</v>
      </c>
      <c r="B3086" t="s">
        <v>7246</v>
      </c>
      <c r="C3086" t="s">
        <v>84</v>
      </c>
      <c r="D3086" t="s">
        <v>84</v>
      </c>
      <c r="E3086" t="s">
        <v>84</v>
      </c>
      <c r="G3086" s="13" t="s">
        <v>24787</v>
      </c>
      <c r="H3086" t="s">
        <v>24788</v>
      </c>
      <c r="I3086" t="s">
        <v>24799</v>
      </c>
      <c r="K3086" t="s">
        <v>24790</v>
      </c>
      <c r="L3086" t="s">
        <v>24790</v>
      </c>
      <c r="M3086" t="s">
        <v>7250</v>
      </c>
      <c r="N3086">
        <v>2011</v>
      </c>
      <c r="R3086">
        <v>0.6</v>
      </c>
      <c r="S3086" t="s">
        <v>8257</v>
      </c>
      <c r="T3086">
        <v>0.6</v>
      </c>
      <c r="U3086">
        <v>279.23</v>
      </c>
      <c r="V3086">
        <v>233</v>
      </c>
      <c r="W3086">
        <v>188.81</v>
      </c>
      <c r="X3086">
        <v>233</v>
      </c>
      <c r="AA3086" t="s">
        <v>24791</v>
      </c>
      <c r="AB3086" t="s">
        <v>24800</v>
      </c>
      <c r="AC3086" t="s">
        <v>9852</v>
      </c>
      <c r="AD3086" t="s">
        <v>4679</v>
      </c>
      <c r="AE3086" t="s">
        <v>4675</v>
      </c>
      <c r="AF3086" t="s">
        <v>24801</v>
      </c>
      <c r="AG3086" t="s">
        <v>24802</v>
      </c>
      <c r="AH3086" t="s">
        <v>4675</v>
      </c>
      <c r="AI3086" t="s">
        <v>9852</v>
      </c>
      <c r="AL3086" t="s">
        <v>24793</v>
      </c>
      <c r="AO3086" t="s">
        <v>24803</v>
      </c>
    </row>
    <row r="3087" spans="1:41" hidden="1" x14ac:dyDescent="0.35">
      <c r="A3087" t="s">
        <v>24804</v>
      </c>
      <c r="B3087" t="s">
        <v>7246</v>
      </c>
      <c r="C3087" t="s">
        <v>84</v>
      </c>
      <c r="D3087" t="s">
        <v>84</v>
      </c>
      <c r="E3087" t="s">
        <v>84</v>
      </c>
      <c r="G3087" s="13" t="s">
        <v>24787</v>
      </c>
      <c r="H3087" t="s">
        <v>24788</v>
      </c>
      <c r="I3087" t="s">
        <v>24805</v>
      </c>
      <c r="K3087" t="s">
        <v>24790</v>
      </c>
      <c r="L3087" t="s">
        <v>24790</v>
      </c>
      <c r="M3087" t="s">
        <v>7250</v>
      </c>
      <c r="N3087">
        <v>1997</v>
      </c>
      <c r="R3087">
        <v>1</v>
      </c>
      <c r="S3087" t="s">
        <v>8257</v>
      </c>
      <c r="T3087">
        <v>1</v>
      </c>
      <c r="U3087">
        <v>465.38</v>
      </c>
      <c r="V3087">
        <v>488.5</v>
      </c>
      <c r="W3087">
        <v>396.21</v>
      </c>
      <c r="X3087">
        <v>488.5</v>
      </c>
      <c r="AA3087" t="s">
        <v>24791</v>
      </c>
      <c r="AC3087" t="s">
        <v>9852</v>
      </c>
      <c r="AD3087" t="s">
        <v>24226</v>
      </c>
      <c r="AE3087" t="s">
        <v>4675</v>
      </c>
      <c r="AG3087" t="s">
        <v>24806</v>
      </c>
      <c r="AH3087" t="s">
        <v>4675</v>
      </c>
      <c r="AI3087" t="s">
        <v>9852</v>
      </c>
      <c r="AL3087" t="s">
        <v>24793</v>
      </c>
      <c r="AO3087" t="s">
        <v>24807</v>
      </c>
    </row>
    <row r="3088" spans="1:41" hidden="1" x14ac:dyDescent="0.35">
      <c r="A3088" t="s">
        <v>24808</v>
      </c>
      <c r="B3088" t="s">
        <v>7246</v>
      </c>
      <c r="C3088" t="s">
        <v>84</v>
      </c>
      <c r="D3088" t="s">
        <v>84</v>
      </c>
      <c r="E3088" t="s">
        <v>84</v>
      </c>
      <c r="G3088" s="13" t="s">
        <v>24787</v>
      </c>
      <c r="H3088" t="s">
        <v>24788</v>
      </c>
      <c r="I3088" t="s">
        <v>24809</v>
      </c>
      <c r="K3088" t="s">
        <v>24790</v>
      </c>
      <c r="L3088" t="s">
        <v>24790</v>
      </c>
      <c r="M3088" t="s">
        <v>7250</v>
      </c>
      <c r="N3088">
        <v>2003</v>
      </c>
      <c r="R3088">
        <v>3</v>
      </c>
      <c r="S3088" t="s">
        <v>8257</v>
      </c>
      <c r="T3088">
        <v>3</v>
      </c>
      <c r="U3088">
        <v>1396.15</v>
      </c>
      <c r="V3088">
        <v>481.5</v>
      </c>
      <c r="W3088">
        <v>396.21</v>
      </c>
      <c r="X3088">
        <v>481.5</v>
      </c>
      <c r="AA3088" t="s">
        <v>24791</v>
      </c>
      <c r="AC3088" t="s">
        <v>9852</v>
      </c>
      <c r="AD3088" t="s">
        <v>24226</v>
      </c>
      <c r="AE3088" t="s">
        <v>4675</v>
      </c>
      <c r="AG3088" t="s">
        <v>24806</v>
      </c>
      <c r="AH3088" t="s">
        <v>4675</v>
      </c>
      <c r="AI3088" t="s">
        <v>9852</v>
      </c>
      <c r="AL3088" t="s">
        <v>24793</v>
      </c>
      <c r="AO3088" t="s">
        <v>24807</v>
      </c>
    </row>
    <row r="3089" spans="1:41" hidden="1" x14ac:dyDescent="0.35">
      <c r="A3089" t="s">
        <v>24810</v>
      </c>
      <c r="B3089" t="s">
        <v>7246</v>
      </c>
      <c r="C3089" t="s">
        <v>84</v>
      </c>
      <c r="D3089" t="s">
        <v>84</v>
      </c>
      <c r="E3089" t="s">
        <v>84</v>
      </c>
      <c r="G3089" s="13" t="s">
        <v>24787</v>
      </c>
      <c r="H3089" t="s">
        <v>24788</v>
      </c>
      <c r="I3089" t="s">
        <v>24811</v>
      </c>
      <c r="K3089" t="s">
        <v>24790</v>
      </c>
      <c r="L3089" t="s">
        <v>24790</v>
      </c>
      <c r="M3089" t="s">
        <v>7250</v>
      </c>
      <c r="N3089">
        <v>2012</v>
      </c>
      <c r="O3089">
        <v>2013</v>
      </c>
      <c r="P3089">
        <v>2016</v>
      </c>
      <c r="R3089">
        <v>9</v>
      </c>
      <c r="S3089" t="s">
        <v>8257</v>
      </c>
      <c r="T3089">
        <v>9</v>
      </c>
      <c r="U3089">
        <v>4188.45</v>
      </c>
      <c r="V3089">
        <v>586.58000000000004</v>
      </c>
      <c r="W3089">
        <v>396.21</v>
      </c>
      <c r="X3089">
        <v>586.58000000000004</v>
      </c>
      <c r="AA3089" t="s">
        <v>24791</v>
      </c>
      <c r="AC3089" t="s">
        <v>9852</v>
      </c>
      <c r="AD3089" t="s">
        <v>24226</v>
      </c>
      <c r="AE3089" t="s">
        <v>4675</v>
      </c>
      <c r="AG3089" t="s">
        <v>24806</v>
      </c>
      <c r="AH3089" t="s">
        <v>4675</v>
      </c>
      <c r="AI3089" t="s">
        <v>9852</v>
      </c>
      <c r="AL3089" t="s">
        <v>24793</v>
      </c>
      <c r="AO3089" t="s">
        <v>24807</v>
      </c>
    </row>
    <row r="3090" spans="1:41" hidden="1" x14ac:dyDescent="0.35">
      <c r="A3090" t="s">
        <v>24812</v>
      </c>
      <c r="B3090" t="s">
        <v>7246</v>
      </c>
      <c r="C3090" t="s">
        <v>4675</v>
      </c>
      <c r="D3090" t="s">
        <v>84</v>
      </c>
      <c r="E3090" t="s">
        <v>84</v>
      </c>
      <c r="G3090" s="13" t="s">
        <v>24787</v>
      </c>
      <c r="H3090" t="s">
        <v>24788</v>
      </c>
      <c r="I3090" t="s">
        <v>24813</v>
      </c>
      <c r="K3090" t="s">
        <v>24790</v>
      </c>
      <c r="L3090" t="s">
        <v>24790</v>
      </c>
      <c r="M3090" t="s">
        <v>7250</v>
      </c>
      <c r="N3090">
        <v>2017</v>
      </c>
      <c r="R3090">
        <v>0.43</v>
      </c>
      <c r="S3090" t="s">
        <v>8257</v>
      </c>
      <c r="T3090">
        <v>0.43</v>
      </c>
      <c r="U3090">
        <v>200.11</v>
      </c>
      <c r="V3090">
        <v>114</v>
      </c>
      <c r="W3090" t="s">
        <v>6546</v>
      </c>
      <c r="X3090">
        <v>114</v>
      </c>
      <c r="Y3090">
        <v>450</v>
      </c>
      <c r="Z3090" t="s">
        <v>8842</v>
      </c>
      <c r="AC3090" t="s">
        <v>6546</v>
      </c>
      <c r="AD3090" t="s">
        <v>23227</v>
      </c>
      <c r="AE3090" t="s">
        <v>24792</v>
      </c>
      <c r="AF3090" t="s">
        <v>24814</v>
      </c>
      <c r="AG3090" t="s">
        <v>24792</v>
      </c>
      <c r="AH3090" t="s">
        <v>4675</v>
      </c>
      <c r="AI3090" t="s">
        <v>9852</v>
      </c>
      <c r="AL3090" t="s">
        <v>24793</v>
      </c>
      <c r="AO3090" t="s">
        <v>6546</v>
      </c>
    </row>
    <row r="3091" spans="1:41" hidden="1" x14ac:dyDescent="0.35">
      <c r="A3091" t="s">
        <v>24815</v>
      </c>
      <c r="B3091" t="s">
        <v>7246</v>
      </c>
      <c r="C3091" t="s">
        <v>4675</v>
      </c>
      <c r="D3091" t="s">
        <v>84</v>
      </c>
      <c r="E3091" t="s">
        <v>84</v>
      </c>
      <c r="G3091" s="13" t="s">
        <v>24787</v>
      </c>
      <c r="H3091" t="s">
        <v>24788</v>
      </c>
      <c r="I3091" t="s">
        <v>24816</v>
      </c>
      <c r="K3091" t="s">
        <v>24790</v>
      </c>
      <c r="L3091" t="s">
        <v>24790</v>
      </c>
      <c r="M3091" t="s">
        <v>7250</v>
      </c>
      <c r="N3091">
        <v>2019</v>
      </c>
      <c r="R3091">
        <v>4</v>
      </c>
      <c r="S3091" t="s">
        <v>8257</v>
      </c>
      <c r="T3091">
        <v>4</v>
      </c>
      <c r="U3091">
        <v>1861.53</v>
      </c>
      <c r="V3091">
        <v>88</v>
      </c>
      <c r="W3091" t="s">
        <v>6546</v>
      </c>
      <c r="X3091">
        <v>88</v>
      </c>
      <c r="Y3091">
        <v>900</v>
      </c>
      <c r="Z3091" t="s">
        <v>8842</v>
      </c>
      <c r="AC3091" t="s">
        <v>6546</v>
      </c>
      <c r="AE3091" t="s">
        <v>24817</v>
      </c>
      <c r="AF3091" t="s">
        <v>24818</v>
      </c>
      <c r="AG3091" t="s">
        <v>24817</v>
      </c>
      <c r="AH3091" t="s">
        <v>4675</v>
      </c>
      <c r="AI3091" t="s">
        <v>9852</v>
      </c>
      <c r="AL3091" t="s">
        <v>24793</v>
      </c>
      <c r="AO3091" t="s">
        <v>6546</v>
      </c>
    </row>
    <row r="3092" spans="1:41" hidden="1" x14ac:dyDescent="0.35">
      <c r="A3092" t="s">
        <v>24819</v>
      </c>
      <c r="B3092" t="s">
        <v>7246</v>
      </c>
      <c r="C3092" t="s">
        <v>4675</v>
      </c>
      <c r="D3092" t="s">
        <v>84</v>
      </c>
      <c r="E3092" t="s">
        <v>84</v>
      </c>
      <c r="G3092" s="13" t="s">
        <v>24787</v>
      </c>
      <c r="H3092" t="s">
        <v>24788</v>
      </c>
      <c r="I3092" t="s">
        <v>24820</v>
      </c>
      <c r="K3092" t="s">
        <v>24790</v>
      </c>
      <c r="L3092" t="s">
        <v>24790</v>
      </c>
      <c r="M3092" t="s">
        <v>7250</v>
      </c>
      <c r="N3092">
        <v>2020</v>
      </c>
      <c r="R3092">
        <v>9</v>
      </c>
      <c r="S3092" t="s">
        <v>8257</v>
      </c>
      <c r="T3092">
        <v>9</v>
      </c>
      <c r="U3092">
        <v>4188.45</v>
      </c>
      <c r="V3092">
        <v>41</v>
      </c>
      <c r="W3092" t="s">
        <v>6546</v>
      </c>
      <c r="X3092">
        <v>41</v>
      </c>
      <c r="Y3092">
        <v>900</v>
      </c>
      <c r="Z3092" t="s">
        <v>8842</v>
      </c>
      <c r="AC3092" t="s">
        <v>6546</v>
      </c>
      <c r="AE3092" t="s">
        <v>24817</v>
      </c>
      <c r="AG3092" t="s">
        <v>24817</v>
      </c>
      <c r="AH3092" t="s">
        <v>4675</v>
      </c>
      <c r="AI3092" t="s">
        <v>9852</v>
      </c>
      <c r="AL3092" t="s">
        <v>24793</v>
      </c>
      <c r="AO3092" t="s">
        <v>6546</v>
      </c>
    </row>
    <row r="3093" spans="1:41" hidden="1" x14ac:dyDescent="0.35">
      <c r="A3093" t="s">
        <v>24821</v>
      </c>
      <c r="B3093" t="s">
        <v>7246</v>
      </c>
      <c r="C3093" t="s">
        <v>4675</v>
      </c>
      <c r="D3093" t="s">
        <v>84</v>
      </c>
      <c r="E3093" t="s">
        <v>84</v>
      </c>
      <c r="G3093" s="13" t="s">
        <v>24787</v>
      </c>
      <c r="H3093" t="s">
        <v>24788</v>
      </c>
      <c r="I3093" t="s">
        <v>24822</v>
      </c>
      <c r="K3093" t="s">
        <v>24790</v>
      </c>
      <c r="L3093" t="s">
        <v>24790</v>
      </c>
      <c r="M3093" t="s">
        <v>7250</v>
      </c>
      <c r="N3093">
        <v>2011</v>
      </c>
      <c r="R3093">
        <v>0.17</v>
      </c>
      <c r="S3093" t="s">
        <v>8257</v>
      </c>
      <c r="T3093">
        <v>0.17</v>
      </c>
      <c r="U3093">
        <v>79.12</v>
      </c>
      <c r="V3093">
        <v>132.69999999999999</v>
      </c>
      <c r="W3093" t="s">
        <v>6546</v>
      </c>
      <c r="X3093">
        <v>132.69999999999999</v>
      </c>
      <c r="Y3093">
        <v>200</v>
      </c>
      <c r="Z3093" t="s">
        <v>8842</v>
      </c>
      <c r="AC3093" t="s">
        <v>6546</v>
      </c>
      <c r="AE3093" t="s">
        <v>24806</v>
      </c>
      <c r="AG3093" t="s">
        <v>24823</v>
      </c>
      <c r="AH3093" t="s">
        <v>4675</v>
      </c>
      <c r="AI3093" t="s">
        <v>9852</v>
      </c>
      <c r="AL3093" t="s">
        <v>24793</v>
      </c>
      <c r="AO3093" t="s">
        <v>6546</v>
      </c>
    </row>
    <row r="3094" spans="1:41" hidden="1" x14ac:dyDescent="0.35">
      <c r="A3094" t="s">
        <v>24824</v>
      </c>
      <c r="B3094" t="s">
        <v>7246</v>
      </c>
      <c r="C3094" t="s">
        <v>4675</v>
      </c>
      <c r="D3094" t="s">
        <v>84</v>
      </c>
      <c r="E3094" t="s">
        <v>84</v>
      </c>
      <c r="G3094" s="13" t="s">
        <v>24787</v>
      </c>
      <c r="H3094" t="s">
        <v>24788</v>
      </c>
      <c r="I3094" t="s">
        <v>24825</v>
      </c>
      <c r="K3094" t="s">
        <v>24790</v>
      </c>
      <c r="L3094" t="s">
        <v>24790</v>
      </c>
      <c r="M3094" t="s">
        <v>7250</v>
      </c>
      <c r="N3094">
        <v>2000</v>
      </c>
      <c r="R3094">
        <v>0.08</v>
      </c>
      <c r="S3094" t="s">
        <v>8257</v>
      </c>
      <c r="T3094">
        <v>0.08</v>
      </c>
      <c r="U3094">
        <v>37.229999999999997</v>
      </c>
      <c r="V3094">
        <v>52</v>
      </c>
      <c r="W3094" t="s">
        <v>6546</v>
      </c>
      <c r="X3094">
        <v>52</v>
      </c>
      <c r="Y3094">
        <v>200</v>
      </c>
      <c r="Z3094" t="s">
        <v>8842</v>
      </c>
      <c r="AC3094" t="s">
        <v>6546</v>
      </c>
      <c r="AE3094" t="s">
        <v>24806</v>
      </c>
      <c r="AG3094" t="s">
        <v>4685</v>
      </c>
      <c r="AH3094" t="s">
        <v>4675</v>
      </c>
      <c r="AI3094" t="s">
        <v>9852</v>
      </c>
      <c r="AL3094" t="s">
        <v>24793</v>
      </c>
      <c r="AO3094" t="s">
        <v>6546</v>
      </c>
    </row>
    <row r="3095" spans="1:41" hidden="1" x14ac:dyDescent="0.35">
      <c r="A3095" t="s">
        <v>24826</v>
      </c>
      <c r="B3095" t="s">
        <v>7246</v>
      </c>
      <c r="C3095" t="s">
        <v>84</v>
      </c>
      <c r="D3095" t="s">
        <v>84</v>
      </c>
      <c r="E3095" t="s">
        <v>84</v>
      </c>
      <c r="G3095" s="13" t="s">
        <v>24787</v>
      </c>
      <c r="H3095" t="s">
        <v>24788</v>
      </c>
      <c r="I3095" t="s">
        <v>24827</v>
      </c>
      <c r="K3095" t="s">
        <v>24790</v>
      </c>
      <c r="L3095" t="s">
        <v>24790</v>
      </c>
      <c r="M3095" t="s">
        <v>7250</v>
      </c>
      <c r="N3095">
        <v>1999</v>
      </c>
      <c r="R3095">
        <v>0.5</v>
      </c>
      <c r="S3095" t="s">
        <v>8257</v>
      </c>
      <c r="T3095">
        <v>0.5</v>
      </c>
      <c r="U3095">
        <v>232.69</v>
      </c>
      <c r="V3095">
        <v>145</v>
      </c>
      <c r="W3095">
        <v>151.47999999999999</v>
      </c>
      <c r="X3095">
        <v>145</v>
      </c>
      <c r="AA3095" t="s">
        <v>24791</v>
      </c>
      <c r="AC3095" t="s">
        <v>9852</v>
      </c>
      <c r="AD3095" t="s">
        <v>24828</v>
      </c>
      <c r="AE3095" t="s">
        <v>4675</v>
      </c>
      <c r="AG3095" t="s">
        <v>24792</v>
      </c>
      <c r="AH3095" t="s">
        <v>4675</v>
      </c>
      <c r="AI3095" t="s">
        <v>9852</v>
      </c>
      <c r="AL3095" t="s">
        <v>24793</v>
      </c>
      <c r="AO3095" t="s">
        <v>24829</v>
      </c>
    </row>
    <row r="3096" spans="1:41" hidden="1" x14ac:dyDescent="0.35">
      <c r="A3096" t="s">
        <v>24830</v>
      </c>
      <c r="B3096" t="s">
        <v>7246</v>
      </c>
      <c r="C3096" t="s">
        <v>84</v>
      </c>
      <c r="D3096" t="s">
        <v>84</v>
      </c>
      <c r="E3096" t="s">
        <v>84</v>
      </c>
      <c r="G3096" s="13" t="s">
        <v>24787</v>
      </c>
      <c r="H3096" t="s">
        <v>24788</v>
      </c>
      <c r="I3096" t="s">
        <v>24831</v>
      </c>
      <c r="K3096" t="s">
        <v>24790</v>
      </c>
      <c r="L3096" t="s">
        <v>24790</v>
      </c>
      <c r="M3096" t="s">
        <v>7292</v>
      </c>
      <c r="R3096">
        <v>0.5</v>
      </c>
      <c r="S3096" t="s">
        <v>8257</v>
      </c>
      <c r="T3096">
        <v>0.5</v>
      </c>
      <c r="U3096">
        <v>232.69</v>
      </c>
      <c r="V3096">
        <v>239</v>
      </c>
      <c r="W3096" t="s">
        <v>6546</v>
      </c>
      <c r="X3096">
        <v>239</v>
      </c>
      <c r="Y3096">
        <v>450</v>
      </c>
      <c r="Z3096" t="s">
        <v>8842</v>
      </c>
      <c r="AC3096" t="s">
        <v>9852</v>
      </c>
      <c r="AD3096" t="s">
        <v>24806</v>
      </c>
      <c r="AE3096" t="s">
        <v>4675</v>
      </c>
      <c r="AG3096" t="s">
        <v>24802</v>
      </c>
      <c r="AH3096" t="s">
        <v>4675</v>
      </c>
      <c r="AI3096" t="s">
        <v>9852</v>
      </c>
      <c r="AL3096" t="s">
        <v>24793</v>
      </c>
      <c r="AO3096" t="s">
        <v>6546</v>
      </c>
    </row>
    <row r="3097" spans="1:41" hidden="1" x14ac:dyDescent="0.35">
      <c r="A3097" t="s">
        <v>24832</v>
      </c>
      <c r="B3097" t="s">
        <v>7246</v>
      </c>
      <c r="C3097" t="s">
        <v>84</v>
      </c>
      <c r="D3097" t="s">
        <v>84</v>
      </c>
      <c r="E3097" t="s">
        <v>84</v>
      </c>
      <c r="G3097" s="13" t="s">
        <v>24787</v>
      </c>
      <c r="H3097" t="s">
        <v>24788</v>
      </c>
      <c r="I3097" t="s">
        <v>24833</v>
      </c>
      <c r="K3097" t="s">
        <v>24834</v>
      </c>
      <c r="L3097" t="s">
        <v>24835</v>
      </c>
      <c r="M3097" t="s">
        <v>7250</v>
      </c>
      <c r="N3097">
        <v>2021</v>
      </c>
      <c r="R3097">
        <v>1.18</v>
      </c>
      <c r="S3097" t="s">
        <v>8257</v>
      </c>
      <c r="T3097">
        <v>1.18</v>
      </c>
      <c r="U3097">
        <v>549.15</v>
      </c>
      <c r="V3097">
        <v>111.4</v>
      </c>
      <c r="W3097" t="s">
        <v>6546</v>
      </c>
      <c r="X3097">
        <v>111.4</v>
      </c>
      <c r="Y3097">
        <v>508</v>
      </c>
      <c r="Z3097" t="s">
        <v>8842</v>
      </c>
      <c r="AB3097" t="s">
        <v>24836</v>
      </c>
      <c r="AC3097" t="s">
        <v>9852</v>
      </c>
      <c r="AE3097" t="s">
        <v>4675</v>
      </c>
      <c r="AG3097" t="s">
        <v>4679</v>
      </c>
      <c r="AH3097" t="s">
        <v>4675</v>
      </c>
      <c r="AI3097" t="s">
        <v>9852</v>
      </c>
      <c r="AL3097" t="s">
        <v>24793</v>
      </c>
      <c r="AO3097" t="s">
        <v>6546</v>
      </c>
    </row>
    <row r="3098" spans="1:41" hidden="1" x14ac:dyDescent="0.35">
      <c r="A3098" t="s">
        <v>24837</v>
      </c>
      <c r="B3098" t="s">
        <v>7246</v>
      </c>
      <c r="C3098" t="s">
        <v>84</v>
      </c>
      <c r="D3098" t="s">
        <v>84</v>
      </c>
      <c r="E3098" t="s">
        <v>84</v>
      </c>
      <c r="G3098" s="13" t="s">
        <v>24787</v>
      </c>
      <c r="H3098" t="s">
        <v>24788</v>
      </c>
      <c r="I3098" t="s">
        <v>24838</v>
      </c>
      <c r="K3098" t="s">
        <v>24790</v>
      </c>
      <c r="L3098" t="s">
        <v>24790</v>
      </c>
      <c r="M3098" t="s">
        <v>7250</v>
      </c>
      <c r="N3098">
        <v>2010</v>
      </c>
      <c r="R3098">
        <v>0.49</v>
      </c>
      <c r="S3098" t="s">
        <v>8257</v>
      </c>
      <c r="T3098">
        <v>0.49</v>
      </c>
      <c r="U3098">
        <v>228.04</v>
      </c>
      <c r="V3098">
        <v>140</v>
      </c>
      <c r="W3098">
        <v>151.47999999999999</v>
      </c>
      <c r="X3098">
        <v>140</v>
      </c>
      <c r="AA3098" t="s">
        <v>24791</v>
      </c>
      <c r="AC3098" t="s">
        <v>9852</v>
      </c>
      <c r="AD3098" t="s">
        <v>24828</v>
      </c>
      <c r="AE3098" t="s">
        <v>4675</v>
      </c>
      <c r="AG3098" t="s">
        <v>24792</v>
      </c>
      <c r="AH3098" t="s">
        <v>4675</v>
      </c>
      <c r="AI3098" t="s">
        <v>9852</v>
      </c>
      <c r="AL3098" t="s">
        <v>24793</v>
      </c>
      <c r="AO3098" t="s">
        <v>24829</v>
      </c>
    </row>
    <row r="3099" spans="1:41" hidden="1" x14ac:dyDescent="0.35">
      <c r="A3099" t="s">
        <v>24839</v>
      </c>
      <c r="B3099" t="s">
        <v>7246</v>
      </c>
      <c r="C3099" t="s">
        <v>84</v>
      </c>
      <c r="D3099" t="s">
        <v>84</v>
      </c>
      <c r="E3099" t="s">
        <v>84</v>
      </c>
      <c r="G3099" s="13" t="s">
        <v>24840</v>
      </c>
      <c r="H3099" t="s">
        <v>24788</v>
      </c>
      <c r="I3099" t="s">
        <v>24841</v>
      </c>
      <c r="K3099" t="s">
        <v>24790</v>
      </c>
      <c r="L3099" t="s">
        <v>24790</v>
      </c>
      <c r="M3099" t="s">
        <v>7292</v>
      </c>
      <c r="T3099" t="s">
        <v>6546</v>
      </c>
      <c r="U3099" t="s">
        <v>6546</v>
      </c>
      <c r="V3099">
        <v>690</v>
      </c>
      <c r="W3099">
        <v>467.73</v>
      </c>
      <c r="X3099">
        <v>690</v>
      </c>
      <c r="Y3099">
        <v>1000</v>
      </c>
      <c r="Z3099" t="s">
        <v>8842</v>
      </c>
      <c r="AA3099" t="s">
        <v>24842</v>
      </c>
      <c r="AB3099" t="s">
        <v>24843</v>
      </c>
      <c r="AC3099" t="s">
        <v>9852</v>
      </c>
      <c r="AD3099" t="s">
        <v>4287</v>
      </c>
      <c r="AE3099" t="s">
        <v>4675</v>
      </c>
      <c r="AF3099" t="s">
        <v>24844</v>
      </c>
      <c r="AG3099" t="s">
        <v>24806</v>
      </c>
      <c r="AH3099" t="s">
        <v>4675</v>
      </c>
      <c r="AI3099" t="s">
        <v>9852</v>
      </c>
      <c r="AL3099" t="s">
        <v>24793</v>
      </c>
      <c r="AO3099" t="s">
        <v>24845</v>
      </c>
    </row>
    <row r="3100" spans="1:41" hidden="1" x14ac:dyDescent="0.35">
      <c r="A3100" t="s">
        <v>24846</v>
      </c>
      <c r="B3100" t="s">
        <v>7246</v>
      </c>
      <c r="C3100" t="s">
        <v>84</v>
      </c>
      <c r="D3100" t="s">
        <v>84</v>
      </c>
      <c r="E3100" t="s">
        <v>84</v>
      </c>
      <c r="G3100" s="13" t="s">
        <v>24787</v>
      </c>
      <c r="H3100" t="s">
        <v>24788</v>
      </c>
      <c r="I3100" t="s">
        <v>24847</v>
      </c>
      <c r="K3100" t="s">
        <v>24790</v>
      </c>
      <c r="L3100" t="s">
        <v>24790</v>
      </c>
      <c r="M3100" t="s">
        <v>7250</v>
      </c>
      <c r="N3100">
        <v>2019</v>
      </c>
      <c r="R3100">
        <v>1</v>
      </c>
      <c r="S3100" t="s">
        <v>8257</v>
      </c>
      <c r="T3100">
        <v>1</v>
      </c>
      <c r="U3100">
        <v>465.38</v>
      </c>
      <c r="V3100">
        <v>136</v>
      </c>
      <c r="W3100" t="s">
        <v>6546</v>
      </c>
      <c r="X3100">
        <v>136</v>
      </c>
      <c r="Y3100">
        <v>400</v>
      </c>
      <c r="Z3100" t="s">
        <v>8842</v>
      </c>
      <c r="AB3100" t="s">
        <v>24848</v>
      </c>
      <c r="AC3100" t="s">
        <v>9852</v>
      </c>
      <c r="AD3100" t="s">
        <v>4679</v>
      </c>
      <c r="AE3100" t="s">
        <v>4675</v>
      </c>
      <c r="AF3100" t="s">
        <v>24849</v>
      </c>
      <c r="AG3100" t="s">
        <v>24850</v>
      </c>
      <c r="AH3100" t="s">
        <v>3013</v>
      </c>
      <c r="AI3100" t="s">
        <v>9852</v>
      </c>
      <c r="AL3100" t="s">
        <v>24793</v>
      </c>
      <c r="AO3100" t="s">
        <v>6546</v>
      </c>
    </row>
    <row r="3101" spans="1:41" hidden="1" x14ac:dyDescent="0.35">
      <c r="A3101" t="s">
        <v>24851</v>
      </c>
      <c r="B3101" t="s">
        <v>7246</v>
      </c>
      <c r="C3101" t="s">
        <v>84</v>
      </c>
      <c r="D3101" t="s">
        <v>84</v>
      </c>
      <c r="E3101" t="s">
        <v>84</v>
      </c>
      <c r="G3101" s="13" t="s">
        <v>24787</v>
      </c>
      <c r="H3101" t="s">
        <v>24788</v>
      </c>
      <c r="I3101" t="s">
        <v>24852</v>
      </c>
      <c r="K3101" t="s">
        <v>24790</v>
      </c>
      <c r="L3101" t="s">
        <v>24790</v>
      </c>
      <c r="M3101" t="s">
        <v>7250</v>
      </c>
      <c r="N3101">
        <v>2014</v>
      </c>
      <c r="R3101">
        <v>1</v>
      </c>
      <c r="S3101" t="s">
        <v>8257</v>
      </c>
      <c r="T3101">
        <v>1</v>
      </c>
      <c r="U3101">
        <v>465.38</v>
      </c>
      <c r="V3101">
        <v>26</v>
      </c>
      <c r="W3101" t="s">
        <v>6546</v>
      </c>
      <c r="X3101">
        <v>26</v>
      </c>
      <c r="Y3101">
        <v>400</v>
      </c>
      <c r="Z3101" t="s">
        <v>8842</v>
      </c>
      <c r="AC3101" t="s">
        <v>9852</v>
      </c>
      <c r="AD3101" t="s">
        <v>4679</v>
      </c>
      <c r="AE3101" t="s">
        <v>4675</v>
      </c>
      <c r="AF3101" t="s">
        <v>24848</v>
      </c>
      <c r="AG3101" t="s">
        <v>4679</v>
      </c>
      <c r="AH3101" t="s">
        <v>4675</v>
      </c>
      <c r="AI3101" t="s">
        <v>9852</v>
      </c>
      <c r="AL3101" t="s">
        <v>24793</v>
      </c>
      <c r="AO3101" t="s">
        <v>6546</v>
      </c>
    </row>
    <row r="3102" spans="1:41" hidden="1" x14ac:dyDescent="0.35">
      <c r="A3102" t="s">
        <v>24853</v>
      </c>
      <c r="B3102" t="s">
        <v>7246</v>
      </c>
      <c r="C3102" t="s">
        <v>84</v>
      </c>
      <c r="D3102" t="s">
        <v>84</v>
      </c>
      <c r="E3102" t="s">
        <v>84</v>
      </c>
      <c r="G3102" s="13" t="s">
        <v>24787</v>
      </c>
      <c r="H3102" t="s">
        <v>24788</v>
      </c>
      <c r="I3102" t="s">
        <v>24854</v>
      </c>
      <c r="K3102" t="s">
        <v>24855</v>
      </c>
      <c r="L3102" t="s">
        <v>24855</v>
      </c>
      <c r="M3102" t="s">
        <v>7250</v>
      </c>
      <c r="N3102">
        <v>2010</v>
      </c>
      <c r="R3102">
        <v>0.43</v>
      </c>
      <c r="S3102" t="s">
        <v>8257</v>
      </c>
      <c r="T3102">
        <v>0.43</v>
      </c>
      <c r="U3102">
        <v>200.11</v>
      </c>
      <c r="V3102">
        <v>84.5</v>
      </c>
      <c r="W3102" t="s">
        <v>6546</v>
      </c>
      <c r="X3102">
        <v>84.5</v>
      </c>
      <c r="AB3102" t="s">
        <v>24856</v>
      </c>
      <c r="AC3102" t="s">
        <v>9852</v>
      </c>
      <c r="AD3102" t="s">
        <v>4674</v>
      </c>
      <c r="AE3102" t="s">
        <v>4731</v>
      </c>
      <c r="AF3102" t="s">
        <v>24857</v>
      </c>
      <c r="AH3102" t="s">
        <v>4731</v>
      </c>
      <c r="AI3102" t="s">
        <v>9852</v>
      </c>
      <c r="AL3102" t="s">
        <v>24793</v>
      </c>
      <c r="AO3102" t="s">
        <v>6546</v>
      </c>
    </row>
    <row r="3103" spans="1:41" hidden="1" x14ac:dyDescent="0.35">
      <c r="A3103" t="s">
        <v>24858</v>
      </c>
      <c r="B3103" t="s">
        <v>7246</v>
      </c>
      <c r="C3103" t="s">
        <v>84</v>
      </c>
      <c r="D3103" t="s">
        <v>84</v>
      </c>
      <c r="E3103" t="s">
        <v>84</v>
      </c>
      <c r="G3103" s="13" t="s">
        <v>24787</v>
      </c>
      <c r="H3103" t="s">
        <v>24788</v>
      </c>
      <c r="I3103" t="s">
        <v>24859</v>
      </c>
      <c r="K3103" t="s">
        <v>24790</v>
      </c>
      <c r="L3103" t="s">
        <v>24790</v>
      </c>
      <c r="M3103" t="s">
        <v>7292</v>
      </c>
      <c r="R3103">
        <v>4</v>
      </c>
      <c r="S3103" t="s">
        <v>8257</v>
      </c>
      <c r="T3103">
        <v>4</v>
      </c>
      <c r="U3103">
        <v>1861.53</v>
      </c>
      <c r="V3103">
        <v>220</v>
      </c>
      <c r="W3103" t="s">
        <v>6546</v>
      </c>
      <c r="X3103">
        <v>220</v>
      </c>
      <c r="AB3103" t="s">
        <v>24860</v>
      </c>
      <c r="AC3103" t="s">
        <v>9852</v>
      </c>
      <c r="AE3103" t="s">
        <v>4675</v>
      </c>
      <c r="AF3103" t="s">
        <v>24861</v>
      </c>
      <c r="AH3103" t="s">
        <v>4675</v>
      </c>
      <c r="AI3103" t="s">
        <v>9852</v>
      </c>
      <c r="AL3103" t="s">
        <v>24793</v>
      </c>
      <c r="AO3103" t="s">
        <v>6546</v>
      </c>
    </row>
    <row r="3104" spans="1:41" hidden="1" x14ac:dyDescent="0.35">
      <c r="A3104" t="s">
        <v>24862</v>
      </c>
      <c r="B3104" t="s">
        <v>7246</v>
      </c>
      <c r="C3104" t="s">
        <v>84</v>
      </c>
      <c r="D3104" t="s">
        <v>84</v>
      </c>
      <c r="E3104" t="s">
        <v>84</v>
      </c>
      <c r="G3104" s="13" t="s">
        <v>24863</v>
      </c>
      <c r="H3104" t="s">
        <v>22748</v>
      </c>
      <c r="I3104" t="s">
        <v>24864</v>
      </c>
      <c r="K3104" t="s">
        <v>6543</v>
      </c>
      <c r="L3104" t="s">
        <v>6543</v>
      </c>
      <c r="M3104" t="s">
        <v>7292</v>
      </c>
      <c r="T3104" t="s">
        <v>6546</v>
      </c>
      <c r="U3104" t="s">
        <v>6546</v>
      </c>
      <c r="V3104" t="s">
        <v>6546</v>
      </c>
      <c r="W3104" t="s">
        <v>6546</v>
      </c>
      <c r="X3104" t="s">
        <v>6546</v>
      </c>
      <c r="AC3104" t="s">
        <v>9852</v>
      </c>
      <c r="AI3104" t="s">
        <v>9852</v>
      </c>
      <c r="AL3104" t="s">
        <v>24865</v>
      </c>
      <c r="AO3104" t="s">
        <v>6546</v>
      </c>
    </row>
    <row r="3105" spans="1:41" hidden="1" x14ac:dyDescent="0.35">
      <c r="A3105" t="s">
        <v>24866</v>
      </c>
      <c r="B3105" t="s">
        <v>7246</v>
      </c>
      <c r="C3105" t="s">
        <v>84</v>
      </c>
      <c r="D3105" t="s">
        <v>84</v>
      </c>
      <c r="E3105" t="s">
        <v>84</v>
      </c>
      <c r="G3105" s="13" t="s">
        <v>24863</v>
      </c>
      <c r="H3105" t="s">
        <v>22748</v>
      </c>
      <c r="K3105" t="s">
        <v>22257</v>
      </c>
      <c r="L3105" t="s">
        <v>22257</v>
      </c>
      <c r="M3105" t="s">
        <v>7250</v>
      </c>
      <c r="N3105">
        <v>2020</v>
      </c>
      <c r="R3105">
        <v>7.2</v>
      </c>
      <c r="S3105" t="s">
        <v>8257</v>
      </c>
      <c r="T3105">
        <v>7.2</v>
      </c>
      <c r="U3105">
        <v>3350.76</v>
      </c>
      <c r="V3105">
        <v>531</v>
      </c>
      <c r="W3105">
        <v>435.83</v>
      </c>
      <c r="X3105">
        <v>531</v>
      </c>
      <c r="AA3105" t="s">
        <v>24867</v>
      </c>
      <c r="AB3105" t="s">
        <v>24868</v>
      </c>
      <c r="AC3105" t="s">
        <v>9852</v>
      </c>
      <c r="AD3105" t="s">
        <v>4709</v>
      </c>
      <c r="AE3105" t="s">
        <v>3058</v>
      </c>
      <c r="AG3105" t="s">
        <v>3042</v>
      </c>
      <c r="AH3105" t="s">
        <v>3041</v>
      </c>
      <c r="AI3105" t="s">
        <v>9852</v>
      </c>
      <c r="AL3105" t="s">
        <v>24869</v>
      </c>
      <c r="AO3105" t="s">
        <v>24870</v>
      </c>
    </row>
    <row r="3106" spans="1:41" hidden="1" x14ac:dyDescent="0.35">
      <c r="A3106" t="s">
        <v>24871</v>
      </c>
      <c r="B3106" t="s">
        <v>7246</v>
      </c>
      <c r="C3106" t="s">
        <v>84</v>
      </c>
      <c r="D3106" t="s">
        <v>84</v>
      </c>
      <c r="E3106" t="s">
        <v>84</v>
      </c>
      <c r="G3106" s="13" t="s">
        <v>24872</v>
      </c>
      <c r="H3106" t="s">
        <v>24873</v>
      </c>
      <c r="I3106" t="s">
        <v>24874</v>
      </c>
      <c r="K3106" t="s">
        <v>6543</v>
      </c>
      <c r="L3106" t="s">
        <v>6543</v>
      </c>
      <c r="M3106" t="s">
        <v>7292</v>
      </c>
      <c r="T3106" t="s">
        <v>6546</v>
      </c>
      <c r="U3106" t="s">
        <v>6546</v>
      </c>
      <c r="V3106">
        <v>600</v>
      </c>
      <c r="W3106">
        <v>395.13</v>
      </c>
      <c r="X3106">
        <v>600</v>
      </c>
      <c r="AB3106" t="s">
        <v>24875</v>
      </c>
      <c r="AC3106" t="s">
        <v>9852</v>
      </c>
      <c r="AD3106" t="s">
        <v>24876</v>
      </c>
      <c r="AE3106" t="s">
        <v>4672</v>
      </c>
      <c r="AG3106" t="s">
        <v>24876</v>
      </c>
      <c r="AH3106" t="s">
        <v>4672</v>
      </c>
      <c r="AI3106" t="s">
        <v>9852</v>
      </c>
      <c r="AL3106" t="s">
        <v>24877</v>
      </c>
      <c r="AO3106" t="s">
        <v>24878</v>
      </c>
    </row>
    <row r="3107" spans="1:41" hidden="1" x14ac:dyDescent="0.35">
      <c r="A3107" t="s">
        <v>24879</v>
      </c>
      <c r="B3107" t="s">
        <v>7246</v>
      </c>
      <c r="C3107" t="s">
        <v>84</v>
      </c>
      <c r="D3107" t="s">
        <v>84</v>
      </c>
      <c r="E3107" t="s">
        <v>84</v>
      </c>
      <c r="G3107" s="13" t="s">
        <v>24880</v>
      </c>
      <c r="H3107" t="s">
        <v>24881</v>
      </c>
      <c r="I3107" t="s">
        <v>24882</v>
      </c>
      <c r="K3107" t="s">
        <v>22256</v>
      </c>
      <c r="L3107" t="s">
        <v>22257</v>
      </c>
      <c r="M3107" t="s">
        <v>7250</v>
      </c>
      <c r="N3107">
        <v>2021</v>
      </c>
      <c r="R3107">
        <v>1</v>
      </c>
      <c r="S3107" t="s">
        <v>8257</v>
      </c>
      <c r="T3107">
        <v>1</v>
      </c>
      <c r="U3107">
        <v>465.38</v>
      </c>
      <c r="V3107">
        <v>54</v>
      </c>
      <c r="W3107">
        <v>150.41</v>
      </c>
      <c r="X3107">
        <v>54</v>
      </c>
      <c r="Y3107">
        <v>711</v>
      </c>
      <c r="Z3107" t="s">
        <v>8842</v>
      </c>
      <c r="AA3107" t="s">
        <v>22255</v>
      </c>
      <c r="AC3107" t="s">
        <v>9852</v>
      </c>
      <c r="AD3107" t="s">
        <v>3028</v>
      </c>
      <c r="AE3107" t="s">
        <v>3027</v>
      </c>
      <c r="AG3107" t="s">
        <v>4434</v>
      </c>
      <c r="AH3107" t="s">
        <v>3027</v>
      </c>
      <c r="AI3107" t="s">
        <v>9852</v>
      </c>
      <c r="AL3107" t="s">
        <v>24883</v>
      </c>
      <c r="AO3107" t="s">
        <v>24884</v>
      </c>
    </row>
    <row r="3108" spans="1:41" hidden="1" x14ac:dyDescent="0.35">
      <c r="A3108" t="s">
        <v>24885</v>
      </c>
      <c r="B3108" t="s">
        <v>7246</v>
      </c>
      <c r="C3108" t="s">
        <v>84</v>
      </c>
      <c r="D3108" t="s">
        <v>84</v>
      </c>
      <c r="E3108" t="s">
        <v>84</v>
      </c>
      <c r="G3108" s="13" t="s">
        <v>22254</v>
      </c>
      <c r="H3108" t="s">
        <v>24881</v>
      </c>
      <c r="I3108" t="s">
        <v>24886</v>
      </c>
      <c r="K3108" t="s">
        <v>22256</v>
      </c>
      <c r="L3108" t="s">
        <v>22257</v>
      </c>
      <c r="M3108" t="s">
        <v>7250</v>
      </c>
      <c r="N3108">
        <v>2020</v>
      </c>
      <c r="R3108">
        <v>1</v>
      </c>
      <c r="S3108" t="s">
        <v>8257</v>
      </c>
      <c r="T3108">
        <v>1</v>
      </c>
      <c r="U3108">
        <v>465.38</v>
      </c>
      <c r="V3108">
        <v>171.23</v>
      </c>
      <c r="W3108">
        <v>139.4</v>
      </c>
      <c r="X3108">
        <v>171.23</v>
      </c>
      <c r="Y3108">
        <v>559</v>
      </c>
      <c r="Z3108" t="s">
        <v>8842</v>
      </c>
      <c r="AA3108" t="s">
        <v>22255</v>
      </c>
      <c r="AB3108" t="s">
        <v>24887</v>
      </c>
      <c r="AC3108" t="s">
        <v>9852</v>
      </c>
      <c r="AD3108" t="s">
        <v>24888</v>
      </c>
      <c r="AE3108" t="s">
        <v>3027</v>
      </c>
      <c r="AG3108" t="s">
        <v>4434</v>
      </c>
      <c r="AH3108" t="s">
        <v>3027</v>
      </c>
      <c r="AI3108" t="s">
        <v>9852</v>
      </c>
      <c r="AL3108" t="s">
        <v>24883</v>
      </c>
      <c r="AO3108" t="s">
        <v>24889</v>
      </c>
    </row>
    <row r="3109" spans="1:41" hidden="1" x14ac:dyDescent="0.35">
      <c r="A3109" t="s">
        <v>24890</v>
      </c>
      <c r="B3109" t="s">
        <v>7246</v>
      </c>
      <c r="C3109" t="s">
        <v>84</v>
      </c>
      <c r="D3109" t="s">
        <v>84</v>
      </c>
      <c r="E3109" t="s">
        <v>84</v>
      </c>
      <c r="G3109" s="13" t="s">
        <v>24880</v>
      </c>
      <c r="H3109" t="s">
        <v>24881</v>
      </c>
      <c r="I3109" t="s">
        <v>24891</v>
      </c>
      <c r="K3109" t="s">
        <v>24892</v>
      </c>
      <c r="L3109" t="s">
        <v>24892</v>
      </c>
      <c r="M3109" t="s">
        <v>7250</v>
      </c>
      <c r="N3109">
        <v>2021</v>
      </c>
      <c r="T3109" t="s">
        <v>6546</v>
      </c>
      <c r="U3109" t="s">
        <v>6546</v>
      </c>
      <c r="V3109">
        <v>57</v>
      </c>
      <c r="W3109" t="s">
        <v>6546</v>
      </c>
      <c r="X3109">
        <v>57</v>
      </c>
      <c r="AC3109" t="s">
        <v>9852</v>
      </c>
      <c r="AE3109" t="s">
        <v>3027</v>
      </c>
      <c r="AH3109" t="s">
        <v>3027</v>
      </c>
      <c r="AI3109" t="s">
        <v>9852</v>
      </c>
      <c r="AL3109" t="s">
        <v>24883</v>
      </c>
      <c r="AO3109" t="s">
        <v>6546</v>
      </c>
    </row>
    <row r="3110" spans="1:41" hidden="1" x14ac:dyDescent="0.35">
      <c r="A3110" t="s">
        <v>24893</v>
      </c>
      <c r="B3110" t="s">
        <v>7246</v>
      </c>
      <c r="C3110" t="s">
        <v>84</v>
      </c>
      <c r="D3110" t="s">
        <v>84</v>
      </c>
      <c r="E3110" t="s">
        <v>84</v>
      </c>
      <c r="G3110" s="13" t="s">
        <v>24880</v>
      </c>
      <c r="H3110" t="s">
        <v>24881</v>
      </c>
      <c r="I3110" t="s">
        <v>24894</v>
      </c>
      <c r="K3110" t="s">
        <v>22256</v>
      </c>
      <c r="L3110" t="s">
        <v>22257</v>
      </c>
      <c r="M3110" t="s">
        <v>7292</v>
      </c>
      <c r="R3110">
        <v>0.86</v>
      </c>
      <c r="S3110" t="s">
        <v>8257</v>
      </c>
      <c r="T3110">
        <v>0.86</v>
      </c>
      <c r="U3110">
        <v>400.23</v>
      </c>
      <c r="V3110">
        <v>195</v>
      </c>
      <c r="W3110" t="s">
        <v>6546</v>
      </c>
      <c r="X3110">
        <v>195</v>
      </c>
      <c r="Y3110" t="s">
        <v>24895</v>
      </c>
      <c r="Z3110" t="s">
        <v>8842</v>
      </c>
      <c r="AB3110" t="s">
        <v>22595</v>
      </c>
      <c r="AC3110" t="s">
        <v>9852</v>
      </c>
      <c r="AD3110" t="s">
        <v>4436</v>
      </c>
      <c r="AE3110" t="s">
        <v>3027</v>
      </c>
      <c r="AF3110" t="s">
        <v>24896</v>
      </c>
      <c r="AG3110" t="s">
        <v>22264</v>
      </c>
      <c r="AH3110" t="s">
        <v>3027</v>
      </c>
      <c r="AI3110" t="s">
        <v>9852</v>
      </c>
      <c r="AL3110" t="s">
        <v>24883</v>
      </c>
      <c r="AO3110" t="s">
        <v>6546</v>
      </c>
    </row>
    <row r="3111" spans="1:41" hidden="1" x14ac:dyDescent="0.35">
      <c r="A3111" t="s">
        <v>24897</v>
      </c>
      <c r="B3111" t="s">
        <v>7246</v>
      </c>
      <c r="C3111" t="s">
        <v>84</v>
      </c>
      <c r="D3111" t="s">
        <v>84</v>
      </c>
      <c r="E3111" t="s">
        <v>84</v>
      </c>
      <c r="G3111" s="13" t="s">
        <v>24880</v>
      </c>
      <c r="H3111" t="s">
        <v>24881</v>
      </c>
      <c r="I3111" t="s">
        <v>24898</v>
      </c>
      <c r="K3111" t="s">
        <v>22256</v>
      </c>
      <c r="L3111" t="s">
        <v>22257</v>
      </c>
      <c r="M3111" t="s">
        <v>7292</v>
      </c>
      <c r="R3111">
        <v>1.63</v>
      </c>
      <c r="S3111" t="s">
        <v>8257</v>
      </c>
      <c r="T3111">
        <v>1.63</v>
      </c>
      <c r="U3111">
        <v>758.58</v>
      </c>
      <c r="V3111">
        <v>197</v>
      </c>
      <c r="W3111" t="s">
        <v>6546</v>
      </c>
      <c r="X3111">
        <v>197</v>
      </c>
      <c r="Y3111" t="s">
        <v>24899</v>
      </c>
      <c r="Z3111" t="s">
        <v>8842</v>
      </c>
      <c r="AB3111" t="s">
        <v>24900</v>
      </c>
      <c r="AC3111" t="s">
        <v>9852</v>
      </c>
      <c r="AD3111" t="s">
        <v>4436</v>
      </c>
      <c r="AE3111" t="s">
        <v>3027</v>
      </c>
      <c r="AG3111" t="s">
        <v>4436</v>
      </c>
      <c r="AH3111" t="s">
        <v>3027</v>
      </c>
      <c r="AI3111" t="s">
        <v>9852</v>
      </c>
      <c r="AL3111" t="s">
        <v>24883</v>
      </c>
      <c r="AO3111" t="s">
        <v>6546</v>
      </c>
    </row>
    <row r="3112" spans="1:41" hidden="1" x14ac:dyDescent="0.35">
      <c r="A3112" t="s">
        <v>24901</v>
      </c>
      <c r="B3112" t="s">
        <v>7246</v>
      </c>
      <c r="C3112" t="s">
        <v>84</v>
      </c>
      <c r="D3112" t="s">
        <v>84</v>
      </c>
      <c r="E3112" t="s">
        <v>84</v>
      </c>
      <c r="G3112" s="13" t="s">
        <v>24880</v>
      </c>
      <c r="H3112" t="s">
        <v>24881</v>
      </c>
      <c r="I3112" t="s">
        <v>24902</v>
      </c>
      <c r="K3112" t="s">
        <v>24903</v>
      </c>
      <c r="L3112" t="s">
        <v>24903</v>
      </c>
      <c r="M3112" t="s">
        <v>7250</v>
      </c>
      <c r="N3112">
        <v>2008</v>
      </c>
      <c r="R3112">
        <v>0.82</v>
      </c>
      <c r="S3112" t="s">
        <v>8257</v>
      </c>
      <c r="T3112">
        <v>0.82</v>
      </c>
      <c r="U3112">
        <v>381.61</v>
      </c>
      <c r="V3112">
        <v>155.72</v>
      </c>
      <c r="W3112">
        <v>115.71</v>
      </c>
      <c r="X3112">
        <v>155.72</v>
      </c>
      <c r="AA3112" t="s">
        <v>24904</v>
      </c>
      <c r="AC3112" t="s">
        <v>9852</v>
      </c>
      <c r="AD3112" t="s">
        <v>3027</v>
      </c>
      <c r="AE3112" t="s">
        <v>3027</v>
      </c>
      <c r="AG3112" t="s">
        <v>4436</v>
      </c>
      <c r="AH3112" t="s">
        <v>3027</v>
      </c>
      <c r="AI3112" t="s">
        <v>9852</v>
      </c>
      <c r="AL3112" t="s">
        <v>24883</v>
      </c>
      <c r="AO3112" t="s">
        <v>24905</v>
      </c>
    </row>
    <row r="3113" spans="1:41" hidden="1" x14ac:dyDescent="0.35">
      <c r="A3113" t="s">
        <v>24906</v>
      </c>
      <c r="B3113" t="s">
        <v>7246</v>
      </c>
      <c r="C3113" t="s">
        <v>84</v>
      </c>
      <c r="D3113" t="s">
        <v>84</v>
      </c>
      <c r="E3113" t="s">
        <v>84</v>
      </c>
      <c r="G3113" s="13" t="s">
        <v>24880</v>
      </c>
      <c r="H3113" t="s">
        <v>24881</v>
      </c>
      <c r="I3113" t="s">
        <v>24907</v>
      </c>
      <c r="K3113" t="s">
        <v>24903</v>
      </c>
      <c r="L3113" t="s">
        <v>24903</v>
      </c>
      <c r="M3113" t="s">
        <v>7250</v>
      </c>
      <c r="N3113">
        <v>2007</v>
      </c>
      <c r="R3113">
        <v>5</v>
      </c>
      <c r="S3113" t="s">
        <v>8257</v>
      </c>
      <c r="T3113">
        <v>5</v>
      </c>
      <c r="U3113">
        <v>2326.92</v>
      </c>
      <c r="V3113">
        <v>78</v>
      </c>
      <c r="W3113">
        <v>150.41</v>
      </c>
      <c r="X3113">
        <v>78</v>
      </c>
      <c r="AA3113" t="s">
        <v>24908</v>
      </c>
      <c r="AC3113" t="s">
        <v>9852</v>
      </c>
      <c r="AD3113" t="s">
        <v>3028</v>
      </c>
      <c r="AE3113" t="s">
        <v>3027</v>
      </c>
      <c r="AG3113" t="s">
        <v>4434</v>
      </c>
      <c r="AH3113" t="s">
        <v>3027</v>
      </c>
      <c r="AI3113" t="s">
        <v>9852</v>
      </c>
      <c r="AL3113" t="s">
        <v>24883</v>
      </c>
      <c r="AO3113" t="s">
        <v>24884</v>
      </c>
    </row>
    <row r="3114" spans="1:41" hidden="1" x14ac:dyDescent="0.35">
      <c r="A3114" t="s">
        <v>24909</v>
      </c>
      <c r="B3114" t="s">
        <v>7246</v>
      </c>
      <c r="C3114" t="s">
        <v>84</v>
      </c>
      <c r="D3114" t="s">
        <v>84</v>
      </c>
      <c r="E3114" t="s">
        <v>84</v>
      </c>
      <c r="G3114" s="13" t="s">
        <v>24880</v>
      </c>
      <c r="H3114" t="s">
        <v>24881</v>
      </c>
      <c r="I3114" t="s">
        <v>24910</v>
      </c>
      <c r="K3114" t="s">
        <v>24911</v>
      </c>
      <c r="L3114" t="s">
        <v>24912</v>
      </c>
      <c r="M3114" t="s">
        <v>7269</v>
      </c>
      <c r="T3114" t="s">
        <v>6546</v>
      </c>
      <c r="U3114" t="s">
        <v>6546</v>
      </c>
      <c r="V3114" t="s">
        <v>6546</v>
      </c>
      <c r="W3114">
        <v>306.20999999999998</v>
      </c>
      <c r="X3114">
        <v>306.20999999999998</v>
      </c>
      <c r="AC3114" t="s">
        <v>9852</v>
      </c>
      <c r="AE3114" t="s">
        <v>3027</v>
      </c>
      <c r="AH3114" t="s">
        <v>3027</v>
      </c>
      <c r="AI3114" t="s">
        <v>9852</v>
      </c>
      <c r="AL3114" t="s">
        <v>24883</v>
      </c>
      <c r="AO3114" t="s">
        <v>24913</v>
      </c>
    </row>
    <row r="3115" spans="1:41" hidden="1" x14ac:dyDescent="0.35">
      <c r="A3115" t="s">
        <v>24914</v>
      </c>
      <c r="B3115" t="s">
        <v>7246</v>
      </c>
      <c r="C3115" t="s">
        <v>84</v>
      </c>
      <c r="D3115" t="s">
        <v>84</v>
      </c>
      <c r="E3115" t="s">
        <v>84</v>
      </c>
      <c r="G3115" s="13" t="s">
        <v>24880</v>
      </c>
      <c r="H3115" t="s">
        <v>24881</v>
      </c>
      <c r="I3115" t="s">
        <v>24915</v>
      </c>
      <c r="K3115" t="s">
        <v>24911</v>
      </c>
      <c r="L3115" t="s">
        <v>24912</v>
      </c>
      <c r="M3115" t="s">
        <v>7269</v>
      </c>
      <c r="T3115" t="s">
        <v>6546</v>
      </c>
      <c r="U3115" t="s">
        <v>6546</v>
      </c>
      <c r="V3115" t="s">
        <v>6546</v>
      </c>
      <c r="W3115">
        <v>270.76</v>
      </c>
      <c r="X3115">
        <v>270.76</v>
      </c>
      <c r="AC3115" t="s">
        <v>9852</v>
      </c>
      <c r="AE3115" t="s">
        <v>3027</v>
      </c>
      <c r="AH3115" t="s">
        <v>3027</v>
      </c>
      <c r="AI3115" t="s">
        <v>9852</v>
      </c>
      <c r="AL3115" t="s">
        <v>24883</v>
      </c>
      <c r="AO3115" t="s">
        <v>24916</v>
      </c>
    </row>
    <row r="3116" spans="1:41" hidden="1" x14ac:dyDescent="0.35">
      <c r="A3116" t="s">
        <v>24917</v>
      </c>
      <c r="B3116" t="s">
        <v>7246</v>
      </c>
      <c r="C3116" t="s">
        <v>84</v>
      </c>
      <c r="D3116" t="s">
        <v>84</v>
      </c>
      <c r="E3116" t="s">
        <v>84</v>
      </c>
      <c r="G3116" s="13" t="s">
        <v>24880</v>
      </c>
      <c r="H3116" t="s">
        <v>24881</v>
      </c>
      <c r="I3116" t="s">
        <v>24918</v>
      </c>
      <c r="K3116" t="s">
        <v>24911</v>
      </c>
      <c r="L3116" t="s">
        <v>24912</v>
      </c>
      <c r="M3116" t="s">
        <v>7269</v>
      </c>
      <c r="T3116" t="s">
        <v>6546</v>
      </c>
      <c r="U3116" t="s">
        <v>6546</v>
      </c>
      <c r="V3116" t="s">
        <v>6546</v>
      </c>
      <c r="W3116" t="s">
        <v>6546</v>
      </c>
      <c r="X3116" t="s">
        <v>6546</v>
      </c>
      <c r="AC3116" t="s">
        <v>9852</v>
      </c>
      <c r="AE3116" t="s">
        <v>3027</v>
      </c>
      <c r="AH3116" t="s">
        <v>3027</v>
      </c>
      <c r="AI3116" t="s">
        <v>9852</v>
      </c>
      <c r="AL3116" t="s">
        <v>24883</v>
      </c>
      <c r="AM3116" s="13" t="s">
        <v>24919</v>
      </c>
      <c r="AO3116" t="s">
        <v>6546</v>
      </c>
    </row>
    <row r="3117" spans="1:41" hidden="1" x14ac:dyDescent="0.35">
      <c r="A3117" t="s">
        <v>24920</v>
      </c>
      <c r="B3117" t="s">
        <v>7246</v>
      </c>
      <c r="C3117" t="s">
        <v>84</v>
      </c>
      <c r="D3117" t="s">
        <v>84</v>
      </c>
      <c r="E3117" t="s">
        <v>84</v>
      </c>
      <c r="G3117" s="13" t="s">
        <v>24880</v>
      </c>
      <c r="H3117" t="s">
        <v>24881</v>
      </c>
      <c r="I3117" t="s">
        <v>24921</v>
      </c>
      <c r="K3117" t="s">
        <v>24911</v>
      </c>
      <c r="L3117" t="s">
        <v>24912</v>
      </c>
      <c r="M3117" t="s">
        <v>7269</v>
      </c>
      <c r="T3117" t="s">
        <v>6546</v>
      </c>
      <c r="U3117" t="s">
        <v>6546</v>
      </c>
      <c r="V3117" t="s">
        <v>6546</v>
      </c>
      <c r="W3117" t="s">
        <v>6546</v>
      </c>
      <c r="X3117" t="s">
        <v>6546</v>
      </c>
      <c r="AC3117" t="s">
        <v>9852</v>
      </c>
      <c r="AE3117" t="s">
        <v>3027</v>
      </c>
      <c r="AH3117" t="s">
        <v>3027</v>
      </c>
      <c r="AI3117" t="s">
        <v>9852</v>
      </c>
      <c r="AL3117" t="s">
        <v>24883</v>
      </c>
      <c r="AM3117" s="13" t="s">
        <v>24919</v>
      </c>
      <c r="AO3117" t="s">
        <v>6546</v>
      </c>
    </row>
    <row r="3118" spans="1:41" hidden="1" x14ac:dyDescent="0.35">
      <c r="A3118" t="s">
        <v>24922</v>
      </c>
      <c r="B3118" t="s">
        <v>7246</v>
      </c>
      <c r="C3118" t="s">
        <v>84</v>
      </c>
      <c r="D3118" t="s">
        <v>84</v>
      </c>
      <c r="E3118" t="s">
        <v>84</v>
      </c>
      <c r="G3118" s="13" t="s">
        <v>24880</v>
      </c>
      <c r="H3118" t="s">
        <v>24881</v>
      </c>
      <c r="I3118" t="s">
        <v>24923</v>
      </c>
      <c r="K3118" t="s">
        <v>24911</v>
      </c>
      <c r="L3118" t="s">
        <v>24912</v>
      </c>
      <c r="M3118" t="s">
        <v>7269</v>
      </c>
      <c r="T3118" t="s">
        <v>6546</v>
      </c>
      <c r="U3118" t="s">
        <v>6546</v>
      </c>
      <c r="V3118" t="s">
        <v>6546</v>
      </c>
      <c r="W3118" t="s">
        <v>6546</v>
      </c>
      <c r="X3118" t="s">
        <v>6546</v>
      </c>
      <c r="AC3118" t="s">
        <v>9852</v>
      </c>
      <c r="AE3118" t="s">
        <v>3027</v>
      </c>
      <c r="AH3118" t="s">
        <v>3027</v>
      </c>
      <c r="AI3118" t="s">
        <v>9852</v>
      </c>
      <c r="AL3118" t="s">
        <v>24883</v>
      </c>
      <c r="AM3118" s="13" t="s">
        <v>24919</v>
      </c>
      <c r="AO3118" t="s">
        <v>6546</v>
      </c>
    </row>
    <row r="3119" spans="1:41" hidden="1" x14ac:dyDescent="0.35">
      <c r="A3119" t="s">
        <v>24924</v>
      </c>
      <c r="B3119" t="s">
        <v>7246</v>
      </c>
      <c r="C3119" t="s">
        <v>84</v>
      </c>
      <c r="D3119" t="s">
        <v>84</v>
      </c>
      <c r="E3119" t="s">
        <v>84</v>
      </c>
      <c r="G3119" s="13" t="s">
        <v>24880</v>
      </c>
      <c r="H3119" t="s">
        <v>24881</v>
      </c>
      <c r="I3119" t="s">
        <v>24925</v>
      </c>
      <c r="K3119" t="s">
        <v>24911</v>
      </c>
      <c r="L3119" t="s">
        <v>24912</v>
      </c>
      <c r="M3119" t="s">
        <v>7269</v>
      </c>
      <c r="T3119" t="s">
        <v>6546</v>
      </c>
      <c r="U3119" t="s">
        <v>6546</v>
      </c>
      <c r="V3119" t="s">
        <v>6546</v>
      </c>
      <c r="W3119" t="s">
        <v>6546</v>
      </c>
      <c r="X3119" t="s">
        <v>6546</v>
      </c>
      <c r="AC3119" t="s">
        <v>9852</v>
      </c>
      <c r="AE3119" t="s">
        <v>3027</v>
      </c>
      <c r="AH3119" t="s">
        <v>3027</v>
      </c>
      <c r="AI3119" t="s">
        <v>9852</v>
      </c>
      <c r="AL3119" t="s">
        <v>24883</v>
      </c>
      <c r="AM3119" s="13" t="s">
        <v>24919</v>
      </c>
      <c r="AO3119" t="s">
        <v>6546</v>
      </c>
    </row>
    <row r="3120" spans="1:41" hidden="1" x14ac:dyDescent="0.35">
      <c r="A3120" t="s">
        <v>24926</v>
      </c>
      <c r="B3120" t="s">
        <v>7246</v>
      </c>
      <c r="C3120" t="s">
        <v>84</v>
      </c>
      <c r="D3120" t="s">
        <v>84</v>
      </c>
      <c r="E3120" t="s">
        <v>84</v>
      </c>
      <c r="G3120" s="13" t="s">
        <v>24880</v>
      </c>
      <c r="H3120" t="s">
        <v>24881</v>
      </c>
      <c r="I3120" t="s">
        <v>24927</v>
      </c>
      <c r="K3120" t="s">
        <v>24911</v>
      </c>
      <c r="L3120" t="s">
        <v>24912</v>
      </c>
      <c r="M3120" t="s">
        <v>7269</v>
      </c>
      <c r="T3120" t="s">
        <v>6546</v>
      </c>
      <c r="U3120" t="s">
        <v>6546</v>
      </c>
      <c r="V3120" t="s">
        <v>6546</v>
      </c>
      <c r="W3120" t="s">
        <v>6546</v>
      </c>
      <c r="X3120" t="s">
        <v>6546</v>
      </c>
      <c r="AC3120" t="s">
        <v>9852</v>
      </c>
      <c r="AE3120" t="s">
        <v>3027</v>
      </c>
      <c r="AH3120" t="s">
        <v>3027</v>
      </c>
      <c r="AI3120" t="s">
        <v>9852</v>
      </c>
      <c r="AL3120" t="s">
        <v>24883</v>
      </c>
      <c r="AM3120" s="13" t="s">
        <v>24919</v>
      </c>
      <c r="AO3120" t="s">
        <v>6546</v>
      </c>
    </row>
    <row r="3121" spans="1:41" hidden="1" x14ac:dyDescent="0.35">
      <c r="A3121" t="s">
        <v>24928</v>
      </c>
      <c r="B3121" t="s">
        <v>7246</v>
      </c>
      <c r="C3121" t="s">
        <v>84</v>
      </c>
      <c r="D3121" t="s">
        <v>84</v>
      </c>
      <c r="E3121" t="s">
        <v>84</v>
      </c>
      <c r="G3121" s="13" t="s">
        <v>24880</v>
      </c>
      <c r="H3121" t="s">
        <v>24881</v>
      </c>
      <c r="I3121" t="s">
        <v>24929</v>
      </c>
      <c r="K3121" t="s">
        <v>24911</v>
      </c>
      <c r="L3121" t="s">
        <v>24912</v>
      </c>
      <c r="M3121" t="s">
        <v>7269</v>
      </c>
      <c r="T3121" t="s">
        <v>6546</v>
      </c>
      <c r="U3121" t="s">
        <v>6546</v>
      </c>
      <c r="V3121" t="s">
        <v>6546</v>
      </c>
      <c r="W3121" t="s">
        <v>6546</v>
      </c>
      <c r="X3121" t="s">
        <v>6546</v>
      </c>
      <c r="AC3121" t="s">
        <v>9852</v>
      </c>
      <c r="AE3121" t="s">
        <v>3027</v>
      </c>
      <c r="AH3121" t="s">
        <v>3027</v>
      </c>
      <c r="AI3121" t="s">
        <v>9852</v>
      </c>
      <c r="AL3121" t="s">
        <v>24883</v>
      </c>
      <c r="AM3121" s="13" t="s">
        <v>24919</v>
      </c>
      <c r="AO3121" t="s">
        <v>6546</v>
      </c>
    </row>
    <row r="3122" spans="1:41" hidden="1" x14ac:dyDescent="0.35">
      <c r="A3122" t="s">
        <v>24930</v>
      </c>
      <c r="B3122" t="s">
        <v>7246</v>
      </c>
      <c r="C3122" t="s">
        <v>84</v>
      </c>
      <c r="D3122" t="s">
        <v>84</v>
      </c>
      <c r="E3122" t="s">
        <v>84</v>
      </c>
      <c r="G3122" s="13" t="s">
        <v>24880</v>
      </c>
      <c r="H3122" t="s">
        <v>24881</v>
      </c>
      <c r="I3122" t="s">
        <v>24931</v>
      </c>
      <c r="K3122" t="s">
        <v>24911</v>
      </c>
      <c r="L3122" t="s">
        <v>24912</v>
      </c>
      <c r="M3122" t="s">
        <v>7269</v>
      </c>
      <c r="T3122" t="s">
        <v>6546</v>
      </c>
      <c r="U3122" t="s">
        <v>6546</v>
      </c>
      <c r="V3122" t="s">
        <v>6546</v>
      </c>
      <c r="W3122" t="s">
        <v>6546</v>
      </c>
      <c r="X3122" t="s">
        <v>6546</v>
      </c>
      <c r="AC3122" t="s">
        <v>9852</v>
      </c>
      <c r="AE3122" t="s">
        <v>3027</v>
      </c>
      <c r="AH3122" t="s">
        <v>3027</v>
      </c>
      <c r="AI3122" t="s">
        <v>9852</v>
      </c>
      <c r="AL3122" t="s">
        <v>24883</v>
      </c>
      <c r="AM3122" s="13" t="s">
        <v>24919</v>
      </c>
      <c r="AO3122" t="s">
        <v>6546</v>
      </c>
    </row>
    <row r="3123" spans="1:41" hidden="1" x14ac:dyDescent="0.35">
      <c r="A3123" t="s">
        <v>24932</v>
      </c>
      <c r="B3123" t="s">
        <v>7246</v>
      </c>
      <c r="C3123" t="s">
        <v>84</v>
      </c>
      <c r="D3123" t="s">
        <v>84</v>
      </c>
      <c r="E3123" t="s">
        <v>84</v>
      </c>
      <c r="G3123" s="13" t="s">
        <v>24880</v>
      </c>
      <c r="H3123" t="s">
        <v>24881</v>
      </c>
      <c r="I3123" t="s">
        <v>24933</v>
      </c>
      <c r="K3123" t="s">
        <v>24911</v>
      </c>
      <c r="L3123" t="s">
        <v>24912</v>
      </c>
      <c r="M3123" t="s">
        <v>7269</v>
      </c>
      <c r="T3123" t="s">
        <v>6546</v>
      </c>
      <c r="U3123" t="s">
        <v>6546</v>
      </c>
      <c r="V3123" t="s">
        <v>6546</v>
      </c>
      <c r="W3123" t="s">
        <v>6546</v>
      </c>
      <c r="X3123" t="s">
        <v>6546</v>
      </c>
      <c r="AC3123" t="s">
        <v>9852</v>
      </c>
      <c r="AE3123" t="s">
        <v>3027</v>
      </c>
      <c r="AH3123" t="s">
        <v>3027</v>
      </c>
      <c r="AI3123" t="s">
        <v>9852</v>
      </c>
      <c r="AL3123" t="s">
        <v>24883</v>
      </c>
      <c r="AM3123" s="13" t="s">
        <v>24919</v>
      </c>
      <c r="AO3123" t="s">
        <v>6546</v>
      </c>
    </row>
    <row r="3124" spans="1:41" hidden="1" x14ac:dyDescent="0.35">
      <c r="A3124" t="s">
        <v>24934</v>
      </c>
      <c r="B3124" t="s">
        <v>7246</v>
      </c>
      <c r="C3124" t="s">
        <v>84</v>
      </c>
      <c r="D3124" t="s">
        <v>84</v>
      </c>
      <c r="E3124" t="s">
        <v>84</v>
      </c>
      <c r="G3124" s="13" t="s">
        <v>24880</v>
      </c>
      <c r="H3124" t="s">
        <v>24881</v>
      </c>
      <c r="I3124" t="s">
        <v>24935</v>
      </c>
      <c r="K3124" t="s">
        <v>24911</v>
      </c>
      <c r="L3124" t="s">
        <v>24912</v>
      </c>
      <c r="M3124" t="s">
        <v>7269</v>
      </c>
      <c r="T3124" t="s">
        <v>6546</v>
      </c>
      <c r="U3124" t="s">
        <v>6546</v>
      </c>
      <c r="V3124" t="s">
        <v>6546</v>
      </c>
      <c r="W3124" t="s">
        <v>6546</v>
      </c>
      <c r="X3124" t="s">
        <v>6546</v>
      </c>
      <c r="AC3124" t="s">
        <v>9852</v>
      </c>
      <c r="AE3124" t="s">
        <v>3027</v>
      </c>
      <c r="AH3124" t="s">
        <v>3027</v>
      </c>
      <c r="AI3124" t="s">
        <v>9852</v>
      </c>
      <c r="AL3124" t="s">
        <v>24883</v>
      </c>
      <c r="AM3124" s="13" t="s">
        <v>24919</v>
      </c>
      <c r="AO3124" t="s">
        <v>6546</v>
      </c>
    </row>
    <row r="3125" spans="1:41" hidden="1" x14ac:dyDescent="0.35">
      <c r="A3125" t="s">
        <v>24936</v>
      </c>
      <c r="B3125" t="s">
        <v>7246</v>
      </c>
      <c r="C3125" t="s">
        <v>84</v>
      </c>
      <c r="D3125" t="s">
        <v>84</v>
      </c>
      <c r="E3125" t="s">
        <v>84</v>
      </c>
      <c r="G3125" s="13" t="s">
        <v>24880</v>
      </c>
      <c r="H3125" t="s">
        <v>24881</v>
      </c>
      <c r="I3125" t="s">
        <v>24937</v>
      </c>
      <c r="K3125" t="s">
        <v>24911</v>
      </c>
      <c r="L3125" t="s">
        <v>24912</v>
      </c>
      <c r="M3125" t="s">
        <v>7269</v>
      </c>
      <c r="T3125" t="s">
        <v>6546</v>
      </c>
      <c r="U3125" t="s">
        <v>6546</v>
      </c>
      <c r="V3125" t="s">
        <v>6546</v>
      </c>
      <c r="W3125" t="s">
        <v>6546</v>
      </c>
      <c r="X3125" t="s">
        <v>6546</v>
      </c>
      <c r="AC3125" t="s">
        <v>9852</v>
      </c>
      <c r="AE3125" t="s">
        <v>3027</v>
      </c>
      <c r="AH3125" t="s">
        <v>3027</v>
      </c>
      <c r="AI3125" t="s">
        <v>9852</v>
      </c>
      <c r="AL3125" t="s">
        <v>24883</v>
      </c>
      <c r="AM3125" s="13" t="s">
        <v>24919</v>
      </c>
      <c r="AO3125" t="s">
        <v>6546</v>
      </c>
    </row>
    <row r="3126" spans="1:41" hidden="1" x14ac:dyDescent="0.35">
      <c r="A3126" t="s">
        <v>24938</v>
      </c>
      <c r="B3126" t="s">
        <v>7246</v>
      </c>
      <c r="C3126" t="s">
        <v>84</v>
      </c>
      <c r="D3126" t="s">
        <v>84</v>
      </c>
      <c r="E3126" t="s">
        <v>84</v>
      </c>
      <c r="G3126" s="13" t="s">
        <v>24880</v>
      </c>
      <c r="H3126" t="s">
        <v>24881</v>
      </c>
      <c r="I3126" t="s">
        <v>24939</v>
      </c>
      <c r="K3126" t="s">
        <v>6543</v>
      </c>
      <c r="L3126" t="s">
        <v>6543</v>
      </c>
      <c r="M3126" t="s">
        <v>7292</v>
      </c>
      <c r="T3126" t="s">
        <v>6546</v>
      </c>
      <c r="U3126" t="s">
        <v>6546</v>
      </c>
      <c r="V3126" t="s">
        <v>6546</v>
      </c>
      <c r="W3126" t="s">
        <v>6546</v>
      </c>
      <c r="X3126" t="s">
        <v>6546</v>
      </c>
      <c r="AC3126" t="s">
        <v>9852</v>
      </c>
      <c r="AD3126" t="s">
        <v>4434</v>
      </c>
      <c r="AE3126" t="s">
        <v>3027</v>
      </c>
      <c r="AG3126" t="s">
        <v>4434</v>
      </c>
      <c r="AH3126" t="s">
        <v>3027</v>
      </c>
      <c r="AI3126" t="s">
        <v>9852</v>
      </c>
      <c r="AL3126" t="s">
        <v>24883</v>
      </c>
      <c r="AO3126" t="s">
        <v>6546</v>
      </c>
    </row>
    <row r="3127" spans="1:41" hidden="1" x14ac:dyDescent="0.35">
      <c r="A3127" t="s">
        <v>24940</v>
      </c>
      <c r="B3127" t="s">
        <v>7246</v>
      </c>
      <c r="C3127" t="s">
        <v>84</v>
      </c>
      <c r="D3127" t="s">
        <v>84</v>
      </c>
      <c r="E3127" t="s">
        <v>84</v>
      </c>
      <c r="G3127" s="13" t="s">
        <v>24880</v>
      </c>
      <c r="H3127" t="s">
        <v>24881</v>
      </c>
      <c r="I3127" t="s">
        <v>24941</v>
      </c>
      <c r="K3127" t="s">
        <v>6543</v>
      </c>
      <c r="L3127" t="s">
        <v>6543</v>
      </c>
      <c r="M3127" t="s">
        <v>7292</v>
      </c>
      <c r="T3127" t="s">
        <v>6546</v>
      </c>
      <c r="U3127" t="s">
        <v>6546</v>
      </c>
      <c r="V3127" t="s">
        <v>6546</v>
      </c>
      <c r="W3127" t="s">
        <v>6546</v>
      </c>
      <c r="X3127" t="s">
        <v>6546</v>
      </c>
      <c r="AC3127" t="s">
        <v>9852</v>
      </c>
      <c r="AD3127" t="s">
        <v>4434</v>
      </c>
      <c r="AE3127" t="s">
        <v>3027</v>
      </c>
      <c r="AG3127" t="s">
        <v>4434</v>
      </c>
      <c r="AH3127" t="s">
        <v>3027</v>
      </c>
      <c r="AI3127" t="s">
        <v>9852</v>
      </c>
      <c r="AL3127" t="s">
        <v>24883</v>
      </c>
      <c r="AO3127" t="s">
        <v>6546</v>
      </c>
    </row>
    <row r="3128" spans="1:41" hidden="1" x14ac:dyDescent="0.35">
      <c r="A3128" t="s">
        <v>24942</v>
      </c>
      <c r="B3128" t="s">
        <v>7246</v>
      </c>
      <c r="C3128" t="s">
        <v>84</v>
      </c>
      <c r="D3128" t="s">
        <v>84</v>
      </c>
      <c r="E3128" t="s">
        <v>84</v>
      </c>
      <c r="G3128" s="13" t="s">
        <v>24880</v>
      </c>
      <c r="H3128" t="s">
        <v>24881</v>
      </c>
      <c r="I3128" t="s">
        <v>24943</v>
      </c>
      <c r="K3128" t="s">
        <v>6543</v>
      </c>
      <c r="L3128" t="s">
        <v>6543</v>
      </c>
      <c r="M3128" t="s">
        <v>7292</v>
      </c>
      <c r="T3128" t="s">
        <v>6546</v>
      </c>
      <c r="U3128" t="s">
        <v>6546</v>
      </c>
      <c r="V3128" t="s">
        <v>6546</v>
      </c>
      <c r="W3128" t="s">
        <v>6546</v>
      </c>
      <c r="X3128" t="s">
        <v>6546</v>
      </c>
      <c r="AC3128" t="s">
        <v>9852</v>
      </c>
      <c r="AD3128" t="s">
        <v>4434</v>
      </c>
      <c r="AE3128" t="s">
        <v>3027</v>
      </c>
      <c r="AG3128" t="s">
        <v>4434</v>
      </c>
      <c r="AH3128" t="s">
        <v>3027</v>
      </c>
      <c r="AI3128" t="s">
        <v>9852</v>
      </c>
      <c r="AL3128" t="s">
        <v>24883</v>
      </c>
      <c r="AO3128" t="s">
        <v>6546</v>
      </c>
    </row>
    <row r="3129" spans="1:41" hidden="1" x14ac:dyDescent="0.35">
      <c r="A3129" t="s">
        <v>24944</v>
      </c>
      <c r="B3129" t="s">
        <v>7246</v>
      </c>
      <c r="C3129" t="s">
        <v>84</v>
      </c>
      <c r="D3129" t="s">
        <v>84</v>
      </c>
      <c r="E3129" t="s">
        <v>84</v>
      </c>
      <c r="G3129" s="13" t="s">
        <v>24945</v>
      </c>
      <c r="H3129" t="s">
        <v>24946</v>
      </c>
      <c r="K3129" t="s">
        <v>24947</v>
      </c>
      <c r="L3129" t="s">
        <v>24948</v>
      </c>
      <c r="M3129" t="s">
        <v>7250</v>
      </c>
      <c r="N3129">
        <v>1999</v>
      </c>
      <c r="O3129">
        <v>2003</v>
      </c>
      <c r="P3129">
        <v>2006</v>
      </c>
      <c r="R3129">
        <v>1.0900000000000001</v>
      </c>
      <c r="S3129" t="s">
        <v>8257</v>
      </c>
      <c r="T3129">
        <v>1.0900000000000001</v>
      </c>
      <c r="U3129">
        <v>507.27</v>
      </c>
      <c r="V3129">
        <v>420</v>
      </c>
      <c r="W3129">
        <v>535.4</v>
      </c>
      <c r="X3129">
        <v>420</v>
      </c>
      <c r="AA3129" t="s">
        <v>24949</v>
      </c>
      <c r="AB3129" t="s">
        <v>23944</v>
      </c>
      <c r="AC3129" t="s">
        <v>9852</v>
      </c>
      <c r="AF3129" t="s">
        <v>24950</v>
      </c>
      <c r="AG3129" t="s">
        <v>24951</v>
      </c>
      <c r="AH3129" t="s">
        <v>3063</v>
      </c>
      <c r="AI3129" t="s">
        <v>9852</v>
      </c>
      <c r="AL3129" t="s">
        <v>24952</v>
      </c>
      <c r="AO3129" t="s">
        <v>24953</v>
      </c>
    </row>
    <row r="3130" spans="1:41" hidden="1" x14ac:dyDescent="0.35">
      <c r="A3130" t="s">
        <v>24954</v>
      </c>
      <c r="B3130" t="s">
        <v>7246</v>
      </c>
      <c r="C3130" t="s">
        <v>84</v>
      </c>
      <c r="D3130" t="s">
        <v>84</v>
      </c>
      <c r="E3130" t="s">
        <v>84</v>
      </c>
      <c r="G3130" s="13" t="s">
        <v>24955</v>
      </c>
      <c r="H3130" t="s">
        <v>23831</v>
      </c>
      <c r="K3130" t="s">
        <v>22428</v>
      </c>
      <c r="L3130" t="s">
        <v>22428</v>
      </c>
      <c r="M3130" t="s">
        <v>7250</v>
      </c>
      <c r="N3130">
        <v>2006</v>
      </c>
      <c r="R3130">
        <v>2.25</v>
      </c>
      <c r="S3130" t="s">
        <v>8257</v>
      </c>
      <c r="T3130">
        <v>2.25</v>
      </c>
      <c r="U3130">
        <v>1047.1099999999999</v>
      </c>
      <c r="V3130">
        <v>450</v>
      </c>
      <c r="W3130">
        <v>380.2</v>
      </c>
      <c r="X3130">
        <v>450</v>
      </c>
      <c r="AA3130" t="s">
        <v>22420</v>
      </c>
      <c r="AB3130" t="s">
        <v>24956</v>
      </c>
      <c r="AC3130" t="s">
        <v>9852</v>
      </c>
      <c r="AD3130" t="s">
        <v>4474</v>
      </c>
      <c r="AE3130" t="s">
        <v>3030</v>
      </c>
      <c r="AF3130" t="s">
        <v>24957</v>
      </c>
      <c r="AG3130" t="s">
        <v>3036</v>
      </c>
      <c r="AH3130" t="s">
        <v>3033</v>
      </c>
      <c r="AI3130" t="s">
        <v>9852</v>
      </c>
      <c r="AL3130" t="s">
        <v>24958</v>
      </c>
      <c r="AO3130" t="s">
        <v>24959</v>
      </c>
    </row>
    <row r="3131" spans="1:41" hidden="1" x14ac:dyDescent="0.35">
      <c r="A3131" t="s">
        <v>24960</v>
      </c>
      <c r="B3131" t="s">
        <v>7246</v>
      </c>
      <c r="C3131" t="s">
        <v>84</v>
      </c>
      <c r="D3131" t="s">
        <v>84</v>
      </c>
      <c r="E3131" t="s">
        <v>84</v>
      </c>
      <c r="G3131" s="13" t="s">
        <v>24961</v>
      </c>
      <c r="H3131" t="s">
        <v>24962</v>
      </c>
      <c r="K3131" t="s">
        <v>6543</v>
      </c>
      <c r="L3131" t="s">
        <v>6543</v>
      </c>
      <c r="M3131" t="s">
        <v>7292</v>
      </c>
      <c r="R3131">
        <v>10</v>
      </c>
      <c r="S3131" t="s">
        <v>8257</v>
      </c>
      <c r="T3131">
        <v>10</v>
      </c>
      <c r="U3131">
        <v>4653.83</v>
      </c>
      <c r="V3131">
        <v>1323</v>
      </c>
      <c r="W3131">
        <v>1120.1300000000001</v>
      </c>
      <c r="X3131">
        <v>1323</v>
      </c>
      <c r="AA3131" t="s">
        <v>24963</v>
      </c>
      <c r="AB3131" t="s">
        <v>24691</v>
      </c>
      <c r="AC3131" t="s">
        <v>9852</v>
      </c>
      <c r="AD3131" t="s">
        <v>4178</v>
      </c>
      <c r="AE3131" t="s">
        <v>4178</v>
      </c>
      <c r="AF3131" t="s">
        <v>4257</v>
      </c>
      <c r="AG3131" t="s">
        <v>4257</v>
      </c>
      <c r="AH3131" t="s">
        <v>4255</v>
      </c>
      <c r="AI3131" t="s">
        <v>9852</v>
      </c>
      <c r="AL3131" t="s">
        <v>24964</v>
      </c>
      <c r="AO3131" t="s">
        <v>24965</v>
      </c>
    </row>
    <row r="3132" spans="1:41" hidden="1" x14ac:dyDescent="0.35">
      <c r="A3132" t="s">
        <v>24966</v>
      </c>
      <c r="B3132" t="s">
        <v>7246</v>
      </c>
      <c r="C3132" t="s">
        <v>9898</v>
      </c>
      <c r="D3132" t="s">
        <v>84</v>
      </c>
      <c r="E3132" t="s">
        <v>13918</v>
      </c>
      <c r="G3132" s="13" t="s">
        <v>12637</v>
      </c>
      <c r="H3132" t="s">
        <v>12638</v>
      </c>
      <c r="I3132" t="s">
        <v>13919</v>
      </c>
      <c r="K3132" t="s">
        <v>6543</v>
      </c>
      <c r="L3132" t="s">
        <v>6543</v>
      </c>
      <c r="M3132" t="s">
        <v>7250</v>
      </c>
      <c r="N3132">
        <v>2009</v>
      </c>
      <c r="R3132">
        <v>15</v>
      </c>
      <c r="S3132" t="s">
        <v>8257</v>
      </c>
      <c r="T3132">
        <v>15</v>
      </c>
      <c r="U3132">
        <v>6980.75</v>
      </c>
      <c r="V3132">
        <v>1833</v>
      </c>
      <c r="W3132">
        <v>1883.13</v>
      </c>
      <c r="X3132">
        <v>1833</v>
      </c>
      <c r="Y3132">
        <v>42</v>
      </c>
      <c r="Z3132" t="s">
        <v>7253</v>
      </c>
      <c r="AA3132" t="s">
        <v>13923</v>
      </c>
      <c r="AB3132" t="s">
        <v>13924</v>
      </c>
      <c r="AC3132" t="s">
        <v>8844</v>
      </c>
      <c r="AF3132" t="s">
        <v>13925</v>
      </c>
      <c r="AH3132" t="s">
        <v>4824</v>
      </c>
      <c r="AI3132" t="s">
        <v>9852</v>
      </c>
      <c r="AL3132" t="s">
        <v>13920</v>
      </c>
      <c r="AO3132" t="s">
        <v>13926</v>
      </c>
    </row>
    <row r="3133" spans="1:41" hidden="1" x14ac:dyDescent="0.35">
      <c r="A3133" t="s">
        <v>24967</v>
      </c>
      <c r="B3133" t="s">
        <v>7246</v>
      </c>
      <c r="C3133" t="s">
        <v>9898</v>
      </c>
      <c r="D3133" t="s">
        <v>84</v>
      </c>
      <c r="E3133" t="s">
        <v>13918</v>
      </c>
      <c r="G3133" s="13" t="s">
        <v>12637</v>
      </c>
      <c r="H3133" t="s">
        <v>12638</v>
      </c>
      <c r="I3133" t="s">
        <v>13928</v>
      </c>
      <c r="K3133" t="s">
        <v>6543</v>
      </c>
      <c r="L3133" t="s">
        <v>6543</v>
      </c>
      <c r="M3133" t="s">
        <v>7250</v>
      </c>
      <c r="N3133">
        <v>2010</v>
      </c>
      <c r="R3133">
        <v>15</v>
      </c>
      <c r="S3133" t="s">
        <v>8257</v>
      </c>
      <c r="T3133">
        <v>15</v>
      </c>
      <c r="U3133">
        <v>6980.75</v>
      </c>
      <c r="V3133">
        <v>1833</v>
      </c>
      <c r="W3133">
        <v>1883.13</v>
      </c>
      <c r="X3133">
        <v>1833</v>
      </c>
      <c r="Y3133">
        <v>42</v>
      </c>
      <c r="Z3133" t="s">
        <v>7253</v>
      </c>
      <c r="AA3133" t="s">
        <v>13923</v>
      </c>
      <c r="AB3133" t="s">
        <v>13924</v>
      </c>
      <c r="AC3133" t="s">
        <v>8844</v>
      </c>
      <c r="AF3133" t="s">
        <v>13925</v>
      </c>
      <c r="AH3133" t="s">
        <v>4824</v>
      </c>
      <c r="AI3133" t="s">
        <v>9852</v>
      </c>
      <c r="AL3133" t="s">
        <v>13929</v>
      </c>
      <c r="AO3133" t="s">
        <v>13926</v>
      </c>
    </row>
    <row r="3134" spans="1:41" hidden="1" x14ac:dyDescent="0.35">
      <c r="A3134" t="s">
        <v>24968</v>
      </c>
      <c r="B3134" t="s">
        <v>7246</v>
      </c>
      <c r="C3134" t="s">
        <v>9898</v>
      </c>
      <c r="D3134" t="s">
        <v>84</v>
      </c>
      <c r="E3134" t="s">
        <v>13918</v>
      </c>
      <c r="G3134" s="13" t="s">
        <v>12637</v>
      </c>
      <c r="H3134" t="s">
        <v>12638</v>
      </c>
      <c r="I3134" t="s">
        <v>17214</v>
      </c>
      <c r="K3134" t="s">
        <v>6543</v>
      </c>
      <c r="L3134" t="s">
        <v>6543</v>
      </c>
      <c r="M3134" t="s">
        <v>7250</v>
      </c>
      <c r="N3134">
        <v>2014</v>
      </c>
      <c r="R3134">
        <v>25</v>
      </c>
      <c r="S3134" t="s">
        <v>8257</v>
      </c>
      <c r="T3134">
        <v>25</v>
      </c>
      <c r="U3134">
        <v>11634.59</v>
      </c>
      <c r="V3134">
        <v>1833</v>
      </c>
      <c r="W3134">
        <v>1883.13</v>
      </c>
      <c r="X3134">
        <v>1833</v>
      </c>
      <c r="Y3134">
        <v>48</v>
      </c>
      <c r="Z3134" t="s">
        <v>7253</v>
      </c>
      <c r="AA3134" t="s">
        <v>13923</v>
      </c>
      <c r="AB3134" t="s">
        <v>13924</v>
      </c>
      <c r="AC3134" t="s">
        <v>8844</v>
      </c>
      <c r="AF3134" t="s">
        <v>13925</v>
      </c>
      <c r="AH3134" t="s">
        <v>4824</v>
      </c>
      <c r="AI3134" t="s">
        <v>9852</v>
      </c>
      <c r="AL3134" t="s">
        <v>17215</v>
      </c>
      <c r="AO3134" t="s">
        <v>13926</v>
      </c>
    </row>
    <row r="3135" spans="1:41" hidden="1" x14ac:dyDescent="0.35">
      <c r="A3135" t="s">
        <v>24969</v>
      </c>
      <c r="B3135" t="s">
        <v>7246</v>
      </c>
      <c r="C3135" t="s">
        <v>9898</v>
      </c>
      <c r="D3135" t="s">
        <v>12635</v>
      </c>
      <c r="E3135" t="s">
        <v>12636</v>
      </c>
      <c r="G3135" s="13" t="s">
        <v>12637</v>
      </c>
      <c r="H3135" t="s">
        <v>12638</v>
      </c>
      <c r="I3135" t="s">
        <v>12639</v>
      </c>
      <c r="K3135" t="s">
        <v>6543</v>
      </c>
      <c r="L3135" t="s">
        <v>6543</v>
      </c>
      <c r="M3135" t="s">
        <v>7415</v>
      </c>
      <c r="N3135">
        <v>2022</v>
      </c>
      <c r="R3135">
        <v>30</v>
      </c>
      <c r="S3135" t="s">
        <v>8257</v>
      </c>
      <c r="T3135">
        <v>30</v>
      </c>
      <c r="U3135">
        <v>13961.5</v>
      </c>
      <c r="V3135">
        <v>966</v>
      </c>
      <c r="W3135">
        <v>1056.49</v>
      </c>
      <c r="X3135">
        <v>966</v>
      </c>
      <c r="AA3135" t="s">
        <v>12643</v>
      </c>
      <c r="AB3135" t="s">
        <v>12643</v>
      </c>
      <c r="AC3135" t="s">
        <v>8844</v>
      </c>
      <c r="AF3135" t="s">
        <v>12644</v>
      </c>
      <c r="AI3135" t="s">
        <v>8844</v>
      </c>
      <c r="AL3135" t="s">
        <v>12640</v>
      </c>
      <c r="AO3135" t="s">
        <v>12645</v>
      </c>
    </row>
    <row r="3136" spans="1:41" hidden="1" x14ac:dyDescent="0.35">
      <c r="A3136" t="s">
        <v>24970</v>
      </c>
      <c r="B3136" t="s">
        <v>7246</v>
      </c>
      <c r="C3136" t="s">
        <v>84</v>
      </c>
      <c r="D3136" t="s">
        <v>84</v>
      </c>
      <c r="E3136" t="s">
        <v>84</v>
      </c>
      <c r="G3136" s="13" t="s">
        <v>24971</v>
      </c>
      <c r="H3136" t="s">
        <v>24972</v>
      </c>
      <c r="K3136" t="s">
        <v>22256</v>
      </c>
      <c r="L3136" t="s">
        <v>22257</v>
      </c>
      <c r="M3136" t="s">
        <v>7250</v>
      </c>
      <c r="N3136">
        <v>1986</v>
      </c>
      <c r="R3136">
        <v>1.62</v>
      </c>
      <c r="S3136" t="s">
        <v>8257</v>
      </c>
      <c r="T3136">
        <v>1.62</v>
      </c>
      <c r="U3136">
        <v>753.92</v>
      </c>
      <c r="V3136">
        <v>114.4</v>
      </c>
      <c r="W3136">
        <v>327.31</v>
      </c>
      <c r="X3136">
        <v>114.4</v>
      </c>
      <c r="AB3136" t="s">
        <v>23525</v>
      </c>
      <c r="AC3136" t="s">
        <v>9852</v>
      </c>
      <c r="AE3136" t="s">
        <v>3030</v>
      </c>
      <c r="AG3136" t="s">
        <v>3025</v>
      </c>
      <c r="AH3136" t="s">
        <v>3024</v>
      </c>
      <c r="AI3136" t="s">
        <v>9852</v>
      </c>
      <c r="AL3136" t="s">
        <v>24973</v>
      </c>
      <c r="AO3136" t="s">
        <v>24974</v>
      </c>
    </row>
    <row r="3137" spans="1:41" hidden="1" x14ac:dyDescent="0.35">
      <c r="A3137" t="s">
        <v>24975</v>
      </c>
      <c r="B3137" t="s">
        <v>7246</v>
      </c>
      <c r="C3137" t="s">
        <v>423</v>
      </c>
      <c r="D3137" t="s">
        <v>84</v>
      </c>
      <c r="E3137" t="s">
        <v>19682</v>
      </c>
      <c r="G3137" s="13" t="s">
        <v>24976</v>
      </c>
      <c r="H3137" t="s">
        <v>24977</v>
      </c>
      <c r="K3137" t="s">
        <v>6543</v>
      </c>
      <c r="L3137" t="s">
        <v>6543</v>
      </c>
      <c r="M3137" t="s">
        <v>7269</v>
      </c>
      <c r="T3137" t="s">
        <v>6546</v>
      </c>
      <c r="U3137" t="s">
        <v>6546</v>
      </c>
      <c r="V3137" t="s">
        <v>6546</v>
      </c>
      <c r="W3137">
        <v>1088.1500000000001</v>
      </c>
      <c r="X3137">
        <v>1088.1500000000001</v>
      </c>
      <c r="AB3137" t="s">
        <v>24978</v>
      </c>
      <c r="AC3137" t="s">
        <v>8844</v>
      </c>
      <c r="AF3137" t="s">
        <v>24979</v>
      </c>
      <c r="AG3137" t="s">
        <v>4837</v>
      </c>
      <c r="AH3137" t="s">
        <v>4824</v>
      </c>
      <c r="AI3137" t="s">
        <v>9852</v>
      </c>
      <c r="AL3137" t="s">
        <v>24980</v>
      </c>
      <c r="AO3137" t="s">
        <v>24981</v>
      </c>
    </row>
    <row r="3138" spans="1:41" hidden="1" x14ac:dyDescent="0.35">
      <c r="A3138" t="s">
        <v>24982</v>
      </c>
      <c r="B3138" t="s">
        <v>7246</v>
      </c>
      <c r="C3138" t="s">
        <v>84</v>
      </c>
      <c r="D3138" t="s">
        <v>84</v>
      </c>
      <c r="E3138" t="s">
        <v>84</v>
      </c>
      <c r="G3138" s="13" t="s">
        <v>24983</v>
      </c>
      <c r="H3138" t="s">
        <v>24984</v>
      </c>
      <c r="K3138" t="s">
        <v>22256</v>
      </c>
      <c r="L3138" t="s">
        <v>22257</v>
      </c>
      <c r="M3138" t="s">
        <v>7250</v>
      </c>
      <c r="N3138">
        <v>2015</v>
      </c>
      <c r="T3138" t="s">
        <v>6546</v>
      </c>
      <c r="U3138" t="s">
        <v>6546</v>
      </c>
      <c r="V3138">
        <v>555</v>
      </c>
      <c r="W3138">
        <v>532.61</v>
      </c>
      <c r="X3138">
        <v>555</v>
      </c>
      <c r="AA3138" t="s">
        <v>24985</v>
      </c>
      <c r="AB3138" t="s">
        <v>4434</v>
      </c>
      <c r="AC3138" t="s">
        <v>9852</v>
      </c>
      <c r="AE3138" t="s">
        <v>3027</v>
      </c>
      <c r="AG3138" t="s">
        <v>24585</v>
      </c>
      <c r="AH3138" t="s">
        <v>3049</v>
      </c>
      <c r="AI3138" t="s">
        <v>9852</v>
      </c>
      <c r="AL3138" t="s">
        <v>24986</v>
      </c>
      <c r="AO3138" t="s">
        <v>24987</v>
      </c>
    </row>
    <row r="3139" spans="1:41" hidden="1" x14ac:dyDescent="0.35">
      <c r="A3139" t="s">
        <v>24988</v>
      </c>
      <c r="B3139" t="s">
        <v>7246</v>
      </c>
      <c r="C3139" t="s">
        <v>84</v>
      </c>
      <c r="D3139" t="s">
        <v>84</v>
      </c>
      <c r="E3139" t="s">
        <v>84</v>
      </c>
      <c r="G3139" s="13" t="s">
        <v>24989</v>
      </c>
      <c r="H3139" t="s">
        <v>22506</v>
      </c>
      <c r="K3139" t="s">
        <v>22676</v>
      </c>
      <c r="L3139" t="s">
        <v>22677</v>
      </c>
      <c r="M3139" t="s">
        <v>7250</v>
      </c>
      <c r="N3139">
        <v>2013</v>
      </c>
      <c r="R3139">
        <v>4.38</v>
      </c>
      <c r="S3139" t="s">
        <v>8257</v>
      </c>
      <c r="T3139">
        <v>4.38</v>
      </c>
      <c r="U3139">
        <v>2038.38</v>
      </c>
      <c r="V3139">
        <v>345.38</v>
      </c>
      <c r="W3139">
        <v>368.95</v>
      </c>
      <c r="X3139">
        <v>345.38</v>
      </c>
      <c r="Y3139">
        <v>914</v>
      </c>
      <c r="Z3139" t="s">
        <v>8842</v>
      </c>
      <c r="AA3139" t="s">
        <v>24990</v>
      </c>
      <c r="AB3139" t="s">
        <v>4532</v>
      </c>
      <c r="AC3139" t="s">
        <v>9852</v>
      </c>
      <c r="AD3139" t="s">
        <v>24991</v>
      </c>
      <c r="AE3139" t="s">
        <v>4519</v>
      </c>
      <c r="AF3139" t="s">
        <v>24783</v>
      </c>
      <c r="AG3139" t="s">
        <v>24784</v>
      </c>
      <c r="AH3139" t="s">
        <v>3011</v>
      </c>
      <c r="AI3139" t="s">
        <v>9852</v>
      </c>
      <c r="AL3139" t="s">
        <v>24992</v>
      </c>
      <c r="AO3139" t="s">
        <v>24993</v>
      </c>
    </row>
    <row r="3140" spans="1:41" hidden="1" x14ac:dyDescent="0.35">
      <c r="A3140" t="s">
        <v>24994</v>
      </c>
      <c r="B3140" t="s">
        <v>7246</v>
      </c>
      <c r="C3140" t="s">
        <v>84</v>
      </c>
      <c r="D3140" t="s">
        <v>84</v>
      </c>
      <c r="E3140" t="s">
        <v>84</v>
      </c>
      <c r="G3140" s="13" t="s">
        <v>24995</v>
      </c>
      <c r="H3140" t="s">
        <v>24996</v>
      </c>
      <c r="K3140" t="s">
        <v>6543</v>
      </c>
      <c r="L3140" t="s">
        <v>6543</v>
      </c>
      <c r="M3140" t="s">
        <v>7731</v>
      </c>
      <c r="R3140">
        <v>10</v>
      </c>
      <c r="S3140" t="s">
        <v>8257</v>
      </c>
      <c r="T3140">
        <v>10</v>
      </c>
      <c r="U3140">
        <v>4653.83</v>
      </c>
      <c r="V3140">
        <v>265</v>
      </c>
      <c r="W3140">
        <v>136.69999999999999</v>
      </c>
      <c r="X3140">
        <v>265</v>
      </c>
      <c r="AA3140" t="s">
        <v>23996</v>
      </c>
      <c r="AC3140" t="s">
        <v>9852</v>
      </c>
      <c r="AD3140" t="s">
        <v>23990</v>
      </c>
      <c r="AE3140" t="s">
        <v>10775</v>
      </c>
      <c r="AF3140" t="s">
        <v>24997</v>
      </c>
      <c r="AG3140" t="s">
        <v>4250</v>
      </c>
      <c r="AH3140" t="s">
        <v>3016</v>
      </c>
      <c r="AI3140" t="s">
        <v>9852</v>
      </c>
      <c r="AL3140" t="s">
        <v>24998</v>
      </c>
      <c r="AO3140" t="s">
        <v>24999</v>
      </c>
    </row>
    <row r="3141" spans="1:41" hidden="1" x14ac:dyDescent="0.35">
      <c r="A3141" t="s">
        <v>25000</v>
      </c>
      <c r="B3141" t="s">
        <v>7246</v>
      </c>
      <c r="C3141" t="s">
        <v>84</v>
      </c>
      <c r="D3141" t="s">
        <v>84</v>
      </c>
      <c r="E3141" t="s">
        <v>84</v>
      </c>
      <c r="G3141" s="13" t="s">
        <v>25001</v>
      </c>
      <c r="H3141" t="s">
        <v>25002</v>
      </c>
      <c r="I3141" t="s">
        <v>25003</v>
      </c>
      <c r="K3141" t="s">
        <v>25004</v>
      </c>
      <c r="L3141" t="s">
        <v>25005</v>
      </c>
      <c r="M3141" t="s">
        <v>7415</v>
      </c>
      <c r="N3141">
        <v>2023</v>
      </c>
      <c r="R3141">
        <v>2</v>
      </c>
      <c r="S3141" t="s">
        <v>8257</v>
      </c>
      <c r="T3141">
        <v>2</v>
      </c>
      <c r="U3141">
        <v>930.77</v>
      </c>
      <c r="V3141">
        <v>74.099999999999994</v>
      </c>
      <c r="W3141">
        <v>60.34</v>
      </c>
      <c r="X3141">
        <v>74.099999999999994</v>
      </c>
      <c r="AA3141" t="s">
        <v>25006</v>
      </c>
      <c r="AB3141" t="s">
        <v>25007</v>
      </c>
      <c r="AC3141" t="s">
        <v>9852</v>
      </c>
      <c r="AD3141" t="s">
        <v>25008</v>
      </c>
      <c r="AE3141" t="s">
        <v>4675</v>
      </c>
      <c r="AH3141" t="s">
        <v>4731</v>
      </c>
      <c r="AI3141" t="s">
        <v>9852</v>
      </c>
      <c r="AL3141" t="s">
        <v>25009</v>
      </c>
      <c r="AO3141" t="s">
        <v>25010</v>
      </c>
    </row>
    <row r="3142" spans="1:41" hidden="1" x14ac:dyDescent="0.35">
      <c r="A3142" t="s">
        <v>25011</v>
      </c>
      <c r="B3142" t="s">
        <v>7246</v>
      </c>
      <c r="C3142" t="s">
        <v>84</v>
      </c>
      <c r="D3142" t="s">
        <v>84</v>
      </c>
      <c r="E3142" t="s">
        <v>84</v>
      </c>
      <c r="G3142" s="13" t="s">
        <v>25001</v>
      </c>
      <c r="H3142" t="s">
        <v>25002</v>
      </c>
      <c r="I3142" t="s">
        <v>25012</v>
      </c>
      <c r="K3142" t="s">
        <v>25004</v>
      </c>
      <c r="L3142" t="s">
        <v>25005</v>
      </c>
      <c r="M3142" t="s">
        <v>7250</v>
      </c>
      <c r="N3142">
        <v>2022</v>
      </c>
      <c r="R3142">
        <v>5</v>
      </c>
      <c r="S3142" t="s">
        <v>8257</v>
      </c>
      <c r="T3142">
        <v>5</v>
      </c>
      <c r="U3142">
        <v>2326.92</v>
      </c>
      <c r="V3142">
        <v>543.87</v>
      </c>
      <c r="W3142">
        <v>491.92</v>
      </c>
      <c r="X3142">
        <v>543.87</v>
      </c>
      <c r="AA3142" t="s">
        <v>25006</v>
      </c>
      <c r="AB3142" t="s">
        <v>25007</v>
      </c>
      <c r="AC3142" t="s">
        <v>9852</v>
      </c>
      <c r="AD3142" t="s">
        <v>25008</v>
      </c>
      <c r="AE3142" t="s">
        <v>4675</v>
      </c>
      <c r="AF3142" t="s">
        <v>22421</v>
      </c>
      <c r="AG3142" t="s">
        <v>22422</v>
      </c>
      <c r="AH3142" t="s">
        <v>3024</v>
      </c>
      <c r="AI3142" t="s">
        <v>9852</v>
      </c>
      <c r="AL3142" t="s">
        <v>25009</v>
      </c>
      <c r="AO3142" t="s">
        <v>25013</v>
      </c>
    </row>
    <row r="3143" spans="1:41" hidden="1" x14ac:dyDescent="0.35">
      <c r="A3143" t="s">
        <v>25014</v>
      </c>
      <c r="B3143" t="s">
        <v>7246</v>
      </c>
      <c r="C3143" t="s">
        <v>84</v>
      </c>
      <c r="D3143" t="s">
        <v>84</v>
      </c>
      <c r="E3143" t="s">
        <v>84</v>
      </c>
      <c r="G3143" s="13" t="s">
        <v>25015</v>
      </c>
      <c r="H3143" t="s">
        <v>25016</v>
      </c>
      <c r="K3143" t="s">
        <v>6543</v>
      </c>
      <c r="L3143" t="s">
        <v>6543</v>
      </c>
      <c r="M3143" t="s">
        <v>7292</v>
      </c>
      <c r="N3143">
        <v>2022</v>
      </c>
      <c r="R3143">
        <v>15</v>
      </c>
      <c r="S3143" t="s">
        <v>8257</v>
      </c>
      <c r="T3143">
        <v>15</v>
      </c>
      <c r="U3143">
        <v>6980.75</v>
      </c>
      <c r="V3143" t="s">
        <v>6546</v>
      </c>
      <c r="W3143">
        <v>432.72</v>
      </c>
      <c r="X3143">
        <v>432.72</v>
      </c>
      <c r="AB3143" t="s">
        <v>6701</v>
      </c>
      <c r="AC3143" t="s">
        <v>9852</v>
      </c>
      <c r="AD3143" t="s">
        <v>4592</v>
      </c>
      <c r="AE3143" t="s">
        <v>3041</v>
      </c>
      <c r="AG3143" t="s">
        <v>23818</v>
      </c>
      <c r="AH3143" t="s">
        <v>3030</v>
      </c>
      <c r="AI3143" t="s">
        <v>9852</v>
      </c>
      <c r="AL3143" t="s">
        <v>25017</v>
      </c>
      <c r="AO3143" t="s">
        <v>25018</v>
      </c>
    </row>
    <row r="3144" spans="1:41" hidden="1" x14ac:dyDescent="0.35">
      <c r="A3144" t="s">
        <v>25019</v>
      </c>
      <c r="B3144" t="s">
        <v>7246</v>
      </c>
      <c r="C3144" t="s">
        <v>84</v>
      </c>
      <c r="D3144" t="s">
        <v>84</v>
      </c>
      <c r="E3144" t="s">
        <v>84</v>
      </c>
      <c r="G3144" s="13" t="s">
        <v>25020</v>
      </c>
      <c r="H3144" t="s">
        <v>25021</v>
      </c>
      <c r="K3144" t="s">
        <v>25022</v>
      </c>
      <c r="L3144" t="s">
        <v>25023</v>
      </c>
      <c r="M3144" t="s">
        <v>7415</v>
      </c>
      <c r="R3144">
        <v>1.2</v>
      </c>
      <c r="S3144" t="s">
        <v>8257</v>
      </c>
      <c r="T3144">
        <v>1.2</v>
      </c>
      <c r="U3144">
        <v>558.46</v>
      </c>
      <c r="V3144">
        <v>1153</v>
      </c>
      <c r="W3144">
        <v>964.51</v>
      </c>
      <c r="X3144">
        <v>1153</v>
      </c>
      <c r="AA3144" t="s">
        <v>25024</v>
      </c>
      <c r="AC3144" t="s">
        <v>9852</v>
      </c>
      <c r="AD3144" t="s">
        <v>25025</v>
      </c>
      <c r="AE3144" t="s">
        <v>4672</v>
      </c>
      <c r="AG3144" t="s">
        <v>25026</v>
      </c>
      <c r="AH3144" t="s">
        <v>25027</v>
      </c>
      <c r="AI3144" t="s">
        <v>9852</v>
      </c>
      <c r="AL3144" t="s">
        <v>25028</v>
      </c>
      <c r="AO3144" t="s">
        <v>25029</v>
      </c>
    </row>
    <row r="3145" spans="1:41" hidden="1" x14ac:dyDescent="0.35">
      <c r="A3145" t="s">
        <v>25030</v>
      </c>
      <c r="B3145" t="s">
        <v>7246</v>
      </c>
      <c r="C3145" t="s">
        <v>451</v>
      </c>
      <c r="D3145" t="s">
        <v>451</v>
      </c>
      <c r="E3145" t="s">
        <v>451</v>
      </c>
      <c r="G3145" s="13" t="s">
        <v>7777</v>
      </c>
      <c r="H3145" t="s">
        <v>7778</v>
      </c>
      <c r="I3145" t="s">
        <v>25031</v>
      </c>
      <c r="K3145" t="s">
        <v>7346</v>
      </c>
      <c r="L3145" t="s">
        <v>7346</v>
      </c>
      <c r="M3145" t="s">
        <v>7269</v>
      </c>
      <c r="N3145">
        <v>2022</v>
      </c>
      <c r="R3145">
        <v>320000</v>
      </c>
      <c r="S3145" t="s">
        <v>19658</v>
      </c>
      <c r="T3145" t="s">
        <v>6546</v>
      </c>
      <c r="U3145" t="s">
        <v>6546</v>
      </c>
      <c r="V3145">
        <v>4.83</v>
      </c>
      <c r="W3145" t="s">
        <v>6546</v>
      </c>
      <c r="X3145">
        <v>4.83</v>
      </c>
      <c r="Y3145">
        <v>24</v>
      </c>
      <c r="Z3145" t="s">
        <v>7253</v>
      </c>
      <c r="AC3145" t="s">
        <v>7255</v>
      </c>
      <c r="AE3145" t="s">
        <v>482</v>
      </c>
      <c r="AH3145" t="s">
        <v>482</v>
      </c>
      <c r="AI3145" t="s">
        <v>7255</v>
      </c>
      <c r="AO3145" t="s">
        <v>6546</v>
      </c>
    </row>
  </sheetData>
  <hyperlinks>
    <hyperlink ref="G2" r:id="rId1" xr:uid="{0128CF17-AD16-4FB5-ACE6-F8AF64F54F2B}"/>
    <hyperlink ref="G3" r:id="rId2" xr:uid="{A076C18C-8670-4B41-ACCC-0359DB4C49F7}"/>
    <hyperlink ref="G4" r:id="rId3" xr:uid="{C6D7D910-DE17-44CB-BBA9-81C6317326CF}"/>
    <hyperlink ref="G5" r:id="rId4" xr:uid="{E60792E9-5A00-49E3-97C4-F8C2FBA7C70C}"/>
    <hyperlink ref="G6" r:id="rId5" xr:uid="{6DD523B0-DC06-44C2-AE8C-F40A1A323C95}"/>
    <hyperlink ref="G7" r:id="rId6" xr:uid="{D85EC1A1-2647-4810-8866-CCF3A3EC17BA}"/>
    <hyperlink ref="G8" r:id="rId7" xr:uid="{14B3691C-0A9E-4E3F-96A9-3EA1EFD6E46E}"/>
    <hyperlink ref="G9" r:id="rId8" xr:uid="{05EC97E1-78B6-4CA6-8E50-E78ADBFCD06A}"/>
    <hyperlink ref="G10" r:id="rId9" xr:uid="{B9621932-EC7F-49CF-9440-FA1A0E051025}"/>
    <hyperlink ref="G11" r:id="rId10" xr:uid="{763E48FB-DE38-492B-B255-A6D87C2A7109}"/>
    <hyperlink ref="G12" r:id="rId11" xr:uid="{50D1E708-1D3F-4503-8E04-D68BFE309AFD}"/>
    <hyperlink ref="G13" r:id="rId12" xr:uid="{AA57EC8D-BDDF-434A-8F31-D2934B6332F3}"/>
    <hyperlink ref="G14" r:id="rId13" xr:uid="{94AEA59C-FDE0-493E-8755-798B6E82289E}"/>
    <hyperlink ref="G15" r:id="rId14" xr:uid="{B996D310-2C97-49BB-846F-2A4ED3CE10C9}"/>
    <hyperlink ref="G16" r:id="rId15" xr:uid="{DDF3167A-393C-45D5-BECB-55028BE6933E}"/>
    <hyperlink ref="G17" r:id="rId16" xr:uid="{85A4C360-2E11-48AB-A920-AFAC55DFC49C}"/>
    <hyperlink ref="G18" r:id="rId17" xr:uid="{DC4FBD43-4D61-4861-8993-EE016C1A2D83}"/>
    <hyperlink ref="G19" r:id="rId18" xr:uid="{22A0EDE8-7065-46A6-B15E-D6374773D02D}"/>
    <hyperlink ref="G20" r:id="rId19" xr:uid="{7C871CE0-3DAE-495C-AD1A-1E805B8876C0}"/>
    <hyperlink ref="G21" r:id="rId20" xr:uid="{3B355E32-8809-4A70-BF0E-81064FF42B8D}"/>
    <hyperlink ref="G22" r:id="rId21" xr:uid="{9E9DCD75-BB30-4E0F-B229-3F5EB585E4BE}"/>
    <hyperlink ref="G23" r:id="rId22" xr:uid="{CDAA79D7-D2FD-4503-93B5-6622FDDA7940}"/>
    <hyperlink ref="G24" r:id="rId23" xr:uid="{DD1D3826-DA9A-4D22-830F-C46CE681180A}"/>
    <hyperlink ref="G25" r:id="rId24" xr:uid="{6F73A0A2-4DE7-4C27-A149-A8E2918B2F2F}"/>
    <hyperlink ref="G26" r:id="rId25" xr:uid="{7BB49A64-F3FF-49A1-BCA4-44CD13A7B3C9}"/>
    <hyperlink ref="G27" r:id="rId26" xr:uid="{85120EF9-CC2D-4915-85A9-98213D09B7C2}"/>
    <hyperlink ref="G28" r:id="rId27" xr:uid="{D9F1224A-DB8A-4981-B731-E05ED5541761}"/>
    <hyperlink ref="G29" r:id="rId28" xr:uid="{BB3550EE-AA27-45AB-86FA-23CCAA75FA6A}"/>
    <hyperlink ref="G30" r:id="rId29" xr:uid="{652896AC-0D68-4D5C-8909-D37A05E88793}"/>
    <hyperlink ref="G31" r:id="rId30" xr:uid="{70F23791-993A-4E63-A454-0CB5BD00932E}"/>
    <hyperlink ref="G32" r:id="rId31" xr:uid="{62786616-8194-4141-8917-DA7074A6D447}"/>
    <hyperlink ref="G33" r:id="rId32" xr:uid="{29E2D085-885D-45F9-B608-0DB59CE97D69}"/>
    <hyperlink ref="G34" r:id="rId33" xr:uid="{B2AE0663-538D-4C24-AA8E-B50CDAB5C56D}"/>
    <hyperlink ref="G35" r:id="rId34" xr:uid="{2C760121-638D-4A3D-89EA-8BC2F361A2DA}"/>
    <hyperlink ref="G36" r:id="rId35" xr:uid="{0A4BDB1B-9995-4614-8ABE-4012C31308CA}"/>
    <hyperlink ref="G37" r:id="rId36" xr:uid="{1D3178FA-4C36-4AF0-A179-0E319DDF8D0C}"/>
    <hyperlink ref="G38" r:id="rId37" xr:uid="{5892BFB6-1612-412E-8EEE-02A96598596C}"/>
    <hyperlink ref="G39" r:id="rId38" xr:uid="{04D47831-4EA8-4E23-A5B1-7537BA668AD7}"/>
    <hyperlink ref="G40" r:id="rId39" xr:uid="{82F080E0-0A39-4624-B858-BAA7231799DF}"/>
    <hyperlink ref="G41" r:id="rId40" xr:uid="{A950BF7A-68A8-4748-8431-6FA1369CF61E}"/>
    <hyperlink ref="G42" r:id="rId41" xr:uid="{FCA258B3-A226-462D-BEF3-42E8631BC050}"/>
    <hyperlink ref="G43" r:id="rId42" xr:uid="{41008C11-D7D4-4EF2-880B-7B60047D9399}"/>
    <hyperlink ref="G44" r:id="rId43" xr:uid="{EFDF0B6D-82E1-44DB-984D-1A62B6CA1A65}"/>
    <hyperlink ref="G45" r:id="rId44" xr:uid="{1D63370B-0761-436A-8788-2136231B6824}"/>
    <hyperlink ref="G46" r:id="rId45" xr:uid="{FDB7C4C1-D018-402D-B88C-FDD99B67ACBE}"/>
    <hyperlink ref="G47" r:id="rId46" xr:uid="{0BADCD88-2823-40F3-B8B6-CCE89B3105E4}"/>
    <hyperlink ref="G48" r:id="rId47" xr:uid="{3EB2335C-AE4F-4525-984C-E7D80F2FD93E}"/>
    <hyperlink ref="G49" r:id="rId48" xr:uid="{730EDE1B-DA0F-4D70-8860-FDB68587B279}"/>
    <hyperlink ref="G50" r:id="rId49" xr:uid="{31B3FA7B-84F4-4816-A083-3C9BAAD2A8A1}"/>
    <hyperlink ref="G51" r:id="rId50" xr:uid="{604F0A67-3B48-492C-B7D0-8BB0C4BC2F0B}"/>
    <hyperlink ref="G52" r:id="rId51" xr:uid="{F9493E90-1EA2-4362-AB74-D7AA9A8BF11B}"/>
    <hyperlink ref="G53" r:id="rId52" xr:uid="{16CFDA9F-FAA5-4ADE-BEDE-A9B54A71FEB5}"/>
    <hyperlink ref="G54" r:id="rId53" xr:uid="{D1DBBBF2-290B-4A2F-8F81-5C588EE8C67B}"/>
    <hyperlink ref="G55" r:id="rId54" xr:uid="{80BA449C-B15A-4F8F-912F-CD49D110775C}"/>
    <hyperlink ref="G56" r:id="rId55" xr:uid="{8B76903F-950B-4EFE-B563-185315E072FE}"/>
    <hyperlink ref="G57" r:id="rId56" xr:uid="{D42E6A44-2944-43BE-987C-D5A83C417FE9}"/>
    <hyperlink ref="G58" r:id="rId57" xr:uid="{89D8CA96-8057-4B72-9F04-BB0D98071410}"/>
    <hyperlink ref="G59" r:id="rId58" xr:uid="{E0AE750C-C736-4B2A-9DDB-95DA6E094A43}"/>
    <hyperlink ref="G60" r:id="rId59" xr:uid="{EE1E6FB2-CA4E-48FC-8AA3-2A04C4087362}"/>
    <hyperlink ref="G61" r:id="rId60" xr:uid="{263A7CDE-0EE2-4AE4-BF0B-3A1EDD6CAFBA}"/>
    <hyperlink ref="G62" r:id="rId61" xr:uid="{FBDC965A-EE2E-43F4-9CFE-A3240979E0C3}"/>
    <hyperlink ref="G63" r:id="rId62" xr:uid="{C1BE96EC-B326-4CD5-9DCC-ADE7305FECD0}"/>
    <hyperlink ref="G64" r:id="rId63" xr:uid="{B04DF63F-B1DF-4DD4-9A66-17948425F0CE}"/>
    <hyperlink ref="G65" r:id="rId64" xr:uid="{1081AB86-668A-41F7-AAE4-83A1D60A67A2}"/>
    <hyperlink ref="G66" r:id="rId65" xr:uid="{77287B06-7468-4000-B467-3FEB5502DF65}"/>
    <hyperlink ref="G67" r:id="rId66" xr:uid="{AB6E1B6B-609F-497F-9110-3771B5415011}"/>
    <hyperlink ref="G68" r:id="rId67" xr:uid="{D095CE8D-AE9B-48EF-B4EF-7B7B212558C0}"/>
    <hyperlink ref="G69" r:id="rId68" xr:uid="{9AA2D1CA-A39D-4BB1-B788-6A2BA359C228}"/>
    <hyperlink ref="G70" r:id="rId69" xr:uid="{D03BEE27-A791-4C6D-9009-9AFE46F8483B}"/>
    <hyperlink ref="G71" r:id="rId70" xr:uid="{D44301B3-F29C-4C89-88DD-C8672190143C}"/>
    <hyperlink ref="AN71" r:id="rId71" xr:uid="{A87E9BA8-A9C3-45EC-9E12-FD813AE116E1}"/>
    <hyperlink ref="G72" r:id="rId72" xr:uid="{64173269-3A41-4F00-92ED-F47BDE17D47F}"/>
    <hyperlink ref="G73" r:id="rId73" xr:uid="{A4A4837B-218B-429C-B782-CABD704087BA}"/>
    <hyperlink ref="G74" r:id="rId74" xr:uid="{2A9353AF-F12A-49D6-9B25-D4198D67C01F}"/>
    <hyperlink ref="G75" r:id="rId75" xr:uid="{25255FFF-06F2-417E-9169-C6849C74DB37}"/>
    <hyperlink ref="G76" r:id="rId76" xr:uid="{929CE7E8-7D72-420C-9A8C-2D1431760FE0}"/>
    <hyperlink ref="G77" r:id="rId77" xr:uid="{32F26784-AF2A-429B-B16B-2C9DEA6F1450}"/>
    <hyperlink ref="G78" r:id="rId78" xr:uid="{2680572C-340A-4C0B-BF6C-B64846A22311}"/>
    <hyperlink ref="G79" r:id="rId79" xr:uid="{35D3AA99-9F26-4686-BA76-2283A04BBCE1}"/>
    <hyperlink ref="G80" r:id="rId80" xr:uid="{2846203E-E550-443F-BEFF-AAFCE8585CF0}"/>
    <hyperlink ref="G81" r:id="rId81" xr:uid="{549C0CDC-672B-4D20-8AD7-F89087A4FE1C}"/>
    <hyperlink ref="G82" r:id="rId82" xr:uid="{A406B5EB-ACBC-42C3-888A-C582A0EBBDC2}"/>
    <hyperlink ref="G83" r:id="rId83" xr:uid="{5F4547C9-1577-4AF0-8DE4-6B086C85C121}"/>
    <hyperlink ref="G84" r:id="rId84" xr:uid="{45A1E6F8-A979-42A2-9313-2812ECECBECD}"/>
    <hyperlink ref="G85" r:id="rId85" xr:uid="{B7AB85C0-DD13-4F1A-B3AF-B75423B1E154}"/>
    <hyperlink ref="G86" r:id="rId86" xr:uid="{1D187FF5-311E-4F4C-9DF0-52D2E40BB520}"/>
    <hyperlink ref="G87" r:id="rId87" xr:uid="{6E62864E-B37B-49C9-8DC7-7BACE54145E1}"/>
    <hyperlink ref="G88" r:id="rId88" xr:uid="{85A1D04F-4D35-48B8-8758-466477915C58}"/>
    <hyperlink ref="G89" r:id="rId89" xr:uid="{A1419B2D-5C11-419A-8CE8-C9235C3F5B3A}"/>
    <hyperlink ref="G90" r:id="rId90" xr:uid="{BA7A2C28-E335-4B10-9E49-CB4508F8E8AB}"/>
    <hyperlink ref="G91" r:id="rId91" xr:uid="{0D75A40F-425A-4F8E-B51F-81AFE8105BCD}"/>
    <hyperlink ref="G92" r:id="rId92" xr:uid="{AA82BAAE-8EBF-40FC-B0B9-E8A4CE7150B8}"/>
    <hyperlink ref="G93" r:id="rId93" xr:uid="{799A3340-CB2D-4E4C-AE54-190F6F3F6AFF}"/>
    <hyperlink ref="G94" r:id="rId94" xr:uid="{CC335710-5E19-48DE-9EA7-BDFFF7429580}"/>
    <hyperlink ref="G95" r:id="rId95" xr:uid="{CD132AC1-97B4-48D4-AF1E-71D3775F395B}"/>
    <hyperlink ref="G96" r:id="rId96" xr:uid="{06BD4604-878F-4174-8227-D71FB5B12A98}"/>
    <hyperlink ref="G97" r:id="rId97" xr:uid="{01348ED2-BC8A-4000-B5B0-0C380BFE581D}"/>
    <hyperlink ref="G98" r:id="rId98" xr:uid="{5CB42FCD-43C9-4A97-837D-B4BB6F090946}"/>
    <hyperlink ref="G99" r:id="rId99" xr:uid="{AE1E0BCD-777A-45BC-A130-3041A34B9F3E}"/>
    <hyperlink ref="G100" r:id="rId100" xr:uid="{EBA5C9A3-7E35-42F9-A2BF-C270B94959DC}"/>
    <hyperlink ref="G101" r:id="rId101" xr:uid="{2B4DF7AD-A7EE-4553-B512-E54677ED9CE8}"/>
    <hyperlink ref="G102" r:id="rId102" xr:uid="{C4729F52-C29A-44DA-A92E-22444041347D}"/>
    <hyperlink ref="G103" r:id="rId103" xr:uid="{FEB87C7D-18AD-4BA1-92A1-F564E44AED1C}"/>
    <hyperlink ref="G104" r:id="rId104" xr:uid="{4F55E097-C06F-4FC8-A401-8FA0F77D85E9}"/>
    <hyperlink ref="G105" r:id="rId105" xr:uid="{EE68C7DF-BB66-41BD-ACE7-26047714E96C}"/>
    <hyperlink ref="G106" r:id="rId106" xr:uid="{784A0136-0295-4CCF-A27D-7DB3E858B5B5}"/>
    <hyperlink ref="G107" r:id="rId107" xr:uid="{15795A29-B9CC-45B0-AA08-C19D873486C9}"/>
    <hyperlink ref="G108" r:id="rId108" xr:uid="{50D636C2-19D8-40C1-A4A9-46BDC4FE5381}"/>
    <hyperlink ref="AN108" r:id="rId109" xr:uid="{4547685B-AC49-4511-BCC1-AD7754F2D387}"/>
    <hyperlink ref="G109" r:id="rId110" xr:uid="{B3593D6F-8B1E-4D24-95A8-005648958997}"/>
    <hyperlink ref="G110" r:id="rId111" xr:uid="{19765FA8-95C8-46EC-A227-197A819A2473}"/>
    <hyperlink ref="G111" r:id="rId112" xr:uid="{07B5F8A3-89D1-4842-9BF3-C993BDA0EA0B}"/>
    <hyperlink ref="G112" r:id="rId113" xr:uid="{445B6CEC-1A33-4455-ACDD-4DACB6D4F578}"/>
    <hyperlink ref="G113" r:id="rId114" xr:uid="{9189FF9B-2161-4BF2-8606-7CBBE2E64D49}"/>
    <hyperlink ref="G114" r:id="rId115" xr:uid="{BCC1C5E1-E1BF-462A-8A80-DA1B4A20FE0E}"/>
    <hyperlink ref="G115" r:id="rId116" xr:uid="{66BF3453-1617-4171-A54C-4A33034056D5}"/>
    <hyperlink ref="G116" r:id="rId117" xr:uid="{4091E878-6603-44C3-AA7B-C47A2AF8FBC6}"/>
    <hyperlink ref="G117" r:id="rId118" xr:uid="{4B1304C9-08F5-4FF7-9930-59C4AA55D8FD}"/>
    <hyperlink ref="G118" r:id="rId119" xr:uid="{E791C46A-3A1E-41A1-B542-9939AE866C16}"/>
    <hyperlink ref="G119" r:id="rId120" xr:uid="{BE8F7FB2-C1D1-4D8E-ABFF-ACFF77386F87}"/>
    <hyperlink ref="G120" r:id="rId121" xr:uid="{3406B425-77D7-42C9-A4F5-92303A0A176E}"/>
    <hyperlink ref="G121" r:id="rId122" xr:uid="{5057B938-1F67-4B5F-9AF1-A2A50C73891D}"/>
    <hyperlink ref="G122" r:id="rId123" xr:uid="{3D3C680F-E376-4183-995A-74C668A9B73D}"/>
    <hyperlink ref="G123" r:id="rId124" xr:uid="{547F698E-3F05-4745-826E-BB3CEFDBF420}"/>
    <hyperlink ref="G124" r:id="rId125" xr:uid="{A6557406-3B70-4940-8BD2-774CD8A430D4}"/>
    <hyperlink ref="G125" r:id="rId126" xr:uid="{E0A86631-A1D2-4D5E-91DB-7C21EEBCF7D4}"/>
    <hyperlink ref="G126" r:id="rId127" xr:uid="{DA15A14F-1F82-45E0-87D0-5C2A27CF6170}"/>
    <hyperlink ref="G127" r:id="rId128" xr:uid="{FE58E175-D647-430E-9E97-70229191E9AA}"/>
    <hyperlink ref="G128" r:id="rId129" xr:uid="{49592F2D-D8C2-4394-91EF-10527D619F73}"/>
    <hyperlink ref="G129" r:id="rId130" xr:uid="{E3E6F756-AC5C-4B47-9B67-71A47ABF026F}"/>
    <hyperlink ref="G130" r:id="rId131" xr:uid="{D0011510-ECA2-4A5D-92F2-9F2A028C4F90}"/>
    <hyperlink ref="G131" r:id="rId132" xr:uid="{22E7207C-E548-49C6-9FEB-1744957CE566}"/>
    <hyperlink ref="G132" r:id="rId133" xr:uid="{75A36510-62D7-4F27-814C-0321270B5F47}"/>
    <hyperlink ref="G133" r:id="rId134" xr:uid="{77AE59F5-F854-4959-AD58-FA73E008AF7B}"/>
    <hyperlink ref="G134" r:id="rId135" xr:uid="{0D5C33E7-4172-4C9A-AB6E-CADE026A123B}"/>
    <hyperlink ref="G135" r:id="rId136" xr:uid="{C504A9AB-6913-4C5D-A640-858B1C23128D}"/>
    <hyperlink ref="G136" r:id="rId137" xr:uid="{E6F16747-9800-4ACE-8933-149417A44F40}"/>
    <hyperlink ref="G137" r:id="rId138" xr:uid="{49CB2962-3D39-4F0D-9631-E36720E59C2D}"/>
    <hyperlink ref="G138" r:id="rId139" xr:uid="{D8E6B27B-FAD3-4293-A4BA-D7DFEF15396C}"/>
    <hyperlink ref="G139" r:id="rId140" xr:uid="{3AAD1479-E163-4DFB-9E38-FFF8EDA1ACE5}"/>
    <hyperlink ref="G140" r:id="rId141" xr:uid="{96FED244-E1BA-401C-B358-5DF9A98EF6D4}"/>
    <hyperlink ref="G141" r:id="rId142" xr:uid="{B6F84C8F-CA0F-4C24-9A95-C44AE37272C7}"/>
    <hyperlink ref="AN141" r:id="rId143" xr:uid="{58AC25DB-0D94-4372-8BD6-4661AFA73935}"/>
    <hyperlink ref="G142" r:id="rId144" location="Background" xr:uid="{12F6BCFB-A766-4DC5-9BFF-FBE6CCCCA937}"/>
    <hyperlink ref="G143" r:id="rId145" xr:uid="{FDABE117-24FF-4AED-AF99-22460A58F5E4}"/>
    <hyperlink ref="G144" r:id="rId146" xr:uid="{EB73EF6F-2A62-4152-AEB7-A5EE3A1F6AF3}"/>
    <hyperlink ref="G145" r:id="rId147" xr:uid="{114E1C1E-6871-49F2-8776-6096B1AC537C}"/>
    <hyperlink ref="G146" r:id="rId148" xr:uid="{DC83F3F6-BC04-4177-BF19-DA08F50EE1A1}"/>
    <hyperlink ref="G147" r:id="rId149" xr:uid="{021773AD-73DD-4A36-9626-96A82CFF9358}"/>
    <hyperlink ref="G148" r:id="rId150" xr:uid="{0F5B68F8-482D-4840-A7AF-BE85577087B0}"/>
    <hyperlink ref="G149" r:id="rId151" xr:uid="{FEE33CBC-038B-4D40-A811-3BA1DD6AF5F8}"/>
    <hyperlink ref="G150" r:id="rId152" xr:uid="{F882D8CB-7AC5-4E5A-B8EA-B52CE72BBC19}"/>
    <hyperlink ref="G151" r:id="rId153" xr:uid="{6C7EE73B-45FD-4DD4-9174-96EDC0E48312}"/>
    <hyperlink ref="G152" r:id="rId154" xr:uid="{A80D24B4-B5D1-4DB4-8198-D0126C50AFA5}"/>
    <hyperlink ref="G153" r:id="rId155" xr:uid="{DE180E22-9A96-4D45-8AF3-8F9A59010A3C}"/>
    <hyperlink ref="G154" r:id="rId156" xr:uid="{2D4DD75A-6B67-4313-AD87-95E585AD7B69}"/>
    <hyperlink ref="G155" r:id="rId157" xr:uid="{8998E1E0-94AB-4413-ADE4-B89322F6A116}"/>
    <hyperlink ref="G156" r:id="rId158" xr:uid="{A6DF863A-3450-4922-8A64-7B9E45845453}"/>
    <hyperlink ref="G157" r:id="rId159" xr:uid="{D42F66CC-562A-4D95-8BAD-9FB156A9B1D0}"/>
    <hyperlink ref="G158" r:id="rId160" xr:uid="{C056296A-9648-4CFF-8F11-715212A3CF53}"/>
    <hyperlink ref="G159" r:id="rId161" xr:uid="{EC761651-CA08-4E47-A6CC-424CC76B24C0}"/>
    <hyperlink ref="G160" r:id="rId162" xr:uid="{0992FD50-964F-4182-AD48-454DE4668BD5}"/>
    <hyperlink ref="G161" r:id="rId163" xr:uid="{E96C85D8-FDDE-482E-B1F2-9576C45146BB}"/>
    <hyperlink ref="G162" r:id="rId164" xr:uid="{DFF7439E-D6F4-41B1-A027-5A4B88BA1D9E}"/>
    <hyperlink ref="G163" r:id="rId165" xr:uid="{34C78809-45E3-4ED0-B312-61363057C1FD}"/>
    <hyperlink ref="G164" r:id="rId166" xr:uid="{5263256A-4E3D-437C-83A7-84456011612C}"/>
    <hyperlink ref="G165" r:id="rId167" xr:uid="{5DF66135-2F6B-4EC6-81DF-180E606DDF05}"/>
    <hyperlink ref="G166" r:id="rId168" xr:uid="{61984BAE-DEE6-4671-BC6F-38638B732F3A}"/>
    <hyperlink ref="G167" r:id="rId169" xr:uid="{934ED502-055C-44B9-8D38-2459CC77F31D}"/>
    <hyperlink ref="G168" r:id="rId170" xr:uid="{A9EA6840-65A2-40FC-B19E-BDAB8DF706AA}"/>
    <hyperlink ref="G169" r:id="rId171" xr:uid="{402E1AEC-4633-4A8D-954C-67EA94E649F2}"/>
    <hyperlink ref="G170" r:id="rId172" xr:uid="{828F7FB1-6D6E-41AF-A68F-F8F59A26C194}"/>
    <hyperlink ref="G171" r:id="rId173" xr:uid="{F4B233C7-C0C8-4CCD-A959-94A91E2FFEE7}"/>
    <hyperlink ref="G172" r:id="rId174" xr:uid="{4754FF83-9DF2-49D0-97F8-000F43FB32D5}"/>
    <hyperlink ref="G173" r:id="rId175" xr:uid="{B9AE3727-3063-43B8-A6F1-909D48072D3A}"/>
    <hyperlink ref="G174" r:id="rId176" xr:uid="{769761BF-6924-476B-B2B0-767965ABCE6C}"/>
    <hyperlink ref="G175" r:id="rId177" xr:uid="{ADD87C51-AC5B-417F-9C74-BDD851FC366F}"/>
    <hyperlink ref="G176" r:id="rId178" xr:uid="{BCC4CE9B-C08F-48A2-957F-D2385E71A975}"/>
    <hyperlink ref="G177" r:id="rId179" xr:uid="{19243EA9-5E10-4F3D-853E-9C6E2455F9F6}"/>
    <hyperlink ref="G178" r:id="rId180" xr:uid="{C0FC7D26-DACA-44A6-B026-FED083FD9CD1}"/>
    <hyperlink ref="G179" r:id="rId181" xr:uid="{25B81EBB-346F-43E8-A755-8F3E1016EFA9}"/>
    <hyperlink ref="G180" r:id="rId182" xr:uid="{5A38E127-6851-4F8F-874B-F8DA6236773F}"/>
    <hyperlink ref="AN180" r:id="rId183" xr:uid="{6BC5E7BF-631C-4D5A-88D2-5E2B360B094E}"/>
    <hyperlink ref="G181" r:id="rId184" xr:uid="{A3B637F2-BBE0-41D7-A714-9D17F9DE2E0F}"/>
    <hyperlink ref="G182" r:id="rId185" xr:uid="{72B87CC1-BF24-4A08-BE54-110C812F5090}"/>
    <hyperlink ref="G183" r:id="rId186" xr:uid="{278A0F57-2ECB-4D16-83A9-8E2E8EB34832}"/>
    <hyperlink ref="G184" r:id="rId187" xr:uid="{7843C3FC-10C5-4EA1-B358-7D54A50039BC}"/>
    <hyperlink ref="G185" r:id="rId188" xr:uid="{853AD25F-6424-48F8-AED1-EC9ED8B8381F}"/>
    <hyperlink ref="G186" r:id="rId189" xr:uid="{6D952497-BCC8-4AE3-9C43-4937104D575B}"/>
    <hyperlink ref="G187" r:id="rId190" xr:uid="{CA7B653A-83CE-40A5-83BD-D5833C3BCDEB}"/>
    <hyperlink ref="G188" r:id="rId191" xr:uid="{1AB21CFD-50FD-429A-9EA1-26BA371DB388}"/>
    <hyperlink ref="G189" r:id="rId192" xr:uid="{B34D9240-B9A3-495C-AE12-6140B1FF4765}"/>
    <hyperlink ref="G190" r:id="rId193" xr:uid="{A15C8088-E829-459A-A5F1-2D1C73670637}"/>
    <hyperlink ref="G191" r:id="rId194" xr:uid="{EA7D6B40-AA26-4ED0-ABBB-07F2567031EE}"/>
    <hyperlink ref="G192" r:id="rId195" xr:uid="{85106665-5DAB-48F1-B187-6CE150AD815D}"/>
    <hyperlink ref="G193" r:id="rId196" xr:uid="{E9E85641-A758-4077-9B06-DB80A3523A7F}"/>
    <hyperlink ref="G194" r:id="rId197" xr:uid="{B0FB38DE-0689-4A7B-BD2C-8BEFD3E10E8D}"/>
    <hyperlink ref="AN194" r:id="rId198" xr:uid="{7D34D375-524B-4420-82F1-F961BCDAE45A}"/>
    <hyperlink ref="G195" r:id="rId199" xr:uid="{815D021C-6167-49DB-94F4-85F3F31A5C6A}"/>
    <hyperlink ref="G196" r:id="rId200" xr:uid="{AF65C989-D195-441C-ACE5-F0825DA38BCE}"/>
    <hyperlink ref="G197" r:id="rId201" xr:uid="{E288F011-C396-4BF9-BF13-8D667BE55DFF}"/>
    <hyperlink ref="G198" r:id="rId202" xr:uid="{7FA9286E-0C34-489D-BFC9-8765A075D8E1}"/>
    <hyperlink ref="G199" r:id="rId203" xr:uid="{738DA397-3113-4856-B1D6-8E2BAE77C965}"/>
    <hyperlink ref="G200" r:id="rId204" xr:uid="{39D5567B-DE4B-4E0E-9387-AD2E8D665389}"/>
    <hyperlink ref="AN200" r:id="rId205" xr:uid="{87D2EAB8-3736-444F-B085-F8252A298A6D}"/>
    <hyperlink ref="G201" r:id="rId206" xr:uid="{13A123FE-29B4-4AC1-8195-7AF3D837FC52}"/>
    <hyperlink ref="AN201" r:id="rId207" xr:uid="{8C4AB076-1E90-4655-BB5F-A4B240585D4A}"/>
    <hyperlink ref="G202" r:id="rId208" xr:uid="{3C6FEAD4-F6C4-40DF-AF3C-67E10E1E8474}"/>
    <hyperlink ref="AN202" r:id="rId209" xr:uid="{A44E1082-64F7-4BAD-B159-8B528700D5C7}"/>
    <hyperlink ref="G203" r:id="rId210" xr:uid="{12A5AA18-BBD1-4106-8C3D-9A565F18E38C}"/>
    <hyperlink ref="AN203" r:id="rId211" xr:uid="{95B970E1-584B-49B7-A3DF-FA7EC13F485F}"/>
    <hyperlink ref="G204" r:id="rId212" xr:uid="{C23E4F3B-7089-47E4-AA7A-BFAD5572693C}"/>
    <hyperlink ref="AN204" r:id="rId213" xr:uid="{CFE822B0-E395-4ECE-A03B-8E542332E4CC}"/>
    <hyperlink ref="G205" r:id="rId214" xr:uid="{B99C836E-04B3-4A72-A60F-66F230E47034}"/>
    <hyperlink ref="AN205" r:id="rId215" xr:uid="{49F98A3A-2E5D-4C71-99F1-FCA8555AC182}"/>
    <hyperlink ref="G206" r:id="rId216" xr:uid="{2D203DFF-537F-4644-96B4-B611B90F7644}"/>
    <hyperlink ref="AN206" r:id="rId217" xr:uid="{DD151EEC-95BD-4FD7-A1E3-32D3170FDAB3}"/>
    <hyperlink ref="G207" r:id="rId218" xr:uid="{DC75CCA2-B59A-4CF5-8378-1EC6922B8857}"/>
    <hyperlink ref="AN207" r:id="rId219" xr:uid="{DBD4EE6C-F0D9-4015-AF29-F10628ADCA53}"/>
    <hyperlink ref="G208" r:id="rId220" xr:uid="{00A71A66-3330-45EC-9F5F-01D9ECCA59FD}"/>
    <hyperlink ref="AN208" r:id="rId221" xr:uid="{7FA1307E-C2AA-4CF7-A755-3659470D2D58}"/>
    <hyperlink ref="G209" r:id="rId222" xr:uid="{E5CFC0C0-F7A8-4C6E-B936-25C584BEAD79}"/>
    <hyperlink ref="AN209" r:id="rId223" xr:uid="{B54B14F2-4F4B-470E-A207-8D949677FF58}"/>
    <hyperlink ref="G210" r:id="rId224" xr:uid="{4A90682F-8CE5-4D6E-94FE-D03667AC2B92}"/>
    <hyperlink ref="AN210" r:id="rId225" xr:uid="{50C11EE8-C4E3-4B03-83DF-8A9141971DDA}"/>
    <hyperlink ref="G211" r:id="rId226" xr:uid="{613A461C-4763-429B-BFDA-18F2190CF780}"/>
    <hyperlink ref="AN211" r:id="rId227" xr:uid="{CE4150F2-5CC4-4F23-99F7-D09332DBF75F}"/>
    <hyperlink ref="G212" r:id="rId228" xr:uid="{1AF2844E-A390-497E-B26A-9E0552A7A50F}"/>
    <hyperlink ref="AN212" r:id="rId229" xr:uid="{43DA6233-0853-4AF1-ADF0-72552F7A2376}"/>
    <hyperlink ref="G213" r:id="rId230" xr:uid="{C0F940CA-8060-47DD-8021-69B93483614D}"/>
    <hyperlink ref="AN213" r:id="rId231" xr:uid="{2051B27C-5C3C-4EA3-B651-B07EAD4835A5}"/>
    <hyperlink ref="G214" r:id="rId232" xr:uid="{C16E3078-9B46-4135-8B69-ECF3808BB0CC}"/>
    <hyperlink ref="AN214" r:id="rId233" xr:uid="{DEFA3F96-7D86-482B-87E8-6C0325ED59B9}"/>
    <hyperlink ref="G215" r:id="rId234" xr:uid="{E28A22DF-4402-45C9-A8A2-371223208486}"/>
    <hyperlink ref="AN215" r:id="rId235" xr:uid="{9516436E-509F-4D55-B81E-C8932737ACB1}"/>
    <hyperlink ref="G216" r:id="rId236" xr:uid="{8BF7832C-C9BF-448B-AE01-7C278A3734F6}"/>
    <hyperlink ref="AN216" r:id="rId237" xr:uid="{143C849F-9FE6-4596-A72D-64F69AF27A71}"/>
    <hyperlink ref="G217" r:id="rId238" xr:uid="{EA323722-A74B-45AC-9E2E-9E928EEC2554}"/>
    <hyperlink ref="AN217" r:id="rId239" xr:uid="{F9898E8E-F152-4E9A-A233-F79F5F5DD713}"/>
    <hyperlink ref="G218" r:id="rId240" xr:uid="{78983C19-BB70-4139-9F55-AC3256967C46}"/>
    <hyperlink ref="AN218" r:id="rId241" xr:uid="{D0BF6F15-63C0-4A7F-83D6-1071560BE271}"/>
    <hyperlink ref="G219" r:id="rId242" xr:uid="{1981D784-5EB7-4023-B37C-B00BD743D7DA}"/>
    <hyperlink ref="AN219" r:id="rId243" xr:uid="{64345ABE-8D7E-47E6-B381-C9C757EE2840}"/>
    <hyperlink ref="G220" r:id="rId244" xr:uid="{3DA48182-5578-4995-AC88-54D003B56EB4}"/>
    <hyperlink ref="AN220" r:id="rId245" xr:uid="{F0F67D00-19E7-47D5-8C27-A9CF2EB27FED}"/>
    <hyperlink ref="G221" r:id="rId246" xr:uid="{F185527A-48C7-4F67-8A60-08D06DE07D3E}"/>
    <hyperlink ref="AN221" r:id="rId247" xr:uid="{BF0BA594-33E0-4DC0-A828-94BE6838A82F}"/>
    <hyperlink ref="G222" r:id="rId248" xr:uid="{DBC87AB9-EDF1-4D3D-A885-E6F63411B62F}"/>
    <hyperlink ref="AN222" r:id="rId249" xr:uid="{F14ECAD8-D49A-45BD-A875-AC12319E31CF}"/>
    <hyperlink ref="G223" r:id="rId250" xr:uid="{AC1EF499-5468-4546-A644-F68B685AF16E}"/>
    <hyperlink ref="AN223" r:id="rId251" xr:uid="{A76D4F62-971C-431E-AEF7-CE5480D733EE}"/>
    <hyperlink ref="G224" r:id="rId252" xr:uid="{F123BE09-5848-4AE8-8361-873B03CB27ED}"/>
    <hyperlink ref="AN224" r:id="rId253" xr:uid="{256CA2BD-74EC-4AB2-A5B5-B52FBE8D0521}"/>
    <hyperlink ref="G225" r:id="rId254" xr:uid="{C8542DDF-A46D-46F6-9135-08FFCC9D2A37}"/>
    <hyperlink ref="G226" r:id="rId255" xr:uid="{4988BFF3-DB87-46F3-80F9-A707B4FF66C5}"/>
    <hyperlink ref="G227" r:id="rId256" xr:uid="{C94105EB-BEA0-4091-9488-E2BA02E266C1}"/>
    <hyperlink ref="G228" r:id="rId257" xr:uid="{7C96A9FD-FAD9-4D63-979C-BCF49770B5FD}"/>
    <hyperlink ref="AA228" r:id="rId258" xr:uid="{BBF014A2-6CA9-4414-97F5-E28F3826AF60}"/>
    <hyperlink ref="G229" r:id="rId259" xr:uid="{C35B5CFB-9594-49B9-9879-83B9E8206479}"/>
    <hyperlink ref="G230" r:id="rId260" xr:uid="{10C60A85-AE4A-49A9-ABD1-1B3F82EF5820}"/>
    <hyperlink ref="G231" r:id="rId261" xr:uid="{B03BFB78-8342-4695-8632-DF7549A9F423}"/>
    <hyperlink ref="G232" r:id="rId262" xr:uid="{C51BD42E-34F6-4390-A83E-B1864AC51288}"/>
    <hyperlink ref="G233" r:id="rId263" xr:uid="{276EEC45-17BC-43DC-985C-FE89A19AE74B}"/>
    <hyperlink ref="G234" r:id="rId264" xr:uid="{12E35A0E-B542-464E-8650-57A5FB1F71BB}"/>
    <hyperlink ref="G235" r:id="rId265" xr:uid="{7F386B0B-E8F3-4E16-A06F-8D94098158A1}"/>
    <hyperlink ref="G236" r:id="rId266" xr:uid="{7375F027-E1C7-419E-A320-8DDDA8A09CDE}"/>
    <hyperlink ref="G237" r:id="rId267" xr:uid="{E56A877C-5AB4-469D-B5B8-5916E78371B5}"/>
    <hyperlink ref="G238" r:id="rId268" xr:uid="{708913DE-4A2D-47F0-A958-E5B6DCEC277B}"/>
    <hyperlink ref="G239" r:id="rId269" xr:uid="{7DE1CDE7-4C82-41FF-95C7-2014BEA7E486}"/>
    <hyperlink ref="G240" r:id="rId270" xr:uid="{79E396BD-1CD1-43A4-BF78-51FE6888BA9F}"/>
    <hyperlink ref="G241" r:id="rId271" xr:uid="{1A3D539E-C8D4-49B5-AC00-A6B37423A55F}"/>
    <hyperlink ref="G242" r:id="rId272" xr:uid="{A83E578C-512C-46D8-B7FE-FAC4E9D69D02}"/>
    <hyperlink ref="G243" r:id="rId273" xr:uid="{19D268B1-7C8F-4DA0-8D02-70303E1C7653}"/>
    <hyperlink ref="G244" r:id="rId274" xr:uid="{0059191D-D0D2-4D92-A968-DD56D6474F58}"/>
    <hyperlink ref="G245" r:id="rId275" xr:uid="{C85D2977-39D0-4F72-BF14-267C02EC81BB}"/>
    <hyperlink ref="G246" r:id="rId276" xr:uid="{D2C16E37-4036-4699-BE4E-B555DFB833F0}"/>
    <hyperlink ref="G247" r:id="rId277" xr:uid="{A78E2EE7-F1C6-4192-86F2-9C2AA0EBE986}"/>
    <hyperlink ref="G248" r:id="rId278" xr:uid="{985F2E3A-B328-4411-924E-F0BAE784B631}"/>
    <hyperlink ref="AA248" r:id="rId279" xr:uid="{FC895CDC-64D6-4279-9215-EC7DBC17A22E}"/>
    <hyperlink ref="G249" r:id="rId280" xr:uid="{8001FE05-383A-43E2-815A-0FB0D25DBD94}"/>
    <hyperlink ref="G250" r:id="rId281" xr:uid="{90D24B6B-ED4E-437D-99B2-4ACA8895EF80}"/>
    <hyperlink ref="G251" r:id="rId282" xr:uid="{8E94BAB2-B3E1-4FD4-AB90-63B20561AEEA}"/>
    <hyperlink ref="G252" r:id="rId283" xr:uid="{FFF1BFB7-F2CA-431C-839B-B63451245614}"/>
    <hyperlink ref="G253" r:id="rId284" xr:uid="{AC9ACCFC-B994-4845-A040-03CD11B160BF}"/>
    <hyperlink ref="G254" r:id="rId285" xr:uid="{6B4AC95C-01DA-45EF-AC9D-378EEA722966}"/>
    <hyperlink ref="G255" r:id="rId286" xr:uid="{4619138A-4FBA-4A0D-8EFA-1036703E9F31}"/>
    <hyperlink ref="AA255" r:id="rId287" xr:uid="{F19CDA98-D793-4F2C-9097-F5D3C9899EE4}"/>
    <hyperlink ref="G256" r:id="rId288" xr:uid="{940B1B78-8274-45F5-9903-8C01D729DAA1}"/>
    <hyperlink ref="AA256" r:id="rId289" xr:uid="{D7DA85DC-0B38-411D-BA45-30C4CE0E7372}"/>
    <hyperlink ref="G257" r:id="rId290" xr:uid="{C902B5B6-454A-4960-B930-7D798092579D}"/>
    <hyperlink ref="G258" r:id="rId291" xr:uid="{72C0FE98-C732-4EF2-9828-FBDD334B8225}"/>
    <hyperlink ref="AA258" r:id="rId292" xr:uid="{1343BFE7-8F19-45C7-BA38-74BC46134963}"/>
    <hyperlink ref="G259" r:id="rId293" xr:uid="{44F2E6B0-C6A0-405F-A43E-1DAFB74D6164}"/>
    <hyperlink ref="G260" r:id="rId294" xr:uid="{FDE14076-D21B-408D-8991-88843D459DFB}"/>
    <hyperlink ref="G261" r:id="rId295" xr:uid="{3BB053C9-15DB-440D-ACBA-68BCA9902AF7}"/>
    <hyperlink ref="G262" r:id="rId296" xr:uid="{E8BEB95A-E824-4390-B0AA-895E7DCA885F}"/>
    <hyperlink ref="G263" r:id="rId297" xr:uid="{F556FFAF-CF2B-49D2-AAAC-F1254B029698}"/>
    <hyperlink ref="G264" r:id="rId298" xr:uid="{0E39D22C-8AF2-49D8-8D65-8686BA1E75FF}"/>
    <hyperlink ref="G265" r:id="rId299" xr:uid="{89887BD4-3E54-4D1B-82E2-CC64A4DE70C4}"/>
    <hyperlink ref="G266" r:id="rId300" xr:uid="{28B668A9-F396-4E2C-9DC9-C55AF757BE86}"/>
    <hyperlink ref="G267" r:id="rId301" xr:uid="{245F3B29-5695-4FA2-A08D-61B0F84490EA}"/>
    <hyperlink ref="G268" r:id="rId302" xr:uid="{4571777E-3C57-4B10-9F26-3816F302448D}"/>
    <hyperlink ref="G269" r:id="rId303" xr:uid="{3418CB1D-FFA9-4EB6-B712-64E2B80E34DC}"/>
    <hyperlink ref="G270" r:id="rId304" xr:uid="{1A4F3456-3C7A-4617-98A1-66D30AC082CB}"/>
    <hyperlink ref="G271" r:id="rId305" xr:uid="{4D03AEA6-8F48-4D97-8ECF-55941693BAAA}"/>
    <hyperlink ref="G272" r:id="rId306" xr:uid="{62168C76-007B-4BE9-8D67-F0CCF5E84779}"/>
    <hyperlink ref="G273" r:id="rId307" xr:uid="{A7F52729-D78A-4661-AE86-F276DC52D571}"/>
    <hyperlink ref="G274" r:id="rId308" xr:uid="{49A87409-5C67-44A7-B8EE-F186570A55CE}"/>
    <hyperlink ref="G275" r:id="rId309" xr:uid="{0FA5F48C-550D-41FC-91E0-14D92A8806EE}"/>
    <hyperlink ref="G276" r:id="rId310" xr:uid="{1E8541DE-D091-4B90-AF41-CC19D0962114}"/>
    <hyperlink ref="G277" r:id="rId311" xr:uid="{282AD6E8-B77C-4166-8BCB-1ABBDBEDBF77}"/>
    <hyperlink ref="G278" r:id="rId312" xr:uid="{46CAC743-C186-4E35-9F30-D7C1279BFFE0}"/>
    <hyperlink ref="G279" r:id="rId313" xr:uid="{2F62B474-2ED6-4AED-9A76-07795CA33B43}"/>
    <hyperlink ref="G280" r:id="rId314" xr:uid="{3D95A656-970D-4C7E-AAE0-161C9013A11C}"/>
    <hyperlink ref="G281" r:id="rId315" xr:uid="{1B46E7F8-9D34-4A87-8944-93733237840A}"/>
    <hyperlink ref="G282" r:id="rId316" xr:uid="{86F3E387-98AA-4701-860C-C493D8758D4E}"/>
    <hyperlink ref="G283" r:id="rId317" xr:uid="{15C8453C-260B-4318-8A33-9821865CE505}"/>
    <hyperlink ref="G284" r:id="rId318" xr:uid="{E384053B-9ED7-4C58-A00E-445F0524BC9A}"/>
    <hyperlink ref="G285" r:id="rId319" xr:uid="{E3A0199A-8C41-46EC-8985-90AC5856BEC5}"/>
    <hyperlink ref="G286" r:id="rId320" xr:uid="{B439B8D2-E646-452F-81B6-C6494B15F722}"/>
    <hyperlink ref="G287" r:id="rId321" xr:uid="{84417290-A85A-4C98-B6E5-5BBE9B9451F1}"/>
    <hyperlink ref="G288" r:id="rId322" xr:uid="{148C9EF9-19F6-47D6-8AE7-D5E649C8AEBD}"/>
    <hyperlink ref="G289" r:id="rId323" xr:uid="{FF4E9F6B-CE89-4070-9E45-B0C66EFE8C7E}"/>
    <hyperlink ref="G290" r:id="rId324" xr:uid="{FA83C71D-F7FA-42E8-9C1B-237BCC6012EE}"/>
    <hyperlink ref="G291" r:id="rId325" xr:uid="{EE5E4100-CC6D-444B-A8C7-096FD3EA854D}"/>
    <hyperlink ref="G292" r:id="rId326" xr:uid="{40F02882-D005-40EA-8CD8-62C704B32307}"/>
    <hyperlink ref="G293" r:id="rId327" xr:uid="{EF049F8E-FD2F-496A-9C32-F013052BCDAF}"/>
    <hyperlink ref="G294" r:id="rId328" xr:uid="{5C319929-B8BC-44A3-8EDB-80F5C9386480}"/>
    <hyperlink ref="G295" r:id="rId329" xr:uid="{F048906C-E3B6-40EE-A5D9-827CE0ED5E32}"/>
    <hyperlink ref="G296" r:id="rId330" xr:uid="{7113C15C-F2C8-41B7-A2FF-68EE1956E4CB}"/>
    <hyperlink ref="G297" r:id="rId331" xr:uid="{CC8F7114-39BA-4A1D-8179-21179A4D99AF}"/>
    <hyperlink ref="G298" r:id="rId332" xr:uid="{E354202D-E1E8-4F80-A618-F9A6DFA0FD76}"/>
    <hyperlink ref="G299" r:id="rId333" xr:uid="{A7CF9FCB-DA01-485E-948B-8FEE7F58BD17}"/>
    <hyperlink ref="G300" r:id="rId334" xr:uid="{12D9C9B8-54F2-42E9-BDE8-9686EC0D5E93}"/>
    <hyperlink ref="G301" r:id="rId335" xr:uid="{0C958E6E-BB3D-4886-B4F8-774B451D8828}"/>
    <hyperlink ref="G302" r:id="rId336" xr:uid="{0ABFA042-26DD-434D-B722-BE7B67F6A7C7}"/>
    <hyperlink ref="G303" r:id="rId337" xr:uid="{40A7F25E-8F55-4A4F-A329-916EE4620F36}"/>
    <hyperlink ref="G304" r:id="rId338" xr:uid="{F17B76D7-646C-4E10-893E-F2B8BAFEAE75}"/>
    <hyperlink ref="G305" r:id="rId339" xr:uid="{C93B8440-E2AE-48A5-A550-80A9E5CEACBF}"/>
    <hyperlink ref="G306" r:id="rId340" xr:uid="{09D0820D-DEEF-473E-BA93-205B5CE98484}"/>
    <hyperlink ref="G307" r:id="rId341" xr:uid="{ECBCA0C0-38F2-491B-88F6-3A04C38D2E33}"/>
    <hyperlink ref="G308" r:id="rId342" xr:uid="{05DA350E-F913-49C9-ADCD-D2A0B95503B6}"/>
    <hyperlink ref="G309" r:id="rId343" xr:uid="{0ADD5E48-93DE-436D-8EF3-89FE03DF8997}"/>
    <hyperlink ref="G310" r:id="rId344" xr:uid="{6C6EA521-6291-474C-A6D2-C96F3BF26C31}"/>
    <hyperlink ref="G311" r:id="rId345" xr:uid="{E1735DF6-0C6D-4A18-ACEB-C1A85D8899E9}"/>
    <hyperlink ref="G312" r:id="rId346" xr:uid="{2ED23EC9-A323-438A-9129-ED7E02C34F94}"/>
    <hyperlink ref="G313" r:id="rId347" xr:uid="{0E4575BF-ED42-4292-8A50-8212053176DC}"/>
    <hyperlink ref="G314" r:id="rId348" xr:uid="{6B5184ED-00DB-4C99-8EB6-EA63ACDEE257}"/>
    <hyperlink ref="G315" r:id="rId349" xr:uid="{68AAAD41-4764-4697-9D52-2C1C265C1E65}"/>
    <hyperlink ref="G316" r:id="rId350" xr:uid="{B149BA33-F951-450A-9552-6FF7D1B0936F}"/>
    <hyperlink ref="G317" r:id="rId351" xr:uid="{CD904160-918D-46E4-B8BC-DFA7A91B892D}"/>
    <hyperlink ref="G318" r:id="rId352" xr:uid="{8A3E60E9-F760-4F54-88D1-4CB39FCCC353}"/>
    <hyperlink ref="G319" r:id="rId353" xr:uid="{38FFEC32-3E28-4215-960C-07EEA35D5B0A}"/>
    <hyperlink ref="G320" r:id="rId354" xr:uid="{50BDB391-128D-4C48-97AD-EA36E9FF8E62}"/>
    <hyperlink ref="G321" r:id="rId355" xr:uid="{0C9AAAD3-19AA-45F4-98F4-F4467FD34A4B}"/>
    <hyperlink ref="G322" r:id="rId356" xr:uid="{1BAB12A8-3C53-46AD-A3EF-F69370F2D9D0}"/>
    <hyperlink ref="G323" r:id="rId357" xr:uid="{4CB1D561-4B04-480B-BB30-71F4F8031410}"/>
    <hyperlink ref="G324" r:id="rId358" xr:uid="{F3100DFA-A9F0-4587-92D4-5D1E817A6E26}"/>
    <hyperlink ref="G325" r:id="rId359" xr:uid="{4EE43C0F-0EC2-4143-86CD-8D48AC102D45}"/>
    <hyperlink ref="G326" r:id="rId360" xr:uid="{10873798-D581-4288-B5DA-7387349CDB96}"/>
    <hyperlink ref="G327" r:id="rId361" xr:uid="{DBA879D2-3BCE-46F0-84FD-9BB46A92233C}"/>
    <hyperlink ref="G328" r:id="rId362" xr:uid="{B7D3E691-BEA3-4899-BC8A-D01E0FA9514D}"/>
    <hyperlink ref="G329" r:id="rId363" xr:uid="{8FDE6BA4-1A12-420B-9055-E90DEC04A8CB}"/>
    <hyperlink ref="G330" r:id="rId364" xr:uid="{1CF0F25A-5C15-40AA-8FCE-CE60236B991D}"/>
    <hyperlink ref="G331" r:id="rId365" xr:uid="{0A96F3F7-4B9A-4315-8BE3-9EA9C9DF41D3}"/>
    <hyperlink ref="G332" r:id="rId366" xr:uid="{787F60D9-F196-4CB5-B667-96E4734FBAB7}"/>
    <hyperlink ref="G333" r:id="rId367" xr:uid="{0D3B835E-CD71-4EF8-BB20-516B3375F547}"/>
    <hyperlink ref="G334" r:id="rId368" xr:uid="{CDD55754-4AD3-4AD3-A999-0576F31DE81A}"/>
    <hyperlink ref="G335" r:id="rId369" xr:uid="{01FE8200-A61C-4866-A78D-E5E4EB581596}"/>
    <hyperlink ref="G336" r:id="rId370" xr:uid="{4FB76D24-F63D-42A8-B597-35E83CD0E3E9}"/>
    <hyperlink ref="G337" r:id="rId371" xr:uid="{D6E0DCC2-3D74-4FC0-AF2C-564C6214E0E9}"/>
    <hyperlink ref="G338" r:id="rId372" xr:uid="{0DDAFC3F-8229-4A3B-9D7C-7C2641660867}"/>
    <hyperlink ref="G339" r:id="rId373" xr:uid="{34F1FECA-F3C0-4AE1-9EF1-6E5908AF9E17}"/>
    <hyperlink ref="G340" r:id="rId374" xr:uid="{8FFDA9B5-64B3-4058-8105-280EFFACB170}"/>
    <hyperlink ref="G341" r:id="rId375" xr:uid="{73B55AF1-1CFD-4766-8A04-49D3AD09A159}"/>
    <hyperlink ref="G342" r:id="rId376" xr:uid="{99034641-7EC7-4469-BE8F-551C2A371CD9}"/>
    <hyperlink ref="G343" r:id="rId377" xr:uid="{05D7E6AC-8236-4190-AA3C-0F3395E2AF9D}"/>
    <hyperlink ref="G344" r:id="rId378" xr:uid="{A2BE3D5A-346E-4027-8F72-EAE9AA3D9440}"/>
    <hyperlink ref="G345" r:id="rId379" xr:uid="{3A02DB24-ECDE-4750-ACBC-964E0F666296}"/>
    <hyperlink ref="G346" r:id="rId380" xr:uid="{E6CE6BE2-B3AA-4B56-B4D5-873F09A64B12}"/>
    <hyperlink ref="G347" r:id="rId381" xr:uid="{58941CE0-861E-429A-A35F-42A14E59C824}"/>
    <hyperlink ref="G348" r:id="rId382" xr:uid="{CB352195-C6E4-4939-BA04-74CB1E0E4967}"/>
    <hyperlink ref="G349" r:id="rId383" xr:uid="{4F30AD06-1297-4E45-A333-3F46783FE439}"/>
    <hyperlink ref="G350" r:id="rId384" xr:uid="{3B371E40-5FC5-416F-A511-E694FD5AEA36}"/>
    <hyperlink ref="G351" r:id="rId385" xr:uid="{1B26F762-8A71-4D89-81F1-C665BFAE68E6}"/>
    <hyperlink ref="G352" r:id="rId386" xr:uid="{31C30D14-F3B6-445E-8A0C-DB24CD780F43}"/>
    <hyperlink ref="G353" r:id="rId387" xr:uid="{01EBE971-8B24-4890-9AF8-B5FBBC54260B}"/>
    <hyperlink ref="G354" r:id="rId388" xr:uid="{6AF54FFC-A243-47CE-A611-98D2483952CD}"/>
    <hyperlink ref="G355" r:id="rId389" xr:uid="{04C2636F-47B0-4E06-BB14-E79EFD608175}"/>
    <hyperlink ref="G356" r:id="rId390" xr:uid="{C98D75E1-B297-4943-AF9D-069FF86F7397}"/>
    <hyperlink ref="G357" r:id="rId391" xr:uid="{1B170CFF-FE8C-495F-A98A-8582025A1A43}"/>
    <hyperlink ref="G358" r:id="rId392" xr:uid="{024C6B86-BBB2-4D9F-9996-C0B91257076C}"/>
    <hyperlink ref="G359" r:id="rId393" xr:uid="{B484F327-B5EE-41C8-A490-AC082A7D58CF}"/>
    <hyperlink ref="G360" r:id="rId394" xr:uid="{E64796B3-CDE6-4E34-9224-8745A9CC47C9}"/>
    <hyperlink ref="G361" r:id="rId395" xr:uid="{C1AB5849-C970-4791-87E7-02DBEB66470C}"/>
    <hyperlink ref="G362" r:id="rId396" xr:uid="{3B2E15DC-D9D4-4317-9631-E219FCC6E3C8}"/>
    <hyperlink ref="G363" r:id="rId397" xr:uid="{A8CCA39C-B437-404B-B9BF-D46E4D94DA9F}"/>
    <hyperlink ref="G364" r:id="rId398" xr:uid="{C44B908A-673F-4D3D-B771-01AC2B23A36B}"/>
    <hyperlink ref="G365" r:id="rId399" xr:uid="{8413D74A-CE69-4F96-8C0A-E9D3FD08A51B}"/>
    <hyperlink ref="G366" r:id="rId400" xr:uid="{388D318C-B1CE-4C37-93B7-37B240DDFBF9}"/>
    <hyperlink ref="G367" r:id="rId401" xr:uid="{B672B214-551F-4067-8349-001EF7C658D6}"/>
    <hyperlink ref="G368" r:id="rId402" xr:uid="{9F63FD52-7B52-4961-A781-581AE10A1DF0}"/>
    <hyperlink ref="G369" r:id="rId403" xr:uid="{F25E4DFD-32A6-416A-A8D4-A2DC19032AD8}"/>
    <hyperlink ref="G370" r:id="rId404" xr:uid="{AEC0FD9A-E810-4035-8F96-7A2BF69733B9}"/>
    <hyperlink ref="G371" r:id="rId405" xr:uid="{8100C0D3-7321-43AF-9277-34EE1E48593A}"/>
    <hyperlink ref="G372" r:id="rId406" xr:uid="{1619641E-FBC3-48B2-90A7-CEF31017013A}"/>
    <hyperlink ref="G373" r:id="rId407" xr:uid="{53AAAF3D-6693-40C2-88CD-C0B1418576F2}"/>
    <hyperlink ref="G374" r:id="rId408" xr:uid="{874BD5D5-AE13-4045-BFB8-F422DB774FEF}"/>
    <hyperlink ref="G375" r:id="rId409" xr:uid="{6E76D8A8-8431-4188-81C9-A184C9A2D4E6}"/>
    <hyperlink ref="G376" r:id="rId410" xr:uid="{56D39D78-6FA3-4F02-B4AE-FB593989E40D}"/>
    <hyperlink ref="G377" r:id="rId411" xr:uid="{2349B9A5-9382-4409-98CA-429584A87E53}"/>
    <hyperlink ref="G378" r:id="rId412" xr:uid="{308E1A76-26B0-41AE-BF8A-EB47A0F77293}"/>
    <hyperlink ref="G379" r:id="rId413" xr:uid="{6F21F5BB-0B60-4DF9-80CC-C93073CE23B6}"/>
    <hyperlink ref="G380" r:id="rId414" xr:uid="{CF1BBD42-58B4-41FA-A653-B1A341399E70}"/>
    <hyperlink ref="G381" r:id="rId415" xr:uid="{FE6900D5-91B7-4F08-BDFD-CC011C1B83D5}"/>
    <hyperlink ref="G382" r:id="rId416" xr:uid="{F10C8E29-ED0D-4BB8-BF7A-FC4B67D1FBA3}"/>
    <hyperlink ref="G383" r:id="rId417" xr:uid="{34374B4F-31CE-47BC-B947-36174AFF68E9}"/>
    <hyperlink ref="G384" r:id="rId418" xr:uid="{B51BEDB6-573F-4F9F-A485-7A656D419551}"/>
    <hyperlink ref="G385" r:id="rId419" xr:uid="{F8793726-692B-4778-ACAE-88B59B9F2C14}"/>
    <hyperlink ref="G386" r:id="rId420" xr:uid="{496E843E-FF8D-4999-BABA-255F0B5E2166}"/>
    <hyperlink ref="G387" r:id="rId421" xr:uid="{1004EE8A-FE15-4AD6-9732-0240EC7D3430}"/>
    <hyperlink ref="G388" r:id="rId422" xr:uid="{F6E7FCA5-9DD5-4DA3-94AF-E7722A2BE8DF}"/>
    <hyperlink ref="G389" r:id="rId423" xr:uid="{5AD1045B-B180-4CFC-86B3-D3F35B8AEC9A}"/>
    <hyperlink ref="G390" r:id="rId424" xr:uid="{E68F5D8E-2004-4998-92F8-2E14758DFB8C}"/>
    <hyperlink ref="G391" r:id="rId425" xr:uid="{F4A03880-3581-49F0-A657-5CD71AA318D1}"/>
    <hyperlink ref="G392" r:id="rId426" xr:uid="{CF492431-4788-4ED6-B142-8FEB2048B7C1}"/>
    <hyperlink ref="G393" r:id="rId427" xr:uid="{CF362E88-C427-4154-8544-1D42C6C10E35}"/>
    <hyperlink ref="G394" r:id="rId428" xr:uid="{E221A8E1-0A93-4D4E-BDE0-7A0B37C40093}"/>
    <hyperlink ref="G395" r:id="rId429" xr:uid="{2EDAEA80-09F1-4179-9CD8-6A32154D6E55}"/>
    <hyperlink ref="G396" r:id="rId430" xr:uid="{FC7ACDA8-7BCA-4FF7-8B6B-DC257A5E135B}"/>
    <hyperlink ref="G397" r:id="rId431" xr:uid="{CF77B0C1-5CC0-48D4-8D9E-7FB98A98E68A}"/>
    <hyperlink ref="G398" r:id="rId432" xr:uid="{F24BAF73-9C26-450C-AF4A-B7EE821CAB46}"/>
    <hyperlink ref="G399" r:id="rId433" xr:uid="{8771816D-032D-456F-91BB-5F06C1E79E03}"/>
    <hyperlink ref="G400" r:id="rId434" xr:uid="{796DC5E2-613E-4D47-BA7C-7071EC827212}"/>
    <hyperlink ref="G401" r:id="rId435" xr:uid="{B1BFFF08-1E17-42FF-8B03-44F401CA3D89}"/>
    <hyperlink ref="G402" r:id="rId436" xr:uid="{AE0AF0E3-0BA4-4B88-AF50-644C366EDC37}"/>
    <hyperlink ref="G403" r:id="rId437" xr:uid="{56169C45-89D6-4507-8F17-FFB4958C1431}"/>
    <hyperlink ref="G404" r:id="rId438" xr:uid="{A4824B11-CB1F-4D8A-8FBA-EF3D2BF615B5}"/>
    <hyperlink ref="G405" r:id="rId439" xr:uid="{03AEBCD1-CBC2-45A9-8AB5-FAB92B7DE65F}"/>
    <hyperlink ref="G406" r:id="rId440" xr:uid="{D5D6FDCB-CB5E-4A7C-8F60-B70436E5FB0D}"/>
    <hyperlink ref="G407" r:id="rId441" xr:uid="{D0D87510-28F0-495D-A4FC-2F8A185A7139}"/>
    <hyperlink ref="G408" r:id="rId442" xr:uid="{B3EF88D1-CC50-4841-A5D5-00466CDC720D}"/>
    <hyperlink ref="G409" r:id="rId443" xr:uid="{8D9EB426-8514-41D4-88A6-1EC590F6AFC7}"/>
    <hyperlink ref="G410" r:id="rId444" xr:uid="{6D6B8565-4EFD-4F9C-A117-2CD77F5B9157}"/>
    <hyperlink ref="G411" r:id="rId445" xr:uid="{BE88E6F7-990B-434F-A24C-5F6D74BF8BCF}"/>
    <hyperlink ref="G412" r:id="rId446" xr:uid="{400EB2B4-8C57-437C-A6FD-3C07E0ED1739}"/>
    <hyperlink ref="G413" r:id="rId447" xr:uid="{9EF0EA4F-0CDC-4251-8C55-C2CEBD282D62}"/>
    <hyperlink ref="G414" r:id="rId448" xr:uid="{BE7FFF53-486C-446A-B3F4-F2E91BF49483}"/>
    <hyperlink ref="G415" r:id="rId449" xr:uid="{3134177A-DDEF-4BC0-8B5A-12C0C21106E8}"/>
    <hyperlink ref="G416" r:id="rId450" xr:uid="{77AD80C2-968D-45E2-A150-DF1755048F4D}"/>
    <hyperlink ref="G417" r:id="rId451" xr:uid="{676AACE6-965A-408D-BA35-87A6379D81E9}"/>
    <hyperlink ref="G418" r:id="rId452" xr:uid="{091BBC3E-CAE4-4928-8B43-3FF5F20C7E17}"/>
    <hyperlink ref="G419" r:id="rId453" xr:uid="{EE389BB0-6A9E-48F8-8B04-CFFA4AED8CC1}"/>
    <hyperlink ref="G420" r:id="rId454" xr:uid="{B38B6FA5-F0AC-4896-8E9D-2ED8D2C728C3}"/>
    <hyperlink ref="G421" r:id="rId455" xr:uid="{611DE0E8-25F7-4191-B032-B2291E17BFFF}"/>
    <hyperlink ref="G422" r:id="rId456" xr:uid="{FDD6F4C7-5CB5-49CC-94C9-D55C53ED7E0C}"/>
    <hyperlink ref="G423" r:id="rId457" xr:uid="{510BB5DE-D280-4F56-BCC3-084B74DA65F1}"/>
    <hyperlink ref="G424" r:id="rId458" xr:uid="{06288084-79FF-4A11-8EC1-98A088287B0F}"/>
    <hyperlink ref="G425" r:id="rId459" xr:uid="{FC6EF349-503F-47CD-AA8D-04052BF68DD9}"/>
    <hyperlink ref="G426" r:id="rId460" xr:uid="{885CCD2F-B77D-4CD8-9195-805887AA3E4F}"/>
    <hyperlink ref="G427" r:id="rId461" xr:uid="{1AEEFA37-7D65-4ECB-9861-30D49C810AB8}"/>
    <hyperlink ref="G428" r:id="rId462" xr:uid="{AE9F003B-6DA9-4B5D-9293-0738E5A20E69}"/>
    <hyperlink ref="G429" r:id="rId463" xr:uid="{D2B7B4D7-12DF-42B3-B7C7-02021C84BE4E}"/>
    <hyperlink ref="G430" r:id="rId464" xr:uid="{234011D4-73FE-47D6-BE50-7A1CCDB3F693}"/>
    <hyperlink ref="G431" r:id="rId465" xr:uid="{EA1127C6-30AE-4763-9E0D-ABF78AEE69F9}"/>
    <hyperlink ref="G432" r:id="rId466" xr:uid="{C06E2BEF-D55C-48CD-B5B2-CF438F102CB9}"/>
    <hyperlink ref="G433" r:id="rId467" xr:uid="{17D0E98E-DB09-49C8-B9B1-7E7BF7943024}"/>
    <hyperlink ref="G434" r:id="rId468" xr:uid="{2201254E-DA18-4EA9-8280-BFB08C4B887A}"/>
    <hyperlink ref="G435" r:id="rId469" xr:uid="{19879CCB-7E75-4155-84F9-EEB4E33FCE5E}"/>
    <hyperlink ref="G436" r:id="rId470" xr:uid="{5F5B6248-2F64-4E0E-8296-16A70E1C66B0}"/>
    <hyperlink ref="G437" r:id="rId471" xr:uid="{1DAA8D04-C707-4624-827A-1CB291CDBD24}"/>
    <hyperlink ref="G438" r:id="rId472" xr:uid="{7607C7D2-9590-453C-A773-1902CB6B3447}"/>
    <hyperlink ref="G439" r:id="rId473" xr:uid="{E360557E-C2A9-448B-82FD-E0C095D12CEB}"/>
    <hyperlink ref="G440" r:id="rId474" xr:uid="{04DB1671-7022-4444-BCC8-B49DFCBBA0F9}"/>
    <hyperlink ref="G441" r:id="rId475" xr:uid="{EDBBC7BE-5D52-49D9-ACCA-8975BE2BD0D8}"/>
    <hyperlink ref="G442" r:id="rId476" xr:uid="{AEF8FB56-8D44-441C-B008-51C9340EECF4}"/>
    <hyperlink ref="G443" r:id="rId477" xr:uid="{2B1B0BE4-FB5A-4AC0-90F2-11D1CF4D22FE}"/>
    <hyperlink ref="G444" r:id="rId478" xr:uid="{3C3E52FE-1FA3-483F-8676-DEC2FB70B42A}"/>
    <hyperlink ref="G445" r:id="rId479" xr:uid="{6B6E9003-502E-45B0-A4D5-166AB0640E6F}"/>
    <hyperlink ref="G446" r:id="rId480" xr:uid="{F54BFFDD-D073-44A4-ACCB-DAA47CB79789}"/>
    <hyperlink ref="G447" r:id="rId481" xr:uid="{AB1E171D-8921-46C6-990D-3DEC50B2174F}"/>
    <hyperlink ref="G448" r:id="rId482" xr:uid="{DA046078-F49C-4C94-B2E8-45EE13E73D2A}"/>
    <hyperlink ref="G449" r:id="rId483" xr:uid="{B5D97FA1-B0B8-4D89-A884-387DF4BE4D14}"/>
    <hyperlink ref="G450" r:id="rId484" xr:uid="{1B1D64BC-12D1-439B-91D3-2617CD5892B5}"/>
    <hyperlink ref="G451" r:id="rId485" xr:uid="{EAC9B362-F663-41F8-AA13-A9A348A92547}"/>
    <hyperlink ref="G452" r:id="rId486" xr:uid="{F6EA62F9-5BE0-4DC4-BD3A-FAF2E0F6D729}"/>
    <hyperlink ref="G453" r:id="rId487" xr:uid="{49B8C4AF-B98C-40C3-AF38-A44887E85471}"/>
    <hyperlink ref="G454" r:id="rId488" xr:uid="{CDB8D630-56F9-4088-955C-B60C27315C16}"/>
    <hyperlink ref="G455" r:id="rId489" xr:uid="{53C8993E-C2BF-411E-9F27-54F1B9C1842B}"/>
    <hyperlink ref="G456" r:id="rId490" xr:uid="{6CB2C070-7C56-49CC-AEA4-F8993B2E4EDE}"/>
    <hyperlink ref="G457" r:id="rId491" xr:uid="{AC6FF079-3DC2-4901-8526-23A5561EE095}"/>
    <hyperlink ref="G458" r:id="rId492" xr:uid="{589DF9EC-3BB2-43AC-8A1C-42CB4542F9F0}"/>
    <hyperlink ref="G459" r:id="rId493" xr:uid="{71E99CF7-3155-4AA4-A727-E42F4FE30730}"/>
    <hyperlink ref="G460" r:id="rId494" xr:uid="{947B9E28-D2DA-46A1-A977-29665A0BB433}"/>
    <hyperlink ref="G461" r:id="rId495" xr:uid="{729F966B-4263-4C5C-8F02-6A39017DB844}"/>
    <hyperlink ref="G462" r:id="rId496" xr:uid="{E9D79C22-02AA-481C-8343-2792877D47FE}"/>
    <hyperlink ref="G463" r:id="rId497" xr:uid="{ED0CA074-446B-4A6E-BD30-B1889046D8EF}"/>
    <hyperlink ref="G464" r:id="rId498" xr:uid="{D1366A76-F4FE-471E-A93C-B2F074201122}"/>
    <hyperlink ref="G465" r:id="rId499" xr:uid="{931BF74C-0181-4513-B097-E978A07F5ABC}"/>
    <hyperlink ref="G466" r:id="rId500" xr:uid="{0573914A-4CFB-4EFA-9AFF-DD7392A7200A}"/>
    <hyperlink ref="AN466" r:id="rId501" xr:uid="{3C3944D0-C4A6-4B12-8B88-8C09B57E022D}"/>
    <hyperlink ref="G467" r:id="rId502" xr:uid="{29394F0B-B39A-4EEF-936C-F786D09743F9}"/>
    <hyperlink ref="AN467" r:id="rId503" xr:uid="{523F34DE-C088-47F5-AACE-DB5CBFDFBB03}"/>
    <hyperlink ref="G468" r:id="rId504" xr:uid="{C4E3CF7E-4129-4557-840C-815903D0AC50}"/>
    <hyperlink ref="AN468" r:id="rId505" xr:uid="{53A2088E-6A65-4B37-AD8A-4E0FBFFEDEDC}"/>
    <hyperlink ref="G469" r:id="rId506" xr:uid="{0A03BBAE-F28E-4CD0-A1D8-21B514E41889}"/>
    <hyperlink ref="AN469" r:id="rId507" xr:uid="{BC18B966-0FF9-42D7-BAC3-50D767685216}"/>
    <hyperlink ref="G470" r:id="rId508" xr:uid="{036F6088-DB15-40EF-934D-8254050A6D5D}"/>
    <hyperlink ref="AN470" r:id="rId509" xr:uid="{5CEADC7A-BA32-4258-A487-A0DBAD971C2E}"/>
    <hyperlink ref="G471" r:id="rId510" xr:uid="{2F71559D-8306-4C75-A729-F3E21FB4B390}"/>
    <hyperlink ref="AN471" r:id="rId511" xr:uid="{20414C2E-CDEC-48B9-A0A5-294B24F3DD7D}"/>
    <hyperlink ref="G472" r:id="rId512" xr:uid="{3FE25C71-D7C6-4116-96B9-807F54C82B2E}"/>
    <hyperlink ref="AN472" r:id="rId513" xr:uid="{025023EE-780E-48E0-A10F-736DB69D5E05}"/>
    <hyperlink ref="G473" r:id="rId514" xr:uid="{592E2360-916C-45F1-8F45-79E45627801C}"/>
    <hyperlink ref="AN473" r:id="rId515" xr:uid="{34B33F7A-DED4-4D65-A134-B5DEA1A12ED8}"/>
    <hyperlink ref="G474" r:id="rId516" xr:uid="{AF4AF012-D349-4BCE-9568-B954CDC89FB0}"/>
    <hyperlink ref="AN474" r:id="rId517" xr:uid="{C020851A-C17E-40EF-8D34-0D52620A96DD}"/>
    <hyperlink ref="G475" r:id="rId518" xr:uid="{B531DE63-E4FB-4AC7-9F87-F1621C25F4CB}"/>
    <hyperlink ref="AN475" r:id="rId519" xr:uid="{451B6163-E53D-44FB-8D3B-77117C106380}"/>
    <hyperlink ref="G476" r:id="rId520" xr:uid="{FB032589-375B-4711-B374-9F071CB42A02}"/>
    <hyperlink ref="AN476" r:id="rId521" xr:uid="{B88C6546-37C9-499F-8C11-E953862CBA43}"/>
    <hyperlink ref="G477" r:id="rId522" xr:uid="{AE9A6E34-21DE-499B-A394-CA41AFE78FE7}"/>
    <hyperlink ref="G478" r:id="rId523" xr:uid="{484EEDC9-12D2-41A8-B427-D4614605CEC8}"/>
    <hyperlink ref="G479" r:id="rId524" xr:uid="{CEE9B6DB-6DBF-4019-8EC1-4F5AF7DBF9ED}"/>
    <hyperlink ref="G480" r:id="rId525" xr:uid="{5CE2E417-3F16-457C-BA97-B8CDE0D3620D}"/>
    <hyperlink ref="G481" r:id="rId526" xr:uid="{54D35A24-9ACC-4D47-A3BE-0E4EDB00F6E2}"/>
    <hyperlink ref="G482" r:id="rId527" xr:uid="{A18B0713-34D0-4229-A539-84AD2B1004CA}"/>
    <hyperlink ref="G483" r:id="rId528" xr:uid="{5801F9DE-5970-4E53-BB50-9C84BC943EA9}"/>
    <hyperlink ref="G484" r:id="rId529" xr:uid="{D878420A-4168-44FA-8BCC-F9038035F978}"/>
    <hyperlink ref="G485" r:id="rId530" xr:uid="{21656B54-29D4-47D4-BA71-7FBE02C40A18}"/>
    <hyperlink ref="G486" r:id="rId531" xr:uid="{02CB8133-6A65-4641-A7DC-36552A7B7B4B}"/>
    <hyperlink ref="G487" r:id="rId532" xr:uid="{2101B9F7-4BDB-438D-BBBE-93F76B24E902}"/>
    <hyperlink ref="G488" r:id="rId533" xr:uid="{1C233CEB-3AE9-4ECD-AC24-25A1CA9679DD}"/>
    <hyperlink ref="G489" r:id="rId534" xr:uid="{A39855FB-2542-4F66-BFFC-2764657E38CA}"/>
    <hyperlink ref="G490" r:id="rId535" xr:uid="{8C144AC9-CF38-4FE7-8081-AAC0CB580CD0}"/>
    <hyperlink ref="G491" r:id="rId536" xr:uid="{A36062EE-9EE7-435B-9151-6F8C7B9AD59A}"/>
    <hyperlink ref="G492" r:id="rId537" xr:uid="{B9B8036D-F5BD-458D-ACE8-B92AC4272AFD}"/>
    <hyperlink ref="G493" r:id="rId538" xr:uid="{FC69D1EA-FC34-4E65-B312-FB2AD94CA1E5}"/>
    <hyperlink ref="G494" r:id="rId539" xr:uid="{1BA32777-F686-4858-81B7-9C08C065E945}"/>
    <hyperlink ref="G495" r:id="rId540" xr:uid="{C3D1DFA6-2424-4610-AFC4-B676C041BDB6}"/>
    <hyperlink ref="G496" r:id="rId541" xr:uid="{092163C8-01A0-445A-8EEC-37E8D6223DCE}"/>
    <hyperlink ref="G497" r:id="rId542" xr:uid="{2B1D060A-9DC8-4E80-9031-88148429F417}"/>
    <hyperlink ref="G498" r:id="rId543" xr:uid="{82067C62-D42C-4067-AFAC-E22BBA48972C}"/>
    <hyperlink ref="G499" r:id="rId544" xr:uid="{47DDCE1A-7912-490B-9545-49A95B42D95B}"/>
    <hyperlink ref="G500" r:id="rId545" xr:uid="{23054CAB-BB88-4A8F-AF4E-EDF37FD5FB27}"/>
    <hyperlink ref="G501" r:id="rId546" xr:uid="{8F8786D9-E271-4083-A6FC-4113CEE1ACDD}"/>
    <hyperlink ref="G502" r:id="rId547" xr:uid="{081B28BF-31A5-45A8-9605-BCBD543E34AB}"/>
    <hyperlink ref="G503" r:id="rId548" xr:uid="{210332F8-6F5D-45A3-83CD-F30948ECE3A2}"/>
    <hyperlink ref="G504" r:id="rId549" xr:uid="{FBB000D3-6DC1-4C16-80C8-75B607F85886}"/>
    <hyperlink ref="G505" r:id="rId550" xr:uid="{25E0538E-2AF7-4865-94DA-E8091F93767B}"/>
    <hyperlink ref="G506" r:id="rId551" xr:uid="{E672C124-15CA-4AFE-83A4-B8E48241C607}"/>
    <hyperlink ref="G507" r:id="rId552" xr:uid="{BF7D65C2-EA18-4961-BFAD-9AB6103A40A9}"/>
    <hyperlink ref="G508" r:id="rId553" xr:uid="{2CFB3A41-5F98-4443-9F16-2EECF50881C1}"/>
    <hyperlink ref="G509" r:id="rId554" xr:uid="{E296E2AF-7CBA-4198-B889-112D348C6CA2}"/>
    <hyperlink ref="G510" r:id="rId555" xr:uid="{B5A29920-C47E-4E47-86CB-481D036F0AD5}"/>
    <hyperlink ref="G511" r:id="rId556" xr:uid="{6386619A-858F-426C-B7ED-C02ADEE59963}"/>
    <hyperlink ref="G512" r:id="rId557" xr:uid="{6A78216F-47EF-4546-9166-AF6C4619F0B4}"/>
    <hyperlink ref="G513" r:id="rId558" xr:uid="{05DFAFEF-BCF3-4D78-95E0-EDAAB6B70A39}"/>
    <hyperlink ref="G514" r:id="rId559" xr:uid="{52DBD94C-4E44-48A6-9BD6-0041C4095F1D}"/>
    <hyperlink ref="G515" r:id="rId560" xr:uid="{A49CAB0B-A8DD-4198-99F7-BEC01649F5D7}"/>
    <hyperlink ref="G516" r:id="rId561" xr:uid="{DCF67802-B249-4C22-A767-E092C6E91567}"/>
    <hyperlink ref="G517" r:id="rId562" xr:uid="{28ECC13C-C018-4AC3-AF82-EB6F917AC373}"/>
    <hyperlink ref="G518" r:id="rId563" xr:uid="{FDD837A6-2A18-4738-B4C8-73417DA68CE5}"/>
    <hyperlink ref="G519" r:id="rId564" xr:uid="{3D08B69B-93CC-48E8-9EB0-33BC99F2CD5C}"/>
    <hyperlink ref="G520" r:id="rId565" xr:uid="{58220B69-8F2F-41CF-9934-9A7C67F52B4D}"/>
    <hyperlink ref="G521" r:id="rId566" xr:uid="{67DA7736-5D20-4220-A3BB-BAB3734104CA}"/>
    <hyperlink ref="G522" r:id="rId567" xr:uid="{2767CE60-AC84-493A-B716-99885B7492B5}"/>
    <hyperlink ref="G523" r:id="rId568" xr:uid="{2E3ECF69-C2C7-467D-9B58-9B331DC2A583}"/>
    <hyperlink ref="G524" r:id="rId569" xr:uid="{FFB0DE0E-4AB6-4777-A59E-18B4216F04C0}"/>
    <hyperlink ref="G525" r:id="rId570" xr:uid="{A1E20096-E240-4193-BFE3-F409202621EA}"/>
    <hyperlink ref="G526" r:id="rId571" xr:uid="{0C6DCCBA-543C-4971-9A31-28F299352774}"/>
    <hyperlink ref="G527" r:id="rId572" xr:uid="{10547C34-7C85-420C-AAFE-CE55BA7CAAA4}"/>
    <hyperlink ref="G528" r:id="rId573" xr:uid="{842D618B-A4A5-44E0-86AC-0EEDB3EC109C}"/>
    <hyperlink ref="G529" r:id="rId574" xr:uid="{C7C17592-1604-4F81-8A9E-A11DA3A1318F}"/>
    <hyperlink ref="G530" r:id="rId575" xr:uid="{41FD52DB-02F1-45F4-8BBA-AF4D8172BDDC}"/>
    <hyperlink ref="G531" r:id="rId576" xr:uid="{EA5B8559-B64B-47D0-A69C-F86D69D51CAD}"/>
    <hyperlink ref="G532" r:id="rId577" xr:uid="{A07E7232-6ACD-47F4-8896-E103558C30F2}"/>
    <hyperlink ref="G533" r:id="rId578" xr:uid="{13D516E6-9809-43E0-93BA-2AAE3BE00442}"/>
    <hyperlink ref="G534" r:id="rId579" xr:uid="{7A37454A-AD83-4561-B043-3C18FE84EFF3}"/>
    <hyperlink ref="G535" r:id="rId580" xr:uid="{ED3B09A7-C045-42D0-9BC0-1DB34B954CBC}"/>
    <hyperlink ref="G536" r:id="rId581" xr:uid="{BEC3AF21-A80C-4EB7-A2D4-E80E5FD82315}"/>
    <hyperlink ref="G537" r:id="rId582" xr:uid="{B7B77ECD-AB40-4FDC-B353-B43D8C881916}"/>
    <hyperlink ref="G538" r:id="rId583" xr:uid="{9D681C34-BBE7-44B3-A677-E6E452844125}"/>
    <hyperlink ref="G539" r:id="rId584" xr:uid="{10A90D5E-E897-4609-A2BD-811DFE93E4E2}"/>
    <hyperlink ref="G540" r:id="rId585" xr:uid="{45D7EFDF-2CBE-47CE-9A02-F169D1EDD61B}"/>
    <hyperlink ref="G541" r:id="rId586" xr:uid="{BFC39822-4E9A-4904-853C-B91D94148D78}"/>
    <hyperlink ref="G542" r:id="rId587" xr:uid="{45507B0C-4C5D-4622-8139-FBD825A78915}"/>
    <hyperlink ref="G543" r:id="rId588" xr:uid="{795705A1-D4C3-42ED-BADE-77A371B1E577}"/>
    <hyperlink ref="G544" r:id="rId589" xr:uid="{411005E2-3592-444D-AEA2-98296152FB76}"/>
    <hyperlink ref="G545" r:id="rId590" xr:uid="{0262B2EA-DD0D-4FB5-B5CD-D9C100F10F96}"/>
    <hyperlink ref="G546" r:id="rId591" xr:uid="{9BFD3D09-FD92-4A73-950C-175FC30C49D7}"/>
    <hyperlink ref="G547" r:id="rId592" xr:uid="{F4300404-FA81-44A0-9459-EDF898638FC0}"/>
    <hyperlink ref="G548" r:id="rId593" xr:uid="{8DB735FB-4BE5-433E-822A-1DE8D0AC897C}"/>
    <hyperlink ref="G549" r:id="rId594" xr:uid="{8973A50C-F030-4253-95FA-61A2AD2FB953}"/>
    <hyperlink ref="G550" r:id="rId595" xr:uid="{74040E9E-5030-4B98-8228-1CBB46E114C7}"/>
    <hyperlink ref="G551" r:id="rId596" xr:uid="{A418A02C-E11B-4DD2-8375-82E92CF620B8}"/>
    <hyperlink ref="G552" r:id="rId597" xr:uid="{633EEC56-A3F8-484D-B8BD-6A2E15BB403D}"/>
    <hyperlink ref="G553" r:id="rId598" xr:uid="{FB53DD60-D5BD-4968-A056-2EA0288E3895}"/>
    <hyperlink ref="G554" r:id="rId599" xr:uid="{7FDC1C15-1838-4A3F-8498-A9EAE8C647E0}"/>
    <hyperlink ref="G555" r:id="rId600" xr:uid="{5CCC696A-4364-4787-8F6F-CF54F995CFC1}"/>
    <hyperlink ref="G556" r:id="rId601" xr:uid="{6205E908-876A-46CC-8EA5-907ECEA3CDEF}"/>
    <hyperlink ref="G557" r:id="rId602" xr:uid="{06E181D9-E5D1-4C2D-8395-E8B89B84C6F6}"/>
    <hyperlink ref="G558" r:id="rId603" xr:uid="{9E69F3B9-0C0B-4979-B2C1-6E7F1D96097F}"/>
    <hyperlink ref="G559" r:id="rId604" xr:uid="{72D56356-B40D-4E51-A075-832C34C812B4}"/>
    <hyperlink ref="G560" r:id="rId605" xr:uid="{2AE57F3B-05DD-4DF2-B037-41BCB94D34D2}"/>
    <hyperlink ref="G561" r:id="rId606" xr:uid="{1B3AD097-629A-4B08-8C49-670AA4241B72}"/>
    <hyperlink ref="G562" r:id="rId607" xr:uid="{5D033F16-81E9-44EC-8EFF-C94D271AA146}"/>
    <hyperlink ref="G563" r:id="rId608" xr:uid="{E985632F-6378-43D7-865E-C424DAB0E13A}"/>
    <hyperlink ref="G564" r:id="rId609" xr:uid="{BA09AD9A-5C10-47AE-81DD-34B9C1B68920}"/>
    <hyperlink ref="G565" r:id="rId610" xr:uid="{6EEA4480-F111-4339-9C83-914B5548E499}"/>
    <hyperlink ref="G566" r:id="rId611" xr:uid="{BA193FC3-E1A3-4248-8EA9-AE6A3A15A52E}"/>
    <hyperlink ref="G567" r:id="rId612" xr:uid="{D8EDE7D1-5C2C-4B92-B885-E6D3EA891A91}"/>
    <hyperlink ref="G568" r:id="rId613" xr:uid="{31528779-5CC9-4219-996A-D9880598D3A3}"/>
    <hyperlink ref="G569" r:id="rId614" xr:uid="{79F8F16E-097B-40A7-9C2E-318108CA04EA}"/>
    <hyperlink ref="G570" r:id="rId615" xr:uid="{3626BACB-DB4E-4021-A5C3-5195447D2073}"/>
    <hyperlink ref="G571" r:id="rId616" xr:uid="{60A6F6C9-D161-46C0-9C56-AE32B11BDAB9}"/>
    <hyperlink ref="G572" r:id="rId617" xr:uid="{130CFC1A-9EE9-44B8-9C52-0B887F17CBA7}"/>
    <hyperlink ref="G573" r:id="rId618" xr:uid="{612F3B3F-E85E-4E5A-B667-BF78C593B90E}"/>
    <hyperlink ref="G574" r:id="rId619" xr:uid="{B0ACE274-3E86-446B-A41C-CDCAF468C4B6}"/>
    <hyperlink ref="G575" r:id="rId620" xr:uid="{BB0FEA1B-99FC-4AB5-B281-00AAA57E3819}"/>
    <hyperlink ref="G576" r:id="rId621" xr:uid="{4C21FF50-3E38-489A-B5D8-6C97B3D91281}"/>
    <hyperlink ref="G577" r:id="rId622" xr:uid="{E7826B7F-80CB-4E9A-84DD-D5FCE179BF67}"/>
    <hyperlink ref="G578" r:id="rId623" xr:uid="{3D42E0AD-2DC9-4EC5-9437-32578CF2A4DD}"/>
    <hyperlink ref="G579" r:id="rId624" xr:uid="{039E833B-4307-485E-A9A4-7783437FBE45}"/>
    <hyperlink ref="G580" r:id="rId625" xr:uid="{B98C07A8-7594-4563-A5BB-E849763EB47A}"/>
    <hyperlink ref="G581" r:id="rId626" xr:uid="{3827C1D2-2700-41DF-A6F5-F3B964E97556}"/>
    <hyperlink ref="G582" r:id="rId627" xr:uid="{F2F5D70B-98B0-44D3-B82E-C12BB876158F}"/>
    <hyperlink ref="G583" r:id="rId628" xr:uid="{C061025C-DF6F-4476-99D8-98C6A2D0F9C8}"/>
    <hyperlink ref="G584" r:id="rId629" xr:uid="{E3077D6E-CE07-463A-8431-43CC34F97ED4}"/>
    <hyperlink ref="G585" r:id="rId630" xr:uid="{9CBE6C38-D742-40FA-BAD7-BD3F7CAB74BB}"/>
    <hyperlink ref="G586" r:id="rId631" xr:uid="{B27CE2E1-4895-4253-9CC8-7480D46F7BE7}"/>
    <hyperlink ref="G587" r:id="rId632" xr:uid="{8736BE2A-A601-43DF-963A-9AC453B334A6}"/>
    <hyperlink ref="G588" r:id="rId633" xr:uid="{F638390E-422A-43F9-8981-84EEEBC0EE2D}"/>
    <hyperlink ref="G589" r:id="rId634" xr:uid="{5FF2890D-FA8C-4A75-B410-BF18B66ABEDF}"/>
    <hyperlink ref="G590" r:id="rId635" xr:uid="{905BAB64-B18A-404F-9BBD-8087B8D0EBD8}"/>
    <hyperlink ref="G591" r:id="rId636" xr:uid="{C391B803-D90B-42D3-AAEB-CB51A7927372}"/>
    <hyperlink ref="G592" r:id="rId637" xr:uid="{1BA1C237-3C70-40FC-884A-7740F866C0AE}"/>
    <hyperlink ref="G593" r:id="rId638" xr:uid="{168EF9E5-6765-4B6D-8400-BE63FADC145F}"/>
    <hyperlink ref="G594" r:id="rId639" xr:uid="{6B0C3796-9BB6-44F3-A96D-D08236745B08}"/>
    <hyperlink ref="G595" r:id="rId640" xr:uid="{275DA4F9-21ED-4BD7-81B2-78E4DD1AF5E9}"/>
    <hyperlink ref="G596" r:id="rId641" xr:uid="{095F295A-35C4-4ADB-AB76-0550B15F070A}"/>
    <hyperlink ref="G597" r:id="rId642" xr:uid="{AC016D5D-05B1-4E9C-8287-BF17B7A19858}"/>
    <hyperlink ref="G598" r:id="rId643" xr:uid="{509AB746-C27A-44E8-9D2A-D86ADEEA31C8}"/>
    <hyperlink ref="G599" r:id="rId644" xr:uid="{1607E992-5D1C-4072-A862-8E510C333289}"/>
    <hyperlink ref="G600" r:id="rId645" xr:uid="{971EF488-51A4-4D68-BE07-35F4F6465C93}"/>
    <hyperlink ref="G601" r:id="rId646" xr:uid="{9CD931A6-C9EF-48EB-A1BD-408FC8814D29}"/>
    <hyperlink ref="G602" r:id="rId647" xr:uid="{84C169B0-E957-4FCD-8234-914B7A3B770B}"/>
    <hyperlink ref="G603" r:id="rId648" xr:uid="{5FFEF0D7-57F1-4E62-A64E-68A84084C406}"/>
    <hyperlink ref="G604" r:id="rId649" xr:uid="{0A368453-D519-40DE-8277-F85FFD949EE5}"/>
    <hyperlink ref="G605" r:id="rId650" xr:uid="{0356AB03-7201-4380-9EE3-D673BC3819A2}"/>
    <hyperlink ref="G606" r:id="rId651" xr:uid="{B3D950FF-FA13-4FF5-A000-87C7138C4794}"/>
    <hyperlink ref="G607" r:id="rId652" xr:uid="{CC61267E-C7D2-4DB2-B53C-6EB8C3DF2EBF}"/>
    <hyperlink ref="G608" r:id="rId653" xr:uid="{D9502B5F-D984-4F54-B964-C5BD742C62A7}"/>
    <hyperlink ref="G609" r:id="rId654" xr:uid="{AB7D45D1-E2B5-4054-BFB0-B30126B9AFD9}"/>
    <hyperlink ref="G610" r:id="rId655" xr:uid="{D3D53EEE-3AE5-4C12-A1C8-4C05299E7146}"/>
    <hyperlink ref="G611" r:id="rId656" xr:uid="{6B3CBD7C-AC3B-4695-91B7-25F5F08E89A8}"/>
    <hyperlink ref="G612" r:id="rId657" xr:uid="{DBE4ACE2-1498-4386-9FFB-060BF09D75E3}"/>
    <hyperlink ref="G613" r:id="rId658" xr:uid="{431E6025-EB7C-4061-B075-D3DE57D818AD}"/>
    <hyperlink ref="G614" r:id="rId659" xr:uid="{5D33F520-8ECB-4541-8F57-D73D11C9B020}"/>
    <hyperlink ref="G615" r:id="rId660" xr:uid="{C6802128-8754-45B9-85A7-5751170D5975}"/>
    <hyperlink ref="G616" r:id="rId661" xr:uid="{D84E83F8-C5AA-4991-AC40-B816DF343470}"/>
    <hyperlink ref="G617" r:id="rId662" xr:uid="{B5923E45-5328-458A-B166-4AC669FA8008}"/>
    <hyperlink ref="G618" r:id="rId663" xr:uid="{131C8C87-E859-41E5-BADA-A85046DFD2E0}"/>
    <hyperlink ref="G619" r:id="rId664" xr:uid="{C27145E2-61D9-4991-96F6-8764608F496F}"/>
    <hyperlink ref="G620" r:id="rId665" xr:uid="{784899B9-C9D5-4206-8199-A9472D8A6B06}"/>
    <hyperlink ref="G621" r:id="rId666" xr:uid="{50EA4DA8-9CAE-429C-86B7-9A2B437FF05D}"/>
    <hyperlink ref="G622" r:id="rId667" xr:uid="{826EAA2E-0456-48F5-84E1-09853E438057}"/>
    <hyperlink ref="G623" r:id="rId668" xr:uid="{74CB9C59-6D17-4BA4-A503-039DC06ABB89}"/>
    <hyperlink ref="G624" r:id="rId669" xr:uid="{801EB0CA-4BAA-40D0-8F82-5838DCB0A802}"/>
    <hyperlink ref="G625" r:id="rId670" xr:uid="{B84FE9C2-6DED-4A47-A05E-2F2CC61E3DA2}"/>
    <hyperlink ref="G626" r:id="rId671" xr:uid="{25F1DE19-8B1D-4A10-B373-74701993EB5F}"/>
    <hyperlink ref="G627" r:id="rId672" xr:uid="{65726C2C-E625-49E9-8077-D2C7DC3D5993}"/>
    <hyperlink ref="G628" r:id="rId673" xr:uid="{F0426E98-B399-4089-9D61-55C8A65DFAF4}"/>
    <hyperlink ref="G629" r:id="rId674" xr:uid="{B1D25058-7055-4C36-B935-0E171590CC19}"/>
    <hyperlink ref="G630" r:id="rId675" xr:uid="{D20A0B04-0830-4E1E-87F6-C47FA6063C6A}"/>
    <hyperlink ref="G631" r:id="rId676" xr:uid="{4C908727-FFAB-45EB-B63F-47CE416A1CBE}"/>
    <hyperlink ref="G632" r:id="rId677" xr:uid="{73C0B3C1-A27B-48BC-8A87-8BF6D54CA7B6}"/>
    <hyperlink ref="G633" r:id="rId678" xr:uid="{E481C747-44EE-45C4-B25B-3E11106143C7}"/>
    <hyperlink ref="G634" r:id="rId679" xr:uid="{4A1EA6F0-BE55-4E39-A9E4-5504D758AF49}"/>
    <hyperlink ref="G635" r:id="rId680" xr:uid="{E0DFD1FC-6ECA-4862-87CF-264401AD467F}"/>
    <hyperlink ref="G636" r:id="rId681" xr:uid="{7366159D-3460-4294-91A7-4A078B3079E6}"/>
    <hyperlink ref="G637" r:id="rId682" xr:uid="{27D591D4-57F8-4741-B09D-C9AA6F630F8C}"/>
    <hyperlink ref="G638" r:id="rId683" xr:uid="{8539829F-6BFB-4F49-8200-6C63D437DA3D}"/>
    <hyperlink ref="G639" r:id="rId684" xr:uid="{02EC3EE2-640E-4229-82ED-01193160317A}"/>
    <hyperlink ref="G640" r:id="rId685" xr:uid="{613BF504-7A03-478E-950C-9503C6204821}"/>
    <hyperlink ref="G641" r:id="rId686" xr:uid="{943CB469-16DE-491B-A0E4-8DA9BBD15739}"/>
    <hyperlink ref="G642" r:id="rId687" xr:uid="{9BACF0C7-6D95-4BAB-95E2-6A6AAD33C3FF}"/>
    <hyperlink ref="G643" r:id="rId688" xr:uid="{3FE585B1-D5A0-495E-96A5-2CBE31C2FA44}"/>
    <hyperlink ref="G644" r:id="rId689" xr:uid="{FE47C1D1-2484-40EF-99FF-1C3212BC5669}"/>
    <hyperlink ref="G645" r:id="rId690" xr:uid="{DF3BA5B5-E77F-4F97-A882-02160795E6C6}"/>
    <hyperlink ref="G646" r:id="rId691" xr:uid="{0992285D-4D43-46D8-AB63-85D431264795}"/>
    <hyperlink ref="G647" r:id="rId692" xr:uid="{6B064FEA-C805-40D0-AC7F-33E7743E6603}"/>
    <hyperlink ref="G648" r:id="rId693" xr:uid="{ABFDB1F8-6A1C-40CF-9A2F-AE722E961A34}"/>
    <hyperlink ref="G649" r:id="rId694" xr:uid="{3508A50D-31A4-47C9-96E6-9ED064AD5037}"/>
    <hyperlink ref="G650" r:id="rId695" xr:uid="{F1F61241-1E7C-4F01-95CC-2485634ECCD4}"/>
    <hyperlink ref="G651" r:id="rId696" xr:uid="{A144C7E1-F994-435F-8335-2BE559F0743C}"/>
    <hyperlink ref="G652" r:id="rId697" xr:uid="{E65A8D03-C1A3-46E1-9850-B02774094CA1}"/>
    <hyperlink ref="G653" r:id="rId698" xr:uid="{3BFD7CA6-2C49-425B-884E-B2BC899E529D}"/>
    <hyperlink ref="G654" r:id="rId699" xr:uid="{86616715-34AB-41C4-A4D7-85333ED7C062}"/>
    <hyperlink ref="G655" r:id="rId700" xr:uid="{7A7D5980-C31E-4207-92A3-F8DFD91515AC}"/>
    <hyperlink ref="G656" r:id="rId701" xr:uid="{0B42DA86-4F05-495F-9423-F82EEC19915F}"/>
    <hyperlink ref="G657" r:id="rId702" xr:uid="{C7318936-3524-45DE-A6BD-B221EE108076}"/>
    <hyperlink ref="G658" r:id="rId703" xr:uid="{2172D724-23CF-496E-B095-23FB67FDDF3A}"/>
    <hyperlink ref="G659" r:id="rId704" xr:uid="{8FBA82F6-2B61-4187-9330-A3740AFFE05A}"/>
    <hyperlink ref="G660" r:id="rId705" xr:uid="{B09FA03C-7D8E-4720-BC84-6438CA6BBB49}"/>
    <hyperlink ref="G661" r:id="rId706" xr:uid="{52157304-FCC7-4803-8BE1-A8B5BD1D8F9D}"/>
    <hyperlink ref="G662" r:id="rId707" xr:uid="{0FC2DC07-F649-432B-8929-3D55BFA94BD5}"/>
    <hyperlink ref="G663" r:id="rId708" xr:uid="{054F0569-9DAB-44F1-8289-469429182E6F}"/>
    <hyperlink ref="G664" r:id="rId709" xr:uid="{DB61A454-C6D4-47C2-8B6F-CE8B0577B151}"/>
    <hyperlink ref="G665" r:id="rId710" xr:uid="{9CF2C34E-BF34-4669-884F-12DB38BDE5B2}"/>
    <hyperlink ref="G666" r:id="rId711" xr:uid="{EE9DFBA2-DF4E-4704-8E82-2F4BDB4DC0DF}"/>
    <hyperlink ref="G667" r:id="rId712" xr:uid="{93D59A36-E64C-4001-A8F0-278341B5D923}"/>
    <hyperlink ref="G668" r:id="rId713" xr:uid="{CD612219-450C-4F6E-BCCE-368A61628FFD}"/>
    <hyperlink ref="G669" r:id="rId714" xr:uid="{75436654-1750-4591-B200-DF58E46077D9}"/>
    <hyperlink ref="G670" r:id="rId715" xr:uid="{F0690FB5-9967-4CD3-9BA1-6EA2FF172273}"/>
    <hyperlink ref="G671" r:id="rId716" xr:uid="{4C122C7E-A6E0-4944-B918-6857C9C21373}"/>
    <hyperlink ref="G672" r:id="rId717" xr:uid="{3EC42D82-F968-4329-90B9-6F60B9E9E5C8}"/>
    <hyperlink ref="G673" r:id="rId718" xr:uid="{F7E9E584-71C8-4EC0-B581-F318A1D946C4}"/>
    <hyperlink ref="G674" r:id="rId719" xr:uid="{D8734DC4-7490-4AF0-936E-005F88AEECF7}"/>
    <hyperlink ref="G675" r:id="rId720" xr:uid="{07AB7367-BADA-4BD4-83F2-D304F5500DEA}"/>
    <hyperlink ref="AA675" r:id="rId721" xr:uid="{FF696017-C6B9-4E7F-9F45-EFF5699A0770}"/>
    <hyperlink ref="G676" r:id="rId722" xr:uid="{A6431F5A-CD66-4E2C-B892-FBB427A6D148}"/>
    <hyperlink ref="G677" r:id="rId723" xr:uid="{34C9DD5E-AAE7-47F6-9DE0-567900DFB525}"/>
    <hyperlink ref="G678" r:id="rId724" xr:uid="{5BB56783-8165-485B-9F6D-BC1C31CA442D}"/>
    <hyperlink ref="G679" r:id="rId725" xr:uid="{1F6C24C4-BE2D-4465-B4CC-9286F2123EDB}"/>
    <hyperlink ref="G680" r:id="rId726" xr:uid="{9978EBB7-9115-45A2-9ADB-BF0870BC5EC0}"/>
    <hyperlink ref="G681" r:id="rId727" xr:uid="{79CD478F-4E31-4918-8DD4-22C6F96B6CA7}"/>
    <hyperlink ref="G682" r:id="rId728" xr:uid="{DD1B4C7A-D3E3-42FD-8E97-FDC753A02182}"/>
    <hyperlink ref="G683" r:id="rId729" xr:uid="{D0B9696E-BA20-41A4-BFDE-F76951D27E6E}"/>
    <hyperlink ref="G684" r:id="rId730" xr:uid="{E31D8C7B-FCBF-40AF-9B74-224D797A2897}"/>
    <hyperlink ref="G685" r:id="rId731" xr:uid="{A2691716-5E68-4AA5-80AC-EF10645AB151}"/>
    <hyperlink ref="G686" r:id="rId732" xr:uid="{CC2DE65A-064F-4EEA-A0D8-CE5268093DFA}"/>
    <hyperlink ref="G687" r:id="rId733" xr:uid="{CEA413F3-7556-49B7-92CD-DB877A0C0F42}"/>
    <hyperlink ref="G688" r:id="rId734" xr:uid="{1D35597F-30E6-4988-842E-B01C53901234}"/>
    <hyperlink ref="G689" r:id="rId735" xr:uid="{9D2E4859-F72C-4171-9876-D3841ECFE672}"/>
    <hyperlink ref="G690" r:id="rId736" xr:uid="{19C1995A-42F7-4EAA-97E1-E60FF811EDCF}"/>
    <hyperlink ref="AA690" r:id="rId737" xr:uid="{1A961B77-CBE5-4DF1-A747-49862C6B8C6F}"/>
    <hyperlink ref="G691" r:id="rId738" xr:uid="{99FA8C10-4FB0-4E1F-88D9-204919FA0B75}"/>
    <hyperlink ref="G692" r:id="rId739" xr:uid="{41B1356A-4890-4491-BCB9-1602628BBCF0}"/>
    <hyperlink ref="AA692" r:id="rId740" xr:uid="{3DB3FBB3-7A3B-42F1-A03E-80715EC83FE0}"/>
    <hyperlink ref="G693" r:id="rId741" xr:uid="{5C2DD9ED-1FAF-48AB-8567-5FA5DC523AC5}"/>
    <hyperlink ref="AN693" r:id="rId742" xr:uid="{B861FA53-BE0B-41C1-94CA-D08F82320AAC}"/>
    <hyperlink ref="G694" r:id="rId743" xr:uid="{6F015AD1-07E2-4F32-95D1-F5A0F1830B4A}"/>
    <hyperlink ref="G695" r:id="rId744" xr:uid="{BB6239DF-7A86-4E7D-B91A-567582CFE23F}"/>
    <hyperlink ref="G696" r:id="rId745" xr:uid="{7AA7C167-EB0F-401C-9A53-7B111C432579}"/>
    <hyperlink ref="G697" r:id="rId746" xr:uid="{C0789FD8-70D7-4AD8-B123-8D2CFDDCB6E6}"/>
    <hyperlink ref="G698" r:id="rId747" xr:uid="{D6B6B936-E505-4577-9F6A-9EBEBB1D2393}"/>
    <hyperlink ref="G699" r:id="rId748" xr:uid="{6850F52F-1334-4971-A495-DB326F0C360D}"/>
    <hyperlink ref="G700" r:id="rId749" xr:uid="{6554D415-930D-4804-8DD6-F29AB3241C80}"/>
    <hyperlink ref="G701" r:id="rId750" xr:uid="{891EAD79-9883-4FF5-B9E2-39BB23EC4B35}"/>
    <hyperlink ref="G702" r:id="rId751" xr:uid="{749E0401-BAB3-463D-9D51-E93D84EB1FED}"/>
    <hyperlink ref="G703" r:id="rId752" xr:uid="{62AB5974-BE37-49BA-8D2D-BCEC34046AF3}"/>
    <hyperlink ref="G704" r:id="rId753" xr:uid="{B5D3D75A-AE85-4568-8254-088914B28A10}"/>
    <hyperlink ref="G705" r:id="rId754" xr:uid="{0D511EDA-F7E6-475E-8BC6-71E91E41D6A0}"/>
    <hyperlink ref="G706" r:id="rId755" xr:uid="{5D523363-A917-46EE-AEBA-A6F757531027}"/>
    <hyperlink ref="G707" r:id="rId756" xr:uid="{93A4175C-56B4-4ACE-A50D-F64B9BDE7C23}"/>
    <hyperlink ref="G708" r:id="rId757" xr:uid="{277475B3-146B-4236-BCDA-DBF7505BE0CC}"/>
    <hyperlink ref="G709" r:id="rId758" xr:uid="{4E7B47AD-679A-45D8-A588-176AAB9BAD94}"/>
    <hyperlink ref="G710" r:id="rId759" xr:uid="{01BF16E6-0F15-41CD-947F-95EF91C82393}"/>
    <hyperlink ref="G711" r:id="rId760" xr:uid="{E864E5AD-2662-4396-9F9C-877099C6E72A}"/>
    <hyperlink ref="G712" r:id="rId761" xr:uid="{2354A2C9-5176-4E70-BD64-1C849574B8FD}"/>
    <hyperlink ref="G713" r:id="rId762" xr:uid="{F19FE5CB-75F5-4D4F-913A-5BA055B2B70B}"/>
    <hyperlink ref="AA713" r:id="rId763" xr:uid="{8A7A316D-5298-4AAA-8CE3-662D3A1334EE}"/>
    <hyperlink ref="G714" r:id="rId764" xr:uid="{26EF46F4-2E7A-40FC-8782-222EB1BCD888}"/>
    <hyperlink ref="G715" r:id="rId765" xr:uid="{BE62A68B-2F43-4573-A5D0-D538C1E78280}"/>
    <hyperlink ref="G716" r:id="rId766" xr:uid="{F8188C96-FEE1-4230-B505-45456912F7B8}"/>
    <hyperlink ref="G717" r:id="rId767" xr:uid="{8B729D68-BAE5-4A84-9503-12B73D19C18D}"/>
    <hyperlink ref="G718" r:id="rId768" xr:uid="{1317A163-10F5-4EB5-A391-86616A45BE35}"/>
    <hyperlink ref="G719" r:id="rId769" xr:uid="{5D62AEDE-79B6-4E33-969A-1B6DCA7B8B66}"/>
    <hyperlink ref="G720" r:id="rId770" xr:uid="{E15122EF-85B3-402D-83C5-F50001EC9A2F}"/>
    <hyperlink ref="G721" r:id="rId771" xr:uid="{94B2F340-B356-4BBF-9342-EE4E30A88473}"/>
    <hyperlink ref="G722" r:id="rId772" xr:uid="{49AC58CD-A846-4668-A7C9-73FC50858E92}"/>
    <hyperlink ref="G723" r:id="rId773" xr:uid="{FDF9DBBC-CA39-4CD1-9EFD-19B706CC9B87}"/>
    <hyperlink ref="G724" r:id="rId774" xr:uid="{065316B2-7D7D-4EE0-8A0D-922DF91A85D2}"/>
    <hyperlink ref="G725" r:id="rId775" xr:uid="{A7E1D7CA-DB95-43A7-B79F-02CD4BE72101}"/>
    <hyperlink ref="G726" r:id="rId776" xr:uid="{4EA12869-536A-43EC-B61C-4022ED404534}"/>
    <hyperlink ref="G727" r:id="rId777" xr:uid="{759C8660-A4FD-40A8-A220-1D1409466B58}"/>
    <hyperlink ref="G728" r:id="rId778" xr:uid="{2CE067DB-0B24-4199-9AF6-9672121A8752}"/>
    <hyperlink ref="G729" r:id="rId779" xr:uid="{8A24C4E5-908C-4DCF-9A28-C82D1CFAA9B7}"/>
    <hyperlink ref="G730" r:id="rId780" xr:uid="{858FF86C-76C4-4A07-A336-11650138EC73}"/>
    <hyperlink ref="G731" r:id="rId781" xr:uid="{D0C58B4B-5026-41A5-A289-2F1761683AF6}"/>
    <hyperlink ref="G732" r:id="rId782" location="Pipeline_Details" xr:uid="{D75C675F-AC78-4D07-BEDA-081CD15B67AE}"/>
    <hyperlink ref="G733" r:id="rId783" xr:uid="{FA7532B9-615D-4F9F-8DB2-1DB6D379387D}"/>
    <hyperlink ref="G734" r:id="rId784" xr:uid="{B9FF1BD7-A1DF-4F1E-B23B-830750B27762}"/>
    <hyperlink ref="G735" r:id="rId785" xr:uid="{7D008F78-ECAF-42B9-9E65-6F5A28C657A3}"/>
    <hyperlink ref="G736" r:id="rId786" xr:uid="{62F598BE-9CB9-49F3-A6F4-DF0AB3C899CA}"/>
    <hyperlink ref="G737" r:id="rId787" xr:uid="{8B39347B-8A86-45EE-A1C0-607D995E140F}"/>
    <hyperlink ref="G738" r:id="rId788" xr:uid="{270FA41C-2562-498A-86C1-B7D51ACB3A53}"/>
    <hyperlink ref="G739" r:id="rId789" xr:uid="{85C2A827-4423-494B-9FC0-591D83225CB3}"/>
    <hyperlink ref="G740" r:id="rId790" xr:uid="{E26E279A-4CF9-43B2-9678-28887FD66BA0}"/>
    <hyperlink ref="G741" r:id="rId791" xr:uid="{D00FF30F-A740-4ECA-80DE-DC79F5B584D6}"/>
    <hyperlink ref="G742" r:id="rId792" xr:uid="{31D9861A-FED0-407D-BE6C-14EFB63D74B8}"/>
    <hyperlink ref="G743" r:id="rId793" xr:uid="{56EAA8BC-8AEC-4243-8014-90CF467A9655}"/>
    <hyperlink ref="G744" r:id="rId794" xr:uid="{51807323-16BE-49F3-B451-829F4B647D39}"/>
    <hyperlink ref="G745" r:id="rId795" xr:uid="{CE609B14-EA0C-410C-9F46-7D3D05A6B845}"/>
    <hyperlink ref="G746" r:id="rId796" xr:uid="{A73D9098-B467-41D5-A671-9A1F4630C29F}"/>
    <hyperlink ref="G747" r:id="rId797" xr:uid="{2CA95731-5D0C-438C-A007-0E4116B80F0D}"/>
    <hyperlink ref="G748" r:id="rId798" xr:uid="{647813A2-6A79-493E-98E4-4C90D9DF0F65}"/>
    <hyperlink ref="G749" r:id="rId799" xr:uid="{F87AA291-D8C0-4B4A-B181-F3A3E42DD7FA}"/>
    <hyperlink ref="G750" r:id="rId800" xr:uid="{883F1179-47B3-4ED6-A7D1-A9B56DE41523}"/>
    <hyperlink ref="G751" r:id="rId801" xr:uid="{F96638E0-B7A7-4D5C-9A9E-EBB6DDCD6F6D}"/>
    <hyperlink ref="G752" r:id="rId802" xr:uid="{F6B81D1F-C59B-4C7E-B909-061157492D5A}"/>
    <hyperlink ref="G753" r:id="rId803" xr:uid="{B42F214E-2FED-43A2-A079-E24878BF8A4B}"/>
    <hyperlink ref="G754" r:id="rId804" xr:uid="{D57AF49E-3E48-4981-A97E-CE29065063DD}"/>
    <hyperlink ref="G755" r:id="rId805" xr:uid="{E71A8F1E-F222-4ADD-B517-EAEF95B8DA36}"/>
    <hyperlink ref="G756" r:id="rId806" xr:uid="{3B34D29B-63A0-4212-A5CA-5EB61FC49EA3}"/>
    <hyperlink ref="G757" r:id="rId807" xr:uid="{C85E80BB-ECA4-4009-BDB5-ADEEEED8F03D}"/>
    <hyperlink ref="G758" r:id="rId808" xr:uid="{BF05767A-7A9E-48BF-96CA-7EE6A1ED315E}"/>
    <hyperlink ref="G759" r:id="rId809" xr:uid="{042BC55D-D12A-4AC2-85EE-BAD6B61BA0D4}"/>
    <hyperlink ref="G760" r:id="rId810" xr:uid="{333B935D-1BA6-42E6-A975-740FF2F22B1D}"/>
    <hyperlink ref="G761" r:id="rId811" xr:uid="{5D492469-5FEF-4BBA-A11D-3AD45FF4EE1E}"/>
    <hyperlink ref="G762" r:id="rId812" xr:uid="{33200A14-3FD0-47BF-B500-C0198F357DD2}"/>
    <hyperlink ref="G763" r:id="rId813" xr:uid="{1DDCE183-22B0-4094-AE65-C046A6C575AD}"/>
    <hyperlink ref="G764" r:id="rId814" xr:uid="{F7C4DD10-A44B-4E24-B640-5BC51A752CE9}"/>
    <hyperlink ref="G765" r:id="rId815" xr:uid="{1C35C76A-DB19-4413-AABC-FB3B63949DF0}"/>
    <hyperlink ref="G766" r:id="rId816" xr:uid="{840418BB-5239-4377-AE7D-B6E77A057413}"/>
    <hyperlink ref="G767" r:id="rId817" xr:uid="{616CC0E2-165C-412E-B532-C78CDAEA16BB}"/>
    <hyperlink ref="G768" r:id="rId818" xr:uid="{0EEC7521-F67F-4157-B444-4BA62847C07A}"/>
    <hyperlink ref="G769" r:id="rId819" xr:uid="{15086F30-2511-4A6E-979E-FF9A76B15B5D}"/>
    <hyperlink ref="G770" r:id="rId820" xr:uid="{105DED59-2365-44B4-BCEB-AB158336F5E4}"/>
    <hyperlink ref="G771" r:id="rId821" xr:uid="{BF6FDBE8-4D7B-45F4-A5C4-C3760A60C6D0}"/>
    <hyperlink ref="G772" r:id="rId822" xr:uid="{ADE3A515-6A87-41B2-AFEA-159837418890}"/>
    <hyperlink ref="G773" r:id="rId823" xr:uid="{B126748E-9B7F-409A-B525-E6D99E325BBF}"/>
    <hyperlink ref="G774" r:id="rId824" xr:uid="{AEFA23D4-BB8F-4CFD-9FC3-D98ECD6307E2}"/>
    <hyperlink ref="AN774" r:id="rId825" xr:uid="{10F15490-B85C-4441-B482-6D78D427C323}"/>
    <hyperlink ref="G775" r:id="rId826" xr:uid="{835F4925-C08B-439E-A81E-83550B01177A}"/>
    <hyperlink ref="AN775" r:id="rId827" xr:uid="{C250D579-F30A-4ECF-8FC9-34C08D2439F1}"/>
    <hyperlink ref="G776" r:id="rId828" xr:uid="{46CA399E-C7B1-4D7D-8B15-40942B30814C}"/>
    <hyperlink ref="AN776" r:id="rId829" xr:uid="{3242F6BF-75A7-48E1-89AA-DE2ACFB1A73B}"/>
    <hyperlink ref="G777" r:id="rId830" xr:uid="{5A954E92-5B0A-4C17-9DEC-1493B63733E3}"/>
    <hyperlink ref="G778" r:id="rId831" xr:uid="{078215BC-8FE5-4869-A30F-979CA9ACABD5}"/>
    <hyperlink ref="G779" r:id="rId832" xr:uid="{577DB880-C131-4256-A6E3-E6602361AEDD}"/>
    <hyperlink ref="G780" r:id="rId833" xr:uid="{FBABAB5D-2F46-42B5-BDFA-14B4C7D21356}"/>
    <hyperlink ref="G781" r:id="rId834" xr:uid="{3AB5386E-43DB-4322-8047-529390525CAD}"/>
    <hyperlink ref="G782" r:id="rId835" xr:uid="{14701660-347B-467A-8601-8A7D044C6A19}"/>
    <hyperlink ref="G783" r:id="rId836" xr:uid="{3DF94445-B962-424E-B0F9-07299A4282FC}"/>
    <hyperlink ref="G784" r:id="rId837" xr:uid="{EC9D0A05-FE7C-4CE0-8617-059D6A809744}"/>
    <hyperlink ref="G785" r:id="rId838" xr:uid="{179CC5CD-0293-4EFC-9A1B-23D7A477E165}"/>
    <hyperlink ref="G786" r:id="rId839" xr:uid="{3F9BF3AB-6744-4297-8739-48971B482071}"/>
    <hyperlink ref="G787" r:id="rId840" xr:uid="{9C462B54-ECA2-4FED-AA4A-CCB8A8970819}"/>
    <hyperlink ref="G788" r:id="rId841" xr:uid="{CB9CFC0A-2A8D-4C1A-B09C-1C1DCF57EB48}"/>
    <hyperlink ref="G789" r:id="rId842" xr:uid="{1816D259-2471-4808-8FAD-B512AB2F4AF8}"/>
    <hyperlink ref="AN789" r:id="rId843" xr:uid="{2700029F-4C12-4A86-A96B-4B94DCE3EF67}"/>
    <hyperlink ref="G790" r:id="rId844" xr:uid="{21B34A45-5E7E-4B97-BC7A-93296F781D8B}"/>
    <hyperlink ref="G791" r:id="rId845" xr:uid="{3F98EB27-43BA-4041-AAEB-BB9145DB6710}"/>
    <hyperlink ref="G792" r:id="rId846" xr:uid="{0633866F-BF59-42A8-8469-626767677AEC}"/>
    <hyperlink ref="G793" r:id="rId847" xr:uid="{6E4F3A70-3931-42CE-88FA-ACF23D73899A}"/>
    <hyperlink ref="G794" r:id="rId848" xr:uid="{D801254C-0DF4-4E16-8D0A-AAF279B10D4A}"/>
    <hyperlink ref="G795" r:id="rId849" xr:uid="{5D1F30AC-CC36-46F8-90CB-FED4F460C9F8}"/>
    <hyperlink ref="G796" r:id="rId850" xr:uid="{2A44B3FF-BD1A-452C-A684-1A1C7C305E5E}"/>
    <hyperlink ref="G797" r:id="rId851" xr:uid="{287BC260-DB42-4EC4-BF40-C8ECC158B945}"/>
    <hyperlink ref="G798" r:id="rId852" xr:uid="{D59199B4-E992-4B62-9BE3-F2F293E08201}"/>
    <hyperlink ref="G799" r:id="rId853" xr:uid="{9AA410A4-6B65-4E24-9ECC-45ACB938D6A8}"/>
    <hyperlink ref="G800" r:id="rId854" xr:uid="{B0D0F958-1459-43C7-A548-368F2C61D94A}"/>
    <hyperlink ref="G801" r:id="rId855" xr:uid="{B018BEFD-8CB1-4EC7-8A49-B7D8FE275579}"/>
    <hyperlink ref="G802" r:id="rId856" xr:uid="{0034F9E7-D3D1-401F-B639-30A16662AF9E}"/>
    <hyperlink ref="G803" r:id="rId857" xr:uid="{F606C113-5092-4E05-8DDA-FC4B96EF3313}"/>
    <hyperlink ref="AN803" r:id="rId858" xr:uid="{E604A74F-B200-4258-933A-A009A026EEA4}"/>
    <hyperlink ref="G804" r:id="rId859" xr:uid="{5E95D8BE-6DE9-4811-BAD8-D0DBDF5CC607}"/>
    <hyperlink ref="G805" r:id="rId860" xr:uid="{4BCC7995-E324-4E9D-8C28-ED7B137AC21D}"/>
    <hyperlink ref="AA805" r:id="rId861" xr:uid="{9DA86F96-3C5A-4761-A041-D612D68358B2}"/>
    <hyperlink ref="G806" r:id="rId862" xr:uid="{644091D4-05CC-43F1-8D45-0B6E641ED426}"/>
    <hyperlink ref="AA806" r:id="rId863" xr:uid="{5914B243-F1B0-4010-A462-9004C51FF089}"/>
    <hyperlink ref="G807" r:id="rId864" xr:uid="{E83F7DA5-CA78-4C6A-B133-F56F12CDBCDE}"/>
    <hyperlink ref="AA807" r:id="rId865" xr:uid="{DA7EB701-EB93-4D74-8FD8-B67201279612}"/>
    <hyperlink ref="G808" r:id="rId866" xr:uid="{8F4F8133-16C1-4FA7-85CD-3AEBA9EC98ED}"/>
    <hyperlink ref="AA808" r:id="rId867" xr:uid="{CB77D9A7-C72E-4A47-87B6-5A2D58861C42}"/>
    <hyperlink ref="G809" r:id="rId868" xr:uid="{F7427EBA-AE9C-448B-9508-FAE7353AFE36}"/>
    <hyperlink ref="G810" r:id="rId869" xr:uid="{A8F772C1-6613-4168-8F05-0A71AEDC86FD}"/>
    <hyperlink ref="G811" r:id="rId870" xr:uid="{A503CBC2-5C03-48C6-84B2-191DEE5D802C}"/>
    <hyperlink ref="AA811" r:id="rId871" xr:uid="{31C3A330-4FE9-47E1-82BF-02AFC363A2FD}"/>
    <hyperlink ref="G812" r:id="rId872" xr:uid="{3C0DE17D-C5CB-4B06-BDAD-FF42E48F97B8}"/>
    <hyperlink ref="AA812" r:id="rId873" xr:uid="{0B8644B2-B8BE-4923-8D33-18FACBD83DB3}"/>
    <hyperlink ref="G813" r:id="rId874" xr:uid="{37FFD6C6-0216-4C77-807A-075F51A16EBE}"/>
    <hyperlink ref="AA813" r:id="rId875" xr:uid="{A83AF9E1-75C3-4DA1-BBD4-9C2E28D61876}"/>
    <hyperlink ref="G814" r:id="rId876" xr:uid="{F3C98BB8-DE91-428B-B00A-6B472FDFB34D}"/>
    <hyperlink ref="G815" r:id="rId877" xr:uid="{A5A53884-E781-4E38-8802-76BC12BD3FAD}"/>
    <hyperlink ref="AN815" r:id="rId878" xr:uid="{D1E4BE7E-7456-4828-90E1-7F8D2E074A00}"/>
    <hyperlink ref="G816" r:id="rId879" xr:uid="{9D0E346F-C914-4AA0-A6D8-609E4CF2531A}"/>
    <hyperlink ref="AN816" r:id="rId880" xr:uid="{5B99497F-36A1-47DC-B5C8-9970788208BC}"/>
    <hyperlink ref="G817" r:id="rId881" xr:uid="{2EEAA022-8500-4123-80BB-916F89754348}"/>
    <hyperlink ref="AN817" r:id="rId882" xr:uid="{DE6224C5-7CD4-48AE-A94F-A474D0606881}"/>
    <hyperlink ref="G818" r:id="rId883" xr:uid="{051DD7CC-8404-4588-9CD7-AA90B9B01859}"/>
    <hyperlink ref="AN818" r:id="rId884" xr:uid="{A5F560B9-4E25-4225-9E72-22E5E9562527}"/>
    <hyperlink ref="G819" r:id="rId885" xr:uid="{23E86194-0D40-4F38-BFE8-0C20A1B29043}"/>
    <hyperlink ref="AN819" r:id="rId886" xr:uid="{218257B9-F8C8-4EA5-8754-AB8C7ADC92D6}"/>
    <hyperlink ref="G820" r:id="rId887" xr:uid="{AC4C06A6-01A0-4EBC-8EA8-7A9DDF1EF249}"/>
    <hyperlink ref="AN820" r:id="rId888" xr:uid="{2DCA1426-B2DA-4D59-86BA-7AF07E201189}"/>
    <hyperlink ref="G821" r:id="rId889" xr:uid="{80DC472D-0C60-4B1F-99C6-C44670CC35A2}"/>
    <hyperlink ref="G822" r:id="rId890" xr:uid="{3992775E-C0D1-4E08-A0EF-92FA6BB8376C}"/>
    <hyperlink ref="G823" r:id="rId891" xr:uid="{23D9DAD2-B978-45E6-B701-AEF100668BF3}"/>
    <hyperlink ref="G824" r:id="rId892" xr:uid="{649647E4-1250-4573-9446-D5EA979833BF}"/>
    <hyperlink ref="G825" r:id="rId893" xr:uid="{9BE7A2EE-23B1-49DA-9C42-F5A1EBD86281}"/>
    <hyperlink ref="G826" r:id="rId894" xr:uid="{FA62043D-3BC6-4562-B769-E899CC1C67E5}"/>
    <hyperlink ref="G827" r:id="rId895" xr:uid="{142B75C8-9070-4379-B659-815F582B3E75}"/>
    <hyperlink ref="G828" r:id="rId896" xr:uid="{177D4866-FAEF-4EF9-B5D8-56CF6459DA14}"/>
    <hyperlink ref="G829" r:id="rId897" xr:uid="{E8B6DDAB-18F2-4495-9C5F-FA8EB8BE7526}"/>
    <hyperlink ref="G830" r:id="rId898" xr:uid="{B4064730-1D76-4077-B2DF-E5D6CC1CA9FA}"/>
    <hyperlink ref="AN830" r:id="rId899" xr:uid="{AA678DA0-128F-46C2-8EDB-E2C528C34E4E}"/>
    <hyperlink ref="G831" r:id="rId900" xr:uid="{DCC57149-5DF7-48AC-AC07-5E06CEB1ED2A}"/>
    <hyperlink ref="G832" r:id="rId901" xr:uid="{6ADE8365-C867-4E79-AD19-7DBBD435BDEC}"/>
    <hyperlink ref="G833" r:id="rId902" xr:uid="{B59878F2-68C9-4C80-89AC-FFEF8F81AC3C}"/>
    <hyperlink ref="G834" r:id="rId903" xr:uid="{8871DC29-9334-4F13-A726-5939E7DAA2B8}"/>
    <hyperlink ref="G835" r:id="rId904" xr:uid="{DFF115BE-FC70-4D17-AEC9-938F5510EDE1}"/>
    <hyperlink ref="G836" r:id="rId905" xr:uid="{FA5AFFAE-2D00-4B14-B858-F22B6B318DA8}"/>
    <hyperlink ref="G837" r:id="rId906" xr:uid="{B2A61F86-F294-47B4-8EFE-6D889CD9156C}"/>
    <hyperlink ref="G838" r:id="rId907" xr:uid="{372EC9FE-EB2A-469B-A2F0-0418AFD5F6F9}"/>
    <hyperlink ref="G839" r:id="rId908" xr:uid="{29E7A1FA-D4D6-48E3-91BD-BD508B0B963A}"/>
    <hyperlink ref="G840" r:id="rId909" xr:uid="{7F78ECBB-924C-4021-A736-1A34E4BB0CC7}"/>
    <hyperlink ref="G841" r:id="rId910" xr:uid="{8391BBFF-CFFF-4C7F-9970-EE7DCDFE0B6F}"/>
    <hyperlink ref="G842" r:id="rId911" xr:uid="{AD23CF73-C99E-4483-9BEE-831506636F1C}"/>
    <hyperlink ref="G843" r:id="rId912" xr:uid="{9AE931E9-0461-4D7D-9D89-5DF411AC5530}"/>
    <hyperlink ref="G844" r:id="rId913" xr:uid="{AC9BE0D6-3832-454B-9D9D-005941C0D69C}"/>
    <hyperlink ref="G845" r:id="rId914" xr:uid="{3F1F9167-D25D-432E-90B4-D3234388D10C}"/>
    <hyperlink ref="G846" r:id="rId915" xr:uid="{2E650681-8132-4759-9334-76874C726F4B}"/>
    <hyperlink ref="G847" r:id="rId916" xr:uid="{A3E5C3CD-58D1-4E45-949F-E9BF5B111400}"/>
    <hyperlink ref="G848" r:id="rId917" xr:uid="{AF85A7A3-0BA6-4112-9634-56AF9ABCF7EA}"/>
    <hyperlink ref="G849" r:id="rId918" xr:uid="{7F33959D-394B-49FD-9495-90E5F799C983}"/>
    <hyperlink ref="G850" r:id="rId919" xr:uid="{B3334B50-E915-49C2-AF47-CA839A6D54ED}"/>
    <hyperlink ref="G851" r:id="rId920" xr:uid="{EE89875E-0250-450A-B830-BA5EEF7CBA35}"/>
    <hyperlink ref="G852" r:id="rId921" xr:uid="{E451BE34-58BB-4B7E-9553-6B55B94330D3}"/>
    <hyperlink ref="G853" r:id="rId922" xr:uid="{E677D25B-579A-4803-84C9-7BEE6B90A1AF}"/>
    <hyperlink ref="G854" r:id="rId923" xr:uid="{E41D7A8E-5A58-441C-AFF6-36A041B5F691}"/>
    <hyperlink ref="G855" r:id="rId924" xr:uid="{957FD5CF-46BE-41F8-BAAA-92745AB031BA}"/>
    <hyperlink ref="G856" r:id="rId925" xr:uid="{A8981AA0-9FE1-47A9-8497-25A84BC957E3}"/>
    <hyperlink ref="G857" r:id="rId926" xr:uid="{3301B40E-B5C4-4495-A7DE-EF114CE1A363}"/>
    <hyperlink ref="G858" r:id="rId927" xr:uid="{8498DEF9-8767-45FE-BAAF-C528A3E3ACC7}"/>
    <hyperlink ref="G859" r:id="rId928" xr:uid="{B73FF799-0F66-4024-854F-E9883FE1DA3A}"/>
    <hyperlink ref="G860" r:id="rId929" xr:uid="{3B34654F-BDD2-4488-9614-EBA8A47A7901}"/>
    <hyperlink ref="G861" r:id="rId930" xr:uid="{B68FA30B-CC7B-4806-9626-A7AC1FD291AD}"/>
    <hyperlink ref="G862" r:id="rId931" xr:uid="{B813AC93-3DCA-42CA-88FC-5762E6A93739}"/>
    <hyperlink ref="G863" r:id="rId932" xr:uid="{D03C5293-95D6-4420-A6DE-D524C701EE08}"/>
    <hyperlink ref="G864" r:id="rId933" xr:uid="{208C9207-50A8-4E97-8401-52DEB54F8D31}"/>
    <hyperlink ref="G865" r:id="rId934" xr:uid="{DBAE743E-0CF0-4391-AB38-ABDD4E76B31E}"/>
    <hyperlink ref="G866" r:id="rId935" xr:uid="{8A09E0F9-4327-4366-B334-86AE4559B3CC}"/>
    <hyperlink ref="G867" r:id="rId936" xr:uid="{733C21F1-1102-4BFE-A508-C558AD4AA21F}"/>
    <hyperlink ref="G868" r:id="rId937" xr:uid="{9406CCD2-6CB4-43B6-8013-9DD0FD0ADF49}"/>
    <hyperlink ref="G869" r:id="rId938" xr:uid="{E7E04804-CABE-459A-B0F9-592875424A8C}"/>
    <hyperlink ref="G870" r:id="rId939" xr:uid="{B70A1DB4-1DE4-465D-81A4-603A7E27D8A5}"/>
    <hyperlink ref="G871" r:id="rId940" xr:uid="{5D86F86D-2243-453A-8FAE-5FC1672541B3}"/>
    <hyperlink ref="G872" r:id="rId941" xr:uid="{2250CCEA-DA6B-43E0-A39D-CC98E9B14847}"/>
    <hyperlink ref="G873" r:id="rId942" xr:uid="{E5F2F385-F419-4F9F-A204-D62239685807}"/>
    <hyperlink ref="G874" r:id="rId943" xr:uid="{43250087-E1EE-4576-AC70-3E27628F915D}"/>
    <hyperlink ref="G875" r:id="rId944" xr:uid="{CB88FECF-3182-43D0-BCDE-358544D504B1}"/>
    <hyperlink ref="G876" r:id="rId945" xr:uid="{B761CECE-89F8-417E-B7E2-A3A9DD9C0153}"/>
    <hyperlink ref="G877" r:id="rId946" xr:uid="{E25B022C-7803-4CC5-B5CE-0D7FF279BAD7}"/>
    <hyperlink ref="G878" r:id="rId947" xr:uid="{1D81CC27-D9DE-4A49-B25B-4769D69FCA16}"/>
    <hyperlink ref="G879" r:id="rId948" xr:uid="{40B46567-025E-4189-9D96-10924607C9A6}"/>
    <hyperlink ref="G880" r:id="rId949" xr:uid="{B8157775-C1C6-4124-AE52-2C6CBC831CE2}"/>
    <hyperlink ref="G881" r:id="rId950" xr:uid="{4F6FF427-CA53-4817-981E-4186BC0EFE2D}"/>
    <hyperlink ref="G882" r:id="rId951" xr:uid="{D0D72D8E-A1DF-4757-A676-C046FBC0A258}"/>
    <hyperlink ref="G883" r:id="rId952" xr:uid="{FFC806A5-2DC4-4AB6-B610-289E70328FFC}"/>
    <hyperlink ref="G884" r:id="rId953" xr:uid="{DDD1104E-AAFD-4482-8E73-D30BBAFBCC7F}"/>
    <hyperlink ref="G885" r:id="rId954" xr:uid="{63CAF242-B235-49D2-BB17-EECCD1302319}"/>
    <hyperlink ref="G886" r:id="rId955" xr:uid="{B1B3EB9B-E695-4C7E-AA95-D54375EDD84F}"/>
    <hyperlink ref="G887" r:id="rId956" xr:uid="{3717EB1B-E4A8-45BC-8ED2-5F87EB079404}"/>
    <hyperlink ref="G888" r:id="rId957" xr:uid="{39DB9275-8838-49A8-98E9-117745524B9B}"/>
    <hyperlink ref="G889" r:id="rId958" xr:uid="{ADF29408-096C-47ED-9448-F8F85CD4D7CD}"/>
    <hyperlink ref="G890" r:id="rId959" xr:uid="{53F58880-6F19-4092-8B22-4EB647DD5D42}"/>
    <hyperlink ref="G891" r:id="rId960" xr:uid="{25E9563B-1C0F-400A-8B54-FABFC284840D}"/>
    <hyperlink ref="G892" r:id="rId961" xr:uid="{885FBD1F-AB87-446E-9A89-E8103AB57151}"/>
    <hyperlink ref="G893" r:id="rId962" xr:uid="{93E3DB3C-DF7C-46BE-92FC-A6DBAC484B02}"/>
    <hyperlink ref="G894" r:id="rId963" xr:uid="{E33B8309-7CD2-473D-B5F0-781CDA27EBB5}"/>
    <hyperlink ref="G895" r:id="rId964" xr:uid="{E59717B5-2632-4B93-BF47-43ACFCF11846}"/>
    <hyperlink ref="G896" r:id="rId965" xr:uid="{4699D203-A58C-4F28-943B-E5BDE176A62C}"/>
    <hyperlink ref="G897" r:id="rId966" xr:uid="{D37D9ED0-8480-4E07-8E09-34442155C2F6}"/>
    <hyperlink ref="G898" r:id="rId967" xr:uid="{103BD90A-6EDD-4075-84F4-1DE052AA40FA}"/>
    <hyperlink ref="G899" r:id="rId968" xr:uid="{841FFB7E-AAC4-4217-923C-733C844E9B88}"/>
    <hyperlink ref="G900" r:id="rId969" xr:uid="{DC73527A-2978-4630-A4DD-82746D0E466F}"/>
    <hyperlink ref="G901" r:id="rId970" xr:uid="{632B6C80-4FC5-4B29-99B2-655BF3A75319}"/>
    <hyperlink ref="G902" r:id="rId971" xr:uid="{22DFF40F-06AA-4742-B8C6-DE4860307422}"/>
    <hyperlink ref="G903" r:id="rId972" xr:uid="{DDD98E3B-C8A1-46B4-A7FD-EE48C8F9B3B4}"/>
    <hyperlink ref="G904" r:id="rId973" xr:uid="{BF5AB194-FAA9-449F-B7F6-334A4D72E5B1}"/>
    <hyperlink ref="G905" r:id="rId974" xr:uid="{7B9C6350-EB82-408E-8A0D-8E3AACBD4486}"/>
    <hyperlink ref="G906" r:id="rId975" xr:uid="{5190A1EC-9FB8-4709-88BB-8E32C2AF2D21}"/>
    <hyperlink ref="G907" r:id="rId976" xr:uid="{12940571-8D4A-4119-8B0A-59B4D31C883D}"/>
    <hyperlink ref="G908" r:id="rId977" xr:uid="{B5F2217E-E414-4CAE-BFD6-362EB4512A97}"/>
    <hyperlink ref="G909" r:id="rId978" xr:uid="{AAD561AD-F9BD-4A08-AA64-CD8843FBF508}"/>
    <hyperlink ref="G910" r:id="rId979" xr:uid="{921278C7-27CE-427F-BCD7-E9A9CB19B53A}"/>
    <hyperlink ref="G911" r:id="rId980" xr:uid="{84043D3C-C92A-4D95-8CFF-AD2567CE08C3}"/>
    <hyperlink ref="AN911" r:id="rId981" xr:uid="{3868DB38-05BD-4B49-9B0E-7608BC5F4B11}"/>
    <hyperlink ref="G912" r:id="rId982" xr:uid="{9A750B5C-4623-402C-8261-2183DD214029}"/>
    <hyperlink ref="AN912" r:id="rId983" xr:uid="{217936E5-31ED-487E-A1BF-6BFCA1EDF027}"/>
    <hyperlink ref="G913" r:id="rId984" xr:uid="{376D7032-7FC2-45CB-B914-0DD5477E801A}"/>
    <hyperlink ref="AN913" r:id="rId985" xr:uid="{53697454-BA6F-41D9-B579-621B85610A8B}"/>
    <hyperlink ref="G914" r:id="rId986" xr:uid="{C598BED2-5C7E-48F6-BE24-4778026E1E5A}"/>
    <hyperlink ref="AN914" r:id="rId987" xr:uid="{2EA16CB4-1C7C-4215-8767-B1D68EB12595}"/>
    <hyperlink ref="G915" r:id="rId988" xr:uid="{251FD83D-A899-41A1-AF3A-54FC5EB20FB2}"/>
    <hyperlink ref="G916" r:id="rId989" xr:uid="{F04BFAC0-62FF-4686-AFC8-8E4DF4F19981}"/>
    <hyperlink ref="G917" r:id="rId990" xr:uid="{05887395-B06A-4712-924D-C7264167CAD4}"/>
    <hyperlink ref="G918" r:id="rId991" xr:uid="{A69610D4-55D1-44EA-A36F-132C81804889}"/>
    <hyperlink ref="G919" r:id="rId992" xr:uid="{AF707AD3-8391-4486-83B1-62EF77BD20A6}"/>
    <hyperlink ref="G920" r:id="rId993" xr:uid="{05A8A0CB-E553-421A-A2A1-540F0F3BCAA0}"/>
    <hyperlink ref="G921" r:id="rId994" xr:uid="{960232F3-86E4-44DF-ABE9-FEE6904E1045}"/>
    <hyperlink ref="G922" r:id="rId995" xr:uid="{FADEF622-56E7-47CB-BE70-0406829CE86E}"/>
    <hyperlink ref="G923" r:id="rId996" xr:uid="{D8007BB8-C23D-4E65-B5B6-583B57CD010D}"/>
    <hyperlink ref="G924" r:id="rId997" xr:uid="{3B61905C-D25E-450C-A187-363E29E52ACE}"/>
    <hyperlink ref="G925" r:id="rId998" xr:uid="{787748A5-F7B6-487D-BA4B-3E75E36B8ECE}"/>
    <hyperlink ref="G926" r:id="rId999" xr:uid="{6B0F01EF-DF19-4D55-A425-481B50AE7634}"/>
    <hyperlink ref="G927" r:id="rId1000" xr:uid="{A2B2CAF0-951E-41D4-8953-818E1CCD0648}"/>
    <hyperlink ref="G928" r:id="rId1001" xr:uid="{E097B755-2686-45FB-825E-8CB631FBB3A0}"/>
    <hyperlink ref="G929" r:id="rId1002" xr:uid="{D2AAC43E-F149-4D2B-B45E-F7C687AF4E11}"/>
    <hyperlink ref="G930" r:id="rId1003" xr:uid="{B4DAF963-9BDA-4F69-ADCF-24A47213813E}"/>
    <hyperlink ref="G931" r:id="rId1004" xr:uid="{EA8E7BC6-D2D4-4C5B-8052-09E492E1F518}"/>
    <hyperlink ref="G932" r:id="rId1005" xr:uid="{C318F5B9-9142-4CCC-9C28-4AE5B0E54A6C}"/>
    <hyperlink ref="G933" r:id="rId1006" xr:uid="{1249FF86-5465-4293-98E5-8874746E1A73}"/>
    <hyperlink ref="G934" r:id="rId1007" xr:uid="{3241F2F1-EF2A-45A6-8D87-42279A66D9D8}"/>
    <hyperlink ref="G935" r:id="rId1008" xr:uid="{FAC92DFE-72A6-430F-B113-B580C8AF211F}"/>
    <hyperlink ref="G936" r:id="rId1009" xr:uid="{7E0E6ED2-DE8B-45CC-826D-4C98DBAEF7BC}"/>
    <hyperlink ref="G937" r:id="rId1010" xr:uid="{7CC0B71A-77A4-442E-8C9B-9F64A218FC4C}"/>
    <hyperlink ref="G938" r:id="rId1011" xr:uid="{C04CC3E0-9744-4A7A-9D36-D44A5E8F4DDC}"/>
    <hyperlink ref="G939" r:id="rId1012" xr:uid="{55A7B6A0-B372-456E-A70F-05726DA4E614}"/>
    <hyperlink ref="G940" r:id="rId1013" xr:uid="{7D72DFE9-F29D-45A0-AF70-F2D36A996947}"/>
    <hyperlink ref="G941" r:id="rId1014" xr:uid="{853E594A-6711-4E4F-AF77-71DC53E7F3C9}"/>
    <hyperlink ref="G942" r:id="rId1015" xr:uid="{B3777622-7282-4969-B2E7-076B34246151}"/>
    <hyperlink ref="G943" r:id="rId1016" xr:uid="{99E5B0A4-6673-4CE1-9A14-E6736CCCFD38}"/>
    <hyperlink ref="G944" r:id="rId1017" xr:uid="{FD83628D-0F06-4D00-9B03-1B40D6175CF6}"/>
    <hyperlink ref="G945" r:id="rId1018" xr:uid="{17DAC20E-AF01-4071-87DA-CC1374652F1E}"/>
    <hyperlink ref="G946" r:id="rId1019" xr:uid="{908966CC-795A-4EB8-BA8A-DF98B120765C}"/>
    <hyperlink ref="G947" r:id="rId1020" xr:uid="{C6EA75B0-BFC0-48F0-9389-C00824758AE8}"/>
    <hyperlink ref="G948" r:id="rId1021" xr:uid="{597BDFC1-4D56-4DBA-BEBB-B0B512453A89}"/>
    <hyperlink ref="G949" r:id="rId1022" xr:uid="{B597159A-EEDE-4D5B-B8EF-61107D2BD56C}"/>
    <hyperlink ref="G950" r:id="rId1023" xr:uid="{712CA3D3-E289-48E2-8E9C-6BD5CE223A9D}"/>
    <hyperlink ref="AN950" r:id="rId1024" location="Detalles_del_proyecto" xr:uid="{291E8E60-75CC-42C2-864A-BB9ECD50CD6D}"/>
    <hyperlink ref="G951" r:id="rId1025" xr:uid="{07CD24FC-8AC7-43F3-AF6F-EFDC95D12C87}"/>
    <hyperlink ref="AN951" r:id="rId1026" xr:uid="{1171AA5E-C4AF-4D1F-A502-77A62B1EE89A}"/>
    <hyperlink ref="G952" r:id="rId1027" xr:uid="{D084139A-F3EF-4E99-8805-4CBD2358A621}"/>
    <hyperlink ref="AN952" r:id="rId1028" xr:uid="{80B991DB-DC38-4E0F-9E0D-1D39BCCB09AB}"/>
    <hyperlink ref="G953" r:id="rId1029" xr:uid="{7577F326-2A84-4B06-B347-B1AACCC4F9D1}"/>
    <hyperlink ref="AN953" r:id="rId1030" xr:uid="{B4049528-A151-4F9D-8579-3DB4FB3D9253}"/>
    <hyperlink ref="G954" r:id="rId1031" xr:uid="{C0F0F906-7529-473C-B89C-8121845EC65F}"/>
    <hyperlink ref="AN954" r:id="rId1032" xr:uid="{28A48BBF-5DF7-4C96-8550-1C2939FD69D9}"/>
    <hyperlink ref="G955" r:id="rId1033" xr:uid="{50289BDC-D611-4EDC-B993-9D53D1FA1F37}"/>
    <hyperlink ref="AN955" r:id="rId1034" xr:uid="{BD97BE1E-976D-4B2A-94C9-79AC0B3FA00B}"/>
    <hyperlink ref="G956" r:id="rId1035" xr:uid="{77075896-149B-44C5-86C5-D06318D3F19A}"/>
    <hyperlink ref="AN956" r:id="rId1036" xr:uid="{1C3F0F48-6C15-435B-8AD0-A49229F58384}"/>
    <hyperlink ref="G957" r:id="rId1037" xr:uid="{1D05D7A6-E56F-40DE-B7CD-3189867AB818}"/>
    <hyperlink ref="G958" r:id="rId1038" xr:uid="{86364426-F6D2-43CE-9D5B-EB346F506A1F}"/>
    <hyperlink ref="G959" r:id="rId1039" xr:uid="{22AA8A5E-31FB-490E-B6DA-DBC02B9CAB00}"/>
    <hyperlink ref="G960" r:id="rId1040" xr:uid="{67FBEA86-E36A-4C56-8CF8-19D204BE1BE4}"/>
    <hyperlink ref="G961" r:id="rId1041" xr:uid="{1A7F384A-3E7D-46FE-A9D0-BBD73318BCD8}"/>
    <hyperlink ref="G962" r:id="rId1042" xr:uid="{69611F29-010F-4623-84D8-665D1AB89921}"/>
    <hyperlink ref="G963" r:id="rId1043" xr:uid="{2130761E-39B3-44F7-8871-EDDC9F56218E}"/>
    <hyperlink ref="G964" r:id="rId1044" xr:uid="{D8DDA395-7992-4A4F-825D-09134749A3A4}"/>
    <hyperlink ref="G965" r:id="rId1045" xr:uid="{5DAB52CD-6299-46B8-A835-239C2D409FE0}"/>
    <hyperlink ref="G966" r:id="rId1046" xr:uid="{4D60B7E9-3215-49EC-B539-20153FE3680B}"/>
    <hyperlink ref="G967" r:id="rId1047" xr:uid="{941B594D-EB7C-4747-82C8-BC40BD7CE077}"/>
    <hyperlink ref="G968" r:id="rId1048" xr:uid="{B1F0E38A-30C1-4185-AB85-B18E73FBCF62}"/>
    <hyperlink ref="G969" r:id="rId1049" xr:uid="{D9C6485F-1994-4DF5-9CA9-34136E07DE66}"/>
    <hyperlink ref="G970" r:id="rId1050" xr:uid="{F443F80C-DCAB-4C0E-A1EC-230B3ACB2A70}"/>
    <hyperlink ref="G971" r:id="rId1051" xr:uid="{5D7200A8-5C87-457F-B391-AE3584B0F1C4}"/>
    <hyperlink ref="G972" r:id="rId1052" xr:uid="{E8C5A898-1E95-4A1E-8C5A-0A4861132808}"/>
    <hyperlink ref="G973" r:id="rId1053" xr:uid="{7CBB4C3A-C154-414D-885A-607292A38F0F}"/>
    <hyperlink ref="G974" r:id="rId1054" xr:uid="{68E1922D-91E1-4C76-B3DC-1CA054BDF395}"/>
    <hyperlink ref="G975" r:id="rId1055" xr:uid="{F693F503-A213-466F-A0AB-510DD314C066}"/>
    <hyperlink ref="G976" r:id="rId1056" xr:uid="{33C8548F-67BD-4F67-90D4-A42CEF12E6B2}"/>
    <hyperlink ref="G977" r:id="rId1057" xr:uid="{C2BC7888-B623-49CB-8CED-21869D2B85D5}"/>
    <hyperlink ref="G978" r:id="rId1058" xr:uid="{31E577E4-759A-4286-9411-5CB635A751D2}"/>
    <hyperlink ref="G979" r:id="rId1059" xr:uid="{5B4D67EA-7A80-4757-A5DF-FC343B12FD1E}"/>
    <hyperlink ref="G980" r:id="rId1060" xr:uid="{3C4D85FF-83E6-415B-9499-B5673AEE8B4C}"/>
    <hyperlink ref="G981" r:id="rId1061" xr:uid="{AF1EB4EA-159D-43E9-A6E7-3E223659233B}"/>
    <hyperlink ref="G982" r:id="rId1062" xr:uid="{A4418F88-C882-4F2D-824A-3A7A4AF73976}"/>
    <hyperlink ref="G983" r:id="rId1063" xr:uid="{73CD470E-858D-4E58-A47A-79665AC1CB55}"/>
    <hyperlink ref="G984" r:id="rId1064" xr:uid="{CE59AD1C-8B07-4EC1-8FAE-C1817590CF05}"/>
    <hyperlink ref="G985" r:id="rId1065" xr:uid="{168FFEF6-E5E2-49E8-9547-ADC540312C1C}"/>
    <hyperlink ref="G986" r:id="rId1066" xr:uid="{0E8CC0B4-B51E-4D35-8411-0F78616B5827}"/>
    <hyperlink ref="G987" r:id="rId1067" xr:uid="{BD8FF886-4AF7-4E87-97C2-B8C88123FBAF}"/>
    <hyperlink ref="G988" r:id="rId1068" xr:uid="{9DB77DA6-BD65-4B2A-809B-65284E6A9501}"/>
    <hyperlink ref="G989" r:id="rId1069" xr:uid="{8DA6A91E-6A26-4E41-8F40-602026B26391}"/>
    <hyperlink ref="G990" r:id="rId1070" xr:uid="{FB49ABBE-2087-48C0-BD6A-5F94625402F8}"/>
    <hyperlink ref="G991" r:id="rId1071" xr:uid="{AEF17999-B0AD-4A83-AED9-3A4E3E9DACB3}"/>
    <hyperlink ref="G992" r:id="rId1072" xr:uid="{2C630418-CB57-4978-9D1D-B775DCF362F7}"/>
    <hyperlink ref="G993" r:id="rId1073" xr:uid="{8CA24AD6-C6D0-46E0-8F48-55F1633E6915}"/>
    <hyperlink ref="G994" r:id="rId1074" xr:uid="{6CB26044-202F-47FF-A39C-95D01D54F6D8}"/>
    <hyperlink ref="G995" r:id="rId1075" xr:uid="{CD011A49-D625-42F7-B675-506F10931C29}"/>
    <hyperlink ref="G996" r:id="rId1076" xr:uid="{38B87441-457F-4060-9495-1303533553AF}"/>
    <hyperlink ref="G997" r:id="rId1077" xr:uid="{6D5B9F42-9190-4C1C-9BD3-13F7AFB8F23C}"/>
    <hyperlink ref="G998" r:id="rId1078" xr:uid="{FDE88D04-E097-4C66-B056-5D9CCB42F5E7}"/>
    <hyperlink ref="G999" r:id="rId1079" xr:uid="{F0A12A19-A3EA-46DD-BB64-E3F1CC15A3A1}"/>
    <hyperlink ref="G1000" r:id="rId1080" xr:uid="{307910F8-D0A5-47BD-949D-CF50C616BAD0}"/>
    <hyperlink ref="G1001" r:id="rId1081" xr:uid="{EB047E62-3B07-432F-A5DE-95D0ABB3BC54}"/>
    <hyperlink ref="G1002" r:id="rId1082" xr:uid="{7BD9C942-993D-438B-9985-4450D192637C}"/>
    <hyperlink ref="G1003" r:id="rId1083" xr:uid="{5BAB65A6-23CA-4CB9-B185-7E3FB383F1D5}"/>
    <hyperlink ref="G1004" r:id="rId1084" xr:uid="{AB6DA0AB-3E44-4A81-8C02-365A1689D659}"/>
    <hyperlink ref="G1005" r:id="rId1085" xr:uid="{9BF0F390-E35A-445C-8639-EECABCD9283F}"/>
    <hyperlink ref="G1006" r:id="rId1086" xr:uid="{828E39DB-21B4-4CFD-A542-7933619D7582}"/>
    <hyperlink ref="G1007" r:id="rId1087" xr:uid="{79A3747A-A456-4C5B-B825-3EEE1480C0C5}"/>
    <hyperlink ref="G1008" r:id="rId1088" xr:uid="{237FFDE7-1BDA-4E47-BB6A-DE8AD9F57B66}"/>
    <hyperlink ref="G1009" r:id="rId1089" xr:uid="{6C478E78-02BD-4E9A-AB1C-4BD7E213C832}"/>
    <hyperlink ref="G1010" r:id="rId1090" xr:uid="{02ED91C3-A0F8-47E9-9354-58B82E17F0AB}"/>
    <hyperlink ref="G1011" r:id="rId1091" xr:uid="{58A96DBF-0E83-41A8-A813-E6087BBDBC89}"/>
    <hyperlink ref="G1012" r:id="rId1092" xr:uid="{E1779717-BA22-48AA-9953-24D8AC0A032D}"/>
    <hyperlink ref="G1013" r:id="rId1093" xr:uid="{54E51CFF-670D-435C-8C1F-6BEF78531436}"/>
    <hyperlink ref="G1014" r:id="rId1094" xr:uid="{4D7925E8-5A66-45E4-8202-864C60510064}"/>
    <hyperlink ref="G1015" r:id="rId1095" xr:uid="{FD27ED0D-3755-4352-8000-D9116A50D0BC}"/>
    <hyperlink ref="G1016" r:id="rId1096" xr:uid="{8D1A48B6-FFB1-4CE5-B5E8-9E3A2987AFDA}"/>
    <hyperlink ref="G1017" r:id="rId1097" xr:uid="{C86E7353-B62D-42A6-96C6-1BEF3CFCF369}"/>
    <hyperlink ref="G1018" r:id="rId1098" xr:uid="{228B5335-3F32-49BB-8B65-A9BCC8E464CC}"/>
    <hyperlink ref="G1019" r:id="rId1099" xr:uid="{6D1D7E86-54D4-4F4A-B8B8-B1768DB47A15}"/>
    <hyperlink ref="G1020" r:id="rId1100" xr:uid="{88F54D37-D61A-4CAD-ABCF-FC1E0BD9B164}"/>
    <hyperlink ref="G1021" r:id="rId1101" xr:uid="{CAEEDD30-578F-4899-98F3-65C5CEE6C607}"/>
    <hyperlink ref="G1022" r:id="rId1102" xr:uid="{3C33CEDA-6064-43AF-89FD-336085D29BB9}"/>
    <hyperlink ref="G1023" r:id="rId1103" xr:uid="{7B7C14EB-CB7C-453D-B871-2A2414F1A9D2}"/>
    <hyperlink ref="G1024" r:id="rId1104" xr:uid="{CF37E1E7-70D0-41EC-A7EC-A45A49A772E3}"/>
    <hyperlink ref="G1025" r:id="rId1105" xr:uid="{4159FC77-7AA8-41D0-8C41-03A6791B2A06}"/>
    <hyperlink ref="G1026" r:id="rId1106" xr:uid="{5B02C65F-DC67-41A9-8371-6B2DC2E95B84}"/>
    <hyperlink ref="G1027" r:id="rId1107" xr:uid="{BA39DC77-05C5-4980-8435-3FC8E5500C82}"/>
    <hyperlink ref="G1028" r:id="rId1108" xr:uid="{CE6DC984-0694-44E8-9698-4320739DF6DA}"/>
    <hyperlink ref="G1029" r:id="rId1109" xr:uid="{7CDBB7F8-AC64-4F85-9442-22D4FD97FC35}"/>
    <hyperlink ref="G1030" r:id="rId1110" xr:uid="{E1DC9324-E3C4-4587-B798-D22CE6C4394E}"/>
    <hyperlink ref="G1031" r:id="rId1111" xr:uid="{02EDB0D1-141A-457F-A201-E6517BCE0414}"/>
    <hyperlink ref="G1032" r:id="rId1112" xr:uid="{8947A735-5017-4796-80EB-745FAAC8C938}"/>
    <hyperlink ref="G1033" r:id="rId1113" xr:uid="{4035E762-555D-410E-8EA1-49930F54C071}"/>
    <hyperlink ref="G1034" r:id="rId1114" xr:uid="{7BE2CD12-0CC7-4FFD-A73B-C7FA7E6AB307}"/>
    <hyperlink ref="G1035" r:id="rId1115" xr:uid="{81E4978E-9CB4-4263-9121-85332D4AE059}"/>
    <hyperlink ref="G1036" r:id="rId1116" xr:uid="{3026E635-88A6-4D9C-852E-BA3C461A6A73}"/>
    <hyperlink ref="G1037" r:id="rId1117" xr:uid="{A3E00D51-89EF-4F40-8CFA-1C2CF7F7FFC7}"/>
    <hyperlink ref="G1038" r:id="rId1118" xr:uid="{9AB22F72-5CA2-485A-90B8-24EFE43D052E}"/>
    <hyperlink ref="G1039" r:id="rId1119" xr:uid="{89322EA9-8098-4E58-AEA1-E227ADBB1E15}"/>
    <hyperlink ref="G1040" r:id="rId1120" xr:uid="{80A63C70-6978-4673-85DF-CB751ECC1320}"/>
    <hyperlink ref="G1041" r:id="rId1121" xr:uid="{205B1877-14BC-40D4-8ABC-BA77F45DA520}"/>
    <hyperlink ref="G1042" r:id="rId1122" xr:uid="{34385EAE-062E-4B85-8765-00E766C046BB}"/>
    <hyperlink ref="G1043" r:id="rId1123" xr:uid="{4C016F3B-0ACA-4529-A172-F49032AEB9C8}"/>
    <hyperlink ref="G1044" r:id="rId1124" xr:uid="{8849B7A4-7213-420B-BB93-54AFDBF1AC0C}"/>
    <hyperlink ref="G1045" r:id="rId1125" xr:uid="{5BB5BEF3-F9B9-4105-8B45-BF34195F027A}"/>
    <hyperlink ref="G1046" r:id="rId1126" xr:uid="{1B600A2C-9794-4F96-8A92-6D741B24F0F0}"/>
    <hyperlink ref="G1047" r:id="rId1127" xr:uid="{2686FEA4-2A1A-4AC5-8454-3EE30894528C}"/>
    <hyperlink ref="G1048" r:id="rId1128" xr:uid="{598D14FC-C5EF-4224-A1BE-21F46172A025}"/>
    <hyperlink ref="G1049" r:id="rId1129" xr:uid="{C1A526D5-122E-4CD9-B7CB-C0E7858D6E7C}"/>
    <hyperlink ref="G1050" r:id="rId1130" xr:uid="{364205D1-BE8E-4C08-8535-D140968F4D73}"/>
    <hyperlink ref="G1051" r:id="rId1131" xr:uid="{2E04F262-5F5A-4D34-9C40-3635B0ECB7CC}"/>
    <hyperlink ref="G1052" r:id="rId1132" xr:uid="{BA1CDF66-14CE-439B-A9CA-B33D4DD6B501}"/>
    <hyperlink ref="G1053" r:id="rId1133" xr:uid="{8323F32B-E894-40BC-BD6C-6F0F58748271}"/>
    <hyperlink ref="G1054" r:id="rId1134" xr:uid="{69ADCB4E-FE7B-4A27-81BD-F58B484D8D2F}"/>
    <hyperlink ref="G1055" r:id="rId1135" xr:uid="{924EC843-CEA3-4B69-9575-6795D6B74964}"/>
    <hyperlink ref="G1056" r:id="rId1136" xr:uid="{ACB13416-F064-4DF2-8AE9-2E28FC10B008}"/>
    <hyperlink ref="G1057" r:id="rId1137" xr:uid="{2DE40CB3-3D92-4D5F-8CB0-68AA28F7475D}"/>
    <hyperlink ref="G1058" r:id="rId1138" xr:uid="{2B83F247-EDC7-442A-94D2-015160C142F5}"/>
    <hyperlink ref="G1059" r:id="rId1139" xr:uid="{81DEFD5D-1EA8-4ED9-B129-B187D4AF0A9E}"/>
    <hyperlink ref="G1060" r:id="rId1140" xr:uid="{C11D26E7-A17B-4773-9802-F415FE52A7FA}"/>
    <hyperlink ref="G1061" r:id="rId1141" xr:uid="{B015D538-5972-43D3-8300-4260AC63003B}"/>
    <hyperlink ref="G1062" r:id="rId1142" xr:uid="{9DCEEC36-C906-4F6E-A784-0380B8F66CA7}"/>
    <hyperlink ref="G1063" r:id="rId1143" xr:uid="{21158571-DD58-4FFE-ADCB-044B079BA826}"/>
    <hyperlink ref="G1064" r:id="rId1144" xr:uid="{2ED96687-7B75-471C-AE54-B8F85FE3107D}"/>
    <hyperlink ref="G1065" r:id="rId1145" xr:uid="{ED4A8CC7-AB6D-41FD-8719-E7BB3F3C2C0C}"/>
    <hyperlink ref="G1066" r:id="rId1146" xr:uid="{E3188BF0-BE69-440C-9E66-B049E755EF51}"/>
    <hyperlink ref="G1067" r:id="rId1147" xr:uid="{6B0F4E7F-E360-4AB3-8F8B-AF1EA3323F04}"/>
    <hyperlink ref="G1068" r:id="rId1148" xr:uid="{EB7800DE-D510-4FBE-8DEE-3B8D7FE8105F}"/>
    <hyperlink ref="G1069" r:id="rId1149" xr:uid="{3C1C2FCE-56C1-4521-B526-AA51F5C4EAEB}"/>
    <hyperlink ref="G1070" r:id="rId1150" xr:uid="{BA5D3ACC-5C7F-4414-8F2A-D6ABCB07CB7C}"/>
    <hyperlink ref="G1071" r:id="rId1151" xr:uid="{35BBBF23-D562-4C90-A41B-F640DD8AE34D}"/>
    <hyperlink ref="G1072" r:id="rId1152" xr:uid="{222FD411-4893-4B30-B4C9-AE6635114C13}"/>
    <hyperlink ref="G1073" r:id="rId1153" xr:uid="{F4859829-BE7B-490A-8937-3637EF341BBD}"/>
    <hyperlink ref="G1074" r:id="rId1154" xr:uid="{46C4CCBD-1862-4528-A25C-440E65C44717}"/>
    <hyperlink ref="G1075" r:id="rId1155" xr:uid="{92E227DA-E025-4AB0-97BA-9CE6350BD99A}"/>
    <hyperlink ref="G1076" r:id="rId1156" xr:uid="{8E2A8F8D-8F9B-4DE3-9666-1C24F09D9281}"/>
    <hyperlink ref="G1077" r:id="rId1157" xr:uid="{9638DE47-0C7C-4A19-9221-2A8F509204CC}"/>
    <hyperlink ref="G1078" r:id="rId1158" xr:uid="{8AFE3968-871A-4A06-A849-81CCA22F92F1}"/>
    <hyperlink ref="G1079" r:id="rId1159" xr:uid="{3A62AE05-F75F-4526-B8EA-A8365F6B61B0}"/>
    <hyperlink ref="G1080" r:id="rId1160" xr:uid="{E6C71D74-2B45-41D6-9DB2-75E3D5221B0B}"/>
    <hyperlink ref="G1081" r:id="rId1161" xr:uid="{613C0B61-8BD2-42C8-882D-AB40DA366766}"/>
    <hyperlink ref="G1082" r:id="rId1162" xr:uid="{3FB8CA23-CE85-4C79-9CFD-2F4DA004B034}"/>
    <hyperlink ref="G1083" r:id="rId1163" xr:uid="{A8898F19-CE87-4450-9345-7ADFA6802C42}"/>
    <hyperlink ref="G1084" r:id="rId1164" xr:uid="{AD90F148-CD23-4B41-9726-DAAAF775885D}"/>
    <hyperlink ref="G1085" r:id="rId1165" xr:uid="{294AF0A9-C923-4DA4-9A31-8A68AA610ABC}"/>
    <hyperlink ref="G1086" r:id="rId1166" xr:uid="{11AEFBDC-6F3A-4F82-A396-59C4D866A615}"/>
    <hyperlink ref="G1087" r:id="rId1167" xr:uid="{153F4B64-3031-4A0F-8D67-186F2639EB14}"/>
    <hyperlink ref="G1088" r:id="rId1168" xr:uid="{58575EDD-A38D-42A5-950D-45BAC55FC82F}"/>
    <hyperlink ref="G1089" r:id="rId1169" xr:uid="{42F40AFB-03CA-46B2-A9B7-D15D797AF7B0}"/>
    <hyperlink ref="G1090" r:id="rId1170" xr:uid="{A1E54096-75AB-4754-BA4B-7C66B70A52D0}"/>
    <hyperlink ref="G1091" r:id="rId1171" xr:uid="{63092BC8-11E3-4E8C-964F-6D0E7206E462}"/>
    <hyperlink ref="G1092" r:id="rId1172" xr:uid="{A31BB1B5-BC64-4D99-B360-C32B55115D57}"/>
    <hyperlink ref="G1093" r:id="rId1173" xr:uid="{C56FBE06-9F12-4B69-BBBC-334452F2AAFF}"/>
    <hyperlink ref="G1094" r:id="rId1174" xr:uid="{E817A703-15AC-45B5-9FCC-87A896D2800F}"/>
    <hyperlink ref="G1095" r:id="rId1175" xr:uid="{63DE7FFA-2E43-409C-842C-2765A44CA858}"/>
    <hyperlink ref="G1096" r:id="rId1176" xr:uid="{EB375DEF-98E3-4D1F-AD31-2AD42DBB6520}"/>
    <hyperlink ref="G1097" r:id="rId1177" xr:uid="{412A55F0-903B-4DE8-994F-920A1899B351}"/>
    <hyperlink ref="G1098" r:id="rId1178" xr:uid="{1F4EC939-7F50-4144-83A5-23A26A844FD2}"/>
    <hyperlink ref="G1099" r:id="rId1179" xr:uid="{CBE57783-49FC-4D8B-A896-2134CE8E962E}"/>
    <hyperlink ref="G1100" r:id="rId1180" xr:uid="{90C646A5-8552-4160-A06C-F5CB4BA1AF8F}"/>
    <hyperlink ref="G1101" r:id="rId1181" xr:uid="{1EFDBD3F-CF9A-46CC-8CB4-198DFCC38696}"/>
    <hyperlink ref="G1102" r:id="rId1182" xr:uid="{5500F9F3-9938-4F34-B24A-0EC19F1B870E}"/>
    <hyperlink ref="G1103" r:id="rId1183" xr:uid="{DDEC1421-6D3F-40F5-9D6D-00EE2F4FADAF}"/>
    <hyperlink ref="G1104" r:id="rId1184" xr:uid="{2D1B92A8-8738-44BD-8ADD-183956564AC2}"/>
    <hyperlink ref="G1105" r:id="rId1185" xr:uid="{2E3C0DA5-72A3-4EEF-A3A9-111059465440}"/>
    <hyperlink ref="G1106" r:id="rId1186" xr:uid="{14A591FF-1D24-4343-9C86-9402C2269F7E}"/>
    <hyperlink ref="AN1106" r:id="rId1187" xr:uid="{82A9A292-3404-4D32-AC5C-1860E7534756}"/>
    <hyperlink ref="G1107" r:id="rId1188" xr:uid="{AE8E1EAE-BEC9-4089-9CDD-A7139701B9AA}"/>
    <hyperlink ref="G1108" r:id="rId1189" xr:uid="{69173D8C-A49A-4F8E-8DCF-EF34641FFAA9}"/>
    <hyperlink ref="G1109" r:id="rId1190" xr:uid="{2EC8F69C-AC97-48ED-ABF9-947757ADED79}"/>
    <hyperlink ref="G1110" r:id="rId1191" xr:uid="{656753E7-3577-4596-95A2-F046D7AD77EC}"/>
    <hyperlink ref="G1111" r:id="rId1192" xr:uid="{CD40D1DE-8846-44D0-A2F0-CBF0C48E7C15}"/>
    <hyperlink ref="G1112" r:id="rId1193" xr:uid="{14E6A975-E077-4DBE-BCA5-3B225921FBF4}"/>
    <hyperlink ref="G1113" r:id="rId1194" xr:uid="{DFF8EE8F-8A57-419C-A791-60B74CE96A26}"/>
    <hyperlink ref="G1114" r:id="rId1195" xr:uid="{ED1301D2-7966-4A81-B3D5-0237003C2D41}"/>
    <hyperlink ref="G1115" r:id="rId1196" xr:uid="{51F0540A-38D8-4B99-8235-5B6479851BD4}"/>
    <hyperlink ref="G1116" r:id="rId1197" xr:uid="{410017D9-450C-4379-B764-A9E1069B1BE2}"/>
    <hyperlink ref="G1117" r:id="rId1198" xr:uid="{F3D2F65A-2B3E-42D6-BC60-7E4690379B2B}"/>
    <hyperlink ref="G1118" r:id="rId1199" xr:uid="{1196CB8E-7E86-4EFE-9BBC-E4F0CD777059}"/>
    <hyperlink ref="G1119" r:id="rId1200" xr:uid="{16C2073D-F185-4C4D-800E-F6A7F7F4E8F4}"/>
    <hyperlink ref="G1120" r:id="rId1201" xr:uid="{B66EC006-DDBA-44CB-842B-3ECA43343B42}"/>
    <hyperlink ref="G1121" r:id="rId1202" xr:uid="{E2EB611B-6384-493F-884B-5E13F7186FBD}"/>
    <hyperlink ref="G1122" r:id="rId1203" xr:uid="{B1B28704-B2BA-4C39-8FAC-96BCA4439BEB}"/>
    <hyperlink ref="G1123" r:id="rId1204" xr:uid="{A152D5B7-20AC-45F5-9308-5BC8F788EF61}"/>
    <hyperlink ref="G1124" r:id="rId1205" xr:uid="{53A859AA-B348-451C-8721-86323B23764F}"/>
    <hyperlink ref="G1125" r:id="rId1206" xr:uid="{98C41AB7-0B37-456D-8908-EA671C0DCDA6}"/>
    <hyperlink ref="G1126" r:id="rId1207" xr:uid="{64E49E9B-05E9-4489-ABF7-4F258ECB8A4E}"/>
    <hyperlink ref="G1127" r:id="rId1208" xr:uid="{63645C03-D402-406C-A35C-960F9F1FAD34}"/>
    <hyperlink ref="G1128" r:id="rId1209" xr:uid="{8EE0417F-EEF7-4631-8E51-5A2658EEC011}"/>
    <hyperlink ref="G1129" r:id="rId1210" xr:uid="{15032496-7875-489C-B535-6FB6430AE2BE}"/>
    <hyperlink ref="G1130" r:id="rId1211" xr:uid="{683729FA-DEF5-4D47-BCF2-0A5547B091E5}"/>
    <hyperlink ref="G1131" r:id="rId1212" xr:uid="{7068BB6A-D858-495A-9EFE-0DC814F6F63D}"/>
    <hyperlink ref="G1132" r:id="rId1213" xr:uid="{A7D993E6-A5DF-42A4-BE4E-8789526B1F1C}"/>
    <hyperlink ref="G1133" r:id="rId1214" xr:uid="{22C60170-6236-47CF-BF2A-D1A06C25394C}"/>
    <hyperlink ref="G1134" r:id="rId1215" xr:uid="{E044D007-FDDD-4715-86B8-84DD7AB8882C}"/>
    <hyperlink ref="G1135" r:id="rId1216" xr:uid="{6585FAD6-D448-41F0-A8CD-0A55E5890E6F}"/>
    <hyperlink ref="G1136" r:id="rId1217" xr:uid="{E8C21BDA-BF84-46C5-8F2D-9D412CA7F528}"/>
    <hyperlink ref="G1137" r:id="rId1218" xr:uid="{B56332DF-F93A-4D84-933B-0A765DF3E7D2}"/>
    <hyperlink ref="AN1137" r:id="rId1219" xr:uid="{79C8F9D1-3E60-48E4-963F-C6CE2353D67D}"/>
    <hyperlink ref="G1138" r:id="rId1220" xr:uid="{6E15BCD0-C7F3-47DD-8766-D2297B90A513}"/>
    <hyperlink ref="G1139" r:id="rId1221" xr:uid="{9D6FD86E-5402-4649-922B-7C4200ED4CCF}"/>
    <hyperlink ref="G1140" r:id="rId1222" xr:uid="{C68A09FB-96BD-466E-A077-1464F86640D1}"/>
    <hyperlink ref="G1141" r:id="rId1223" xr:uid="{EF751F7C-62CC-4A61-BBD4-4C5546E2AAB5}"/>
    <hyperlink ref="G1142" r:id="rId1224" xr:uid="{9A436691-9952-456E-9D38-2F9559863E75}"/>
    <hyperlink ref="G1143" r:id="rId1225" xr:uid="{AF57430E-8A25-47CC-ACFC-ADCEED729182}"/>
    <hyperlink ref="G1144" r:id="rId1226" xr:uid="{E6978597-F1BB-4EA1-AAE1-BB9DD3959E17}"/>
    <hyperlink ref="G1145" r:id="rId1227" xr:uid="{EE495C28-8F68-4D9E-B817-9F65B6145E12}"/>
    <hyperlink ref="G1146" r:id="rId1228" xr:uid="{EB320155-CA3F-423A-926F-01D60A5DEDB8}"/>
    <hyperlink ref="G1147" r:id="rId1229" xr:uid="{17FB84F9-20F0-4903-8069-8A8915AEDF70}"/>
    <hyperlink ref="G1148" r:id="rId1230" xr:uid="{2E37CFB7-4780-4092-AD1F-14B7DD7F2368}"/>
    <hyperlink ref="G1149" r:id="rId1231" xr:uid="{FAB5A673-37A8-4C76-A68F-43D5C4EE4332}"/>
    <hyperlink ref="G1150" r:id="rId1232" xr:uid="{A8A951FB-CCF6-49E4-96F2-AD5F118F039D}"/>
    <hyperlink ref="G1151" r:id="rId1233" xr:uid="{337F5528-2005-4618-BD6D-2DCC03BC8474}"/>
    <hyperlink ref="G1152" r:id="rId1234" xr:uid="{759D64B8-8B85-4035-BFEA-69827D4089D3}"/>
    <hyperlink ref="G1153" r:id="rId1235" xr:uid="{79A8D316-354C-45EE-83CC-97AC9C1E2C24}"/>
    <hyperlink ref="G1154" r:id="rId1236" xr:uid="{88A45AE5-1FB0-48C5-B0EF-31C756A69228}"/>
    <hyperlink ref="G1155" r:id="rId1237" xr:uid="{0EC82402-4B2D-40F8-AFEF-E73EDD3181BF}"/>
    <hyperlink ref="G1156" r:id="rId1238" xr:uid="{D2F90638-76C4-4481-A8BA-8CB058ED7911}"/>
    <hyperlink ref="G1157" r:id="rId1239" xr:uid="{8BCEFBFA-5A31-47F6-A70E-F4B84633BEEA}"/>
    <hyperlink ref="G1158" r:id="rId1240" xr:uid="{8FFF0CB3-12C2-4B03-8A95-1A8C26258942}"/>
    <hyperlink ref="AN1158" r:id="rId1241" xr:uid="{0CB733A2-AA80-4069-AEAA-B3DD7141CEA9}"/>
    <hyperlink ref="G1159" r:id="rId1242" xr:uid="{73180A9B-6CFC-4AE7-8844-1FF2FFBB6CAF}"/>
    <hyperlink ref="AN1159" r:id="rId1243" xr:uid="{9750A182-10E6-4EBC-AE5B-9FA5D5C2CA3E}"/>
    <hyperlink ref="G1160" r:id="rId1244" xr:uid="{FA941797-E7FC-46E8-BCE4-E06CD368005D}"/>
    <hyperlink ref="AN1160" r:id="rId1245" xr:uid="{910045FC-EF57-46C5-94EF-F0C840F0C495}"/>
    <hyperlink ref="G1161" r:id="rId1246" xr:uid="{81E49B4E-3F09-4688-A1F9-ADAA90FDDDAA}"/>
    <hyperlink ref="G1162" r:id="rId1247" xr:uid="{922F415A-3C64-4E0B-8F63-B0EBC4FF37CD}"/>
    <hyperlink ref="G1163" r:id="rId1248" xr:uid="{9A4746CC-A567-4CEE-A95C-7650722A7345}"/>
    <hyperlink ref="G1164" r:id="rId1249" xr:uid="{BC4EEAC9-342C-4DE1-B05D-A511A2F4777F}"/>
    <hyperlink ref="G1165" r:id="rId1250" xr:uid="{AFC40055-1F4D-40C5-9DB5-AE0B9D136CC3}"/>
    <hyperlink ref="G1166" r:id="rId1251" xr:uid="{14AE8448-9E4B-4D0A-AB6D-035D40C8A9D0}"/>
    <hyperlink ref="G1167" r:id="rId1252" xr:uid="{EC8FDC44-947A-47C7-8889-368542D674C0}"/>
    <hyperlink ref="G1168" r:id="rId1253" xr:uid="{915C0B80-BEA1-4DC8-8A00-A39CFD5EFA59}"/>
    <hyperlink ref="G1169" r:id="rId1254" xr:uid="{F8C9E8AF-4ED5-444E-AC2C-9D925C62D067}"/>
    <hyperlink ref="G1170" r:id="rId1255" xr:uid="{7430B754-0058-4320-9ED5-A5E30935174D}"/>
    <hyperlink ref="G1171" r:id="rId1256" xr:uid="{1D3A900C-F161-41AE-AF87-9195A5957635}"/>
    <hyperlink ref="G1172" r:id="rId1257" xr:uid="{0D5B6543-F626-460B-B87C-597F8DB51A64}"/>
    <hyperlink ref="G1173" r:id="rId1258" xr:uid="{74A865EC-EC2F-45A3-897B-CCC79F995FF6}"/>
    <hyperlink ref="G1174" r:id="rId1259" xr:uid="{918C89A1-937E-48DB-9B45-3BE67207634A}"/>
    <hyperlink ref="G1175" r:id="rId1260" xr:uid="{8D29E1B1-9A38-4F3B-BDC3-5134E16F3ACB}"/>
    <hyperlink ref="G1176" r:id="rId1261" xr:uid="{77727D8C-78E0-4C63-987A-1890DE10ABCC}"/>
    <hyperlink ref="G1177" r:id="rId1262" xr:uid="{B7BECCF8-640A-46C8-AF51-79127BA5A61A}"/>
    <hyperlink ref="G1178" r:id="rId1263" xr:uid="{33EB98D4-DBB1-4CA8-B8E4-A53D03A69EDE}"/>
    <hyperlink ref="G1179" r:id="rId1264" xr:uid="{986B7EF0-3077-4C62-A41E-F18DFEB73FF4}"/>
    <hyperlink ref="G1180" r:id="rId1265" xr:uid="{08ABB7E1-19A6-4E19-AEA9-10947BEDC4EC}"/>
    <hyperlink ref="G1181" r:id="rId1266" xr:uid="{792139A1-D365-4641-BE7B-88361DF1383D}"/>
    <hyperlink ref="G1182" r:id="rId1267" xr:uid="{124F39BD-64C2-47CF-AF6A-346B96A60386}"/>
    <hyperlink ref="G1183" r:id="rId1268" xr:uid="{DD9067EB-FA6A-4136-A780-C09D831E8780}"/>
    <hyperlink ref="G1184" r:id="rId1269" xr:uid="{C243578A-DDF7-47C6-BB52-BAECA33E2191}"/>
    <hyperlink ref="G1185" r:id="rId1270" xr:uid="{CB9EE69B-C2EF-4830-95D3-42DB87449651}"/>
    <hyperlink ref="G1186" r:id="rId1271" xr:uid="{59B18E52-D579-4A32-9464-30DED86096EF}"/>
    <hyperlink ref="G1187" r:id="rId1272" xr:uid="{AE8B06F1-EDEF-4DE4-92AC-FF7A03ECFB82}"/>
    <hyperlink ref="G1188" r:id="rId1273" xr:uid="{345B685C-CF1B-4490-BEBC-92769695E4EC}"/>
    <hyperlink ref="G1189" r:id="rId1274" xr:uid="{83FCCC74-249A-4D65-BD03-A5A05DFCF8F4}"/>
    <hyperlink ref="G1190" r:id="rId1275" xr:uid="{CAC05C5C-8646-4884-88A2-B63CCA2D20F9}"/>
    <hyperlink ref="G1191" r:id="rId1276" xr:uid="{F1044C4E-05FB-4ADF-B8BA-B13C281FF0EB}"/>
    <hyperlink ref="AN1191" r:id="rId1277" xr:uid="{8686C68C-74DE-46A5-8266-19132E9EFEB9}"/>
    <hyperlink ref="G1192" r:id="rId1278" xr:uid="{27E934B2-DAFF-486B-B1FD-76C9EACDD5DF}"/>
    <hyperlink ref="AN1192" r:id="rId1279" xr:uid="{23243B75-4C60-4D18-B6AB-39900A3C41CC}"/>
    <hyperlink ref="G1193" r:id="rId1280" xr:uid="{0AEF275E-7325-431A-8FC2-EEE454B934CA}"/>
    <hyperlink ref="AN1193" r:id="rId1281" xr:uid="{6787E612-B0A8-4941-9CBB-97291835C706}"/>
    <hyperlink ref="G1194" r:id="rId1282" xr:uid="{102CDCAA-233B-4087-BE03-6C84E9C6CF8A}"/>
    <hyperlink ref="AN1194" r:id="rId1283" xr:uid="{370411C2-FA50-4678-AF26-9817E32384D0}"/>
    <hyperlink ref="G1195" r:id="rId1284" xr:uid="{947E38A2-060A-4A9A-8C8A-257B9E6BC41E}"/>
    <hyperlink ref="AN1195" r:id="rId1285" xr:uid="{D7B0D305-391F-4DE2-89B1-E443C3548C19}"/>
    <hyperlink ref="G1196" r:id="rId1286" xr:uid="{EE63408A-2FB9-4785-8633-C350BC536507}"/>
    <hyperlink ref="AN1196" r:id="rId1287" xr:uid="{7D648E0F-CBE3-4650-8199-F504598ED5D7}"/>
    <hyperlink ref="G1197" r:id="rId1288" xr:uid="{3801497D-BC73-40B2-8E93-B34228A99569}"/>
    <hyperlink ref="AN1197" r:id="rId1289" xr:uid="{70997A37-FD59-495C-91C7-1113668769DE}"/>
    <hyperlink ref="G1198" r:id="rId1290" xr:uid="{FCFABB63-FD44-4AE4-B55C-624015481689}"/>
    <hyperlink ref="AN1198" r:id="rId1291" xr:uid="{CE32B4B6-E1B8-4E58-B4F3-4083A3A06E46}"/>
    <hyperlink ref="G1199" r:id="rId1292" xr:uid="{800FA8B7-EF1B-4E27-B3D9-B736D8410D8F}"/>
    <hyperlink ref="G1200" r:id="rId1293" xr:uid="{D1C00C5E-F0EE-42AD-9AF4-093DE87D2CD5}"/>
    <hyperlink ref="G1201" r:id="rId1294" xr:uid="{6BE03872-F772-4873-928D-0C9C54EE795D}"/>
    <hyperlink ref="G1202" r:id="rId1295" xr:uid="{07E7DD9B-B581-4A9B-89B5-D1CF43621E4E}"/>
    <hyperlink ref="G1203" r:id="rId1296" xr:uid="{2A8E7E69-E485-42EB-AD3F-54CBA31510F5}"/>
    <hyperlink ref="G1204" r:id="rId1297" xr:uid="{246D4C39-FF27-474F-AC9E-B6849D13B44D}"/>
    <hyperlink ref="G1205" r:id="rId1298" xr:uid="{FD5B88BD-9BA5-4677-A096-6FDEE7B9C04A}"/>
    <hyperlink ref="G1206" r:id="rId1299" xr:uid="{2877172C-5133-4166-AFF7-7A5A91C6F362}"/>
    <hyperlink ref="G1207" r:id="rId1300" xr:uid="{32861906-AEB9-414A-93BB-AE0B94CFE2AD}"/>
    <hyperlink ref="G1208" r:id="rId1301" xr:uid="{0F96D2DE-AD24-4941-956B-DB6F17874F88}"/>
    <hyperlink ref="G1209" r:id="rId1302" xr:uid="{D2C4CA7C-986A-4BEF-8331-6DA9047C2733}"/>
    <hyperlink ref="G1210" r:id="rId1303" xr:uid="{B971F5F1-3FB2-4B4C-819E-D58E276967DC}"/>
    <hyperlink ref="G1211" r:id="rId1304" xr:uid="{B2EA58CD-6C5F-492E-9739-F0F91649CED3}"/>
    <hyperlink ref="G1212" r:id="rId1305" xr:uid="{6AC6CB0E-8892-4140-B20A-0BF1A560166E}"/>
    <hyperlink ref="G1213" r:id="rId1306" xr:uid="{678A57BD-525D-4BAC-BBA3-58D727E9A453}"/>
    <hyperlink ref="G1214" r:id="rId1307" xr:uid="{D3AC1D3F-8715-459E-B34B-E8429D87613C}"/>
    <hyperlink ref="G1215" r:id="rId1308" xr:uid="{5EFF240B-6EFE-4B3D-A220-429BDBBA72E1}"/>
    <hyperlink ref="G1216" r:id="rId1309" xr:uid="{70E44F79-8576-43F0-BC2F-1B891811B36D}"/>
    <hyperlink ref="G1217" r:id="rId1310" xr:uid="{2284CA49-3C25-4A14-B17A-B7D480F63EAB}"/>
    <hyperlink ref="G1218" r:id="rId1311" xr:uid="{F86FB731-7EE8-431C-94E4-A69E200F8132}"/>
    <hyperlink ref="G1219" r:id="rId1312" xr:uid="{AE072A6D-C6E8-40A1-97BF-2B0FB0A48084}"/>
    <hyperlink ref="G1220" r:id="rId1313" xr:uid="{C9E787D0-40C4-4A16-9699-4EDDC38298E9}"/>
    <hyperlink ref="G1221" r:id="rId1314" xr:uid="{F8BD82AD-E081-41AD-AC04-CCC328135E0B}"/>
    <hyperlink ref="G1222" r:id="rId1315" xr:uid="{D2115337-CB84-42BA-9EA4-544A591D38FA}"/>
    <hyperlink ref="G1223" r:id="rId1316" xr:uid="{A51E8CA4-16F2-44CE-98B0-D44DEC8FCA4F}"/>
    <hyperlink ref="G1224" r:id="rId1317" xr:uid="{04DF171F-B435-4040-B2EB-3FFCE812CBD0}"/>
    <hyperlink ref="G1225" r:id="rId1318" xr:uid="{BA730D8C-A74A-4870-98C5-730A306D8503}"/>
    <hyperlink ref="G1226" r:id="rId1319" xr:uid="{9A52C966-A242-42C9-8144-93812B10DE5E}"/>
    <hyperlink ref="G1227" r:id="rId1320" xr:uid="{30C3B34D-8C93-4E68-9C7F-7A95C8A87D64}"/>
    <hyperlink ref="G1228" r:id="rId1321" xr:uid="{6946B8CF-BCDF-4C2E-A15D-E992C4875789}"/>
    <hyperlink ref="G1229" r:id="rId1322" xr:uid="{AE46FFA0-24C5-40DF-A82D-485DA0A0FCD8}"/>
    <hyperlink ref="G1230" r:id="rId1323" xr:uid="{7E424D74-F11A-4811-834D-AFBD6088E844}"/>
    <hyperlink ref="G1231" r:id="rId1324" xr:uid="{F3D69384-40B1-468E-A2B5-4D26C0BEB5CB}"/>
    <hyperlink ref="G1232" r:id="rId1325" xr:uid="{9D9B2B82-6634-4FE6-B7CF-68C55FE562AA}"/>
    <hyperlink ref="G1233" r:id="rId1326" xr:uid="{8F85F441-3CB0-4B8F-A95A-2A60D2149242}"/>
    <hyperlink ref="G1234" r:id="rId1327" xr:uid="{F9B75C01-C12E-4889-954F-770AB778BB3F}"/>
    <hyperlink ref="G1235" r:id="rId1328" xr:uid="{3D9C5020-9074-4963-82E2-98C6B0ABC050}"/>
    <hyperlink ref="G1236" r:id="rId1329" xr:uid="{5817C2FE-B13B-423F-B810-4834B1AA5AE7}"/>
    <hyperlink ref="G1237" r:id="rId1330" xr:uid="{D1DC9AFA-E551-482F-AFDC-DB56C3F397A7}"/>
    <hyperlink ref="G1238" r:id="rId1331" xr:uid="{7CC9643E-333E-438A-99D6-C32B11DAFAED}"/>
    <hyperlink ref="G1239" r:id="rId1332" xr:uid="{CE68E91A-933D-4CCC-84ED-03A0AE5B542E}"/>
    <hyperlink ref="G1240" r:id="rId1333" xr:uid="{A882DA05-4D93-4D49-81F1-9BCDF765C8A3}"/>
    <hyperlink ref="G1241" r:id="rId1334" xr:uid="{DDAED48D-B5B1-4F5C-9D9E-927AB53451D5}"/>
    <hyperlink ref="G1242" r:id="rId1335" xr:uid="{546E060C-D6AD-47BC-B00B-D95AC3EA6DAE}"/>
    <hyperlink ref="G1243" r:id="rId1336" xr:uid="{DEE7ADBD-FCFF-461E-AB9E-009EE67B825F}"/>
    <hyperlink ref="G1244" r:id="rId1337" xr:uid="{35A07311-2FC2-43C1-BC35-8C8B49BDC76C}"/>
    <hyperlink ref="G1245" r:id="rId1338" xr:uid="{53408494-8439-4ACB-B303-BE2DDCAFCA05}"/>
    <hyperlink ref="G1246" r:id="rId1339" xr:uid="{11E66E9C-F1ED-4DC3-86EB-D2C8A723F336}"/>
    <hyperlink ref="G1247" r:id="rId1340" xr:uid="{C0C1352C-B048-4E80-8572-32EA1E8F2AFA}"/>
    <hyperlink ref="G1248" r:id="rId1341" xr:uid="{D4FB44C1-2576-4AC1-9151-21EF4F650AB2}"/>
    <hyperlink ref="G1249" r:id="rId1342" xr:uid="{F759ECB0-1AF1-484C-8521-98588E7C60FA}"/>
    <hyperlink ref="G1250" r:id="rId1343" xr:uid="{85C81CBB-17AE-42C4-86A4-C24D072BAD02}"/>
    <hyperlink ref="G1251" r:id="rId1344" xr:uid="{5D4BB876-6387-4F15-950B-0A6D85E8B45B}"/>
    <hyperlink ref="G1252" r:id="rId1345" xr:uid="{B79F898C-179D-4FE9-AEF0-99857E776939}"/>
    <hyperlink ref="G1253" r:id="rId1346" xr:uid="{8B7D8AB3-CA29-4344-B2C6-013DEB5BC605}"/>
    <hyperlink ref="G1254" r:id="rId1347" xr:uid="{17012238-6028-41B9-941A-5913986272EC}"/>
    <hyperlink ref="G1255" r:id="rId1348" xr:uid="{2A9E79A6-1CC5-4AEB-B5C0-6EDB44C8EFB7}"/>
    <hyperlink ref="G1256" r:id="rId1349" xr:uid="{ED5D1CA1-9DF3-4218-8F75-D87CA566E5AF}"/>
    <hyperlink ref="G1257" r:id="rId1350" xr:uid="{B4F6014D-5CD8-4A5C-BAB1-AEEA110F2888}"/>
    <hyperlink ref="G1258" r:id="rId1351" xr:uid="{C4E8DB33-CCBC-4A3D-96FE-A59A8A032DC4}"/>
    <hyperlink ref="G1259" r:id="rId1352" xr:uid="{51774319-291B-479A-A4CF-1F3E8238E8BA}"/>
    <hyperlink ref="G1260" r:id="rId1353" xr:uid="{7B05B758-10B7-4B61-A267-7A1C407BA5AC}"/>
    <hyperlink ref="G1261" r:id="rId1354" xr:uid="{DD52BF35-5CB9-4B1E-AC0C-B3CA1CBFFD0E}"/>
    <hyperlink ref="G1262" r:id="rId1355" xr:uid="{9C38EC81-459C-4EAF-8223-75ED42B0DD40}"/>
    <hyperlink ref="G1263" r:id="rId1356" xr:uid="{1AE75817-E380-4991-BCBE-4C7AF39B3C20}"/>
    <hyperlink ref="G1264" r:id="rId1357" xr:uid="{E3E26D7A-EACF-402D-B182-90CA2F6E1C09}"/>
    <hyperlink ref="G1265" r:id="rId1358" xr:uid="{AD5A723E-D568-4DFC-B58A-AE0CAFCF8B1B}"/>
    <hyperlink ref="G1266" r:id="rId1359" xr:uid="{87183E79-DE21-4536-B885-08D1A941A893}"/>
    <hyperlink ref="G1267" r:id="rId1360" xr:uid="{D0730F7D-4FB5-44A1-BF53-A2E3E9B414CE}"/>
    <hyperlink ref="G1268" r:id="rId1361" xr:uid="{35A150B6-A380-4539-A01A-54E9375F80BA}"/>
    <hyperlink ref="G1269" r:id="rId1362" xr:uid="{7309FA57-9868-4DBD-9984-D61CD8B23DCC}"/>
    <hyperlink ref="G1270" r:id="rId1363" xr:uid="{8675ED2D-9A8D-4028-96C2-5AED2F533B74}"/>
    <hyperlink ref="G1271" r:id="rId1364" xr:uid="{6B3D14FE-8CBC-4B9B-AB3C-B3AE9484AF8F}"/>
    <hyperlink ref="G1272" r:id="rId1365" xr:uid="{E2E4B13A-33BB-4891-A3C4-77A5F1789F2F}"/>
    <hyperlink ref="G1273" r:id="rId1366" xr:uid="{9BB3981D-25C1-4C55-8B46-6351B1D1F691}"/>
    <hyperlink ref="G1274" r:id="rId1367" xr:uid="{E9EB732B-C8F4-4BA9-9982-D9A7BBFCB6AA}"/>
    <hyperlink ref="G1275" r:id="rId1368" xr:uid="{92DFB30E-5EDF-4C8C-83BE-B734F5B581BE}"/>
    <hyperlink ref="G1276" r:id="rId1369" xr:uid="{7C1943B9-B378-4137-90BE-02C0DD191118}"/>
    <hyperlink ref="G1277" r:id="rId1370" xr:uid="{3AE778D9-65CE-40CA-8241-E89ADFC802EF}"/>
    <hyperlink ref="G1278" r:id="rId1371" xr:uid="{77AB1F62-C11B-4DE0-836B-7F7F321A9D00}"/>
    <hyperlink ref="G1279" r:id="rId1372" xr:uid="{D6CED3B1-0828-4F24-ADF0-109200783F32}"/>
    <hyperlink ref="G1280" r:id="rId1373" xr:uid="{62A728A8-62E8-4105-8151-14D6C47D705E}"/>
    <hyperlink ref="G1281" r:id="rId1374" xr:uid="{71E69291-0ABB-4DA7-A9B1-5970D5F8C592}"/>
    <hyperlink ref="G1282" r:id="rId1375" xr:uid="{F47D7CEC-CC4C-453E-B9BA-D3EAC8BFB673}"/>
    <hyperlink ref="G1283" r:id="rId1376" xr:uid="{19078BDE-B1E6-484D-96A3-2511F30EFE9F}"/>
    <hyperlink ref="G1284" r:id="rId1377" xr:uid="{7FA9E216-F94D-4F94-A45F-54B82AA575B3}"/>
    <hyperlink ref="G1285" r:id="rId1378" xr:uid="{0C9799FF-8EAF-4955-AC68-DEBBCC170E2A}"/>
    <hyperlink ref="G1286" r:id="rId1379" xr:uid="{E7270E41-1892-4E7E-9D06-20D21EF3385D}"/>
    <hyperlink ref="G1287" r:id="rId1380" xr:uid="{778F80B4-D8E5-4C96-BDC4-0C0E0F7A2569}"/>
    <hyperlink ref="G1288" r:id="rId1381" xr:uid="{FB971148-4607-4540-BFAA-8888C4DCE3F6}"/>
    <hyperlink ref="G1289" r:id="rId1382" xr:uid="{5B8878BD-77BA-4FF2-B417-3895269771EB}"/>
    <hyperlink ref="G1290" r:id="rId1383" xr:uid="{CEF91CB2-1DF9-4157-8EBC-B14903BD9C38}"/>
    <hyperlink ref="G1291" r:id="rId1384" xr:uid="{BC36378D-7F1A-465A-B78C-A2D8A018CF36}"/>
    <hyperlink ref="G1292" r:id="rId1385" xr:uid="{77FE3AA0-8CF8-4A48-BD53-AF1E5DD2D2B2}"/>
    <hyperlink ref="G1293" r:id="rId1386" xr:uid="{72AFED48-27EB-43E7-AABF-313570BEC166}"/>
    <hyperlink ref="G1294" r:id="rId1387" xr:uid="{B08F9CB2-E70E-4B2F-BE20-CCC6DC51218B}"/>
    <hyperlink ref="G1295" r:id="rId1388" xr:uid="{080BECF2-E9CC-4F3E-B731-F8B628D11A8D}"/>
    <hyperlink ref="G1296" r:id="rId1389" xr:uid="{A2B5F3ED-08C7-4E44-9501-A017059D22A6}"/>
    <hyperlink ref="G1297" r:id="rId1390" xr:uid="{244C1BDA-598A-421D-94B7-00B377B924D7}"/>
    <hyperlink ref="G1298" r:id="rId1391" xr:uid="{BF1F86AD-87D0-4DF8-84DF-8524D8DAA4C5}"/>
    <hyperlink ref="G1299" r:id="rId1392" xr:uid="{80769F0B-4D2C-44ED-9D87-172C2EC4FACE}"/>
    <hyperlink ref="G1300" r:id="rId1393" xr:uid="{3B4BA767-F792-49EA-888E-FC86517FCEB3}"/>
    <hyperlink ref="G1301" r:id="rId1394" xr:uid="{2D4EE1D6-4F27-47D6-A23B-1D046B22B6DF}"/>
    <hyperlink ref="G1302" r:id="rId1395" xr:uid="{0C92A9B8-F61C-4619-98B8-613576BEEA71}"/>
    <hyperlink ref="G1303" r:id="rId1396" xr:uid="{DB0B8F79-16CE-45DB-A83C-0030A36509CA}"/>
    <hyperlink ref="G1304" r:id="rId1397" xr:uid="{172666A9-3608-4FEE-B391-F7131A1419A9}"/>
    <hyperlink ref="G1305" r:id="rId1398" xr:uid="{892C7609-CBF2-4297-B883-4DC9DC9B170C}"/>
    <hyperlink ref="G1306" r:id="rId1399" xr:uid="{3885F458-57B2-4CD3-AE78-018173C3CA3F}"/>
    <hyperlink ref="G1307" r:id="rId1400" xr:uid="{B80A3883-6535-44F2-9AA8-5584D7AEA7E5}"/>
    <hyperlink ref="G1308" r:id="rId1401" xr:uid="{D7EEDC8F-4FF3-4656-AF0B-7ED6173B30D3}"/>
    <hyperlink ref="G1309" r:id="rId1402" xr:uid="{13928A3D-AB27-4312-AAEE-925FE1A5B210}"/>
    <hyperlink ref="G1310" r:id="rId1403" xr:uid="{CD162871-5E3A-4FAA-BD01-41DCF9A1B7AD}"/>
    <hyperlink ref="G1311" r:id="rId1404" xr:uid="{67E08E88-8D23-4FFC-8B53-1F05259FE710}"/>
    <hyperlink ref="G1312" r:id="rId1405" xr:uid="{54CD7F05-27A0-4B7E-8E7C-82F80CD75A81}"/>
    <hyperlink ref="G1313" r:id="rId1406" xr:uid="{725F29BF-4EF3-49C2-9D63-583E6ECFD620}"/>
    <hyperlink ref="G1314" r:id="rId1407" xr:uid="{17B5D90E-2B78-4F36-9574-9D786E1FF814}"/>
    <hyperlink ref="G1315" r:id="rId1408" xr:uid="{FBB248B7-E54F-4ABA-BC06-CBE39461DDA3}"/>
    <hyperlink ref="G1316" r:id="rId1409" xr:uid="{42104436-A0CE-40BE-8B17-3378371FA9A7}"/>
    <hyperlink ref="G1317" r:id="rId1410" xr:uid="{4FDE4C6C-3FE1-440D-8AB7-8AEFEF7D2CD5}"/>
    <hyperlink ref="G1318" r:id="rId1411" xr:uid="{431DBBB2-0081-4E54-9519-6AB3E124E967}"/>
    <hyperlink ref="G1319" r:id="rId1412" xr:uid="{7E88AF7C-EA17-437D-961E-AD9FB409CF13}"/>
    <hyperlink ref="G1320" r:id="rId1413" xr:uid="{6EE6F403-7838-457D-9E84-8500E7B39749}"/>
    <hyperlink ref="G1321" r:id="rId1414" xr:uid="{0059D363-5F62-47A8-9660-4151EA353B91}"/>
    <hyperlink ref="G1322" r:id="rId1415" xr:uid="{A9E377BD-E08F-45AA-90BB-29B42D99B840}"/>
    <hyperlink ref="G1323" r:id="rId1416" xr:uid="{9EC06499-F8D6-4041-912B-C1AB34807F0D}"/>
    <hyperlink ref="G1324" r:id="rId1417" xr:uid="{2263DAED-3556-46C7-A02B-A5683547ECAD}"/>
    <hyperlink ref="G1325" r:id="rId1418" xr:uid="{C9CDD597-D91E-4249-841D-1419EA80C9C1}"/>
    <hyperlink ref="G1326" r:id="rId1419" xr:uid="{01F75692-33A4-42F3-88BD-8D712D978938}"/>
    <hyperlink ref="G1327" r:id="rId1420" xr:uid="{3DF22252-E6E3-4AD9-93A8-F3FCA721D96C}"/>
    <hyperlink ref="G1328" r:id="rId1421" xr:uid="{2E68BE03-8F67-4608-9803-2611C1DD089D}"/>
    <hyperlink ref="G1329" r:id="rId1422" xr:uid="{7FA9AE50-BB96-4729-9E71-19185773CA59}"/>
    <hyperlink ref="G1330" r:id="rId1423" xr:uid="{DA2209B8-1818-4B36-B882-C4FFD1D5DCCA}"/>
    <hyperlink ref="G1331" r:id="rId1424" xr:uid="{B7849307-3778-45DD-8058-5FC6CFBAF0B7}"/>
    <hyperlink ref="G1332" r:id="rId1425" xr:uid="{C0E36A9A-64FD-47DD-B026-3EF4F78ADB88}"/>
    <hyperlink ref="G1333" r:id="rId1426" xr:uid="{0CCBB340-A49A-4331-9BF1-85ADA3C36009}"/>
    <hyperlink ref="G1334" r:id="rId1427" xr:uid="{A387C1DE-C89C-4A30-BFC3-4247FE164BD8}"/>
    <hyperlink ref="G1335" r:id="rId1428" xr:uid="{2BE8D22F-24A3-48B0-BA31-129FF4F9943A}"/>
    <hyperlink ref="G1336" r:id="rId1429" xr:uid="{64A63093-7D66-4CB2-98EA-77133D826E30}"/>
    <hyperlink ref="G1337" r:id="rId1430" xr:uid="{D0390F5D-84A1-4542-A3B8-278A0739ED4E}"/>
    <hyperlink ref="G1338" r:id="rId1431" xr:uid="{76F8DE2A-AF3C-4930-9A3C-762E43021719}"/>
    <hyperlink ref="G1339" r:id="rId1432" xr:uid="{504B960F-6E2E-4526-9F29-720690464C95}"/>
    <hyperlink ref="G1340" r:id="rId1433" xr:uid="{E89C0B06-C3A2-4771-A965-6E5ED93E06D3}"/>
    <hyperlink ref="G1341" r:id="rId1434" xr:uid="{77414D26-57DE-4AC0-92E5-E0EB07A50E12}"/>
    <hyperlink ref="G1342" r:id="rId1435" xr:uid="{C423EECC-0189-41A5-A3F5-D90F34B03055}"/>
    <hyperlink ref="G1343" r:id="rId1436" xr:uid="{FA81BA17-5782-4439-8CEE-5893F40D0850}"/>
    <hyperlink ref="G1344" r:id="rId1437" xr:uid="{87516757-D006-4837-8553-88A339792933}"/>
    <hyperlink ref="G1345" r:id="rId1438" xr:uid="{E738D794-3F5E-42FC-8443-7160BF2F5BB5}"/>
    <hyperlink ref="G1346" r:id="rId1439" xr:uid="{468F9F9A-D268-478A-A19E-D562906FE17F}"/>
    <hyperlink ref="G1347" r:id="rId1440" xr:uid="{6AB7FD53-D235-4030-B9D0-2F954A35AFE8}"/>
    <hyperlink ref="G1348" r:id="rId1441" xr:uid="{73E807B9-E9B3-462F-AC4E-4F3451ADF4E1}"/>
    <hyperlink ref="G1349" r:id="rId1442" xr:uid="{DA462E10-897D-4A69-B51D-C59FF8DF3306}"/>
    <hyperlink ref="G1350" r:id="rId1443" xr:uid="{04D0469E-6F84-47D8-A42E-B7DECF2E4865}"/>
    <hyperlink ref="G1351" r:id="rId1444" xr:uid="{0F2E7C19-5EB7-4E46-9A0A-B927A7ECDCF2}"/>
    <hyperlink ref="G1352" r:id="rId1445" xr:uid="{8AC4E804-1664-4D4A-A24D-E0E219C2B606}"/>
    <hyperlink ref="G1353" r:id="rId1446" xr:uid="{55121C6F-5C32-4C6C-80CC-B8E28E770BEA}"/>
    <hyperlink ref="G1354" r:id="rId1447" xr:uid="{2C7717C9-640A-46CA-8E96-0901C414238D}"/>
    <hyperlink ref="G1355" r:id="rId1448" xr:uid="{30B9A9DD-8D7D-4D0D-A1F3-BE97523D5FC3}"/>
    <hyperlink ref="G1356" r:id="rId1449" xr:uid="{649720CA-BF95-4688-B21C-9E3B6A8D35D2}"/>
    <hyperlink ref="G1357" r:id="rId1450" xr:uid="{519E1749-8BEA-44B9-B399-D29D2AD0CAA3}"/>
    <hyperlink ref="G1358" r:id="rId1451" xr:uid="{B46D8E43-2431-4546-8797-821A179D11D4}"/>
    <hyperlink ref="G1359" r:id="rId1452" xr:uid="{3944B135-C4EB-474E-AF64-9E873609745A}"/>
    <hyperlink ref="G1360" r:id="rId1453" xr:uid="{A4617A1F-FC9D-47CE-8380-DC99741F0D66}"/>
    <hyperlink ref="G1361" r:id="rId1454" xr:uid="{64F0D3A6-7B04-4D83-BB47-58E6CFC28353}"/>
    <hyperlink ref="G1362" r:id="rId1455" xr:uid="{74E9215D-AA99-4E5C-9F71-676CCD5197C6}"/>
    <hyperlink ref="G1363" r:id="rId1456" xr:uid="{305D6D0D-8E59-4933-BFBF-463757E26E32}"/>
    <hyperlink ref="G1364" r:id="rId1457" xr:uid="{BD38EF9B-A802-4589-841D-BE540E73FF19}"/>
    <hyperlink ref="G1365" r:id="rId1458" xr:uid="{5023F590-E8DE-4575-B1F0-53230E940F21}"/>
    <hyperlink ref="G1366" r:id="rId1459" xr:uid="{273DB55C-6E54-45B5-91EB-AE85F6DE0309}"/>
    <hyperlink ref="G1367" r:id="rId1460" xr:uid="{8825CEE8-0F83-4AA3-ADAD-9F4904E27930}"/>
    <hyperlink ref="G1368" r:id="rId1461" xr:uid="{80920519-0873-4834-BD54-435D3661190A}"/>
    <hyperlink ref="G1369" r:id="rId1462" xr:uid="{1E2EDAD1-126F-4434-AD83-B2B457047142}"/>
    <hyperlink ref="G1370" r:id="rId1463" xr:uid="{C3E027A7-3CFE-4395-B883-5EBED58BC438}"/>
    <hyperlink ref="G1371" r:id="rId1464" xr:uid="{7709FB0F-7523-48D7-9BF1-9C0B2E7D830E}"/>
    <hyperlink ref="G1372" r:id="rId1465" xr:uid="{AA7FFFB1-B381-48E1-B858-48D43DC6CB5F}"/>
    <hyperlink ref="G1373" r:id="rId1466" xr:uid="{0F44250A-27FB-46AA-8A5B-152C03B39F0F}"/>
    <hyperlink ref="G1374" r:id="rId1467" xr:uid="{29DA4725-4244-4958-B074-28A27636695D}"/>
    <hyperlink ref="G1375" r:id="rId1468" xr:uid="{E8486358-6CBE-494F-9B68-D1CAD02ABC52}"/>
    <hyperlink ref="G1376" r:id="rId1469" xr:uid="{B5E2C6B5-EA7D-4D7F-BEED-FEFE48AC704D}"/>
    <hyperlink ref="G1377" r:id="rId1470" xr:uid="{CDECC0CD-8616-456B-885A-F00148E13E85}"/>
    <hyperlink ref="G1378" r:id="rId1471" xr:uid="{F39E6BCD-6927-42A9-B5FB-743C5E71C2A2}"/>
    <hyperlink ref="G1379" r:id="rId1472" xr:uid="{B0BF30B5-FB58-4A9A-8EF9-03AF61271EAC}"/>
    <hyperlink ref="G1380" r:id="rId1473" xr:uid="{64FFA1CE-32A6-4B7D-B32D-B6B4D6A9438C}"/>
    <hyperlink ref="G1381" r:id="rId1474" xr:uid="{32B85F7B-0FE4-40DC-9F38-08802B6089E0}"/>
    <hyperlink ref="G1382" r:id="rId1475" xr:uid="{E55FFE6D-A1FD-4ABB-BFFD-1774FB5911B5}"/>
    <hyperlink ref="G1383" r:id="rId1476" xr:uid="{2EC06598-7DD0-40A8-946E-4C3AB1812A02}"/>
    <hyperlink ref="G1384" r:id="rId1477" xr:uid="{0C2F379B-70B7-4896-9331-C6E4F07C0864}"/>
    <hyperlink ref="G1385" r:id="rId1478" xr:uid="{E92129AD-A9A5-49E4-8FEC-09107F1EE50F}"/>
    <hyperlink ref="G1386" r:id="rId1479" xr:uid="{5F1253AA-7C52-4A8D-8FCF-0EBE3092F34B}"/>
    <hyperlink ref="G1387" r:id="rId1480" xr:uid="{A5FCD454-8785-41D6-9E34-C18CEA55A7EE}"/>
    <hyperlink ref="G1388" r:id="rId1481" xr:uid="{F0CC180B-0842-47DE-8B95-8D4EC596BBA9}"/>
    <hyperlink ref="G1389" r:id="rId1482" xr:uid="{B9F0E1A3-633E-4160-B0A4-10EE18F4ABE9}"/>
    <hyperlink ref="G1390" r:id="rId1483" xr:uid="{DB80CE16-E3ED-4605-BBF9-D39027B5FA78}"/>
    <hyperlink ref="G1391" r:id="rId1484" xr:uid="{9C3D261F-9AA2-41D5-89CF-1A42A428575B}"/>
    <hyperlink ref="G1392" r:id="rId1485" xr:uid="{DA7354FE-ADF6-4840-8199-C4EF3A581323}"/>
    <hyperlink ref="G1393" r:id="rId1486" xr:uid="{9036BD82-545F-40A2-8E05-4A596DBD69CE}"/>
    <hyperlink ref="G1394" r:id="rId1487" xr:uid="{85AAA659-5731-46DC-A79A-4BFFED4BA426}"/>
    <hyperlink ref="G1395" r:id="rId1488" xr:uid="{5E0EE7F4-4A2B-4ED5-BC3A-ABF05061DAAF}"/>
    <hyperlink ref="G1396" r:id="rId1489" xr:uid="{75227316-68EE-4715-923C-5FC24C1A18DD}"/>
    <hyperlink ref="G1397" r:id="rId1490" xr:uid="{CA8CA993-0890-44F2-B72B-88BBEA1EC30F}"/>
    <hyperlink ref="G1398" r:id="rId1491" xr:uid="{EBD210C9-BA68-4F89-97B2-6F56824885C4}"/>
    <hyperlink ref="G1399" r:id="rId1492" xr:uid="{76C01EC8-DA02-447B-BE3B-3E51070C77CF}"/>
    <hyperlink ref="G1400" r:id="rId1493" xr:uid="{205E5C87-CC80-40D3-AAB0-02C0E856218C}"/>
    <hyperlink ref="G1401" r:id="rId1494" xr:uid="{1EDFC682-B749-4D59-9C66-41416B63BC1E}"/>
    <hyperlink ref="G1402" r:id="rId1495" xr:uid="{CF4282E5-8D81-44AA-9D4F-3E88A4D2BAFF}"/>
    <hyperlink ref="G1403" r:id="rId1496" xr:uid="{BA10DBEF-8E36-4135-9674-D31ACEB1D0EF}"/>
    <hyperlink ref="G1404" r:id="rId1497" xr:uid="{571137F4-32BB-455D-8587-128F0D9C82C6}"/>
    <hyperlink ref="G1405" r:id="rId1498" xr:uid="{9AB6FD9D-0DFD-45A3-AA58-8E2FD4ECDB35}"/>
    <hyperlink ref="G1406" r:id="rId1499" xr:uid="{EFADA6F9-5A7D-4033-B7A1-A21FFBFA7490}"/>
    <hyperlink ref="G1407" r:id="rId1500" xr:uid="{95F8D0A7-FF1B-46E0-A0DF-95799D778A59}"/>
    <hyperlink ref="G1408" r:id="rId1501" xr:uid="{F40DA28E-0D59-4AEA-B99C-4F395678CBC2}"/>
    <hyperlink ref="G1409" r:id="rId1502" xr:uid="{06401C58-FD8B-475B-BAB3-D80305DDDA2F}"/>
    <hyperlink ref="G1410" r:id="rId1503" xr:uid="{D6E1640E-A36F-4FE3-AEDB-1C2F50D4F654}"/>
    <hyperlink ref="G1411" r:id="rId1504" xr:uid="{F1A9DE63-1CE0-4904-8118-804729C17C9D}"/>
    <hyperlink ref="G1412" r:id="rId1505" xr:uid="{8F642179-3AE5-48D1-AB87-356D70F74569}"/>
    <hyperlink ref="G1413" r:id="rId1506" xr:uid="{0FD01BD1-D7EE-4756-968F-CED5D695A81F}"/>
    <hyperlink ref="G1414" r:id="rId1507" xr:uid="{FCD5D983-C4B8-48B0-82A1-22BDD32FB8F1}"/>
    <hyperlink ref="G1415" r:id="rId1508" xr:uid="{34DD5099-6539-4F30-B66B-7E81CA7FD7F8}"/>
    <hyperlink ref="G1416" r:id="rId1509" xr:uid="{11A4ED0A-BEDC-4C0B-977E-C2406582D01D}"/>
    <hyperlink ref="G1417" r:id="rId1510" xr:uid="{2D9E9D3E-0D65-4B8D-A6E0-818CFF4150E5}"/>
    <hyperlink ref="G1418" r:id="rId1511" xr:uid="{B085DBF1-979B-47B2-B14D-6EB86572BB92}"/>
    <hyperlink ref="G1419" r:id="rId1512" xr:uid="{45C7667E-C7C4-47ED-91B2-128470320785}"/>
    <hyperlink ref="G1420" r:id="rId1513" xr:uid="{F33F08ED-4FA3-4B2A-9365-5B17BD13A834}"/>
    <hyperlink ref="G1421" r:id="rId1514" xr:uid="{11767603-72C8-489A-8DF5-053FDC39F70A}"/>
    <hyperlink ref="G1422" r:id="rId1515" xr:uid="{8DD47EC7-FB25-4BDE-B65D-90DE1EE9EA52}"/>
    <hyperlink ref="G1423" r:id="rId1516" xr:uid="{F7351E66-DFA2-450E-B07F-BE655FF025E7}"/>
    <hyperlink ref="G1424" r:id="rId1517" xr:uid="{F449C534-D7A3-47EC-8687-AAB11C86C800}"/>
    <hyperlink ref="G1425" r:id="rId1518" xr:uid="{E8A3EE33-052C-4F59-A06B-16B49F5B27CE}"/>
    <hyperlink ref="G1426" r:id="rId1519" xr:uid="{1A94CAFA-459F-496F-912A-18A8EB5E7C97}"/>
    <hyperlink ref="G1427" r:id="rId1520" xr:uid="{B03A729E-98B5-4911-B94D-8AACA1AF5AD2}"/>
    <hyperlink ref="G1428" r:id="rId1521" xr:uid="{E1E094CA-0CF3-4950-BBDC-ABA42506CDB9}"/>
    <hyperlink ref="G1429" r:id="rId1522" xr:uid="{98A1B1D1-028C-49E3-B30C-DADB5DA2C689}"/>
    <hyperlink ref="G1430" r:id="rId1523" xr:uid="{4655853D-9D3C-4A08-B0E3-5B044E0E4DA8}"/>
    <hyperlink ref="G1431" r:id="rId1524" xr:uid="{C038D274-8866-4893-871F-7BE99642BB57}"/>
    <hyperlink ref="G1432" r:id="rId1525" xr:uid="{542DF1BD-CA0F-498E-B3B4-7922F0669299}"/>
    <hyperlink ref="G1433" r:id="rId1526" xr:uid="{0033B4B3-936A-4193-84BD-AE084F60D148}"/>
    <hyperlink ref="G1434" r:id="rId1527" xr:uid="{F88B258C-C702-42E4-91D8-4106EFC15762}"/>
    <hyperlink ref="G1435" r:id="rId1528" xr:uid="{01151900-A0F8-420A-B747-9E17C2D05E78}"/>
    <hyperlink ref="G1436" r:id="rId1529" xr:uid="{D7B6B1DC-BCEB-4DA9-ABF6-3EEF827D9429}"/>
    <hyperlink ref="G1437" r:id="rId1530" xr:uid="{DD45000C-C352-4CDC-AD01-447609B72E7E}"/>
    <hyperlink ref="G1438" r:id="rId1531" xr:uid="{C5D0B996-1C2E-4A16-98A9-08A016DFA321}"/>
    <hyperlink ref="G1439" r:id="rId1532" xr:uid="{6367BFAE-B489-44D1-A7D5-AB778914CEA4}"/>
    <hyperlink ref="G1440" r:id="rId1533" xr:uid="{A8B92A0A-D872-4A67-8F6D-FC84254907C0}"/>
    <hyperlink ref="G1441" r:id="rId1534" xr:uid="{2DC06CA6-9824-4927-B9DD-C70741BEE5B1}"/>
    <hyperlink ref="G1442" r:id="rId1535" xr:uid="{9DF5A324-7C18-4AD2-AF45-2266D05ACDBD}"/>
    <hyperlink ref="G1443" r:id="rId1536" xr:uid="{6D482C07-9CBA-4ED6-8E1E-CE26EC34FA9A}"/>
    <hyperlink ref="G1444" r:id="rId1537" xr:uid="{15360A42-123D-48D4-948D-32567F67FEC7}"/>
    <hyperlink ref="G1445" r:id="rId1538" xr:uid="{9F3D1B2C-8586-4015-ADAB-8BB7BEEFCBA1}"/>
    <hyperlink ref="G1446" r:id="rId1539" xr:uid="{DE95C6E1-2931-4013-BD46-C74457095BF3}"/>
    <hyperlink ref="G1447" r:id="rId1540" xr:uid="{9C0959A0-048E-4AF7-8869-1B4D44993E7A}"/>
    <hyperlink ref="G1448" r:id="rId1541" xr:uid="{062767B0-8583-408C-9C53-76D9F2CA3709}"/>
    <hyperlink ref="G1449" r:id="rId1542" xr:uid="{DCC881FE-C974-42E3-A6A1-5379BE2873DB}"/>
    <hyperlink ref="G1450" r:id="rId1543" xr:uid="{7A1448CE-09D8-49A3-9F40-E06B733FC693}"/>
    <hyperlink ref="G1451" r:id="rId1544" xr:uid="{2BE61D01-B2A6-4069-A846-98782FECD037}"/>
    <hyperlink ref="G1452" r:id="rId1545" xr:uid="{4FD44CAE-D599-4985-8BF1-925092DB8722}"/>
    <hyperlink ref="G1453" r:id="rId1546" xr:uid="{BDA6D13E-FE72-4EC0-8CD9-E98D014D6148}"/>
    <hyperlink ref="G1454" r:id="rId1547" xr:uid="{BA918911-E514-4A2A-8203-FC2B105596D9}"/>
    <hyperlink ref="G1455" r:id="rId1548" xr:uid="{2CE7CC8D-2242-4378-ADC6-D61E83E80B81}"/>
    <hyperlink ref="G1456" r:id="rId1549" xr:uid="{9A8B986A-5842-44A5-9E0F-8BD12914F4A4}"/>
    <hyperlink ref="G1457" r:id="rId1550" xr:uid="{E997DDF7-31DA-4ED4-9A0F-77FD87271F1D}"/>
    <hyperlink ref="G1458" r:id="rId1551" xr:uid="{D25C2A47-84BB-453C-9A2B-91675AD59093}"/>
    <hyperlink ref="G1459" r:id="rId1552" xr:uid="{A0146E8F-A6D6-43C2-A6D9-6F7A826AF931}"/>
    <hyperlink ref="G1460" r:id="rId1553" xr:uid="{46C5DA7B-293E-4B2F-B541-A364A99654FC}"/>
    <hyperlink ref="G1461" r:id="rId1554" xr:uid="{FB8D9697-D24C-4A52-A918-DF1AD3673271}"/>
    <hyperlink ref="G1462" r:id="rId1555" xr:uid="{705946EC-EE2C-47F1-987E-CF3A5E0F163A}"/>
    <hyperlink ref="G1463" r:id="rId1556" xr:uid="{D6C68DE4-792C-448E-BB3A-6086ABC19538}"/>
    <hyperlink ref="G1464" r:id="rId1557" xr:uid="{757BA0C4-2EF4-4980-9463-02611A42E475}"/>
    <hyperlink ref="G1465" r:id="rId1558" xr:uid="{3CFC128A-9A86-4599-82B2-5F1876DADABF}"/>
    <hyperlink ref="G1466" r:id="rId1559" xr:uid="{9D026E1F-F1A7-4033-B488-BDC03318059C}"/>
    <hyperlink ref="G1467" r:id="rId1560" xr:uid="{DD95A266-9D02-4C72-8CD6-BD44AEBD4B92}"/>
    <hyperlink ref="G1468" r:id="rId1561" xr:uid="{75DCA871-893B-4D9C-8502-C157330D6A55}"/>
    <hyperlink ref="G1469" r:id="rId1562" xr:uid="{AC8A1330-5B61-4FC2-BA58-0E2977DF03B0}"/>
    <hyperlink ref="G1470" r:id="rId1563" xr:uid="{26210CAF-1B22-4C8F-B798-DCDB3E2BE79C}"/>
    <hyperlink ref="G1471" r:id="rId1564" xr:uid="{1AD91772-44EC-488F-9EFD-44615619F548}"/>
    <hyperlink ref="G1472" r:id="rId1565" xr:uid="{66E41A83-ABAC-4892-8F70-A7ECD9889510}"/>
    <hyperlink ref="G1473" r:id="rId1566" xr:uid="{2D01C998-2E57-4CE9-BAB8-0AB2791E4A87}"/>
    <hyperlink ref="G1474" r:id="rId1567" xr:uid="{36A486E6-70F0-4DF2-B0CB-190F3923FC96}"/>
    <hyperlink ref="G1475" r:id="rId1568" xr:uid="{4010ADE3-3EFF-48E2-ACE5-61AD5EC6DC52}"/>
    <hyperlink ref="G1476" r:id="rId1569" xr:uid="{26D03DD7-280D-4A55-99E1-B39CAA2CEA0D}"/>
    <hyperlink ref="G1477" r:id="rId1570" xr:uid="{0A56006C-1189-45E0-B9FE-A6D4BFA160A0}"/>
    <hyperlink ref="G1478" r:id="rId1571" xr:uid="{63662DAE-C2BF-41FC-A140-5DAD6A3AA759}"/>
    <hyperlink ref="G1479" r:id="rId1572" xr:uid="{A0E70C7F-1A0F-43F6-A564-63CE6E671F09}"/>
    <hyperlink ref="G1480" r:id="rId1573" xr:uid="{5B35343D-E9BD-4B98-B610-3DA3F8D4A413}"/>
    <hyperlink ref="G1481" r:id="rId1574" xr:uid="{17433107-7E05-43AC-A822-8E6B1C144BEF}"/>
    <hyperlink ref="G1482" r:id="rId1575" xr:uid="{DB299535-DB72-4071-ABD0-4BD1DFDC9820}"/>
    <hyperlink ref="G1483" r:id="rId1576" xr:uid="{DFE25BF1-B49A-4AD4-9ADE-E305747C2355}"/>
    <hyperlink ref="G1484" r:id="rId1577" xr:uid="{C0918908-1396-4CE7-AFAC-D8A35AF6167D}"/>
    <hyperlink ref="G1485" r:id="rId1578" xr:uid="{A918120F-DC3A-49B0-90CB-3AB885394027}"/>
    <hyperlink ref="G1486" r:id="rId1579" xr:uid="{EA9BA08B-5377-4161-AC1F-7FEF7D65C743}"/>
    <hyperlink ref="G1487" r:id="rId1580" xr:uid="{11CB4431-3826-4DD0-902E-76B741A41CD5}"/>
    <hyperlink ref="G1488" r:id="rId1581" xr:uid="{35F954EF-3372-4440-9B69-8CBC3533FB1B}"/>
    <hyperlink ref="G1489" r:id="rId1582" xr:uid="{EE04F931-3881-422F-A4C9-DBEC56D045B8}"/>
    <hyperlink ref="G1490" r:id="rId1583" xr:uid="{E0B21416-C117-459F-A7A6-0E1358D5A352}"/>
    <hyperlink ref="G1491" r:id="rId1584" xr:uid="{F987CCEA-8C12-4E35-9D26-BCB12288FC5C}"/>
    <hyperlink ref="G1492" r:id="rId1585" xr:uid="{7B16CEC9-C76A-4BC1-B375-69D197015D52}"/>
    <hyperlink ref="G1493" r:id="rId1586" xr:uid="{FB445D0A-692E-45A2-8046-D4A5D09BE5F0}"/>
    <hyperlink ref="G1494" r:id="rId1587" xr:uid="{947A48E4-ADD5-4E84-B00F-131ED3376659}"/>
    <hyperlink ref="G1495" r:id="rId1588" xr:uid="{F3E71EA9-5B67-40CC-82B5-2B4BA30C382B}"/>
    <hyperlink ref="G1496" r:id="rId1589" xr:uid="{A3442913-0B29-4EB0-B06A-0035CB9ADBDF}"/>
    <hyperlink ref="G1497" r:id="rId1590" xr:uid="{3783708B-AB41-4B9E-8E67-BB76B93D77CF}"/>
    <hyperlink ref="G1498" r:id="rId1591" xr:uid="{B1EA0BB8-6ED0-4319-A4F4-7B06329D8ABA}"/>
    <hyperlink ref="G1499" r:id="rId1592" xr:uid="{C36A98EE-9841-4AAE-B04B-C431FA7F2CD4}"/>
    <hyperlink ref="G1500" r:id="rId1593" xr:uid="{628BE3B5-90E8-4E09-A8B4-595A035C0341}"/>
    <hyperlink ref="G1501" r:id="rId1594" xr:uid="{CEC20B3D-0770-4844-B578-9089693827FC}"/>
    <hyperlink ref="AN1501" r:id="rId1595" xr:uid="{FF2CA418-E9CC-4F9E-AA03-FF01BBE2E454}"/>
    <hyperlink ref="G1502" r:id="rId1596" xr:uid="{BCDF5CC4-3B8D-486A-8C1B-65A67AF32473}"/>
    <hyperlink ref="AN1502" r:id="rId1597" xr:uid="{11246055-9E77-40AA-BC3B-3F9AA2D65017}"/>
    <hyperlink ref="G1503" r:id="rId1598" xr:uid="{2A07B744-20C8-457F-88EE-73338867CDC3}"/>
    <hyperlink ref="AN1503" r:id="rId1599" xr:uid="{6668EAAC-7CC6-432E-95B0-39615E87DFA1}"/>
    <hyperlink ref="G1504" r:id="rId1600" xr:uid="{0EBD9710-AF45-4283-AFFD-648698E49045}"/>
    <hyperlink ref="AN1504" r:id="rId1601" xr:uid="{AF5477C2-5E60-4A6B-80B1-2BB025B826C4}"/>
    <hyperlink ref="G1505" r:id="rId1602" xr:uid="{4BB4EA26-2BD7-49CA-9FFE-A97587A3F68C}"/>
    <hyperlink ref="AN1505" r:id="rId1603" xr:uid="{FCC5C1A7-69DC-4FEC-AA3E-9E6929DBA5BA}"/>
    <hyperlink ref="G1506" r:id="rId1604" xr:uid="{529E8965-2D65-457A-AD85-043064CDF8E3}"/>
    <hyperlink ref="AN1506" r:id="rId1605" xr:uid="{589BBA47-862A-423A-8291-E5E8DCB03074}"/>
    <hyperlink ref="G1507" r:id="rId1606" xr:uid="{655CE0B4-B616-4E7F-A1CC-1F4B34BAFDD7}"/>
    <hyperlink ref="AN1507" r:id="rId1607" xr:uid="{D3432439-6C63-482F-9F87-F250789391B1}"/>
    <hyperlink ref="G1508" r:id="rId1608" xr:uid="{B4C4BC31-6797-42FB-AFD5-75ED304CF870}"/>
    <hyperlink ref="AN1508" r:id="rId1609" xr:uid="{793E70FA-0887-4094-A887-6649D7DEA7ED}"/>
    <hyperlink ref="G1509" r:id="rId1610" xr:uid="{D5494739-A278-4CF1-BC4B-F05E40AD79CF}"/>
    <hyperlink ref="AN1509" r:id="rId1611" xr:uid="{DCE8A354-580F-4E46-99FA-AD24A3CEE631}"/>
    <hyperlink ref="G1510" r:id="rId1612" xr:uid="{A63703A7-98C4-4FEA-B35E-012382F79E46}"/>
    <hyperlink ref="AN1510" r:id="rId1613" xr:uid="{456E7C86-CC8C-44E0-8AC4-E588D55CC63F}"/>
    <hyperlink ref="G1511" r:id="rId1614" xr:uid="{8337C2F3-3B83-481B-A4DF-5029EF02445A}"/>
    <hyperlink ref="AN1511" r:id="rId1615" xr:uid="{E5793561-44E7-41C8-B6F1-96DB63C704E0}"/>
    <hyperlink ref="G1512" r:id="rId1616" xr:uid="{D019D64C-453F-4CE3-8DC8-81222649CE75}"/>
    <hyperlink ref="AN1512" r:id="rId1617" xr:uid="{998A3774-AF81-4860-8F85-DC93EAD35E70}"/>
    <hyperlink ref="G1513" r:id="rId1618" xr:uid="{106A1261-2156-4C3F-B28B-52DB83A35BEC}"/>
    <hyperlink ref="G1514" r:id="rId1619" xr:uid="{BF595BF4-1A57-4982-8EEB-C408394B4E91}"/>
    <hyperlink ref="G1515" r:id="rId1620" xr:uid="{CE53ED1F-B9E4-4D13-8627-3A28D70762B1}"/>
    <hyperlink ref="AN1515" r:id="rId1621" xr:uid="{1ED7B2B6-B33E-4ED5-A37A-AE9AC5606E69}"/>
    <hyperlink ref="G1516" r:id="rId1622" xr:uid="{4421BD69-9C84-4CCA-93A7-8223106F1BC7}"/>
    <hyperlink ref="G1517" r:id="rId1623" xr:uid="{A18A53E5-CB22-4603-8FB2-D8FD64964AD3}"/>
    <hyperlink ref="G1518" r:id="rId1624" xr:uid="{A604CE7C-68A9-45C7-9B06-36B60D206A2E}"/>
    <hyperlink ref="AN1518" r:id="rId1625" xr:uid="{3098D459-191E-46A2-A95D-C8D98E6AD382}"/>
    <hyperlink ref="G1519" r:id="rId1626" xr:uid="{8DCCE11E-0C6D-4CAC-B6D9-774426657570}"/>
    <hyperlink ref="AN1519" r:id="rId1627" xr:uid="{CCD3CB47-0784-4C9E-952E-33F3AD217247}"/>
    <hyperlink ref="G1520" r:id="rId1628" xr:uid="{737AF4C2-480C-415B-A034-922AA4D48093}"/>
    <hyperlink ref="AN1520" r:id="rId1629" xr:uid="{F4DD4F00-DE77-4953-A7E7-CC700180ED95}"/>
    <hyperlink ref="G1521" r:id="rId1630" xr:uid="{B7EE9968-FAC8-4844-AFD6-ADC296093443}"/>
    <hyperlink ref="AN1521" r:id="rId1631" xr:uid="{299A5E45-5B8F-4F96-B4E2-B20CBA3B35A7}"/>
    <hyperlink ref="G1522" r:id="rId1632" xr:uid="{6F5730EF-B30F-4126-A6E1-DB2451EF83FD}"/>
    <hyperlink ref="G1523" r:id="rId1633" xr:uid="{B52981BE-7597-47AC-8B66-EEFB6F43A078}"/>
    <hyperlink ref="G1524" r:id="rId1634" xr:uid="{4591BA7F-618C-4768-BD2F-5A5D46BEA8E9}"/>
    <hyperlink ref="G1525" r:id="rId1635" xr:uid="{FA0E1C3E-39B8-47E4-84FF-D7AF8BA4D686}"/>
    <hyperlink ref="G1526" r:id="rId1636" xr:uid="{BBC5B2E6-F037-4685-B318-40DAB37C6B21}"/>
    <hyperlink ref="G1527" r:id="rId1637" xr:uid="{F7EE8611-D56B-4A4B-982C-70D64BEEB5D3}"/>
    <hyperlink ref="G1528" r:id="rId1638" xr:uid="{7603E417-14ED-43B5-A391-54F73A6C60AF}"/>
    <hyperlink ref="G1529" r:id="rId1639" xr:uid="{16534EF0-2C47-4A3A-A453-06E546D40203}"/>
    <hyperlink ref="G1530" r:id="rId1640" xr:uid="{B432658B-0D51-410C-9CC1-05290480DB39}"/>
    <hyperlink ref="AN1530" r:id="rId1641" xr:uid="{DDEE822D-B511-4DBD-BB32-EA95311DB985}"/>
    <hyperlink ref="G1531" r:id="rId1642" xr:uid="{C039E069-EC2B-441D-A1AA-131D0D91BA17}"/>
    <hyperlink ref="AN1531" r:id="rId1643" xr:uid="{A7378212-B4E1-41B8-A38A-FECDDBE5FFC7}"/>
    <hyperlink ref="G1532" r:id="rId1644" xr:uid="{CF2F0E55-90FD-43CE-B7BF-55163AD18290}"/>
    <hyperlink ref="G1533" r:id="rId1645" xr:uid="{0741CA7F-15C5-490C-80CC-6645D13821C8}"/>
    <hyperlink ref="G1534" r:id="rId1646" xr:uid="{5F965DFF-DAFF-4194-A406-28A82A309308}"/>
    <hyperlink ref="G1535" r:id="rId1647" xr:uid="{59ABC5ED-5A6A-4C37-98D5-5943BA01BDBD}"/>
    <hyperlink ref="G1536" r:id="rId1648" xr:uid="{5E189871-82ED-42AF-80F6-887F9FDCECAD}"/>
    <hyperlink ref="G1537" r:id="rId1649" xr:uid="{675856C1-F808-4E69-B029-C4BFF790BC51}"/>
    <hyperlink ref="G1538" r:id="rId1650" xr:uid="{4EAFC768-39B6-4325-92B1-0E1DACE4FCC3}"/>
    <hyperlink ref="G1539" r:id="rId1651" xr:uid="{AF764DA6-3B51-4F67-A10A-9E5058C7248E}"/>
    <hyperlink ref="G1540" r:id="rId1652" xr:uid="{E5928DD0-871D-4793-8C48-4A4889402786}"/>
    <hyperlink ref="G1541" r:id="rId1653" xr:uid="{CC8D9FCF-E1EB-41BB-A1CC-D43FFDEEA333}"/>
    <hyperlink ref="G1542" r:id="rId1654" xr:uid="{1AA4ABFB-ECC6-4E7A-A3A7-529DC17AAC1C}"/>
    <hyperlink ref="G1543" r:id="rId1655" xr:uid="{C0B1DD32-0634-4D47-9B7D-6570C4E0EE04}"/>
    <hyperlink ref="G1544" r:id="rId1656" xr:uid="{565772BD-F312-4FCC-9705-3B9FF86ADCFF}"/>
    <hyperlink ref="G1545" r:id="rId1657" xr:uid="{D8D8FCB6-D4B6-4953-B2D9-607E38882D14}"/>
    <hyperlink ref="G1546" r:id="rId1658" xr:uid="{DB27CE47-E703-4724-A107-64E4510DF9D0}"/>
    <hyperlink ref="G1547" r:id="rId1659" xr:uid="{347FBB94-2CEF-4E55-8EC8-5A8E7A19C447}"/>
    <hyperlink ref="G1548" r:id="rId1660" xr:uid="{9CFEE6E3-223C-4836-B642-8EB58716B3EE}"/>
    <hyperlink ref="G1549" r:id="rId1661" xr:uid="{7A87B37E-3F87-4FEC-92B8-8B65A01BA26D}"/>
    <hyperlink ref="G1550" r:id="rId1662" xr:uid="{7E9CBB1A-1668-46FE-83EF-CC282A44F4B5}"/>
    <hyperlink ref="G1551" r:id="rId1663" xr:uid="{2F5A99DC-5A53-403A-AAB0-FF13B42EDDFE}"/>
    <hyperlink ref="G1552" r:id="rId1664" xr:uid="{3F7BEEF5-3F72-4B0F-AD19-0019670C9B32}"/>
    <hyperlink ref="G1553" r:id="rId1665" xr:uid="{B831C75A-C0EA-4D85-B717-9C385FB5468C}"/>
    <hyperlink ref="G1554" r:id="rId1666" xr:uid="{B143F28C-7D15-4B84-8E1E-7E5487DF919D}"/>
    <hyperlink ref="G1555" r:id="rId1667" xr:uid="{2A8650B6-7BBF-4E8F-B576-A67E52958202}"/>
    <hyperlink ref="G1556" r:id="rId1668" xr:uid="{69CD032E-5BCC-4EE8-B1F0-A7E4D3B32811}"/>
    <hyperlink ref="G1557" r:id="rId1669" xr:uid="{C365CB4B-BD9B-4E67-93F6-E58F2FE56813}"/>
    <hyperlink ref="G1558" r:id="rId1670" xr:uid="{2859AD4B-5532-48BD-8CBA-393DD7032168}"/>
    <hyperlink ref="G1559" r:id="rId1671" xr:uid="{D83CD193-A135-43CC-8F7C-0E855F6C2BA3}"/>
    <hyperlink ref="G1560" r:id="rId1672" xr:uid="{64B066C1-30BF-499E-9A82-60FC96F144B3}"/>
    <hyperlink ref="G1561" r:id="rId1673" xr:uid="{242B9E4A-68CB-4318-82F8-A84BA396B0C7}"/>
    <hyperlink ref="G1562" r:id="rId1674" xr:uid="{14D161EC-62A7-445A-9523-74A0EDFE1CF1}"/>
    <hyperlink ref="G1563" r:id="rId1675" xr:uid="{8D417AFD-4AD8-4FAC-8C6F-03B4FD4941A3}"/>
    <hyperlink ref="AN1563" r:id="rId1676" xr:uid="{9AA3C989-191A-481D-BE8B-5EDC8D7C236E}"/>
    <hyperlink ref="G1564" r:id="rId1677" xr:uid="{CF4BE4D2-38F4-4887-BFD2-5D8A739A26F1}"/>
    <hyperlink ref="G1565" r:id="rId1678" xr:uid="{104601A7-BBA1-4A6C-9935-69A4FA117552}"/>
    <hyperlink ref="G1566" r:id="rId1679" xr:uid="{E63B236B-8CF9-4940-AA0F-D1D1E3C0CB0A}"/>
    <hyperlink ref="AN1566" r:id="rId1680" xr:uid="{1556E823-DE60-4820-9E2C-084EFA0B3B14}"/>
    <hyperlink ref="G1567" r:id="rId1681" xr:uid="{3EAFFA7F-384E-45B0-BABF-480BFC1E5371}"/>
    <hyperlink ref="G1568" r:id="rId1682" xr:uid="{CB0DF1B8-F7D4-4405-BCD1-CB21B7320D6C}"/>
    <hyperlink ref="G1569" r:id="rId1683" xr:uid="{0473DBAC-804C-45B2-91F4-3C256093F1FC}"/>
    <hyperlink ref="G1570" r:id="rId1684" xr:uid="{F55B73E7-FBE7-4F02-A028-D8224D01E5CD}"/>
    <hyperlink ref="G1571" r:id="rId1685" xr:uid="{BE38891A-1F9B-4ABB-8832-754AFB468522}"/>
    <hyperlink ref="G1572" r:id="rId1686" xr:uid="{DE35456E-7342-41E8-A73D-961BA0950DBA}"/>
    <hyperlink ref="G1573" r:id="rId1687" xr:uid="{33DAC6D6-E17F-4128-A090-0E147B495F4E}"/>
    <hyperlink ref="G1574" r:id="rId1688" xr:uid="{F4F833FB-AEEA-4CA6-A6BB-1C2CA3CF7E38}"/>
    <hyperlink ref="G1575" r:id="rId1689" xr:uid="{103D22B2-7988-4F46-84AD-14876AAD7282}"/>
    <hyperlink ref="G1576" r:id="rId1690" xr:uid="{C5112D69-15EA-452F-8EB6-60C4DC99BEF6}"/>
    <hyperlink ref="G1577" r:id="rId1691" xr:uid="{EA393645-1A64-4B45-B2EA-A6813A34783F}"/>
    <hyperlink ref="G1578" r:id="rId1692" xr:uid="{36F3EA05-2E02-42B5-A576-0C9006D040CE}"/>
    <hyperlink ref="G1579" r:id="rId1693" xr:uid="{8949E141-70DC-48B8-B772-BD8D553D21D6}"/>
    <hyperlink ref="G1580" r:id="rId1694" xr:uid="{DF5298A4-DB61-45EE-B50F-BCE091F9FA9C}"/>
    <hyperlink ref="G1581" r:id="rId1695" xr:uid="{03D8E98A-5AC9-4FF8-85BA-26F127676E87}"/>
    <hyperlink ref="G1582" r:id="rId1696" xr:uid="{24E6014D-E742-4AE9-8EC9-4A483E91145E}"/>
    <hyperlink ref="G1583" r:id="rId1697" xr:uid="{45DABF25-4531-4CB0-81F3-EDBC35A9B6C4}"/>
    <hyperlink ref="G1584" r:id="rId1698" xr:uid="{E5502A76-8333-4779-A8BA-ACBF49892556}"/>
    <hyperlink ref="G1585" r:id="rId1699" xr:uid="{603B311C-0DAF-44CB-9F2D-EE65EDA026E4}"/>
    <hyperlink ref="G1586" r:id="rId1700" xr:uid="{A3353AF2-200B-407E-8461-5C1A9B9C409D}"/>
    <hyperlink ref="G1587" r:id="rId1701" xr:uid="{7601FAD2-3508-4C8A-A51F-D0FB9B244701}"/>
    <hyperlink ref="G1588" r:id="rId1702" xr:uid="{40B02676-9385-44D7-BE66-BEAE715278A4}"/>
    <hyperlink ref="G1589" r:id="rId1703" xr:uid="{50F46385-B4BF-49A3-913C-1A252E0B28A6}"/>
    <hyperlink ref="G1590" r:id="rId1704" xr:uid="{899C5768-D979-4483-8018-646E0295E92B}"/>
    <hyperlink ref="G1591" r:id="rId1705" xr:uid="{7DB3DD78-0BB1-416D-A51C-A0157F91798D}"/>
    <hyperlink ref="G1592" r:id="rId1706" xr:uid="{6200EEAE-37DA-4DC7-8E2F-C5ECEE6163B6}"/>
    <hyperlink ref="G1593" r:id="rId1707" xr:uid="{6A4A18AC-6951-440B-8003-9CD2A863F62C}"/>
    <hyperlink ref="G1594" r:id="rId1708" xr:uid="{47C4D40C-ECB0-4351-9943-B989D8797BB8}"/>
    <hyperlink ref="G1595" r:id="rId1709" xr:uid="{84E65F44-C068-472F-8DE1-4C65126532A3}"/>
    <hyperlink ref="G1596" r:id="rId1710" xr:uid="{0035FDA9-2654-4797-9970-7B45366AE350}"/>
    <hyperlink ref="G1597" r:id="rId1711" xr:uid="{321B729E-10DA-4A1B-A833-2038D69FB7E4}"/>
    <hyperlink ref="G1598" r:id="rId1712" xr:uid="{78CA8D74-E568-4065-937C-72988A5BF3D4}"/>
    <hyperlink ref="G1599" r:id="rId1713" xr:uid="{118C1226-BF47-44B8-83B2-1CF01AEC4A63}"/>
    <hyperlink ref="G1600" r:id="rId1714" xr:uid="{99B5EE5F-254E-4BEA-823C-19008B0EF2D2}"/>
    <hyperlink ref="AN1600" r:id="rId1715" xr:uid="{3710FB2D-03B9-45CA-B8EB-A53C4C9C5EE4}"/>
    <hyperlink ref="G1601" r:id="rId1716" xr:uid="{083BD91D-CF70-42BA-BF07-A80C73BD5A2A}"/>
    <hyperlink ref="AN1601" r:id="rId1717" xr:uid="{56404502-36E4-4D67-9D9B-0171AACE4041}"/>
    <hyperlink ref="G1602" r:id="rId1718" xr:uid="{32609546-7EA6-4F99-AA07-35AA292C7675}"/>
    <hyperlink ref="AN1602" r:id="rId1719" xr:uid="{4AFCE5D4-0FE0-4182-B567-0F86403B649C}"/>
    <hyperlink ref="G1603" r:id="rId1720" xr:uid="{AED5DD4B-6877-4530-B4A0-1D74D9567DBD}"/>
    <hyperlink ref="G1604" r:id="rId1721" xr:uid="{D892D3A8-0F5D-4CAE-9AEE-6EA07068F447}"/>
    <hyperlink ref="G1605" r:id="rId1722" xr:uid="{415D090B-1E6B-43F7-800D-FFF7E3D65C4D}"/>
    <hyperlink ref="G1606" r:id="rId1723" xr:uid="{48A81F9F-4A4E-4F2D-9436-EF5D685AD789}"/>
    <hyperlink ref="G1607" r:id="rId1724" xr:uid="{4BA0A1B3-A4D5-47DC-A88E-85BD3C59D5A5}"/>
    <hyperlink ref="G1608" r:id="rId1725" xr:uid="{16C0C06E-D618-4332-9398-6CBD2D4AE688}"/>
    <hyperlink ref="G1609" r:id="rId1726" xr:uid="{CF56DA5F-E4B8-455B-8201-D3DF17B0D462}"/>
    <hyperlink ref="AN1609" r:id="rId1727" xr:uid="{73DBD1E0-4620-4B9C-BB52-1C38AF8527D5}"/>
    <hyperlink ref="G1610" r:id="rId1728" xr:uid="{7D22D0F2-1FA9-4543-BED5-A6A3F7747B7A}"/>
    <hyperlink ref="G1611" r:id="rId1729" xr:uid="{8AC471D2-975D-4631-98C8-B1DC7FDFCF18}"/>
    <hyperlink ref="G1612" r:id="rId1730" xr:uid="{1EF3960E-4924-41EE-89BD-AE2591391C0B}"/>
    <hyperlink ref="G1613" r:id="rId1731" xr:uid="{63E96CB1-C4FE-4DE0-9988-E6FE974FD897}"/>
    <hyperlink ref="AN1613" r:id="rId1732" xr:uid="{C88C5BEA-59C8-4FBE-839C-90E76B7B321E}"/>
    <hyperlink ref="G1614" r:id="rId1733" xr:uid="{A483C81D-0A8E-4BE9-9EC3-71721751B45F}"/>
    <hyperlink ref="AN1614" r:id="rId1734" xr:uid="{F34D24AA-9B9B-4EA6-9AB5-EB006DCE1713}"/>
    <hyperlink ref="G1615" r:id="rId1735" xr:uid="{1C427106-B0D4-4F16-882E-E48B3D95CB2F}"/>
    <hyperlink ref="G1616" r:id="rId1736" xr:uid="{9F88B5AD-85EB-4CCB-B033-7DAEF1A0E816}"/>
    <hyperlink ref="G1617" r:id="rId1737" xr:uid="{2362B146-0259-4272-8B84-69175DA257BD}"/>
    <hyperlink ref="G1618" r:id="rId1738" xr:uid="{861AFF0D-51C9-4024-A724-08D4B9ABC7DE}"/>
    <hyperlink ref="G1619" r:id="rId1739" xr:uid="{56A6F0D2-5F74-4312-94ED-4965DCFB515B}"/>
    <hyperlink ref="G1620" r:id="rId1740" xr:uid="{89D74B3D-CBAD-4D68-99F0-48A589E33AE8}"/>
    <hyperlink ref="G1621" r:id="rId1741" xr:uid="{C7004817-3AC7-4A14-B1C6-E971AA537410}"/>
    <hyperlink ref="G1622" r:id="rId1742" xr:uid="{39FA5E28-F509-433C-B6EF-1F9396F224AD}"/>
    <hyperlink ref="G1623" r:id="rId1743" xr:uid="{0E891F99-0E24-4C9C-8F46-748674AE4D34}"/>
    <hyperlink ref="G1624" r:id="rId1744" xr:uid="{0E0AE259-9FA4-4E02-B280-3A9CCF42CD68}"/>
    <hyperlink ref="G1625" r:id="rId1745" xr:uid="{3153397D-82ED-4467-A49D-24E862145E63}"/>
    <hyperlink ref="G1626" r:id="rId1746" xr:uid="{564387F0-6438-42E5-926F-24EF2229E456}"/>
    <hyperlink ref="G1627" r:id="rId1747" xr:uid="{4529888F-E8B6-44FF-A444-02D58615C393}"/>
    <hyperlink ref="G1628" r:id="rId1748" xr:uid="{744664CF-981C-4E0F-A9FC-B617C0102678}"/>
    <hyperlink ref="G1629" r:id="rId1749" xr:uid="{941B11FB-CD11-4956-9899-4BAA8B829FA8}"/>
    <hyperlink ref="G1630" r:id="rId1750" xr:uid="{29F4BD34-067D-47F3-8EF4-DF578B47300C}"/>
    <hyperlink ref="G1631" r:id="rId1751" xr:uid="{7AD5BB22-4C3F-4DBA-AD73-D81AFA0C1BF5}"/>
    <hyperlink ref="G1632" r:id="rId1752" xr:uid="{24D73F57-5732-4F0C-ADFC-D9BD179831B9}"/>
    <hyperlink ref="G1633" r:id="rId1753" xr:uid="{297B0D89-B7A5-4359-B473-4987F057DB96}"/>
    <hyperlink ref="AB1633" r:id="rId1754" xr:uid="{5D8AA70F-922E-4B13-8808-31424DE8513C}"/>
    <hyperlink ref="G1634" r:id="rId1755" xr:uid="{DE4D129D-8ACA-4FA1-886F-DA75FEE56BC6}"/>
    <hyperlink ref="G1635" r:id="rId1756" xr:uid="{F7A939B1-07B4-4145-B151-6E2548BDA236}"/>
    <hyperlink ref="G1636" r:id="rId1757" xr:uid="{3A0A1F52-02D1-4F60-8A3A-9861F6CCA0BE}"/>
    <hyperlink ref="G1637" r:id="rId1758" xr:uid="{552C4BBB-CDDD-41C7-A8F5-8B1B9E49625A}"/>
    <hyperlink ref="AN1637" r:id="rId1759" xr:uid="{229ACAEE-8620-4622-850F-B4237CB7DE96}"/>
    <hyperlink ref="G1638" r:id="rId1760" xr:uid="{541A7AD1-E0A1-40E6-98C2-E2BC89E3FB03}"/>
    <hyperlink ref="AN1638" r:id="rId1761" xr:uid="{05FBF382-B9E9-46FB-B08F-A4CFB68A308F}"/>
    <hyperlink ref="G1639" r:id="rId1762" xr:uid="{1FA01525-27E1-4507-8105-CCE3995D57D5}"/>
    <hyperlink ref="AN1639" r:id="rId1763" xr:uid="{BD76FF93-69B6-43F4-A147-62D57C6CE8EC}"/>
    <hyperlink ref="G1640" r:id="rId1764" xr:uid="{0186CFAD-77DE-40F2-B10B-B9078FC25673}"/>
    <hyperlink ref="AN1640" r:id="rId1765" xr:uid="{59A28269-6B13-4285-9956-7E7A12F8FC20}"/>
    <hyperlink ref="G1641" r:id="rId1766" xr:uid="{B87F7509-1AD4-4740-B049-C6A94433BAE1}"/>
    <hyperlink ref="AN1641" r:id="rId1767" xr:uid="{FB2CBD2F-D5CD-4BAA-82C9-7658839A65D0}"/>
    <hyperlink ref="G1642" r:id="rId1768" xr:uid="{517C5778-F930-4A2A-87C2-16121CA1147F}"/>
    <hyperlink ref="G1643" r:id="rId1769" xr:uid="{1F2E4999-5116-4FC3-8DCF-FEAD30DE53BF}"/>
    <hyperlink ref="G1644" r:id="rId1770" xr:uid="{BB2FB813-1828-464A-91E0-940D25BF1AFB}"/>
    <hyperlink ref="G1645" r:id="rId1771" xr:uid="{0FB6E118-BBD7-42DB-9639-DDDC6209A9F5}"/>
    <hyperlink ref="G1646" r:id="rId1772" xr:uid="{9BEF6319-F2BA-4B20-A879-A30E08B5A0B6}"/>
    <hyperlink ref="G1647" r:id="rId1773" xr:uid="{0F414619-E58A-4BB8-B793-782EEC52AE56}"/>
    <hyperlink ref="G1648" r:id="rId1774" xr:uid="{2873DC05-4B99-4C19-B487-DA51B9DCD90A}"/>
    <hyperlink ref="G1649" r:id="rId1775" xr:uid="{7935B431-332B-468B-84DF-BC6354BA266C}"/>
    <hyperlink ref="G1650" r:id="rId1776" xr:uid="{E999BDE1-A842-4FAC-A2EB-64FDD17B482C}"/>
    <hyperlink ref="G1651" r:id="rId1777" xr:uid="{BC33AB57-CA36-4A72-B29D-6BC10A4AC5EC}"/>
    <hyperlink ref="G1652" r:id="rId1778" xr:uid="{1B161B1D-78FE-4BA8-AD79-6DF67FAAF3ED}"/>
    <hyperlink ref="G1653" r:id="rId1779" xr:uid="{27AC2917-AFDF-448F-A24C-C716DB034CAE}"/>
    <hyperlink ref="G1654" r:id="rId1780" xr:uid="{267FE237-6B0F-4102-B089-E7F86307F825}"/>
    <hyperlink ref="G1655" r:id="rId1781" xr:uid="{2C283A7E-D771-495D-9DB6-1CCE305842A4}"/>
    <hyperlink ref="G1656" r:id="rId1782" xr:uid="{BDD614F5-09DC-4D7B-A708-7B9B8872C4DD}"/>
    <hyperlink ref="G1657" r:id="rId1783" xr:uid="{6562CBEA-0ED8-4A6B-9067-523AC18D9C41}"/>
    <hyperlink ref="G1658" r:id="rId1784" xr:uid="{68C14454-4A1C-4B2A-92D7-1E92B4B261DD}"/>
    <hyperlink ref="G1659" r:id="rId1785" xr:uid="{0D2E8458-82BC-4782-BDD6-A3185F5F7ECE}"/>
    <hyperlink ref="G1660" r:id="rId1786" xr:uid="{526D7A1C-E78B-4E37-88C3-B95F44144168}"/>
    <hyperlink ref="G1661" r:id="rId1787" xr:uid="{2C36D3BE-F70E-4060-B256-B0EB522358C5}"/>
    <hyperlink ref="G1662" r:id="rId1788" xr:uid="{47CC5731-A40B-4A93-8718-453528DCFBC1}"/>
    <hyperlink ref="G1663" r:id="rId1789" xr:uid="{A884BD67-FE39-43E3-8C8E-8AB327CD2D87}"/>
    <hyperlink ref="G1664" r:id="rId1790" xr:uid="{C7E84C53-514F-4513-9E17-6FD1359DA0B7}"/>
    <hyperlink ref="G1665" r:id="rId1791" xr:uid="{6159F0C9-E281-4883-A3B2-6B51CD46E874}"/>
    <hyperlink ref="AN1665" r:id="rId1792" xr:uid="{F5805552-2381-4711-BDBE-B7578D72B88E}"/>
    <hyperlink ref="G1666" r:id="rId1793" xr:uid="{C4C04ABC-C48C-48F8-8E34-7BEC09857D28}"/>
    <hyperlink ref="AN1666" r:id="rId1794" xr:uid="{48551912-8813-428D-ACCF-8E669248E558}"/>
    <hyperlink ref="G1667" r:id="rId1795" xr:uid="{4F2B5B78-F6CA-466D-B9FF-F552954A9402}"/>
    <hyperlink ref="G1668" r:id="rId1796" xr:uid="{E709814B-3E1F-4E5C-9889-3DB96C3C400A}"/>
    <hyperlink ref="G1669" r:id="rId1797" xr:uid="{8BA989F0-FD4E-4336-8864-ACEA7AC03863}"/>
    <hyperlink ref="G1670" r:id="rId1798" xr:uid="{42CCCB26-B056-400E-8CB6-26D9E8F0291D}"/>
    <hyperlink ref="G1671" r:id="rId1799" xr:uid="{FDFB0BD2-D1E3-4BF7-8187-F6B848429573}"/>
    <hyperlink ref="G1672" r:id="rId1800" xr:uid="{15CEF4FA-1A90-4AD7-9A64-19E6C459E4AA}"/>
    <hyperlink ref="G1673" r:id="rId1801" xr:uid="{9B8A1B9D-FF38-4553-BE90-1ED54C05D033}"/>
    <hyperlink ref="G1674" r:id="rId1802" xr:uid="{8D2BE3C6-566E-4B12-9348-17269AC9120E}"/>
    <hyperlink ref="AN1674" r:id="rId1803" xr:uid="{FCA24948-4512-4C64-92D5-D70EC6F2A526}"/>
    <hyperlink ref="G1675" r:id="rId1804" xr:uid="{5395DE82-6C36-4392-88A4-A161F2A32289}"/>
    <hyperlink ref="G1676" r:id="rId1805" xr:uid="{2FCC7C09-D6B6-4332-85B1-D0F3B89BFEA2}"/>
    <hyperlink ref="AN1676" r:id="rId1806" xr:uid="{CB32E532-77CE-4F2E-A2B0-3C986FC4DE7D}"/>
    <hyperlink ref="G1677" r:id="rId1807" xr:uid="{D7D3DDA0-9152-4ABB-AD57-1E261F44D517}"/>
    <hyperlink ref="AN1677" r:id="rId1808" xr:uid="{154B6B55-8696-44B3-888F-B916AC3896C6}"/>
    <hyperlink ref="G1678" r:id="rId1809" xr:uid="{2AB60810-481B-4543-B3C9-1654CA16E728}"/>
    <hyperlink ref="AN1678" r:id="rId1810" xr:uid="{5BDB17DC-6780-443F-AF65-F53DE1DFA3CD}"/>
    <hyperlink ref="G1679" r:id="rId1811" xr:uid="{9819B053-5B0D-429B-913E-7CE023A56679}"/>
    <hyperlink ref="AN1679" r:id="rId1812" xr:uid="{61A657A4-5DDD-46DB-AEA0-3C41D5BA9899}"/>
    <hyperlink ref="G1680" r:id="rId1813" xr:uid="{723CB03F-0CFD-420A-9A11-1430223C78D8}"/>
    <hyperlink ref="AN1680" r:id="rId1814" xr:uid="{7E014D45-63E1-483C-BE95-E6AEF5C076F9}"/>
    <hyperlink ref="G1681" r:id="rId1815" xr:uid="{2EF69E0A-74EE-4934-9374-1E119395BC76}"/>
    <hyperlink ref="AN1681" r:id="rId1816" xr:uid="{899A0A9F-A9C6-455F-99B7-0F47DAAFB0F5}"/>
    <hyperlink ref="G1682" r:id="rId1817" xr:uid="{EC18AFBA-4376-4178-A90E-7BC1349FB569}"/>
    <hyperlink ref="G1683" r:id="rId1818" xr:uid="{F75DAC2C-190A-46D0-BCB4-4C6680886864}"/>
    <hyperlink ref="AN1683" r:id="rId1819" xr:uid="{0D995595-3B31-472A-9640-BD0DB4165BBC}"/>
    <hyperlink ref="G1684" r:id="rId1820" xr:uid="{878DE8BB-3749-422F-B43E-2B05FF98501F}"/>
    <hyperlink ref="G1685" r:id="rId1821" xr:uid="{CEDD863B-C371-49FE-8B76-2DF19E8CDE7F}"/>
    <hyperlink ref="G1686" r:id="rId1822" xr:uid="{E59E6CC4-A48C-4452-8975-74CF3EEFFDAF}"/>
    <hyperlink ref="G1687" r:id="rId1823" xr:uid="{54F9A3F9-5363-4F32-ABE9-BB6526406A71}"/>
    <hyperlink ref="G1688" r:id="rId1824" xr:uid="{26790620-CCC7-4574-9A1C-3EE3F2576FE4}"/>
    <hyperlink ref="G1689" r:id="rId1825" xr:uid="{580426EA-AF5A-4604-881B-2D32AC0C87D3}"/>
    <hyperlink ref="G1690" r:id="rId1826" xr:uid="{6605B076-2C4B-4892-B827-4D9E479DD7A9}"/>
    <hyperlink ref="G1691" r:id="rId1827" xr:uid="{1D34A7A9-B91E-4941-A07A-F20337357659}"/>
    <hyperlink ref="G1692" r:id="rId1828" xr:uid="{BB6105A0-689E-4294-B94E-0E517DA14216}"/>
    <hyperlink ref="G1693" r:id="rId1829" xr:uid="{867F6167-8412-4B17-8030-6DFC30BFA022}"/>
    <hyperlink ref="G1694" r:id="rId1830" xr:uid="{F6F44D1C-E7CD-4D7E-AF06-330811709C68}"/>
    <hyperlink ref="G1695" r:id="rId1831" xr:uid="{A9A72D0E-1DC5-415C-8C5A-5E2ABCFA2420}"/>
    <hyperlink ref="G1696" r:id="rId1832" xr:uid="{97217843-FD0F-437E-8315-5610F9AEE123}"/>
    <hyperlink ref="G1697" r:id="rId1833" xr:uid="{2ABB25F1-D954-4926-A33F-1F31A3CBF222}"/>
    <hyperlink ref="G1698" r:id="rId1834" xr:uid="{9ED9CFAB-EC10-4742-B12B-BEE8E1668998}"/>
    <hyperlink ref="AA1698" r:id="rId1835" xr:uid="{2E1D71ED-740E-4F1A-AE1E-A7AA479CFEC8}"/>
    <hyperlink ref="G1699" r:id="rId1836" xr:uid="{71FA84E7-FD65-413F-A1E1-B3E894EF449E}"/>
    <hyperlink ref="AN1699" r:id="rId1837" xr:uid="{AD268746-616E-48FE-A440-71DDB77364C3}"/>
    <hyperlink ref="G1700" r:id="rId1838" xr:uid="{A1109A60-18A0-4797-92C4-2A4181F66581}"/>
    <hyperlink ref="AN1700" r:id="rId1839" xr:uid="{E37FC298-253B-46A4-8932-D6CA61F640CB}"/>
    <hyperlink ref="G1701" r:id="rId1840" xr:uid="{E75FCC54-A726-4252-B17B-3109CA4217C7}"/>
    <hyperlink ref="G1702" r:id="rId1841" xr:uid="{3F02BEB8-95E9-433F-ABE0-B65299312068}"/>
    <hyperlink ref="G1703" r:id="rId1842" xr:uid="{1D41EC94-28D2-4A54-BB24-A9DD62D548F6}"/>
    <hyperlink ref="G1704" r:id="rId1843" xr:uid="{409256C2-F6D9-4444-96A7-476C4E6EC83B}"/>
    <hyperlink ref="G1705" r:id="rId1844" xr:uid="{378C5648-AC7D-4FCB-BF08-5ACE7DECD7BD}"/>
    <hyperlink ref="G1706" r:id="rId1845" xr:uid="{950C7F6C-DFF1-4906-AD68-351F16EB322C}"/>
    <hyperlink ref="G1707" r:id="rId1846" xr:uid="{3608B7C5-E4D1-4B28-AA05-31F8537D4D31}"/>
    <hyperlink ref="AN1707" r:id="rId1847" xr:uid="{4CA7D0A6-5359-4DBA-A577-C2015BE25DD7}"/>
    <hyperlink ref="G1708" r:id="rId1848" xr:uid="{782A81C7-B140-4CB3-B400-C3F1D2ADB051}"/>
    <hyperlink ref="G1709" r:id="rId1849" xr:uid="{BA8361EC-E34D-42D2-AC9A-8421902294FF}"/>
    <hyperlink ref="AN1709" r:id="rId1850" xr:uid="{21F17F8A-259D-437D-BE39-92F7D992DEE4}"/>
    <hyperlink ref="G1710" r:id="rId1851" xr:uid="{E96FAF66-DA1E-4B76-AFAA-CE2C873BC55A}"/>
    <hyperlink ref="AN1710" r:id="rId1852" xr:uid="{0F08FAD9-1569-4C11-BCFC-82E3908583D2}"/>
    <hyperlink ref="G1711" r:id="rId1853" xr:uid="{7A650CAF-49E7-4628-A2D2-6D998B522D21}"/>
    <hyperlink ref="AN1711" r:id="rId1854" xr:uid="{38A16BE3-4A1F-4CBD-BA48-505F6E32955E}"/>
    <hyperlink ref="G1712" r:id="rId1855" xr:uid="{371BF3B1-59D1-4846-A5D2-E358B56BD888}"/>
    <hyperlink ref="AN1712" r:id="rId1856" xr:uid="{7387088F-01B0-4446-8C24-C3FF8A88ABE0}"/>
    <hyperlink ref="G1713" r:id="rId1857" xr:uid="{6CF30590-10B4-44AC-AD1C-4E65B3E3122D}"/>
    <hyperlink ref="G1714" r:id="rId1858" xr:uid="{59D5ED26-66A7-4AC2-8649-C3C96B4B8EA7}"/>
    <hyperlink ref="G1715" r:id="rId1859" xr:uid="{615EDAED-BE13-4CFB-9665-A1F21CE5FC8E}"/>
    <hyperlink ref="G1716" r:id="rId1860" xr:uid="{3B383C35-647A-4DA4-9C33-69D36A19BD63}"/>
    <hyperlink ref="G1717" r:id="rId1861" xr:uid="{BF0986CE-50C0-4683-919B-A5C55BA3735A}"/>
    <hyperlink ref="G1718" r:id="rId1862" xr:uid="{B359C3C2-BC7E-4E67-A0BA-D460C3E4E1D2}"/>
    <hyperlink ref="G1719" r:id="rId1863" xr:uid="{B4711BAE-1D77-483C-8E47-2DDF905332F8}"/>
    <hyperlink ref="G1720" r:id="rId1864" xr:uid="{5A006AFD-52E4-4B41-8E47-1B0669968C48}"/>
    <hyperlink ref="G1721" r:id="rId1865" xr:uid="{ED7F5969-9A58-4438-A3D4-65ED219D863F}"/>
    <hyperlink ref="G1722" r:id="rId1866" xr:uid="{6617978D-9AF7-419A-B694-C059E0AE165D}"/>
    <hyperlink ref="G1723" r:id="rId1867" xr:uid="{5AC035A9-5383-420C-ABEF-43DDDDC75E49}"/>
    <hyperlink ref="G1724" r:id="rId1868" xr:uid="{C5BE5EF3-C14D-4B05-8937-9D933255AD58}"/>
    <hyperlink ref="G1725" r:id="rId1869" xr:uid="{D827B366-9A04-4833-B710-A49FD8AEF6E8}"/>
    <hyperlink ref="G1726" r:id="rId1870" xr:uid="{D264D07E-8CEA-4F16-A314-C5EB6AD7791C}"/>
    <hyperlink ref="G1727" r:id="rId1871" xr:uid="{C5A16481-A0DF-457B-A4C9-D7C21DAF8025}"/>
    <hyperlink ref="AN1727" r:id="rId1872" xr:uid="{E34EADB3-2CD4-4968-B4C5-B89C417DFE38}"/>
    <hyperlink ref="G1728" r:id="rId1873" xr:uid="{A7FD63FB-52AB-4375-931C-439FFD8BF6BE}"/>
    <hyperlink ref="AN1728" r:id="rId1874" xr:uid="{05A2212A-BA06-4116-B150-E704B4B909FB}"/>
    <hyperlink ref="G1729" r:id="rId1875" xr:uid="{B4630EE4-F69D-4007-AFEC-EEFF2E1C6D3E}"/>
    <hyperlink ref="G1730" r:id="rId1876" xr:uid="{0862FF8A-76B4-4269-AC35-8E4CC6ECDD1F}"/>
    <hyperlink ref="G1731" r:id="rId1877" xr:uid="{2A8D8EF2-6E4B-4978-88E1-E7BAF966211D}"/>
    <hyperlink ref="G1732" r:id="rId1878" xr:uid="{9374446A-0A64-466D-897C-1E73F8A6EB1B}"/>
    <hyperlink ref="AN1732" r:id="rId1879" xr:uid="{61A504BB-BAC9-43B0-AFC3-E071697232D8}"/>
    <hyperlink ref="G1733" r:id="rId1880" xr:uid="{8DDE2128-0603-419A-AFBF-E676CDE46DA6}"/>
    <hyperlink ref="G1734" r:id="rId1881" xr:uid="{2E5BBEAD-8DBB-4D1E-86DF-1246F996B8B0}"/>
    <hyperlink ref="G1735" r:id="rId1882" xr:uid="{A6B788C3-358E-4962-8FA0-8F2D83013E11}"/>
    <hyperlink ref="G1736" r:id="rId1883" xr:uid="{1B99A51A-674F-47BE-92C4-FC438B234667}"/>
    <hyperlink ref="G1737" r:id="rId1884" xr:uid="{096B98AA-CA5D-4F8F-99AB-1F2FDBE20660}"/>
    <hyperlink ref="AN1737" r:id="rId1885" xr:uid="{CAAC70A5-2DCC-4482-B5EB-1509C91C525C}"/>
    <hyperlink ref="G1738" r:id="rId1886" xr:uid="{1059D84B-EE5D-4BEE-AF80-482B1CE26492}"/>
    <hyperlink ref="G1739" r:id="rId1887" xr:uid="{75695975-F96C-4515-BBB4-857A4B211AD6}"/>
    <hyperlink ref="G1740" r:id="rId1888" xr:uid="{D3E85AB1-DCA0-4A55-9E4C-F927E7EA14AE}"/>
    <hyperlink ref="G1741" r:id="rId1889" xr:uid="{68A32A42-FA72-4D2E-86BE-BC462E4D99C5}"/>
    <hyperlink ref="G1742" r:id="rId1890" xr:uid="{54A1C492-393B-475A-A106-E552C182EFBE}"/>
    <hyperlink ref="AN1742" r:id="rId1891" xr:uid="{2CBEFA1B-B307-4178-90CC-D72C8F821BE3}"/>
    <hyperlink ref="G1743" r:id="rId1892" xr:uid="{B3D0B425-39EA-451D-B063-F93C0E3E402E}"/>
    <hyperlink ref="AN1743" r:id="rId1893" xr:uid="{D6ED46A8-7A1D-4310-BFE6-60A5E2FA9133}"/>
    <hyperlink ref="G1744" r:id="rId1894" xr:uid="{5F892108-5EF9-409A-8674-8081A6BD266D}"/>
    <hyperlink ref="AN1744" r:id="rId1895" xr:uid="{E234CFFA-BF9B-4E03-80A8-E9590FCB9EA9}"/>
    <hyperlink ref="G1745" r:id="rId1896" xr:uid="{537CC5A8-BA98-4431-B79A-89F26FC5DCCA}"/>
    <hyperlink ref="AN1745" r:id="rId1897" xr:uid="{E24D1416-DFC4-4D33-8C70-EBA6120DCC48}"/>
    <hyperlink ref="G1746" r:id="rId1898" xr:uid="{4F4F788E-FD79-4878-A9C2-3CB08C32E69D}"/>
    <hyperlink ref="G1747" r:id="rId1899" xr:uid="{8071906B-DF40-495C-A968-CB70DBDCB846}"/>
    <hyperlink ref="G1748" r:id="rId1900" xr:uid="{A4C041C9-29A0-43DD-9DC2-DF7762A813D5}"/>
    <hyperlink ref="G1749" r:id="rId1901" xr:uid="{A1CDBFDA-1EDA-47F3-AB6F-7CCC454773C0}"/>
    <hyperlink ref="G1750" r:id="rId1902" xr:uid="{EC3BAED3-0E7B-43FC-935C-C6A8E04FCCA7}"/>
    <hyperlink ref="G1751" r:id="rId1903" xr:uid="{BEE7CF87-FFA5-4790-BFAC-0CB9B7BD183E}"/>
    <hyperlink ref="G1752" r:id="rId1904" xr:uid="{4E694EB7-38FD-4E0D-BF39-6C2F123BBE6A}"/>
    <hyperlink ref="G1753" r:id="rId1905" xr:uid="{4FA19CD0-6214-45D3-9D72-EB1972443EA8}"/>
    <hyperlink ref="AN1753" r:id="rId1906" xr:uid="{F7248C8D-1E30-4D44-8882-C1D12EEC4DC2}"/>
    <hyperlink ref="G1754" r:id="rId1907" xr:uid="{1EB7616B-8758-4D35-B950-8D31884B0827}"/>
    <hyperlink ref="AN1754" r:id="rId1908" xr:uid="{926F8613-9D7B-42CB-9C39-60B42981BAA8}"/>
    <hyperlink ref="G1755" r:id="rId1909" xr:uid="{1914CE11-D16F-4707-85C3-A8C15FA2A1E3}"/>
    <hyperlink ref="G1756" r:id="rId1910" xr:uid="{FA262558-D78E-40BD-9DBF-8A3D70DF8911}"/>
    <hyperlink ref="G1757" r:id="rId1911" xr:uid="{7BA9109F-CB3E-416E-8519-F4975490A5A3}"/>
    <hyperlink ref="G1758" r:id="rId1912" xr:uid="{3317D7ED-5C6A-4A6A-B918-F934155D42B0}"/>
    <hyperlink ref="G1759" r:id="rId1913" xr:uid="{D8B4FA8D-6656-4ADC-A301-9737E8522CCB}"/>
    <hyperlink ref="G1760" r:id="rId1914" xr:uid="{C81B20DB-3332-4946-98F9-6DBC3E959586}"/>
    <hyperlink ref="G1761" r:id="rId1915" xr:uid="{7AA2C24F-A0DB-4DF9-9D39-481980148649}"/>
    <hyperlink ref="G1762" r:id="rId1916" xr:uid="{5C09999A-E782-4197-ACD6-E87AA4B52433}"/>
    <hyperlink ref="G1763" r:id="rId1917" xr:uid="{238DE021-CFAD-4DF6-A136-A3AA7C3FECC3}"/>
    <hyperlink ref="G1764" r:id="rId1918" xr:uid="{71EF0555-4FF6-42DB-81D4-F19480CAF9A9}"/>
    <hyperlink ref="G1765" r:id="rId1919" xr:uid="{F5312E52-0455-4F25-B132-BE272B409C14}"/>
    <hyperlink ref="G1766" r:id="rId1920" xr:uid="{4A725FB0-06E6-4334-8439-2D4F2DC9C819}"/>
    <hyperlink ref="G1768" r:id="rId1921" xr:uid="{BC73990A-A148-409A-937C-C77ACEFC2EDA}"/>
    <hyperlink ref="G1769" r:id="rId1922" xr:uid="{46B91B78-9028-4A96-AB04-4D5189185AE8}"/>
    <hyperlink ref="G1770" r:id="rId1923" xr:uid="{66A612A5-3C87-43FA-83FB-73967385E2C6}"/>
    <hyperlink ref="G1771" r:id="rId1924" xr:uid="{9E97ABAA-55DB-49EE-882B-BC5863EF5268}"/>
    <hyperlink ref="G1772" r:id="rId1925" xr:uid="{1CC768AE-E860-4CAA-812C-6830B9966A12}"/>
    <hyperlink ref="G1773" r:id="rId1926" xr:uid="{064CD0E1-16F4-41F4-839D-4FF2B1077BF7}"/>
    <hyperlink ref="G1774" r:id="rId1927" xr:uid="{EBCE675B-1D9D-41A0-9CFA-0BEFF2E9BD88}"/>
    <hyperlink ref="G1775" r:id="rId1928" xr:uid="{01E7F317-DFBC-4DC9-8F2A-3A72B18DF196}"/>
    <hyperlink ref="G1776" r:id="rId1929" xr:uid="{431FE9B9-8303-4541-AD42-87C6D766E53F}"/>
    <hyperlink ref="G1777" r:id="rId1930" xr:uid="{D98D541F-D365-4DCF-B1D0-1D136EC98E00}"/>
    <hyperlink ref="G1778" r:id="rId1931" xr:uid="{0B1C2166-E131-41B2-B5A8-2AC9ABD8E433}"/>
    <hyperlink ref="G1779" r:id="rId1932" xr:uid="{48C75480-B3A4-4FD0-9513-D618B05D2825}"/>
    <hyperlink ref="G1780" r:id="rId1933" xr:uid="{A6E2A6A6-84BA-46D5-9918-6FA15DC6CD95}"/>
    <hyperlink ref="G1781" r:id="rId1934" xr:uid="{0024A0BB-6F2C-4268-81DD-937E3A31A5E1}"/>
    <hyperlink ref="G1782" r:id="rId1935" xr:uid="{C28B41B8-D978-49B7-AD39-24B27D377C07}"/>
    <hyperlink ref="G1783" r:id="rId1936" xr:uid="{9E96C725-1B95-416A-A262-8C7D5A322EA3}"/>
    <hyperlink ref="G1784" r:id="rId1937" xr:uid="{C968F51D-D10F-42EC-910C-F4F0B33F6949}"/>
    <hyperlink ref="G1785" r:id="rId1938" xr:uid="{FDF2465A-88CC-48EC-AF22-7664920A65A3}"/>
    <hyperlink ref="G1786" r:id="rId1939" xr:uid="{BA5A4473-05A1-4B01-A903-FEB4DF19312F}"/>
    <hyperlink ref="G1787" r:id="rId1940" xr:uid="{0C7F7CA7-F565-4726-895A-941F38CB1212}"/>
    <hyperlink ref="G1788" r:id="rId1941" xr:uid="{69F58CBC-A444-4F9A-A23A-5B348B64C0FA}"/>
    <hyperlink ref="G1789" r:id="rId1942" xr:uid="{3F69BEA8-23FE-4330-918D-8F1488EC83D9}"/>
    <hyperlink ref="G1790" r:id="rId1943" xr:uid="{D4E61E2D-AAA1-4716-A777-615DA4C29BF1}"/>
    <hyperlink ref="G1791" r:id="rId1944" xr:uid="{DBEC090B-0002-4580-800D-61F7796C768F}"/>
    <hyperlink ref="G1792" r:id="rId1945" xr:uid="{368A513F-356F-4250-94F1-E7B918FDA563}"/>
    <hyperlink ref="G1793" r:id="rId1946" xr:uid="{52E4A6E6-827F-40C6-893D-2CA7704050E5}"/>
    <hyperlink ref="G1794" r:id="rId1947" xr:uid="{B450C231-2A6F-46DD-9ABE-3E902A7F5F2A}"/>
    <hyperlink ref="G1795" r:id="rId1948" xr:uid="{7540002B-48D5-4E1B-A601-853192598CE4}"/>
    <hyperlink ref="G1796" r:id="rId1949" xr:uid="{71469B67-BEA1-4B26-A41F-752F3CAFD8EB}"/>
    <hyperlink ref="G1797" r:id="rId1950" xr:uid="{6CB669FE-51CD-4782-AA85-3D6186EA98C2}"/>
    <hyperlink ref="G1798" r:id="rId1951" xr:uid="{AA7D729A-12DA-43C7-85D6-FE687392013B}"/>
    <hyperlink ref="G1799" r:id="rId1952" xr:uid="{C14B0A26-DEDA-445A-BA5B-3EC6C4FBDF36}"/>
    <hyperlink ref="G1800" r:id="rId1953" xr:uid="{B3FE81C0-6A4F-4FCC-8164-365C3381773D}"/>
    <hyperlink ref="G1801" r:id="rId1954" xr:uid="{2DA341C9-036A-402D-AB94-B49D1E76C461}"/>
    <hyperlink ref="G1802" r:id="rId1955" xr:uid="{146C4B8F-78E1-4E7A-8FC9-2A6DBD3AB6BB}"/>
    <hyperlink ref="G1803" r:id="rId1956" xr:uid="{CF37F15A-2188-4C54-85F5-3DF150B667DE}"/>
    <hyperlink ref="G1804" r:id="rId1957" xr:uid="{7B3641F9-F358-469E-AB0A-7B7BB4C645F9}"/>
    <hyperlink ref="G1805" r:id="rId1958" xr:uid="{1DB84497-D264-431C-9896-6B9C5DFF9294}"/>
    <hyperlink ref="G1806" r:id="rId1959" xr:uid="{54B61BD9-A077-4B11-A794-99B6B236EB68}"/>
    <hyperlink ref="G1807" r:id="rId1960" xr:uid="{7096F20D-4599-4B15-934D-12C22DB21E22}"/>
    <hyperlink ref="G1808" r:id="rId1961" xr:uid="{F2D837D3-5C47-4AB1-99B5-4F2DEF1BAE95}"/>
    <hyperlink ref="G1809" r:id="rId1962" xr:uid="{F708B174-E871-4831-A39D-52F71343D1F2}"/>
    <hyperlink ref="G1810" r:id="rId1963" xr:uid="{F919A5E6-A43B-44BB-8140-B5914FDF25D4}"/>
    <hyperlink ref="G1811" r:id="rId1964" xr:uid="{29F61AAA-0E42-4ACD-B0FC-2D3F441AEBE8}"/>
    <hyperlink ref="G1812" r:id="rId1965" xr:uid="{36E00C20-7B08-4031-9927-6BDEA285718E}"/>
    <hyperlink ref="G1813" r:id="rId1966" xr:uid="{02D97CD9-847E-4C66-9CC5-05368F2AD03B}"/>
    <hyperlink ref="G1814" r:id="rId1967" xr:uid="{4789CDE8-32E6-4F92-B193-3037999F9A0D}"/>
    <hyperlink ref="G1815" r:id="rId1968" xr:uid="{C42057DF-351E-409B-ADED-AC5412186923}"/>
    <hyperlink ref="G1816" r:id="rId1969" xr:uid="{D22FC51E-1614-490A-9522-32E76058542D}"/>
    <hyperlink ref="G1817" r:id="rId1970" xr:uid="{CAB78543-F692-42C2-9D22-F19FEE6D8357}"/>
    <hyperlink ref="G1818" r:id="rId1971" xr:uid="{49FE488D-62F3-4C85-84ED-081E60145EAC}"/>
    <hyperlink ref="G1819" r:id="rId1972" xr:uid="{66782D93-B212-49E7-B847-2CAA79B661C4}"/>
    <hyperlink ref="G1820" r:id="rId1973" xr:uid="{7FAC0C6D-91F5-48EF-890F-95E6675079B6}"/>
    <hyperlink ref="G1821" r:id="rId1974" xr:uid="{F4395698-891B-4700-82C4-C73FCF26C580}"/>
    <hyperlink ref="G1822" r:id="rId1975" xr:uid="{300AB7B1-372E-4176-A605-A31CCC9E0B1B}"/>
    <hyperlink ref="G1823" r:id="rId1976" xr:uid="{42BF6940-32F6-4534-8583-3ECC8302A1D8}"/>
    <hyperlink ref="G1824" r:id="rId1977" xr:uid="{8B4C7BCF-F210-4D27-9F90-3F9F5856CD88}"/>
    <hyperlink ref="G1825" r:id="rId1978" xr:uid="{91E54739-7451-4343-A2BD-8B5AD2E20631}"/>
    <hyperlink ref="G1826" r:id="rId1979" xr:uid="{E21346BD-3DC1-40A5-87B4-69082E713CA2}"/>
    <hyperlink ref="G1827" r:id="rId1980" xr:uid="{0D97EBB8-6610-44FC-BBE0-03910E89DD9B}"/>
    <hyperlink ref="G1828" r:id="rId1981" xr:uid="{6BAF5E1E-9BE1-4DB6-A2C0-316E3875FB78}"/>
    <hyperlink ref="G1829" r:id="rId1982" xr:uid="{01032B82-ABD0-4FE1-BF1E-D1878B85383D}"/>
    <hyperlink ref="G1830" r:id="rId1983" xr:uid="{9C1E6F45-A380-479D-BC0C-1154BD471D1F}"/>
    <hyperlink ref="G1831" r:id="rId1984" xr:uid="{10FCCAEE-3FDE-40E1-8C45-9BEBD251E005}"/>
    <hyperlink ref="G1832" r:id="rId1985" xr:uid="{BAED3F7E-8699-45B7-BBE6-EC7B06CD4881}"/>
    <hyperlink ref="G1833" r:id="rId1986" xr:uid="{387C5FD8-F1B7-4772-A53E-CB49670F4DBC}"/>
    <hyperlink ref="G1834" r:id="rId1987" xr:uid="{C0B481AE-DE61-4C8F-AF86-C29F5CF89FFE}"/>
    <hyperlink ref="G1835" r:id="rId1988" xr:uid="{B7397758-0805-41D1-8D05-E2D9624CB272}"/>
    <hyperlink ref="G1836" r:id="rId1989" xr:uid="{25F24367-9B9B-4E15-B173-B4954E0AF485}"/>
    <hyperlink ref="G1837" r:id="rId1990" xr:uid="{AF0CCE60-585C-4576-8BA5-F0FDC7F5C7AE}"/>
    <hyperlink ref="G1838" r:id="rId1991" xr:uid="{E3737E3C-C2C8-430C-9007-5B7275476891}"/>
    <hyperlink ref="G1839" r:id="rId1992" xr:uid="{97C639A8-1B68-4FDF-AB28-920B1C1152BC}"/>
    <hyperlink ref="G1840" r:id="rId1993" xr:uid="{7D45EEE1-6A4A-4411-AA1C-9C44A8916862}"/>
    <hyperlink ref="G1841" r:id="rId1994" xr:uid="{7BEC03EA-54D5-41EA-B7F5-A36430B9F8D0}"/>
    <hyperlink ref="G1842" r:id="rId1995" xr:uid="{4A311BCF-422F-4C70-AE9C-0BCDCED8DB2F}"/>
    <hyperlink ref="G1843" r:id="rId1996" xr:uid="{25AA5794-5DDD-4229-8321-F236C28E0FC3}"/>
    <hyperlink ref="G1844" r:id="rId1997" xr:uid="{85041C71-5D02-4E7A-A292-271FBF589133}"/>
    <hyperlink ref="G1845" r:id="rId1998" xr:uid="{3FDCD7A9-054D-4518-8514-9BECCB93B980}"/>
    <hyperlink ref="G1846" r:id="rId1999" xr:uid="{DB58E7F1-3454-464C-8963-9A0D9BBB3B6E}"/>
    <hyperlink ref="G1847" r:id="rId2000" xr:uid="{31535BFC-24DE-4920-A293-B92FC1345EAD}"/>
    <hyperlink ref="G1848" r:id="rId2001" xr:uid="{9B7D590C-678D-4499-BD0A-B8E689A6AC37}"/>
    <hyperlink ref="G1849" r:id="rId2002" xr:uid="{B4CA77A2-CA52-4A82-9C3E-040242A2A549}"/>
    <hyperlink ref="G1850" r:id="rId2003" xr:uid="{A94B89AB-55CA-4B2D-8531-8480DE1F8DCF}"/>
    <hyperlink ref="G1851" r:id="rId2004" xr:uid="{DFEC4D94-04C7-49EC-8FFE-8AAD1E852D35}"/>
    <hyperlink ref="G1852" r:id="rId2005" xr:uid="{D6D9DF53-4B88-45A6-BDA8-7368A784E362}"/>
    <hyperlink ref="G1853" r:id="rId2006" xr:uid="{3813869D-1A70-4822-880D-EE6D06EA27D1}"/>
    <hyperlink ref="G1854" r:id="rId2007" xr:uid="{CF9F17B2-C3A9-46F8-AFB3-4FF3FE6D9C7E}"/>
    <hyperlink ref="G1855" r:id="rId2008" xr:uid="{A93F54C9-5BC8-4F27-8053-A40B9FA64CF9}"/>
    <hyperlink ref="G1856" r:id="rId2009" xr:uid="{06A88D32-8208-4B68-8D7B-F72036CF300D}"/>
    <hyperlink ref="G1857" r:id="rId2010" xr:uid="{BF489DEA-7E9F-4FC2-8682-9128FE84BB67}"/>
    <hyperlink ref="G1858" r:id="rId2011" xr:uid="{A68BFF70-1EF0-4C46-AD42-47DF890494E7}"/>
    <hyperlink ref="G1859" r:id="rId2012" xr:uid="{4381BA71-1030-41AA-8B3D-4085780B8F00}"/>
    <hyperlink ref="G1860" r:id="rId2013" xr:uid="{30D23F93-A736-4F88-A937-8FB381929844}"/>
    <hyperlink ref="G1861" r:id="rId2014" location="Bi-directional_project" xr:uid="{1DDB264D-257B-4DE6-893D-672C154ED29D}"/>
    <hyperlink ref="G1862" r:id="rId2015" xr:uid="{4E030BB6-C798-45E2-8CC0-494362BECB4B}"/>
    <hyperlink ref="G1863" r:id="rId2016" xr:uid="{ED44670C-033D-4322-868D-91DA0DF33037}"/>
    <hyperlink ref="AN1863" r:id="rId2017" xr:uid="{42EA5B71-B6D2-40AE-AEB0-D0D01A6C2449}"/>
    <hyperlink ref="G1864" r:id="rId2018" xr:uid="{98F4ED57-6DC7-4122-903C-005B8E1131AF}"/>
    <hyperlink ref="AN1864" r:id="rId2019" xr:uid="{E53D118C-2464-4F01-A4E0-B5DB1B9B3D56}"/>
    <hyperlink ref="G1865" r:id="rId2020" xr:uid="{54BA2F32-E77F-4FA6-8C93-D69CD74B0618}"/>
    <hyperlink ref="AN1865" r:id="rId2021" xr:uid="{BE02C686-8D07-44ED-BDD3-C194E7CF95DB}"/>
    <hyperlink ref="G1866" r:id="rId2022" xr:uid="{54D58772-3D87-4599-9CDB-FFB9EF2F9769}"/>
    <hyperlink ref="AN1866" r:id="rId2023" xr:uid="{49548060-241C-4CD1-8824-DA0405FABEBF}"/>
    <hyperlink ref="G1867" r:id="rId2024" xr:uid="{04C2BB40-E4CF-42FC-9B57-83571A1D622F}"/>
    <hyperlink ref="AN1867" r:id="rId2025" xr:uid="{B37A9412-0B42-4264-9EA5-9AA75498E945}"/>
    <hyperlink ref="G1868" r:id="rId2026" xr:uid="{E947AEC9-3FDB-4D11-99EC-A0688DD434E9}"/>
    <hyperlink ref="AN1868" r:id="rId2027" xr:uid="{C4DA177A-1BA1-4C9A-8E56-E086EA33BB40}"/>
    <hyperlink ref="G1869" r:id="rId2028" xr:uid="{6B794ED4-46A8-44F1-A860-8B5055BC7606}"/>
    <hyperlink ref="AN1869" r:id="rId2029" xr:uid="{D46478A5-2211-4A13-8AA8-3CB503107084}"/>
    <hyperlink ref="G1870" r:id="rId2030" xr:uid="{90DBC87E-D881-4E7F-BEE8-D8C9EBBBDDCD}"/>
    <hyperlink ref="AN1870" r:id="rId2031" xr:uid="{1B8E264D-792D-46AB-ABE7-1833C8325E48}"/>
    <hyperlink ref="G1871" r:id="rId2032" xr:uid="{C4E4D9DC-8CB4-4436-9AD8-A49111929C75}"/>
    <hyperlink ref="AN1871" r:id="rId2033" xr:uid="{6B79842B-B18B-4620-A485-F30DCE99DA43}"/>
    <hyperlink ref="G1872" r:id="rId2034" xr:uid="{E2EC890A-C2E2-416D-BB4F-C9581868386E}"/>
    <hyperlink ref="AN1872" r:id="rId2035" xr:uid="{E3C89DEA-841A-4830-BC52-95AC6055F10B}"/>
    <hyperlink ref="G1873" r:id="rId2036" xr:uid="{0F302C77-7F78-4677-8013-817B8946A1BF}"/>
    <hyperlink ref="AN1873" r:id="rId2037" xr:uid="{13D6EC91-5C56-4F38-BF35-5F3AA398BEC4}"/>
    <hyperlink ref="G1874" r:id="rId2038" xr:uid="{9AF1AAAF-247B-4563-AC53-AD1048B0435C}"/>
    <hyperlink ref="AN1874" r:id="rId2039" xr:uid="{225F5885-12F2-4E05-9D9F-EFBD3A09B1C2}"/>
    <hyperlink ref="G1875" r:id="rId2040" xr:uid="{99486766-B918-46AD-96CD-EA041CE3AEED}"/>
    <hyperlink ref="AN1875" r:id="rId2041" xr:uid="{B89C85F5-450C-4596-BEA4-28281447B82D}"/>
    <hyperlink ref="G1876" r:id="rId2042" xr:uid="{816DD6E6-9EE9-4371-96F1-E937E3662348}"/>
    <hyperlink ref="AN1876" r:id="rId2043" xr:uid="{C2B66363-900F-475B-BC3F-7E2D11615250}"/>
    <hyperlink ref="G1877" r:id="rId2044" xr:uid="{31AB69AF-EC29-4FCC-9B30-C18EDC3AA4B3}"/>
    <hyperlink ref="AN1877" r:id="rId2045" xr:uid="{E1E3FB66-8827-4659-83FF-D1C8A62AB9D3}"/>
    <hyperlink ref="G1878" r:id="rId2046" xr:uid="{476A9F49-0117-4E8F-9994-83B8F65C6B94}"/>
    <hyperlink ref="AN1878" r:id="rId2047" xr:uid="{45ACF4BD-6EE1-43A7-8CB1-7A7D48613E17}"/>
    <hyperlink ref="G1879" r:id="rId2048" xr:uid="{D16502E3-43EC-42AA-BFDD-C6CE15E3BC5B}"/>
    <hyperlink ref="G1880" r:id="rId2049" xr:uid="{3CA27954-9723-4A0A-B9A8-5CB99CF9F05D}"/>
    <hyperlink ref="G1881" r:id="rId2050" xr:uid="{7E65692A-7848-48AB-A6FE-67F66A43DABC}"/>
    <hyperlink ref="G1882" r:id="rId2051" xr:uid="{0B0E2273-D338-4028-A332-0D1F684BD9C3}"/>
    <hyperlink ref="G1883" r:id="rId2052" xr:uid="{76CDBD60-5096-4AF1-AEAD-E15167687526}"/>
    <hyperlink ref="G1884" r:id="rId2053" xr:uid="{9CBFA585-0D8F-40D3-B77D-0D51EA736A55}"/>
    <hyperlink ref="G1885" r:id="rId2054" xr:uid="{27F10E5D-BDC4-4897-8753-F10D73FED510}"/>
    <hyperlink ref="G1886" r:id="rId2055" xr:uid="{AEF0D6DE-697A-4336-B836-D07B95651C5E}"/>
    <hyperlink ref="G1887" r:id="rId2056" xr:uid="{E42E1742-3C17-40C4-8103-129F15B88606}"/>
    <hyperlink ref="G1888" r:id="rId2057" xr:uid="{33279157-24DD-419B-8953-70B29591B671}"/>
    <hyperlink ref="G1889" r:id="rId2058" xr:uid="{976609AB-E613-4ABA-A080-4E230D83F693}"/>
    <hyperlink ref="G1890" r:id="rId2059" xr:uid="{9A4617B0-C567-43DA-93C2-1020261FEAB9}"/>
    <hyperlink ref="G1891" r:id="rId2060" xr:uid="{0A71ABD9-C42F-4C4A-83C4-6FB929B6ED25}"/>
    <hyperlink ref="G1892" r:id="rId2061" xr:uid="{7FD01BC2-4104-43CC-8371-C19ABD5A6933}"/>
    <hyperlink ref="G1893" r:id="rId2062" xr:uid="{A1B49007-FA69-421B-87E6-29BFD00A4986}"/>
    <hyperlink ref="G1894" r:id="rId2063" xr:uid="{FCB109E1-0DB3-45B1-BAAF-1973B00175B8}"/>
    <hyperlink ref="G1895" r:id="rId2064" xr:uid="{9043B5F5-1693-4DCF-B504-A22E74356BB8}"/>
    <hyperlink ref="G1896" r:id="rId2065" xr:uid="{EB8E0ACA-41E7-47C9-B240-22BEAE2CB3AA}"/>
    <hyperlink ref="G1897" r:id="rId2066" xr:uid="{0E6A18B2-7AD7-499C-935E-A6CD39E18A87}"/>
    <hyperlink ref="G1898" r:id="rId2067" xr:uid="{858396CF-8470-4E02-B21B-AE6E547F3865}"/>
    <hyperlink ref="G1899" r:id="rId2068" xr:uid="{33380D38-0F32-4ACA-AB1B-5EAB4A6243D8}"/>
    <hyperlink ref="AN1899" r:id="rId2069" xr:uid="{FB365914-248B-408D-A3B3-962E76A5766E}"/>
    <hyperlink ref="G1900" r:id="rId2070" xr:uid="{58006A06-4206-49F1-BD7D-D2DF51EA065A}"/>
    <hyperlink ref="AN1900" r:id="rId2071" xr:uid="{DC768EB0-97F9-4C8A-98B7-BFEAFFAFCB7A}"/>
    <hyperlink ref="G1901" r:id="rId2072" xr:uid="{1901D43C-2B19-43C3-8143-A4C43D4A9FF5}"/>
    <hyperlink ref="G1902" r:id="rId2073" xr:uid="{418D6499-3E8B-4DA0-931F-6AE5254A52DA}"/>
    <hyperlink ref="G1903" r:id="rId2074" xr:uid="{A64253E7-ADE9-4A6B-B29D-4EEAF7AB7DE9}"/>
    <hyperlink ref="G1904" r:id="rId2075" xr:uid="{A77836BD-938B-415E-AEAC-60B866E848C1}"/>
    <hyperlink ref="G1905" r:id="rId2076" xr:uid="{99AF0CFB-858C-4AE6-B542-06296D293DF9}"/>
    <hyperlink ref="G1906" r:id="rId2077" xr:uid="{08356716-4E27-41F5-BD87-B09D79C156E3}"/>
    <hyperlink ref="G1907" r:id="rId2078" xr:uid="{26607FEB-5C1F-4F62-A80B-F922F573C225}"/>
    <hyperlink ref="G1908" r:id="rId2079" xr:uid="{25058864-F658-4128-BA38-11CF9A703E83}"/>
    <hyperlink ref="G1909" r:id="rId2080" xr:uid="{A78C04AC-0AE2-4AC8-9E67-01F02FC9EE12}"/>
    <hyperlink ref="G1910" r:id="rId2081" xr:uid="{4E95E1DB-C4F1-41EC-8B06-F451F2AA0A77}"/>
    <hyperlink ref="G1911" r:id="rId2082" xr:uid="{51748DA6-83B8-4F7C-84AA-8864402C7473}"/>
    <hyperlink ref="G1912" r:id="rId2083" xr:uid="{D815A9D3-CD6F-4CB9-9C54-7EC8B5455D37}"/>
    <hyperlink ref="G1913" r:id="rId2084" xr:uid="{A25582A7-F931-4614-97A2-2545D035D9F4}"/>
    <hyperlink ref="G1914" r:id="rId2085" xr:uid="{A58EA251-B800-49CF-91E1-8F499F4BE6EE}"/>
    <hyperlink ref="G1915" r:id="rId2086" xr:uid="{1D454F65-76DE-4283-BF85-2FF300C6E0E8}"/>
    <hyperlink ref="G1916" r:id="rId2087" xr:uid="{F97F3E7C-841F-4F0C-A589-E94305EDE2B1}"/>
    <hyperlink ref="G1917" r:id="rId2088" xr:uid="{06CB7096-1B07-40D7-A601-3DD16188FEAB}"/>
    <hyperlink ref="G1918" r:id="rId2089" xr:uid="{1030FF48-8B5D-41B7-9BB2-F7ED99C91546}"/>
    <hyperlink ref="G1919" r:id="rId2090" xr:uid="{4BFE79DD-741B-4311-82BC-49C697BF5667}"/>
    <hyperlink ref="G1920" r:id="rId2091" xr:uid="{A5F90A44-94E4-4A61-870F-CA11254B8B12}"/>
    <hyperlink ref="G1921" r:id="rId2092" xr:uid="{016362DF-A07B-4E50-9327-1EE9E47225DC}"/>
    <hyperlink ref="G1922" r:id="rId2093" xr:uid="{95EFC560-DDAB-4262-9F44-80DFCFDFF0E6}"/>
    <hyperlink ref="G1923" r:id="rId2094" xr:uid="{6A9745E4-7F5F-48D9-8C31-F8945AB358BC}"/>
    <hyperlink ref="G1924" r:id="rId2095" xr:uid="{AAE411E3-DE97-4D91-B3A3-F32BEC998979}"/>
    <hyperlink ref="G1925" r:id="rId2096" xr:uid="{7FC2256D-14F3-4445-AD60-AEA5FF09EA36}"/>
    <hyperlink ref="G1926" r:id="rId2097" xr:uid="{7E02EE3D-F2CF-4A34-8745-24E58122F787}"/>
    <hyperlink ref="G1927" r:id="rId2098" xr:uid="{3A1F861A-3333-4071-A428-D2AFAEEB121E}"/>
    <hyperlink ref="G1928" r:id="rId2099" xr:uid="{5D991F47-58E1-4C93-9D6E-FD3AFD63001C}"/>
    <hyperlink ref="G1929" r:id="rId2100" xr:uid="{D39A51E1-582B-44C8-8D56-AC505678F98B}"/>
    <hyperlink ref="G1930" r:id="rId2101" xr:uid="{35F73A0D-6C1F-4DCA-874F-CD6E39D45851}"/>
    <hyperlink ref="G1931" r:id="rId2102" xr:uid="{7D378895-178C-4E61-919A-1FED8F356388}"/>
    <hyperlink ref="G1932" r:id="rId2103" xr:uid="{52AB6BF2-651B-4899-80ED-2CB6F846EBE3}"/>
    <hyperlink ref="G1933" r:id="rId2104" xr:uid="{B4D119B7-285E-4177-AD28-5ABFC3E6D526}"/>
    <hyperlink ref="G1934" r:id="rId2105" xr:uid="{2D3080F7-11A9-475A-B515-CD40FBEBD473}"/>
    <hyperlink ref="G1935" r:id="rId2106" xr:uid="{BA4CA0DE-5B4A-4F9B-95A5-14AFF7362259}"/>
    <hyperlink ref="G1936" r:id="rId2107" xr:uid="{BCEB1346-6A59-4946-ABEB-AEC23D21D19F}"/>
    <hyperlink ref="G1937" r:id="rId2108" xr:uid="{3D623C87-C7A5-4EB4-B955-F057A0DFC2EC}"/>
    <hyperlink ref="G1938" r:id="rId2109" xr:uid="{299D7282-9926-4018-9047-2B299DD26104}"/>
    <hyperlink ref="G1939" r:id="rId2110" xr:uid="{2C47BA1B-027B-4870-84A0-15EF52A49B10}"/>
    <hyperlink ref="G1940" r:id="rId2111" xr:uid="{2D0E7DB9-041E-46C6-9B7C-B081B2149575}"/>
    <hyperlink ref="G1941" r:id="rId2112" xr:uid="{F0FE7437-3C71-4B50-880D-13594251CD8E}"/>
    <hyperlink ref="G1942" r:id="rId2113" xr:uid="{A1752A3C-42F7-4E49-A3DA-F59BF157A639}"/>
    <hyperlink ref="G1943" r:id="rId2114" xr:uid="{FE7D9F7D-094B-49F6-92D5-895A1B9278DB}"/>
    <hyperlink ref="G1944" r:id="rId2115" xr:uid="{DD5E70FF-85E7-48C8-8102-496C434EFE1D}"/>
    <hyperlink ref="G1945" r:id="rId2116" xr:uid="{1737740E-438F-4D9A-9875-E2A01AE0FE34}"/>
    <hyperlink ref="G1946" r:id="rId2117" xr:uid="{032431FA-1058-43B2-89F8-F1BE91C4FAE4}"/>
    <hyperlink ref="G1947" r:id="rId2118" xr:uid="{0036DD0F-081F-4D5A-B539-06019ADDFC9A}"/>
    <hyperlink ref="G1948" r:id="rId2119" xr:uid="{A3A15207-81B3-4402-A149-9E7746001CA0}"/>
    <hyperlink ref="G1949" r:id="rId2120" xr:uid="{BF1DA1D3-2B4D-4950-BDE1-0E3EAA248FE7}"/>
    <hyperlink ref="G1950" r:id="rId2121" xr:uid="{4F1BE7CC-5A38-4000-A985-AD37BC71C2B5}"/>
    <hyperlink ref="G1951" r:id="rId2122" xr:uid="{83CC6149-6860-4237-92DA-36240D111F9D}"/>
    <hyperlink ref="G1952" r:id="rId2123" xr:uid="{8BD461A5-ECBB-49B8-A8B4-535488EA8671}"/>
    <hyperlink ref="G1953" r:id="rId2124" xr:uid="{6CD91ED1-F96C-441A-B251-EEA718C13787}"/>
    <hyperlink ref="G1954" r:id="rId2125" xr:uid="{F9A853CE-D226-4609-8067-847ABF7C6EEB}"/>
    <hyperlink ref="G1955" r:id="rId2126" xr:uid="{6FD8C140-C783-4281-8B0B-F66024F20CDA}"/>
    <hyperlink ref="G1956" r:id="rId2127" xr:uid="{BE4AFAFA-7A3B-45B1-974D-EC477DCC2353}"/>
    <hyperlink ref="G1957" r:id="rId2128" xr:uid="{CE0E8875-D4D4-4DE3-96E9-CBD088D84EE4}"/>
    <hyperlink ref="G1958" r:id="rId2129" xr:uid="{BF4F2F08-E552-42FE-BA4F-AC3B681299A3}"/>
    <hyperlink ref="G1959" r:id="rId2130" xr:uid="{92CF63FE-A78D-4558-BF3D-5E4E0399A3B1}"/>
    <hyperlink ref="G1960" r:id="rId2131" xr:uid="{00B5F075-20B8-4E9D-BC40-D9EFDC5E742F}"/>
    <hyperlink ref="G1961" r:id="rId2132" xr:uid="{31788133-F20E-4E78-920E-4BEAD120EBCD}"/>
    <hyperlink ref="G1962" r:id="rId2133" xr:uid="{0E61C4A8-9D63-4506-A232-865DB6DC0E66}"/>
    <hyperlink ref="G1963" r:id="rId2134" xr:uid="{3E5C0DCD-0932-47ED-9138-E7BF762ED6D5}"/>
    <hyperlink ref="G1964" r:id="rId2135" xr:uid="{9A714958-6227-42A8-9B08-55AF446498D5}"/>
    <hyperlink ref="G1965" r:id="rId2136" xr:uid="{25E1FEFB-6AF9-4615-9EC1-CA67EA0E967E}"/>
    <hyperlink ref="G1966" r:id="rId2137" xr:uid="{2F95F70D-4403-4BDE-BF9E-E1882B2AD6A4}"/>
    <hyperlink ref="G1967" r:id="rId2138" xr:uid="{B0F2796D-A557-4AF1-B845-4D50C7CAFF0E}"/>
    <hyperlink ref="G1968" r:id="rId2139" xr:uid="{986C9A1D-5D1E-4B49-B383-1DA125D2475D}"/>
    <hyperlink ref="G1969" r:id="rId2140" xr:uid="{5A5FD8D7-5411-4478-967A-60CAD0C14AAE}"/>
    <hyperlink ref="G1970" r:id="rId2141" xr:uid="{35C6221D-7C1F-4D32-914C-250DECAAE880}"/>
    <hyperlink ref="G1971" r:id="rId2142" xr:uid="{45765A68-0AFB-4D1A-AE68-BE6EB882818F}"/>
    <hyperlink ref="G1972" r:id="rId2143" xr:uid="{48F77568-EEF6-4624-8649-5C3BE1A86B0D}"/>
    <hyperlink ref="G1973" r:id="rId2144" xr:uid="{6E78DD37-CEE9-4AD4-8FA9-BE9703917A67}"/>
    <hyperlink ref="G1974" r:id="rId2145" xr:uid="{CA17FEA2-3ECA-40F4-97CE-A63C5A85F56D}"/>
    <hyperlink ref="G1975" r:id="rId2146" xr:uid="{6938CA88-5E35-4FA6-ABA5-E9535FB02260}"/>
    <hyperlink ref="G1976" r:id="rId2147" xr:uid="{E060D50A-9242-41DA-9095-3F79B06D00B4}"/>
    <hyperlink ref="G1977" r:id="rId2148" xr:uid="{53ACFC9E-2D43-40C9-BEF8-5A36CA478434}"/>
    <hyperlink ref="G1978" r:id="rId2149" xr:uid="{FDE89AA8-419A-47B6-8E28-D88A95E50841}"/>
    <hyperlink ref="G1979" r:id="rId2150" xr:uid="{92F7407A-CAB0-4971-AAFD-5DBBC6DC1223}"/>
    <hyperlink ref="G1980" r:id="rId2151" xr:uid="{1385BE39-DE3D-4E37-B38B-68B74E441982}"/>
    <hyperlink ref="G1981" r:id="rId2152" xr:uid="{45913420-3B06-40F4-815F-B9582B9BEE46}"/>
    <hyperlink ref="G1982" r:id="rId2153" xr:uid="{59C7FC75-EEA6-43F5-9165-6C4F1A4F7E70}"/>
    <hyperlink ref="G1983" r:id="rId2154" xr:uid="{9A402D84-2568-4AE6-939E-69F9FB8F1EF6}"/>
    <hyperlink ref="G1984" r:id="rId2155" xr:uid="{88F5ED1A-DA92-4B98-939B-81DDC3E7DF62}"/>
    <hyperlink ref="AA1984" r:id="rId2156" xr:uid="{833E396D-8E93-48FD-B67C-871D3B809F4D}"/>
    <hyperlink ref="G1985" r:id="rId2157" xr:uid="{72E9FDE9-31E6-4AA2-9A23-77073839E791}"/>
    <hyperlink ref="G1986" r:id="rId2158" xr:uid="{03422299-B88A-46EF-8305-0149FC10D0B9}"/>
    <hyperlink ref="G1987" r:id="rId2159" xr:uid="{CD20DA77-C2A8-431B-925E-C57AD2299882}"/>
    <hyperlink ref="G1988" r:id="rId2160" xr:uid="{5E877F6D-77CB-4410-9599-929D0E43A4D9}"/>
    <hyperlink ref="G1989" r:id="rId2161" xr:uid="{AB1FCFC5-D32D-4984-8C09-A6102418A143}"/>
    <hyperlink ref="G1990" r:id="rId2162" xr:uid="{BAD75D86-BB20-4326-955A-0B5B2BA8047C}"/>
    <hyperlink ref="G1991" r:id="rId2163" xr:uid="{FE7F5356-6FA3-416A-BE5D-A8D6F832B605}"/>
    <hyperlink ref="G1992" r:id="rId2164" xr:uid="{58F55784-E822-4D01-B570-3BF3A0F02219}"/>
    <hyperlink ref="G1993" r:id="rId2165" xr:uid="{0BB1B5B3-8DF0-4E31-8D67-DD069C6CDAD6}"/>
    <hyperlink ref="G1994" r:id="rId2166" xr:uid="{3CCD40C9-5B9F-435D-92CF-734041002FC9}"/>
    <hyperlink ref="G1995" r:id="rId2167" xr:uid="{5A14D0A3-706B-4DA8-A8B2-FE11F5C89C00}"/>
    <hyperlink ref="G1996" r:id="rId2168" xr:uid="{B7178541-FBE5-464E-9053-6844E7010438}"/>
    <hyperlink ref="G1997" r:id="rId2169" xr:uid="{811BB6C5-D0D7-49C8-9A01-A24F1231A1FF}"/>
    <hyperlink ref="G1998" r:id="rId2170" xr:uid="{A12A24D2-6AED-436B-A4C2-E2B2A3B60ADB}"/>
    <hyperlink ref="G1999" r:id="rId2171" xr:uid="{0A223FD7-8DEC-4B41-A420-AE6655A915BC}"/>
    <hyperlink ref="G2000" r:id="rId2172" xr:uid="{24D9B62B-A958-4864-B4BB-A7B2126C62B1}"/>
    <hyperlink ref="G2001" r:id="rId2173" xr:uid="{CC573CFB-98D1-47A8-8B54-075E47B5045C}"/>
    <hyperlink ref="G2002" r:id="rId2174" xr:uid="{558D0348-E163-4CA1-A4A4-BAF6BE3F176F}"/>
    <hyperlink ref="G2003" r:id="rId2175" xr:uid="{6C04FCDD-AFF7-4AD7-8D39-FD711FDBD542}"/>
    <hyperlink ref="G2004" r:id="rId2176" xr:uid="{7B3DBA46-3DD8-42D6-8349-D9BBBD77C397}"/>
    <hyperlink ref="G2005" r:id="rId2177" xr:uid="{6719F5D3-06F7-40CA-AF2F-2B8DD1C59409}"/>
    <hyperlink ref="G2006" r:id="rId2178" xr:uid="{10B6EC6F-C87C-4800-AC7C-BD12ABD8F76B}"/>
    <hyperlink ref="G2007" r:id="rId2179" xr:uid="{53AEC5F4-58B7-49DB-A43B-9354C1862D7A}"/>
    <hyperlink ref="AN2007" r:id="rId2180" xr:uid="{CBE9A98F-35AF-4D16-BA42-FBF5B4A0F311}"/>
    <hyperlink ref="G2008" r:id="rId2181" xr:uid="{BBA077E3-AD3A-4F13-9340-1B61CAC5DD53}"/>
    <hyperlink ref="G2009" r:id="rId2182" xr:uid="{5F255416-1880-49CA-A535-47C190B13E24}"/>
    <hyperlink ref="G2010" r:id="rId2183" xr:uid="{A0C6822A-BA64-4625-91B9-22E81A9F69D3}"/>
    <hyperlink ref="G2011" r:id="rId2184" xr:uid="{223562E2-54BD-478A-AC98-3CF6A4934DC3}"/>
    <hyperlink ref="G2012" r:id="rId2185" xr:uid="{3B1247B7-9210-4E96-BDBD-DE6A28B0ED79}"/>
    <hyperlink ref="AA2012" r:id="rId2186" xr:uid="{3B4C1889-F5CC-4F84-AD2A-BBAE1659D57B}"/>
    <hyperlink ref="G2013" r:id="rId2187" xr:uid="{6EC09316-004E-4903-9457-08BA159ABE1F}"/>
    <hyperlink ref="AA2013" r:id="rId2188" xr:uid="{BBA3F72D-097C-43FC-967D-37027814A557}"/>
    <hyperlink ref="G2014" r:id="rId2189" xr:uid="{50C19FE8-917E-4FDA-A1E5-364732B702F2}"/>
    <hyperlink ref="AA2014" r:id="rId2190" xr:uid="{E0107100-9E75-4E81-BB95-49D5CFD90D69}"/>
    <hyperlink ref="G2015" r:id="rId2191" xr:uid="{AF3C7E54-0652-4619-8224-D4C9019FD607}"/>
    <hyperlink ref="AA2015" r:id="rId2192" xr:uid="{2C387D15-5B95-42F1-8143-43F967AF7121}"/>
    <hyperlink ref="G2016" r:id="rId2193" xr:uid="{3B260BDF-B72A-4210-8688-B779391E8763}"/>
    <hyperlink ref="AA2016" r:id="rId2194" xr:uid="{AF3F34B4-6E7F-4AD4-B7B2-EE6649F70197}"/>
    <hyperlink ref="G2017" r:id="rId2195" xr:uid="{EFFD3781-A3AC-4781-B25A-262B92A5838D}"/>
    <hyperlink ref="AA2017" r:id="rId2196" xr:uid="{A22ED200-B898-4CCF-A124-F232852E0003}"/>
    <hyperlink ref="G2018" r:id="rId2197" xr:uid="{354CF15B-3E55-40A6-A7E3-DDE7140F6981}"/>
    <hyperlink ref="AA2018" r:id="rId2198" xr:uid="{5760A18B-8A72-4D5B-8BFC-940878580AF3}"/>
    <hyperlink ref="G2019" r:id="rId2199" xr:uid="{63171F9D-20D1-4A96-839D-23208C5BD697}"/>
    <hyperlink ref="AA2019" r:id="rId2200" xr:uid="{7E49719B-7AAC-40EB-B142-F628F162E804}"/>
    <hyperlink ref="G2020" r:id="rId2201" xr:uid="{AF62C2A9-77B4-4463-A2B0-74B39DC5E0D6}"/>
    <hyperlink ref="G2021" r:id="rId2202" xr:uid="{D960A429-4883-4DF0-AD8F-D56399F90C64}"/>
    <hyperlink ref="G2022" r:id="rId2203" xr:uid="{1E180710-D344-4796-A43E-D808476B8D63}"/>
    <hyperlink ref="G2023" r:id="rId2204" xr:uid="{51A5793D-688D-4A43-B24A-9148BAA05B10}"/>
    <hyperlink ref="G2024" r:id="rId2205" xr:uid="{7B923117-570F-4DF7-AAE2-EDF1AC7E7BA4}"/>
    <hyperlink ref="G2025" r:id="rId2206" xr:uid="{9D051597-4858-469F-8D54-61FE22A600D5}"/>
    <hyperlink ref="G2026" r:id="rId2207" xr:uid="{0B6FAB7F-339A-4792-9175-A5D8018E1807}"/>
    <hyperlink ref="G2027" r:id="rId2208" xr:uid="{B4FB12C0-A7C8-4717-8850-903012AD380A}"/>
    <hyperlink ref="G2028" r:id="rId2209" xr:uid="{C1F05284-80EF-4F62-B9E9-2C40318F5773}"/>
    <hyperlink ref="G2029" r:id="rId2210" xr:uid="{29DBFF06-0AAA-4DD9-8A52-E319A4CCE377}"/>
    <hyperlink ref="G2030" r:id="rId2211" xr:uid="{8C6A2162-D99E-407C-BE60-18028E7EB77A}"/>
    <hyperlink ref="G2031" r:id="rId2212" xr:uid="{AE9FD7AA-84D2-40D7-9D4B-D81BC0BE3F82}"/>
    <hyperlink ref="G2032" r:id="rId2213" xr:uid="{F2FC4C55-CC8F-4AA9-97F5-9C9B2AA871DA}"/>
    <hyperlink ref="G2033" r:id="rId2214" xr:uid="{D4BBB8C2-C6B6-4EA9-AA97-12D1DB244A24}"/>
    <hyperlink ref="G2034" r:id="rId2215" xr:uid="{298397AE-F36D-446D-964E-180C8E182AE4}"/>
    <hyperlink ref="G2035" r:id="rId2216" xr:uid="{F767CA2F-8C85-41F2-9DBD-C93A3A5378D9}"/>
    <hyperlink ref="AN2035" r:id="rId2217" xr:uid="{72067A98-E30B-449A-B965-3AF0230D445A}"/>
    <hyperlink ref="G2036" r:id="rId2218" xr:uid="{C8EAC9B4-9273-4CFB-8586-9086956D7CA4}"/>
    <hyperlink ref="G2037" r:id="rId2219" xr:uid="{12B90E8A-FDA6-4386-93BF-FB9FF64AE89D}"/>
    <hyperlink ref="G2038" r:id="rId2220" xr:uid="{6611ECC2-1184-4BB7-92CC-4F485305BB61}"/>
    <hyperlink ref="G2039" r:id="rId2221" xr:uid="{A3FB2AC5-FB28-4CD6-AA77-DFF676E8C685}"/>
    <hyperlink ref="G2040" r:id="rId2222" xr:uid="{A8168482-0572-45F1-A086-5DB1D0BC3959}"/>
    <hyperlink ref="G2041" r:id="rId2223" xr:uid="{38C63DDF-0B5B-4E6B-830A-2DAC20290BF8}"/>
    <hyperlink ref="AA2041" r:id="rId2224" xr:uid="{C988C5BF-ECD7-45B8-8D27-E6C40724E96F}"/>
    <hyperlink ref="G2042" r:id="rId2225" xr:uid="{B4C57682-B047-4404-879D-503423EA41B8}"/>
    <hyperlink ref="AA2042" r:id="rId2226" xr:uid="{C0C1DB37-A6F8-46D0-856F-31265B9EBCAC}"/>
    <hyperlink ref="G2043" r:id="rId2227" xr:uid="{12352D8F-3C2E-4453-AC03-332F337DBB63}"/>
    <hyperlink ref="G2044" r:id="rId2228" xr:uid="{C43B6FE4-A3DD-4621-878A-AAF7094F385D}"/>
    <hyperlink ref="G2045" r:id="rId2229" xr:uid="{B699E73A-3F2E-4D1A-9A8D-0A4A0BA06E3E}"/>
    <hyperlink ref="G2046" r:id="rId2230" xr:uid="{8AFFC85E-B25D-46EF-9458-486CF8D70E86}"/>
    <hyperlink ref="AA2046" r:id="rId2231" xr:uid="{98428603-ECD7-465C-A690-8B62C1F860A8}"/>
    <hyperlink ref="G2047" r:id="rId2232" xr:uid="{4B69DB9A-0AB6-43A3-8AD4-D6BC0FEA11EC}"/>
    <hyperlink ref="AA2047" r:id="rId2233" xr:uid="{4A8C3F0B-A3E8-43F4-8C2F-2BCC52B37FFC}"/>
    <hyperlink ref="G2048" r:id="rId2234" xr:uid="{72349B3D-F069-4332-88B9-C27918BD0746}"/>
    <hyperlink ref="AA2048" r:id="rId2235" xr:uid="{64964681-E21D-4987-B70D-E16F094EE4E7}"/>
    <hyperlink ref="G2049" r:id="rId2236" xr:uid="{1C8C7E88-2DCF-4F48-9E2C-D65483A67679}"/>
    <hyperlink ref="AA2049" r:id="rId2237" xr:uid="{2C385106-DEF6-49FC-9A7C-71CC9A18E055}"/>
    <hyperlink ref="G2050" r:id="rId2238" xr:uid="{8145E8A8-C78B-468F-812D-6B287B50CBC3}"/>
    <hyperlink ref="AA2050" r:id="rId2239" xr:uid="{C7723E7B-94A3-45C7-BDCE-7D6C2035B5CD}"/>
    <hyperlink ref="G2051" r:id="rId2240" xr:uid="{4FDC0FFF-CECE-424D-AA14-4F4F32E461D1}"/>
    <hyperlink ref="AN2051" r:id="rId2241" xr:uid="{09B0C269-C243-463C-A34A-C476854EDFC3}"/>
    <hyperlink ref="G2052" r:id="rId2242" xr:uid="{02A1B348-CED3-4D7D-8D29-0345521BD4F0}"/>
    <hyperlink ref="G2053" r:id="rId2243" xr:uid="{78962193-79D9-456A-A85B-9AA473CBEDA3}"/>
    <hyperlink ref="G2054" r:id="rId2244" xr:uid="{58D7A21C-8FC7-442D-81D1-A4EA15B141EB}"/>
    <hyperlink ref="G2055" r:id="rId2245" xr:uid="{60EB1EF6-D34A-4975-94C7-840910B740B4}"/>
    <hyperlink ref="G2056" r:id="rId2246" xr:uid="{41B6DA04-F50F-46F6-83D8-198D4ED6D680}"/>
    <hyperlink ref="G2057" r:id="rId2247" xr:uid="{D741C08C-1D8E-42DB-8326-43C5749D21B3}"/>
    <hyperlink ref="G2058" r:id="rId2248" xr:uid="{05212704-CE6E-40DF-99FE-7ED651E8484B}"/>
    <hyperlink ref="G2059" r:id="rId2249" xr:uid="{A896D9FA-2348-4986-841C-F1DBDC872910}"/>
    <hyperlink ref="G2060" r:id="rId2250" xr:uid="{158E4FC5-31C7-4CEE-BC91-2B40D418F37A}"/>
    <hyperlink ref="G2061" r:id="rId2251" xr:uid="{CC3C8F83-77FD-4336-912A-69977DF075B5}"/>
    <hyperlink ref="G2062" r:id="rId2252" xr:uid="{CABD4309-D032-431F-9C94-C379BEF30B2B}"/>
    <hyperlink ref="G2063" r:id="rId2253" xr:uid="{2FB9237E-B805-4F87-92A1-AB5AF4560E86}"/>
    <hyperlink ref="G2064" r:id="rId2254" xr:uid="{BD7FC4B3-8DAB-4B62-A050-363B8EFE60F6}"/>
    <hyperlink ref="G2065" r:id="rId2255" xr:uid="{FBB7865C-AACC-4D5F-BE61-3E907B2908AE}"/>
    <hyperlink ref="G2066" r:id="rId2256" xr:uid="{E59F5C67-66F2-4BE8-A4BC-9E296033DD74}"/>
    <hyperlink ref="G2067" r:id="rId2257" xr:uid="{B436068B-4B05-40F4-AC6E-BF9128B032E2}"/>
    <hyperlink ref="G2068" r:id="rId2258" xr:uid="{85F671F9-6626-4248-BF1E-F25EB5322672}"/>
    <hyperlink ref="G2069" r:id="rId2259" xr:uid="{AA5DEFCE-4EFE-4644-A99F-C691AF17BDEB}"/>
    <hyperlink ref="G2070" r:id="rId2260" xr:uid="{89D19587-FCEC-498A-9BD2-1A94A8ED114A}"/>
    <hyperlink ref="G2071" r:id="rId2261" xr:uid="{7FD5184E-4689-4CA2-875C-3AB4EAE8A607}"/>
    <hyperlink ref="G2072" r:id="rId2262" xr:uid="{16BB3633-4C08-4F0B-8D3D-ED7369DB812E}"/>
    <hyperlink ref="G2073" r:id="rId2263" xr:uid="{A68A767E-0B11-4086-B671-42315C339552}"/>
    <hyperlink ref="G2074" r:id="rId2264" xr:uid="{B0D98644-AFD2-42BD-8BF9-13ED0ED9E478}"/>
    <hyperlink ref="G2075" r:id="rId2265" xr:uid="{8C3C7910-055C-4D3A-AB41-83BF2B86D6F1}"/>
    <hyperlink ref="G2076" r:id="rId2266" xr:uid="{8D18007C-6095-4D5E-8F1A-530ECBD203DC}"/>
    <hyperlink ref="G2077" r:id="rId2267" xr:uid="{C232020D-002F-4D49-8513-2606269A5B45}"/>
    <hyperlink ref="G2078" r:id="rId2268" xr:uid="{DDD27889-C7A6-4CC0-948A-A820DF1DA000}"/>
    <hyperlink ref="G2079" r:id="rId2269" xr:uid="{6E161675-C320-4A81-B938-57AD8E6728B2}"/>
    <hyperlink ref="G2080" r:id="rId2270" xr:uid="{994EFBC8-47BF-4B08-A15D-891F2D938D1D}"/>
    <hyperlink ref="G2081" r:id="rId2271" xr:uid="{381B6FC5-3F51-4972-8BAA-59D8CD7D0439}"/>
    <hyperlink ref="G2082" r:id="rId2272" xr:uid="{B44A496E-FD47-4430-8375-74A544A767E7}"/>
    <hyperlink ref="G2083" r:id="rId2273" xr:uid="{71630124-1F42-4B2C-B2ED-EA0FCCFA39B8}"/>
    <hyperlink ref="G2084" r:id="rId2274" xr:uid="{120C4372-146E-4040-BD0F-A65CDF6E021E}"/>
    <hyperlink ref="G2085" r:id="rId2275" xr:uid="{F822577A-B251-4654-9F7B-950F29A51A5C}"/>
    <hyperlink ref="G2086" r:id="rId2276" xr:uid="{CCD968A4-254A-4D61-AB08-7AD9C148AA24}"/>
    <hyperlink ref="G2087" r:id="rId2277" xr:uid="{621512B7-730C-4DD7-A54B-F7396925BA12}"/>
    <hyperlink ref="G2088" r:id="rId2278" xr:uid="{D172B137-DD8B-4C29-A10F-D2358AF53596}"/>
    <hyperlink ref="G2089" r:id="rId2279" xr:uid="{5EC54EED-0030-4210-A9B0-B0D3DC93C32F}"/>
    <hyperlink ref="G2090" r:id="rId2280" xr:uid="{C5B7B04D-5E9A-4903-B2E2-C4013FC3C716}"/>
    <hyperlink ref="G2091" r:id="rId2281" xr:uid="{22C87990-5D72-43EA-929C-23B73F314015}"/>
    <hyperlink ref="G2092" r:id="rId2282" xr:uid="{147592DB-109D-46C6-9944-A2146B55F6F3}"/>
    <hyperlink ref="G2093" r:id="rId2283" xr:uid="{63D419FC-3C5E-4FC7-B9A2-FDE48290F265}"/>
    <hyperlink ref="G2094" r:id="rId2284" xr:uid="{DEFEB8D6-69DC-466E-83C3-86BEC03F6C71}"/>
    <hyperlink ref="G2095" r:id="rId2285" xr:uid="{C3960E32-F0E1-4EBD-ABC3-E1E4688B4B51}"/>
    <hyperlink ref="G2096" r:id="rId2286" xr:uid="{50F7E8BB-5810-4F12-9EB6-56BA65397EA1}"/>
    <hyperlink ref="G2097" r:id="rId2287" xr:uid="{227A134E-4F35-4F8A-9B93-17272E10496C}"/>
    <hyperlink ref="G2098" r:id="rId2288" xr:uid="{5C62B8D6-C4BA-4E04-87C4-08E64E7DEA31}"/>
    <hyperlink ref="AN2098" r:id="rId2289" xr:uid="{8841E133-2D99-445C-9F4D-5B6C47F14C4F}"/>
    <hyperlink ref="G2099" r:id="rId2290" xr:uid="{21FF4604-604F-49D9-A14C-1496D35238B4}"/>
    <hyperlink ref="AN2099" r:id="rId2291" xr:uid="{82880100-C39A-4CBA-9AC9-5BBDC2E023D9}"/>
    <hyperlink ref="G2100" r:id="rId2292" xr:uid="{2983022A-7ABC-4AB4-A82F-A904413D92BA}"/>
    <hyperlink ref="G2101" r:id="rId2293" xr:uid="{907622C5-1DBA-4A18-A51D-7BB002695276}"/>
    <hyperlink ref="G2102" r:id="rId2294" xr:uid="{34747130-6F55-43C9-80D7-C6651A35E750}"/>
    <hyperlink ref="G2103" r:id="rId2295" xr:uid="{71543242-55A8-491D-A2B6-F749DBB8F35E}"/>
    <hyperlink ref="G2104" r:id="rId2296" xr:uid="{2CA17F49-3AAB-49D7-8E80-286723D69ED5}"/>
    <hyperlink ref="G2105" r:id="rId2297" xr:uid="{A2FC7B58-50BC-49CB-9BBB-AAF5951A0603}"/>
    <hyperlink ref="G2106" r:id="rId2298" xr:uid="{96B48AEB-8A69-49D0-AD96-CA55EA1CA059}"/>
    <hyperlink ref="G2107" r:id="rId2299" xr:uid="{3B0A9C30-09E1-473B-A003-379ED7F360AC}"/>
    <hyperlink ref="G2108" r:id="rId2300" xr:uid="{4772D566-49CA-42B9-9317-2ADBE0A02BB1}"/>
    <hyperlink ref="G2109" r:id="rId2301" xr:uid="{A1359406-79E4-49D4-92C2-2A328E0683FC}"/>
    <hyperlink ref="G2110" r:id="rId2302" xr:uid="{FB2FEC4F-50F9-4A37-98C5-767ECE48A2B3}"/>
    <hyperlink ref="G2111" r:id="rId2303" xr:uid="{47DABB74-4717-49ED-A75D-457CA6DEA966}"/>
    <hyperlink ref="G2112" r:id="rId2304" xr:uid="{6C117334-67AF-40AA-BB10-97C845EA0797}"/>
    <hyperlink ref="G2113" r:id="rId2305" xr:uid="{F10D3740-1160-427B-BC70-14BFDE054F2F}"/>
    <hyperlink ref="G2114" r:id="rId2306" xr:uid="{9929CFF1-C104-4C18-8A4C-D659247F9C07}"/>
    <hyperlink ref="G2115" r:id="rId2307" xr:uid="{CE22CED2-4825-4EF6-BCD7-281563967BAE}"/>
    <hyperlink ref="G2116" r:id="rId2308" xr:uid="{CD792788-AC8F-4D43-A15D-C9BAD08410C9}"/>
    <hyperlink ref="G2117" r:id="rId2309" xr:uid="{C8DAD5AE-0201-487C-815C-BE822B3D20E4}"/>
    <hyperlink ref="G2118" r:id="rId2310" xr:uid="{DF0784AE-85D9-4CC8-88BB-22A9DC0CF293}"/>
    <hyperlink ref="G2119" r:id="rId2311" xr:uid="{44506964-48ED-4E0D-B81D-EA819DBA40AF}"/>
    <hyperlink ref="G2120" r:id="rId2312" xr:uid="{2DF05652-ED5C-4D65-BC04-0EB20BD428D3}"/>
    <hyperlink ref="G2121" r:id="rId2313" xr:uid="{81D828CD-4E83-42B6-95F0-5055F10AC627}"/>
    <hyperlink ref="G2122" r:id="rId2314" xr:uid="{C77CED0B-01D8-415E-9844-115C7BB7C6B3}"/>
    <hyperlink ref="G2123" r:id="rId2315" xr:uid="{1CBC9A8A-C564-4F6E-800D-F7A11E510D7C}"/>
    <hyperlink ref="G2124" r:id="rId2316" xr:uid="{E5D6A8A0-3D93-49C0-BFEE-227414FAED81}"/>
    <hyperlink ref="G2125" r:id="rId2317" xr:uid="{A96F8875-6A44-49BB-A455-A071BCC94C36}"/>
    <hyperlink ref="G2126" r:id="rId2318" xr:uid="{4F80D41F-3E9B-4765-AFBE-18464DC07A42}"/>
    <hyperlink ref="G2127" r:id="rId2319" xr:uid="{64BD9ED3-6366-4D99-9ADB-CE83204015F1}"/>
    <hyperlink ref="G2128" r:id="rId2320" xr:uid="{1BCF5C68-19EE-4026-9082-0F5A2CB41B46}"/>
    <hyperlink ref="G2129" r:id="rId2321" xr:uid="{6E61194F-333D-40C0-8EE0-65BAA454F835}"/>
    <hyperlink ref="G2130" r:id="rId2322" xr:uid="{D1918E4C-36F3-47DB-9D8B-93EFAFECCDF2}"/>
    <hyperlink ref="G2131" r:id="rId2323" xr:uid="{52BB8D80-C857-4536-87A9-026368F2BB80}"/>
    <hyperlink ref="G2132" r:id="rId2324" xr:uid="{8389CE92-34A8-4DD8-9FDA-F458AC7BD0F5}"/>
    <hyperlink ref="G2133" r:id="rId2325" xr:uid="{99FF1B98-72E1-4CB8-BD91-F2A2644200E5}"/>
    <hyperlink ref="G2134" r:id="rId2326" xr:uid="{476318BC-4D09-47DE-992C-BB27FD392A40}"/>
    <hyperlink ref="G2135" r:id="rId2327" xr:uid="{AC8304AA-39C4-456E-B511-C3F893BB93EB}"/>
    <hyperlink ref="G2136" r:id="rId2328" xr:uid="{D2224D51-ADE2-4C4F-A987-F6AB09BFD99C}"/>
    <hyperlink ref="G2137" r:id="rId2329" xr:uid="{EA2E25BD-25B0-4A7E-AB94-4FAF427D01C5}"/>
    <hyperlink ref="G2138" r:id="rId2330" xr:uid="{521FBD29-311C-4E38-B8B7-E9ECE0476F35}"/>
    <hyperlink ref="G2139" r:id="rId2331" xr:uid="{48811529-2D11-42F9-85F1-194B96FF3397}"/>
    <hyperlink ref="G2140" r:id="rId2332" xr:uid="{48C4DB7A-ABB2-4983-B217-74C761E9AC0F}"/>
    <hyperlink ref="G2141" r:id="rId2333" xr:uid="{A7D0F2B4-927A-4C78-B55F-7376F6C87358}"/>
    <hyperlink ref="G2142" r:id="rId2334" xr:uid="{A58E6D10-5C08-42C3-931C-451C8144AFC4}"/>
    <hyperlink ref="G2143" r:id="rId2335" xr:uid="{40D82088-AF33-44F9-BEAC-51EBC92158A6}"/>
    <hyperlink ref="G2144" r:id="rId2336" xr:uid="{EE2E244F-EF28-4472-AE7C-E1F0A0130372}"/>
    <hyperlink ref="G2145" r:id="rId2337" xr:uid="{8DCA1242-C1A7-45F0-8FFD-5A6DDECBCBEC}"/>
    <hyperlink ref="G2146" r:id="rId2338" xr:uid="{C143B9FC-A6E0-47C4-98CD-38E55FFCFF84}"/>
    <hyperlink ref="G2147" r:id="rId2339" xr:uid="{9473B62B-58AC-4FE4-9071-985FEF87B0AA}"/>
    <hyperlink ref="G2148" r:id="rId2340" xr:uid="{E9FD5065-CDC2-4EF8-B07C-059BA9A1F0E4}"/>
    <hyperlink ref="G2149" r:id="rId2341" xr:uid="{4CB20DEC-3208-460D-88F9-A2B5FCA7B217}"/>
    <hyperlink ref="G2150" r:id="rId2342" xr:uid="{9402839C-D85F-4714-BB8E-EBD128625C0C}"/>
    <hyperlink ref="G2151" r:id="rId2343" xr:uid="{E0C6DB2E-2DDE-4813-97C3-B855567465B3}"/>
    <hyperlink ref="G2152" r:id="rId2344" xr:uid="{9D8F1FA2-2876-489A-B1C9-3D478D907B25}"/>
    <hyperlink ref="G2153" r:id="rId2345" xr:uid="{1AA9F365-842C-47A3-B7E3-6EC306DBD079}"/>
    <hyperlink ref="G2154" r:id="rId2346" xr:uid="{3E2C7EE2-214A-445F-BB34-1578046CDC4B}"/>
    <hyperlink ref="G2155" r:id="rId2347" xr:uid="{9E1A1B44-F4E8-4218-8C39-2F5EF58EEF87}"/>
    <hyperlink ref="G2156" r:id="rId2348" xr:uid="{2C0C9F28-4CEC-44C4-BFC2-50BABDCCC0A7}"/>
    <hyperlink ref="G2157" r:id="rId2349" xr:uid="{EA05D689-689B-41D1-B4EF-CAA0EFB3E823}"/>
    <hyperlink ref="G2158" r:id="rId2350" xr:uid="{364A973E-ADB8-4C6C-A806-5E05834C83AF}"/>
    <hyperlink ref="G2159" r:id="rId2351" xr:uid="{B07EA7C2-2AEF-4CCF-AE7E-2C1103F569F2}"/>
    <hyperlink ref="G2160" r:id="rId2352" xr:uid="{6CE1D45A-C9A1-4F4E-B1AA-EEAB1FD2014E}"/>
    <hyperlink ref="G2161" r:id="rId2353" xr:uid="{9CAD8197-6AE6-4DA6-A2AC-BEF54A7263D0}"/>
    <hyperlink ref="G2162" r:id="rId2354" xr:uid="{FC966FB2-0238-47D0-BFF2-E7FF7C3CC578}"/>
    <hyperlink ref="G2163" r:id="rId2355" xr:uid="{9811CB5D-36C7-46FD-BBFC-BD2072CB212B}"/>
    <hyperlink ref="G2164" r:id="rId2356" xr:uid="{A7E4B263-3A50-4CF8-A4DB-E359F05E08AD}"/>
    <hyperlink ref="G2165" r:id="rId2357" xr:uid="{3C955860-C724-4C0D-A669-90C9FFD95512}"/>
    <hyperlink ref="G2166" r:id="rId2358" xr:uid="{962DD95F-F9FA-47E6-A97A-C11688EE1757}"/>
    <hyperlink ref="G2167" r:id="rId2359" xr:uid="{F5A197A2-DF41-4D9E-AF79-F411FFF23531}"/>
    <hyperlink ref="G2168" r:id="rId2360" xr:uid="{A1951AD0-49EC-4642-BB98-3E0CD665D6CC}"/>
    <hyperlink ref="G2169" r:id="rId2361" xr:uid="{8CD418ED-C4C7-4319-AF3A-BD9CAF1AFE9E}"/>
    <hyperlink ref="G2170" r:id="rId2362" xr:uid="{AEB55C7A-5078-4B73-935D-D623650EADE9}"/>
    <hyperlink ref="G2171" r:id="rId2363" xr:uid="{A441287D-064A-4013-8F85-E83A4E07334E}"/>
    <hyperlink ref="G2172" r:id="rId2364" xr:uid="{F4C233B1-766E-4347-A778-3E4F7D7FBA09}"/>
    <hyperlink ref="G2173" r:id="rId2365" xr:uid="{0D6FDC96-8134-41B0-91FE-AA5DCBA42174}"/>
    <hyperlink ref="G2174" r:id="rId2366" xr:uid="{BB6CFCC1-B387-4FD8-B016-2C9D5149AD3E}"/>
    <hyperlink ref="G2175" r:id="rId2367" xr:uid="{38F22103-D711-4020-A455-55F1EE3F783E}"/>
    <hyperlink ref="G2176" r:id="rId2368" xr:uid="{5CCD7241-85EA-4B5E-8C17-5BCAFC326010}"/>
    <hyperlink ref="G2177" r:id="rId2369" xr:uid="{67190BED-71CC-4C4E-B2F0-0F4DF7F2171E}"/>
    <hyperlink ref="G2178" r:id="rId2370" xr:uid="{78AA67BB-4638-4AB4-8413-0D2C2CBD3F66}"/>
    <hyperlink ref="G2179" r:id="rId2371" xr:uid="{B09BA0B8-3FFF-447B-AE63-C39B202B3DD9}"/>
    <hyperlink ref="G2180" r:id="rId2372" xr:uid="{359B2BFF-C468-441B-88DA-856B02DD3158}"/>
    <hyperlink ref="G2181" r:id="rId2373" xr:uid="{27FCB050-4D79-4483-96CF-24C0CCED53B9}"/>
    <hyperlink ref="G2182" r:id="rId2374" xr:uid="{7ED4FDEF-642B-4B37-B0DD-B490818F004F}"/>
    <hyperlink ref="G2183" r:id="rId2375" xr:uid="{36A94882-16C0-4494-B99C-37B3D7FC71E6}"/>
    <hyperlink ref="G2184" r:id="rId2376" xr:uid="{0D00BED4-DAA6-4206-8EB7-0C73BD4F2B80}"/>
    <hyperlink ref="G2185" r:id="rId2377" xr:uid="{CBDECB12-58A3-4AD6-B466-5DF1F0548BA2}"/>
    <hyperlink ref="G2186" r:id="rId2378" xr:uid="{2D2D1775-FFA3-4ECB-A4BC-7123EEEE6756}"/>
    <hyperlink ref="G2187" r:id="rId2379" xr:uid="{7DFA5959-68A1-4F77-9C14-92C08241CFD6}"/>
    <hyperlink ref="G2188" r:id="rId2380" xr:uid="{04B288C5-D12C-40E7-96DC-ACC7A8FAD3F1}"/>
    <hyperlink ref="G2189" r:id="rId2381" xr:uid="{63C595ED-C732-4829-A8F7-510CC57ED1F1}"/>
    <hyperlink ref="G2190" r:id="rId2382" xr:uid="{F584866F-20BD-418A-84EC-CF604F9F1B0C}"/>
    <hyperlink ref="G2191" r:id="rId2383" xr:uid="{BC3E32A1-9D4A-4CE9-AA2B-9B82C2D3C09A}"/>
    <hyperlink ref="G2192" r:id="rId2384" xr:uid="{63AA5F14-EE4C-48B1-AA92-448331DEDA3E}"/>
    <hyperlink ref="G2193" r:id="rId2385" xr:uid="{3F7A3921-6547-40EB-831C-F151EEC5BAA6}"/>
    <hyperlink ref="G2194" r:id="rId2386" xr:uid="{FE615A5C-B890-412A-A9B2-DAC7F2373F19}"/>
    <hyperlink ref="G2195" r:id="rId2387" xr:uid="{E2F7EBE6-DCCD-4353-9B7F-B74B533CB5C3}"/>
    <hyperlink ref="G2196" r:id="rId2388" xr:uid="{F3BB4883-D71B-4586-A3E9-1B3F89E96850}"/>
    <hyperlink ref="G2197" r:id="rId2389" xr:uid="{F5A76EEE-DC53-4FCD-83A3-35DB24E027D0}"/>
    <hyperlink ref="G2198" r:id="rId2390" xr:uid="{5DD19916-788B-471B-9CC6-1B3C31121C3F}"/>
    <hyperlink ref="G2199" r:id="rId2391" xr:uid="{C67C083A-0064-435C-BAFE-E039E4D34AB1}"/>
    <hyperlink ref="G2200" r:id="rId2392" xr:uid="{6125855A-0C9B-409C-939B-638B9FBD6EBE}"/>
    <hyperlink ref="G2201" r:id="rId2393" xr:uid="{9260DE6F-CD11-402D-BCE3-C74B7D3AC950}"/>
    <hyperlink ref="G2202" r:id="rId2394" xr:uid="{48F1C996-1C8A-448E-8B74-A51A9DEF8A7F}"/>
    <hyperlink ref="G2203" r:id="rId2395" xr:uid="{5B652223-FC4D-4224-8C0E-E5DF054BDE05}"/>
    <hyperlink ref="G2204" r:id="rId2396" xr:uid="{043F21F6-540B-45BB-9448-6705C2DFE479}"/>
    <hyperlink ref="G2205" r:id="rId2397" xr:uid="{F322DCD8-B221-4FB2-8062-8D3E489A4D28}"/>
    <hyperlink ref="G2206" r:id="rId2398" xr:uid="{21A39DB0-C1F3-4C61-BADE-044168D02869}"/>
    <hyperlink ref="G2207" r:id="rId2399" xr:uid="{1F61240B-5B9C-4310-AD1F-8803B360D668}"/>
    <hyperlink ref="G2208" r:id="rId2400" xr:uid="{44B10768-DE91-4485-97B0-4BC88E1A9713}"/>
    <hyperlink ref="G2209" r:id="rId2401" xr:uid="{87FBD984-686D-4AA8-80B7-18E5C3262507}"/>
    <hyperlink ref="G2210" r:id="rId2402" xr:uid="{8F1E6637-9ECB-4C66-A9D1-DD9DFEE4EF6F}"/>
    <hyperlink ref="G2211" r:id="rId2403" xr:uid="{C7C9D92A-2CE3-4250-98D0-29B7453E8823}"/>
    <hyperlink ref="G2212" r:id="rId2404" xr:uid="{77EECAB1-1B6D-4137-B21B-1A5341FB0498}"/>
    <hyperlink ref="G2213" r:id="rId2405" xr:uid="{E1117A1F-FF5B-4933-941B-13CEFA710B34}"/>
    <hyperlink ref="G2214" r:id="rId2406" xr:uid="{86B8BBFF-DDF8-40A9-AD8B-F6E59C0A0674}"/>
    <hyperlink ref="G2215" r:id="rId2407" xr:uid="{B2A0398F-71DF-4E8B-9A98-BAD365B9C41B}"/>
    <hyperlink ref="G2216" r:id="rId2408" xr:uid="{906CE646-AFC0-4F41-958E-9557CD6E25BA}"/>
    <hyperlink ref="G2217" r:id="rId2409" xr:uid="{7EF45F7A-F894-42E9-A7C7-BABABA718130}"/>
    <hyperlink ref="G2218" r:id="rId2410" xr:uid="{14903AF2-07F2-4546-9823-24312A369DE6}"/>
    <hyperlink ref="G2219" r:id="rId2411" xr:uid="{C965F725-3233-42E1-8157-6F2D568A6C78}"/>
    <hyperlink ref="G2220" r:id="rId2412" xr:uid="{3D897DD1-385D-4A37-AD15-6DBDA6760448}"/>
    <hyperlink ref="G2221" r:id="rId2413" xr:uid="{546C9251-576A-4F58-A986-ECF0A5BAC85A}"/>
    <hyperlink ref="G2222" r:id="rId2414" xr:uid="{FADF1418-9E80-45C5-9EF5-564EFCADE2B5}"/>
    <hyperlink ref="G2223" r:id="rId2415" xr:uid="{A114A8E2-4EA6-47EE-9873-DC3E64E1F2C0}"/>
    <hyperlink ref="G2224" r:id="rId2416" xr:uid="{ED75C2A8-1174-4096-A7C9-EFF2B6D8023D}"/>
    <hyperlink ref="G2225" r:id="rId2417" xr:uid="{00123237-906A-46D7-9ACB-5FFB2F8D3359}"/>
    <hyperlink ref="G2226" r:id="rId2418" xr:uid="{3FEAA583-9889-4E78-95A3-FA2AEEF7944C}"/>
    <hyperlink ref="G2227" r:id="rId2419" xr:uid="{8FC801D7-AF36-4094-83FF-8389062F800C}"/>
    <hyperlink ref="G2228" r:id="rId2420" xr:uid="{5649A6C7-F6E8-4876-802D-DC13F3134F90}"/>
    <hyperlink ref="G2229" r:id="rId2421" xr:uid="{75AD54A6-986A-413B-807E-F88D7A5D1F87}"/>
    <hyperlink ref="G2230" r:id="rId2422" xr:uid="{8E9E2D06-38EA-4901-B827-B02BB50A7D73}"/>
    <hyperlink ref="G2231" r:id="rId2423" xr:uid="{27381159-6DFE-4D5B-99AA-F95F31876ECE}"/>
    <hyperlink ref="G2232" r:id="rId2424" xr:uid="{DB1BB41B-F77D-453E-B059-3D3D4E2BC028}"/>
    <hyperlink ref="G2233" r:id="rId2425" xr:uid="{079BB75A-E41D-405D-A35C-FA2BEAD54E4A}"/>
    <hyperlink ref="G2234" r:id="rId2426" xr:uid="{E59D676E-A283-4905-97B3-2BF6B4F3FBD6}"/>
    <hyperlink ref="G2235" r:id="rId2427" xr:uid="{1C405765-B3A4-4313-8F4C-DAB61898EFC0}"/>
    <hyperlink ref="G2236" r:id="rId2428" xr:uid="{8DDBBC4E-7CF4-432F-A744-74DC92BEA2E8}"/>
    <hyperlink ref="G2237" r:id="rId2429" xr:uid="{A53DC17F-08DC-4541-BBE3-9D408BD9F799}"/>
    <hyperlink ref="G2238" r:id="rId2430" xr:uid="{775692D4-E06A-4602-9A94-5B3482666026}"/>
    <hyperlink ref="G2239" r:id="rId2431" xr:uid="{73DD08F1-0903-464F-978A-FBE1E3DB341A}"/>
    <hyperlink ref="G2240" r:id="rId2432" xr:uid="{A978E245-5446-4662-8481-CC927DBF446A}"/>
    <hyperlink ref="G2241" r:id="rId2433" xr:uid="{07418299-FE94-409C-8AA6-B7DCEA0E8817}"/>
    <hyperlink ref="G2242" r:id="rId2434" xr:uid="{0D0A5F87-5480-449C-A3B8-BD2ECE23C310}"/>
    <hyperlink ref="G2243" r:id="rId2435" xr:uid="{920D5B19-854D-4E76-952E-53DE8E9B4CF9}"/>
    <hyperlink ref="G2244" r:id="rId2436" xr:uid="{4F0B1AC0-D29B-40DA-844C-123E8E4DE3B8}"/>
    <hyperlink ref="G2245" r:id="rId2437" xr:uid="{5FCAA6C3-AF72-4AAD-8915-051B49F0EE8B}"/>
    <hyperlink ref="G2246" r:id="rId2438" xr:uid="{C61ABE59-2E42-4AF1-9DBD-F8172DCE801C}"/>
    <hyperlink ref="G2247" r:id="rId2439" xr:uid="{65657D63-8830-4553-9ECE-C691EF5A8A35}"/>
    <hyperlink ref="G2248" r:id="rId2440" xr:uid="{7B2CDDA6-6FA9-456D-AAE0-06E4E63F7FD4}"/>
    <hyperlink ref="G2249" r:id="rId2441" xr:uid="{85B8CED1-99E0-4568-81C1-E2AC23E7DEA0}"/>
    <hyperlink ref="G2250" r:id="rId2442" xr:uid="{AA24132F-8CD6-4CA8-BECD-DA3C5012F0FA}"/>
    <hyperlink ref="G2251" r:id="rId2443" xr:uid="{C5977EB5-EF6E-41DE-A2BD-646417B67E9F}"/>
    <hyperlink ref="G2252" r:id="rId2444" xr:uid="{9F319ABF-130D-45C0-9D73-5B01E4B197F8}"/>
    <hyperlink ref="G2253" r:id="rId2445" xr:uid="{CAE9B7C2-AAD0-4278-B5FE-EBB94F8F0703}"/>
    <hyperlink ref="G2254" r:id="rId2446" xr:uid="{DB3E53F4-5294-4D21-8CFE-33F18CD3229F}"/>
    <hyperlink ref="G2255" r:id="rId2447" xr:uid="{1BB7E298-3C35-4C50-B08F-BC4BD162CCA1}"/>
    <hyperlink ref="G2256" r:id="rId2448" xr:uid="{18A71505-71C6-47F4-BEE0-ADF2AFAB3217}"/>
    <hyperlink ref="G2257" r:id="rId2449" xr:uid="{08810C7F-3B21-4FA2-8711-BA2DD7C5179D}"/>
    <hyperlink ref="G2258" r:id="rId2450" xr:uid="{BE97244E-E763-4F58-B6D0-6A8135E225EB}"/>
    <hyperlink ref="G2259" r:id="rId2451" xr:uid="{D7ECE221-66C9-4D25-8C5C-ADDBCF82284F}"/>
    <hyperlink ref="G2260" r:id="rId2452" xr:uid="{8BCDE171-392D-4D77-B760-7493A219DD91}"/>
    <hyperlink ref="G2261" r:id="rId2453" xr:uid="{FDAB1C23-D9FA-40C5-89CB-E0E5C12A0F58}"/>
    <hyperlink ref="G2262" r:id="rId2454" xr:uid="{51B8BE0B-B5E7-4FCC-9CFD-EF37F94D5464}"/>
    <hyperlink ref="G2263" r:id="rId2455" xr:uid="{455700FD-E8B7-4FB7-B92A-804E0D2D97C2}"/>
    <hyperlink ref="G2264" r:id="rId2456" xr:uid="{94FFA866-E27A-4218-ADA4-C5098D187B28}"/>
    <hyperlink ref="G2265" r:id="rId2457" xr:uid="{2487357E-8C12-4B8D-914C-FA2026B2F4DF}"/>
    <hyperlink ref="G2266" r:id="rId2458" xr:uid="{CE3E11E4-BB73-432E-8AF2-C6C7E17D5426}"/>
    <hyperlink ref="G2267" r:id="rId2459" xr:uid="{1BE26984-9A5F-48F0-B9AC-D6D042D957B0}"/>
    <hyperlink ref="G2268" r:id="rId2460" xr:uid="{03F638D7-FA88-43A4-9085-C7B4906554AB}"/>
    <hyperlink ref="G2269" r:id="rId2461" xr:uid="{5B990CF8-79F8-40BA-A475-344DB2EB222A}"/>
    <hyperlink ref="G2270" r:id="rId2462" xr:uid="{7D310E59-5D87-4195-8542-36D3BF1E30A5}"/>
    <hyperlink ref="G2271" r:id="rId2463" xr:uid="{C02989B1-019E-4BBC-AC4A-23814146303C}"/>
    <hyperlink ref="G2272" r:id="rId2464" xr:uid="{FCABCDA5-F21B-4CC2-A0A6-4B7DB51D2C4B}"/>
    <hyperlink ref="G2273" r:id="rId2465" xr:uid="{AC702A04-E864-4DEC-B742-00AEE7FFB651}"/>
    <hyperlink ref="G2274" r:id="rId2466" xr:uid="{74608177-8D06-41D2-9559-7A0A45AB57F4}"/>
    <hyperlink ref="G2275" r:id="rId2467" xr:uid="{363B37DB-417E-4091-A259-48CCBF6E7190}"/>
    <hyperlink ref="G2276" r:id="rId2468" xr:uid="{8B927D16-7FD6-4AF2-9C9F-83F5C789634B}"/>
    <hyperlink ref="G2277" r:id="rId2469" xr:uid="{796EDABA-A0A0-4DA3-815B-66874F6FFD16}"/>
    <hyperlink ref="AN2277" r:id="rId2470" xr:uid="{4C71EFEB-204E-493C-800D-BBB98B8DFCF7}"/>
    <hyperlink ref="G2278" r:id="rId2471" xr:uid="{F3C11E5C-7D2F-4C33-821C-2075789330E3}"/>
    <hyperlink ref="AN2278" r:id="rId2472" xr:uid="{37E25933-40A8-45B3-9DCA-7B03F0453E13}"/>
    <hyperlink ref="G2279" r:id="rId2473" xr:uid="{F87C8AF8-FA3E-4202-9E00-38027C755E75}"/>
    <hyperlink ref="G2280" r:id="rId2474" xr:uid="{BBB937D8-D86E-4303-A551-62D362DBE87D}"/>
    <hyperlink ref="G2281" r:id="rId2475" xr:uid="{4686337C-D615-4017-8943-AF3B0FC81C27}"/>
    <hyperlink ref="G2282" r:id="rId2476" xr:uid="{CC453FEA-3E7F-43C6-A00B-FA7EC3828A72}"/>
    <hyperlink ref="G2283" r:id="rId2477" xr:uid="{694E49C5-BE70-432D-B4D2-A86508FB7345}"/>
    <hyperlink ref="G2284" r:id="rId2478" xr:uid="{B881E60C-5001-4A3D-A7F2-399EA9E7909C}"/>
    <hyperlink ref="G2285" r:id="rId2479" xr:uid="{50FCF186-26DA-4973-B963-8E0CE04793E2}"/>
    <hyperlink ref="G2286" r:id="rId2480" xr:uid="{F59A3213-7A56-4B19-A238-5AE42386FC03}"/>
    <hyperlink ref="G2287" r:id="rId2481" xr:uid="{06DA95DE-D617-4E5F-9B2A-01809ED95033}"/>
    <hyperlink ref="G2288" r:id="rId2482" xr:uid="{10806B70-7038-49B8-8893-E05AD9722563}"/>
    <hyperlink ref="G2289" r:id="rId2483" xr:uid="{FDFDCFB4-9BA2-46F0-A911-A65B2FAC19A3}"/>
    <hyperlink ref="AN2289" r:id="rId2484" xr:uid="{ADB78FF5-616E-4CBF-B9C3-22A1C32FD9FE}"/>
    <hyperlink ref="G2290" r:id="rId2485" xr:uid="{3C48E261-158C-4E7D-869F-C313217BE150}"/>
    <hyperlink ref="G2291" r:id="rId2486" xr:uid="{F8EEF49C-04FA-4DB0-BBC4-58B0A200822C}"/>
    <hyperlink ref="G2292" r:id="rId2487" xr:uid="{577816D1-AE44-46C6-AF4A-0572FB52767F}"/>
    <hyperlink ref="G2293" r:id="rId2488" xr:uid="{ADAF8390-D49B-4C3E-810A-8626B7B0500D}"/>
    <hyperlink ref="G2294" r:id="rId2489" xr:uid="{F2F8AF35-475D-411A-92CE-7F867378F126}"/>
    <hyperlink ref="G2295" r:id="rId2490" xr:uid="{72654EE0-9581-487D-8995-3829A1477133}"/>
    <hyperlink ref="G2296" r:id="rId2491" xr:uid="{178E6DF1-FEBB-443D-9D5A-6911D79310DD}"/>
    <hyperlink ref="G2297" r:id="rId2492" xr:uid="{26041CE4-7873-4883-A1E7-6854FD29A03C}"/>
    <hyperlink ref="G2298" r:id="rId2493" xr:uid="{D6B13141-88DF-4067-97EA-A2612D52AEBF}"/>
    <hyperlink ref="G2299" r:id="rId2494" xr:uid="{500BF078-49F1-4BF6-82CD-D88CF55F79BE}"/>
    <hyperlink ref="G2300" r:id="rId2495" xr:uid="{CC522D87-6777-4CAC-95BB-2B3B192788F4}"/>
    <hyperlink ref="G2301" r:id="rId2496" xr:uid="{A3C2C1EC-5DCD-4EE2-B37A-7C8D2309D977}"/>
    <hyperlink ref="G2302" r:id="rId2497" xr:uid="{F306FF32-F0A1-4E89-820A-05D7BD494AC8}"/>
    <hyperlink ref="G2303" r:id="rId2498" xr:uid="{A8630681-61D0-4D3B-AD75-F2B7568CFC0C}"/>
    <hyperlink ref="G2304" r:id="rId2499" xr:uid="{E579A699-7A58-4B0C-BCF6-7FF449CA3326}"/>
    <hyperlink ref="G2305" r:id="rId2500" xr:uid="{E174D95A-AC1B-4ED2-9CF6-291804BBFCB8}"/>
    <hyperlink ref="G2306" r:id="rId2501" xr:uid="{588DB203-72E4-41EF-84DC-9081081BDFFC}"/>
    <hyperlink ref="G2307" r:id="rId2502" xr:uid="{EAC5D00E-1DF3-4439-B104-F77F6B61F258}"/>
    <hyperlink ref="G2308" r:id="rId2503" xr:uid="{FD6C1CDD-43B0-44FD-90ED-E4DE24225A8F}"/>
    <hyperlink ref="G2309" r:id="rId2504" xr:uid="{674CBF17-E263-4602-8A4E-CFEB46F5BA64}"/>
    <hyperlink ref="G2310" r:id="rId2505" xr:uid="{C34CD659-2F68-4FE9-8EB7-EB68DB842460}"/>
    <hyperlink ref="G2311" r:id="rId2506" xr:uid="{D449ACD3-2096-4EA4-B60D-8B003C6CE077}"/>
    <hyperlink ref="G2312" r:id="rId2507" xr:uid="{F9966B12-993B-4B46-BDDE-15077202A482}"/>
    <hyperlink ref="G2313" r:id="rId2508" xr:uid="{4A93FDA4-1D3F-4EF2-BCB8-9C90C4962445}"/>
    <hyperlink ref="G2314" r:id="rId2509" xr:uid="{0A6E71D9-3DCD-4FA3-8846-513A7EBECCB9}"/>
    <hyperlink ref="G2315" r:id="rId2510" xr:uid="{302BF7BE-877F-4496-A6CD-48B582EA34EF}"/>
    <hyperlink ref="G2316" r:id="rId2511" xr:uid="{9C771653-4356-4F9D-8F3A-E58F256B62D7}"/>
    <hyperlink ref="G2317" r:id="rId2512" xr:uid="{32E6CCE0-1498-4287-A354-60D5AC2F5590}"/>
    <hyperlink ref="G2318" r:id="rId2513" xr:uid="{40F2C1E5-A7B1-486C-8DD4-8C2B4AE8A9C6}"/>
    <hyperlink ref="G2319" r:id="rId2514" xr:uid="{A842FEF0-09D9-4C39-BC92-054DCD982FEC}"/>
    <hyperlink ref="G2320" r:id="rId2515" xr:uid="{C9B45599-D344-44E7-A54B-F6DA02826348}"/>
    <hyperlink ref="G2321" r:id="rId2516" xr:uid="{DF6935CF-77DC-4A91-BBD3-CEF6CB98DAC1}"/>
    <hyperlink ref="G2322" r:id="rId2517" xr:uid="{EA1564F8-B997-4B0C-A896-6938590292AF}"/>
    <hyperlink ref="G2323" r:id="rId2518" xr:uid="{718F7E84-2548-404B-A99E-F6B76A74B41A}"/>
    <hyperlink ref="G2324" r:id="rId2519" xr:uid="{4ADD2652-3DF5-4091-B288-0E88A41CC26A}"/>
    <hyperlink ref="G2325" r:id="rId2520" xr:uid="{61331E2E-B3D8-4108-B868-C24C5E6A0EDA}"/>
    <hyperlink ref="G2326" r:id="rId2521" xr:uid="{08701604-34DF-4556-A486-BAA8E5F355AE}"/>
    <hyperlink ref="G2327" r:id="rId2522" xr:uid="{3FFA5435-BD85-4F7F-9729-D8F34CAFB44B}"/>
    <hyperlink ref="G2328" r:id="rId2523" xr:uid="{77F7F02D-0A30-4D13-B426-5EDFBDC8E75E}"/>
    <hyperlink ref="G2329" r:id="rId2524" xr:uid="{64EC44DE-C332-4652-83F3-ADF8075529C7}"/>
    <hyperlink ref="G2330" r:id="rId2525" xr:uid="{447147B1-AB78-46EB-92CF-D0BCA62F5F5B}"/>
    <hyperlink ref="G2331" r:id="rId2526" xr:uid="{824C1B3A-859D-4CEA-997F-207104E4223B}"/>
    <hyperlink ref="G2332" r:id="rId2527" xr:uid="{C8B4A871-F253-4C4A-9E66-1CC939D60907}"/>
    <hyperlink ref="G2333" r:id="rId2528" xr:uid="{07DC38CD-176C-433F-A37F-0EF7DCADFBF1}"/>
    <hyperlink ref="G2334" r:id="rId2529" xr:uid="{36E12665-DCE3-4E0A-BD67-A5B425B54EAE}"/>
    <hyperlink ref="G2335" r:id="rId2530" xr:uid="{5016A076-5B23-4777-9EC5-F0ED303B374E}"/>
    <hyperlink ref="G2336" r:id="rId2531" xr:uid="{5433F768-05C4-435B-A162-902EE1060ACD}"/>
    <hyperlink ref="G2337" r:id="rId2532" xr:uid="{46FBD9C7-DC66-40A0-8820-3494202861C0}"/>
    <hyperlink ref="G2338" r:id="rId2533" xr:uid="{699E72A0-5E6C-4D6B-95D2-6EEDD71A01A7}"/>
    <hyperlink ref="G2339" r:id="rId2534" xr:uid="{CB36E24A-C735-4E4C-9BF9-98EC71F6216F}"/>
    <hyperlink ref="G2340" r:id="rId2535" xr:uid="{D7E5E89D-DFE0-426F-BECB-3875DF566CD8}"/>
    <hyperlink ref="G2341" r:id="rId2536" xr:uid="{3D4CA026-9E7B-437E-8A1C-EF38A9C76130}"/>
    <hyperlink ref="G2342" r:id="rId2537" xr:uid="{F835A7B9-80BA-4FA4-BD66-CB2AF2E9E1D3}"/>
    <hyperlink ref="G2343" r:id="rId2538" xr:uid="{57EB3B5B-7442-481D-A240-E64F0B8C3743}"/>
    <hyperlink ref="G2344" r:id="rId2539" xr:uid="{8729E434-5720-4F71-BFB5-141D337D5CF3}"/>
    <hyperlink ref="G2345" r:id="rId2540" xr:uid="{20A86CA8-69DF-4642-9B13-9784847467C2}"/>
    <hyperlink ref="G2346" r:id="rId2541" xr:uid="{E20DE91F-BAD9-49F4-95D5-4910197E330D}"/>
    <hyperlink ref="G2347" r:id="rId2542" xr:uid="{2C513F54-073D-4017-ACF2-A5C140D18323}"/>
    <hyperlink ref="G2348" r:id="rId2543" xr:uid="{428DB87B-6CA4-40D9-9C33-33E93B29DFF2}"/>
    <hyperlink ref="G2349" r:id="rId2544" xr:uid="{EB09D4B2-AECF-4213-9FDF-A94135874BB5}"/>
    <hyperlink ref="G2350" r:id="rId2545" xr:uid="{89EF5D4B-F50B-4E04-93B5-AAE1E7DDE7E5}"/>
    <hyperlink ref="G2351" r:id="rId2546" xr:uid="{90D9D301-5964-47DD-BB70-F7419612512C}"/>
    <hyperlink ref="G2352" r:id="rId2547" xr:uid="{7387A621-ED2F-4E22-92A5-FDF579B1ABEC}"/>
    <hyperlink ref="G2353" r:id="rId2548" xr:uid="{B04B6892-B1C8-4E04-825D-DEB973C8DD6C}"/>
    <hyperlink ref="G2354" r:id="rId2549" xr:uid="{071E2BAC-17FF-48B6-A46C-7263D7583406}"/>
    <hyperlink ref="G2355" r:id="rId2550" xr:uid="{DA2D0809-C3CB-4C0F-A383-90D01D453231}"/>
    <hyperlink ref="G2356" r:id="rId2551" xr:uid="{E2F0B809-BD82-4D0E-B598-2B75F5A5A368}"/>
    <hyperlink ref="G2357" r:id="rId2552" xr:uid="{8F8130D4-93A6-45B9-A348-A280988A3A93}"/>
    <hyperlink ref="G2358" r:id="rId2553" xr:uid="{F16FB6A8-FA7E-4E65-A463-C37CDB0B9293}"/>
    <hyperlink ref="G2359" r:id="rId2554" xr:uid="{FC05C006-F16B-45A6-9F16-E91971F1F468}"/>
    <hyperlink ref="G2360" r:id="rId2555" xr:uid="{4166D863-45B0-4ACF-A0DA-46A7B250CC0D}"/>
    <hyperlink ref="G2361" r:id="rId2556" xr:uid="{B5CC60DF-ADF1-4B25-97A3-BED3F5E356D7}"/>
    <hyperlink ref="G2362" r:id="rId2557" xr:uid="{26B8AC1A-0141-419D-A5CB-0EA13D970FC3}"/>
    <hyperlink ref="G2363" r:id="rId2558" xr:uid="{26854153-9AC3-4199-9A60-D12D220012C7}"/>
    <hyperlink ref="G2364" r:id="rId2559" xr:uid="{A1CC7AB6-BD9C-4B9E-951E-B3F17430FF3F}"/>
    <hyperlink ref="G2365" r:id="rId2560" xr:uid="{D3CD18CA-5F7E-497E-996E-FC05BC8EE801}"/>
    <hyperlink ref="G2366" r:id="rId2561" xr:uid="{97A8A505-F328-45F3-A2C6-D17A2D0BACC6}"/>
    <hyperlink ref="G2367" r:id="rId2562" xr:uid="{063E8E21-07B1-42FF-979A-D7788B880FF9}"/>
    <hyperlink ref="G2368" r:id="rId2563" xr:uid="{6C858123-083E-4487-989C-FF17137D746D}"/>
    <hyperlink ref="G2369" r:id="rId2564" xr:uid="{F6518CA0-EC8D-48BE-B2CD-3F6910EE65A4}"/>
    <hyperlink ref="G2370" r:id="rId2565" xr:uid="{BAEC4521-F8A2-47D3-A05E-911D60DE3D2F}"/>
    <hyperlink ref="G2371" r:id="rId2566" xr:uid="{7E783C8A-312E-4AEB-AC24-89C1E5C1CB88}"/>
    <hyperlink ref="G2372" r:id="rId2567" xr:uid="{40B007AC-9F9B-43B0-8254-D69B52D48717}"/>
    <hyperlink ref="G2373" r:id="rId2568" xr:uid="{B0343B9B-C7AE-47DA-BCF2-56A5AC10620A}"/>
    <hyperlink ref="G2374" r:id="rId2569" xr:uid="{1F03211E-4FDA-4E36-A02A-71EF246B2550}"/>
    <hyperlink ref="G2375" r:id="rId2570" xr:uid="{ABF8E48B-BDE5-4FFE-9760-945CC036AA91}"/>
    <hyperlink ref="G2376" r:id="rId2571" xr:uid="{83FB2B6F-AE23-4669-9F49-326FD73E3A83}"/>
    <hyperlink ref="G2377" r:id="rId2572" xr:uid="{58961355-6082-494E-B72E-EA2CEEC4AFCF}"/>
    <hyperlink ref="G2378" r:id="rId2573" xr:uid="{4AD066FB-8D1E-4C92-8ED6-3A9A9E285732}"/>
    <hyperlink ref="G2379" r:id="rId2574" xr:uid="{1100F552-4236-419E-AE1E-34D98C208589}"/>
    <hyperlink ref="G2380" r:id="rId2575" xr:uid="{C8A194A3-AA1E-4986-ABD8-4AA1694B57A2}"/>
    <hyperlink ref="G2381" r:id="rId2576" xr:uid="{72CDE039-547C-442B-9E30-3D7A8145B3DC}"/>
    <hyperlink ref="G2382" r:id="rId2577" xr:uid="{A6A1CF63-D683-4888-8E8B-12E72F087760}"/>
    <hyperlink ref="G2383" r:id="rId2578" xr:uid="{8B4502BC-45BC-48C5-9452-199877D0958A}"/>
    <hyperlink ref="G2384" r:id="rId2579" xr:uid="{C883A09A-DA95-4BE1-9245-F5659096515F}"/>
    <hyperlink ref="G2385" r:id="rId2580" xr:uid="{70343554-3BA9-45F2-9687-0F2A0A77E877}"/>
    <hyperlink ref="G2386" r:id="rId2581" xr:uid="{4BE461AE-3DF4-4F6D-978F-404A6C370B69}"/>
    <hyperlink ref="G2387" r:id="rId2582" xr:uid="{897F219A-E948-4CBA-ADC4-3AB7AB415E03}"/>
    <hyperlink ref="G2388" r:id="rId2583" xr:uid="{DDC59929-31D9-4226-8F37-5EA1318C6F7E}"/>
    <hyperlink ref="G2389" r:id="rId2584" xr:uid="{8F9C6D15-D072-4F75-B0CD-E60A42685152}"/>
    <hyperlink ref="G2390" r:id="rId2585" xr:uid="{0676608C-1A85-49F5-AFF4-21EBD3C0A137}"/>
    <hyperlink ref="G2391" r:id="rId2586" xr:uid="{C4D92B53-6E3A-49DA-A9C3-1C4619ADF455}"/>
    <hyperlink ref="G2392" r:id="rId2587" xr:uid="{869829BF-055B-4B3E-9805-0EB3EAC96A67}"/>
    <hyperlink ref="G2393" r:id="rId2588" xr:uid="{0F2A9525-598B-445C-8565-1C9D99E259F8}"/>
    <hyperlink ref="G2394" r:id="rId2589" xr:uid="{71DD73E6-7FCD-4BA9-9F82-F4256FC53DC7}"/>
    <hyperlink ref="G2395" r:id="rId2590" xr:uid="{697EA698-8EFC-40D3-844F-1CE3C8E060D5}"/>
    <hyperlink ref="G2396" r:id="rId2591" xr:uid="{B29C727D-C97B-42E7-A5DE-3A067B67CCAC}"/>
    <hyperlink ref="G2397" r:id="rId2592" xr:uid="{8647CA07-8BAC-4583-A6C0-4DE88746100F}"/>
    <hyperlink ref="G2398" r:id="rId2593" xr:uid="{39EC2F56-F82C-4CFF-A862-949548AD3CE1}"/>
    <hyperlink ref="G2399" r:id="rId2594" xr:uid="{283935C7-39DD-457C-876E-B8AFB552A364}"/>
    <hyperlink ref="G2400" r:id="rId2595" xr:uid="{D461BC40-61FF-4BDB-90D8-C3ED5C9D64EA}"/>
    <hyperlink ref="G2401" r:id="rId2596" xr:uid="{11B8CAF8-BC66-49A5-A55F-F161640444DB}"/>
    <hyperlink ref="G2402" r:id="rId2597" xr:uid="{9B1C8A1D-2024-4624-87C7-A8C2E4A0FF47}"/>
    <hyperlink ref="G2403" r:id="rId2598" xr:uid="{BB0B731F-D1AD-4579-A157-78686C9F9EB8}"/>
    <hyperlink ref="G2404" r:id="rId2599" xr:uid="{4A715A28-1A4E-4A1F-B172-E608282549ED}"/>
    <hyperlink ref="G2405" r:id="rId2600" xr:uid="{34CDCDAC-3748-4B39-B88A-76C868442035}"/>
    <hyperlink ref="G2406" r:id="rId2601" xr:uid="{B03E231E-EBFA-4A10-AA27-D4C09820AEF9}"/>
    <hyperlink ref="G2407" r:id="rId2602" xr:uid="{BBC19612-BCDB-4408-A263-FAF33BD6405E}"/>
    <hyperlink ref="G2408" r:id="rId2603" xr:uid="{5647BDF4-C891-47D2-8ED6-2EBF6B0D4BF1}"/>
    <hyperlink ref="G2409" r:id="rId2604" xr:uid="{3A499CCF-01AD-45EE-8E14-FFBA9DA8F6DF}"/>
    <hyperlink ref="G2410" r:id="rId2605" xr:uid="{135654DB-3A94-48F6-BD3F-FCC8CD25735E}"/>
    <hyperlink ref="G2411" r:id="rId2606" xr:uid="{6B660E9B-F94D-4ABF-AEA1-28CD9C8037FC}"/>
    <hyperlink ref="G2412" r:id="rId2607" xr:uid="{8A9F2CE6-8944-4A9D-BC56-8CD48147A6B7}"/>
    <hyperlink ref="G2413" r:id="rId2608" xr:uid="{9C0BDE7A-0592-483C-A9BB-68FDF07530B6}"/>
    <hyperlink ref="G2414" r:id="rId2609" xr:uid="{5E3E2E29-69FC-432C-818C-F29A0C07ED3E}"/>
    <hyperlink ref="G2415" r:id="rId2610" xr:uid="{A7A56C41-DA7E-4BEB-8243-B2F9D6D5D114}"/>
    <hyperlink ref="G2416" r:id="rId2611" xr:uid="{ACE7F9B9-469D-489A-8BC9-1C03E303EEE6}"/>
    <hyperlink ref="G2417" r:id="rId2612" xr:uid="{F7A5AB43-A731-42A3-B965-B181D9B8FD4A}"/>
    <hyperlink ref="G2418" r:id="rId2613" xr:uid="{764E35FD-A809-439A-B60E-BC89B9D6595B}"/>
    <hyperlink ref="G2419" r:id="rId2614" xr:uid="{520D5377-CC8A-410F-A048-27A4A6D7D14F}"/>
    <hyperlink ref="G2420" r:id="rId2615" xr:uid="{D5624BA3-45FD-4364-9C40-73EE0DC3E1A1}"/>
    <hyperlink ref="G2421" r:id="rId2616" xr:uid="{9A2273FF-ABD9-4550-8EC0-E88DE8FEBCAC}"/>
    <hyperlink ref="G2422" r:id="rId2617" xr:uid="{7657F4A6-7EDB-421C-A9B6-F54CA90FDEE5}"/>
    <hyperlink ref="G2423" r:id="rId2618" xr:uid="{7254D5CC-ACCF-43C6-9F5F-1926E92FE401}"/>
    <hyperlink ref="G2424" r:id="rId2619" xr:uid="{0AAC8FC2-70DB-43D5-965F-E7AE68085426}"/>
    <hyperlink ref="G2425" r:id="rId2620" xr:uid="{01180B63-33B8-4DA8-972B-CAA44EA55100}"/>
    <hyperlink ref="G2426" r:id="rId2621" xr:uid="{8DDDFDA9-CC39-4BD5-B164-DD25A2BB8BB8}"/>
    <hyperlink ref="G2427" r:id="rId2622" xr:uid="{4000E974-C6B4-4792-B272-43736AA6EE5A}"/>
    <hyperlink ref="G2428" r:id="rId2623" xr:uid="{37BABD68-FC80-46C5-9CF6-F2F3B24537A5}"/>
    <hyperlink ref="G2429" r:id="rId2624" xr:uid="{165A92A8-412B-4DFC-B5A9-C919EE2F042E}"/>
    <hyperlink ref="G2430" r:id="rId2625" xr:uid="{DFBF819D-881A-483B-B4A3-2422939232CE}"/>
    <hyperlink ref="G2431" r:id="rId2626" xr:uid="{FDA5E0DF-697B-47FE-A467-E2EE9C4E5625}"/>
    <hyperlink ref="G2432" r:id="rId2627" xr:uid="{FCD21A11-8317-476D-871F-7547D27F3B9A}"/>
    <hyperlink ref="G2433" r:id="rId2628" xr:uid="{BF141101-ECD5-4AEC-BBA9-3DA96711D968}"/>
    <hyperlink ref="G2434" r:id="rId2629" xr:uid="{2A463ABB-EB6A-43B5-A968-B6108D8BFBC9}"/>
    <hyperlink ref="G2435" r:id="rId2630" xr:uid="{8E998402-4DD2-4A93-995B-410CBFB24C2A}"/>
    <hyperlink ref="G2436" r:id="rId2631" xr:uid="{1FBFBB5E-AB1E-4075-856A-4FC5C5A3CE35}"/>
    <hyperlink ref="G2437" r:id="rId2632" xr:uid="{62019BBA-B28D-401F-A950-8DB3D6E2C7BB}"/>
    <hyperlink ref="G2438" r:id="rId2633" xr:uid="{39670DAA-79D8-422C-95C0-ED3205613D04}"/>
    <hyperlink ref="G2439" r:id="rId2634" xr:uid="{EE91C4AC-B1EC-4EBA-9C17-488D3F19F809}"/>
    <hyperlink ref="G2440" r:id="rId2635" xr:uid="{B1B279C2-43BB-47EC-9984-7E9DFA9EF703}"/>
    <hyperlink ref="G2441" r:id="rId2636" xr:uid="{C61952CF-90E9-4755-BCB0-C11E52C2A3A6}"/>
    <hyperlink ref="G2442" r:id="rId2637" xr:uid="{114D4A3E-5823-44F3-9EB6-3AC332821927}"/>
    <hyperlink ref="G2443" r:id="rId2638" xr:uid="{1F749E69-CE1C-4105-8921-B7707867DF44}"/>
    <hyperlink ref="G2444" r:id="rId2639" xr:uid="{55692AD7-EF9C-4D03-A755-24BE1A6B2E80}"/>
    <hyperlink ref="G2445" r:id="rId2640" xr:uid="{2C9BED71-AAE5-4AE6-9426-D779CBE22052}"/>
    <hyperlink ref="G2446" r:id="rId2641" xr:uid="{201EA29D-DA7B-4CDA-8063-A1B643DDCF4E}"/>
    <hyperlink ref="G2447" r:id="rId2642" xr:uid="{ED89C453-1020-4BE0-B97A-4ED8AD8AFD04}"/>
    <hyperlink ref="G2448" r:id="rId2643" xr:uid="{1F6B317D-5E68-4683-8EB3-58FF6F7C6528}"/>
    <hyperlink ref="G2449" r:id="rId2644" xr:uid="{3A500FDF-3FB8-4174-B49A-9BAF62BD534B}"/>
    <hyperlink ref="G2450" r:id="rId2645" xr:uid="{7E23DD5A-60E4-4F9A-B2EC-897526D8E1C3}"/>
    <hyperlink ref="G2451" r:id="rId2646" xr:uid="{15BFA5E6-F7EE-47D2-A81D-307580BB5090}"/>
    <hyperlink ref="G2452" r:id="rId2647" xr:uid="{B8C21DA7-680A-411C-A28E-A4768CAF20AC}"/>
    <hyperlink ref="G2453" r:id="rId2648" xr:uid="{100C092B-8200-4636-8607-2E1DF38BC909}"/>
    <hyperlink ref="G2454" r:id="rId2649" xr:uid="{15CCC6D1-BB86-46FD-ACC4-0B47AF7EF300}"/>
    <hyperlink ref="G2455" r:id="rId2650" xr:uid="{6E80A087-49ED-4275-9535-972486050DB2}"/>
    <hyperlink ref="G2456" r:id="rId2651" xr:uid="{9ECE2FFC-F9A8-40D0-834C-E7F64A4D2C8D}"/>
    <hyperlink ref="G2457" r:id="rId2652" xr:uid="{013A15B2-4583-43C5-BCE8-552752B4E674}"/>
    <hyperlink ref="G2458" r:id="rId2653" xr:uid="{8C5072F4-3222-42FF-B8BD-6A8581E7642F}"/>
    <hyperlink ref="G2459" r:id="rId2654" xr:uid="{9F696F87-2D91-48E5-A2EE-C5D3EF47D57A}"/>
    <hyperlink ref="G2460" r:id="rId2655" xr:uid="{690F5D12-E1F2-48EA-B0D3-10CE96326B3F}"/>
    <hyperlink ref="G2461" r:id="rId2656" xr:uid="{D9BB259E-30E3-4C36-BD74-AD2F2A50BEB3}"/>
    <hyperlink ref="G2462" r:id="rId2657" xr:uid="{0469A5E9-650A-48A1-B497-05C6A6D19C62}"/>
    <hyperlink ref="G2463" r:id="rId2658" xr:uid="{F0566875-FE0C-45BF-967C-A1183C6CDF26}"/>
    <hyperlink ref="G2464" r:id="rId2659" xr:uid="{3B94501B-299F-4CB1-944C-0C362D3DF4AA}"/>
    <hyperlink ref="G2465" r:id="rId2660" xr:uid="{8F19C5C5-E998-4E76-A070-AB63A6BC11C2}"/>
    <hyperlink ref="G2466" r:id="rId2661" xr:uid="{9D1A9578-178B-420F-A175-F67B0E1C0169}"/>
    <hyperlink ref="G2467" r:id="rId2662" xr:uid="{A5B17D5F-FB7D-4A3F-A284-9FAFF355C4AD}"/>
    <hyperlink ref="G2468" r:id="rId2663" xr:uid="{CE0B5508-1F2E-45CC-80F3-9AF7A2FF302F}"/>
    <hyperlink ref="G2469" r:id="rId2664" xr:uid="{13070EAB-FD7B-4E70-BD6F-F52361F41FAF}"/>
    <hyperlink ref="G2470" r:id="rId2665" xr:uid="{112373A2-1504-4E38-96C4-39939CA0E413}"/>
    <hyperlink ref="G2471" r:id="rId2666" xr:uid="{0CCC3FB1-6E09-4AFB-A4E2-5645C43C9F6E}"/>
    <hyperlink ref="G2472" r:id="rId2667" xr:uid="{91A65CC5-0735-44C0-A2C9-EE7F41AFAF47}"/>
    <hyperlink ref="G2473" r:id="rId2668" xr:uid="{140CA03B-DEA6-4782-8DF2-A2BACB97D40F}"/>
    <hyperlink ref="G2474" r:id="rId2669" xr:uid="{C828CCF9-8EDF-4D96-A0E9-DE9A41A1C44B}"/>
    <hyperlink ref="G2475" r:id="rId2670" xr:uid="{53B7B45C-7393-4F1D-955E-B31AAF9D0870}"/>
    <hyperlink ref="G2476" r:id="rId2671" xr:uid="{6F150CA2-93B1-429D-A7CD-9165E9866410}"/>
    <hyperlink ref="G2477" r:id="rId2672" xr:uid="{91D934C5-D8AA-4EB8-8E54-28E915EAAA12}"/>
    <hyperlink ref="G2478" r:id="rId2673" xr:uid="{D0167A45-9807-44BC-8BAA-C7E8E81C230B}"/>
    <hyperlink ref="G2479" r:id="rId2674" xr:uid="{7843A897-50CC-4ED4-BCD4-2E3D440AABF9}"/>
    <hyperlink ref="G2480" r:id="rId2675" xr:uid="{66CF8285-C716-4541-A176-3FF4E625A1AC}"/>
    <hyperlink ref="G2481" r:id="rId2676" xr:uid="{F5B3A7CA-E01C-49B2-83F9-43C8FE26310D}"/>
    <hyperlink ref="G2482" r:id="rId2677" xr:uid="{DB155743-D6CC-478B-8ECA-E734F9E22374}"/>
    <hyperlink ref="G2483" r:id="rId2678" xr:uid="{589067B5-83E9-47ED-A7CC-BD6DEFD698F7}"/>
    <hyperlink ref="G2484" r:id="rId2679" xr:uid="{FDC6DBF5-7D22-49BC-B952-EF95C3BAB6EB}"/>
    <hyperlink ref="G2485" r:id="rId2680" xr:uid="{A7DA386B-B283-4275-882E-9B40122090CE}"/>
    <hyperlink ref="G2486" r:id="rId2681" xr:uid="{97E06DD9-D348-4991-95EC-69CBC28D30A4}"/>
    <hyperlink ref="G2487" r:id="rId2682" xr:uid="{8345BED2-42C6-4459-9979-40272E0B371B}"/>
    <hyperlink ref="G2488" r:id="rId2683" xr:uid="{DFA733D5-A1B8-4260-BE9C-4A87E84D23E8}"/>
    <hyperlink ref="G2489" r:id="rId2684" xr:uid="{7A1397D5-1C48-4D89-9470-E7B51B2B4965}"/>
    <hyperlink ref="G2490" r:id="rId2685" xr:uid="{109CD998-2563-4D75-AA7A-462E47606220}"/>
    <hyperlink ref="G2491" r:id="rId2686" xr:uid="{FC70B315-3077-4608-98EF-CD9D45100CB6}"/>
    <hyperlink ref="G2492" r:id="rId2687" xr:uid="{DC7AEF23-FF71-47B7-84ED-7FF7AAE1C8B9}"/>
    <hyperlink ref="G2493" r:id="rId2688" xr:uid="{441FE939-623B-410B-84CF-6907F20D1925}"/>
    <hyperlink ref="G2494" r:id="rId2689" xr:uid="{EB1861C8-2B22-4E60-A8B9-E1B014119E38}"/>
    <hyperlink ref="G2495" r:id="rId2690" xr:uid="{84611DD1-7EEA-472A-83F1-EFBA6F7A1006}"/>
    <hyperlink ref="G2496" r:id="rId2691" xr:uid="{8A9C2443-EF16-46C5-B179-ABA5BACEF146}"/>
    <hyperlink ref="G2497" r:id="rId2692" xr:uid="{E8788130-21F4-4855-A143-4FAF0D14BB6F}"/>
    <hyperlink ref="G2498" r:id="rId2693" xr:uid="{71283EFE-2AC1-4B5B-ACB5-0F83780BB4F5}"/>
    <hyperlink ref="G2499" r:id="rId2694" xr:uid="{C3A18A9A-1793-43A2-94CA-8C1AC314409E}"/>
    <hyperlink ref="G2500" r:id="rId2695" xr:uid="{3D2632B3-BEA9-4664-883F-E169BC8CD34A}"/>
    <hyperlink ref="G2501" r:id="rId2696" xr:uid="{004D2219-0506-4274-8EC5-07DA7D3C9B15}"/>
    <hyperlink ref="G2502" r:id="rId2697" xr:uid="{E16FE513-3CB0-4592-8A88-206C4C5E461A}"/>
    <hyperlink ref="G2503" r:id="rId2698" xr:uid="{7D0431BA-6E93-4A9A-BD61-0B52006E31E3}"/>
    <hyperlink ref="G2504" r:id="rId2699" xr:uid="{81694744-84BC-425B-96CE-3EA1B619589A}"/>
    <hyperlink ref="G2505" r:id="rId2700" xr:uid="{BC324429-C94F-42E9-9EC3-996F85E3E12E}"/>
    <hyperlink ref="G2506" r:id="rId2701" xr:uid="{46C9B870-C257-4106-B740-09DAA005882D}"/>
    <hyperlink ref="G2507" r:id="rId2702" xr:uid="{243A7C38-9088-4377-BC29-9E845F4938A7}"/>
    <hyperlink ref="G2508" r:id="rId2703" xr:uid="{D27DFC74-43ED-4D9F-89AC-C91892B4BB55}"/>
    <hyperlink ref="G2509" r:id="rId2704" xr:uid="{2A062528-C75F-4FFF-A71E-8991718EED6A}"/>
    <hyperlink ref="G2510" r:id="rId2705" xr:uid="{F3AE58E4-8172-400F-B2B0-7D3C8EF3B568}"/>
    <hyperlink ref="G2511" r:id="rId2706" xr:uid="{1F5D6AEE-A674-43C7-931A-A7FB4991A4AD}"/>
    <hyperlink ref="G2512" r:id="rId2707" xr:uid="{48231910-86B3-47E6-B2AF-CC034CD05748}"/>
    <hyperlink ref="G2513" r:id="rId2708" xr:uid="{514F8780-246E-4154-9044-3E0732749A9E}"/>
    <hyperlink ref="G2514" r:id="rId2709" xr:uid="{B994C11F-0B0B-4087-891A-BAB8AAABB199}"/>
    <hyperlink ref="G2515" r:id="rId2710" xr:uid="{C6DFE63E-C40A-4489-8901-F60B58FFB39D}"/>
    <hyperlink ref="G2516" r:id="rId2711" xr:uid="{66466B1A-878F-4234-96B2-A7E08EF8A4DD}"/>
    <hyperlink ref="G2517" r:id="rId2712" xr:uid="{64CA7066-EED3-46E1-8785-805E299373E3}"/>
    <hyperlink ref="G2518" r:id="rId2713" xr:uid="{5D665195-2CBA-4F00-A127-A3B552FD23FE}"/>
    <hyperlink ref="G2519" r:id="rId2714" xr:uid="{274B91A2-F83D-4913-914F-E9B771EC4EAC}"/>
    <hyperlink ref="G2520" r:id="rId2715" xr:uid="{6976871E-78A6-4E04-AF0C-276012BE0A93}"/>
    <hyperlink ref="G2521" r:id="rId2716" xr:uid="{5D6DF048-0EE0-4080-86AB-C0EEB3D8C2DC}"/>
    <hyperlink ref="G2522" r:id="rId2717" xr:uid="{BCB2BBEC-FA79-4307-BF64-BBFFA7010A0A}"/>
    <hyperlink ref="G2523" r:id="rId2718" xr:uid="{EC5D0896-DB2C-4885-9DB2-F764CFF0FA08}"/>
    <hyperlink ref="G2524" r:id="rId2719" xr:uid="{D33EF426-A370-459A-9FF9-B13A0C38699B}"/>
    <hyperlink ref="G2525" r:id="rId2720" xr:uid="{2BB6680E-E973-4558-B19B-868FC4A77BB3}"/>
    <hyperlink ref="G2526" r:id="rId2721" xr:uid="{66542200-E48B-4E31-944A-1CCD5907726F}"/>
    <hyperlink ref="G2527" r:id="rId2722" xr:uid="{10C42527-E1C6-43B1-86B2-A12B8E0DB6CA}"/>
    <hyperlink ref="G2528" r:id="rId2723" xr:uid="{3044B8EE-86FD-4105-BA10-6BE87EEDEDD9}"/>
    <hyperlink ref="G2529" r:id="rId2724" xr:uid="{B8D7F5C6-BA16-4EFB-BF5D-752F7840B411}"/>
    <hyperlink ref="G2530" r:id="rId2725" xr:uid="{32A1A756-3310-4350-9652-1C50B0C90D5F}"/>
    <hyperlink ref="G2531" r:id="rId2726" xr:uid="{D942BC7B-ABDD-4DC4-BAE9-804C250030EE}"/>
    <hyperlink ref="G2532" r:id="rId2727" xr:uid="{7735FD25-0AB3-4F56-8708-1AC055E326CA}"/>
    <hyperlink ref="G2533" r:id="rId2728" xr:uid="{E6817334-9974-4508-8069-0DC2A603BD04}"/>
    <hyperlink ref="G2534" r:id="rId2729" xr:uid="{82E22B51-BE09-4587-9C93-255EFD8593C0}"/>
    <hyperlink ref="G2535" r:id="rId2730" xr:uid="{88989ED3-C3A5-4326-B096-C60A1DD8D863}"/>
    <hyperlink ref="G2536" r:id="rId2731" xr:uid="{91A5C33D-D1C4-4445-9297-25912CA25253}"/>
    <hyperlink ref="G2537" r:id="rId2732" xr:uid="{B635B199-0E13-4B18-84E5-CD4498E05368}"/>
    <hyperlink ref="G2538" r:id="rId2733" xr:uid="{BA098354-0E8C-431F-9629-2BF16DDF8E73}"/>
    <hyperlink ref="G2539" r:id="rId2734" xr:uid="{E1E48A8D-2878-4D9B-B0B2-DCCAEABB430D}"/>
    <hyperlink ref="G2540" r:id="rId2735" xr:uid="{45DDD4DB-C265-4B6E-A60D-16CCFC82A5C8}"/>
    <hyperlink ref="G2541" r:id="rId2736" xr:uid="{6DAFF15F-E290-4A98-AF03-6A13A719E41E}"/>
    <hyperlink ref="G2542" r:id="rId2737" xr:uid="{EB4C1E31-E9E3-4B94-8862-94A49CF4EA76}"/>
    <hyperlink ref="G2543" r:id="rId2738" xr:uid="{2512E1E0-042F-42B0-B384-A1BC07B6A609}"/>
    <hyperlink ref="G2544" r:id="rId2739" xr:uid="{4A8AF673-1EB4-4C96-93F0-490C83608F80}"/>
    <hyperlink ref="G2545" r:id="rId2740" xr:uid="{1ACB6360-4DBA-4DF8-855C-0D2218120A2C}"/>
    <hyperlink ref="G2546" r:id="rId2741" xr:uid="{4030E632-1B4E-4A68-ACEB-19B0851A3FF0}"/>
    <hyperlink ref="G2547" r:id="rId2742" xr:uid="{2B0725FE-5066-4F5D-9FC9-E98117AA6965}"/>
    <hyperlink ref="G2548" r:id="rId2743" xr:uid="{E4C5B763-7D09-47CA-9E49-9E8AC2CA819B}"/>
    <hyperlink ref="G2549" r:id="rId2744" xr:uid="{40ACE762-69E1-4CAC-B4EE-BBF1964E8F3A}"/>
    <hyperlink ref="G2550" r:id="rId2745" xr:uid="{395D4961-1F77-436F-97EF-F0B32E489E4D}"/>
    <hyperlink ref="G2551" r:id="rId2746" xr:uid="{73445FD1-EC81-45E7-AADE-1CA61F435FE9}"/>
    <hyperlink ref="G2552" r:id="rId2747" xr:uid="{E6192D4E-51D5-4483-8F77-091215B871B9}"/>
    <hyperlink ref="G2553" r:id="rId2748" xr:uid="{A5C697CE-0597-45A8-BBD9-A23CA3BBB65E}"/>
    <hyperlink ref="G2554" r:id="rId2749" xr:uid="{65B4D632-1CE5-4A47-89AD-A8F7E148610C}"/>
    <hyperlink ref="G2555" r:id="rId2750" xr:uid="{E890E0F9-7455-4365-809C-48E331FA49C1}"/>
    <hyperlink ref="G2556" r:id="rId2751" xr:uid="{8B612B4E-36FB-4AA5-8337-A2F68B80CB4E}"/>
    <hyperlink ref="G2557" r:id="rId2752" xr:uid="{0EDBC553-1C25-462C-B6E1-96E221E25540}"/>
    <hyperlink ref="G2558" r:id="rId2753" xr:uid="{C38F575D-4FC0-447E-B2B1-2B4EC1587FAE}"/>
    <hyperlink ref="G2559" r:id="rId2754" xr:uid="{E94A1C04-7300-44A7-BD5B-E1B6E7CD7C28}"/>
    <hyperlink ref="G2560" r:id="rId2755" xr:uid="{034B894F-1E1A-4ED7-A91F-5A3F35D1B977}"/>
    <hyperlink ref="G2561" r:id="rId2756" xr:uid="{F4D5CBE4-886A-41F1-AE49-588C0E642D87}"/>
    <hyperlink ref="G2562" r:id="rId2757" xr:uid="{FB0E7341-89DC-457E-9C8A-471ED0D6A7E9}"/>
    <hyperlink ref="G2563" r:id="rId2758" xr:uid="{95ECA6BC-094A-4C9D-8198-C2FAC30A195C}"/>
    <hyperlink ref="G2564" r:id="rId2759" xr:uid="{7D9357FB-E312-4831-AE02-87FF984C2649}"/>
    <hyperlink ref="G2565" r:id="rId2760" xr:uid="{886B07EF-7956-4592-AA9C-1C859E923A6F}"/>
    <hyperlink ref="G2566" r:id="rId2761" xr:uid="{8847C742-FEC1-43FA-AD53-2732DCCF3FA1}"/>
    <hyperlink ref="G2567" r:id="rId2762" xr:uid="{81716C64-88BB-4A70-B3E9-BEC907C7F302}"/>
    <hyperlink ref="G2568" r:id="rId2763" xr:uid="{55E0FE7E-5E82-4662-9C74-5153E0936A31}"/>
    <hyperlink ref="G2569" r:id="rId2764" xr:uid="{538186DF-3C14-4DC4-AC40-EB90F1BC37DB}"/>
    <hyperlink ref="G2570" r:id="rId2765" xr:uid="{DAACFC54-E104-4BE2-9975-32F4D20578FE}"/>
    <hyperlink ref="G2571" r:id="rId2766" xr:uid="{2AE48F85-0AF4-4996-B29A-79AE081EC828}"/>
    <hyperlink ref="G2572" r:id="rId2767" xr:uid="{F9E9C628-567F-4E18-88A6-E23AABE00E1B}"/>
    <hyperlink ref="G2573" r:id="rId2768" xr:uid="{70C122A1-FC9E-4E93-A5F4-398D41212446}"/>
    <hyperlink ref="G2574" r:id="rId2769" xr:uid="{BA45E48A-9844-428C-8837-8CCD4CF0E756}"/>
    <hyperlink ref="G2575" r:id="rId2770" xr:uid="{D4F36673-5DF6-4B8D-88F3-646E0D32CA39}"/>
    <hyperlink ref="G2576" r:id="rId2771" xr:uid="{AF7B854E-6239-40A2-8775-837EC7E8C3EF}"/>
    <hyperlink ref="G2577" r:id="rId2772" xr:uid="{85308D9E-43E2-4D57-834F-EA8482AD888E}"/>
    <hyperlink ref="G2578" r:id="rId2773" xr:uid="{94140F51-1BE2-4C18-B630-200759A79435}"/>
    <hyperlink ref="G2579" r:id="rId2774" xr:uid="{F9E6528B-8D63-4CCE-A002-74EB27A0F218}"/>
    <hyperlink ref="G2580" r:id="rId2775" xr:uid="{00AE787D-19EE-4FEE-B5CE-602E59C0858B}"/>
    <hyperlink ref="G2581" r:id="rId2776" xr:uid="{975E8CB9-508A-47D8-87C3-99654D433E4F}"/>
    <hyperlink ref="G2582" r:id="rId2777" xr:uid="{BA1F0D08-8A41-4EA3-9B77-6D2F50C0E6BD}"/>
    <hyperlink ref="G2583" r:id="rId2778" xr:uid="{D479A7E1-4448-420D-9D47-AFA2ED22A802}"/>
    <hyperlink ref="G2584" r:id="rId2779" xr:uid="{DA9000DB-2D3B-4D2E-9D7E-8E463CDB0652}"/>
    <hyperlink ref="G2585" r:id="rId2780" xr:uid="{5E335482-57E4-4D32-9459-86407839DD63}"/>
    <hyperlink ref="G2586" r:id="rId2781" xr:uid="{337A9BB9-E17C-4263-B2CA-3BC3CDC82955}"/>
    <hyperlink ref="G2587" r:id="rId2782" xr:uid="{22AD5BEE-09B5-4B94-9A9E-ECCEEC1D7EE5}"/>
    <hyperlink ref="G2588" r:id="rId2783" xr:uid="{A5D5BF77-FDD7-49F3-8E44-7D92C57B4EFC}"/>
    <hyperlink ref="G2589" r:id="rId2784" xr:uid="{6936269F-C671-43E9-86F1-077CF61759D0}"/>
    <hyperlink ref="G2590" r:id="rId2785" xr:uid="{31CCEE2C-F273-4C89-A83F-02E6E189E88E}"/>
    <hyperlink ref="G2591" r:id="rId2786" xr:uid="{01516A8F-E514-440A-82A1-3CF95AD2C238}"/>
    <hyperlink ref="G2592" r:id="rId2787" xr:uid="{E9F61552-5325-41E2-84D3-A7D91B1F9F44}"/>
    <hyperlink ref="G2593" r:id="rId2788" xr:uid="{089A21E1-3E58-4F09-B6E8-5813BFCE5F8C}"/>
    <hyperlink ref="G2594" r:id="rId2789" xr:uid="{13E00524-3276-4F85-A636-855020A9E181}"/>
    <hyperlink ref="G2595" r:id="rId2790" xr:uid="{DD5F70B4-F78C-4286-B81C-5F7595F4471B}"/>
    <hyperlink ref="G2596" r:id="rId2791" xr:uid="{7D5D3F4D-73FA-40C6-8925-E42344B0C2F2}"/>
    <hyperlink ref="G2597" r:id="rId2792" xr:uid="{48F713D8-9DFA-47D8-9AE4-970EBEDA9FED}"/>
    <hyperlink ref="G2598" r:id="rId2793" xr:uid="{5B1579FE-B6A0-42B3-8F3E-4A1980669EE6}"/>
    <hyperlink ref="G2599" r:id="rId2794" xr:uid="{394AB1DC-4E28-41F5-BCA3-7CA7DC14ADAB}"/>
    <hyperlink ref="G2600" r:id="rId2795" xr:uid="{B1C5DFCA-D96E-4720-9E95-4AE557FF4E41}"/>
    <hyperlink ref="G2601" r:id="rId2796" xr:uid="{CA03F7D7-46EC-448B-9850-86046C888871}"/>
    <hyperlink ref="G2602" r:id="rId2797" xr:uid="{E84AF503-7063-4309-AD69-A2F5C04CC1A8}"/>
    <hyperlink ref="G2603" r:id="rId2798" xr:uid="{B3053EE6-3B5A-4E43-8E36-71DAF44697CD}"/>
    <hyperlink ref="G2604" r:id="rId2799" xr:uid="{7B05A6B0-EE0B-46F4-8525-BF4B2DCB3358}"/>
    <hyperlink ref="G2605" r:id="rId2800" xr:uid="{4AF4B880-9E2C-47C7-98B5-48AD0D6B52BB}"/>
    <hyperlink ref="G2606" r:id="rId2801" xr:uid="{9AC0BB1A-83BB-4FAD-9B21-D0802BD58A93}"/>
    <hyperlink ref="G2607" r:id="rId2802" xr:uid="{06C802CC-D485-4DC6-9F75-5E17EB622757}"/>
    <hyperlink ref="G2608" r:id="rId2803" xr:uid="{6036F1B4-3C0C-4246-B5E9-119D8599A36F}"/>
    <hyperlink ref="G2609" r:id="rId2804" xr:uid="{BCEDA076-805F-480E-ADC3-1E6B31D16725}"/>
    <hyperlink ref="G2610" r:id="rId2805" xr:uid="{E0E296CC-BDDB-476C-9C79-7966D821B85A}"/>
    <hyperlink ref="G2611" r:id="rId2806" xr:uid="{C53A8059-9FA0-4F8C-9A46-0FD9491D4054}"/>
    <hyperlink ref="G2612" r:id="rId2807" xr:uid="{9E894969-D4E5-44B9-BA60-73CCBD109E7B}"/>
    <hyperlink ref="G2613" r:id="rId2808" xr:uid="{A9BDACE9-98DA-4024-A8E0-37648F859C72}"/>
    <hyperlink ref="G2614" r:id="rId2809" xr:uid="{AB08C0B6-762C-4E2F-A77D-9F67228DDE5E}"/>
    <hyperlink ref="G2615" r:id="rId2810" xr:uid="{8FE86B7F-A996-499F-8CB6-CEDC214A47ED}"/>
    <hyperlink ref="G2616" r:id="rId2811" xr:uid="{CAD3E187-A43D-41EA-808E-2F21E341201E}"/>
    <hyperlink ref="G2617" r:id="rId2812" xr:uid="{F67D0568-31C4-4A73-B619-DCC5A5B82160}"/>
    <hyperlink ref="G2618" r:id="rId2813" xr:uid="{294BCCB4-27F9-4FD9-9012-3F5F6D4CD5B0}"/>
    <hyperlink ref="G2619" r:id="rId2814" xr:uid="{3400297C-B362-4D77-AD29-1A724130B815}"/>
    <hyperlink ref="G2620" r:id="rId2815" xr:uid="{D87F1A17-206A-4FAD-9CE0-C12F2CC59879}"/>
    <hyperlink ref="G2621" r:id="rId2816" xr:uid="{1F1B259C-856B-4D55-8266-C8E4BDBBA355}"/>
    <hyperlink ref="G2622" r:id="rId2817" xr:uid="{D6EAB6C0-363B-4EB7-8D93-748615EFEA25}"/>
    <hyperlink ref="G2623" r:id="rId2818" xr:uid="{9A46E651-0688-4E2B-9EC1-9C2C5CB19D7B}"/>
    <hyperlink ref="G2624" r:id="rId2819" xr:uid="{53E9493E-3B85-4694-91E3-02987FD8FB78}"/>
    <hyperlink ref="G2625" r:id="rId2820" xr:uid="{2DF83846-23D8-4586-9951-BA4F84FE3BC6}"/>
    <hyperlink ref="G2626" r:id="rId2821" xr:uid="{333D6594-D2A0-4623-B8A2-57F238849919}"/>
    <hyperlink ref="G2627" r:id="rId2822" xr:uid="{56669AF5-76C4-4812-85CB-8CCF29FF496B}"/>
    <hyperlink ref="G2628" r:id="rId2823" xr:uid="{60ACEC47-B432-403D-9FA8-56B503A1A153}"/>
    <hyperlink ref="G2629" r:id="rId2824" xr:uid="{072AD402-A011-4B9C-96FC-89B14A92E4BC}"/>
    <hyperlink ref="G2630" r:id="rId2825" xr:uid="{0258159D-452B-4520-831E-8A35A20939DD}"/>
    <hyperlink ref="G2631" r:id="rId2826" xr:uid="{CA55BCB5-FADA-44A1-8555-0EFD515EEB1A}"/>
    <hyperlink ref="G2632" r:id="rId2827" xr:uid="{E4C4AEFD-40F8-4BB9-A6CE-93939A33B23F}"/>
    <hyperlink ref="G2633" r:id="rId2828" xr:uid="{B83C1EA7-20D2-46D5-9B93-0470F69077BC}"/>
    <hyperlink ref="G2634" r:id="rId2829" xr:uid="{8AEB0817-1BF9-49E1-A162-2D420D845C9D}"/>
    <hyperlink ref="G2635" r:id="rId2830" xr:uid="{2C5CFCB6-EE02-42EF-BAC9-EC2D15DCC2DE}"/>
    <hyperlink ref="G2636" r:id="rId2831" xr:uid="{9D261086-B39E-477C-BCAB-3DCD2E6C8BDF}"/>
    <hyperlink ref="G2637" r:id="rId2832" xr:uid="{95F966FE-224F-4EC4-A10D-873C95050E16}"/>
    <hyperlink ref="G2638" r:id="rId2833" xr:uid="{CCA354AC-374D-42F8-81A4-B7A8E0FEAF02}"/>
    <hyperlink ref="G2639" r:id="rId2834" xr:uid="{5E241CE6-B9C9-4A84-8469-665A836B567C}"/>
    <hyperlink ref="G2640" r:id="rId2835" xr:uid="{4FA3235F-9475-45D7-9877-D8726E3447BE}"/>
    <hyperlink ref="G2641" r:id="rId2836" xr:uid="{09E677A5-96F6-4D12-9EDA-65E5A1374095}"/>
    <hyperlink ref="G2642" r:id="rId2837" xr:uid="{909A0F2D-5F16-4FAF-8175-79765631CBC1}"/>
    <hyperlink ref="G2643" r:id="rId2838" xr:uid="{684B0E36-43A8-4E1B-8A00-C4A37F88E14D}"/>
    <hyperlink ref="G2644" r:id="rId2839" xr:uid="{0CEF86C6-FAEF-4543-BCF8-AF16DBFFFDFA}"/>
    <hyperlink ref="G2645" r:id="rId2840" xr:uid="{85C41E90-1361-48EC-AFF9-C800C73B769A}"/>
    <hyperlink ref="G2646" r:id="rId2841" xr:uid="{96C2400D-D3EF-4628-AAF0-32BAC5D28FD3}"/>
    <hyperlink ref="G2647" r:id="rId2842" xr:uid="{0F44EA48-933A-457B-B3B3-80B7B8FFA042}"/>
    <hyperlink ref="G2648" r:id="rId2843" xr:uid="{F80BE96D-0BC5-4722-A500-ABDBACD2A053}"/>
    <hyperlink ref="G2649" r:id="rId2844" xr:uid="{09029C35-9E85-44FF-9DD5-AA4585FA404D}"/>
    <hyperlink ref="G2650" r:id="rId2845" xr:uid="{60DF2381-D91B-4E28-A3C0-3F6F27D04385}"/>
    <hyperlink ref="G2651" r:id="rId2846" xr:uid="{21E9E680-E573-48D9-BDF4-E2B91F0BC37A}"/>
    <hyperlink ref="G2652" r:id="rId2847" xr:uid="{CE29DD05-C1E6-47F6-8A11-72942AF728B0}"/>
    <hyperlink ref="G2653" r:id="rId2848" xr:uid="{DCFB1680-D393-45F0-8912-410110663D8F}"/>
    <hyperlink ref="G2654" r:id="rId2849" xr:uid="{92424FDE-98D3-4C21-BA99-AC050B31FAE9}"/>
    <hyperlink ref="G2655" r:id="rId2850" xr:uid="{13E6FC2B-042C-4F4E-833B-F9434FA3B020}"/>
    <hyperlink ref="G2656" r:id="rId2851" xr:uid="{7B099C92-48C8-4283-A319-C50F95BF1922}"/>
    <hyperlink ref="G2657" r:id="rId2852" xr:uid="{9A5A100B-5D9A-4329-A51F-8D9094EA734C}"/>
    <hyperlink ref="G2658" r:id="rId2853" xr:uid="{9B5DBEE2-AD53-46A3-872C-EC836C4E75F6}"/>
    <hyperlink ref="G2659" r:id="rId2854" xr:uid="{1EB17E7E-3CE2-49E3-9908-A374F0E5D82D}"/>
    <hyperlink ref="G2660" r:id="rId2855" xr:uid="{27129D8D-7C79-4576-8C73-6173466FACA6}"/>
    <hyperlink ref="G2661" r:id="rId2856" xr:uid="{6FCA38D6-882C-4535-AF85-5E9967383925}"/>
    <hyperlink ref="G2662" r:id="rId2857" xr:uid="{AB25348D-79AF-41A0-9F84-A96A343D540C}"/>
    <hyperlink ref="G2663" r:id="rId2858" xr:uid="{8B82876B-220B-4A16-B250-6FD2A9BC682F}"/>
    <hyperlink ref="G2664" r:id="rId2859" xr:uid="{086771B2-24E5-4F38-8130-FDF3C727D6A1}"/>
    <hyperlink ref="G2665" r:id="rId2860" xr:uid="{E17352D2-B858-4356-B600-9A505E7335AB}"/>
    <hyperlink ref="G2666" r:id="rId2861" xr:uid="{0C5C5B62-08EF-42AB-8953-CBC3A91CD12D}"/>
    <hyperlink ref="G2667" r:id="rId2862" xr:uid="{B7CE2B5C-D52A-41E9-81FE-942288B8F72E}"/>
    <hyperlink ref="G2668" r:id="rId2863" xr:uid="{1B4FDEA2-C502-455B-B419-735573C2DDD5}"/>
    <hyperlink ref="G2669" r:id="rId2864" xr:uid="{4F0CAB54-76F6-468E-855A-DA899FD34C5D}"/>
    <hyperlink ref="G2670" r:id="rId2865" xr:uid="{8AD3F002-6DAE-4111-A73D-85D34817E345}"/>
    <hyperlink ref="G2671" r:id="rId2866" xr:uid="{C3B82872-C895-4CAB-B14D-CC18A7517365}"/>
    <hyperlink ref="G2672" r:id="rId2867" xr:uid="{59B7BF91-AA17-47FD-B6A7-B5DCD3D2FFBB}"/>
    <hyperlink ref="G2673" r:id="rId2868" xr:uid="{7B4958F8-B60B-4305-9CE8-C06A92EAD26A}"/>
    <hyperlink ref="G2674" r:id="rId2869" xr:uid="{E8DAB666-723E-48D7-9C43-9B2C1BBAAD36}"/>
    <hyperlink ref="G2675" r:id="rId2870" xr:uid="{206C77FC-0B6E-4A56-B6F1-CF121456B907}"/>
    <hyperlink ref="G2676" r:id="rId2871" xr:uid="{C340CD6F-39C3-48F0-B5E3-075FF3DC4F16}"/>
    <hyperlink ref="G2677" r:id="rId2872" xr:uid="{D464A407-0470-4AF1-AC88-6B5411AD436E}"/>
    <hyperlink ref="G2678" r:id="rId2873" xr:uid="{BEB67D47-DD68-40E8-A365-3C343DCBEB24}"/>
    <hyperlink ref="G2679" r:id="rId2874" xr:uid="{AFB1BA47-25A8-4AE1-A42C-B9A4D07AD054}"/>
    <hyperlink ref="G2680" r:id="rId2875" xr:uid="{03A34E34-2FAA-4C69-8CFA-9FCD951363BD}"/>
    <hyperlink ref="G2681" r:id="rId2876" xr:uid="{0CD0C047-44BE-4EA8-A542-70F0634F03F5}"/>
    <hyperlink ref="G2682" r:id="rId2877" xr:uid="{EC237E9C-0BB5-4C00-85A2-701C598E424A}"/>
    <hyperlink ref="G2683" r:id="rId2878" xr:uid="{B34FFF1F-84CE-4543-A6E6-308916639C0C}"/>
    <hyperlink ref="G2684" r:id="rId2879" xr:uid="{2515F372-3349-4E9A-804B-C7C8A9018048}"/>
    <hyperlink ref="G2685" r:id="rId2880" xr:uid="{E5B8479B-42BC-4C2A-9708-C545CF14F0C3}"/>
    <hyperlink ref="G2686" r:id="rId2881" xr:uid="{1D36CBAC-CDC0-4251-8D9C-50D9F45BD101}"/>
    <hyperlink ref="G2687" r:id="rId2882" xr:uid="{8066C611-254E-4A0E-B7A8-EB9C86BE40F9}"/>
    <hyperlink ref="G2688" r:id="rId2883" xr:uid="{86C9C6BC-DA87-48B3-BF98-BF4EE2519CF9}"/>
    <hyperlink ref="G2689" r:id="rId2884" xr:uid="{51A6336A-6DC3-4B2F-8C76-75EDFE53B486}"/>
    <hyperlink ref="G2690" r:id="rId2885" xr:uid="{8AC76C67-922D-4ED9-844C-F34F27A287EA}"/>
    <hyperlink ref="G2691" r:id="rId2886" xr:uid="{EF49E1C9-F0E5-47A6-B6D1-F7C1BCD407FE}"/>
    <hyperlink ref="G2692" r:id="rId2887" xr:uid="{21B0E999-DEE9-41ED-931C-CBB404CFD7C7}"/>
    <hyperlink ref="G2693" r:id="rId2888" xr:uid="{E4ABA8A6-5A40-4917-BC2D-32D78B08C60B}"/>
    <hyperlink ref="G2694" r:id="rId2889" xr:uid="{47578F1A-F303-4120-89A7-AA2555DFB87B}"/>
    <hyperlink ref="G2695" r:id="rId2890" xr:uid="{1889C021-29DC-4A00-83AF-DAB24D51AAC7}"/>
    <hyperlink ref="G2696" r:id="rId2891" xr:uid="{F6A5EF22-3C28-45EC-A747-0BA911E295B1}"/>
    <hyperlink ref="G2697" r:id="rId2892" xr:uid="{08CB9473-FC92-4A12-A2D5-D313283C8712}"/>
    <hyperlink ref="G2698" r:id="rId2893" xr:uid="{B63C260B-74B4-4B84-B9D0-2DB20226029B}"/>
    <hyperlink ref="G2699" r:id="rId2894" xr:uid="{D01DF4AA-A031-4B6B-B487-2F9F5C9B715F}"/>
    <hyperlink ref="G2700" r:id="rId2895" xr:uid="{3071E930-3144-43C4-BAE7-DA9364BCE495}"/>
    <hyperlink ref="G2701" r:id="rId2896" xr:uid="{6AB0C3B0-D553-464C-8ED2-9F9FF7299CC5}"/>
    <hyperlink ref="G2702" r:id="rId2897" xr:uid="{A3F7E469-0ED6-4A03-8012-96AF58EDB448}"/>
    <hyperlink ref="G2703" r:id="rId2898" xr:uid="{DFC416D2-2006-4133-8A71-6BA4E953CAD3}"/>
    <hyperlink ref="G2704" r:id="rId2899" xr:uid="{81E8B867-CFAE-4F3B-889A-60F1E771235C}"/>
    <hyperlink ref="G2705" r:id="rId2900" xr:uid="{20F60580-BD58-4973-A556-6B244A56C2D3}"/>
    <hyperlink ref="G2706" r:id="rId2901" xr:uid="{922E7D00-0FC8-4245-9398-94481FD29511}"/>
    <hyperlink ref="G2707" r:id="rId2902" xr:uid="{3FBB3796-EBED-434A-A488-94D457083D12}"/>
    <hyperlink ref="G2708" r:id="rId2903" xr:uid="{532F24AB-A952-4091-9A71-813563ACB97A}"/>
    <hyperlink ref="G2709" r:id="rId2904" xr:uid="{49FD0B98-CD38-4FD0-97E4-FA63AAF791FA}"/>
    <hyperlink ref="G2710" r:id="rId2905" location="Susong_Branch_.E5.B7.9D.E6.B0.94.E4.B8.9C.E9.80.81.E5.AE.89.E5.BE.BD.E6.AE.B5-.E5.AE.BF.E6.9D.BE.E6.94.AF.E7.BA.BF" xr:uid="{D7339078-3B91-40B4-B969-73361DE127F4}"/>
    <hyperlink ref="G2711" r:id="rId2906" xr:uid="{8D099B65-C0B5-46B0-81F6-562377816DFA}"/>
    <hyperlink ref="G2712" r:id="rId2907" xr:uid="{ED34626B-C49B-489B-AAF2-DF1152618169}"/>
    <hyperlink ref="G2713" r:id="rId2908" xr:uid="{367ED09A-E05F-4E92-8F30-201F06B376E6}"/>
    <hyperlink ref="G2714" r:id="rId2909" xr:uid="{6999546B-D242-46D1-9D8E-76E812C395CE}"/>
    <hyperlink ref="G2715" r:id="rId2910" xr:uid="{DE6A3355-CE38-4D30-978E-2763806027CF}"/>
    <hyperlink ref="G2716" r:id="rId2911" xr:uid="{97254EDF-2BCA-4978-B7B0-081D33125B97}"/>
    <hyperlink ref="G2717" r:id="rId2912" xr:uid="{491C9378-5E49-41BB-A556-1150E9388242}"/>
    <hyperlink ref="G2718" r:id="rId2913" xr:uid="{44669AF4-15DD-4411-B5A5-F0BF57ACA860}"/>
    <hyperlink ref="G2719" r:id="rId2914" xr:uid="{110984D7-6DEF-40A5-A24A-210F12182673}"/>
    <hyperlink ref="G2720" r:id="rId2915" xr:uid="{067AA6F8-6BE1-4EA9-9D23-C8128931EB36}"/>
    <hyperlink ref="G2721" r:id="rId2916" xr:uid="{EBEEA9C4-C649-418C-86CA-94A23FC7B705}"/>
    <hyperlink ref="G2722" r:id="rId2917" xr:uid="{89521179-4C5D-4F11-B08E-75F29E070EE3}"/>
    <hyperlink ref="G2723" r:id="rId2918" xr:uid="{2368D0F5-85E5-4B78-AC6B-50424BF2F2B8}"/>
    <hyperlink ref="G2724" r:id="rId2919" xr:uid="{1CC1CC70-4099-447D-83C3-62015D91B5A1}"/>
    <hyperlink ref="G2725" r:id="rId2920" xr:uid="{60F97BF4-9A10-4C4E-92BD-C8BFEC306675}"/>
    <hyperlink ref="G2726" r:id="rId2921" xr:uid="{7A54C76B-1BE9-460D-98B3-EF12D0A4E688}"/>
    <hyperlink ref="G2727" r:id="rId2922" xr:uid="{B64F34F2-C4C0-4428-A3CC-79D2C838A61A}"/>
    <hyperlink ref="G2728" r:id="rId2923" xr:uid="{108BB553-9C5E-49F1-A745-5D565B9A5053}"/>
    <hyperlink ref="G2729" r:id="rId2924" xr:uid="{1F553AC5-E13D-4636-9D69-B30C83699520}"/>
    <hyperlink ref="G2730" r:id="rId2925" xr:uid="{A3AB1C6E-B16F-465A-9943-6BA7E5248887}"/>
    <hyperlink ref="G2731" r:id="rId2926" xr:uid="{12EF8D26-F55E-457B-B700-F4DA2D44855B}"/>
    <hyperlink ref="G2732" r:id="rId2927" xr:uid="{86069032-2895-42A1-86A4-192B92D6BB6D}"/>
    <hyperlink ref="G2733" r:id="rId2928" xr:uid="{636624B4-9703-4511-A6CE-D1852CFCD284}"/>
    <hyperlink ref="G2734" r:id="rId2929" xr:uid="{94D47690-3576-4265-83EB-31D5544A4FEB}"/>
    <hyperlink ref="G2735" r:id="rId2930" xr:uid="{7EF8BAF6-C1CF-4FA5-8C8E-527290AB13F7}"/>
    <hyperlink ref="G2736" r:id="rId2931" xr:uid="{D78FD6B7-33AB-4A29-913D-332D363006CA}"/>
    <hyperlink ref="G2737" r:id="rId2932" xr:uid="{5D38C8F8-1788-46EF-861C-0C2FFEEBA12B}"/>
    <hyperlink ref="G2738" r:id="rId2933" xr:uid="{C1E3D8A8-6426-43A0-B23D-2A1063757D65}"/>
    <hyperlink ref="G2739" r:id="rId2934" xr:uid="{7736E37A-1EDF-4F20-B718-797D5DEE1F9B}"/>
    <hyperlink ref="G2740" r:id="rId2935" xr:uid="{9D34A6EE-AA0C-4646-A5E2-544143D7BFF1}"/>
    <hyperlink ref="G2741" r:id="rId2936" xr:uid="{DDCF6038-DCE4-4D97-A2BA-B37BB1B76853}"/>
    <hyperlink ref="G2742" r:id="rId2937" xr:uid="{7C5F9C8A-9943-425A-A702-712C0C96FF85}"/>
    <hyperlink ref="G2743" r:id="rId2938" xr:uid="{BCBC7CB8-C0C3-4235-9FE3-1386DE69F844}"/>
    <hyperlink ref="G2744" r:id="rId2939" xr:uid="{1374EA7F-B901-4229-8422-FA8A121A4105}"/>
    <hyperlink ref="G2745" r:id="rId2940" xr:uid="{E9A3E116-745E-4748-B348-88C9477D6E7F}"/>
    <hyperlink ref="G2746" r:id="rId2941" xr:uid="{03022135-B92C-4CF5-88B5-A0A22013D03B}"/>
    <hyperlink ref="G2747" r:id="rId2942" xr:uid="{ED90CCDE-FB05-41D3-9BD8-EB779D8AD6ED}"/>
    <hyperlink ref="G2748" r:id="rId2943" xr:uid="{8C5387AB-C5AC-4F97-990A-557692B4CF0B}"/>
    <hyperlink ref="G2749" r:id="rId2944" xr:uid="{39C4467C-1B9C-4938-AD72-30486FDBABF8}"/>
    <hyperlink ref="G2750" r:id="rId2945" xr:uid="{BEA10879-FA96-469F-8067-A1C483C631E4}"/>
    <hyperlink ref="G2751" r:id="rId2946" xr:uid="{EDFCAF10-1DAE-4AD7-8FCA-6EFDE33C6C65}"/>
    <hyperlink ref="G2752" r:id="rId2947" xr:uid="{1F07BB7E-A208-4B3C-A685-CBF403759BF3}"/>
    <hyperlink ref="G2753" r:id="rId2948" xr:uid="{270F1A92-6089-49D1-AD16-234022E28E01}"/>
    <hyperlink ref="G2754" r:id="rId2949" xr:uid="{2AAB8DBC-F1D4-412A-9A89-F56B12A2B3E7}"/>
    <hyperlink ref="G2755" r:id="rId2950" xr:uid="{2B6FDF87-F4DF-4513-9871-54BF7999550D}"/>
    <hyperlink ref="G2756" r:id="rId2951" xr:uid="{A28FEB10-FAFA-4F4E-AD51-DEC0E5C738B4}"/>
    <hyperlink ref="G2757" r:id="rId2952" xr:uid="{80DA855D-155E-4359-8363-3FD60EA2FF05}"/>
    <hyperlink ref="G2758" r:id="rId2953" xr:uid="{A113F04B-36AC-4226-B451-91A66A54D98A}"/>
    <hyperlink ref="G2759" r:id="rId2954" xr:uid="{931743DA-2853-4066-8E9A-6CB33ED214A7}"/>
    <hyperlink ref="G2760" r:id="rId2955" xr:uid="{B5985B06-18B3-4B1D-8C38-25D2DC3E6E6B}"/>
    <hyperlink ref="G2761" r:id="rId2956" xr:uid="{CE77FF47-C11A-489B-935B-46F5C417024D}"/>
    <hyperlink ref="G2762" r:id="rId2957" xr:uid="{B9C38D46-E5DB-4743-A9F9-FB4ECB457CDF}"/>
    <hyperlink ref="G2763" r:id="rId2958" xr:uid="{4D1DD271-BFCF-4D89-B9CA-B9E7F3FD0E59}"/>
    <hyperlink ref="G2764" r:id="rId2959" xr:uid="{60E7DA97-D5E4-4A5C-81AA-5DACC59B7D14}"/>
    <hyperlink ref="G2765" r:id="rId2960" xr:uid="{4A661929-ECB6-4BAE-9D61-FF6A667C250D}"/>
    <hyperlink ref="G2766" r:id="rId2961" xr:uid="{0AADE3EF-7ED6-4489-981D-5D71A37012CA}"/>
    <hyperlink ref="G2767" r:id="rId2962" xr:uid="{D8188996-74FA-4F8C-B268-D81BD8CA2F50}"/>
    <hyperlink ref="G2768" r:id="rId2963" xr:uid="{4B336DB3-4C4D-4AAE-AE3C-0773C97F05FD}"/>
    <hyperlink ref="G2769" r:id="rId2964" xr:uid="{0D629FC0-5B1A-4B87-832D-8DA853A3AB0C}"/>
    <hyperlink ref="G2770" r:id="rId2965" xr:uid="{D4322F94-1331-4289-93F6-E21B8EA1C019}"/>
    <hyperlink ref="G2771" r:id="rId2966" xr:uid="{D3FB0D80-F787-4976-A9AB-9DD43B62105B}"/>
    <hyperlink ref="G2772" r:id="rId2967" xr:uid="{1FB55097-A858-49B6-AD69-A3540E806CC7}"/>
    <hyperlink ref="G2773" r:id="rId2968" xr:uid="{2AA08DB8-5F65-4D23-A475-C234DD8D322D}"/>
    <hyperlink ref="G2774" r:id="rId2969" xr:uid="{091C3059-58E9-4A31-861D-6C9FF25744C7}"/>
    <hyperlink ref="G2775" r:id="rId2970" xr:uid="{041232ED-117B-4C8B-ACC2-33A901753DDD}"/>
    <hyperlink ref="G2776" r:id="rId2971" xr:uid="{25276246-80E3-46BC-843C-26FDC6A32D4C}"/>
    <hyperlink ref="G2777" r:id="rId2972" xr:uid="{419E7D26-5ECF-4E2A-BB59-9F863B5D6DB3}"/>
    <hyperlink ref="G2778" r:id="rId2973" xr:uid="{31CB810B-39CA-401F-9D96-15425C963787}"/>
    <hyperlink ref="G2779" r:id="rId2974" xr:uid="{D51F2CE2-9E5D-4FF5-A875-A8DDA9A3E4D8}"/>
    <hyperlink ref="G2780" r:id="rId2975" xr:uid="{1124DE92-C854-4C45-8926-D92062565FA0}"/>
    <hyperlink ref="G2781" r:id="rId2976" xr:uid="{B59B00C2-C48D-4DB6-A890-8E126BCD080A}"/>
    <hyperlink ref="G2782" r:id="rId2977" xr:uid="{AC19D811-076B-49D5-9004-84A8477661F4}"/>
    <hyperlink ref="G2783" r:id="rId2978" xr:uid="{82D31FCE-0DEE-483B-9906-50B4A995E787}"/>
    <hyperlink ref="G2784" r:id="rId2979" xr:uid="{F74EB301-A793-401F-B6FB-5BED12F59A5D}"/>
    <hyperlink ref="G2785" r:id="rId2980" xr:uid="{013CCB36-2F88-4975-ABCD-1EE147EA1469}"/>
    <hyperlink ref="G2786" r:id="rId2981" xr:uid="{60D7612F-1B02-4362-8705-66673C147EFA}"/>
    <hyperlink ref="G2787" r:id="rId2982" xr:uid="{4F31D641-70BE-47F6-B51E-D2893802A290}"/>
    <hyperlink ref="G2788" r:id="rId2983" xr:uid="{933574EB-C80B-4A98-9032-5BC5C97D1B5D}"/>
    <hyperlink ref="G2789" r:id="rId2984" xr:uid="{4A07A829-1725-414A-B948-BD1B52056EFE}"/>
    <hyperlink ref="G2790" r:id="rId2985" xr:uid="{76562B56-DE7F-43EB-87AB-E681CEBEC8CB}"/>
    <hyperlink ref="G2791" r:id="rId2986" xr:uid="{F0707A42-0CCE-4546-948B-BB4F308A35B1}"/>
    <hyperlink ref="G2792" r:id="rId2987" xr:uid="{5C986149-8BB7-48A0-A922-F25436FF4F0B}"/>
    <hyperlink ref="G2793" r:id="rId2988" xr:uid="{4A28A37B-07E9-4FC7-8767-6EEB76C95739}"/>
    <hyperlink ref="G2794" r:id="rId2989" xr:uid="{EE63C549-8C02-4935-B20B-EBE631D8C92E}"/>
    <hyperlink ref="G2795" r:id="rId2990" xr:uid="{C6299693-7592-4023-8D1C-BF6757DB2FAD}"/>
    <hyperlink ref="G2796" r:id="rId2991" xr:uid="{062173FA-3B0E-42B8-A9E9-91D6A8D768CB}"/>
    <hyperlink ref="G2797" r:id="rId2992" xr:uid="{5F220C8F-135F-403D-9FC4-B4F8271A560B}"/>
    <hyperlink ref="G2798" r:id="rId2993" xr:uid="{D7487F60-E2A2-4471-A288-42EAB0680380}"/>
    <hyperlink ref="G2799" r:id="rId2994" xr:uid="{E8C852FA-B58D-4641-9F42-184A9AA0F178}"/>
    <hyperlink ref="G2800" r:id="rId2995" xr:uid="{DB176254-2C69-4B88-8E4E-846BB9A6960A}"/>
    <hyperlink ref="G2801" r:id="rId2996" xr:uid="{97FCE09B-F0D5-49AF-9F28-7BB404B5975F}"/>
    <hyperlink ref="G2802" r:id="rId2997" xr:uid="{5589766D-8C9D-4C2B-BC39-055541C957F1}"/>
    <hyperlink ref="G2803" r:id="rId2998" xr:uid="{F6616A63-2DB1-4EA8-9AAB-DF5F7FDE85AB}"/>
    <hyperlink ref="G2804" r:id="rId2999" xr:uid="{59505289-01BF-46EF-989A-8B155E50A026}"/>
    <hyperlink ref="G2805" r:id="rId3000" xr:uid="{E29AEA65-15A3-432F-B20A-84B8E72173FF}"/>
    <hyperlink ref="G2806" r:id="rId3001" xr:uid="{AB614465-1E00-4D74-9ED9-AFF6028C0138}"/>
    <hyperlink ref="G2807" r:id="rId3002" xr:uid="{E4D01158-59AD-4658-B5D8-39D193F4446B}"/>
    <hyperlink ref="G2808" r:id="rId3003" xr:uid="{E237A716-B87F-4F99-8A9E-C49D974141BE}"/>
    <hyperlink ref="G2809" r:id="rId3004" xr:uid="{1CBE1E18-6EC8-4736-BE48-B05A23C6EAE6}"/>
    <hyperlink ref="G2810" r:id="rId3005" xr:uid="{2CEA6194-F0E1-44E3-8225-FF53ADFE5282}"/>
    <hyperlink ref="G2811" r:id="rId3006" xr:uid="{E49AD98C-7CA8-42B1-B908-FABC5267AE0D}"/>
    <hyperlink ref="G2812" r:id="rId3007" xr:uid="{F3F9FB2A-3A8B-4382-BE68-C94D2408BF6F}"/>
    <hyperlink ref="G2813" r:id="rId3008" xr:uid="{1DE9B9B4-A8D4-4076-B9AB-DFD599884E4B}"/>
    <hyperlink ref="G2814" r:id="rId3009" xr:uid="{BAA92F78-732B-4022-819C-AAD25E94B20F}"/>
    <hyperlink ref="G2815" r:id="rId3010" xr:uid="{19182FD3-2748-4D53-A5B9-E16435399C8D}"/>
    <hyperlink ref="G2816" r:id="rId3011" xr:uid="{3AC806C6-336F-4191-BBDC-A2B555FC071D}"/>
    <hyperlink ref="G2817" r:id="rId3012" xr:uid="{D8CBC6B6-88C0-4A62-9047-F8D04D0AF746}"/>
    <hyperlink ref="G2818" r:id="rId3013" xr:uid="{9BB42469-04B9-4286-B025-EC76D59BFD11}"/>
    <hyperlink ref="G2819" r:id="rId3014" xr:uid="{59752A7A-4B6E-4659-89F0-F0863AC5CAE4}"/>
    <hyperlink ref="G2820" r:id="rId3015" xr:uid="{6571E630-3751-42DB-A223-9C6D05CA5D27}"/>
    <hyperlink ref="G2821" r:id="rId3016" xr:uid="{3E7ADCA3-5021-46C0-A1DE-735A50570118}"/>
    <hyperlink ref="G2822" r:id="rId3017" xr:uid="{69FB9CEA-123F-4786-8566-D33E43AEC14E}"/>
    <hyperlink ref="G2823" r:id="rId3018" xr:uid="{5C74266C-20DC-47EC-A922-AAEA1B75B81F}"/>
    <hyperlink ref="G2824" r:id="rId3019" xr:uid="{3112B39E-AAF1-461F-A907-5FE551515342}"/>
    <hyperlink ref="G2825" r:id="rId3020" xr:uid="{7D312EEF-9C17-49A6-9825-C7D5B01B7F17}"/>
    <hyperlink ref="G2826" r:id="rId3021" xr:uid="{55FECB59-70A2-48AE-BF8C-1B8D5A2FEB69}"/>
    <hyperlink ref="G2827" r:id="rId3022" xr:uid="{F476F548-5A9D-4EDA-91EC-7DA807950B87}"/>
    <hyperlink ref="G2828" r:id="rId3023" xr:uid="{47578FBA-1BC3-425E-A80A-E45A1D80A1DE}"/>
    <hyperlink ref="G2829" r:id="rId3024" xr:uid="{D276385C-67C2-4BC2-AAD3-730642FF6CAC}"/>
    <hyperlink ref="G2830" r:id="rId3025" xr:uid="{FFF18941-39BD-43EB-A89C-1C6DF8B06EB3}"/>
    <hyperlink ref="G2831" r:id="rId3026" xr:uid="{BCFB7964-DA34-46CE-A10A-7A253E82CC63}"/>
    <hyperlink ref="G2832" r:id="rId3027" xr:uid="{BC0A2E4B-C948-4303-A1CC-6DBA507365A2}"/>
    <hyperlink ref="G2833" r:id="rId3028" xr:uid="{BA683B05-53F2-475F-8BCF-802AF06F7656}"/>
    <hyperlink ref="G2834" r:id="rId3029" xr:uid="{F2A42337-BFB5-451C-BD97-5E6148FE189B}"/>
    <hyperlink ref="G2835" r:id="rId3030" xr:uid="{1CB4FD03-56D9-40DC-934E-E95E4C613CED}"/>
    <hyperlink ref="G2836" r:id="rId3031" xr:uid="{9640D357-1BC7-4624-A2C3-00C865EE7A78}"/>
    <hyperlink ref="G2837" r:id="rId3032" xr:uid="{0416D9BD-B94F-4A91-88F4-EDF8AC47A5E2}"/>
    <hyperlink ref="G2838" r:id="rId3033" xr:uid="{F5E70302-4DF2-4C53-9030-816141B551C5}"/>
    <hyperlink ref="G2839" r:id="rId3034" xr:uid="{75D447E5-F9E9-4BEB-836C-67C0DB3EDCB4}"/>
    <hyperlink ref="G2840" r:id="rId3035" xr:uid="{2405A4D5-07B6-48FF-B503-BCB6DD801296}"/>
    <hyperlink ref="G2841" r:id="rId3036" xr:uid="{10887585-A9AD-4C51-B200-274B27FB840B}"/>
    <hyperlink ref="G2842" r:id="rId3037" xr:uid="{F5014EE0-83B5-4451-B209-591AE4CD5CC6}"/>
    <hyperlink ref="G2843" r:id="rId3038" xr:uid="{2F865A5B-0EF2-467B-AA5F-DEB1FEF16B4C}"/>
    <hyperlink ref="G2844" r:id="rId3039" xr:uid="{1FF679DA-009F-4927-B486-0EE6A595D144}"/>
    <hyperlink ref="G2845" r:id="rId3040" xr:uid="{F681BB47-7D98-423A-9FDA-F02E5E726933}"/>
    <hyperlink ref="G2846" r:id="rId3041" xr:uid="{9D535FFD-B60A-4E3A-96A9-DD81E0F4FCF0}"/>
    <hyperlink ref="G2847" r:id="rId3042" xr:uid="{85A5B5FB-38AA-4AE6-924F-A6D8D905CE6A}"/>
    <hyperlink ref="G2848" r:id="rId3043" xr:uid="{820CF64A-04A0-462B-8769-CAD0C96F8636}"/>
    <hyperlink ref="G2849" r:id="rId3044" xr:uid="{D85EC5C2-03F8-4C75-A2A2-D83E057C894A}"/>
    <hyperlink ref="G2850" r:id="rId3045" xr:uid="{1EECAD5F-499A-462B-A2F0-E85DBDC73DF0}"/>
    <hyperlink ref="G2851" r:id="rId3046" xr:uid="{01E26CBF-B537-411E-9A2B-99F6A73CEDCC}"/>
    <hyperlink ref="G2852" r:id="rId3047" xr:uid="{8B030573-3FA8-4C59-B0FF-A55AFC97C30F}"/>
    <hyperlink ref="G2853" r:id="rId3048" xr:uid="{0037B045-B4D8-40EE-A002-EB765B7BAA12}"/>
    <hyperlink ref="G2854" r:id="rId3049" xr:uid="{1DBD8539-7A45-4B38-BB7A-218327124C2D}"/>
    <hyperlink ref="G2855" r:id="rId3050" xr:uid="{7F69107B-3585-46CF-A619-77901B656A7D}"/>
    <hyperlink ref="G2856" r:id="rId3051" xr:uid="{C55A73C8-4F5D-4953-9996-1BE7FBB74E73}"/>
    <hyperlink ref="G2857" r:id="rId3052" xr:uid="{243CA52A-7873-473A-AAF1-0E07307DB8B2}"/>
    <hyperlink ref="G2858" r:id="rId3053" xr:uid="{D59F45CA-C037-4A85-B073-3B9122162665}"/>
    <hyperlink ref="G2859" r:id="rId3054" xr:uid="{869DAF27-1F86-4589-9A7E-17C02BFC9CE1}"/>
    <hyperlink ref="G2860" r:id="rId3055" xr:uid="{82FDA488-DE0D-4902-914E-28DD588980CA}"/>
    <hyperlink ref="G2861" r:id="rId3056" xr:uid="{7F5C4C8F-10D4-497D-A016-66CA538064D1}"/>
    <hyperlink ref="G2862" r:id="rId3057" xr:uid="{54F09292-9119-4111-81AD-D2B1BEC61AC2}"/>
    <hyperlink ref="G2863" r:id="rId3058" xr:uid="{5F37E237-2732-43CE-A7C8-F451B589A932}"/>
    <hyperlink ref="G2864" r:id="rId3059" xr:uid="{3B1B6D4B-2DC3-49C3-BCBF-AEB541D9512E}"/>
    <hyperlink ref="G2865" r:id="rId3060" xr:uid="{3F949671-D693-47B8-BF38-259EE4273E21}"/>
    <hyperlink ref="G2866" r:id="rId3061" xr:uid="{2FD77067-5791-41CB-9AC9-E047DE81DF46}"/>
    <hyperlink ref="G2867" r:id="rId3062" xr:uid="{37C1FBD1-E333-4A20-AF39-0539507CCA38}"/>
    <hyperlink ref="G2868" r:id="rId3063" xr:uid="{27F69EBC-4131-4705-9650-371556D157D0}"/>
    <hyperlink ref="G2869" r:id="rId3064" xr:uid="{61A6CA20-48EA-45E1-A758-095E5EAF23A7}"/>
    <hyperlink ref="G2870" r:id="rId3065" xr:uid="{297F3799-4483-473A-96EB-33EB9471CE33}"/>
    <hyperlink ref="G2871" r:id="rId3066" xr:uid="{4CC5B465-0F4E-403F-A83C-5B88B3507D6B}"/>
    <hyperlink ref="G2872" r:id="rId3067" xr:uid="{63BE985B-3DFE-44A4-8596-612A2BF26774}"/>
    <hyperlink ref="G2873" r:id="rId3068" xr:uid="{F85D1950-4BD9-4022-BC20-B9036DDEB751}"/>
    <hyperlink ref="G2874" r:id="rId3069" xr:uid="{2CDD1428-E0A9-45DF-BD02-0807883DCFD7}"/>
    <hyperlink ref="G2875" r:id="rId3070" xr:uid="{F5ABB5E5-5B0D-48B7-BF38-445E24B62109}"/>
    <hyperlink ref="G2876" r:id="rId3071" xr:uid="{8DBF1D37-59B9-4E48-AACC-5E78FD3F4CFB}"/>
    <hyperlink ref="G2877" r:id="rId3072" xr:uid="{4C0FF298-01B6-4E3B-8397-429A79F405CA}"/>
    <hyperlink ref="G2878" r:id="rId3073" xr:uid="{4C05F72A-8ECF-4086-ACA5-D87BA6F0AF96}"/>
    <hyperlink ref="G2879" r:id="rId3074" xr:uid="{853A0BF0-7D10-438F-BF73-BAAA2398C05D}"/>
    <hyperlink ref="G2880" r:id="rId3075" xr:uid="{4FE34ADA-B1AA-405C-ADB5-A28776A416BA}"/>
    <hyperlink ref="G2881" r:id="rId3076" xr:uid="{EB965C77-F464-444C-92FF-72468B1EF027}"/>
    <hyperlink ref="G2882" r:id="rId3077" xr:uid="{A3015281-5B1E-4856-98A9-E72FB832BA8F}"/>
    <hyperlink ref="G2883" r:id="rId3078" xr:uid="{80C79EDF-1D24-40FA-8E14-306E5D2E29DE}"/>
    <hyperlink ref="G2884" r:id="rId3079" xr:uid="{54E974C2-1F8F-42FF-9F12-B83A1D3CAF64}"/>
    <hyperlink ref="G2885" r:id="rId3080" xr:uid="{A9D5A8BE-F483-4DD6-9BD0-A138BFE8EAA4}"/>
    <hyperlink ref="G2886" r:id="rId3081" xr:uid="{85D0CF02-9B82-48B5-8550-9CA468EC3157}"/>
    <hyperlink ref="G2887" r:id="rId3082" xr:uid="{F7E139E7-A569-40D5-908B-B49DC5828DEA}"/>
    <hyperlink ref="G2888" r:id="rId3083" xr:uid="{F52E37C0-9005-497E-8CF4-6BB14E1656A3}"/>
    <hyperlink ref="G2889" r:id="rId3084" xr:uid="{FDD01DBB-1AD7-4367-B067-A76FEE299AE3}"/>
    <hyperlink ref="G2890" r:id="rId3085" xr:uid="{48D8714C-57E2-4A66-9C96-741C107D82F8}"/>
    <hyperlink ref="G2891" r:id="rId3086" xr:uid="{B246AFCA-C6BB-4FAD-AF33-21C6D3C6966E}"/>
    <hyperlink ref="G2892" r:id="rId3087" xr:uid="{7339049C-9051-426B-9309-629981959FB1}"/>
    <hyperlink ref="G2893" r:id="rId3088" xr:uid="{347047FD-5EFD-424C-869A-A03C93E2F006}"/>
    <hyperlink ref="G2894" r:id="rId3089" xr:uid="{CE61C7CE-ED78-4729-87CC-BE24D1C34845}"/>
    <hyperlink ref="G2895" r:id="rId3090" xr:uid="{5608249F-0A9F-4417-AEDF-A2563525A179}"/>
    <hyperlink ref="G2896" r:id="rId3091" xr:uid="{4FC73BD4-0102-48D9-8B66-31D9C8EE8F86}"/>
    <hyperlink ref="G2897" r:id="rId3092" xr:uid="{DBBEE7B4-237D-4CDC-98AE-9D077CB58B42}"/>
    <hyperlink ref="G2898" r:id="rId3093" xr:uid="{68CDB11A-7DE9-4AA5-A965-7A9C2211439E}"/>
    <hyperlink ref="G2899" r:id="rId3094" xr:uid="{E76BCB41-BDD8-4D3C-88A5-2AF973B0BB62}"/>
    <hyperlink ref="G2900" r:id="rId3095" xr:uid="{9D1526B3-C5F9-4F1F-A0BC-7F4D39C119FB}"/>
    <hyperlink ref="G2901" r:id="rId3096" xr:uid="{9CDE6D5E-2DA7-4686-8E85-72F8FABC7E59}"/>
    <hyperlink ref="G2902" r:id="rId3097" xr:uid="{739C8CC5-F61E-4E57-B602-1060193A6ADF}"/>
    <hyperlink ref="G2903" r:id="rId3098" xr:uid="{196C5957-0434-4981-A6F1-7A2F5F940F61}"/>
    <hyperlink ref="G2904" r:id="rId3099" xr:uid="{81FCFDC0-731A-46FD-BEF6-01B43D350273}"/>
    <hyperlink ref="G2905" r:id="rId3100" xr:uid="{E442977A-A1E2-4DA9-8AB9-834B6E0131A3}"/>
    <hyperlink ref="G2906" r:id="rId3101" xr:uid="{9735A2C5-0760-4304-B83F-D13832FA9113}"/>
    <hyperlink ref="G2907" r:id="rId3102" xr:uid="{DF0736F5-BE96-4E9A-9923-99B7F9FE9854}"/>
    <hyperlink ref="G2908" r:id="rId3103" xr:uid="{F51CB78A-0A7C-4B9D-BF77-F52B587D4F1D}"/>
    <hyperlink ref="G2909" r:id="rId3104" xr:uid="{EC1B63F3-88A6-4F8B-9CA8-D4C5294DFA05}"/>
    <hyperlink ref="G2910" r:id="rId3105" xr:uid="{4E0C4944-B8FD-41D1-BE3F-966B881B132C}"/>
    <hyperlink ref="G2911" r:id="rId3106" xr:uid="{CEA79261-BBB2-45F8-ACB2-EA61999EF946}"/>
    <hyperlink ref="G2912" r:id="rId3107" xr:uid="{3B5D0D97-E8A3-4323-BDBD-186009DA6E6A}"/>
    <hyperlink ref="G2913" r:id="rId3108" xr:uid="{9DC21A01-46D6-4EC2-928E-2101BEB2C1EE}"/>
    <hyperlink ref="G2914" r:id="rId3109" xr:uid="{95629B87-1A7D-48AE-BCA2-7EBC275C4D66}"/>
    <hyperlink ref="G2915" r:id="rId3110" xr:uid="{CC345EC9-7B32-4AD9-B01C-F52AB4BAB78C}"/>
    <hyperlink ref="G2916" r:id="rId3111" xr:uid="{DA05CFCF-A55C-4B83-8FCA-1ACF64A10201}"/>
    <hyperlink ref="G2917" r:id="rId3112" xr:uid="{DCAD2D7E-88ED-4B4E-9199-BF50BBA5097C}"/>
    <hyperlink ref="G2918" r:id="rId3113" xr:uid="{AA442E3A-91DB-4662-A974-43C3705E6BBF}"/>
    <hyperlink ref="G2919" r:id="rId3114" xr:uid="{E6756BA2-F753-4FD0-8422-C6DFF4D2CDE8}"/>
    <hyperlink ref="G2920" r:id="rId3115" xr:uid="{8C2040E2-F430-4BB3-936B-247F00FACE33}"/>
    <hyperlink ref="G2921" r:id="rId3116" xr:uid="{300E7813-1E2E-48D9-93EC-A1C80C59B738}"/>
    <hyperlink ref="G2922" r:id="rId3117" xr:uid="{0CE8111E-B9C5-4044-88F5-13BF6428FB64}"/>
    <hyperlink ref="G2923" r:id="rId3118" xr:uid="{1C8F2A1E-2DC6-4593-B89A-9F4ABDB5F77C}"/>
    <hyperlink ref="G2924" r:id="rId3119" xr:uid="{F12C6D89-4802-4FD6-82E3-CEB8A5EFD653}"/>
    <hyperlink ref="G2925" r:id="rId3120" xr:uid="{09029568-4101-46A5-93A1-B9874DD30F37}"/>
    <hyperlink ref="G2926" r:id="rId3121" xr:uid="{BD01B476-DF26-49E4-832E-B8B1F945A350}"/>
    <hyperlink ref="G2927" r:id="rId3122" xr:uid="{BC29BB02-CE63-4665-A7C2-1042F2CAD647}"/>
    <hyperlink ref="G2928" r:id="rId3123" xr:uid="{492AB85E-2375-4F20-BA5B-4C3FF2DE8156}"/>
    <hyperlink ref="G2929" r:id="rId3124" xr:uid="{AB392B6A-FDB4-4CF5-9B9E-7A1FF92A611F}"/>
    <hyperlink ref="G2930" r:id="rId3125" xr:uid="{982D3F30-5C80-453C-9C46-E9C4C780E2FF}"/>
    <hyperlink ref="G2931" r:id="rId3126" xr:uid="{FCDD8BAE-72B4-4B4E-8CB4-4FE0F1C3ECF7}"/>
    <hyperlink ref="G2932" r:id="rId3127" xr:uid="{4E5D4A57-3E84-4D28-959B-34537BF16C51}"/>
    <hyperlink ref="G2933" r:id="rId3128" xr:uid="{C5D4F987-BCB9-4DA1-BF2C-BA7EA1524845}"/>
    <hyperlink ref="G2934" r:id="rId3129" xr:uid="{F94CE5EE-95B3-4BCF-981C-F1B31893B031}"/>
    <hyperlink ref="G2935" r:id="rId3130" xr:uid="{8627F05A-AB5C-41B7-BDA4-69E2D7EE9FFE}"/>
    <hyperlink ref="G2936" r:id="rId3131" xr:uid="{743E469A-D0B5-4DAF-ADA9-3E676ABDB28F}"/>
    <hyperlink ref="G2937" r:id="rId3132" xr:uid="{0366BE6E-228B-408F-84A9-649A94515964}"/>
    <hyperlink ref="G2938" r:id="rId3133" xr:uid="{ACA0D297-84F6-41BE-98D4-B03C4435D00F}"/>
    <hyperlink ref="G2939" r:id="rId3134" xr:uid="{72405D30-95CF-48CF-9EC0-EA620C8BBBAC}"/>
    <hyperlink ref="G2940" r:id="rId3135" xr:uid="{3FF22B39-7BF5-4372-92FA-C0DEFFF3E5D1}"/>
    <hyperlink ref="G2941" r:id="rId3136" xr:uid="{09484B85-CB3C-420F-9955-CE050CD8D063}"/>
    <hyperlink ref="G2942" r:id="rId3137" xr:uid="{2F11843F-9870-4980-BBAE-9D986B0AB599}"/>
    <hyperlink ref="G2943" r:id="rId3138" xr:uid="{CB6AF1A8-28A7-4200-84E9-6AD7E62A0136}"/>
    <hyperlink ref="G2944" r:id="rId3139" xr:uid="{7F62E559-DD72-489F-9170-FD169861B190}"/>
    <hyperlink ref="G2945" r:id="rId3140" xr:uid="{A630A1F2-A27B-4863-88ED-F455BBE4F93A}"/>
    <hyperlink ref="G2946" r:id="rId3141" xr:uid="{D89CA48C-8220-485E-A4AF-795727493F8C}"/>
    <hyperlink ref="G2947" r:id="rId3142" xr:uid="{52E95D1E-EC46-4AF6-9A76-BD6AD735FE66}"/>
    <hyperlink ref="G2948" r:id="rId3143" xr:uid="{15F05D58-9B79-4E0B-8269-79B1305DD8CD}"/>
    <hyperlink ref="G2949" r:id="rId3144" xr:uid="{A1A0DFBC-BC76-407E-B97F-0A7E7A1A3F4F}"/>
    <hyperlink ref="G2950" r:id="rId3145" xr:uid="{FB1AB285-F7B3-4B7D-A558-03EA4B160FEF}"/>
    <hyperlink ref="G2951" r:id="rId3146" xr:uid="{170D0B99-7698-4F76-A39C-9E68D3D55716}"/>
    <hyperlink ref="G2952" r:id="rId3147" xr:uid="{81220323-02FD-408E-B8DA-2DC8348ACE26}"/>
    <hyperlink ref="G2953" r:id="rId3148" xr:uid="{9FB1B5CF-B775-4F77-AB33-4AE10B6BEFD8}"/>
    <hyperlink ref="G2954" r:id="rId3149" xr:uid="{887EE604-6207-4349-BC4C-FF94D48740E1}"/>
    <hyperlink ref="G2955" r:id="rId3150" xr:uid="{7A509C2A-D584-462A-B836-06C16A5BEDD7}"/>
    <hyperlink ref="G2956" r:id="rId3151" xr:uid="{2854DDD1-6B52-4837-A51E-6895B4F5C5E6}"/>
    <hyperlink ref="G2957" r:id="rId3152" xr:uid="{2DCBF74C-86DD-4BFE-9004-E1FA6870CB27}"/>
    <hyperlink ref="G2958" r:id="rId3153" xr:uid="{BC0FA4E4-1416-4B1C-896A-E6840188351B}"/>
    <hyperlink ref="G2959" r:id="rId3154" xr:uid="{10411806-E28E-4AF3-940E-1888038B803E}"/>
    <hyperlink ref="G2960" r:id="rId3155" xr:uid="{4CD34A62-5ECB-4B46-A324-67896B8DF70F}"/>
    <hyperlink ref="G2961" r:id="rId3156" xr:uid="{0E6CF125-F51A-4D19-9207-B17B6DD8DA65}"/>
    <hyperlink ref="G2962" r:id="rId3157" xr:uid="{EA863D5C-E028-4B8D-887A-A48F797D0F41}"/>
    <hyperlink ref="G2963" r:id="rId3158" xr:uid="{4FCD00A1-0BC5-400B-AE5A-6002598CD2DD}"/>
    <hyperlink ref="G2964" r:id="rId3159" xr:uid="{14707867-EBF2-4D55-8B1F-EB9C50A7D095}"/>
    <hyperlink ref="G2965" r:id="rId3160" xr:uid="{39E38DBB-9F7B-4E6C-9771-87091AB942A7}"/>
    <hyperlink ref="G2966" r:id="rId3161" xr:uid="{2D86D23A-5737-416E-A933-742641DD0392}"/>
    <hyperlink ref="G2967" r:id="rId3162" xr:uid="{4AE899C9-80B7-4D87-8563-0151BA9CE475}"/>
    <hyperlink ref="G2968" r:id="rId3163" xr:uid="{D5A3CCF0-858A-4859-9871-06A6DE1C9340}"/>
    <hyperlink ref="G2969" r:id="rId3164" xr:uid="{C61F3A7F-97B2-4131-8E23-89339CDB0B41}"/>
    <hyperlink ref="G2970" r:id="rId3165" xr:uid="{EB4B672D-6100-4719-BFC3-12E9C947C87B}"/>
    <hyperlink ref="G2971" r:id="rId3166" xr:uid="{5B6B7CE9-C612-4A07-B253-8137E85382B8}"/>
    <hyperlink ref="G2972" r:id="rId3167" xr:uid="{FF866090-1EEA-4E58-9552-38B27DC2E2B9}"/>
    <hyperlink ref="G2973" r:id="rId3168" xr:uid="{CBCE14F2-4F9B-4F3E-B6C7-32815D55CD80}"/>
    <hyperlink ref="G2974" r:id="rId3169" xr:uid="{19B9D9A1-386D-436B-B1E2-345DAC42F335}"/>
    <hyperlink ref="G2975" r:id="rId3170" xr:uid="{75D8289E-965E-48F4-8CEA-5B1FCB213468}"/>
    <hyperlink ref="G2976" r:id="rId3171" xr:uid="{BC7A89BA-DE60-4D1D-86F1-53EB0EDC4230}"/>
    <hyperlink ref="G2977" r:id="rId3172" xr:uid="{F602005C-6F04-4851-B6AB-E2BE026A2D60}"/>
    <hyperlink ref="G2978" r:id="rId3173" xr:uid="{E6C82F4E-EB9B-497E-B3EB-D50ABD29686E}"/>
    <hyperlink ref="G2979" r:id="rId3174" xr:uid="{4DAFF1D7-E50E-45F8-A152-39315B3A245A}"/>
    <hyperlink ref="G2980" r:id="rId3175" xr:uid="{8FD3CC84-5038-40F7-A64B-42EB8E9225F0}"/>
    <hyperlink ref="G2981" r:id="rId3176" xr:uid="{E2C16E16-4B52-4A03-9497-3E8C64A932D7}"/>
    <hyperlink ref="G2982" r:id="rId3177" xr:uid="{4BCAB39B-BBDA-462D-9F4C-FD581A29AA31}"/>
    <hyperlink ref="G2983" r:id="rId3178" xr:uid="{BC70E9DB-1AF5-49DB-8D65-922ED77937E8}"/>
    <hyperlink ref="G2984" r:id="rId3179" xr:uid="{A87A0728-7DC9-4CAA-817B-43A47AFFE03E}"/>
    <hyperlink ref="G2985" r:id="rId3180" xr:uid="{A8CD6A53-852A-4F31-9F15-E97FA27C111D}"/>
    <hyperlink ref="G2987" r:id="rId3181" xr:uid="{C6EEE3AC-7B24-4602-AE8E-68B5AD880416}"/>
    <hyperlink ref="G2988" r:id="rId3182" xr:uid="{6B38B543-6911-4A81-BF71-B4AE42E8ED42}"/>
    <hyperlink ref="G2989" r:id="rId3183" xr:uid="{67F4EAE4-F96A-4B2D-8FFF-D7203ECDFC1B}"/>
    <hyperlink ref="G2990" r:id="rId3184" xr:uid="{C99D8675-F302-4BF9-8F9D-B254D1804B5E}"/>
    <hyperlink ref="G2991" r:id="rId3185" xr:uid="{C944CFF4-EEC8-4060-93ED-D3E5E2C7D2E3}"/>
    <hyperlink ref="G2992" r:id="rId3186" xr:uid="{1B2A621C-3F61-4209-93E4-F5E994C806C1}"/>
    <hyperlink ref="G2993" r:id="rId3187" xr:uid="{D721E264-E501-47B0-8B56-23188AAA0432}"/>
    <hyperlink ref="G2994" r:id="rId3188" xr:uid="{9198C299-9B30-47D3-87D5-9332CE6ADF34}"/>
    <hyperlink ref="G2995" r:id="rId3189" xr:uid="{EEC16132-42BD-4AAB-AD27-E5E3AFD0CFE1}"/>
    <hyperlink ref="G2996" r:id="rId3190" xr:uid="{6DAC9BF8-52E6-4F5F-8DD4-05FA25BBCB4A}"/>
    <hyperlink ref="G2997" r:id="rId3191" xr:uid="{4003EC93-2B0A-4123-9B97-1E460B71CC07}"/>
    <hyperlink ref="G2998" r:id="rId3192" xr:uid="{B323124A-2577-4DC0-A1EF-2ED3D5526CFF}"/>
    <hyperlink ref="G2999" r:id="rId3193" xr:uid="{892E4FF8-9EB1-4348-8383-A66BA97B45FD}"/>
    <hyperlink ref="G3000" r:id="rId3194" xr:uid="{877CC13A-288F-4AEB-A8D0-731190E8A879}"/>
    <hyperlink ref="G3001" r:id="rId3195" xr:uid="{D98788AA-40E9-44F7-958D-D8EDFE06A064}"/>
    <hyperlink ref="G3002" r:id="rId3196" xr:uid="{D481D82F-6B6B-4F5A-A3B1-6DA8F6205EEE}"/>
    <hyperlink ref="G3003" r:id="rId3197" xr:uid="{95A3C26D-AF95-40F7-B949-36E9BCCD16D0}"/>
    <hyperlink ref="G3004" r:id="rId3198" xr:uid="{BB9FC4B0-A831-4195-B6DB-8AD41EDAF9B7}"/>
    <hyperlink ref="G3005" r:id="rId3199" xr:uid="{D5892D05-ABAD-45AE-814E-820375B6547E}"/>
    <hyperlink ref="G3006" r:id="rId3200" xr:uid="{E7B780AF-2041-4515-8A3E-FE9D16557AA0}"/>
    <hyperlink ref="G3007" r:id="rId3201" xr:uid="{E2E55286-C226-47F7-B31E-0092E39611AB}"/>
    <hyperlink ref="G3008" r:id="rId3202" xr:uid="{7F25083A-DB1F-4AC9-A5F6-3EF3BD50531A}"/>
    <hyperlink ref="G3009" r:id="rId3203" xr:uid="{7ABDF60C-6837-4A9F-B429-90B8EF2888BA}"/>
    <hyperlink ref="G3010" r:id="rId3204" xr:uid="{3E621701-439B-497E-B820-8C7A70373BC7}"/>
    <hyperlink ref="G3011" r:id="rId3205" xr:uid="{A1579312-37F9-4AFD-A2DA-0153D6F48324}"/>
    <hyperlink ref="G3012" r:id="rId3206" xr:uid="{D819A114-9838-4E53-A4E4-F6612D5750B8}"/>
    <hyperlink ref="G3013" r:id="rId3207" xr:uid="{D00404C9-6846-4668-BD9D-CD92160E6864}"/>
    <hyperlink ref="G3014" r:id="rId3208" xr:uid="{6C47D331-8093-4E4E-9E64-92E3737FAE17}"/>
    <hyperlink ref="G3015" r:id="rId3209" xr:uid="{2237C062-41A5-4129-8452-40A18CDD503A}"/>
    <hyperlink ref="G3016" r:id="rId3210" xr:uid="{68617124-9206-4FAE-BD75-E0744986944E}"/>
    <hyperlink ref="G3017" r:id="rId3211" xr:uid="{D09BB521-BA88-4127-B652-DBB0A8827508}"/>
    <hyperlink ref="G3018" r:id="rId3212" xr:uid="{07561CEC-3C6E-4AA6-BBBD-27B6D872B1BF}"/>
    <hyperlink ref="G3019" r:id="rId3213" xr:uid="{62B2D2F8-3D4E-474E-9832-4E4099A80185}"/>
    <hyperlink ref="G3020" r:id="rId3214" xr:uid="{B1A1F3BC-BF9E-48EF-B1A0-06EE1714A107}"/>
    <hyperlink ref="G3021" r:id="rId3215" xr:uid="{4F97BBB7-FD8D-4848-AF55-AF828170C329}"/>
    <hyperlink ref="G3022" r:id="rId3216" xr:uid="{48D75827-3371-4E00-9BFA-2251CF0CA29F}"/>
    <hyperlink ref="G3023" r:id="rId3217" xr:uid="{307E9B89-7B6F-40A7-BEF7-C59E4B069017}"/>
    <hyperlink ref="G3024" r:id="rId3218" xr:uid="{AC9D75C5-8C3C-4312-90AE-8758E964DD24}"/>
    <hyperlink ref="G3025" r:id="rId3219" xr:uid="{7FF31A55-7B15-483C-97D6-D48F32D024C5}"/>
    <hyperlink ref="G3026" r:id="rId3220" xr:uid="{638E677B-E556-46FF-9CFF-43E15D91D681}"/>
    <hyperlink ref="G3027" r:id="rId3221" xr:uid="{2A45C2A8-A0E4-4FDF-8BB3-3FEC9804A44D}"/>
    <hyperlink ref="G3028" r:id="rId3222" xr:uid="{F14BC685-C877-4BFF-89E1-DD5C1754CD92}"/>
    <hyperlink ref="G3029" r:id="rId3223" xr:uid="{58B3B6E3-AFD0-4D50-BE05-C75BF9BE4166}"/>
    <hyperlink ref="G3030" r:id="rId3224" xr:uid="{26FB476D-76E8-4C79-9E13-FE6BEA3944C2}"/>
    <hyperlink ref="G3031" r:id="rId3225" xr:uid="{57D74B8F-283B-4D49-88AE-AA7BBBBD64FE}"/>
    <hyperlink ref="G3032" r:id="rId3226" xr:uid="{AE9DCDF0-949A-4BE7-95DF-12BD70D9A281}"/>
    <hyperlink ref="G3033" r:id="rId3227" xr:uid="{3C70A4EF-511B-42CC-A511-25EC73F325AB}"/>
    <hyperlink ref="G3034" r:id="rId3228" xr:uid="{5A440FBD-7186-4243-A93A-58DB103D0FE5}"/>
    <hyperlink ref="G3035" r:id="rId3229" xr:uid="{60945855-9B25-4C5A-82CD-0100070D1AFB}"/>
    <hyperlink ref="G3036" r:id="rId3230" xr:uid="{751592FA-D265-457D-8DC9-8C1EC0C15409}"/>
    <hyperlink ref="G3037" r:id="rId3231" xr:uid="{E8275B31-8C86-435D-B9C5-C8AF1A9A3CC4}"/>
    <hyperlink ref="G3038" r:id="rId3232" xr:uid="{F35204EA-A7AA-44A2-91B4-E966CB0D1602}"/>
    <hyperlink ref="G3039" r:id="rId3233" xr:uid="{8046CDC6-208C-45D0-8C5F-204F08BD768F}"/>
    <hyperlink ref="G3040" r:id="rId3234" xr:uid="{40A62D4C-F5F3-4C55-879C-F402397BB927}"/>
    <hyperlink ref="G3041" r:id="rId3235" xr:uid="{A907D20A-AB68-4514-BDF0-7ED101FCEBDD}"/>
    <hyperlink ref="G3042" r:id="rId3236" xr:uid="{3219ABF4-DB98-4DFB-B7C1-DEE36D8325EF}"/>
    <hyperlink ref="G3043" r:id="rId3237" xr:uid="{DC3DB905-BBF3-4FEF-AE9D-22FDA07D7C04}"/>
    <hyperlink ref="G3044" r:id="rId3238" xr:uid="{1F816EDF-B527-4F8C-BC88-5AF29FBFDD7C}"/>
    <hyperlink ref="G3045" r:id="rId3239" xr:uid="{02726389-8A17-40FC-9CF6-974A6CC98DE5}"/>
    <hyperlink ref="G3046" r:id="rId3240" xr:uid="{602CE3AB-94A1-4F1C-9586-2B3EC0769BF4}"/>
    <hyperlink ref="G3047" r:id="rId3241" xr:uid="{3DC9F698-1484-4F19-9FFC-3A0E3A071DF6}"/>
    <hyperlink ref="G3048" r:id="rId3242" xr:uid="{CF7E16C5-1F78-4D60-AEE8-DD6F043784BA}"/>
    <hyperlink ref="G3049" r:id="rId3243" xr:uid="{B35637C5-2C9F-4DA7-8390-65746006A70E}"/>
    <hyperlink ref="G3050" r:id="rId3244" xr:uid="{11AC7920-7D74-42DD-946D-8352702D81D3}"/>
    <hyperlink ref="G3051" r:id="rId3245" xr:uid="{E28B311C-C16B-4FED-BD30-EAF95CE40176}"/>
    <hyperlink ref="G3052" r:id="rId3246" xr:uid="{A797D2B5-FE64-428C-90C3-6F8763953E1B}"/>
    <hyperlink ref="G3053" r:id="rId3247" xr:uid="{BFF5E9A5-5784-4177-BE0D-8523AE976A87}"/>
    <hyperlink ref="G3054" r:id="rId3248" xr:uid="{D058A47E-C386-43AE-AF07-3F6BB9B0CEBC}"/>
    <hyperlink ref="G3055" r:id="rId3249" xr:uid="{F582C8DF-578F-46DA-9550-E0E783CB8EAD}"/>
    <hyperlink ref="G3056" r:id="rId3250" xr:uid="{77A34953-18D5-4FDD-BCF6-7C80B93A4F6A}"/>
    <hyperlink ref="G3057" r:id="rId3251" xr:uid="{DF1E063A-240F-4987-BB34-5E4D4CBB43AF}"/>
    <hyperlink ref="G3058" r:id="rId3252" xr:uid="{71EDD366-C763-42C3-B0A1-71E1B1FDB9BC}"/>
    <hyperlink ref="G3059" r:id="rId3253" xr:uid="{4B4757C3-9FAE-467D-9A74-41D02CA4E210}"/>
    <hyperlink ref="G3060" r:id="rId3254" xr:uid="{B0AA9133-C4AE-4FA7-81C0-737E571213C6}"/>
    <hyperlink ref="G3061" r:id="rId3255" xr:uid="{6B52FEB9-E153-43B6-958A-1BF8B6F08761}"/>
    <hyperlink ref="G3062" r:id="rId3256" xr:uid="{B8BA5CA2-856A-4CB4-A4B6-38E8145A13FB}"/>
    <hyperlink ref="G3063" r:id="rId3257" xr:uid="{F7740CA3-89CA-4363-95CF-DC36CEE25346}"/>
    <hyperlink ref="G3064" r:id="rId3258" xr:uid="{BFF3BFD4-4768-4259-99D7-09EF8DEBFAA6}"/>
    <hyperlink ref="G3065" r:id="rId3259" xr:uid="{BA4C9377-83AB-4684-9B2F-EF0989F5B128}"/>
    <hyperlink ref="G3066" r:id="rId3260" xr:uid="{5EE5AB37-3E5C-47F7-9315-C87EFB4D2752}"/>
    <hyperlink ref="G3067" r:id="rId3261" xr:uid="{5B4CB98D-66D5-4B1C-A51D-A0F95EBD2B91}"/>
    <hyperlink ref="G3068" r:id="rId3262" xr:uid="{4BE7E378-9794-4397-A8F4-31C3849D626C}"/>
    <hyperlink ref="G3069" r:id="rId3263" xr:uid="{F6FD4952-E2CD-484F-BD1B-4CEA8B9E5314}"/>
    <hyperlink ref="G3070" r:id="rId3264" xr:uid="{784B2D1C-0206-49F4-8A25-24D4FA6D6B97}"/>
    <hyperlink ref="G3071" r:id="rId3265" xr:uid="{23CF40C2-29D6-4D73-A80A-277B0DD85CDC}"/>
    <hyperlink ref="G3072" r:id="rId3266" xr:uid="{5418E3A1-CF3E-47ED-9EE5-863D2F92EA57}"/>
    <hyperlink ref="G3073" r:id="rId3267" xr:uid="{A226D0AF-0B65-4B4B-B56E-2CDDC11852CE}"/>
    <hyperlink ref="G3074" r:id="rId3268" xr:uid="{B8FFD072-3763-4EB4-8304-1E2A1FC5C9A5}"/>
    <hyperlink ref="G3075" r:id="rId3269" xr:uid="{AAC38DEE-4D75-4C6E-B5A6-C4749E268A37}"/>
    <hyperlink ref="G3076" r:id="rId3270" xr:uid="{AAB4BCC9-C5BD-4831-8509-55FD8D1F136E}"/>
    <hyperlink ref="G3077" r:id="rId3271" xr:uid="{26DF683D-20D5-470C-9339-7C345402F072}"/>
    <hyperlink ref="G3078" r:id="rId3272" xr:uid="{0989421C-922E-483F-B9CD-708A60A66469}"/>
    <hyperlink ref="G3079" r:id="rId3273" xr:uid="{FADCD45D-8CDC-4FD2-A7F0-5E3BF2898C15}"/>
    <hyperlink ref="G3080" r:id="rId3274" xr:uid="{98415270-9992-4684-A135-A8B19CC72CD3}"/>
    <hyperlink ref="G3081" r:id="rId3275" xr:uid="{F3D2F0B5-5C04-4324-9018-E0810B49D533}"/>
    <hyperlink ref="G3082" r:id="rId3276" xr:uid="{1218A56C-A2DC-419B-B0A4-BFF9870A75F3}"/>
    <hyperlink ref="G3083" r:id="rId3277" xr:uid="{A884C83E-319E-4C60-AB59-ED23CB91E0C1}"/>
    <hyperlink ref="G3084" r:id="rId3278" xr:uid="{09DB5714-914F-410C-84F3-430B5B87DB89}"/>
    <hyperlink ref="G3085" r:id="rId3279" xr:uid="{B07DDF92-1DDC-42A6-B9F9-9166AFF1486E}"/>
    <hyperlink ref="G3086" r:id="rId3280" xr:uid="{89303E20-9B5E-4C53-B496-09B32FAC0C28}"/>
    <hyperlink ref="G3087" r:id="rId3281" xr:uid="{76270FE4-5665-40BD-84F1-28C7F29A8B26}"/>
    <hyperlink ref="G3088" r:id="rId3282" xr:uid="{A1E01D2D-F485-4E1D-8B1B-54CF0DBD7EDE}"/>
    <hyperlink ref="G3089" r:id="rId3283" xr:uid="{1AACD0B3-12C6-4F1A-AD17-D54F81B3CFA5}"/>
    <hyperlink ref="G3090" r:id="rId3284" xr:uid="{E03E341A-9AC0-49EF-A109-177F3E711518}"/>
    <hyperlink ref="G3091" r:id="rId3285" xr:uid="{C7DD58EB-D35C-4AB1-A78B-D3CA393C4294}"/>
    <hyperlink ref="G3092" r:id="rId3286" xr:uid="{19C5B288-D9AC-4078-9B38-EB169FC04CF1}"/>
    <hyperlink ref="G3093" r:id="rId3287" xr:uid="{2A2EA176-4683-460C-BA52-035626928F08}"/>
    <hyperlink ref="G3094" r:id="rId3288" xr:uid="{8C8ED669-E883-4C51-9DB5-7A6EAC1EBE71}"/>
    <hyperlink ref="G3095" r:id="rId3289" xr:uid="{768FF9DF-75B7-4389-B0B2-29613388F71A}"/>
    <hyperlink ref="G3096" r:id="rId3290" xr:uid="{107C9703-8518-457C-B358-93306B919D08}"/>
    <hyperlink ref="G3097" r:id="rId3291" xr:uid="{D59AE61B-F13E-4D93-A84A-B3E8747A1F20}"/>
    <hyperlink ref="G3098" r:id="rId3292" xr:uid="{DB6B0C7F-4BAD-4E1E-9620-A60366D7317F}"/>
    <hyperlink ref="G3099" r:id="rId3293" xr:uid="{CE6FEFA5-BA04-44F2-8AB0-970741517FF2}"/>
    <hyperlink ref="G3100" r:id="rId3294" xr:uid="{9A305A63-CF89-4EA6-9B1D-370B470AE5AB}"/>
    <hyperlink ref="G3101" r:id="rId3295" xr:uid="{BEE1A827-36EB-40F9-B423-E7E99ADB488F}"/>
    <hyperlink ref="G3102" r:id="rId3296" xr:uid="{5B028590-C707-4519-B983-56829215F4DC}"/>
    <hyperlink ref="G3103" r:id="rId3297" xr:uid="{A76CD608-E436-4F02-AD71-3F8A7DB3E264}"/>
    <hyperlink ref="G3104" r:id="rId3298" xr:uid="{9C33E36A-603D-406A-B8F3-FE9963393E79}"/>
    <hyperlink ref="G3105" r:id="rId3299" xr:uid="{186DAED9-3023-45A9-97E6-E468C283710F}"/>
    <hyperlink ref="G3106" r:id="rId3300" xr:uid="{7030A027-9489-41FB-BCDB-57934432DBC1}"/>
    <hyperlink ref="G3107" r:id="rId3301" xr:uid="{507835CA-9F47-490E-802A-5967EBF7A74B}"/>
    <hyperlink ref="G3108" r:id="rId3302" xr:uid="{5E5CC256-1E45-4A15-A1C5-4DC9289DF432}"/>
    <hyperlink ref="G3109" r:id="rId3303" xr:uid="{07ADA61E-7F45-400A-BB90-7B1FE76DE096}"/>
    <hyperlink ref="G3110" r:id="rId3304" xr:uid="{6EFF2CFD-8A7C-40B2-8D6C-B33C9CF87201}"/>
    <hyperlink ref="G3111" r:id="rId3305" xr:uid="{185E865B-EF99-469E-9556-054B8CAFC781}"/>
    <hyperlink ref="G3112" r:id="rId3306" xr:uid="{CD30BA2E-B7E6-4B26-8212-B08F00A13FB3}"/>
    <hyperlink ref="G3113" r:id="rId3307" xr:uid="{5BCCEAE6-3C6C-4D76-917F-D17BEAFE5107}"/>
    <hyperlink ref="G3114" r:id="rId3308" xr:uid="{E52943B6-622E-483D-B0C3-C88C6728FB1E}"/>
    <hyperlink ref="G3115" r:id="rId3309" xr:uid="{D25CCE0F-BEFC-46AC-AD32-6918BCEA7631}"/>
    <hyperlink ref="G3116" r:id="rId3310" xr:uid="{C8C35A7C-6747-4BC1-A000-B0B2DF457C37}"/>
    <hyperlink ref="AM3116" r:id="rId3311" xr:uid="{55A47965-DFE9-449A-B953-14B07CAB86A9}"/>
    <hyperlink ref="G3117" r:id="rId3312" xr:uid="{E7A94DA0-626B-4A68-B6D4-DAA3E66D2926}"/>
    <hyperlink ref="AM3117" r:id="rId3313" xr:uid="{068D25C9-47FF-4048-A045-57264C6BA80D}"/>
    <hyperlink ref="G3118" r:id="rId3314" xr:uid="{E4CBDB43-69C7-4891-B267-68738F0C805D}"/>
    <hyperlink ref="AM3118" r:id="rId3315" xr:uid="{4E56BFF3-3AC6-4F8C-9ECC-DA59631440DC}"/>
    <hyperlink ref="G3119" r:id="rId3316" xr:uid="{7BB4A907-8F98-41E7-8A6D-C89E176CFF05}"/>
    <hyperlink ref="AM3119" r:id="rId3317" xr:uid="{FEC50BAB-F879-4615-8C9D-B3D3027FA6B7}"/>
    <hyperlink ref="G3120" r:id="rId3318" xr:uid="{E5032B73-D9F3-4183-A86A-69DE10BE332D}"/>
    <hyperlink ref="AM3120" r:id="rId3319" xr:uid="{F8A1B9BB-7123-4437-8718-12BF1DA47C2B}"/>
    <hyperlink ref="G3121" r:id="rId3320" xr:uid="{63BEA82F-3E97-4A50-8E3B-2FE8F0747110}"/>
    <hyperlink ref="AM3121" r:id="rId3321" xr:uid="{6015EE90-1090-4164-830E-D10CEE78FF28}"/>
    <hyperlink ref="G3122" r:id="rId3322" xr:uid="{7C99A2A2-5846-4C8A-95C5-B0C921C6ABC3}"/>
    <hyperlink ref="AM3122" r:id="rId3323" xr:uid="{E851DF99-33B4-42F9-8FD1-1E7A930558DA}"/>
    <hyperlink ref="G3123" r:id="rId3324" xr:uid="{FFB82F93-73F8-46F9-9F12-4258DE3F7C5E}"/>
    <hyperlink ref="AM3123" r:id="rId3325" xr:uid="{B7480605-B020-44D6-B5BB-D5325C22D1F3}"/>
    <hyperlink ref="G3124" r:id="rId3326" xr:uid="{035D0F81-51C6-4E8B-B1B7-E5FD7C492A38}"/>
    <hyperlink ref="AM3124" r:id="rId3327" xr:uid="{2BA228EB-69D8-4776-87CF-8E34EADF0F97}"/>
    <hyperlink ref="G3125" r:id="rId3328" xr:uid="{DAF64141-9077-4BD6-89BC-0FF24F0D79E0}"/>
    <hyperlink ref="AM3125" r:id="rId3329" xr:uid="{EE79C9AB-48F2-4462-90A6-5923A90D4165}"/>
    <hyperlink ref="G3126" r:id="rId3330" xr:uid="{2A087C80-CC21-4A9E-B8BD-F22B9CBDA249}"/>
    <hyperlink ref="G3127" r:id="rId3331" xr:uid="{A146703F-1D7C-4A6C-9F6A-DECD586C2C00}"/>
    <hyperlink ref="G3128" r:id="rId3332" xr:uid="{A71FF008-1050-4016-AF63-1F56DD54884B}"/>
    <hyperlink ref="G3129" r:id="rId3333" xr:uid="{23F05349-616C-4896-841A-1A8B1617C1A6}"/>
    <hyperlink ref="G3130" r:id="rId3334" xr:uid="{DF08104E-2440-462B-B68F-8C61EEBAFF18}"/>
    <hyperlink ref="G3131" r:id="rId3335" xr:uid="{D250CAA6-D6F6-41DB-B01C-742E5F6F3BDB}"/>
    <hyperlink ref="G3132" r:id="rId3336" xr:uid="{5A905CAD-1326-43C7-9758-929D93EB7D77}"/>
    <hyperlink ref="G3133" r:id="rId3337" xr:uid="{EEAC15B1-1528-4C96-9616-C3AC0C01DC2D}"/>
    <hyperlink ref="G3134" r:id="rId3338" xr:uid="{6CE84317-1005-493F-8F0C-28ACB8D23B0A}"/>
    <hyperlink ref="G3135" r:id="rId3339" xr:uid="{3A0FDA68-FBB6-4D1B-B178-981611D7C6A9}"/>
    <hyperlink ref="G3136" r:id="rId3340" xr:uid="{7E3C1DC3-50EF-4F38-8302-A341FB66047C}"/>
    <hyperlink ref="G3137" r:id="rId3341" xr:uid="{3CCD9763-2F82-4C8C-8EB6-068004E01D75}"/>
    <hyperlink ref="G3138" r:id="rId3342" xr:uid="{08B6CAEC-4FEF-4B43-8C37-A827EA70E77A}"/>
    <hyperlink ref="G3139" r:id="rId3343" xr:uid="{0BB97BCB-618A-4D5F-9C61-8E2B7DCB6735}"/>
    <hyperlink ref="G3140" r:id="rId3344" xr:uid="{98FB00EE-4AD6-4900-B576-7AA3F9DC2705}"/>
    <hyperlink ref="G3141" r:id="rId3345" xr:uid="{77629772-2DD0-4B36-8E4D-5F6138C1F159}"/>
    <hyperlink ref="G3142" r:id="rId3346" xr:uid="{0FFF5E29-B882-4CED-85EE-AF35D561F791}"/>
    <hyperlink ref="G3143" r:id="rId3347" xr:uid="{C276F874-FB80-4924-971D-FDCFBD1072DA}"/>
    <hyperlink ref="G3144" r:id="rId3348" xr:uid="{A38BC074-9CC5-4D4D-9161-89245CB27C20}"/>
    <hyperlink ref="G3145" r:id="rId3349" xr:uid="{386AEE76-4F8F-405B-8543-592567122C41}"/>
  </hyperlinks>
  <pageMargins left="0.7" right="0.7" top="0.75" bottom="0.75" header="0.3" footer="0.3"/>
  <tableParts count="1">
    <tablePart r:id="rId335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B992D-864C-4FDD-B6C4-AF8AD1A4E427}">
  <dimension ref="A1:H62"/>
  <sheetViews>
    <sheetView workbookViewId="0">
      <selection activeCell="C2" sqref="C2"/>
    </sheetView>
  </sheetViews>
  <sheetFormatPr defaultRowHeight="14.5" x14ac:dyDescent="0.35"/>
  <cols>
    <col min="2" max="3" width="17.7265625" customWidth="1"/>
    <col min="4" max="4" width="32.81640625" customWidth="1"/>
    <col min="5" max="5" width="23.7265625" customWidth="1"/>
    <col min="6" max="6" width="49.453125" customWidth="1"/>
    <col min="7" max="7" width="49.1796875" customWidth="1"/>
    <col min="8" max="8" width="47" customWidth="1"/>
  </cols>
  <sheetData>
    <row r="1" spans="1:8" x14ac:dyDescent="0.35">
      <c r="A1" t="s">
        <v>29</v>
      </c>
      <c r="B1" t="s">
        <v>30</v>
      </c>
      <c r="C1" t="s">
        <v>28</v>
      </c>
      <c r="D1" t="s">
        <v>25032</v>
      </c>
      <c r="E1" t="s">
        <v>6382</v>
      </c>
      <c r="F1" t="s">
        <v>25033</v>
      </c>
      <c r="G1" t="s">
        <v>25034</v>
      </c>
      <c r="H1" t="s">
        <v>25035</v>
      </c>
    </row>
    <row r="2" spans="1:8" ht="122.15" customHeight="1" x14ac:dyDescent="0.35">
      <c r="A2" t="s">
        <v>448</v>
      </c>
      <c r="B2" t="str">
        <f>VLOOKUP(A2,Countries!$B$1:$D$205,2,FALSE)</f>
        <v>United Kingdom</v>
      </c>
      <c r="C2" t="str">
        <f>VLOOKUP(A2,Countries!$C$1:$D$205,1,TRUE)</f>
        <v>Egypt</v>
      </c>
      <c r="D2" t="s">
        <v>25036</v>
      </c>
      <c r="E2" t="s">
        <v>880</v>
      </c>
      <c r="F2" s="3" t="s">
        <v>25037</v>
      </c>
      <c r="G2" s="3" t="s">
        <v>25038</v>
      </c>
      <c r="H2" s="3" t="s">
        <v>25039</v>
      </c>
    </row>
    <row r="3" spans="1:8" ht="72.650000000000006" customHeight="1" x14ac:dyDescent="0.35">
      <c r="A3" t="s">
        <v>448</v>
      </c>
      <c r="B3" t="str">
        <f>VLOOKUP(A3,Countries!$B$1:$D$205,2,FALSE)</f>
        <v>United Kingdom</v>
      </c>
      <c r="C3" t="str">
        <f>VLOOKUP(A3,Countries!$C$1:$D$205,1,TRUE)</f>
        <v>Egypt</v>
      </c>
      <c r="D3" t="s">
        <v>25036</v>
      </c>
      <c r="E3" t="s">
        <v>25040</v>
      </c>
      <c r="F3" s="3" t="s">
        <v>25041</v>
      </c>
      <c r="G3" s="3" t="s">
        <v>25042</v>
      </c>
      <c r="H3" s="3" t="s">
        <v>25043</v>
      </c>
    </row>
    <row r="4" spans="1:8" ht="87" x14ac:dyDescent="0.35">
      <c r="A4" t="s">
        <v>395</v>
      </c>
      <c r="B4" t="str">
        <f>VLOOKUP(A4,Countries!$B$1:$D$205,2,FALSE)</f>
        <v>Japan</v>
      </c>
      <c r="C4" t="str">
        <f>VLOOKUP(A4,Countries!$C$1:$D$205,1,TRUE)</f>
        <v>Jordan</v>
      </c>
      <c r="D4" t="s">
        <v>25036</v>
      </c>
      <c r="E4" t="s">
        <v>25044</v>
      </c>
      <c r="F4" s="3" t="s">
        <v>25045</v>
      </c>
      <c r="G4" s="3" t="s">
        <v>25046</v>
      </c>
      <c r="H4" s="3" t="s">
        <v>25047</v>
      </c>
    </row>
    <row r="5" spans="1:8" ht="76" customHeight="1" x14ac:dyDescent="0.35">
      <c r="A5" t="s">
        <v>141</v>
      </c>
      <c r="B5" t="str">
        <f>VLOOKUP(A5,Countries!$B$1:$D$205,2,FALSE)</f>
        <v xml:space="preserve"> Germany</v>
      </c>
      <c r="C5" t="str">
        <f>VLOOKUP(A5,Countries!$C$1:$D$205,1,TRUE)</f>
        <v>Canada</v>
      </c>
      <c r="D5" t="s">
        <v>25048</v>
      </c>
      <c r="E5" t="s">
        <v>25049</v>
      </c>
      <c r="F5" s="3" t="s">
        <v>25050</v>
      </c>
      <c r="G5" s="3" t="s">
        <v>25051</v>
      </c>
      <c r="H5" s="3" t="s">
        <v>25052</v>
      </c>
    </row>
    <row r="6" spans="1:8" ht="116.5" customHeight="1" x14ac:dyDescent="0.35">
      <c r="A6" t="s">
        <v>141</v>
      </c>
      <c r="B6" t="str">
        <f>VLOOKUP(A6,Countries!$B$1:$D$205,2,FALSE)</f>
        <v xml:space="preserve"> Germany</v>
      </c>
      <c r="C6" t="str">
        <f>VLOOKUP(A6,Countries!$C$1:$D$205,1,TRUE)</f>
        <v>Canada</v>
      </c>
      <c r="D6" t="s">
        <v>25048</v>
      </c>
      <c r="E6" t="s">
        <v>25053</v>
      </c>
      <c r="F6" s="3" t="s">
        <v>25054</v>
      </c>
      <c r="G6" s="3" t="s">
        <v>25055</v>
      </c>
      <c r="H6" s="3" t="s">
        <v>25056</v>
      </c>
    </row>
    <row r="7" spans="1:8" ht="130.5" x14ac:dyDescent="0.35">
      <c r="A7" t="s">
        <v>450</v>
      </c>
      <c r="B7" t="str">
        <f>VLOOKUP(A7,Countries!$B$1:$D$205,2,FALSE)</f>
        <v>United States</v>
      </c>
      <c r="C7" t="str">
        <f>VLOOKUP(A7,Countries!$C$1:$D$205,1,TRUE)</f>
        <v>United States</v>
      </c>
      <c r="D7" t="s">
        <v>25048</v>
      </c>
      <c r="E7" t="s">
        <v>25057</v>
      </c>
      <c r="F7" s="3" t="s">
        <v>25058</v>
      </c>
      <c r="G7" s="3" t="s">
        <v>25059</v>
      </c>
      <c r="H7" s="3" t="s">
        <v>25060</v>
      </c>
    </row>
    <row r="8" spans="1:8" ht="142.5" customHeight="1" x14ac:dyDescent="0.35">
      <c r="A8" t="s">
        <v>141</v>
      </c>
      <c r="B8" t="str">
        <f>VLOOKUP(A8,Countries!$B$1:$D$205,2,FALSE)</f>
        <v xml:space="preserve"> Germany</v>
      </c>
      <c r="C8" t="str">
        <f>VLOOKUP(A8,Countries!$C$1:$D$205,1,TRUE)</f>
        <v>Canada</v>
      </c>
      <c r="D8" t="s">
        <v>25061</v>
      </c>
      <c r="E8" t="s">
        <v>25062</v>
      </c>
      <c r="F8" s="3" t="s">
        <v>25063</v>
      </c>
      <c r="G8" s="3" t="s">
        <v>25064</v>
      </c>
      <c r="H8" s="3" t="s">
        <v>25065</v>
      </c>
    </row>
    <row r="9" spans="1:8" ht="58" x14ac:dyDescent="0.35">
      <c r="A9" t="s">
        <v>25066</v>
      </c>
      <c r="B9" t="e">
        <f>VLOOKUP(A9,Countries!$B$1:$D$205,2,FALSE)</f>
        <v>#N/A</v>
      </c>
      <c r="C9" t="str">
        <f>VLOOKUP(A9,Countries!$C$1:$D$205,1,TRUE)</f>
        <v>South Korea</v>
      </c>
      <c r="D9" t="s">
        <v>25061</v>
      </c>
      <c r="E9" t="s">
        <v>25067</v>
      </c>
      <c r="F9" s="3" t="s">
        <v>25068</v>
      </c>
      <c r="G9" s="3" t="s">
        <v>25069</v>
      </c>
      <c r="H9" s="3" t="s">
        <v>25070</v>
      </c>
    </row>
    <row r="10" spans="1:8" ht="58" x14ac:dyDescent="0.35">
      <c r="A10" t="s">
        <v>25071</v>
      </c>
      <c r="B10" t="e">
        <f>VLOOKUP(A10,Countries!$B$1:$D$205,2,FALSE)</f>
        <v>#N/A</v>
      </c>
      <c r="C10" t="str">
        <f>VLOOKUP(A10,Countries!$C$1:$D$205,1,TRUE)</f>
        <v>Sudan</v>
      </c>
      <c r="D10" t="s">
        <v>25061</v>
      </c>
      <c r="E10" t="s">
        <v>2029</v>
      </c>
      <c r="F10" s="3" t="s">
        <v>25072</v>
      </c>
      <c r="G10" s="3" t="s">
        <v>25073</v>
      </c>
      <c r="H10" s="3" t="s">
        <v>25074</v>
      </c>
    </row>
    <row r="11" spans="1:8" ht="116" x14ac:dyDescent="0.35">
      <c r="A11" t="s">
        <v>450</v>
      </c>
      <c r="B11" t="str">
        <f>VLOOKUP(A11,Countries!$B$1:$D$205,2,FALSE)</f>
        <v>United States</v>
      </c>
      <c r="C11" t="str">
        <f>VLOOKUP(A11,Countries!$C$1:$D$205,1,TRUE)</f>
        <v>United States</v>
      </c>
      <c r="D11" t="s">
        <v>25061</v>
      </c>
      <c r="E11" s="13" t="s">
        <v>25075</v>
      </c>
      <c r="F11" s="3" t="s">
        <v>25076</v>
      </c>
      <c r="G11" s="3" t="s">
        <v>25077</v>
      </c>
      <c r="H11" s="3" t="s">
        <v>25078</v>
      </c>
    </row>
    <row r="12" spans="1:8" ht="116" x14ac:dyDescent="0.35">
      <c r="A12" t="s">
        <v>141</v>
      </c>
      <c r="B12" t="str">
        <f>VLOOKUP(A12,Countries!$B$1:$D$205,2,FALSE)</f>
        <v xml:space="preserve"> Germany</v>
      </c>
      <c r="C12" t="str">
        <f>VLOOKUP(A12,Countries!$C$1:$D$205,1,TRUE)</f>
        <v>Canada</v>
      </c>
      <c r="D12" t="s">
        <v>25079</v>
      </c>
      <c r="E12" s="3" t="s">
        <v>25080</v>
      </c>
      <c r="F12" s="3" t="s">
        <v>25081</v>
      </c>
      <c r="G12" s="3" t="s">
        <v>25082</v>
      </c>
      <c r="H12" s="3" t="s">
        <v>25083</v>
      </c>
    </row>
    <row r="13" spans="1:8" ht="87" x14ac:dyDescent="0.35">
      <c r="A13" t="s">
        <v>367</v>
      </c>
      <c r="B13" t="str">
        <f>VLOOKUP(A13,Countries!$B$1:$D$205,2,FALSE)</f>
        <v>Canada</v>
      </c>
      <c r="C13" t="str">
        <f>VLOOKUP(A13,Countries!$C$1:$D$205,1,TRUE)</f>
        <v>Burkina Faso</v>
      </c>
      <c r="D13" t="s">
        <v>25079</v>
      </c>
      <c r="E13" t="s">
        <v>25084</v>
      </c>
      <c r="F13" s="3" t="s">
        <v>25085</v>
      </c>
      <c r="G13" s="3" t="s">
        <v>25086</v>
      </c>
      <c r="H13" s="3" t="s">
        <v>25087</v>
      </c>
    </row>
    <row r="14" spans="1:8" ht="87" x14ac:dyDescent="0.35">
      <c r="A14" t="s">
        <v>415</v>
      </c>
      <c r="B14" t="str">
        <f>VLOOKUP(A14,Countries!$B$1:$D$205,2,FALSE)</f>
        <v>Norway</v>
      </c>
      <c r="C14" t="str">
        <f>VLOOKUP(A14,Countries!$C$1:$D$205,1,TRUE)</f>
        <v>Nigeria</v>
      </c>
      <c r="D14" t="s">
        <v>25079</v>
      </c>
      <c r="E14" t="s">
        <v>25088</v>
      </c>
      <c r="F14" s="3" t="s">
        <v>25089</v>
      </c>
      <c r="G14" s="3" t="s">
        <v>25090</v>
      </c>
      <c r="H14" s="3" t="s">
        <v>25091</v>
      </c>
    </row>
    <row r="15" spans="1:8" ht="72.5" x14ac:dyDescent="0.35">
      <c r="A15" t="s">
        <v>163</v>
      </c>
      <c r="B15" t="str">
        <f>VLOOKUP(A15,Countries!$B$1:$D$205,2,FALSE)</f>
        <v xml:space="preserve"> Italy</v>
      </c>
      <c r="C15" t="str">
        <f>VLOOKUP(A15,Countries!$C$1:$D$205,1,TRUE)</f>
        <v>Israel</v>
      </c>
      <c r="D15" t="s">
        <v>25079</v>
      </c>
      <c r="E15" t="s">
        <v>25092</v>
      </c>
      <c r="F15" s="3" t="s">
        <v>25093</v>
      </c>
      <c r="G15" s="3" t="s">
        <v>25094</v>
      </c>
      <c r="H15" s="3" t="s">
        <v>25095</v>
      </c>
    </row>
    <row r="16" spans="1:8" ht="130.5" x14ac:dyDescent="0.35">
      <c r="A16" t="s">
        <v>25071</v>
      </c>
      <c r="B16" t="e">
        <f>VLOOKUP(A16,Countries!$B$1:$D$205,2,FALSE)</f>
        <v>#N/A</v>
      </c>
      <c r="C16" t="str">
        <f>VLOOKUP(A16,Countries!$C$1:$D$205,1,TRUE)</f>
        <v>Sudan</v>
      </c>
      <c r="D16" t="s">
        <v>1074</v>
      </c>
      <c r="E16" t="s">
        <v>25096</v>
      </c>
      <c r="F16" s="3" t="s">
        <v>25097</v>
      </c>
      <c r="G16" s="3" t="s">
        <v>25098</v>
      </c>
      <c r="H16" s="3" t="s">
        <v>25099</v>
      </c>
    </row>
    <row r="17" spans="1:8" ht="87" x14ac:dyDescent="0.35">
      <c r="A17" t="s">
        <v>450</v>
      </c>
      <c r="B17" t="str">
        <f>VLOOKUP(A17,Countries!$B$1:$D$205,2,FALSE)</f>
        <v>United States</v>
      </c>
      <c r="C17" t="str">
        <f>VLOOKUP(A17,Countries!$C$1:$D$205,1,TRUE)</f>
        <v>United States</v>
      </c>
      <c r="D17" t="s">
        <v>1074</v>
      </c>
      <c r="E17" t="s">
        <v>25100</v>
      </c>
      <c r="F17" s="3" t="s">
        <v>25101</v>
      </c>
      <c r="G17" s="3" t="s">
        <v>25102</v>
      </c>
      <c r="H17" s="3" t="s">
        <v>25103</v>
      </c>
    </row>
    <row r="18" spans="1:8" ht="101.5" x14ac:dyDescent="0.35">
      <c r="A18" t="s">
        <v>25104</v>
      </c>
      <c r="B18" t="e">
        <f>VLOOKUP(A18,Countries!$B$1:$D$205,2,FALSE)</f>
        <v>#N/A</v>
      </c>
      <c r="C18" t="str">
        <f>VLOOKUP(A18,Countries!$C$1:$D$205,1,TRUE)</f>
        <v>Morocco</v>
      </c>
      <c r="D18" t="s">
        <v>1074</v>
      </c>
      <c r="E18" t="s">
        <v>25105</v>
      </c>
      <c r="F18" s="3" t="s">
        <v>25106</v>
      </c>
      <c r="G18" s="3" t="s">
        <v>25107</v>
      </c>
      <c r="H18" s="3" t="s">
        <v>25108</v>
      </c>
    </row>
    <row r="19" spans="1:8" ht="135.65" customHeight="1" x14ac:dyDescent="0.35">
      <c r="A19" t="s">
        <v>415</v>
      </c>
      <c r="B19" t="str">
        <f>VLOOKUP(A19,Countries!$B$1:$D$205,2,FALSE)</f>
        <v>Norway</v>
      </c>
      <c r="C19" t="str">
        <f>VLOOKUP(A19,Countries!$C$1:$D$205,1,TRUE)</f>
        <v>Nigeria</v>
      </c>
      <c r="D19" t="s">
        <v>1074</v>
      </c>
      <c r="E19" t="s">
        <v>25109</v>
      </c>
      <c r="F19" s="3" t="s">
        <v>25110</v>
      </c>
      <c r="G19" s="3" t="s">
        <v>25111</v>
      </c>
      <c r="H19" s="3" t="s">
        <v>25112</v>
      </c>
    </row>
    <row r="20" spans="1:8" ht="101.5" x14ac:dyDescent="0.35">
      <c r="A20" t="s">
        <v>367</v>
      </c>
      <c r="B20" t="str">
        <f>VLOOKUP(A20,Countries!$B$1:$D$205,2,FALSE)</f>
        <v>Canada</v>
      </c>
      <c r="C20" t="str">
        <f>VLOOKUP(A20,Countries!$C$1:$D$205,1,TRUE)</f>
        <v>Burkina Faso</v>
      </c>
      <c r="D20" t="s">
        <v>25113</v>
      </c>
      <c r="E20" t="s">
        <v>25114</v>
      </c>
      <c r="F20" s="3" t="s">
        <v>25115</v>
      </c>
      <c r="G20" s="3" t="s">
        <v>25116</v>
      </c>
      <c r="H20" s="3" t="s">
        <v>25117</v>
      </c>
    </row>
    <row r="21" spans="1:8" ht="101.5" x14ac:dyDescent="0.35">
      <c r="A21" t="s">
        <v>450</v>
      </c>
      <c r="B21" t="str">
        <f>VLOOKUP(A21,Countries!$B$1:$D$205,2,FALSE)</f>
        <v>United States</v>
      </c>
      <c r="C21" t="str">
        <f>VLOOKUP(A21,Countries!$C$1:$D$205,1,TRUE)</f>
        <v>United States</v>
      </c>
      <c r="D21" t="s">
        <v>25113</v>
      </c>
      <c r="E21" t="s">
        <v>25118</v>
      </c>
      <c r="F21" s="3" t="s">
        <v>25119</v>
      </c>
      <c r="G21" s="3" t="s">
        <v>25120</v>
      </c>
      <c r="H21" s="3" t="s">
        <v>25121</v>
      </c>
    </row>
    <row r="22" spans="1:8" ht="101.5" x14ac:dyDescent="0.35">
      <c r="A22" t="s">
        <v>448</v>
      </c>
      <c r="B22" t="str">
        <f>VLOOKUP(A22,Countries!$B$1:$D$205,2,FALSE)</f>
        <v>United Kingdom</v>
      </c>
      <c r="C22" t="str">
        <f>VLOOKUP(A22,Countries!$C$1:$D$205,1,TRUE)</f>
        <v>Egypt</v>
      </c>
      <c r="D22" t="s">
        <v>25113</v>
      </c>
      <c r="E22" t="s">
        <v>25122</v>
      </c>
      <c r="F22" s="3" t="s">
        <v>25123</v>
      </c>
      <c r="G22" s="3" t="s">
        <v>25124</v>
      </c>
      <c r="H22" s="3" t="s">
        <v>25125</v>
      </c>
    </row>
    <row r="23" spans="1:8" ht="87" x14ac:dyDescent="0.35">
      <c r="A23" t="s">
        <v>163</v>
      </c>
      <c r="B23" t="str">
        <f>VLOOKUP(A23,Countries!$B$1:$D$205,2,FALSE)</f>
        <v xml:space="preserve"> Italy</v>
      </c>
      <c r="C23" t="str">
        <f>VLOOKUP(A23,Countries!$C$1:$D$205,1,TRUE)</f>
        <v>Israel</v>
      </c>
      <c r="D23" t="s">
        <v>25113</v>
      </c>
      <c r="E23" t="s">
        <v>25126</v>
      </c>
      <c r="F23" s="3" t="s">
        <v>25127</v>
      </c>
      <c r="G23" s="3" t="s">
        <v>25128</v>
      </c>
      <c r="H23" s="3" t="s">
        <v>25129</v>
      </c>
    </row>
    <row r="24" spans="1:8" ht="101.5" x14ac:dyDescent="0.35">
      <c r="A24" t="s">
        <v>25130</v>
      </c>
      <c r="B24" t="e">
        <f>VLOOKUP(A24,Countries!$B$1:$D$205,2,FALSE)</f>
        <v>#N/A</v>
      </c>
      <c r="C24" t="str">
        <f>VLOOKUP(A24,Countries!$C$1:$D$205,1,TRUE)</f>
        <v>Egypt</v>
      </c>
      <c r="D24" t="s">
        <v>25131</v>
      </c>
      <c r="E24" t="s">
        <v>25132</v>
      </c>
      <c r="F24" s="3" t="s">
        <v>25133</v>
      </c>
      <c r="G24" s="3" t="s">
        <v>25134</v>
      </c>
      <c r="H24" s="3" t="s">
        <v>25135</v>
      </c>
    </row>
    <row r="25" spans="1:8" ht="87" x14ac:dyDescent="0.35">
      <c r="A25" t="s">
        <v>141</v>
      </c>
      <c r="B25" t="str">
        <f>VLOOKUP(A25,Countries!$B$1:$D$205,2,FALSE)</f>
        <v xml:space="preserve"> Germany</v>
      </c>
      <c r="C25" t="str">
        <f>VLOOKUP(A25,Countries!$C$1:$D$205,1,TRUE)</f>
        <v>Canada</v>
      </c>
      <c r="D25" t="s">
        <v>25131</v>
      </c>
      <c r="E25" t="s">
        <v>639</v>
      </c>
      <c r="F25" s="3" t="s">
        <v>25136</v>
      </c>
      <c r="G25" s="3" t="s">
        <v>25137</v>
      </c>
      <c r="H25" s="3" t="s">
        <v>25138</v>
      </c>
    </row>
    <row r="26" spans="1:8" ht="145" x14ac:dyDescent="0.35">
      <c r="A26" t="s">
        <v>450</v>
      </c>
      <c r="B26" t="str">
        <f>VLOOKUP(A26,Countries!$B$1:$D$205,2,FALSE)</f>
        <v>United States</v>
      </c>
      <c r="C26" t="str">
        <f>VLOOKUP(A26,Countries!$C$1:$D$205,1,TRUE)</f>
        <v>United States</v>
      </c>
      <c r="D26" t="s">
        <v>25131</v>
      </c>
      <c r="E26" t="s">
        <v>25139</v>
      </c>
      <c r="F26" s="3" t="s">
        <v>25140</v>
      </c>
      <c r="G26" s="3" t="s">
        <v>25141</v>
      </c>
      <c r="H26" s="3" t="s">
        <v>25142</v>
      </c>
    </row>
    <row r="27" spans="1:8" ht="87" x14ac:dyDescent="0.35">
      <c r="A27" t="s">
        <v>450</v>
      </c>
      <c r="B27" t="str">
        <f>VLOOKUP(A27,Countries!$B$1:$D$205,2,FALSE)</f>
        <v>United States</v>
      </c>
      <c r="C27" t="str">
        <f>VLOOKUP(A27,Countries!$C$1:$D$205,1,TRUE)</f>
        <v>United States</v>
      </c>
      <c r="D27" t="s">
        <v>25143</v>
      </c>
      <c r="E27" t="s">
        <v>525</v>
      </c>
      <c r="F27" s="3" t="s">
        <v>25144</v>
      </c>
      <c r="G27" s="3" t="s">
        <v>25145</v>
      </c>
      <c r="H27" s="3" t="s">
        <v>25146</v>
      </c>
    </row>
    <row r="28" spans="1:8" ht="87" x14ac:dyDescent="0.35">
      <c r="A28" t="s">
        <v>141</v>
      </c>
      <c r="B28" t="str">
        <f>VLOOKUP(A28,Countries!$B$1:$D$205,2,FALSE)</f>
        <v xml:space="preserve"> Germany</v>
      </c>
      <c r="C28" t="str">
        <f>VLOOKUP(A28,Countries!$C$1:$D$205,1,TRUE)</f>
        <v>Canada</v>
      </c>
      <c r="D28" t="s">
        <v>25143</v>
      </c>
      <c r="E28" s="3" t="s">
        <v>25147</v>
      </c>
      <c r="F28" s="3" t="s">
        <v>25148</v>
      </c>
      <c r="G28" s="3" t="s">
        <v>25149</v>
      </c>
      <c r="H28" s="3" t="s">
        <v>25150</v>
      </c>
    </row>
    <row r="29" spans="1:8" ht="72.5" x14ac:dyDescent="0.35">
      <c r="A29" t="s">
        <v>450</v>
      </c>
      <c r="B29" t="str">
        <f>VLOOKUP(A29,Countries!$B$1:$D$205,2,FALSE)</f>
        <v>United States</v>
      </c>
      <c r="C29" t="str">
        <f>VLOOKUP(A29,Countries!$C$1:$D$205,1,TRUE)</f>
        <v>United States</v>
      </c>
      <c r="D29" t="s">
        <v>25143</v>
      </c>
      <c r="E29" t="s">
        <v>25151</v>
      </c>
      <c r="F29" s="3" t="s">
        <v>25152</v>
      </c>
      <c r="G29" s="3" t="s">
        <v>25153</v>
      </c>
      <c r="H29" s="3" t="s">
        <v>25154</v>
      </c>
    </row>
    <row r="30" spans="1:8" ht="145" x14ac:dyDescent="0.35">
      <c r="A30" t="s">
        <v>25155</v>
      </c>
      <c r="B30" t="e">
        <f>VLOOKUP(A30,Countries!$B$1:$D$205,2,FALSE)</f>
        <v>#N/A</v>
      </c>
      <c r="C30" t="str">
        <f>VLOOKUP(A30,Countries!$C$1:$D$205,1,TRUE)</f>
        <v>Ivory Coast</v>
      </c>
      <c r="D30" t="s">
        <v>25156</v>
      </c>
      <c r="E30" t="s">
        <v>2992</v>
      </c>
      <c r="F30" s="3" t="s">
        <v>25157</v>
      </c>
      <c r="G30" s="3" t="s">
        <v>25158</v>
      </c>
      <c r="H30" s="3" t="s">
        <v>25159</v>
      </c>
    </row>
    <row r="31" spans="1:8" ht="101.5" x14ac:dyDescent="0.35">
      <c r="A31" t="s">
        <v>432</v>
      </c>
      <c r="B31" t="str">
        <f>VLOOKUP(A31,Countries!$B$1:$D$205,2,FALSE)</f>
        <v>South Korea</v>
      </c>
      <c r="C31" t="str">
        <f>VLOOKUP(A31,Countries!$C$1:$D$205,1,TRUE)</f>
        <v>Jordan</v>
      </c>
      <c r="D31" t="s">
        <v>25156</v>
      </c>
      <c r="E31" s="3" t="s">
        <v>25160</v>
      </c>
      <c r="F31" s="3" t="s">
        <v>25161</v>
      </c>
      <c r="G31" s="3" t="s">
        <v>25162</v>
      </c>
      <c r="H31" s="3" t="s">
        <v>25163</v>
      </c>
    </row>
    <row r="32" spans="1:8" ht="101.5" x14ac:dyDescent="0.35">
      <c r="A32" t="s">
        <v>141</v>
      </c>
      <c r="B32" t="str">
        <f>VLOOKUP(A32,Countries!$B$1:$D$205,2,FALSE)</f>
        <v xml:space="preserve"> Germany</v>
      </c>
      <c r="C32" t="str">
        <f>VLOOKUP(A32,Countries!$C$1:$D$205,1,TRUE)</f>
        <v>Canada</v>
      </c>
      <c r="D32" t="s">
        <v>25164</v>
      </c>
      <c r="E32" t="s">
        <v>25165</v>
      </c>
      <c r="F32" s="3" t="s">
        <v>25166</v>
      </c>
      <c r="G32" s="3" t="s">
        <v>25167</v>
      </c>
      <c r="H32" s="3" t="s">
        <v>25168</v>
      </c>
    </row>
    <row r="33" spans="1:8" ht="101.5" x14ac:dyDescent="0.35">
      <c r="A33" t="s">
        <v>25066</v>
      </c>
      <c r="B33" t="e">
        <f>VLOOKUP(A33,Countries!$B$1:$D$205,2,FALSE)</f>
        <v>#N/A</v>
      </c>
      <c r="C33" t="str">
        <f>VLOOKUP(A33,Countries!$C$1:$D$205,1,TRUE)</f>
        <v>South Korea</v>
      </c>
      <c r="D33" t="s">
        <v>25164</v>
      </c>
      <c r="E33" t="s">
        <v>25169</v>
      </c>
      <c r="F33" s="3" t="s">
        <v>25170</v>
      </c>
      <c r="G33" s="3" t="s">
        <v>25171</v>
      </c>
      <c r="H33" s="3" t="s">
        <v>25172</v>
      </c>
    </row>
    <row r="34" spans="1:8" ht="101.5" x14ac:dyDescent="0.35">
      <c r="A34" t="s">
        <v>367</v>
      </c>
      <c r="B34" t="str">
        <f>VLOOKUP(A34,Countries!$B$1:$D$205,2,FALSE)</f>
        <v>Canada</v>
      </c>
      <c r="C34" t="str">
        <f>VLOOKUP(A34,Countries!$C$1:$D$205,1,TRUE)</f>
        <v>Burkina Faso</v>
      </c>
      <c r="D34" t="s">
        <v>25173</v>
      </c>
      <c r="E34" t="s">
        <v>25174</v>
      </c>
      <c r="F34" s="3" t="s">
        <v>25175</v>
      </c>
      <c r="G34" s="3" t="s">
        <v>25176</v>
      </c>
      <c r="H34" s="3" t="s">
        <v>25177</v>
      </c>
    </row>
    <row r="35" spans="1:8" ht="72.5" x14ac:dyDescent="0.35">
      <c r="A35" t="s">
        <v>450</v>
      </c>
      <c r="B35" t="str">
        <f>VLOOKUP(A35,Countries!$B$1:$D$205,2,FALSE)</f>
        <v>United States</v>
      </c>
      <c r="C35" t="str">
        <f>VLOOKUP(A35,Countries!$C$1:$D$205,1,TRUE)</f>
        <v>United States</v>
      </c>
      <c r="D35" t="s">
        <v>25173</v>
      </c>
      <c r="E35" t="s">
        <v>724</v>
      </c>
      <c r="F35" s="3" t="s">
        <v>25178</v>
      </c>
      <c r="G35" s="3" t="s">
        <v>25179</v>
      </c>
      <c r="H35" s="3" t="s">
        <v>25180</v>
      </c>
    </row>
    <row r="36" spans="1:8" ht="87" x14ac:dyDescent="0.35">
      <c r="A36" t="s">
        <v>450</v>
      </c>
      <c r="B36" t="str">
        <f>VLOOKUP(A36,Countries!$B$1:$D$205,2,FALSE)</f>
        <v>United States</v>
      </c>
      <c r="C36" t="str">
        <f>VLOOKUP(A36,Countries!$C$1:$D$205,1,TRUE)</f>
        <v>United States</v>
      </c>
      <c r="D36" t="s">
        <v>25173</v>
      </c>
      <c r="E36" t="s">
        <v>25181</v>
      </c>
      <c r="F36" s="3" t="s">
        <v>25182</v>
      </c>
      <c r="G36" s="3" t="s">
        <v>25183</v>
      </c>
      <c r="H36" s="3" t="s">
        <v>25184</v>
      </c>
    </row>
    <row r="37" spans="1:8" ht="87" x14ac:dyDescent="0.35">
      <c r="A37" t="s">
        <v>450</v>
      </c>
      <c r="B37" t="str">
        <f>VLOOKUP(A37,Countries!$B$1:$D$205,2,FALSE)</f>
        <v>United States</v>
      </c>
      <c r="C37" t="str">
        <f>VLOOKUP(A37,Countries!$C$1:$D$205,1,TRUE)</f>
        <v>United States</v>
      </c>
      <c r="D37" t="s">
        <v>25173</v>
      </c>
      <c r="E37" t="s">
        <v>25185</v>
      </c>
      <c r="F37" s="3" t="s">
        <v>25186</v>
      </c>
      <c r="G37" s="3" t="s">
        <v>25187</v>
      </c>
      <c r="H37" s="3" t="s">
        <v>25188</v>
      </c>
    </row>
    <row r="38" spans="1:8" ht="87" x14ac:dyDescent="0.35">
      <c r="A38" t="s">
        <v>450</v>
      </c>
      <c r="B38" t="str">
        <f>VLOOKUP(A38,Countries!$B$1:$D$205,2,FALSE)</f>
        <v>United States</v>
      </c>
      <c r="C38" t="str">
        <f>VLOOKUP(A38,Countries!$C$1:$D$205,1,TRUE)</f>
        <v>United States</v>
      </c>
      <c r="D38" t="s">
        <v>971</v>
      </c>
      <c r="E38" t="s">
        <v>525</v>
      </c>
      <c r="F38" s="3" t="s">
        <v>25189</v>
      </c>
      <c r="G38" s="3" t="s">
        <v>25190</v>
      </c>
      <c r="H38" s="3" t="s">
        <v>25191</v>
      </c>
    </row>
    <row r="39" spans="1:8" ht="116" x14ac:dyDescent="0.35">
      <c r="A39" t="s">
        <v>25104</v>
      </c>
      <c r="B39" t="e">
        <f>VLOOKUP(A39,Countries!$B$1:$D$205,2,FALSE)</f>
        <v>#N/A</v>
      </c>
      <c r="C39" t="str">
        <f>VLOOKUP(A39,Countries!$C$1:$D$205,1,TRUE)</f>
        <v>Morocco</v>
      </c>
      <c r="D39" t="s">
        <v>971</v>
      </c>
      <c r="E39" t="s">
        <v>25192</v>
      </c>
      <c r="F39" s="3" t="s">
        <v>25193</v>
      </c>
      <c r="G39" s="3" t="s">
        <v>25194</v>
      </c>
      <c r="H39" s="3" t="s">
        <v>25195</v>
      </c>
    </row>
    <row r="40" spans="1:8" ht="87" x14ac:dyDescent="0.35">
      <c r="A40" t="s">
        <v>448</v>
      </c>
      <c r="B40" t="str">
        <f>VLOOKUP(A40,Countries!$B$1:$D$205,2,FALSE)</f>
        <v>United Kingdom</v>
      </c>
      <c r="C40" t="str">
        <f>VLOOKUP(A40,Countries!$C$1:$D$205,1,TRUE)</f>
        <v>Egypt</v>
      </c>
      <c r="D40" t="s">
        <v>971</v>
      </c>
      <c r="E40" t="s">
        <v>25196</v>
      </c>
      <c r="F40" s="3" t="s">
        <v>25197</v>
      </c>
      <c r="G40" s="3" t="s">
        <v>25198</v>
      </c>
      <c r="H40" s="3" t="s">
        <v>25199</v>
      </c>
    </row>
    <row r="41" spans="1:8" ht="101.5" x14ac:dyDescent="0.35">
      <c r="A41" t="s">
        <v>25130</v>
      </c>
      <c r="B41" t="e">
        <f>VLOOKUP(A41,Countries!$B$1:$D$205,2,FALSE)</f>
        <v>#N/A</v>
      </c>
      <c r="C41" t="str">
        <f>VLOOKUP(A41,Countries!$C$1:$D$205,1,TRUE)</f>
        <v>Egypt</v>
      </c>
      <c r="D41" t="s">
        <v>25200</v>
      </c>
      <c r="E41" t="s">
        <v>25201</v>
      </c>
      <c r="F41" s="3" t="s">
        <v>25202</v>
      </c>
      <c r="G41" s="3" t="s">
        <v>25203</v>
      </c>
      <c r="H41" s="3" t="s">
        <v>25204</v>
      </c>
    </row>
    <row r="42" spans="1:8" ht="116" x14ac:dyDescent="0.35">
      <c r="B42" t="s">
        <v>47</v>
      </c>
      <c r="C42" t="e">
        <f>VLOOKUP(A42,Countries!$C$1:$D$205,1,TRUE)</f>
        <v>#N/A</v>
      </c>
      <c r="D42" t="s">
        <v>25200</v>
      </c>
      <c r="E42" t="s">
        <v>25205</v>
      </c>
      <c r="F42" s="3" t="s">
        <v>25206</v>
      </c>
      <c r="G42" s="3" t="s">
        <v>25207</v>
      </c>
      <c r="H42" s="3" t="s">
        <v>25208</v>
      </c>
    </row>
    <row r="43" spans="1:8" ht="145" x14ac:dyDescent="0.35">
      <c r="A43" t="s">
        <v>448</v>
      </c>
      <c r="B43" t="str">
        <f>VLOOKUP(A43,Countries!$B$1:$D$205,2,FALSE)</f>
        <v>United Kingdom</v>
      </c>
      <c r="C43" t="str">
        <f>VLOOKUP(A43,Countries!$C$1:$D$205,1,TRUE)</f>
        <v>Egypt</v>
      </c>
      <c r="D43" t="s">
        <v>25200</v>
      </c>
      <c r="E43" t="s">
        <v>25209</v>
      </c>
      <c r="F43" s="3" t="s">
        <v>25210</v>
      </c>
      <c r="G43" s="3" t="s">
        <v>25211</v>
      </c>
      <c r="H43" s="3" t="s">
        <v>25212</v>
      </c>
    </row>
    <row r="44" spans="1:8" ht="87" x14ac:dyDescent="0.35">
      <c r="A44" t="s">
        <v>450</v>
      </c>
      <c r="B44" t="str">
        <f>VLOOKUP(A44,Countries!$B$1:$D$205,2,FALSE)</f>
        <v>United States</v>
      </c>
      <c r="C44" t="str">
        <f>VLOOKUP(A44,Countries!$C$1:$D$205,1,TRUE)</f>
        <v>United States</v>
      </c>
      <c r="D44" t="s">
        <v>25213</v>
      </c>
      <c r="E44" t="s">
        <v>25214</v>
      </c>
      <c r="F44" s="3" t="s">
        <v>25215</v>
      </c>
      <c r="G44" s="3" t="s">
        <v>25216</v>
      </c>
      <c r="H44" s="3" t="s">
        <v>25217</v>
      </c>
    </row>
    <row r="45" spans="1:8" ht="116" x14ac:dyDescent="0.35">
      <c r="A45" t="s">
        <v>25130</v>
      </c>
      <c r="B45" t="e">
        <f>VLOOKUP(A45,Countries!$B$1:$D$205,2,FALSE)</f>
        <v>#N/A</v>
      </c>
      <c r="C45" t="str">
        <f>VLOOKUP(A45,Countries!$C$1:$D$205,1,TRUE)</f>
        <v>Egypt</v>
      </c>
      <c r="D45" t="s">
        <v>25213</v>
      </c>
      <c r="E45" t="s">
        <v>639</v>
      </c>
      <c r="F45" s="3" t="s">
        <v>25218</v>
      </c>
      <c r="G45" s="3" t="s">
        <v>25219</v>
      </c>
      <c r="H45" s="3" t="s">
        <v>25220</v>
      </c>
    </row>
    <row r="46" spans="1:8" ht="87" x14ac:dyDescent="0.35">
      <c r="A46" t="s">
        <v>448</v>
      </c>
      <c r="B46" t="str">
        <f>VLOOKUP(A46,Countries!$B$1:$D$205,2,FALSE)</f>
        <v>United Kingdom</v>
      </c>
      <c r="C46" t="str">
        <f>VLOOKUP(A46,Countries!$C$1:$D$205,1,TRUE)</f>
        <v>Egypt</v>
      </c>
      <c r="D46" t="s">
        <v>25213</v>
      </c>
      <c r="E46" t="s">
        <v>25221</v>
      </c>
      <c r="F46" s="3" t="s">
        <v>25222</v>
      </c>
      <c r="G46" s="3" t="s">
        <v>25223</v>
      </c>
      <c r="H46" s="3" t="s">
        <v>25224</v>
      </c>
    </row>
    <row r="47" spans="1:8" ht="72.5" x14ac:dyDescent="0.35">
      <c r="A47" t="s">
        <v>141</v>
      </c>
      <c r="B47" t="str">
        <f>VLOOKUP(A47,Countries!$B$1:$D$205,2,FALSE)</f>
        <v xml:space="preserve"> Germany</v>
      </c>
      <c r="C47" t="str">
        <f>VLOOKUP(A47,Countries!$C$1:$D$205,1,TRUE)</f>
        <v>Canada</v>
      </c>
      <c r="D47" t="s">
        <v>25213</v>
      </c>
      <c r="E47" t="s">
        <v>25225</v>
      </c>
      <c r="F47" s="3" t="s">
        <v>25226</v>
      </c>
      <c r="G47" s="3" t="s">
        <v>25227</v>
      </c>
      <c r="H47" s="3" t="s">
        <v>25228</v>
      </c>
    </row>
    <row r="48" spans="1:8" ht="72.5" x14ac:dyDescent="0.35">
      <c r="A48" t="s">
        <v>25229</v>
      </c>
      <c r="B48" t="e">
        <f>VLOOKUP(A48,Countries!$B$1:$D$205,2,FALSE)</f>
        <v>#N/A</v>
      </c>
      <c r="C48" t="str">
        <f>VLOOKUP(A48,Countries!$C$1:$D$205,1,TRUE)</f>
        <v>Canada</v>
      </c>
      <c r="D48" t="s">
        <v>25213</v>
      </c>
      <c r="E48" t="s">
        <v>25230</v>
      </c>
      <c r="F48" s="3" t="s">
        <v>25231</v>
      </c>
      <c r="G48" s="3" t="s">
        <v>25232</v>
      </c>
      <c r="H48" s="3" t="s">
        <v>25233</v>
      </c>
    </row>
    <row r="49" spans="1:8" ht="87" x14ac:dyDescent="0.35">
      <c r="A49" t="s">
        <v>432</v>
      </c>
      <c r="B49" t="str">
        <f>VLOOKUP(A49,Countries!$B$1:$D$205,2,FALSE)</f>
        <v>South Korea</v>
      </c>
      <c r="C49" t="str">
        <f>VLOOKUP(A49,Countries!$C$1:$D$205,1,TRUE)</f>
        <v>Jordan</v>
      </c>
      <c r="D49" t="s">
        <v>25213</v>
      </c>
      <c r="E49" t="s">
        <v>25234</v>
      </c>
      <c r="F49" s="3" t="s">
        <v>25235</v>
      </c>
      <c r="G49" s="3" t="s">
        <v>25236</v>
      </c>
      <c r="H49" s="3" t="s">
        <v>25237</v>
      </c>
    </row>
    <row r="50" spans="1:8" ht="58" x14ac:dyDescent="0.35">
      <c r="A50" t="s">
        <v>25155</v>
      </c>
      <c r="B50" t="e">
        <f>VLOOKUP(A50,Countries!$B$1:$D$205,2,FALSE)</f>
        <v>#N/A</v>
      </c>
      <c r="C50" t="str">
        <f>VLOOKUP(A50,Countries!$C$1:$D$205,1,TRUE)</f>
        <v>Ivory Coast</v>
      </c>
      <c r="D50" t="s">
        <v>25238</v>
      </c>
      <c r="E50" t="s">
        <v>25239</v>
      </c>
      <c r="F50" s="3" t="s">
        <v>25240</v>
      </c>
      <c r="G50" s="3" t="s">
        <v>25241</v>
      </c>
      <c r="H50" s="3" t="s">
        <v>25242</v>
      </c>
    </row>
    <row r="51" spans="1:8" ht="58" x14ac:dyDescent="0.35">
      <c r="A51" t="s">
        <v>354</v>
      </c>
      <c r="B51" t="str">
        <f>VLOOKUP(A51,Countries!$B$1:$D$205,2,FALSE)</f>
        <v>Australia</v>
      </c>
      <c r="C51" t="str">
        <f>VLOOKUP(A51,Countries!$C$1:$D$205,1,TRUE)</f>
        <v>Armenia</v>
      </c>
      <c r="D51" t="s">
        <v>25238</v>
      </c>
      <c r="E51" t="s">
        <v>25243</v>
      </c>
      <c r="F51" s="3" t="s">
        <v>25244</v>
      </c>
      <c r="G51" s="3" t="s">
        <v>25245</v>
      </c>
      <c r="H51" s="3" t="s">
        <v>25246</v>
      </c>
    </row>
    <row r="52" spans="1:8" ht="43.5" x14ac:dyDescent="0.35">
      <c r="A52" t="s">
        <v>448</v>
      </c>
      <c r="B52" t="str">
        <f>VLOOKUP(A52,Countries!$B$1:$D$205,2,FALSE)</f>
        <v>United Kingdom</v>
      </c>
      <c r="C52" t="str">
        <f>VLOOKUP(A52,Countries!$C$1:$D$205,1,TRUE)</f>
        <v>Egypt</v>
      </c>
      <c r="D52" t="s">
        <v>25238</v>
      </c>
      <c r="E52" t="s">
        <v>25247</v>
      </c>
      <c r="F52" s="3" t="s">
        <v>25248</v>
      </c>
      <c r="G52" s="3" t="s">
        <v>25249</v>
      </c>
      <c r="H52" s="3" t="s">
        <v>25250</v>
      </c>
    </row>
    <row r="53" spans="1:8" ht="101.5" x14ac:dyDescent="0.35">
      <c r="A53" t="s">
        <v>424</v>
      </c>
      <c r="B53" t="str">
        <f>VLOOKUP(A53,Countries!$B$1:$D$205,2,FALSE)</f>
        <v>Saudi Arabia</v>
      </c>
      <c r="C53" t="str">
        <f>VLOOKUP(A53,Countries!$C$1:$D$205,1,TRUE)</f>
        <v>Rusia</v>
      </c>
      <c r="D53" t="s">
        <v>25251</v>
      </c>
      <c r="E53" t="s">
        <v>25252</v>
      </c>
      <c r="F53" s="3" t="s">
        <v>25253</v>
      </c>
      <c r="G53" s="3" t="s">
        <v>25254</v>
      </c>
      <c r="H53" s="3" t="s">
        <v>25255</v>
      </c>
    </row>
    <row r="54" spans="1:8" ht="58" x14ac:dyDescent="0.35">
      <c r="A54" t="s">
        <v>450</v>
      </c>
      <c r="B54" t="str">
        <f>VLOOKUP(A54,Countries!$B$1:$D$205,2,FALSE)</f>
        <v>United States</v>
      </c>
      <c r="C54" t="str">
        <f>VLOOKUP(A54,Countries!$C$1:$D$205,1,TRUE)</f>
        <v>United States</v>
      </c>
      <c r="D54" t="s">
        <v>25251</v>
      </c>
      <c r="E54" t="s">
        <v>25256</v>
      </c>
      <c r="F54" s="3" t="s">
        <v>25257</v>
      </c>
      <c r="G54" s="3" t="s">
        <v>25258</v>
      </c>
      <c r="H54" s="3" t="s">
        <v>25259</v>
      </c>
    </row>
    <row r="55" spans="1:8" ht="43.5" x14ac:dyDescent="0.35">
      <c r="A55" t="s">
        <v>25104</v>
      </c>
      <c r="B55" t="e">
        <f>VLOOKUP(A55,Countries!$B$1:$D$205,2,FALSE)</f>
        <v>#N/A</v>
      </c>
      <c r="C55" t="str">
        <f>VLOOKUP(A55,Countries!$C$1:$D$205,1,TRUE)</f>
        <v>Morocco</v>
      </c>
      <c r="D55" t="s">
        <v>25251</v>
      </c>
      <c r="E55" t="s">
        <v>880</v>
      </c>
      <c r="F55" s="3" t="s">
        <v>25260</v>
      </c>
      <c r="G55" s="3" t="s">
        <v>25261</v>
      </c>
      <c r="H55" s="3" t="s">
        <v>25262</v>
      </c>
    </row>
    <row r="56" spans="1:8" ht="29" x14ac:dyDescent="0.35">
      <c r="A56" t="s">
        <v>297</v>
      </c>
      <c r="B56" t="str">
        <f>VLOOKUP(A56,Countries!$B$1:$D$205,2,FALSE)</f>
        <v xml:space="preserve"> Sweden</v>
      </c>
      <c r="C56" t="str">
        <f>VLOOKUP(A56,Countries!$C$1:$D$205,1,TRUE)</f>
        <v>Sudan</v>
      </c>
      <c r="D56" t="s">
        <v>25263</v>
      </c>
      <c r="E56" t="s">
        <v>1631</v>
      </c>
      <c r="F56" s="3" t="s">
        <v>25264</v>
      </c>
      <c r="G56" s="3" t="s">
        <v>25265</v>
      </c>
      <c r="H56" s="3" t="s">
        <v>25266</v>
      </c>
    </row>
    <row r="57" spans="1:8" ht="87" x14ac:dyDescent="0.35">
      <c r="A57" t="s">
        <v>187</v>
      </c>
      <c r="B57" t="str">
        <f>VLOOKUP(A57,Countries!$B$1:$D$205,2,FALSE)</f>
        <v xml:space="preserve"> Luxembourg</v>
      </c>
      <c r="C57" t="str">
        <f>VLOOKUP(A57,Countries!$C$1:$D$205,1,TRUE)</f>
        <v>Libya</v>
      </c>
      <c r="D57" t="s">
        <v>25263</v>
      </c>
      <c r="E57" t="s">
        <v>25267</v>
      </c>
      <c r="F57" s="3" t="s">
        <v>25268</v>
      </c>
      <c r="G57" s="3" t="s">
        <v>25269</v>
      </c>
      <c r="H57" s="3" t="s">
        <v>25270</v>
      </c>
    </row>
    <row r="58" spans="1:8" ht="145" x14ac:dyDescent="0.35">
      <c r="A58" t="s">
        <v>297</v>
      </c>
      <c r="B58" t="str">
        <f>VLOOKUP(A58,Countries!$B$1:$D$205,2,FALSE)</f>
        <v xml:space="preserve"> Sweden</v>
      </c>
      <c r="C58" t="str">
        <f>VLOOKUP(A58,Countries!$C$1:$D$205,1,TRUE)</f>
        <v>Sudan</v>
      </c>
      <c r="D58" t="s">
        <v>25263</v>
      </c>
      <c r="E58" t="s">
        <v>25271</v>
      </c>
      <c r="F58" s="3" t="s">
        <v>25272</v>
      </c>
      <c r="G58" s="3" t="s">
        <v>25273</v>
      </c>
      <c r="H58" s="3" t="s">
        <v>25274</v>
      </c>
    </row>
    <row r="59" spans="1:8" ht="87" x14ac:dyDescent="0.35">
      <c r="A59" t="s">
        <v>450</v>
      </c>
      <c r="B59" t="str">
        <f>VLOOKUP(A59,Countries!$B$1:$D$205,2,FALSE)</f>
        <v>United States</v>
      </c>
      <c r="C59" t="str">
        <f>VLOOKUP(A59,Countries!$C$1:$D$205,1,TRUE)</f>
        <v>United States</v>
      </c>
      <c r="D59" t="s">
        <v>1162</v>
      </c>
      <c r="E59" t="s">
        <v>25275</v>
      </c>
      <c r="F59" s="3" t="s">
        <v>25276</v>
      </c>
      <c r="G59" s="3" t="s">
        <v>25277</v>
      </c>
      <c r="H59" s="3" t="s">
        <v>25278</v>
      </c>
    </row>
    <row r="60" spans="1:8" ht="101.5" x14ac:dyDescent="0.35">
      <c r="A60" t="s">
        <v>367</v>
      </c>
      <c r="B60" t="str">
        <f>VLOOKUP(A60,Countries!$B$1:$D$205,2,FALSE)</f>
        <v>Canada</v>
      </c>
      <c r="C60" t="str">
        <f>VLOOKUP(A60,Countries!$C$1:$D$205,1,TRUE)</f>
        <v>Burkina Faso</v>
      </c>
      <c r="D60" t="s">
        <v>1162</v>
      </c>
      <c r="E60" t="s">
        <v>25279</v>
      </c>
      <c r="F60" s="3" t="s">
        <v>25280</v>
      </c>
      <c r="G60" s="3" t="s">
        <v>25281</v>
      </c>
      <c r="H60" s="3" t="s">
        <v>25282</v>
      </c>
    </row>
    <row r="61" spans="1:8" ht="87" x14ac:dyDescent="0.35">
      <c r="A61" t="s">
        <v>25071</v>
      </c>
      <c r="B61" t="e">
        <f>VLOOKUP(A61,Countries!$B$1:$D$205,2,FALSE)</f>
        <v>#N/A</v>
      </c>
      <c r="C61" t="str">
        <f>VLOOKUP(A61,Countries!$C$1:$D$205,1,TRUE)</f>
        <v>Sudan</v>
      </c>
      <c r="D61" t="s">
        <v>1162</v>
      </c>
      <c r="E61" t="s">
        <v>25283</v>
      </c>
      <c r="F61" s="3" t="s">
        <v>25284</v>
      </c>
      <c r="G61" s="3" t="s">
        <v>25285</v>
      </c>
      <c r="H61" s="3" t="s">
        <v>25286</v>
      </c>
    </row>
    <row r="62" spans="1:8" ht="72.5" x14ac:dyDescent="0.35">
      <c r="A62" t="s">
        <v>141</v>
      </c>
      <c r="B62" t="str">
        <f>VLOOKUP(A62,Countries!$B$1:$D$205,2,FALSE)</f>
        <v xml:space="preserve"> Germany</v>
      </c>
      <c r="C62" t="str">
        <f>VLOOKUP(A62,Countries!$C$1:$D$205,1,TRUE)</f>
        <v>Canada</v>
      </c>
      <c r="D62" t="s">
        <v>1162</v>
      </c>
      <c r="E62" t="s">
        <v>25287</v>
      </c>
      <c r="F62" s="3" t="s">
        <v>25288</v>
      </c>
      <c r="G62" s="3" t="s">
        <v>25289</v>
      </c>
      <c r="H62" s="3" t="s">
        <v>25290</v>
      </c>
    </row>
  </sheetData>
  <hyperlinks>
    <hyperlink ref="E11" r:id="rId1" display="SGH@" xr:uid="{0DCABC74-70CF-4855-B5C1-7E004E9489E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6EE4587747154F9DE021267C89C1A3" ma:contentTypeVersion="20" ma:contentTypeDescription="Create a new document." ma:contentTypeScope="" ma:versionID="c188f5226d2a1d6d9150ae902d6040a2">
  <xsd:schema xmlns:xsd="http://www.w3.org/2001/XMLSchema" xmlns:xs="http://www.w3.org/2001/XMLSchema" xmlns:p="http://schemas.microsoft.com/office/2006/metadata/properties" xmlns:ns2="10927aa6-8e3b-4b44-9980-45918cd82e6e" xmlns:ns3="1616bcba-7f82-40ea-98f7-51d7a24280eb" targetNamespace="http://schemas.microsoft.com/office/2006/metadata/properties" ma:root="true" ma:fieldsID="70aa18137291e7da96b9084b750af331" ns2:_="" ns3:_="">
    <xsd:import namespace="10927aa6-8e3b-4b44-9980-45918cd82e6e"/>
    <xsd:import namespace="1616bcba-7f82-40ea-98f7-51d7a24280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927aa6-8e3b-4b44-9980-45918cd82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62d490bc-a044-445c-8ab9-ad19c96d5e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16bcba-7f82-40ea-98f7-51d7a24280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a1001e0e-6929-4325-906a-36e653a581a4}" ma:internalName="TaxCatchAll" ma:showField="CatchAllData" ma:web="1616bcba-7f82-40ea-98f7-51d7a24280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0927aa6-8e3b-4b44-9980-45918cd82e6e">
      <Terms xmlns="http://schemas.microsoft.com/office/infopath/2007/PartnerControls"/>
    </lcf76f155ced4ddcb4097134ff3c332f>
    <TaxCatchAll xmlns="1616bcba-7f82-40ea-98f7-51d7a24280eb" xsi:nil="true"/>
  </documentManagement>
</p:properties>
</file>

<file path=customXml/item3.xml>��< ? x m l   v e r s i o n = " 1 . 0 "   e n c o d i n g = " u t f - 1 6 " ? > < D a t a M a s h u p   s q m i d = " c 0 b d 4 a 9 0 - 0 e 8 7 - 4 b d 0 - 9 0 8 f - 1 2 6 2 9 7 5 a c 6 7 7 "   x m l n s = " h t t p : / / s c h e m a s . m i c r o s o f t . c o m / D a t a M a s h u p " > A A A A A F k H A A B Q S w M E F A A C A A g A B G n M V j 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B G n M 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R p z F Y s V f S m U w Q A A H Y i A A A T A B w A R m 9 y b X V s Y X M v U 2 V j d G l v b j E u b S C i G A A o o B Q A A A A A A A A A A A A A A A A A A A A A A A A A A A D t W W 1 v 4 j g Q / l 6 p / 8 H K f g E J l c K 1 1 w + n 1 a o L Y a / q C 2 g B V a e q O r n J N P i a 2 J z j b B t V / e 8 3 T n g p s c N 2 g d 6 d 7 s I X 0 M x k P P E 8 z 8 z Y x O A p J j g Z 5 t + t X / b 3 9 v f i C Z X g k x G 9 C 6 F F P p I Q 1 P 4 e w c 9 Q J N I D l L h P H o Q H n U R K 4 O p a y I c 7 I R 5 q 9 e e b K x r B R y d / 0 r l 9 u e k I r t D k t p E 7 + O B 0 J p Q H 2 n k 6 B Q c 9 Z a Y H I 0 l 5 f C 9 k 1 B F h E n G t j G v 5 a o 3 n Z 2 c Q U q 6 c B l E o J w q e 1 E u D P D s d p t L m V w g w b l M n E q 5 k a s i / u P 2 z r i G 9 o I q p x I e 5 g i f R H c h c J X h Q p u v Q K f U w C F K 7 v K 5 b 9 L + m v h Q B c F J 7 C J o + T d f b q G Y q b R Y j 8 C Z c h C I w 3 8 b l I I N 0 l p Y y 7 f e i 7 P T b R E I k v m F W a k r w e B b H G V c / H x 3 o V M x 2 N F 6 k g P J 0 I S O 1 8 b B r s X e 5 T 8 a x L a p M T i 6 E R 5 U 9 d V H E 4 h h V j A f k N 6 C y u G x / C j J 7 l o Y N M u Y + S I I 4 i 5 V M M h A 3 i J C E K t I 7 6 3 4 y v H c h o h j B Q I o / E P K m / p L 5 6 A h o V G 4 y V F Q l s S 3 u K U Z o m p v Z e a k v + N B j o Q L N t q / i M V 4 S Y g g h r q 1 l t Q J n G g S o N y G 1 m x n E b / E Z 5 z T B o G n I q F O v 7 + 8 x b v f + m t w f Z i Q l t X b d q T h e c b z i + H + O 4 9 k y R x u T + 2 h 3 5 F 6 h 5 A J Z a 7 i t 9 9 / E F a b L T z y Q h m I N f / o 4 3 O T J 7 u Y u C x h e k D N 3 n k 1 D a 7 g 8 y 8 / q G j 1 8 8 R I U W i C k N 6 h l 0 k y L 2 0 X x q e + z n A U Y t 9 5 f k 0 8 7 A V q W o B x m 4 + G P N p G j 7 Z p I h b M K Z 2 8 o Z C c b A + z k n Q C 2 n C 2 u v p A R y I j h / r 2 1 l V x l u S b i f v F k b G v I l j 5 Z s C l t s m f R V E i l G 6 X 7 p H + Z E F l M D T g S c I g J 9 l y S 4 i J 1 E z X 2 v p c P B + 3 D d p v Y J 4 T i 1 D V 3 u G 7 k 6 o K i L I w L 4 H u N l J X U W Q r S y X Y F q c L L / w U v + S H m c P P z z + H u o D J U A C H J j k F E L 2 E 9 C 6 1 v Y P P d s q N u t E z a K c f 9 I 9 m K Z g 4 M u z O Z o a V g V o L T g W Q R l S l x / 0 z Y N A L L m a 6 Y 4 6 W i m O T V p v W W X v Z P N 6 l W e 3 M s t d + 7 7 F h R h e P I t 9 / t Y 5 A V c F u f o + + m v v X o + f e e r L Y a e D H L 2 1 2 b V K n + 1 6 c 6 T 9 T x 5 j k + 3 u H d W H 5 N Y c l z L w H r B C F V 2 e 2 Y y / 0 y V S 5 n Y L v 3 s B b g a / b A T J S x K Y S M g x W C Q w h 0 T 7 D q + m o C 0 u V B y O K J N j D D 6 D 9 y y 6 F s Q K W t z Z T 0 p 2 x z 9 G T U s r a 0 X N d e o / u p u A t D J a a 2 K 6 w 5 D 9 Z Q Z M y Z s u z 2 T P v Z i 5 p p m d f P f d c v 6 i 6 A B 2 p y z s U j P 4 / s S j d W 2 J 8 V l O k v Q S I 8 l 9 r X c x b D p C g w 3 n M u t 7 + M R m j J 5 W W 2 p a X j a K Y t P 7 Z L N Z B w j 6 x I J D S 7 L E b g e l Y Q S J W V v K a u f o x b 7 1 D 9 0 i B Q 9 5 Z l 0 O z 7 i 5 S 8 S 8 + 8 s U C R 9 U 5 U E + Q C 6 0 d C A 5 j N W W v Z t v K A h X p W x 5 r U A / w 2 v F 2 f j 3 r Z z c D u S / T r i r X l H x r H W 7 b m q m x X Z b s q 2 1 X Z r s r 2 + 5 X t v w B Q S w E C L Q A U A A I A C A A E a c x W O L I Z 3 a Q A A A D 2 A A A A E g A A A A A A A A A A A A A A A A A A A A A A Q 2 9 u Z m l n L 1 B h Y 2 t h Z 2 U u e G 1 s U E s B A i 0 A F A A C A A g A B G n M V g / K 6 a u k A A A A 6 Q A A A B M A A A A A A A A A A A A A A A A A 8 A A A A F t D b 2 5 0 Z W 5 0 X 1 R 5 c G V z X S 5 4 b W x Q S w E C L Q A U A A I A C A A E a c x W L F X 0 p l M E A A B 2 I g A A E w A A A A A A A A A A A A A A A A D h A Q A A R m 9 y b X V s Y X M v U 2 V j d G l v b j E u b V B L B Q Y A A A A A A w A D A M I A A A C B 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1 y w A A A A A A A B P L 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V G F i b G U 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w M C I g L z 4 8 R W 5 0 c n k g V H l w Z T 0 i R m l s b E V y c m 9 y Q 2 9 k Z S I g V m F s d W U 9 I n N V b m t u b 3 d u I i A v P j x F b n R y e S B U e X B l P S J G a W x s R X J y b 3 J D b 3 V u d C I g V m F s d W U 9 I m w w I i A v P j x F b n R y e S B U e X B l P S J G a W x s T G F z d F V w Z G F 0 Z W Q i I F Z h b H V l P S J k M j A y M y 0 w N i 0 w O F Q y M j o y O D o z N i 4 y M T A 0 M D g z W i I g L z 4 8 R W 5 0 c n k g V H l w Z T 0 i R m l s b E N v b H V t b l R 5 c G V z I i B W Y W x 1 Z T 0 i c 0 J n W U d C Z 1 V G Q l F V R k J n W U Z B d 0 F E Q m d Z Q U J n W U d C Z 1 l H I i A v P j x F b n R y e S B U e X B l P S J G a W x s Q 2 9 s d W 1 u T m F t Z X M i I F Z h b H V l P S J z W y Z x d W 9 0 O 1 B s Y W 5 0 J n F 1 b 3 Q 7 L C Z x d W 9 0 O 0 N p d H k v U m V n a W 9 u J n F 1 b 3 Q 7 L C Z x d W 9 0 O 0 N v d W 5 0 c n k m c X V v d D s s J n F 1 b 3 Q 7 R 0 V P S U Q m c X V v d D s s J n F 1 b 3 Q 7 T G F 0 a X R 1 Z G U m c X V v d D s s J n F 1 b 3 Q 7 T G 9 u Z 2 l 0 d W R l J n F 1 b 3 Q 7 L C Z x d W 9 0 O 0 N h c G F j a X R 5 I C h N V y k m c X V v d D s s J n F 1 b 3 Q 7 S H l k c m 9 n Z W 4 g K G t n L 2 R h e S k m c X V v d D s s J n F 1 b 3 Q 7 S H l k c m 9 n Z W 4 g K H Q v e X I p J n F 1 b 3 Q 7 L C Z x d W 9 0 O 1 R l Y 2 h u b 2 x v Z 3 k m c X V v d D s s J n F 1 b 3 Q 7 R W 5 l c m d 5 I F N v d X J j Z S Z x d W 9 0 O y w m c X V v d D t F b m V y Z 3 k g Q 2 F w Y W N p d H k g K E 1 X K S Z x d W 9 0 O y w m c X V v d D t D T z I g c m V t b 3 Z l Z C A o d G 9 u c y 9 5 c i k m c X V v d D s s J n F 1 b 3 Q 7 Q 2 9 z d C Z x d W 9 0 O y w m c X V v d D t D b 3 N 0 I C h V U 0 Q p J n F 1 b 3 Q 7 L C Z x d W 9 0 O 0 V u Z C B V c 2 U m c X V v d D s s J n F 1 b 3 Q 7 R W 5 k I F V z Z S B M b 2 N h d G l v b i Z x d W 9 0 O y w m c X V v d D t D b 2 1 t a X N z a W 9 u a W 5 n I F l l Y X I m c X V v d D s s J n F 1 b 3 Q 7 T 3 B l c m F 0 a W 9 u Y W w s I F V u Z G V y I E N v b n N 0 c n V j d G l v b i w g b 3 I g Y X Q g R k l E P y Z x d W 9 0 O y w m c X V v d D t E Z W 1 h b m Q g U H J v a m V j d D 8 m c X V v d D s s J n F 1 b 3 Q 7 T W l k c 3 R y Z W F t I F B y b 2 p l Y 3 Q / J n F 1 b 3 Q 7 L C Z x d W 9 0 O 1 N 0 Y X R 1 c y Z x d W 9 0 O y w m c X V v d D t D b 2 1 w Y W 5 5 J n F 1 b 3 Q 7 L C Z x d W 9 0 O 1 N v d X J j Z S Z x d W 9 0 O 1 0 i I C 8 + P E V u d H J 5 I F R 5 c G U 9 I k Z p b G x T d G F 0 d X M i I F Z h b H V l P S J z Q 2 9 t c G x l d G U i I C 8 + P E V u d H J 5 I F R 5 c G U 9 I l J l b G F 0 a W 9 u c 2 h p c E l u Z m 9 D b 2 5 0 Y W l u Z X I i I F Z h b H V l P S J z e y Z x d W 9 0 O 2 N v b H V t b k N v d W 5 0 J n F 1 b 3 Q 7 O j I 0 L C Z x d W 9 0 O 2 t l e U N v b H V t b k 5 h b W V z J n F 1 b 3 Q 7 O l t d L C Z x d W 9 0 O 3 F 1 Z X J 5 U m V s Y X R p b 2 5 z a G l w c y Z x d W 9 0 O z p b X S w m c X V v d D t j b 2 x 1 b W 5 J Z G V u d G l 0 a W V z J n F 1 b 3 Q 7 O l s m c X V v d D t T Z W N 0 a W 9 u M S 9 U Y W J s Z T E v Q X V 0 b 1 J l b W 9 2 Z W R D b 2 x 1 b W 5 z M S 5 7 U G x h b n Q s M H 0 m c X V v d D s s J n F 1 b 3 Q 7 U 2 V j d G l v b j E v V G F i b G U x L 0 F 1 d G 9 S Z W 1 v d m V k Q 2 9 s d W 1 u c z E u e 0 N p d H k v U m V n a W 9 u L D F 9 J n F 1 b 3 Q 7 L C Z x d W 9 0 O 1 N l Y 3 R p b 2 4 x L 1 R h Y m x l M S 9 B d X R v U m V t b 3 Z l Z E N v b H V t b n M x L n t D b 3 V u d H J 5 L D J 9 J n F 1 b 3 Q 7 L C Z x d W 9 0 O 1 N l Y 3 R p b 2 4 x L 1 R h Y m x l M S 9 B d X R v U m V t b 3 Z l Z E N v b H V t b n M x L n t H R U 9 J R C w z f S Z x d W 9 0 O y w m c X V v d D t T Z W N 0 a W 9 u M S 9 U Y W J s Z T E v Q X V 0 b 1 J l b W 9 2 Z W R D b 2 x 1 b W 5 z M S 5 7 T G F 0 a X R 1 Z G U s N H 0 m c X V v d D s s J n F 1 b 3 Q 7 U 2 V j d G l v b j E v V G F i b G U x L 0 F 1 d G 9 S Z W 1 v d m V k Q 2 9 s d W 1 u c z E u e 0 x v b m d p d H V k Z S w 1 f S Z x d W 9 0 O y w m c X V v d D t T Z W N 0 a W 9 u M S 9 U Y W J s Z T E v Q X V 0 b 1 J l b W 9 2 Z W R D b 2 x 1 b W 5 z M S 5 7 Q 2 F w Y W N p d H k g K E 1 X K S w 2 f S Z x d W 9 0 O y w m c X V v d D t T Z W N 0 a W 9 u M S 9 U Y W J s Z T E v Q X V 0 b 1 J l b W 9 2 Z W R D b 2 x 1 b W 5 z M S 5 7 S H l k c m 9 n Z W 4 g K G t n L 2 R h e S k s N 3 0 m c X V v d D s s J n F 1 b 3 Q 7 U 2 V j d G l v b j E v V G F i b G U x L 0 F 1 d G 9 S Z W 1 v d m V k Q 2 9 s d W 1 u c z E u e 0 h 5 Z H J v Z 2 V u I C h 0 L 3 l y K S w 4 f S Z x d W 9 0 O y w m c X V v d D t T Z W N 0 a W 9 u M S 9 U Y W J s Z T E v Q X V 0 b 1 J l b W 9 2 Z W R D b 2 x 1 b W 5 z M S 5 7 V G V j a G 5 v b G 9 n e S w 5 f S Z x d W 9 0 O y w m c X V v d D t T Z W N 0 a W 9 u M S 9 U Y W J s Z T E v Q X V 0 b 1 J l b W 9 2 Z W R D b 2 x 1 b W 5 z M S 5 7 R W 5 l c m d 5 I F N v d X J j Z S w x M H 0 m c X V v d D s s J n F 1 b 3 Q 7 U 2 V j d G l v b j E v V G F i b G U x L 0 F 1 d G 9 S Z W 1 v d m V k Q 2 9 s d W 1 u c z E u e 0 V u Z X J n e S B D Y X B h Y 2 l 0 e S A o T V c p L D E x f S Z x d W 9 0 O y w m c X V v d D t T Z W N 0 a W 9 u M S 9 U Y W J s Z T E v Q X V 0 b 1 J l b W 9 2 Z W R D b 2 x 1 b W 5 z M S 5 7 Q 0 8 y I H J l b W 9 2 Z W Q g K H R v b n M v e X I p L D E y f S Z x d W 9 0 O y w m c X V v d D t T Z W N 0 a W 9 u M S 9 U Y W J s Z T E v Q X V 0 b 1 J l b W 9 2 Z W R D b 2 x 1 b W 5 z M S 5 7 Q 2 9 z d C w x M 3 0 m c X V v d D s s J n F 1 b 3 Q 7 U 2 V j d G l v b j E v V G F i b G U x L 0 F 1 d G 9 S Z W 1 v d m V k Q 2 9 s d W 1 u c z E u e 0 N v c 3 Q g K F V T R C k s M T R 9 J n F 1 b 3 Q 7 L C Z x d W 9 0 O 1 N l Y 3 R p b 2 4 x L 1 R h Y m x l M S 9 B d X R v U m V t b 3 Z l Z E N v b H V t b n M x L n t F b m Q g V X N l L D E 1 f S Z x d W 9 0 O y w m c X V v d D t T Z W N 0 a W 9 u M S 9 U Y W J s Z T E v Q X V 0 b 1 J l b W 9 2 Z W R D b 2 x 1 b W 5 z M S 5 7 R W 5 k I F V z Z S B M b 2 N h d G l v b i w x N n 0 m c X V v d D s s J n F 1 b 3 Q 7 U 2 V j d G l v b j E v V G F i b G U x L 0 F 1 d G 9 S Z W 1 v d m V k Q 2 9 s d W 1 u c z E u e 0 N v b W 1 p c 3 N p b 2 5 p b m c g W W V h c i w x N 3 0 m c X V v d D s s J n F 1 b 3 Q 7 U 2 V j d G l v b j E v V G F i b G U x L 0 F 1 d G 9 S Z W 1 v d m V k Q 2 9 s d W 1 u c z E u e 0 9 w Z X J h d G l v b m F s L C B V b m R l c i B D b 2 5 z d H J 1 Y 3 R p b 2 4 s I G 9 y I G F 0 I E Z J R D 8 s M T h 9 J n F 1 b 3 Q 7 L C Z x d W 9 0 O 1 N l Y 3 R p b 2 4 x L 1 R h Y m x l M S 9 B d X R v U m V t b 3 Z l Z E N v b H V t b n M x L n t E Z W 1 h b m Q g U H J v a m V j d D 8 s M T l 9 J n F 1 b 3 Q 7 L C Z x d W 9 0 O 1 N l Y 3 R p b 2 4 x L 1 R h Y m x l M S 9 B d X R v U m V t b 3 Z l Z E N v b H V t b n M x L n t N a W R z d H J l Y W 0 g U H J v a m V j d D 8 s M j B 9 J n F 1 b 3 Q 7 L C Z x d W 9 0 O 1 N l Y 3 R p b 2 4 x L 1 R h Y m x l M S 9 B d X R v U m V t b 3 Z l Z E N v b H V t b n M x L n t T d G F 0 d X M s M j F 9 J n F 1 b 3 Q 7 L C Z x d W 9 0 O 1 N l Y 3 R p b 2 4 x L 1 R h Y m x l M S 9 B d X R v U m V t b 3 Z l Z E N v b H V t b n M x L n t D b 2 1 w Y W 5 5 L D I y f S Z x d W 9 0 O y w m c X V v d D t T Z W N 0 a W 9 u M S 9 U Y W J s Z T E v Q X V 0 b 1 J l b W 9 2 Z W R D b 2 x 1 b W 5 z M S 5 7 U 2 9 1 c m N l L D I z f S Z x d W 9 0 O 1 0 s J n F 1 b 3 Q 7 Q 2 9 s d W 1 u Q 2 9 1 b n Q m c X V v d D s 6 M j Q s J n F 1 b 3 Q 7 S 2 V 5 Q 2 9 s d W 1 u T m F t Z X M m c X V v d D s 6 W 1 0 s J n F 1 b 3 Q 7 Q 2 9 s d W 1 u S W R l b n R p d G l l c y Z x d W 9 0 O z p b J n F 1 b 3 Q 7 U 2 V j d G l v b j E v V G F i b G U x L 0 F 1 d G 9 S Z W 1 v d m V k Q 2 9 s d W 1 u c z E u e 1 B s Y W 5 0 L D B 9 J n F 1 b 3 Q 7 L C Z x d W 9 0 O 1 N l Y 3 R p b 2 4 x L 1 R h Y m x l M S 9 B d X R v U m V t b 3 Z l Z E N v b H V t b n M x L n t D a X R 5 L 1 J l Z 2 l v b i w x f S Z x d W 9 0 O y w m c X V v d D t T Z W N 0 a W 9 u M S 9 U Y W J s Z T E v Q X V 0 b 1 J l b W 9 2 Z W R D b 2 x 1 b W 5 z M S 5 7 Q 2 9 1 b n R y e S w y f S Z x d W 9 0 O y w m c X V v d D t T Z W N 0 a W 9 u M S 9 U Y W J s Z T E v Q X V 0 b 1 J l b W 9 2 Z W R D b 2 x 1 b W 5 z M S 5 7 R 0 V P S U Q s M 3 0 m c X V v d D s s J n F 1 b 3 Q 7 U 2 V j d G l v b j E v V G F i b G U x L 0 F 1 d G 9 S Z W 1 v d m V k Q 2 9 s d W 1 u c z E u e 0 x h d G l 0 d W R l L D R 9 J n F 1 b 3 Q 7 L C Z x d W 9 0 O 1 N l Y 3 R p b 2 4 x L 1 R h Y m x l M S 9 B d X R v U m V t b 3 Z l Z E N v b H V t b n M x L n t M b 2 5 n a X R 1 Z G U s N X 0 m c X V v d D s s J n F 1 b 3 Q 7 U 2 V j d G l v b j E v V G F i b G U x L 0 F 1 d G 9 S Z W 1 v d m V k Q 2 9 s d W 1 u c z E u e 0 N h c G F j a X R 5 I C h N V y k s N n 0 m c X V v d D s s J n F 1 b 3 Q 7 U 2 V j d G l v b j E v V G F i b G U x L 0 F 1 d G 9 S Z W 1 v d m V k Q 2 9 s d W 1 u c z E u e 0 h 5 Z H J v Z 2 V u I C h r Z y 9 k Y X k p L D d 9 J n F 1 b 3 Q 7 L C Z x d W 9 0 O 1 N l Y 3 R p b 2 4 x L 1 R h Y m x l M S 9 B d X R v U m V t b 3 Z l Z E N v b H V t b n M x L n t I e W R y b 2 d l b i A o d C 9 5 c i k s O H 0 m c X V v d D s s J n F 1 b 3 Q 7 U 2 V j d G l v b j E v V G F i b G U x L 0 F 1 d G 9 S Z W 1 v d m V k Q 2 9 s d W 1 u c z E u e 1 R l Y 2 h u b 2 x v Z 3 k s O X 0 m c X V v d D s s J n F 1 b 3 Q 7 U 2 V j d G l v b j E v V G F i b G U x L 0 F 1 d G 9 S Z W 1 v d m V k Q 2 9 s d W 1 u c z E u e 0 V u Z X J n e S B T b 3 V y Y 2 U s M T B 9 J n F 1 b 3 Q 7 L C Z x d W 9 0 O 1 N l Y 3 R p b 2 4 x L 1 R h Y m x l M S 9 B d X R v U m V t b 3 Z l Z E N v b H V t b n M x L n t F b m V y Z 3 k g Q 2 F w Y W N p d H k g K E 1 X K S w x M X 0 m c X V v d D s s J n F 1 b 3 Q 7 U 2 V j d G l v b j E v V G F i b G U x L 0 F 1 d G 9 S Z W 1 v d m V k Q 2 9 s d W 1 u c z E u e 0 N P M i B y Z W 1 v d m V k I C h 0 b 2 5 z L 3 l y K S w x M n 0 m c X V v d D s s J n F 1 b 3 Q 7 U 2 V j d G l v b j E v V G F i b G U x L 0 F 1 d G 9 S Z W 1 v d m V k Q 2 9 s d W 1 u c z E u e 0 N v c 3 Q s M T N 9 J n F 1 b 3 Q 7 L C Z x d W 9 0 O 1 N l Y 3 R p b 2 4 x L 1 R h Y m x l M S 9 B d X R v U m V t b 3 Z l Z E N v b H V t b n M x L n t D b 3 N 0 I C h V U 0 Q p L D E 0 f S Z x d W 9 0 O y w m c X V v d D t T Z W N 0 a W 9 u M S 9 U Y W J s Z T E v Q X V 0 b 1 J l b W 9 2 Z W R D b 2 x 1 b W 5 z M S 5 7 R W 5 k I F V z Z S w x N X 0 m c X V v d D s s J n F 1 b 3 Q 7 U 2 V j d G l v b j E v V G F i b G U x L 0 F 1 d G 9 S Z W 1 v d m V k Q 2 9 s d W 1 u c z E u e 0 V u Z C B V c 2 U g T G 9 j Y X R p b 2 4 s M T Z 9 J n F 1 b 3 Q 7 L C Z x d W 9 0 O 1 N l Y 3 R p b 2 4 x L 1 R h Y m x l M S 9 B d X R v U m V t b 3 Z l Z E N v b H V t b n M x L n t D b 2 1 t a X N z a W 9 u a W 5 n I F l l Y X I s M T d 9 J n F 1 b 3 Q 7 L C Z x d W 9 0 O 1 N l Y 3 R p b 2 4 x L 1 R h Y m x l M S 9 B d X R v U m V t b 3 Z l Z E N v b H V t b n M x L n t P c G V y Y X R p b 2 5 h b C w g V W 5 k Z X I g Q 2 9 u c 3 R y d W N 0 a W 9 u L C B v c i B h d C B G S U Q / L D E 4 f S Z x d W 9 0 O y w m c X V v d D t T Z W N 0 a W 9 u M S 9 U Y W J s Z T E v Q X V 0 b 1 J l b W 9 2 Z W R D b 2 x 1 b W 5 z M S 5 7 R G V t Y W 5 k I F B y b 2 p l Y 3 Q / L D E 5 f S Z x d W 9 0 O y w m c X V v d D t T Z W N 0 a W 9 u M S 9 U Y W J s Z T E v Q X V 0 b 1 J l b W 9 2 Z W R D b 2 x 1 b W 5 z M S 5 7 T W l k c 3 R y Z W F t I F B y b 2 p l Y 3 Q / L D I w f S Z x d W 9 0 O y w m c X V v d D t T Z W N 0 a W 9 u M S 9 U Y W J s Z T E v Q X V 0 b 1 J l b W 9 2 Z W R D b 2 x 1 b W 5 z M S 5 7 U 3 R h d H V z L D I x f S Z x d W 9 0 O y w m c X V v d D t T Z W N 0 a W 9 u M S 9 U Y W J s Z T E v Q X V 0 b 1 J l b W 9 2 Z W R D b 2 x 1 b W 5 z M S 5 7 Q 2 9 t c G F u e S w y M n 0 m c X V v d D s s J n F 1 b 3 Q 7 U 2 V j d G l v b j E v V G F i b G U x L 0 F 1 d G 9 S Z W 1 v d m V k Q 2 9 s d W 1 u c z E u e 1 N v d X J j Z S w y M 3 0 m c X V v d D t d L C Z x d W 9 0 O 1 J l b G F 0 a W 9 u c 2 h p c E l u Z m 8 m c X V v d D s 6 W 1 1 9 I i A v P j w v U 3 R h Y m x l R W 5 0 c m l l c z 4 8 L 0 l 0 Z W 0 + P E l 0 Z W 0 + P E l 0 Z W 1 M b 2 N h d G l v b j 4 8 S X R l b V R 5 c G U + R m 9 y b X V s Y T w v S X R l b V R 5 c G U + P E l 0 Z W 1 Q Y X R o P l N l Y 3 R p b 2 4 x L 1 R h Y m x l M S 9 T b 3 V y Y 2 U 8 L 0 l 0 Z W 1 Q Y X R o P j w v S X R l b U x v Y 2 F 0 a W 9 u P j x T d G F i b G V F b n R y a W V z I C 8 + P C 9 J d G V t P j x J d G V t P j x J d G V t T G 9 j Y X R p b 2 4 + P E l 0 Z W 1 U e X B l P k Z v c m 1 1 b G E 8 L 0 l 0 Z W 1 U e X B l P j x J d G V t U G F 0 a D 5 T Z W N 0 a W 9 u M S 9 U Y W J s Z T E v Q 2 h h b m d l Z C U y M F R 5 c G U 8 L 0 l 0 Z W 1 Q Y X R o P j w v S X R l b U x v Y 2 F 0 a W 9 u P j x T d G F i b G V F b n R y a W V z I C 8 + P C 9 J d G V t P j x J d G V t P j x J d G V t T G 9 j Y X R p b 2 4 + P E l 0 Z W 1 U e X B l P k Z v c m 1 1 b G E 8 L 0 l 0 Z W 1 U e X B l P j x J d G V t U G F 0 a D 5 T Z W N 0 a W 9 u M S 9 U Y W J s Z T E v R m l s d G V y Z W Q l M j B S b 3 d z P C 9 J d G V t U G F 0 a D 4 8 L 0 l 0 Z W 1 M b 2 N h d G l v b j 4 8 U 3 R h Y m x l R W 5 0 c m l l c y A v P j w v S X R l b T 4 8 S X R l b T 4 8 S X R l b U x v Y 2 F 0 a W 9 u P j x J d G V t V H l w Z T 5 G b 3 J t d W x h P C 9 J d G V t V H l w Z T 4 8 S X R l b V B h d G g + U 2 V j d G l v b j E v V G F i b G U x 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x l X 1 R h Y m x l M T Q i I C 8 + P E V u d H J 5 I F R 5 c G U 9 I k Z p b G x l Z E N v b X B s Z X R l U m V z d W x 0 V G 9 X b 3 J r c 2 h l Z X Q i I F Z h b H V l P S J s M S I g L z 4 8 R W 5 0 c n k g V H l w Z T 0 i U m V s Y X R p b 2 5 z a G l w S W 5 m b 0 N v b n R h a W 5 l c i I g V m F s d W U 9 I n N 7 J n F 1 b 3 Q 7 Y 2 9 s d W 1 u Q 2 9 1 b n Q m c X V v d D s 6 M j Q s J n F 1 b 3 Q 7 a 2 V 5 Q 2 9 s d W 1 u T m F t Z X M m c X V v d D s 6 W 1 0 s J n F 1 b 3 Q 7 c X V l c n l S Z W x h d G l v b n N o a X B z J n F 1 b 3 Q 7 O l t d L C Z x d W 9 0 O 2 N v b H V t b k l k Z W 5 0 a X R p Z X M m c X V v d D s 6 W y Z x d W 9 0 O 1 N l Y 3 R p b 2 4 x L 1 R h Y m x l M S A o M i k v Q X V 0 b 1 J l b W 9 2 Z W R D b 2 x 1 b W 5 z M S 5 7 U G x h b n Q s M H 0 m c X V v d D s s J n F 1 b 3 Q 7 U 2 V j d G l v b j E v V G F i b G U x I C g y K S 9 B d X R v U m V t b 3 Z l Z E N v b H V t b n M x L n t D a X R 5 L 1 J l Z 2 l v b i w x f S Z x d W 9 0 O y w m c X V v d D t T Z W N 0 a W 9 u M S 9 U Y W J s Z T E g K D I p L 0 F 1 d G 9 S Z W 1 v d m V k Q 2 9 s d W 1 u c z E u e 0 N v d W 5 0 c n k s M n 0 m c X V v d D s s J n F 1 b 3 Q 7 U 2 V j d G l v b j E v V G F i b G U x I C g y K S 9 B d X R v U m V t b 3 Z l Z E N v b H V t b n M x L n t H R U 9 J R C w z f S Z x d W 9 0 O y w m c X V v d D t T Z W N 0 a W 9 u M S 9 U Y W J s Z T E g K D I p L 0 F 1 d G 9 S Z W 1 v d m V k Q 2 9 s d W 1 u c z E u e 0 x h d G l 0 d W R l L D R 9 J n F 1 b 3 Q 7 L C Z x d W 9 0 O 1 N l Y 3 R p b 2 4 x L 1 R h Y m x l M S A o M i k v Q X V 0 b 1 J l b W 9 2 Z W R D b 2 x 1 b W 5 z M S 5 7 T G 9 u Z 2 l 0 d W R l L D V 9 J n F 1 b 3 Q 7 L C Z x d W 9 0 O 1 N l Y 3 R p b 2 4 x L 1 R h Y m x l M S A o M i k v Q X V 0 b 1 J l b W 9 2 Z W R D b 2 x 1 b W 5 z M S 5 7 Q 2 F w Y W N p d H k g K E 1 X K S w 2 f S Z x d W 9 0 O y w m c X V v d D t T Z W N 0 a W 9 u M S 9 U Y W J s Z T E g K D I p L 0 F 1 d G 9 S Z W 1 v d m V k Q 2 9 s d W 1 u c z E u e 0 h 5 Z H J v Z 2 V u I C h r Z y 9 k Y X k p L D d 9 J n F 1 b 3 Q 7 L C Z x d W 9 0 O 1 N l Y 3 R p b 2 4 x L 1 R h Y m x l M S A o M i k v Q X V 0 b 1 J l b W 9 2 Z W R D b 2 x 1 b W 5 z M S 5 7 S H l k c m 9 n Z W 4 g K H Q v e X I p L D h 9 J n F 1 b 3 Q 7 L C Z x d W 9 0 O 1 N l Y 3 R p b 2 4 x L 1 R h Y m x l M S A o M i k v Q X V 0 b 1 J l b W 9 2 Z W R D b 2 x 1 b W 5 z M S 5 7 V G V j a G 5 v b G 9 n e S w 5 f S Z x d W 9 0 O y w m c X V v d D t T Z W N 0 a W 9 u M S 9 U Y W J s Z T E g K D I p L 0 F 1 d G 9 S Z W 1 v d m V k Q 2 9 s d W 1 u c z E u e 0 V u Z X J n e S B T b 3 V y Y 2 U s M T B 9 J n F 1 b 3 Q 7 L C Z x d W 9 0 O 1 N l Y 3 R p b 2 4 x L 1 R h Y m x l M S A o M i k v Q X V 0 b 1 J l b W 9 2 Z W R D b 2 x 1 b W 5 z M S 5 7 R W 5 l c m d 5 I E N h c G F j a X R 5 I C h N V y k s M T F 9 J n F 1 b 3 Q 7 L C Z x d W 9 0 O 1 N l Y 3 R p b 2 4 x L 1 R h Y m x l M S A o M i k v Q X V 0 b 1 J l b W 9 2 Z W R D b 2 x 1 b W 5 z M S 5 7 Q 0 8 y I H J l b W 9 2 Z W Q g K H R v b n M v e X I p L D E y f S Z x d W 9 0 O y w m c X V v d D t T Z W N 0 a W 9 u M S 9 U Y W J s Z T E g K D I p L 0 F 1 d G 9 S Z W 1 v d m V k Q 2 9 s d W 1 u c z E u e 0 N v c 3 Q s M T N 9 J n F 1 b 3 Q 7 L C Z x d W 9 0 O 1 N l Y 3 R p b 2 4 x L 1 R h Y m x l M S A o M i k v Q X V 0 b 1 J l b W 9 2 Z W R D b 2 x 1 b W 5 z M S 5 7 Q 2 9 z d C A o V V N E K S w x N H 0 m c X V v d D s s J n F 1 b 3 Q 7 U 2 V j d G l v b j E v V G F i b G U x I C g y K S 9 B d X R v U m V t b 3 Z l Z E N v b H V t b n M x L n t F b m Q g V X N l L D E 1 f S Z x d W 9 0 O y w m c X V v d D t T Z W N 0 a W 9 u M S 9 U Y W J s Z T E g K D I p L 0 F 1 d G 9 S Z W 1 v d m V k Q 2 9 s d W 1 u c z E u e 0 V u Z C B V c 2 U g T G 9 j Y X R p b 2 4 s M T Z 9 J n F 1 b 3 Q 7 L C Z x d W 9 0 O 1 N l Y 3 R p b 2 4 x L 1 R h Y m x l M S A o M i k v Q X V 0 b 1 J l b W 9 2 Z W R D b 2 x 1 b W 5 z M S 5 7 Q 2 9 t b W l z c 2 l v b m l u Z y B Z Z W F y L D E 3 f S Z x d W 9 0 O y w m c X V v d D t T Z W N 0 a W 9 u M S 9 U Y W J s Z T E g K D I p L 0 F 1 d G 9 S Z W 1 v d m V k Q 2 9 s d W 1 u c z E u e 0 9 w Z X J h d G l v b m F s L C B V b m R l c i B D b 2 5 z d H J 1 Y 3 R p b 2 4 s I G 9 y I G F 0 I E Z J R D 8 s M T h 9 J n F 1 b 3 Q 7 L C Z x d W 9 0 O 1 N l Y 3 R p b 2 4 x L 1 R h Y m x l M S A o M i k v Q X V 0 b 1 J l b W 9 2 Z W R D b 2 x 1 b W 5 z M S 5 7 R G V t Y W 5 k I F B y b 2 p l Y 3 Q / L D E 5 f S Z x d W 9 0 O y w m c X V v d D t T Z W N 0 a W 9 u M S 9 U Y W J s Z T E g K D I p L 0 F 1 d G 9 S Z W 1 v d m V k Q 2 9 s d W 1 u c z E u e 0 1 p Z H N 0 c m V h b S B Q c m 9 q Z W N 0 P y w y M H 0 m c X V v d D s s J n F 1 b 3 Q 7 U 2 V j d G l v b j E v V G F i b G U x I C g y K S 9 B d X R v U m V t b 3 Z l Z E N v b H V t b n M x L n t T d G F 0 d X M s M j F 9 J n F 1 b 3 Q 7 L C Z x d W 9 0 O 1 N l Y 3 R p b 2 4 x L 1 R h Y m x l M S A o M i k v Q X V 0 b 1 J l b W 9 2 Z W R D b 2 x 1 b W 5 z M S 5 7 Q 2 9 t c G F u e S w y M n 0 m c X V v d D s s J n F 1 b 3 Q 7 U 2 V j d G l v b j E v V G F i b G U x I C g y K S 9 B d X R v U m V t b 3 Z l Z E N v b H V t b n M x L n t T b 3 V y Y 2 U s M j N 9 J n F 1 b 3 Q 7 X S w m c X V v d D t D b 2 x 1 b W 5 D b 3 V u d C Z x d W 9 0 O z o y N C w m c X V v d D t L Z X l D b 2 x 1 b W 5 O Y W 1 l c y Z x d W 9 0 O z p b X S w m c X V v d D t D b 2 x 1 b W 5 J Z G V u d G l 0 a W V z J n F 1 b 3 Q 7 O l s m c X V v d D t T Z W N 0 a W 9 u M S 9 U Y W J s Z T E g K D I p L 0 F 1 d G 9 S Z W 1 v d m V k Q 2 9 s d W 1 u c z E u e 1 B s Y W 5 0 L D B 9 J n F 1 b 3 Q 7 L C Z x d W 9 0 O 1 N l Y 3 R p b 2 4 x L 1 R h Y m x l M S A o M i k v Q X V 0 b 1 J l b W 9 2 Z W R D b 2 x 1 b W 5 z M S 5 7 Q 2 l 0 e S 9 S Z W d p b 2 4 s M X 0 m c X V v d D s s J n F 1 b 3 Q 7 U 2 V j d G l v b j E v V G F i b G U x I C g y K S 9 B d X R v U m V t b 3 Z l Z E N v b H V t b n M x L n t D b 3 V u d H J 5 L D J 9 J n F 1 b 3 Q 7 L C Z x d W 9 0 O 1 N l Y 3 R p b 2 4 x L 1 R h Y m x l M S A o M i k v Q X V 0 b 1 J l b W 9 2 Z W R D b 2 x 1 b W 5 z M S 5 7 R 0 V P S U Q s M 3 0 m c X V v d D s s J n F 1 b 3 Q 7 U 2 V j d G l v b j E v V G F i b G U x I C g y K S 9 B d X R v U m V t b 3 Z l Z E N v b H V t b n M x L n t M Y X R p d H V k Z S w 0 f S Z x d W 9 0 O y w m c X V v d D t T Z W N 0 a W 9 u M S 9 U Y W J s Z T E g K D I p L 0 F 1 d G 9 S Z W 1 v d m V k Q 2 9 s d W 1 u c z E u e 0 x v b m d p d H V k Z S w 1 f S Z x d W 9 0 O y w m c X V v d D t T Z W N 0 a W 9 u M S 9 U Y W J s Z T E g K D I p L 0 F 1 d G 9 S Z W 1 v d m V k Q 2 9 s d W 1 u c z E u e 0 N h c G F j a X R 5 I C h N V y k s N n 0 m c X V v d D s s J n F 1 b 3 Q 7 U 2 V j d G l v b j E v V G F i b G U x I C g y K S 9 B d X R v U m V t b 3 Z l Z E N v b H V t b n M x L n t I e W R y b 2 d l b i A o a 2 c v Z G F 5 K S w 3 f S Z x d W 9 0 O y w m c X V v d D t T Z W N 0 a W 9 u M S 9 U Y W J s Z T E g K D I p L 0 F 1 d G 9 S Z W 1 v d m V k Q 2 9 s d W 1 u c z E u e 0 h 5 Z H J v Z 2 V u I C h 0 L 3 l y K S w 4 f S Z x d W 9 0 O y w m c X V v d D t T Z W N 0 a W 9 u M S 9 U Y W J s Z T E g K D I p L 0 F 1 d G 9 S Z W 1 v d m V k Q 2 9 s d W 1 u c z E u e 1 R l Y 2 h u b 2 x v Z 3 k s O X 0 m c X V v d D s s J n F 1 b 3 Q 7 U 2 V j d G l v b j E v V G F i b G U x I C g y K S 9 B d X R v U m V t b 3 Z l Z E N v b H V t b n M x L n t F b m V y Z 3 k g U 2 9 1 c m N l L D E w f S Z x d W 9 0 O y w m c X V v d D t T Z W N 0 a W 9 u M S 9 U Y W J s Z T E g K D I p L 0 F 1 d G 9 S Z W 1 v d m V k Q 2 9 s d W 1 u c z E u e 0 V u Z X J n e S B D Y X B h Y 2 l 0 e S A o T V c p L D E x f S Z x d W 9 0 O y w m c X V v d D t T Z W N 0 a W 9 u M S 9 U Y W J s Z T E g K D I p L 0 F 1 d G 9 S Z W 1 v d m V k Q 2 9 s d W 1 u c z E u e 0 N P M i B y Z W 1 v d m V k I C h 0 b 2 5 z L 3 l y K S w x M n 0 m c X V v d D s s J n F 1 b 3 Q 7 U 2 V j d G l v b j E v V G F i b G U x I C g y K S 9 B d X R v U m V t b 3 Z l Z E N v b H V t b n M x L n t D b 3 N 0 L D E z f S Z x d W 9 0 O y w m c X V v d D t T Z W N 0 a W 9 u M S 9 U Y W J s Z T E g K D I p L 0 F 1 d G 9 S Z W 1 v d m V k Q 2 9 s d W 1 u c z E u e 0 N v c 3 Q g K F V T R C k s M T R 9 J n F 1 b 3 Q 7 L C Z x d W 9 0 O 1 N l Y 3 R p b 2 4 x L 1 R h Y m x l M S A o M i k v Q X V 0 b 1 J l b W 9 2 Z W R D b 2 x 1 b W 5 z M S 5 7 R W 5 k I F V z Z S w x N X 0 m c X V v d D s s J n F 1 b 3 Q 7 U 2 V j d G l v b j E v V G F i b G U x I C g y K S 9 B d X R v U m V t b 3 Z l Z E N v b H V t b n M x L n t F b m Q g V X N l I E x v Y 2 F 0 a W 9 u L D E 2 f S Z x d W 9 0 O y w m c X V v d D t T Z W N 0 a W 9 u M S 9 U Y W J s Z T E g K D I p L 0 F 1 d G 9 S Z W 1 v d m V k Q 2 9 s d W 1 u c z E u e 0 N v b W 1 p c 3 N p b 2 5 p b m c g W W V h c i w x N 3 0 m c X V v d D s s J n F 1 b 3 Q 7 U 2 V j d G l v b j E v V G F i b G U x I C g y K S 9 B d X R v U m V t b 3 Z l Z E N v b H V t b n M x L n t P c G V y Y X R p b 2 5 h b C w g V W 5 k Z X I g Q 2 9 u c 3 R y d W N 0 a W 9 u L C B v c i B h d C B G S U Q / L D E 4 f S Z x d W 9 0 O y w m c X V v d D t T Z W N 0 a W 9 u M S 9 U Y W J s Z T E g K D I p L 0 F 1 d G 9 S Z W 1 v d m V k Q 2 9 s d W 1 u c z E u e 0 R l b W F u Z C B Q c m 9 q Z W N 0 P y w x O X 0 m c X V v d D s s J n F 1 b 3 Q 7 U 2 V j d G l v b j E v V G F i b G U x I C g y K S 9 B d X R v U m V t b 3 Z l Z E N v b H V t b n M x L n t N a W R z d H J l Y W 0 g U H J v a m V j d D 8 s M j B 9 J n F 1 b 3 Q 7 L C Z x d W 9 0 O 1 N l Y 3 R p b 2 4 x L 1 R h Y m x l M S A o M i k v Q X V 0 b 1 J l b W 9 2 Z W R D b 2 x 1 b W 5 z M S 5 7 U 3 R h d H V z L D I x f S Z x d W 9 0 O y w m c X V v d D t T Z W N 0 a W 9 u M S 9 U Y W J s Z T E g K D I p L 0 F 1 d G 9 S Z W 1 v d m V k Q 2 9 s d W 1 u c z E u e 0 N v b X B h b n k s M j J 9 J n F 1 b 3 Q 7 L C Z x d W 9 0 O 1 N l Y 3 R p b 2 4 x L 1 R h Y m x l M S A o M i k v Q X V 0 b 1 J l b W 9 2 Z W R D b 2 x 1 b W 5 z M S 5 7 U 2 9 1 c m N l L D I z f S Z x d W 9 0 O 1 0 s J n F 1 b 3 Q 7 U m V s Y X R p b 2 5 z a G l w S W 5 m b y Z x d W 9 0 O z p b X X 0 i I C 8 + P E V u d H J 5 I F R 5 c G U 9 I k Z p b G x D b 2 x 1 b W 5 O Y W 1 l c y I g V m F s d W U 9 I n N b J n F 1 b 3 Q 7 U G x h b n Q m c X V v d D s s J n F 1 b 3 Q 7 Q 2 l 0 e S 9 S Z W d p b 2 4 m c X V v d D s s J n F 1 b 3 Q 7 Q 2 9 1 b n R y e S Z x d W 9 0 O y w m c X V v d D t H R U 9 J R C Z x d W 9 0 O y w m c X V v d D t M Y X R p d H V k Z S Z x d W 9 0 O y w m c X V v d D t M b 2 5 n a X R 1 Z G U m c X V v d D s s J n F 1 b 3 Q 7 Q 2 F w Y W N p d H k g K E 1 X K S Z x d W 9 0 O y w m c X V v d D t I e W R y b 2 d l b i A o a 2 c v Z G F 5 K S Z x d W 9 0 O y w m c X V v d D t I e W R y b 2 d l b i A o d C 9 5 c i k m c X V v d D s s J n F 1 b 3 Q 7 V G V j a G 5 v b G 9 n e S Z x d W 9 0 O y w m c X V v d D t F b m V y Z 3 k g U 2 9 1 c m N l J n F 1 b 3 Q 7 L C Z x d W 9 0 O 0 V u Z X J n e S B D Y X B h Y 2 l 0 e S A o T V c p J n F 1 b 3 Q 7 L C Z x d W 9 0 O 0 N P M i B y Z W 1 v d m V k I C h 0 b 2 5 z L 3 l y K S Z x d W 9 0 O y w m c X V v d D t D b 3 N 0 J n F 1 b 3 Q 7 L C Z x d W 9 0 O 0 N v c 3 Q g K F V T R C k m c X V v d D s s J n F 1 b 3 Q 7 R W 5 k I F V z Z S Z x d W 9 0 O y w m c X V v d D t F b m Q g V X N l I E x v Y 2 F 0 a W 9 u J n F 1 b 3 Q 7 L C Z x d W 9 0 O 0 N v b W 1 p c 3 N p b 2 5 p b m c g W W V h c i Z x d W 9 0 O y w m c X V v d D t P c G V y Y X R p b 2 5 h b C w g V W 5 k Z X I g Q 2 9 u c 3 R y d W N 0 a W 9 u L C B v c i B h d C B G S U Q / J n F 1 b 3 Q 7 L C Z x d W 9 0 O 0 R l b W F u Z C B Q c m 9 q Z W N 0 P y Z x d W 9 0 O y w m c X V v d D t N a W R z d H J l Y W 0 g U H J v a m V j d D 8 m c X V v d D s s J n F 1 b 3 Q 7 U 3 R h d H V z J n F 1 b 3 Q 7 L C Z x d W 9 0 O 0 N v b X B h b n k m c X V v d D s s J n F 1 b 3 Q 7 U 2 9 1 c m N l J n F 1 b 3 Q 7 X S I g L z 4 8 R W 5 0 c n k g V H l w Z T 0 i R m l s b E N v b H V t b l R 5 c G V z I i B W Y W x 1 Z T 0 i c 0 J n W U d C Z 1 V G Q l F V R k J n W U Z B d 0 F E Q m d Z Q U J n W U d C Z 1 l H I i A v P j x F b n R y e S B U e X B l P S J G a W x s T G F z d F V w Z G F 0 Z W Q i I F Z h b H V l P S J k M j A y M y 0 w N i 0 w O F Q y M j o z M T o 0 M i 4 3 M j U x O T c 0 W i I g L z 4 8 R W 5 0 c n k g V H l w Z T 0 i R m l s b E V y c m 9 y Q 2 9 1 b n Q i I F Z h b H V l P S J s M C I g L z 4 8 R W 5 0 c n k g V H l w Z T 0 i R m l s b E V y c m 9 y Q 2 9 k Z S I g V m F s d W U 9 I n N V b m t u b 3 d u I i A v P j x F b n R y e S B U e X B l P S J G a W x s Q 2 9 1 b n Q i I F Z h b H V l P S J s M T A w I i A v P j x F b n R y e S B U e X B l P S J G a W x s U 3 R h d H V z I i B W Y W x 1 Z T 0 i c 0 N v b X B s Z X R l I i A v P j x F b n R y e S B U e X B l P S J B Z G R l Z F R v R G F 0 Y U 1 v Z G V s I i B W Y W x 1 Z T 0 i b D A i I C 8 + P E V u d H J 5 I F R 5 c G U 9 I k x v Y W R l Z F R v Q W 5 h b H l z a X N T Z X J 2 a W N l c y I g V m F s d W U 9 I m w w I i A v P j x F b n R y e S B U e X B l P S J R d W V y e U l E I i B W Y W x 1 Z T 0 i c z V h Z D Q 2 O G M w L T g 0 Z D A t N G Z h N S 0 4 M D I x L T g 5 M j A w N j I 0 N D Y 1 Y i I g L z 4 8 L 1 N 0 Y W J s Z U V u d H J p Z X M + P C 9 J d G V t P j x J d G V t P j x J d G V t T G 9 j Y X R p b 2 4 + P E l 0 Z W 1 U e X B l P k Z v c m 1 1 b G E 8 L 0 l 0 Z W 1 U e X B l P j x J d G V t U G F 0 a D 5 T Z W N 0 a W 9 u M S 9 U Y W J s Z T E l M j A o M i k v U 2 9 1 c m N l P C 9 J d G V t U G F 0 a D 4 8 L 0 l 0 Z W 1 M b 2 N h d G l v b j 4 8 U 3 R h Y m x l R W 5 0 c m l l c y A v P j w v S X R l b T 4 8 S X R l b T 4 8 S X R l b U x v Y 2 F 0 a W 9 u P j x J d G V t V H l w Z T 5 G b 3 J t d W x h P C 9 J d G V t V H l w Z T 4 8 S X R l b V B h d G g + U 2 V j d G l v b j E v V G F i b G U x J T I w K D I p L 0 N o Y W 5 n Z W Q l M j B U e X B l P C 9 J d G V t U G F 0 a D 4 8 L 0 l 0 Z W 1 M b 2 N h d G l v b j 4 8 U 3 R h Y m x l R W 5 0 c m l l c y A v P j w v S X R l b T 4 8 S X R l b T 4 8 S X R l b U x v Y 2 F 0 a W 9 u P j x J d G V t V H l w Z T 5 G b 3 J t d W x h P C 9 J d G V t V H l w Z T 4 8 S X R l b V B h d G g + U 2 V j d G l v b j E v V G F i b G U x J T I w K D I p L 0 Z p b H R l c m V k J T I w U m 9 3 c z w v S X R l b V B h d G g + P C 9 J d G V t T G 9 j Y X R p b 2 4 + P F N 0 Y W J s Z U V u d H J p Z X M g L z 4 8 L 0 l 0 Z W 0 + P E l 0 Z W 0 + P E l 0 Z W 1 M b 2 N h d G l v b j 4 8 S X R l b V R 5 c G U + R m 9 y b X V s Y T w v S X R l b V R 5 c G U + P E l 0 Z W 1 Q Y X R o P l N l Y 3 R p b 2 4 x L 1 R h Y m x l 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O S I g L z 4 8 R W 5 0 c n k g V H l w Z T 0 i R m l s b E V y c m 9 y Q 2 9 k Z S I g V m F s d W U 9 I n N V b m t u b 3 d u I i A v P j x F b n R y e S B U e X B l P S J G a W x s R X J y b 3 J D b 3 V u d C I g V m F s d W U 9 I m w w I i A v P j x F b n R y e S B U e X B l P S J G a W x s T G F z d F V w Z G F 0 Z W Q i I F Z h b H V l P S J k M j A y M y 0 w N i 0 w O V Q x M j o 0 N z o w M y 4 1 M T c 4 M z k 1 W i I g L z 4 8 R W 5 0 c n k g V H l w Z T 0 i R m l s b E N v b H V t b l R 5 c G V z I i B W Y W x 1 Z T 0 i c 0 F B W U d C Z 1 l E Q l F Z R 0 J n Q U F C Z z 0 9 I i A v P j x F b n R y e S B U e X B l P S J G a W x s Q 2 9 s d W 1 u T m F t Z X M i I F Z h b H V l P S J z W y Z x d W 9 0 O 0 d F T 0 l E J n F 1 b 3 Q 7 L C Z x d W 9 0 O 0 N p d H k v U m V n a W 9 u J n F 1 b 3 Q 7 L C Z x d W 9 0 O 1 N 0 Y X R l J n F 1 b 3 Q 7 L C Z x d W 9 0 O 1 B y b 2 R 1 Y 2 V y J n F 1 b 3 Q 7 L C Z x d W 9 0 O 1 R l Y 2 h u b 2 x v Z 3 k m c X V v d D s s J n F 1 b 3 Q 7 T 2 4 g U 3 R y Z W F t I E R h d G U m c X V v d D s s J n F 1 b 3 Q 7 S H l k c m 9 n Z W 4 g U H J v Z H V j d G l v b i A o a 2 c v Z G F 5 K S Z x d W 9 0 O y w m c X V v d D t U e X B l J n F 1 b 3 Q 7 L C Z x d W 9 0 O 0 Z v c m 0 m c X V v d D s s J n F 1 b 3 Q 7 R G V t Y W 5 k J n F 1 b 3 Q 7 L C Z x d W 9 0 O 0 N v b H V t b j E m c X V v d D s s J n F 1 b 3 Q 7 Q 2 9 s d W 1 u M i Z x d W 9 0 O y w m c X V v d D t B Z G R p d G l v b m F s I E l u Z m 9 y b W F 0 a W 9 u 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1 R h Y m x l N C 9 B d X R v U m V t b 3 Z l Z E N v b H V t b n M x L n t H R U 9 J R C w w f S Z x d W 9 0 O y w m c X V v d D t T Z W N 0 a W 9 u M S 9 U Y W J s Z T Q v Q X V 0 b 1 J l b W 9 2 Z W R D b 2 x 1 b W 5 z M S 5 7 Q 2 l 0 e S 9 S Z W d p b 2 4 s M X 0 m c X V v d D s s J n F 1 b 3 Q 7 U 2 V j d G l v b j E v V G F i b G U 0 L 0 F 1 d G 9 S Z W 1 v d m V k Q 2 9 s d W 1 u c z E u e 1 N 0 Y X R l L D J 9 J n F 1 b 3 Q 7 L C Z x d W 9 0 O 1 N l Y 3 R p b 2 4 x L 1 R h Y m x l N C 9 B d X R v U m V t b 3 Z l Z E N v b H V t b n M x L n t Q c m 9 k d W N l c i w z f S Z x d W 9 0 O y w m c X V v d D t T Z W N 0 a W 9 u M S 9 U Y W J s Z T Q v Q X V 0 b 1 J l b W 9 2 Z W R D b 2 x 1 b W 5 z M S 5 7 V G V j a G 5 v b G 9 n e S w 0 f S Z x d W 9 0 O y w m c X V v d D t T Z W N 0 a W 9 u M S 9 U Y W J s Z T Q v Q X V 0 b 1 J l b W 9 2 Z W R D b 2 x 1 b W 5 z M S 5 7 T 2 4 g U 3 R y Z W F t I E R h d G U s N X 0 m c X V v d D s s J n F 1 b 3 Q 7 U 2 V j d G l v b j E v V G F i b G U 0 L 0 F 1 d G 9 S Z W 1 v d m V k Q 2 9 s d W 1 u c z E u e 0 h 5 Z H J v Z 2 V u I F B y b 2 R 1 Y 3 R p b 2 4 g K G t n L 2 R h e S k s N n 0 m c X V v d D s s J n F 1 b 3 Q 7 U 2 V j d G l v b j E v V G F i b G U 0 L 0 F 1 d G 9 S Z W 1 v d m V k Q 2 9 s d W 1 u c z E u e 1 R 5 c G U s N 3 0 m c X V v d D s s J n F 1 b 3 Q 7 U 2 V j d G l v b j E v V G F i b G U 0 L 0 F 1 d G 9 S Z W 1 v d m V k Q 2 9 s d W 1 u c z E u e 0 Z v c m 0 s O H 0 m c X V v d D s s J n F 1 b 3 Q 7 U 2 V j d G l v b j E v V G F i b G U 0 L 0 F 1 d G 9 S Z W 1 v d m V k Q 2 9 s d W 1 u c z E u e 0 R l b W F u Z C w 5 f S Z x d W 9 0 O y w m c X V v d D t T Z W N 0 a W 9 u M S 9 U Y W J s Z T Q v Q X V 0 b 1 J l b W 9 2 Z W R D b 2 x 1 b W 5 z M S 5 7 Q 2 9 s d W 1 u M S w x M H 0 m c X V v d D s s J n F 1 b 3 Q 7 U 2 V j d G l v b j E v V G F i b G U 0 L 0 F 1 d G 9 S Z W 1 v d m V k Q 2 9 s d W 1 u c z E u e 0 N v b H V t b j I s M T F 9 J n F 1 b 3 Q 7 L C Z x d W 9 0 O 1 N l Y 3 R p b 2 4 x L 1 R h Y m x l N C 9 B d X R v U m V t b 3 Z l Z E N v b H V t b n M x L n t B Z G R p d G l v b m F s I E l u Z m 9 y b W F 0 a W 9 u L D E y f S Z x d W 9 0 O 1 0 s J n F 1 b 3 Q 7 Q 2 9 s d W 1 u Q 2 9 1 b n Q m c X V v d D s 6 M T M s J n F 1 b 3 Q 7 S 2 V 5 Q 2 9 s d W 1 u T m F t Z X M m c X V v d D s 6 W 1 0 s J n F 1 b 3 Q 7 Q 2 9 s d W 1 u S W R l b n R p d G l l c y Z x d W 9 0 O z p b J n F 1 b 3 Q 7 U 2 V j d G l v b j E v V G F i b G U 0 L 0 F 1 d G 9 S Z W 1 v d m V k Q 2 9 s d W 1 u c z E u e 0 d F T 0 l E L D B 9 J n F 1 b 3 Q 7 L C Z x d W 9 0 O 1 N l Y 3 R p b 2 4 x L 1 R h Y m x l N C 9 B d X R v U m V t b 3 Z l Z E N v b H V t b n M x L n t D a X R 5 L 1 J l Z 2 l v b i w x f S Z x d W 9 0 O y w m c X V v d D t T Z W N 0 a W 9 u M S 9 U Y W J s Z T Q v Q X V 0 b 1 J l b W 9 2 Z W R D b 2 x 1 b W 5 z M S 5 7 U 3 R h d G U s M n 0 m c X V v d D s s J n F 1 b 3 Q 7 U 2 V j d G l v b j E v V G F i b G U 0 L 0 F 1 d G 9 S Z W 1 v d m V k Q 2 9 s d W 1 u c z E u e 1 B y b 2 R 1 Y 2 V y L D N 9 J n F 1 b 3 Q 7 L C Z x d W 9 0 O 1 N l Y 3 R p b 2 4 x L 1 R h Y m x l N C 9 B d X R v U m V t b 3 Z l Z E N v b H V t b n M x L n t U Z W N o b m 9 s b 2 d 5 L D R 9 J n F 1 b 3 Q 7 L C Z x d W 9 0 O 1 N l Y 3 R p b 2 4 x L 1 R h Y m x l N C 9 B d X R v U m V t b 3 Z l Z E N v b H V t b n M x L n t P b i B T d H J l Y W 0 g R G F 0 Z S w 1 f S Z x d W 9 0 O y w m c X V v d D t T Z W N 0 a W 9 u M S 9 U Y W J s Z T Q v Q X V 0 b 1 J l b W 9 2 Z W R D b 2 x 1 b W 5 z M S 5 7 S H l k c m 9 n Z W 4 g U H J v Z H V j d G l v b i A o a 2 c v Z G F 5 K S w 2 f S Z x d W 9 0 O y w m c X V v d D t T Z W N 0 a W 9 u M S 9 U Y W J s Z T Q v Q X V 0 b 1 J l b W 9 2 Z W R D b 2 x 1 b W 5 z M S 5 7 V H l w Z S w 3 f S Z x d W 9 0 O y w m c X V v d D t T Z W N 0 a W 9 u M S 9 U Y W J s Z T Q v Q X V 0 b 1 J l b W 9 2 Z W R D b 2 x 1 b W 5 z M S 5 7 R m 9 y b S w 4 f S Z x d W 9 0 O y w m c X V v d D t T Z W N 0 a W 9 u M S 9 U Y W J s Z T Q v Q X V 0 b 1 J l b W 9 2 Z W R D b 2 x 1 b W 5 z M S 5 7 R G V t Y W 5 k L D l 9 J n F 1 b 3 Q 7 L C Z x d W 9 0 O 1 N l Y 3 R p b 2 4 x L 1 R h Y m x l N C 9 B d X R v U m V t b 3 Z l Z E N v b H V t b n M x L n t D b 2 x 1 b W 4 x L D E w f S Z x d W 9 0 O y w m c X V v d D t T Z W N 0 a W 9 u M S 9 U Y W J s Z T Q v Q X V 0 b 1 J l b W 9 2 Z W R D b 2 x 1 b W 5 z M S 5 7 Q 2 9 s d W 1 u M i w x M X 0 m c X V v d D s s J n F 1 b 3 Q 7 U 2 V j d G l v b j E v V G F i b G U 0 L 0 F 1 d G 9 S Z W 1 v d m V k Q 2 9 s d W 1 u c z E u e 0 F k Z G l 0 a W 9 u Y W w g S W 5 m b 3 J t Y X R p b 2 4 s M T J 9 J n F 1 b 3 Q 7 X S w m c X V v d D t S Z W x h d G l v b n N o a X B J b m Z v J n F 1 b 3 Q 7 O l t d f S I g L z 4 8 L 1 N 0 Y W J s Z U V u d H J p Z X M + P C 9 J d G V t P j x J d G V t P j x J d G V t T G 9 j Y X R p b 2 4 + P E l 0 Z W 1 U e X B l P k Z v c m 1 1 b G E 8 L 0 l 0 Z W 1 U e X B l P j x J d G V t U G F 0 a D 5 T Z W N 0 a W 9 u M S 9 U Y W J s Z T Q v U 2 9 1 c m N l P C 9 J d G V t U G F 0 a D 4 8 L 0 l 0 Z W 1 M b 2 N h d G l v b j 4 8 U 3 R h Y m x l R W 5 0 c m l l c y A v P j w v S X R l b T 4 8 S X R l b T 4 8 S X R l b U x v Y 2 F 0 a W 9 u P j x J d G V t V H l w Z T 5 G b 3 J t d W x h P C 9 J d G V t V H l w Z T 4 8 S X R l b V B h d G g + U 2 V j d G l v b j E v V G F i b G U 0 L 0 N o Y W 5 n Z W Q l M j B U e X B l P C 9 J d G V t U G F 0 a D 4 8 L 0 l 0 Z W 1 M b 2 N h d G l v b j 4 8 U 3 R h Y m x l R W 5 0 c m l l c y A v P j w v S X R l b T 4 8 S X R l b T 4 8 S X R l b U x v Y 2 F 0 a W 9 u P j x J d G V t V H l w Z T 5 G b 3 J t d W x h P C 9 J d G V t V H l w Z T 4 8 S X R l b V B h d G g + U 2 V j d G l v b j E v V G F i b G U 0 L 0 Z p b H R l c m V k J T I w U m 9 3 c z w v S X R l b V B h d G g + P C 9 J d G V t T G 9 j Y X R p b 2 4 + P F N 0 Y W J s Z U V u d H J p Z X M g L z 4 8 L 0 l 0 Z W 0 + P E l 0 Z W 0 + P E l 0 Z W 1 M b 2 N h d G l v b j 4 8 S X R l b V R 5 c G U + R m 9 y b X V s Y T w v S X R l b V R 5 c G U + P E l 0 Z W 1 Q Y X R o P l N l Y 3 R p b 2 4 x L 1 R h Y m x l N C 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2 a W d h d G l v b l N 0 Z X B O Y W 1 l I i B W Y W x 1 Z T 0 i c 0 5 h d m l n Y X R p b 2 4 i I C 8 + P E V u d H J 5 I F R 5 c G U 9 I k Z p b G x U Y X J n Z X Q i I F Z h b H V l P S J z V G F i b G V f V G F i b G U 0 N y I g L z 4 8 R W 5 0 c n k g V H l w Z T 0 i R m l s b G V k Q 2 9 t c G x l d G V S Z X N 1 b H R U b 1 d v c m t z a G V l d C I g V m F s d W U 9 I m w x I i A v P j x F b n R y e S B U e X B l P S J B Z G R l Z F R v R G F 0 Y U 1 v Z G V s I i B W Y W x 1 Z T 0 i b D A i I C 8 + P E V u d H J 5 I F R 5 c G U 9 I k Z p b G x F c n J v c k N v Z G U i I F Z h b H V l P S J z V W 5 r b m 9 3 b i I g L z 4 8 R W 5 0 c n k g V H l w Z T 0 i R m l s b E V y c m 9 y Q 2 9 1 b n Q i I F Z h b H V l P S J s M C I g L z 4 8 R W 5 0 c n k g V H l w Z T 0 i R m l s b E x h c 3 R V c G R h d G V k I i B W Y W x 1 Z T 0 i Z D I w M j M t M D Y t M D l U M T I 6 N D c 6 M D M u N T E 3 O D M 5 N V o i I C 8 + P E V u d H J 5 I F R 5 c G U 9 I k Z p b G x D b 2 x 1 b W 5 U e X B l c y I g V m F s d W U 9 I n N B Q V l H Q m d Z R E J R W U d C Z 0 F B Q m c 9 P S I g L z 4 8 R W 5 0 c n k g V H l w Z T 0 i R m l s b E N v b H V t b k 5 h b W V z I i B W Y W x 1 Z T 0 i c 1 s m c X V v d D t H R U 9 J R C Z x d W 9 0 O y w m c X V v d D t D a X R 5 L 1 J l Z 2 l v b i Z x d W 9 0 O y w m c X V v d D t T d G F 0 Z S Z x d W 9 0 O y w m c X V v d D t Q c m 9 k d W N l c i Z x d W 9 0 O y w m c X V v d D t U Z W N o b m 9 s b 2 d 5 J n F 1 b 3 Q 7 L C Z x d W 9 0 O 0 9 u I F N 0 c m V h b S B E Y X R l J n F 1 b 3 Q 7 L C Z x d W 9 0 O 0 h 5 Z H J v Z 2 V u I F B y b 2 R 1 Y 3 R p b 2 4 g K G t n L 2 R h e S k m c X V v d D s s J n F 1 b 3 Q 7 V H l w Z S Z x d W 9 0 O y w m c X V v d D t G b 3 J t J n F 1 b 3 Q 7 L C Z x d W 9 0 O 0 R l b W F u Z C Z x d W 9 0 O y w m c X V v d D t D b 2 x 1 b W 4 x J n F 1 b 3 Q 7 L C Z x d W 9 0 O 0 N v b H V t b j I m c X V v d D s s J n F 1 b 3 Q 7 Q W R k a X R p b 2 5 h b C B J b m Z v c m 1 h d G l v b i Z x d W 9 0 O 1 0 i I C 8 + P E V u d H J 5 I F R 5 c G U 9 I k Z p b G x T d G F 0 d X M i I F Z h b H V l P S J z Q 2 9 t c G x l d G U i I C 8 + P E V u d H J 5 I F R 5 c G U 9 I k Z p b G x D b 3 V u d C I g V m F s d W U 9 I m w 5 I i A v P j x F b n R y e S B U e X B l P S J S Z W x h d G l v b n N o a X B J b m Z v Q 2 9 u d G F p b m V y I i B W Y W x 1 Z T 0 i c 3 s m c X V v d D t j b 2 x 1 b W 5 D b 3 V u d C Z x d W 9 0 O z o x M y w m c X V v d D t r Z X l D b 2 x 1 b W 5 O Y W 1 l c y Z x d W 9 0 O z p b X S w m c X V v d D t x d W V y e V J l b G F 0 a W 9 u c 2 h p c H M m c X V v d D s 6 W 1 0 s J n F 1 b 3 Q 7 Y 2 9 s d W 1 u S W R l b n R p d G l l c y Z x d W 9 0 O z p b J n F 1 b 3 Q 7 U 2 V j d G l v b j E v V G F i b G U 0 L 0 F 1 d G 9 S Z W 1 v d m V k Q 2 9 s d W 1 u c z E u e 0 d F T 0 l E L D B 9 J n F 1 b 3 Q 7 L C Z x d W 9 0 O 1 N l Y 3 R p b 2 4 x L 1 R h Y m x l N C 9 B d X R v U m V t b 3 Z l Z E N v b H V t b n M x L n t D a X R 5 L 1 J l Z 2 l v b i w x f S Z x d W 9 0 O y w m c X V v d D t T Z W N 0 a W 9 u M S 9 U Y W J s Z T Q v Q X V 0 b 1 J l b W 9 2 Z W R D b 2 x 1 b W 5 z M S 5 7 U 3 R h d G U s M n 0 m c X V v d D s s J n F 1 b 3 Q 7 U 2 V j d G l v b j E v V G F i b G U 0 L 0 F 1 d G 9 S Z W 1 v d m V k Q 2 9 s d W 1 u c z E u e 1 B y b 2 R 1 Y 2 V y L D N 9 J n F 1 b 3 Q 7 L C Z x d W 9 0 O 1 N l Y 3 R p b 2 4 x L 1 R h Y m x l N C 9 B d X R v U m V t b 3 Z l Z E N v b H V t b n M x L n t U Z W N o b m 9 s b 2 d 5 L D R 9 J n F 1 b 3 Q 7 L C Z x d W 9 0 O 1 N l Y 3 R p b 2 4 x L 1 R h Y m x l N C 9 B d X R v U m V t b 3 Z l Z E N v b H V t b n M x L n t P b i B T d H J l Y W 0 g R G F 0 Z S w 1 f S Z x d W 9 0 O y w m c X V v d D t T Z W N 0 a W 9 u M S 9 U Y W J s Z T Q v Q X V 0 b 1 J l b W 9 2 Z W R D b 2 x 1 b W 5 z M S 5 7 S H l k c m 9 n Z W 4 g U H J v Z H V j d G l v b i A o a 2 c v Z G F 5 K S w 2 f S Z x d W 9 0 O y w m c X V v d D t T Z W N 0 a W 9 u M S 9 U Y W J s Z T Q v Q X V 0 b 1 J l b W 9 2 Z W R D b 2 x 1 b W 5 z M S 5 7 V H l w Z S w 3 f S Z x d W 9 0 O y w m c X V v d D t T Z W N 0 a W 9 u M S 9 U Y W J s Z T Q v Q X V 0 b 1 J l b W 9 2 Z W R D b 2 x 1 b W 5 z M S 5 7 R m 9 y b S w 4 f S Z x d W 9 0 O y w m c X V v d D t T Z W N 0 a W 9 u M S 9 U Y W J s Z T Q v Q X V 0 b 1 J l b W 9 2 Z W R D b 2 x 1 b W 5 z M S 5 7 R G V t Y W 5 k L D l 9 J n F 1 b 3 Q 7 L C Z x d W 9 0 O 1 N l Y 3 R p b 2 4 x L 1 R h Y m x l N C 9 B d X R v U m V t b 3 Z l Z E N v b H V t b n M x L n t D b 2 x 1 b W 4 x L D E w f S Z x d W 9 0 O y w m c X V v d D t T Z W N 0 a W 9 u M S 9 U Y W J s Z T Q v Q X V 0 b 1 J l b W 9 2 Z W R D b 2 x 1 b W 5 z M S 5 7 Q 2 9 s d W 1 u M i w x M X 0 m c X V v d D s s J n F 1 b 3 Q 7 U 2 V j d G l v b j E v V G F i b G U 0 L 0 F 1 d G 9 S Z W 1 v d m V k Q 2 9 s d W 1 u c z E u e 0 F k Z G l 0 a W 9 u Y W w g S W 5 m b 3 J t Y X R p b 2 4 s M T J 9 J n F 1 b 3 Q 7 X S w m c X V v d D t D b 2 x 1 b W 5 D b 3 V u d C Z x d W 9 0 O z o x M y w m c X V v d D t L Z X l D b 2 x 1 b W 5 O Y W 1 l c y Z x d W 9 0 O z p b X S w m c X V v d D t D b 2 x 1 b W 5 J Z G V u d G l 0 a W V z J n F 1 b 3 Q 7 O l s m c X V v d D t T Z W N 0 a W 9 u M S 9 U Y W J s Z T Q v Q X V 0 b 1 J l b W 9 2 Z W R D b 2 x 1 b W 5 z M S 5 7 R 0 V P S U Q s M H 0 m c X V v d D s s J n F 1 b 3 Q 7 U 2 V j d G l v b j E v V G F i b G U 0 L 0 F 1 d G 9 S Z W 1 v d m V k Q 2 9 s d W 1 u c z E u e 0 N p d H k v U m V n a W 9 u L D F 9 J n F 1 b 3 Q 7 L C Z x d W 9 0 O 1 N l Y 3 R p b 2 4 x L 1 R h Y m x l N C 9 B d X R v U m V t b 3 Z l Z E N v b H V t b n M x L n t T d G F 0 Z S w y f S Z x d W 9 0 O y w m c X V v d D t T Z W N 0 a W 9 u M S 9 U Y W J s Z T Q v Q X V 0 b 1 J l b W 9 2 Z W R D b 2 x 1 b W 5 z M S 5 7 U H J v Z H V j Z X I s M 3 0 m c X V v d D s s J n F 1 b 3 Q 7 U 2 V j d G l v b j E v V G F i b G U 0 L 0 F 1 d G 9 S Z W 1 v d m V k Q 2 9 s d W 1 u c z E u e 1 R l Y 2 h u b 2 x v Z 3 k s N H 0 m c X V v d D s s J n F 1 b 3 Q 7 U 2 V j d G l v b j E v V G F i b G U 0 L 0 F 1 d G 9 S Z W 1 v d m V k Q 2 9 s d W 1 u c z E u e 0 9 u I F N 0 c m V h b S B E Y X R l L D V 9 J n F 1 b 3 Q 7 L C Z x d W 9 0 O 1 N l Y 3 R p b 2 4 x L 1 R h Y m x l N C 9 B d X R v U m V t b 3 Z l Z E N v b H V t b n M x L n t I e W R y b 2 d l b i B Q c m 9 k d W N 0 a W 9 u I C h r Z y 9 k Y X k p L D Z 9 J n F 1 b 3 Q 7 L C Z x d W 9 0 O 1 N l Y 3 R p b 2 4 x L 1 R h Y m x l N C 9 B d X R v U m V t b 3 Z l Z E N v b H V t b n M x L n t U e X B l L D d 9 J n F 1 b 3 Q 7 L C Z x d W 9 0 O 1 N l Y 3 R p b 2 4 x L 1 R h Y m x l N C 9 B d X R v U m V t b 3 Z l Z E N v b H V t b n M x L n t G b 3 J t L D h 9 J n F 1 b 3 Q 7 L C Z x d W 9 0 O 1 N l Y 3 R p b 2 4 x L 1 R h Y m x l N C 9 B d X R v U m V t b 3 Z l Z E N v b H V t b n M x L n t E Z W 1 h b m Q s O X 0 m c X V v d D s s J n F 1 b 3 Q 7 U 2 V j d G l v b j E v V G F i b G U 0 L 0 F 1 d G 9 S Z W 1 v d m V k Q 2 9 s d W 1 u c z E u e 0 N v b H V t b j E s M T B 9 J n F 1 b 3 Q 7 L C Z x d W 9 0 O 1 N l Y 3 R p b 2 4 x L 1 R h Y m x l N C 9 B d X R v U m V t b 3 Z l Z E N v b H V t b n M x L n t D b 2 x 1 b W 4 y L D E x f S Z x d W 9 0 O y w m c X V v d D t T Z W N 0 a W 9 u M S 9 U Y W J s Z T Q v Q X V 0 b 1 J l b W 9 2 Z W R D b 2 x 1 b W 5 z M S 5 7 Q W R k a X R p b 2 5 h b C B J b m Z v c m 1 h d G l v b i w x M n 0 m c X V v d D t d L C Z x d W 9 0 O 1 J l b G F 0 a W 9 u c 2 h p c E l u Z m 8 m c X V v d D s 6 W 1 1 9 I i A v P j x F b n R y e S B U e X B l P S J M b 2 F k Z W R U b 0 F u Y W x 5 c 2 l z U 2 V y d m l j Z X M i I F Z h b H V l P S J s M C I g L z 4 8 L 1 N 0 Y W J s Z U V u d H J p Z X M + P C 9 J d G V t P j x J d G V t P j x J d G V t T G 9 j Y X R p b 2 4 + P E l 0 Z W 1 U e X B l P k Z v c m 1 1 b G E 8 L 0 l 0 Z W 1 U e X B l P j x J d G V t U G F 0 a D 5 T Z W N 0 a W 9 u M S 9 U Y W J s Z T Q l M j A o M i k v U 2 9 1 c m N l P C 9 J d G V t U G F 0 a D 4 8 L 0 l 0 Z W 1 M b 2 N h d G l v b j 4 8 U 3 R h Y m x l R W 5 0 c m l l c y A v P j w v S X R l b T 4 8 S X R l b T 4 8 S X R l b U x v Y 2 F 0 a W 9 u P j x J d G V t V H l w Z T 5 G b 3 J t d W x h P C 9 J d G V t V H l w Z T 4 8 S X R l b V B h d G g + U 2 V j d G l v b j E v V G F i b G U 0 J T I w K D I p L 0 N o Y W 5 n Z W Q l M j B U e X B l P C 9 J d G V t U G F 0 a D 4 8 L 0 l 0 Z W 1 M b 2 N h d G l v b j 4 8 U 3 R h Y m x l R W 5 0 c m l l c y A v P j w v S X R l b T 4 8 S X R l b T 4 8 S X R l b U x v Y 2 F 0 a W 9 u P j x J d G V t V H l w Z T 5 G b 3 J t d W x h P C 9 J d G V t V H l w Z T 4 8 S X R l b V B h d G g + U 2 V j d G l v b j E v V G F i b G U 0 J T I w K D I p L 0 Z p b H R l c m V k J T I w U m 9 3 c z w v S X R l b V B h d G g + P C 9 J d G V t T G 9 j Y X R p b 2 4 + P F N 0 Y W J s Z U V u d H J p Z X M g L z 4 8 L 0 l 0 Z W 0 + P E l 0 Z W 0 + P E l 0 Z W 1 M b 2 N h d G l v b j 4 8 S X R l b V R 5 c G U + R m 9 y b X V s Y T w v S X R l b V R 5 c G U + P E l 0 Z W 1 Q Y X R o P l N l Y 3 R p b 2 4 x L 1 R h Y m x l 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M y 0 w N i 0 w O V Q x M j o 1 M j o 0 M y 4 4 N j Y w O D E w W i I g L z 4 8 R W 5 0 c n k g V H l w Z T 0 i R m l s b E N v b H V t b l R 5 c G V z I i B W Y W x 1 Z T 0 i c 0 J n W U d B d 0 1 H Q m d B R 0 F 3 Q U Z C Z z 0 9 I i A v P j x F b n R y e S B U e X B l P S J G a W x s Q 2 9 s d W 1 u T m F t Z X M i I F Z h b H V l P S J z W y Z x d W 9 0 O 0 d F T 0 l E J n F 1 b 3 Q 7 L C Z x d W 9 0 O 0 x O R y B U Z X J t a W 5 h b C Z x d W 9 0 O y w m c X V v d D t T d G F 0 d X M m c X V v d D s s J n F 1 b 3 Q 7 T n V t Y m V y I G 9 m I F R l c m 1 p b m F s c y Z x d W 9 0 O y w m c X V v d D t D b 2 1 t a X N z a W 9 u a W 5 n I F l l Y X I m c X V v d D s s J n F 1 b 3 Q 7 T G 9 j Y X R p b 2 4 m c X V v d D s s J n F 1 b 3 Q 7 S W 1 w b 3 J 0 I G 9 y I E V 4 c G 9 y d C Z x d W 9 0 O y w m c X V v d D t D Y X B h Y 2 l 0 e S A o d G 9 u b m V z I H B l c i B 5 Z W F y K S Z x d W 9 0 O y w m c X V v d D t D b 2 1 w Y W 5 5 J n F 1 b 3 Q 7 L C Z x d W 9 0 O 0 N v c 3 Q g K D I w M j I g V V N E K S Z x d W 9 0 O y w m c X V v d D t M Y X R p d H V k Z S Z x d W 9 0 O y w m c X V v d D t M b 2 5 n a X R 1 Z G U m c X V v d D s s J n F 1 b 3 Q 7 R G V 0 Y W l s c 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U Y W J s Z T c v Q X V 0 b 1 J l b W 9 2 Z W R D b 2 x 1 b W 5 z M S 5 7 R 0 V P S U Q s M H 0 m c X V v d D s s J n F 1 b 3 Q 7 U 2 V j d G l v b j E v V G F i b G U 3 L 0 F 1 d G 9 S Z W 1 v d m V k Q 2 9 s d W 1 u c z E u e 0 x O R y B U Z X J t a W 5 h b C w x f S Z x d W 9 0 O y w m c X V v d D t T Z W N 0 a W 9 u M S 9 U Y W J s Z T c v Q X V 0 b 1 J l b W 9 2 Z W R D b 2 x 1 b W 5 z M S 5 7 U 3 R h d H V z L D J 9 J n F 1 b 3 Q 7 L C Z x d W 9 0 O 1 N l Y 3 R p b 2 4 x L 1 R h Y m x l N y 9 B d X R v U m V t b 3 Z l Z E N v b H V t b n M x L n t O d W 1 i Z X I g b 2 Y g V G V y b W l u Y W x z L D N 9 J n F 1 b 3 Q 7 L C Z x d W 9 0 O 1 N l Y 3 R p b 2 4 x L 1 R h Y m x l N y 9 B d X R v U m V t b 3 Z l Z E N v b H V t b n M x L n t D b 2 1 t a X N z a W 9 u a W 5 n I F l l Y X I s N H 0 m c X V v d D s s J n F 1 b 3 Q 7 U 2 V j d G l v b j E v V G F i b G U 3 L 0 F 1 d G 9 S Z W 1 v d m V k Q 2 9 s d W 1 u c z E u e 0 x v Y 2 F 0 a W 9 u L D V 9 J n F 1 b 3 Q 7 L C Z x d W 9 0 O 1 N l Y 3 R p b 2 4 x L 1 R h Y m x l N y 9 B d X R v U m V t b 3 Z l Z E N v b H V t b n M x L n t J b X B v c n Q g b 3 I g R X h w b 3 J 0 L D Z 9 J n F 1 b 3 Q 7 L C Z x d W 9 0 O 1 N l Y 3 R p b 2 4 x L 1 R h Y m x l N y 9 B d X R v U m V t b 3 Z l Z E N v b H V t b n M x L n t D Y X B h Y 2 l 0 e S A o d G 9 u b m V z I H B l c i B 5 Z W F y K S w 3 f S Z x d W 9 0 O y w m c X V v d D t T Z W N 0 a W 9 u M S 9 U Y W J s Z T c v Q X V 0 b 1 J l b W 9 2 Z W R D b 2 x 1 b W 5 z M S 5 7 Q 2 9 t c G F u e S w 4 f S Z x d W 9 0 O y w m c X V v d D t T Z W N 0 a W 9 u M S 9 U Y W J s Z T c v Q X V 0 b 1 J l b W 9 2 Z W R D b 2 x 1 b W 5 z M S 5 7 Q 2 9 z d C A o M j A y M i B V U 0 Q p L D l 9 J n F 1 b 3 Q 7 L C Z x d W 9 0 O 1 N l Y 3 R p b 2 4 x L 1 R h Y m x l N y 9 B d X R v U m V t b 3 Z l Z E N v b H V t b n M x L n t M Y X R p d H V k Z S w x M H 0 m c X V v d D s s J n F 1 b 3 Q 7 U 2 V j d G l v b j E v V G F i b G U 3 L 0 F 1 d G 9 S Z W 1 v d m V k Q 2 9 s d W 1 u c z E u e 0 x v b m d p d H V k Z S w x M X 0 m c X V v d D s s J n F 1 b 3 Q 7 U 2 V j d G l v b j E v V G F i b G U 3 L 0 F 1 d G 9 S Z W 1 v d m V k Q 2 9 s d W 1 u c z E u e 0 R l d G F p b H M s M T J 9 J n F 1 b 3 Q 7 X S w m c X V v d D t D b 2 x 1 b W 5 D b 3 V u d C Z x d W 9 0 O z o x M y w m c X V v d D t L Z X l D b 2 x 1 b W 5 O Y W 1 l c y Z x d W 9 0 O z p b X S w m c X V v d D t D b 2 x 1 b W 5 J Z G V u d G l 0 a W V z J n F 1 b 3 Q 7 O l s m c X V v d D t T Z W N 0 a W 9 u M S 9 U Y W J s Z T c v Q X V 0 b 1 J l b W 9 2 Z W R D b 2 x 1 b W 5 z M S 5 7 R 0 V P S U Q s M H 0 m c X V v d D s s J n F 1 b 3 Q 7 U 2 V j d G l v b j E v V G F i b G U 3 L 0 F 1 d G 9 S Z W 1 v d m V k Q 2 9 s d W 1 u c z E u e 0 x O R y B U Z X J t a W 5 h b C w x f S Z x d W 9 0 O y w m c X V v d D t T Z W N 0 a W 9 u M S 9 U Y W J s Z T c v Q X V 0 b 1 J l b W 9 2 Z W R D b 2 x 1 b W 5 z M S 5 7 U 3 R h d H V z L D J 9 J n F 1 b 3 Q 7 L C Z x d W 9 0 O 1 N l Y 3 R p b 2 4 x L 1 R h Y m x l N y 9 B d X R v U m V t b 3 Z l Z E N v b H V t b n M x L n t O d W 1 i Z X I g b 2 Y g V G V y b W l u Y W x z L D N 9 J n F 1 b 3 Q 7 L C Z x d W 9 0 O 1 N l Y 3 R p b 2 4 x L 1 R h Y m x l N y 9 B d X R v U m V t b 3 Z l Z E N v b H V t b n M x L n t D b 2 1 t a X N z a W 9 u a W 5 n I F l l Y X I s N H 0 m c X V v d D s s J n F 1 b 3 Q 7 U 2 V j d G l v b j E v V G F i b G U 3 L 0 F 1 d G 9 S Z W 1 v d m V k Q 2 9 s d W 1 u c z E u e 0 x v Y 2 F 0 a W 9 u L D V 9 J n F 1 b 3 Q 7 L C Z x d W 9 0 O 1 N l Y 3 R p b 2 4 x L 1 R h Y m x l N y 9 B d X R v U m V t b 3 Z l Z E N v b H V t b n M x L n t J b X B v c n Q g b 3 I g R X h w b 3 J 0 L D Z 9 J n F 1 b 3 Q 7 L C Z x d W 9 0 O 1 N l Y 3 R p b 2 4 x L 1 R h Y m x l N y 9 B d X R v U m V t b 3 Z l Z E N v b H V t b n M x L n t D Y X B h Y 2 l 0 e S A o d G 9 u b m V z I H B l c i B 5 Z W F y K S w 3 f S Z x d W 9 0 O y w m c X V v d D t T Z W N 0 a W 9 u M S 9 U Y W J s Z T c v Q X V 0 b 1 J l b W 9 2 Z W R D b 2 x 1 b W 5 z M S 5 7 Q 2 9 t c G F u e S w 4 f S Z x d W 9 0 O y w m c X V v d D t T Z W N 0 a W 9 u M S 9 U Y W J s Z T c v Q X V 0 b 1 J l b W 9 2 Z W R D b 2 x 1 b W 5 z M S 5 7 Q 2 9 z d C A o M j A y M i B V U 0 Q p L D l 9 J n F 1 b 3 Q 7 L C Z x d W 9 0 O 1 N l Y 3 R p b 2 4 x L 1 R h Y m x l N y 9 B d X R v U m V t b 3 Z l Z E N v b H V t b n M x L n t M Y X R p d H V k Z S w x M H 0 m c X V v d D s s J n F 1 b 3 Q 7 U 2 V j d G l v b j E v V G F i b G U 3 L 0 F 1 d G 9 S Z W 1 v d m V k Q 2 9 s d W 1 u c z E u e 0 x v b m d p d H V k Z S w x M X 0 m c X V v d D s s J n F 1 b 3 Q 7 U 2 V j d G l v b j E v V G F i b G U 3 L 0 F 1 d G 9 S Z W 1 v d m V k Q 2 9 s d W 1 u c z E u e 0 R l d G F p b H M s M T J 9 J n F 1 b 3 Q 7 X S w m c X V v d D t S Z W x h d G l v b n N o a X B J b m Z v J n F 1 b 3 Q 7 O l t d f S I g L z 4 8 L 1 N 0 Y W J s Z U V u d H J p Z X M + P C 9 J d G V t P j x J d G V t P j x J d G V t T G 9 j Y X R p b 2 4 + P E l 0 Z W 1 U e X B l P k Z v c m 1 1 b G E 8 L 0 l 0 Z W 1 U e X B l P j x J d G V t U G F 0 a D 5 T Z W N 0 a W 9 u M S 9 U Y W J s Z T c v U 2 9 1 c m N l P C 9 J d G V t U G F 0 a D 4 8 L 0 l 0 Z W 1 M b 2 N h d G l v b j 4 8 U 3 R h Y m x l R W 5 0 c m l l c y A v P j w v S X R l b T 4 8 S X R l b T 4 8 S X R l b U x v Y 2 F 0 a W 9 u P j x J d G V t V H l w Z T 5 G b 3 J t d W x h P C 9 J d G V t V H l w Z T 4 8 S X R l b V B h d G g + U 2 V j d G l v b j E v V G F i b G U 3 L 0 N o Y W 5 n Z W Q l M j B U e X B l P C 9 J d G V t U G F 0 a D 4 8 L 0 l 0 Z W 1 M b 2 N h d G l v b j 4 8 U 3 R h Y m x l R W 5 0 c m l l c y A v P j w v S X R l b T 4 8 S X R l b T 4 8 S X R l b U x v Y 2 F 0 a W 9 u P j x J d G V t V H l w Z T 5 G b 3 J t d W x h P C 9 J d G V t V H l w Z T 4 8 S X R l b V B h d G g + U 2 V j d G l v b j E v V G F i b G U 3 J T I w K D I 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V G F y Z 2 V 0 I i B W Y W x 1 Z T 0 i c 1 R h Y m x l X 1 R h Y m x l N z E w I i A v P j x F b n R y e S B U e X B l P S J G a W x s Z W R D b 2 1 w b G V 0 Z V J l c 3 V s d F R v V 2 9 y a 3 N o Z W V 0 I i B W Y W x 1 Z T 0 i b D E i I C 8 + P E V u d H J 5 I F R 5 c G U 9 I k F k Z G V k V G 9 E Y X R h T W 9 k Z W w i I F Z h b H V l P S J s M C I g L z 4 8 R W 5 0 c n k g V H l w Z T 0 i R m l s b E V y c m 9 y Q 2 9 k Z S I g V m F s d W U 9 I n N V b m t u b 3 d u I i A v P j x F b n R y e S B U e X B l P S J G a W x s R X J y b 3 J D b 3 V u d C I g V m F s d W U 9 I m w w I i A v P j x F b n R y e S B U e X B l P S J G a W x s T G F z d F V w Z G F 0 Z W Q i I F Z h b H V l P S J k M j A y M y 0 w N i 0 w O V Q x M j o 1 M j o 0 M y 4 4 N j Y w O D E w W i I g L z 4 8 R W 5 0 c n k g V H l w Z T 0 i R m l s b E N v b H V t b l R 5 c G V z I i B W Y W x 1 Z T 0 i c 0 J n W U d B d 0 1 H Q m d B R 0 F 3 Q U Z C Z z 0 9 I i A v P j x F b n R y e S B U e X B l P S J G a W x s Q 2 9 s d W 1 u T m F t Z X M i I F Z h b H V l P S J z W y Z x d W 9 0 O 0 d F T 0 l E J n F 1 b 3 Q 7 L C Z x d W 9 0 O 0 x O R y B U Z X J t a W 5 h b C Z x d W 9 0 O y w m c X V v d D t T d G F 0 d X M m c X V v d D s s J n F 1 b 3 Q 7 T n V t Y m V y I G 9 m I F R l c m 1 p b m F s c y Z x d W 9 0 O y w m c X V v d D t D b 2 1 t a X N z a W 9 u a W 5 n I F l l Y X I m c X V v d D s s J n F 1 b 3 Q 7 T G 9 j Y X R p b 2 4 m c X V v d D s s J n F 1 b 3 Q 7 S W 1 w b 3 J 0 I G 9 y I E V 4 c G 9 y d C Z x d W 9 0 O y w m c X V v d D t D Y X B h Y 2 l 0 e S A o d G 9 u b m V z I H B l c i B 5 Z W F y K S Z x d W 9 0 O y w m c X V v d D t D b 2 1 w Y W 5 5 J n F 1 b 3 Q 7 L C Z x d W 9 0 O 0 N v c 3 Q g K D I w M j I g V V N E K S Z x d W 9 0 O y w m c X V v d D t M Y X R p d H V k Z S Z x d W 9 0 O y w m c X V v d D t M b 2 5 n a X R 1 Z G U m c X V v d D s s J n F 1 b 3 Q 7 R G V 0 Y W l s c y Z x d W 9 0 O 1 0 i I C 8 + P E V u d H J 5 I F R 5 c G U 9 I k Z p b G x T d G F 0 d X M i I F Z h b H V l P S J z Q 2 9 t c G x l d G U i I C 8 + P E V u d H J 5 I F R 5 c G U 9 I k Z p b G x D b 3 V u d C I g V m F s d W U 9 I m w x O C I g L z 4 8 R W 5 0 c n k g V H l w Z T 0 i U m V s Y X R p b 2 5 z a G l w S W 5 m b 0 N v b n R h a W 5 l c i I g V m F s d W U 9 I n N 7 J n F 1 b 3 Q 7 Y 2 9 s d W 1 u Q 2 9 1 b n Q m c X V v d D s 6 M T M s J n F 1 b 3 Q 7 a 2 V 5 Q 2 9 s d W 1 u T m F t Z X M m c X V v d D s 6 W 1 0 s J n F 1 b 3 Q 7 c X V l c n l S Z W x h d G l v b n N o a X B z J n F 1 b 3 Q 7 O l t d L C Z x d W 9 0 O 2 N v b H V t b k l k Z W 5 0 a X R p Z X M m c X V v d D s 6 W y Z x d W 9 0 O 1 N l Y 3 R p b 2 4 x L 1 R h Y m x l N y 9 B d X R v U m V t b 3 Z l Z E N v b H V t b n M x L n t H R U 9 J R C w w f S Z x d W 9 0 O y w m c X V v d D t T Z W N 0 a W 9 u M S 9 U Y W J s Z T c v Q X V 0 b 1 J l b W 9 2 Z W R D b 2 x 1 b W 5 z M S 5 7 T E 5 H I F R l c m 1 p b m F s L D F 9 J n F 1 b 3 Q 7 L C Z x d W 9 0 O 1 N l Y 3 R p b 2 4 x L 1 R h Y m x l N y 9 B d X R v U m V t b 3 Z l Z E N v b H V t b n M x L n t T d G F 0 d X M s M n 0 m c X V v d D s s J n F 1 b 3 Q 7 U 2 V j d G l v b j E v V G F i b G U 3 L 0 F 1 d G 9 S Z W 1 v d m V k Q 2 9 s d W 1 u c z E u e 0 5 1 b W J l c i B v Z i B U Z X J t a W 5 h b H M s M 3 0 m c X V v d D s s J n F 1 b 3 Q 7 U 2 V j d G l v b j E v V G F i b G U 3 L 0 F 1 d G 9 S Z W 1 v d m V k Q 2 9 s d W 1 u c z E u e 0 N v b W 1 p c 3 N p b 2 5 p b m c g W W V h c i w 0 f S Z x d W 9 0 O y w m c X V v d D t T Z W N 0 a W 9 u M S 9 U Y W J s Z T c v Q X V 0 b 1 J l b W 9 2 Z W R D b 2 x 1 b W 5 z M S 5 7 T G 9 j Y X R p b 2 4 s N X 0 m c X V v d D s s J n F 1 b 3 Q 7 U 2 V j d G l v b j E v V G F i b G U 3 L 0 F 1 d G 9 S Z W 1 v d m V k Q 2 9 s d W 1 u c z E u e 0 l t c G 9 y d C B v c i B F e H B v c n Q s N n 0 m c X V v d D s s J n F 1 b 3 Q 7 U 2 V j d G l v b j E v V G F i b G U 3 L 0 F 1 d G 9 S Z W 1 v d m V k Q 2 9 s d W 1 u c z E u e 0 N h c G F j a X R 5 I C h 0 b 2 5 u Z X M g c G V y I H l l Y X I p L D d 9 J n F 1 b 3 Q 7 L C Z x d W 9 0 O 1 N l Y 3 R p b 2 4 x L 1 R h Y m x l N y 9 B d X R v U m V t b 3 Z l Z E N v b H V t b n M x L n t D b 2 1 w Y W 5 5 L D h 9 J n F 1 b 3 Q 7 L C Z x d W 9 0 O 1 N l Y 3 R p b 2 4 x L 1 R h Y m x l N y 9 B d X R v U m V t b 3 Z l Z E N v b H V t b n M x L n t D b 3 N 0 I C g y M D I y I F V T R C k s O X 0 m c X V v d D s s J n F 1 b 3 Q 7 U 2 V j d G l v b j E v V G F i b G U 3 L 0 F 1 d G 9 S Z W 1 v d m V k Q 2 9 s d W 1 u c z E u e 0 x h d G l 0 d W R l L D E w f S Z x d W 9 0 O y w m c X V v d D t T Z W N 0 a W 9 u M S 9 U Y W J s Z T c v Q X V 0 b 1 J l b W 9 2 Z W R D b 2 x 1 b W 5 z M S 5 7 T G 9 u Z 2 l 0 d W R l L D E x f S Z x d W 9 0 O y w m c X V v d D t T Z W N 0 a W 9 u M S 9 U Y W J s Z T c v Q X V 0 b 1 J l b W 9 2 Z W R D b 2 x 1 b W 5 z M S 5 7 R G V 0 Y W l s c y w x M n 0 m c X V v d D t d L C Z x d W 9 0 O 0 N v b H V t b k N v d W 5 0 J n F 1 b 3 Q 7 O j E z L C Z x d W 9 0 O 0 t l e U N v b H V t b k 5 h b W V z J n F 1 b 3 Q 7 O l t d L C Z x d W 9 0 O 0 N v b H V t b k l k Z W 5 0 a X R p Z X M m c X V v d D s 6 W y Z x d W 9 0 O 1 N l Y 3 R p b 2 4 x L 1 R h Y m x l N y 9 B d X R v U m V t b 3 Z l Z E N v b H V t b n M x L n t H R U 9 J R C w w f S Z x d W 9 0 O y w m c X V v d D t T Z W N 0 a W 9 u M S 9 U Y W J s Z T c v Q X V 0 b 1 J l b W 9 2 Z W R D b 2 x 1 b W 5 z M S 5 7 T E 5 H I F R l c m 1 p b m F s L D F 9 J n F 1 b 3 Q 7 L C Z x d W 9 0 O 1 N l Y 3 R p b 2 4 x L 1 R h Y m x l N y 9 B d X R v U m V t b 3 Z l Z E N v b H V t b n M x L n t T d G F 0 d X M s M n 0 m c X V v d D s s J n F 1 b 3 Q 7 U 2 V j d G l v b j E v V G F i b G U 3 L 0 F 1 d G 9 S Z W 1 v d m V k Q 2 9 s d W 1 u c z E u e 0 5 1 b W J l c i B v Z i B U Z X J t a W 5 h b H M s M 3 0 m c X V v d D s s J n F 1 b 3 Q 7 U 2 V j d G l v b j E v V G F i b G U 3 L 0 F 1 d G 9 S Z W 1 v d m V k Q 2 9 s d W 1 u c z E u e 0 N v b W 1 p c 3 N p b 2 5 p b m c g W W V h c i w 0 f S Z x d W 9 0 O y w m c X V v d D t T Z W N 0 a W 9 u M S 9 U Y W J s Z T c v Q X V 0 b 1 J l b W 9 2 Z W R D b 2 x 1 b W 5 z M S 5 7 T G 9 j Y X R p b 2 4 s N X 0 m c X V v d D s s J n F 1 b 3 Q 7 U 2 V j d G l v b j E v V G F i b G U 3 L 0 F 1 d G 9 S Z W 1 v d m V k Q 2 9 s d W 1 u c z E u e 0 l t c G 9 y d C B v c i B F e H B v c n Q s N n 0 m c X V v d D s s J n F 1 b 3 Q 7 U 2 V j d G l v b j E v V G F i b G U 3 L 0 F 1 d G 9 S Z W 1 v d m V k Q 2 9 s d W 1 u c z E u e 0 N h c G F j a X R 5 I C h 0 b 2 5 u Z X M g c G V y I H l l Y X I p L D d 9 J n F 1 b 3 Q 7 L C Z x d W 9 0 O 1 N l Y 3 R p b 2 4 x L 1 R h Y m x l N y 9 B d X R v U m V t b 3 Z l Z E N v b H V t b n M x L n t D b 2 1 w Y W 5 5 L D h 9 J n F 1 b 3 Q 7 L C Z x d W 9 0 O 1 N l Y 3 R p b 2 4 x L 1 R h Y m x l N y 9 B d X R v U m V t b 3 Z l Z E N v b H V t b n M x L n t D b 3 N 0 I C g y M D I y I F V T R C k s O X 0 m c X V v d D s s J n F 1 b 3 Q 7 U 2 V j d G l v b j E v V G F i b G U 3 L 0 F 1 d G 9 S Z W 1 v d m V k Q 2 9 s d W 1 u c z E u e 0 x h d G l 0 d W R l L D E w f S Z x d W 9 0 O y w m c X V v d D t T Z W N 0 a W 9 u M S 9 U Y W J s Z T c v Q X V 0 b 1 J l b W 9 2 Z W R D b 2 x 1 b W 5 z M S 5 7 T G 9 u Z 2 l 0 d W R l L D E x f S Z x d W 9 0 O y w m c X V v d D t T Z W N 0 a W 9 u M S 9 U Y W J s Z T c v Q X V 0 b 1 J l b W 9 2 Z W R D b 2 x 1 b W 5 z M S 5 7 R G V 0 Y W l s c y w x M n 0 m c X V v d D t d L C Z x d W 9 0 O 1 J l b G F 0 a W 9 u c 2 h p c E l u Z m 8 m c X V v d D s 6 W 1 1 9 I i A v P j x F b n R y e S B U e X B l P S J M b 2 F k Z W R U b 0 F u Y W x 5 c 2 l z U 2 V y d m l j Z X M i I F Z h b H V l P S J s M C I g L z 4 8 L 1 N 0 Y W J s Z U V u d H J p Z X M + P C 9 J d G V t P j x J d G V t P j x J d G V t T G 9 j Y X R p b 2 4 + P E l 0 Z W 1 U e X B l P k Z v c m 1 1 b G E 8 L 0 l 0 Z W 1 U e X B l P j x J d G V t U G F 0 a D 5 T Z W N 0 a W 9 u M S 9 U Y W J s Z T c l M j A o M i k v U 2 9 1 c m N l P C 9 J d G V t U G F 0 a D 4 8 L 0 l 0 Z W 1 M b 2 N h d G l v b j 4 8 U 3 R h Y m x l R W 5 0 c m l l c y A v P j w v S X R l b T 4 8 S X R l b T 4 8 S X R l b U x v Y 2 F 0 a W 9 u P j x J d G V t V H l w Z T 5 G b 3 J t d W x h P C 9 J d G V t V H l w Z T 4 8 S X R l b V B h d G g + U 2 V j d G l v b j E v V G F i b G U 3 J T I w K D I p L 0 N o Y W 5 n Z W Q l M j B U e X B l P C 9 J d G V t U G F 0 a D 4 8 L 0 l 0 Z W 1 M b 2 N h d G l v b j 4 8 U 3 R h Y m x l R W 5 0 c m l l c y A v P j w v S X R l b T 4 8 S X R l b T 4 8 S X R l b U x v Y 2 F 0 a W 9 u P j x J d G V t V H l w Z T 5 G b 3 J t d W x h P C 9 J d G V t V H l w Z T 4 8 S X R l b V B h d G g + U 2 V j d G l v b j E v V G F i b G 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z L T A 2 L T A 5 V D E 3 O j A y O j I 5 L j Y x O T I 3 N z d a I i A v P j x F b n R y e S B U e X B l P S J G a W x s Q 2 9 s d W 1 u V H l w Z X M i I F Z h b H V l P S J z Q m d Z Q U J n T U R C Z 1 l H Q U F B Q S I g L z 4 8 R W 5 0 c n k g V H l w Z T 0 i R m l s b E N v b H V t b k 5 h b W V z I i B W Y W x 1 Z T 0 i c 1 s m c X V v d D t T d G V l b C B Q b G F u d C B O Y W 1 l J n F 1 b 3 Q 7 L C Z x d W 9 0 O 0 N p d H k m c X V v d D s s J n F 1 b 3 Q 7 U 3 R h d G U m c X V v d D s s J n F 1 b 3 Q 7 R 0 V P S U Q m c X V v d D s s J n F 1 b 3 Q 7 V G 9 u b m V z I H B l c i B B b m 5 1 b S B T d G V l b C Z x d W 9 0 O y w m c X V v d D t U b 2 5 u Z X M g c G V y I E F u b n V t I E l y b 2 4 m c X V v d D s s J n F 1 b 3 Q 7 U 3 R h d H V z J n F 1 b 3 Q 7 L C Z x d W 9 0 O 1 B y a W 1 h c n k g R X F 1 a X B t Z W 5 0 J n F 1 b 3 Q 7 L C Z x d W 9 0 O 0 x h d G l 0 d W R l J n F 1 b 3 Q 7 L C Z x d W 9 0 O 0 x v b m d p d H V k Z S Z x d W 9 0 O y w m c X V v d D t D b 2 x 1 b W 4 x J n F 1 b 3 Q 7 L C Z x d W 9 0 O 0 N v b H V t b j 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V G F i b G U x M C 9 B d X R v U m V t b 3 Z l Z E N v b H V t b n M x L n t T d G V l b C B Q b G F u d C B O Y W 1 l L D B 9 J n F 1 b 3 Q 7 L C Z x d W 9 0 O 1 N l Y 3 R p b 2 4 x L 1 R h Y m x l M T A v Q X V 0 b 1 J l b W 9 2 Z W R D b 2 x 1 b W 5 z M S 5 7 Q 2 l 0 e S w x f S Z x d W 9 0 O y w m c X V v d D t T Z W N 0 a W 9 u M S 9 U Y W J s Z T E w L 0 F 1 d G 9 S Z W 1 v d m V k Q 2 9 s d W 1 u c z E u e 1 N 0 Y X R l L D J 9 J n F 1 b 3 Q 7 L C Z x d W 9 0 O 1 N l Y 3 R p b 2 4 x L 1 R h Y m x l M T A v Q X V 0 b 1 J l b W 9 2 Z W R D b 2 x 1 b W 5 z M S 5 7 R 0 V P S U Q s M 3 0 m c X V v d D s s J n F 1 b 3 Q 7 U 2 V j d G l v b j E v V G F i b G U x M C 9 B d X R v U m V t b 3 Z l Z E N v b H V t b n M x L n t U b 2 5 u Z X M g c G V y I E F u b n V t I F N 0 Z W V s L D R 9 J n F 1 b 3 Q 7 L C Z x d W 9 0 O 1 N l Y 3 R p b 2 4 x L 1 R h Y m x l M T A v Q X V 0 b 1 J l b W 9 2 Z W R D b 2 x 1 b W 5 z M S 5 7 V G 9 u b m V z I H B l c i B B b m 5 1 b S B J c m 9 u L D V 9 J n F 1 b 3 Q 7 L C Z x d W 9 0 O 1 N l Y 3 R p b 2 4 x L 1 R h Y m x l M T A v Q X V 0 b 1 J l b W 9 2 Z W R D b 2 x 1 b W 5 z M S 5 7 U 3 R h d H V z L D Z 9 J n F 1 b 3 Q 7 L C Z x d W 9 0 O 1 N l Y 3 R p b 2 4 x L 1 R h Y m x l M T A v Q X V 0 b 1 J l b W 9 2 Z W R D b 2 x 1 b W 5 z M S 5 7 U H J p b W F y e S B F c X V p c G 1 l b n Q s N 3 0 m c X V v d D s s J n F 1 b 3 Q 7 U 2 V j d G l v b j E v V G F i b G U x M C 9 B d X R v U m V t b 3 Z l Z E N v b H V t b n M x L n t M Y X R p d H V k Z S w 4 f S Z x d W 9 0 O y w m c X V v d D t T Z W N 0 a W 9 u M S 9 U Y W J s Z T E w L 0 F 1 d G 9 S Z W 1 v d m V k Q 2 9 s d W 1 u c z E u e 0 x v b m d p d H V k Z S w 5 f S Z x d W 9 0 O y w m c X V v d D t T Z W N 0 a W 9 u M S 9 U Y W J s Z T E w L 0 F 1 d G 9 S Z W 1 v d m V k Q 2 9 s d W 1 u c z E u e 0 N v b H V t b j E s M T B 9 J n F 1 b 3 Q 7 L C Z x d W 9 0 O 1 N l Y 3 R p b 2 4 x L 1 R h Y m x l M T A v Q X V 0 b 1 J l b W 9 2 Z W R D b 2 x 1 b W 5 z M S 5 7 Q 2 9 s d W 1 u M i w x M X 0 m c X V v d D t d L C Z x d W 9 0 O 0 N v b H V t b k N v d W 5 0 J n F 1 b 3 Q 7 O j E y L C Z x d W 9 0 O 0 t l e U N v b H V t b k 5 h b W V z J n F 1 b 3 Q 7 O l t d L C Z x d W 9 0 O 0 N v b H V t b k l k Z W 5 0 a X R p Z X M m c X V v d D s 6 W y Z x d W 9 0 O 1 N l Y 3 R p b 2 4 x L 1 R h Y m x l M T A v Q X V 0 b 1 J l b W 9 2 Z W R D b 2 x 1 b W 5 z M S 5 7 U 3 R l Z W w g U G x h b n Q g T m F t Z S w w f S Z x d W 9 0 O y w m c X V v d D t T Z W N 0 a W 9 u M S 9 U Y W J s Z T E w L 0 F 1 d G 9 S Z W 1 v d m V k Q 2 9 s d W 1 u c z E u e 0 N p d H k s M X 0 m c X V v d D s s J n F 1 b 3 Q 7 U 2 V j d G l v b j E v V G F i b G U x M C 9 B d X R v U m V t b 3 Z l Z E N v b H V t b n M x L n t T d G F 0 Z S w y f S Z x d W 9 0 O y w m c X V v d D t T Z W N 0 a W 9 u M S 9 U Y W J s Z T E w L 0 F 1 d G 9 S Z W 1 v d m V k Q 2 9 s d W 1 u c z E u e 0 d F T 0 l E L D N 9 J n F 1 b 3 Q 7 L C Z x d W 9 0 O 1 N l Y 3 R p b 2 4 x L 1 R h Y m x l M T A v Q X V 0 b 1 J l b W 9 2 Z W R D b 2 x 1 b W 5 z M S 5 7 V G 9 u b m V z I H B l c i B B b m 5 1 b S B T d G V l b C w 0 f S Z x d W 9 0 O y w m c X V v d D t T Z W N 0 a W 9 u M S 9 U Y W J s Z T E w L 0 F 1 d G 9 S Z W 1 v d m V k Q 2 9 s d W 1 u c z E u e 1 R v b m 5 l c y B w Z X I g Q W 5 u d W 0 g S X J v b i w 1 f S Z x d W 9 0 O y w m c X V v d D t T Z W N 0 a W 9 u M S 9 U Y W J s Z T E w L 0 F 1 d G 9 S Z W 1 v d m V k Q 2 9 s d W 1 u c z E u e 1 N 0 Y X R 1 c y w 2 f S Z x d W 9 0 O y w m c X V v d D t T Z W N 0 a W 9 u M S 9 U Y W J s Z T E w L 0 F 1 d G 9 S Z W 1 v d m V k Q 2 9 s d W 1 u c z E u e 1 B y a W 1 h c n k g R X F 1 a X B t Z W 5 0 L D d 9 J n F 1 b 3 Q 7 L C Z x d W 9 0 O 1 N l Y 3 R p b 2 4 x L 1 R h Y m x l M T A v Q X V 0 b 1 J l b W 9 2 Z W R D b 2 x 1 b W 5 z M S 5 7 T G F 0 a X R 1 Z G U s O H 0 m c X V v d D s s J n F 1 b 3 Q 7 U 2 V j d G l v b j E v V G F i b G U x M C 9 B d X R v U m V t b 3 Z l Z E N v b H V t b n M x L n t M b 2 5 n a X R 1 Z G U s O X 0 m c X V v d D s s J n F 1 b 3 Q 7 U 2 V j d G l v b j E v V G F i b G U x M C 9 B d X R v U m V t b 3 Z l Z E N v b H V t b n M x L n t D b 2 x 1 b W 4 x L D E w f S Z x d W 9 0 O y w m c X V v d D t T Z W N 0 a W 9 u M S 9 U Y W J s Z T E w L 0 F 1 d G 9 S Z W 1 v d m V k Q 2 9 s d W 1 u c z E u e 0 N v b H V t b j I s M T F 9 J n F 1 b 3 Q 7 X S w m c X V v d D t S Z W x h d G l v b n N o a X B J b m Z v J n F 1 b 3 Q 7 O l t d f S I g L z 4 8 L 1 N 0 Y W J s Z U V u d H J p Z X M + P C 9 J d G V t P j x J d G V t P j x J d G V t T G 9 j Y X R p b 2 4 + P E l 0 Z W 1 U e X B l P k Z v c m 1 1 b G E 8 L 0 l 0 Z W 1 U e X B l P j x J d G V t U G F 0 a D 5 T Z W N 0 a W 9 u M S 9 U Y W J s Z T E w L 1 N v d X J j Z T w v S X R l b V B h d G g + P C 9 J d G V t T G 9 j Y X R p b 2 4 + P F N 0 Y W J s Z U V u d H J p Z X M g L z 4 8 L 0 l 0 Z W 0 + P E l 0 Z W 0 + P E l 0 Z W 1 M b 2 N h d G l v b j 4 8 S X R l b V R 5 c G U + R m 9 y b X V s Y T w v S X R l b V R 5 c G U + P E l 0 Z W 1 Q Y X R o P l N l Y 3 R p b 2 4 x L 1 R h Y m x l M T A v Q 2 h h b m d l Z C U y M F R 5 c G U 8 L 0 l 0 Z W 1 Q Y X R o P j w v S X R l b U x v Y 2 F 0 a W 9 u P j x T d G F i b G V F b n R y a W V z I C 8 + P C 9 J d G V t P j x J d G V t P j x J d G V t T G 9 j Y X R p b 2 4 + P E l 0 Z W 1 U e X B l P k Z v c m 1 1 b G E 8 L 0 l 0 Z W 1 U e X B l P j x J d G V t U G F 0 a D 5 T Z W N 0 a W 9 u M S 9 U Y W J s Z T E w L 0 Z p b H R l c m V k J T I w U m 9 3 c z w v S X R l b V B h d G g + P C 9 J d G V t T G 9 j Y X R p b 2 4 + P F N 0 Y W J s Z U V u d H J p Z X M g L z 4 8 L 0 l 0 Z W 0 + P E l 0 Z W 0 + P E l 0 Z W 1 M b 2 N h d G l v b j 4 8 S X R l b V R 5 c G U + R m 9 y b X V s Y T w v S X R l b V R 5 c G U + P E l 0 Z W 1 Q Y X R o P l N l Y 3 R p b 2 4 x L 1 R h Y m x l M T 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i I g L z 4 8 R W 5 0 c n k g V H l w Z T 0 i R m l s b E V y c m 9 y Q 2 9 k Z S I g V m F s d W U 9 I n N V b m t u b 3 d u I i A v P j x F b n R y e S B U e X B l P S J G a W x s R X J y b 3 J D b 3 V u d C I g V m F s d W U 9 I m w w I i A v P j x F b n R y e S B U e X B l P S J G a W x s T G F z d F V w Z G F 0 Z W Q i I F Z h b H V l P S J k M j A y M y 0 w N i 0 w O V Q x O T o x O D o y N y 4 w M z I 5 M T g 2 W i I g L z 4 8 R W 5 0 c n k g V H l w Z T 0 i R m l s b E N v b H V t b l R 5 c G V z I i B W Y W x 1 Z T 0 i c 0 J n W U d C Z 1 V G Q X d Z R y I g L z 4 8 R W 5 0 c n k g V H l w Z T 0 i R m l s b E N v b H V t b k 5 h b W V z I i B W Y W x 1 Z T 0 i c 1 s m c X V v d D t H R U 9 J R C Z x d W 9 0 O y w m c X V v d D t O Y W 1 l J n F 1 b 3 Q 7 L C Z x d W 9 0 O 1 B y b 3 Z f U 3 R h d G U m c X V v d D s s J n F 1 b 3 Q 7 Q 2 l 0 e S Z x d W 9 0 O y w m c X V v d D t M Y X R p d H V k Z S Z x d W 9 0 O y w m c X V v d D t M b 2 5 n a X R 1 Z G U m c X V v d D s s J n F 1 b 3 Q 7 Q 2 F w Y W N p d H k g K G J w Z C k m c X V v d D s s J n F 1 b 3 Q 7 Q 2 9 t c G F u e S Z x d W 9 0 O y w m c X V v d D t T b 3 V y Y 2 U 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U Y W J s Z T E y L 0 F 1 d G 9 S Z W 1 v d m V k Q 2 9 s d W 1 u c z E u e 0 d F T 0 l E L D B 9 J n F 1 b 3 Q 7 L C Z x d W 9 0 O 1 N l Y 3 R p b 2 4 x L 1 R h Y m x l M T I v Q X V 0 b 1 J l b W 9 2 Z W R D b 2 x 1 b W 5 z M S 5 7 T m F t Z S w x f S Z x d W 9 0 O y w m c X V v d D t T Z W N 0 a W 9 u M S 9 U Y W J s Z T E y L 0 F 1 d G 9 S Z W 1 v d m V k Q 2 9 s d W 1 u c z E u e 1 B y b 3 Z f U 3 R h d G U s M n 0 m c X V v d D s s J n F 1 b 3 Q 7 U 2 V j d G l v b j E v V G F i b G U x M i 9 B d X R v U m V t b 3 Z l Z E N v b H V t b n M x L n t D a X R 5 L D N 9 J n F 1 b 3 Q 7 L C Z x d W 9 0 O 1 N l Y 3 R p b 2 4 x L 1 R h Y m x l M T I v Q X V 0 b 1 J l b W 9 2 Z W R D b 2 x 1 b W 5 z M S 5 7 T G F 0 a X R 1 Z G U s N H 0 m c X V v d D s s J n F 1 b 3 Q 7 U 2 V j d G l v b j E v V G F i b G U x M i 9 B d X R v U m V t b 3 Z l Z E N v b H V t b n M x L n t M b 2 5 n a X R 1 Z G U s N X 0 m c X V v d D s s J n F 1 b 3 Q 7 U 2 V j d G l v b j E v V G F i b G U x M i 9 B d X R v U m V t b 3 Z l Z E N v b H V t b n M x L n t D Y X B h Y 2 l 0 e S A o Y n B k K S w 2 f S Z x d W 9 0 O y w m c X V v d D t T Z W N 0 a W 9 u M S 9 U Y W J s Z T E y L 0 F 1 d G 9 S Z W 1 v d m V k Q 2 9 s d W 1 u c z E u e 0 N v b X B h b n k s N 3 0 m c X V v d D s s J n F 1 b 3 Q 7 U 2 V j d G l v b j E v V G F i b G U x M i 9 B d X R v U m V t b 3 Z l Z E N v b H V t b n M x L n t T b 3 V y Y 2 U s O H 0 m c X V v d D t d L C Z x d W 9 0 O 0 N v b H V t b k N v d W 5 0 J n F 1 b 3 Q 7 O j k s J n F 1 b 3 Q 7 S 2 V 5 Q 2 9 s d W 1 u T m F t Z X M m c X V v d D s 6 W 1 0 s J n F 1 b 3 Q 7 Q 2 9 s d W 1 u S W R l b n R p d G l l c y Z x d W 9 0 O z p b J n F 1 b 3 Q 7 U 2 V j d G l v b j E v V G F i b G U x M i 9 B d X R v U m V t b 3 Z l Z E N v b H V t b n M x L n t H R U 9 J R C w w f S Z x d W 9 0 O y w m c X V v d D t T Z W N 0 a W 9 u M S 9 U Y W J s Z T E y L 0 F 1 d G 9 S Z W 1 v d m V k Q 2 9 s d W 1 u c z E u e 0 5 h b W U s M X 0 m c X V v d D s s J n F 1 b 3 Q 7 U 2 V j d G l v b j E v V G F i b G U x M i 9 B d X R v U m V t b 3 Z l Z E N v b H V t b n M x L n t Q c m 9 2 X 1 N 0 Y X R l L D J 9 J n F 1 b 3 Q 7 L C Z x d W 9 0 O 1 N l Y 3 R p b 2 4 x L 1 R h Y m x l M T I v Q X V 0 b 1 J l b W 9 2 Z W R D b 2 x 1 b W 5 z M S 5 7 Q 2 l 0 e S w z f S Z x d W 9 0 O y w m c X V v d D t T Z W N 0 a W 9 u M S 9 U Y W J s Z T E y L 0 F 1 d G 9 S Z W 1 v d m V k Q 2 9 s d W 1 u c z E u e 0 x h d G l 0 d W R l L D R 9 J n F 1 b 3 Q 7 L C Z x d W 9 0 O 1 N l Y 3 R p b 2 4 x L 1 R h Y m x l M T I v Q X V 0 b 1 J l b W 9 2 Z W R D b 2 x 1 b W 5 z M S 5 7 T G 9 u Z 2 l 0 d W R l L D V 9 J n F 1 b 3 Q 7 L C Z x d W 9 0 O 1 N l Y 3 R p b 2 4 x L 1 R h Y m x l M T I v Q X V 0 b 1 J l b W 9 2 Z W R D b 2 x 1 b W 5 z M S 5 7 Q 2 F w Y W N p d H k g K G J w Z C k s N n 0 m c X V v d D s s J n F 1 b 3 Q 7 U 2 V j d G l v b j E v V G F i b G U x M i 9 B d X R v U m V t b 3 Z l Z E N v b H V t b n M x L n t D b 2 1 w Y W 5 5 L D d 9 J n F 1 b 3 Q 7 L C Z x d W 9 0 O 1 N l Y 3 R p b 2 4 x L 1 R h Y m x l M T I v Q X V 0 b 1 J l b W 9 2 Z W R D b 2 x 1 b W 5 z M S 5 7 U 2 9 1 c m N l L D h 9 J n F 1 b 3 Q 7 X S w m c X V v d D t S Z W x h d G l v b n N o a X B J b m Z v J n F 1 b 3 Q 7 O l t d f S I g L z 4 8 L 1 N 0 Y W J s Z U V u d H J p Z X M + P C 9 J d G V t P j x J d G V t P j x J d G V t T G 9 j Y X R p b 2 4 + P E l 0 Z W 1 U e X B l P k Z v c m 1 1 b G E 8 L 0 l 0 Z W 1 U e X B l P j x J d G V t U G F 0 a D 5 T Z W N 0 a W 9 u M S 9 U Y W J s Z T E y L 1 N v d X J j Z T w v S X R l b V B h d G g + P C 9 J d G V t T G 9 j Y X R p b 2 4 + P F N 0 Y W J s Z U V u d H J p Z X M g L z 4 8 L 0 l 0 Z W 0 + P E l 0 Z W 0 + P E l 0 Z W 1 M b 2 N h d G l v b j 4 8 S X R l b V R 5 c G U + R m 9 y b X V s Y T w v S X R l b V R 5 c G U + P E l 0 Z W 1 Q Y X R o P l N l Y 3 R p b 2 4 x L 1 R h Y m x l M T I v Q 2 h h b m d l Z C U y M F R 5 c G U 8 L 0 l 0 Z W 1 Q Y X R o P j w v S X R l b U x v Y 2 F 0 a W 9 u P j x T d G F i b G V F b n R y a W V z I C 8 + P C 9 J d G V t P j x J d G V t P j x J d G V t T G 9 j Y X R p b 2 4 + P E l 0 Z W 1 U e X B l P k Z v c m 1 1 b G E 8 L 0 l 0 Z W 1 U e X B l P j x J d G V t U G F 0 a D 5 T Z W N 0 a W 9 u M S 9 U Y W J s Z T E y L 0 Z p b H R l c m V k J T I w U m 9 3 c z w v S X R l b V B h d G g + P C 9 J d G V t T G 9 j Y X R p b 2 4 + P F N 0 Y W J s Z U V u d H J p Z X M g L z 4 8 L 0 l 0 Z W 0 + P E l 0 Z W 0 + P E l 0 Z W 1 M b 2 N h d G l v b j 4 8 S X R l b V R 5 c G U + R m 9 y b X V s Y T w v S X R l b V R 5 c G U + P E l 0 Z W 1 Q Y X R o P l N l Y 3 R p b 2 4 x L 1 R h Y m x l M T I 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U Y X J n Z X Q i I F Z h b H V l P S J z V G F i b G V f V G F i b G U x M j E 1 I i A v P j x F b n R y e S B U e X B l P S J G a W x s Z W R D b 2 1 w b G V 0 Z V J l c 3 V s d F R v V 2 9 y a 3 N o Z W V 0 I i B W Y W x 1 Z T 0 i b D E i I C 8 + P E V u d H J 5 I F R 5 c G U 9 I k F k Z G V k V G 9 E Y X R h T W 9 k Z W w i I F Z h b H V l P S J s M C I g L z 4 8 R W 5 0 c n k g V H l w Z T 0 i R m l s b E V y c m 9 y Q 2 9 k Z S I g V m F s d W U 9 I n N V b m t u b 3 d u I i A v P j x F b n R y e S B U e X B l P S J G a W x s R X J y b 3 J D b 3 V u d C I g V m F s d W U 9 I m w w I i A v P j x F b n R y e S B U e X B l P S J G a W x s T G F z d F V w Z G F 0 Z W Q i I F Z h b H V l P S J k M j A y M y 0 w N i 0 w O V Q x O T o x O D o y N y 4 w M z I 5 M T g 2 W i I g L z 4 8 R W 5 0 c n k g V H l w Z T 0 i R m l s b E N v b H V t b l R 5 c G V z I i B W Y W x 1 Z T 0 i c 0 J n W U d C Z 1 V G Q X d Z R y I g L z 4 8 R W 5 0 c n k g V H l w Z T 0 i R m l s b E N v b H V t b k 5 h b W V z I i B W Y W x 1 Z T 0 i c 1 s m c X V v d D t H R U 9 J R C Z x d W 9 0 O y w m c X V v d D t O Y W 1 l J n F 1 b 3 Q 7 L C Z x d W 9 0 O 1 B y b 3 Z f U 3 R h d G U m c X V v d D s s J n F 1 b 3 Q 7 Q 2 l 0 e S Z x d W 9 0 O y w m c X V v d D t M Y X R p d H V k Z S Z x d W 9 0 O y w m c X V v d D t M b 2 5 n a X R 1 Z G U m c X V v d D s s J n F 1 b 3 Q 7 Q 2 F w Y W N p d H k g K G J w Z C k m c X V v d D s s J n F 1 b 3 Q 7 Q 2 9 t c G F u e S Z x d W 9 0 O y w m c X V v d D t T b 3 V y Y 2 U m c X V v d D t d I i A v P j x F b n R y e S B U e X B l P S J G a W x s U 3 R h d H V z I i B W Y W x 1 Z T 0 i c 0 N v b X B s Z X R l I i A v P j x F b n R y e S B U e X B l P S J G a W x s Q 2 9 1 b n Q i I F Z h b H V l P S J s M i I g L z 4 8 R W 5 0 c n k g V H l w Z T 0 i U m V s Y X R p b 2 5 z a G l w S W 5 m b 0 N v b n R h a W 5 l c i I g V m F s d W U 9 I n N 7 J n F 1 b 3 Q 7 Y 2 9 s d W 1 u Q 2 9 1 b n Q m c X V v d D s 6 O S w m c X V v d D t r Z X l D b 2 x 1 b W 5 O Y W 1 l c y Z x d W 9 0 O z p b X S w m c X V v d D t x d W V y e V J l b G F 0 a W 9 u c 2 h p c H M m c X V v d D s 6 W 1 0 s J n F 1 b 3 Q 7 Y 2 9 s d W 1 u S W R l b n R p d G l l c y Z x d W 9 0 O z p b J n F 1 b 3 Q 7 U 2 V j d G l v b j E v V G F i b G U x M i 9 B d X R v U m V t b 3 Z l Z E N v b H V t b n M x L n t H R U 9 J R C w w f S Z x d W 9 0 O y w m c X V v d D t T Z W N 0 a W 9 u M S 9 U Y W J s Z T E y L 0 F 1 d G 9 S Z W 1 v d m V k Q 2 9 s d W 1 u c z E u e 0 5 h b W U s M X 0 m c X V v d D s s J n F 1 b 3 Q 7 U 2 V j d G l v b j E v V G F i b G U x M i 9 B d X R v U m V t b 3 Z l Z E N v b H V t b n M x L n t Q c m 9 2 X 1 N 0 Y X R l L D J 9 J n F 1 b 3 Q 7 L C Z x d W 9 0 O 1 N l Y 3 R p b 2 4 x L 1 R h Y m x l M T I v Q X V 0 b 1 J l b W 9 2 Z W R D b 2 x 1 b W 5 z M S 5 7 Q 2 l 0 e S w z f S Z x d W 9 0 O y w m c X V v d D t T Z W N 0 a W 9 u M S 9 U Y W J s Z T E y L 0 F 1 d G 9 S Z W 1 v d m V k Q 2 9 s d W 1 u c z E u e 0 x h d G l 0 d W R l L D R 9 J n F 1 b 3 Q 7 L C Z x d W 9 0 O 1 N l Y 3 R p b 2 4 x L 1 R h Y m x l M T I v Q X V 0 b 1 J l b W 9 2 Z W R D b 2 x 1 b W 5 z M S 5 7 T G 9 u Z 2 l 0 d W R l L D V 9 J n F 1 b 3 Q 7 L C Z x d W 9 0 O 1 N l Y 3 R p b 2 4 x L 1 R h Y m x l M T I v Q X V 0 b 1 J l b W 9 2 Z W R D b 2 x 1 b W 5 z M S 5 7 Q 2 F w Y W N p d H k g K G J w Z C k s N n 0 m c X V v d D s s J n F 1 b 3 Q 7 U 2 V j d G l v b j E v V G F i b G U x M i 9 B d X R v U m V t b 3 Z l Z E N v b H V t b n M x L n t D b 2 1 w Y W 5 5 L D d 9 J n F 1 b 3 Q 7 L C Z x d W 9 0 O 1 N l Y 3 R p b 2 4 x L 1 R h Y m x l M T I v Q X V 0 b 1 J l b W 9 2 Z W R D b 2 x 1 b W 5 z M S 5 7 U 2 9 1 c m N l L D h 9 J n F 1 b 3 Q 7 X S w m c X V v d D t D b 2 x 1 b W 5 D b 3 V u d C Z x d W 9 0 O z o 5 L C Z x d W 9 0 O 0 t l e U N v b H V t b k 5 h b W V z J n F 1 b 3 Q 7 O l t d L C Z x d W 9 0 O 0 N v b H V t b k l k Z W 5 0 a X R p Z X M m c X V v d D s 6 W y Z x d W 9 0 O 1 N l Y 3 R p b 2 4 x L 1 R h Y m x l M T I v Q X V 0 b 1 J l b W 9 2 Z W R D b 2 x 1 b W 5 z M S 5 7 R 0 V P S U Q s M H 0 m c X V v d D s s J n F 1 b 3 Q 7 U 2 V j d G l v b j E v V G F i b G U x M i 9 B d X R v U m V t b 3 Z l Z E N v b H V t b n M x L n t O Y W 1 l L D F 9 J n F 1 b 3 Q 7 L C Z x d W 9 0 O 1 N l Y 3 R p b 2 4 x L 1 R h Y m x l M T I v Q X V 0 b 1 J l b W 9 2 Z W R D b 2 x 1 b W 5 z M S 5 7 U H J v d l 9 T d G F 0 Z S w y f S Z x d W 9 0 O y w m c X V v d D t T Z W N 0 a W 9 u M S 9 U Y W J s Z T E y L 0 F 1 d G 9 S Z W 1 v d m V k Q 2 9 s d W 1 u c z E u e 0 N p d H k s M 3 0 m c X V v d D s s J n F 1 b 3 Q 7 U 2 V j d G l v b j E v V G F i b G U x M i 9 B d X R v U m V t b 3 Z l Z E N v b H V t b n M x L n t M Y X R p d H V k Z S w 0 f S Z x d W 9 0 O y w m c X V v d D t T Z W N 0 a W 9 u M S 9 U Y W J s Z T E y L 0 F 1 d G 9 S Z W 1 v d m V k Q 2 9 s d W 1 u c z E u e 0 x v b m d p d H V k Z S w 1 f S Z x d W 9 0 O y w m c X V v d D t T Z W N 0 a W 9 u M S 9 U Y W J s Z T E y L 0 F 1 d G 9 S Z W 1 v d m V k Q 2 9 s d W 1 u c z E u e 0 N h c G F j a X R 5 I C h i c G Q p L D Z 9 J n F 1 b 3 Q 7 L C Z x d W 9 0 O 1 N l Y 3 R p b 2 4 x L 1 R h Y m x l M T I v Q X V 0 b 1 J l b W 9 2 Z W R D b 2 x 1 b W 5 z M S 5 7 Q 2 9 t c G F u e S w 3 f S Z x d W 9 0 O y w m c X V v d D t T Z W N 0 a W 9 u M S 9 U Y W J s Z T E y L 0 F 1 d G 9 S Z W 1 v d m V k Q 2 9 s d W 1 u c z E u e 1 N v d X J j Z S w 4 f S Z x d W 9 0 O 1 0 s J n F 1 b 3 Q 7 U m V s Y X R p b 2 5 z a G l w S W 5 m b y Z x d W 9 0 O z p b X X 0 i I C 8 + P E V u d H J 5 I F R 5 c G U 9 I k x v Y W R l Z F R v Q W 5 h b H l z a X N T Z X J 2 a W N l c y I g V m F s d W U 9 I m w w I i A v P j w v U 3 R h Y m x l R W 5 0 c m l l c z 4 8 L 0 l 0 Z W 0 + P E l 0 Z W 0 + P E l 0 Z W 1 M b 2 N h d G l v b j 4 8 S X R l b V R 5 c G U + R m 9 y b X V s Y T w v S X R l b V R 5 c G U + P E l 0 Z W 1 Q Y X R o P l N l Y 3 R p b 2 4 x L 1 R h Y m x l M T I l M j A o M i k v U 2 9 1 c m N l P C 9 J d G V t U G F 0 a D 4 8 L 0 l 0 Z W 1 M b 2 N h d G l v b j 4 8 U 3 R h Y m x l R W 5 0 c m l l c y A v P j w v S X R l b T 4 8 S X R l b T 4 8 S X R l b U x v Y 2 F 0 a W 9 u P j x J d G V t V H l w Z T 5 G b 3 J t d W x h P C 9 J d G V t V H l w Z T 4 8 S X R l b V B h d G g + U 2 V j d G l v b j E v V G F i b G U x M i U y M C g y K S 9 D a G F u Z 2 V k J T I w V H l w Z T w v S X R l b V B h d G g + P C 9 J d G V t T G 9 j Y X R p b 2 4 + P F N 0 Y W J s Z U V u d H J p Z X M g L z 4 8 L 0 l 0 Z W 0 + P E l 0 Z W 0 + P E l 0 Z W 1 M b 2 N h d G l v b j 4 8 S X R l b V R 5 c G U + R m 9 y b X V s Y T w v S X R l b V R 5 c G U + P E l 0 Z W 1 Q Y X R o P l N l Y 3 R p b 2 4 x L 1 R h Y m x l M T I l M j A o M i k v R m l s d G V y Z W Q l M j B S b 3 d z P C 9 J d G V t U G F 0 a D 4 8 L 0 l 0 Z W 1 M b 2 N h d G l v b j 4 8 U 3 R h Y m x l R W 5 0 c m l l c y A v P j w v S X R l b T 4 8 S X R l b T 4 8 S X R l b U x v Y 2 F 0 a W 9 u P j x J d G V t V H l w Z T 5 G b 3 J t d W x h P C 9 J d G V t V H l w Z T 4 8 S X R l b V B h d G g + U 2 V j d G l v b j E v V G F i b G U x 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M j U i I C 8 + P E V u d H J 5 I F R 5 c G U 9 I k Z p b G x F c n J v c k N v Z G U i I F Z h b H V l P S J z V W 5 r b m 9 3 b i I g L z 4 8 R W 5 0 c n k g V H l w Z T 0 i R m l s b E V y c m 9 y Q 2 9 1 b n Q i I F Z h b H V l P S J s M C I g L z 4 8 R W 5 0 c n k g V H l w Z T 0 i R m l s b E x h c 3 R V c G R h d G V k I i B W Y W x 1 Z T 0 i Z D I w M j M t M D Y t M T J U M T Y 6 N T c 6 N D Y u N z c y M z Y 1 O V o i I C 8 + P E V u d H J 5 I F R 5 c G U 9 I k Z p b G x D b 2 x 1 b W 5 U e X B l c y I g V m F s d W U 9 I n N C Z 1 l H Q m d Z Q U J n W U d C Z 1 l H Q m d N R E F B Q U Z C Z 0 F B Q U F B R k F B W U d C Z 1 l H Q m d Z R 0 J n W U F B Q V l B Q m d Z P S I g L z 4 8 R W 5 0 c n k g V H l w Z T 0 i R m l s b E N v b H V t b k 5 h b W V z I i B W Y W x 1 Z T 0 i c 1 s m c X V v d D t Q c m 9 q Z W N 0 S U Q m c X V v d D s s J n F 1 b 3 Q 7 R n V l b C Z x d W 9 0 O y w m c X V v d D t T d G F y d E N v d W 5 0 c n k m c X V v d D s s J n F 1 b 3 Q 7 R W 5 k Q 2 9 1 b n R y e S Z x d W 9 0 O y w m c X V v d D t D b 3 V u d H J p Z X M m c X V v d D s s J n F 1 b 3 Q 7 Q 2 9 s d W 1 u M S Z x d W 9 0 O y w m c X V v d D t X a W t p J n F 1 b 3 Q 7 L C Z x d W 9 0 O 1 B p c G V s a W 5 l T m F t Z S Z x d W 9 0 O y w m c X V v d D t T Z W d t Z W 5 0 T m F t Z S Z x d W 9 0 O y w m c X V v d D t P d G h l c k V u Z 2 x p c 2 h O Y W 1 l c y Z x d W 9 0 O y w m c X V v d D t P d 2 5 l c i Z x d W 9 0 O y w m c X V v d D t Q Y X J l b n Q m c X V v d D s s J n F 1 b 3 Q 7 U 3 R h d H V z J n F 1 b 3 Q 7 L C Z x d W 9 0 O 1 N 0 Y X J 0 W W V h c j E m c X V v d D s s J n F 1 b 3 Q 7 U 3 R h c n R Z Z W F y M i Z x d W 9 0 O y w m c X V v d D t T d G F y d F l l Y X I z J n F 1 b 3 Q 7 L C Z x d W 9 0 O 1 N 0 b 3 B Z Z W F y J n F 1 b 3 Q 7 L C Z x d W 9 0 O 0 N h c G F j a X R 5 J n F 1 b 3 Q 7 L C Z x d W 9 0 O 0 N h c G F j a X R 5 V W 5 p d H M m c X V v d D s s J n F 1 b 3 Q 7 Q 2 F w Y W N p d H l C Y 2 0 v e S Z x d W 9 0 O y w m c X V v d D t D Y X B h Y 2 l 0 e U J P R W Q m c X V v d D s s J n F 1 b 3 Q 7 T G V u Z 3 R o S 2 5 v d 2 5 L b S Z x d W 9 0 O y w m c X V v d D t M Z W 5 n d G h F c 3 R p b W F 0 Z U t t J n F 1 b 3 Q 7 L C Z x d W 9 0 O 0 x l b m d 0 a E 1 l c m d l Z E t t J n F 1 b 3 Q 7 L C Z x d W 9 0 O 0 R p Y W 1 l d G V y J n F 1 b 3 Q 7 L C Z x d W 9 0 O 0 R p Y W 1 l d G V y V W 5 p d H M m c X V v d D s s J n F 1 b 3 Q 7 R n V l b F N v d X J j Z S Z x d W 9 0 O y w m c X V v d D t T d G F y d E x v Y 2 F 0 a W 9 u J n F 1 b 3 Q 7 L C Z x d W 9 0 O 1 N 0 Y X J 0 U m V n a W 9 u J n F 1 b 3 Q 7 L C Z x d W 9 0 O 1 N 0 Y X J 0 U H J l Z m V j d H V y Z S 9 E a X N 0 c m l j d C Z x d W 9 0 O y w m c X V v d D t T d G F y d F N 0 Y X R l L 1 B y b 3 Z p b m N l J n F 1 b 3 Q 7 L C Z x d W 9 0 O 0 V u Z E x v Y 2 F 0 a W 9 u J n F 1 b 3 Q 7 L C Z x d W 9 0 O 0 V u Z F B y Z W Z l Y 3 R 1 c m U v R G l z d H J p Y 3 Q m c X V v d D s s J n F 1 b 3 Q 7 R W 5 k U 3 R h d G U v U H J v d m l u Y 2 U m c X V v d D s s J n F 1 b 3 Q 7 R W 5 k U m V n a W 9 u J n F 1 b 3 Q 7 L C Z x d W 9 0 O 0 Z J R C Z x d W 9 0 O y w m c X V v d D t G S U R Z Z W F y J n F 1 b 3 Q 7 L C Z x d W 9 0 O 0 9 0 a G V y T G F u Z 3 V h Z 2 V Q c m l t Y X J 5 U G l w Z W x p b m V O Y W 1 l J n F 1 b 3 Q 7 L C Z x d W 9 0 O 0 9 0 a G V y T G F u Z 3 V h Z 2 V T Z W d t Z W 5 0 T m F t Z S Z x d W 9 0 O y w m c X V v d D t P d G h l c k x h b m d 1 Y W d l V 2 l r a V B h Z 2 U m c X V v d D s s J n F 1 b 3 Q 7 V 0 t U R m 9 y b W F 0 J n F 1 b 3 Q 7 X S I g L z 4 8 R W 5 0 c n k g V H l w Z T 0 i R m l s b F N 0 Y X R 1 c y I g V m F s d W U 9 I n N D b 2 1 w b G V 0 Z S I g L z 4 8 R W 5 0 c n k g V H l w Z T 0 i U m V s Y X R p b 2 5 z a G l w S W 5 m b 0 N v b n R h a W 5 l c i I g V m F s d W U 9 I n N 7 J n F 1 b 3 Q 7 Y 2 9 s d W 1 u Q 2 9 1 b n Q m c X V v d D s 6 N D E s J n F 1 b 3 Q 7 a 2 V 5 Q 2 9 s d W 1 u T m F t Z X M m c X V v d D s 6 W 1 0 s J n F 1 b 3 Q 7 c X V l c n l S Z W x h d G l v b n N o a X B z J n F 1 b 3 Q 7 O l t d L C Z x d W 9 0 O 2 N v b H V t b k l k Z W 5 0 a X R p Z X M m c X V v d D s 6 W y Z x d W 9 0 O 1 N l Y 3 R p b 2 4 x L 1 R h Y m x l M T U v Q X V 0 b 1 J l b W 9 2 Z W R D b 2 x 1 b W 5 z M S 5 7 U H J v a m V j d E l E L D B 9 J n F 1 b 3 Q 7 L C Z x d W 9 0 O 1 N l Y 3 R p b 2 4 x L 1 R h Y m x l M T U v Q X V 0 b 1 J l b W 9 2 Z W R D b 2 x 1 b W 5 z M S 5 7 R n V l b C w x f S Z x d W 9 0 O y w m c X V v d D t T Z W N 0 a W 9 u M S 9 U Y W J s Z T E 1 L 0 F 1 d G 9 S Z W 1 v d m V k Q 2 9 s d W 1 u c z E u e 1 N 0 Y X J 0 Q 2 9 1 b n R y e S w y f S Z x d W 9 0 O y w m c X V v d D t T Z W N 0 a W 9 u M S 9 U Y W J s Z T E 1 L 0 F 1 d G 9 S Z W 1 v d m V k Q 2 9 s d W 1 u c z E u e 0 V u Z E N v d W 5 0 c n k s M 3 0 m c X V v d D s s J n F 1 b 3 Q 7 U 2 V j d G l v b j E v V G F i b G U x N S 9 B d X R v U m V t b 3 Z l Z E N v b H V t b n M x L n t D b 3 V u d H J p Z X M s N H 0 m c X V v d D s s J n F 1 b 3 Q 7 U 2 V j d G l v b j E v V G F i b G U x N S 9 B d X R v U m V t b 3 Z l Z E N v b H V t b n M x L n t D b 2 x 1 b W 4 x L D V 9 J n F 1 b 3 Q 7 L C Z x d W 9 0 O 1 N l Y 3 R p b 2 4 x L 1 R h Y m x l M T U v Q X V 0 b 1 J l b W 9 2 Z W R D b 2 x 1 b W 5 z M S 5 7 V 2 l r a S w 2 f S Z x d W 9 0 O y w m c X V v d D t T Z W N 0 a W 9 u M S 9 U Y W J s Z T E 1 L 0 F 1 d G 9 S Z W 1 v d m V k Q 2 9 s d W 1 u c z E u e 1 B p c G V s a W 5 l T m F t Z S w 3 f S Z x d W 9 0 O y w m c X V v d D t T Z W N 0 a W 9 u M S 9 U Y W J s Z T E 1 L 0 F 1 d G 9 S Z W 1 v d m V k Q 2 9 s d W 1 u c z E u e 1 N l Z 2 1 l b n R O Y W 1 l L D h 9 J n F 1 b 3 Q 7 L C Z x d W 9 0 O 1 N l Y 3 R p b 2 4 x L 1 R h Y m x l M T U v Q X V 0 b 1 J l b W 9 2 Z W R D b 2 x 1 b W 5 z M S 5 7 T 3 R o Z X J F b m d s a X N o T m F t Z X M s O X 0 m c X V v d D s s J n F 1 b 3 Q 7 U 2 V j d G l v b j E v V G F i b G U x N S 9 B d X R v U m V t b 3 Z l Z E N v b H V t b n M x L n t P d 2 5 l c i w x M H 0 m c X V v d D s s J n F 1 b 3 Q 7 U 2 V j d G l v b j E v V G F i b G U x N S 9 B d X R v U m V t b 3 Z l Z E N v b H V t b n M x L n t Q Y X J l b n Q s M T F 9 J n F 1 b 3 Q 7 L C Z x d W 9 0 O 1 N l Y 3 R p b 2 4 x L 1 R h Y m x l M T U v Q X V 0 b 1 J l b W 9 2 Z W R D b 2 x 1 b W 5 z M S 5 7 U 3 R h d H V z L D E y f S Z x d W 9 0 O y w m c X V v d D t T Z W N 0 a W 9 u M S 9 U Y W J s Z T E 1 L 0 F 1 d G 9 S Z W 1 v d m V k Q 2 9 s d W 1 u c z E u e 1 N 0 Y X J 0 W W V h c j E s M T N 9 J n F 1 b 3 Q 7 L C Z x d W 9 0 O 1 N l Y 3 R p b 2 4 x L 1 R h Y m x l M T U v Q X V 0 b 1 J l b W 9 2 Z W R D b 2 x 1 b W 5 z M S 5 7 U 3 R h c n R Z Z W F y M i w x N H 0 m c X V v d D s s J n F 1 b 3 Q 7 U 2 V j d G l v b j E v V G F i b G U x N S 9 B d X R v U m V t b 3 Z l Z E N v b H V t b n M x L n t T d G F y d F l l Y X I z L D E 1 f S Z x d W 9 0 O y w m c X V v d D t T Z W N 0 a W 9 u M S 9 U Y W J s Z T E 1 L 0 F 1 d G 9 S Z W 1 v d m V k Q 2 9 s d W 1 u c z E u e 1 N 0 b 3 B Z Z W F y L D E 2 f S Z x d W 9 0 O y w m c X V v d D t T Z W N 0 a W 9 u M S 9 U Y W J s Z T E 1 L 0 F 1 d G 9 S Z W 1 v d m V k Q 2 9 s d W 1 u c z E u e 0 N h c G F j a X R 5 L D E 3 f S Z x d W 9 0 O y w m c X V v d D t T Z W N 0 a W 9 u M S 9 U Y W J s Z T E 1 L 0 F 1 d G 9 S Z W 1 v d m V k Q 2 9 s d W 1 u c z E u e 0 N h c G F j a X R 5 V W 5 p d H M s M T h 9 J n F 1 b 3 Q 7 L C Z x d W 9 0 O 1 N l Y 3 R p b 2 4 x L 1 R h Y m x l M T U v Q X V 0 b 1 J l b W 9 2 Z W R D b 2 x 1 b W 5 z M S 5 7 Q 2 F w Y W N p d H l C Y 2 0 v e S w x O X 0 m c X V v d D s s J n F 1 b 3 Q 7 U 2 V j d G l v b j E v V G F i b G U x N S 9 B d X R v U m V t b 3 Z l Z E N v b H V t b n M x L n t D Y X B h Y 2 l 0 e U J P R W Q s M j B 9 J n F 1 b 3 Q 7 L C Z x d W 9 0 O 1 N l Y 3 R p b 2 4 x L 1 R h Y m x l M T U v Q X V 0 b 1 J l b W 9 2 Z W R D b 2 x 1 b W 5 z M S 5 7 T G V u Z 3 R o S 2 5 v d 2 5 L b S w y M X 0 m c X V v d D s s J n F 1 b 3 Q 7 U 2 V j d G l v b j E v V G F i b G U x N S 9 B d X R v U m V t b 3 Z l Z E N v b H V t b n M x L n t M Z W 5 n d G h F c 3 R p b W F 0 Z U t t L D I y f S Z x d W 9 0 O y w m c X V v d D t T Z W N 0 a W 9 u M S 9 U Y W J s Z T E 1 L 0 F 1 d G 9 S Z W 1 v d m V k Q 2 9 s d W 1 u c z E u e 0 x l b m d 0 a E 1 l c m d l Z E t t L D I z f S Z x d W 9 0 O y w m c X V v d D t T Z W N 0 a W 9 u M S 9 U Y W J s Z T E 1 L 0 F 1 d G 9 S Z W 1 v d m V k Q 2 9 s d W 1 u c z E u e 0 R p Y W 1 l d G V y L D I 0 f S Z x d W 9 0 O y w m c X V v d D t T Z W N 0 a W 9 u M S 9 U Y W J s Z T E 1 L 0 F 1 d G 9 S Z W 1 v d m V k Q 2 9 s d W 1 u c z E u e 0 R p Y W 1 l d G V y V W 5 p d H M s M j V 9 J n F 1 b 3 Q 7 L C Z x d W 9 0 O 1 N l Y 3 R p b 2 4 x L 1 R h Y m x l M T U v Q X V 0 b 1 J l b W 9 2 Z W R D b 2 x 1 b W 5 z M S 5 7 R n V l b F N v d X J j Z S w y N n 0 m c X V v d D s s J n F 1 b 3 Q 7 U 2 V j d G l v b j E v V G F i b G U x N S 9 B d X R v U m V t b 3 Z l Z E N v b H V t b n M x L n t T d G F y d E x v Y 2 F 0 a W 9 u L D I 3 f S Z x d W 9 0 O y w m c X V v d D t T Z W N 0 a W 9 u M S 9 U Y W J s Z T E 1 L 0 F 1 d G 9 S Z W 1 v d m V k Q 2 9 s d W 1 u c z E u e 1 N 0 Y X J 0 U m V n a W 9 u L D I 4 f S Z x d W 9 0 O y w m c X V v d D t T Z W N 0 a W 9 u M S 9 U Y W J s Z T E 1 L 0 F 1 d G 9 S Z W 1 v d m V k Q 2 9 s d W 1 u c z E u e 1 N 0 Y X J 0 U H J l Z m V j d H V y Z S 9 E a X N 0 c m l j d C w y O X 0 m c X V v d D s s J n F 1 b 3 Q 7 U 2 V j d G l v b j E v V G F i b G U x N S 9 B d X R v U m V t b 3 Z l Z E N v b H V t b n M x L n t T d G F y d F N 0 Y X R l L 1 B y b 3 Z p b m N l L D M w f S Z x d W 9 0 O y w m c X V v d D t T Z W N 0 a W 9 u M S 9 U Y W J s Z T E 1 L 0 F 1 d G 9 S Z W 1 v d m V k Q 2 9 s d W 1 u c z E u e 0 V u Z E x v Y 2 F 0 a W 9 u L D M x f S Z x d W 9 0 O y w m c X V v d D t T Z W N 0 a W 9 u M S 9 U Y W J s Z T E 1 L 0 F 1 d G 9 S Z W 1 v d m V k Q 2 9 s d W 1 u c z E u e 0 V u Z F B y Z W Z l Y 3 R 1 c m U v R G l z d H J p Y 3 Q s M z J 9 J n F 1 b 3 Q 7 L C Z x d W 9 0 O 1 N l Y 3 R p b 2 4 x L 1 R h Y m x l M T U v Q X V 0 b 1 J l b W 9 2 Z W R D b 2 x 1 b W 5 z M S 5 7 R W 5 k U 3 R h d G U v U H J v d m l u Y 2 U s M z N 9 J n F 1 b 3 Q 7 L C Z x d W 9 0 O 1 N l Y 3 R p b 2 4 x L 1 R h Y m x l M T U v Q X V 0 b 1 J l b W 9 2 Z W R D b 2 x 1 b W 5 z M S 5 7 R W 5 k U m V n a W 9 u L D M 0 f S Z x d W 9 0 O y w m c X V v d D t T Z W N 0 a W 9 u M S 9 U Y W J s Z T E 1 L 0 F 1 d G 9 S Z W 1 v d m V k Q 2 9 s d W 1 u c z E u e 0 Z J R C w z N X 0 m c X V v d D s s J n F 1 b 3 Q 7 U 2 V j d G l v b j E v V G F i b G U x N S 9 B d X R v U m V t b 3 Z l Z E N v b H V t b n M x L n t G S U R Z Z W F y L D M 2 f S Z x d W 9 0 O y w m c X V v d D t T Z W N 0 a W 9 u M S 9 U Y W J s Z T E 1 L 0 F 1 d G 9 S Z W 1 v d m V k Q 2 9 s d W 1 u c z E u e 0 9 0 a G V y T G F u Z 3 V h Z 2 V Q c m l t Y X J 5 U G l w Z W x p b m V O Y W 1 l L D M 3 f S Z x d W 9 0 O y w m c X V v d D t T Z W N 0 a W 9 u M S 9 U Y W J s Z T E 1 L 0 F 1 d G 9 S Z W 1 v d m V k Q 2 9 s d W 1 u c z E u e 0 9 0 a G V y T G F u Z 3 V h Z 2 V T Z W d t Z W 5 0 T m F t Z S w z O H 0 m c X V v d D s s J n F 1 b 3 Q 7 U 2 V j d G l v b j E v V G F i b G U x N S 9 B d X R v U m V t b 3 Z l Z E N v b H V t b n M x L n t P d G h l c k x h b m d 1 Y W d l V 2 l r a V B h Z 2 U s M z l 9 J n F 1 b 3 Q 7 L C Z x d W 9 0 O 1 N l Y 3 R p b 2 4 x L 1 R h Y m x l M T U v Q X V 0 b 1 J l b W 9 2 Z W R D b 2 x 1 b W 5 z M S 5 7 V 0 t U R m 9 y b W F 0 L D Q w f S Z x d W 9 0 O 1 0 s J n F 1 b 3 Q 7 Q 2 9 s d W 1 u Q 2 9 1 b n Q m c X V v d D s 6 N D E s J n F 1 b 3 Q 7 S 2 V 5 Q 2 9 s d W 1 u T m F t Z X M m c X V v d D s 6 W 1 0 s J n F 1 b 3 Q 7 Q 2 9 s d W 1 u S W R l b n R p d G l l c y Z x d W 9 0 O z p b J n F 1 b 3 Q 7 U 2 V j d G l v b j E v V G F i b G U x N S 9 B d X R v U m V t b 3 Z l Z E N v b H V t b n M x L n t Q c m 9 q Z W N 0 S U Q s M H 0 m c X V v d D s s J n F 1 b 3 Q 7 U 2 V j d G l v b j E v V G F i b G U x N S 9 B d X R v U m V t b 3 Z l Z E N v b H V t b n M x L n t G d W V s L D F 9 J n F 1 b 3 Q 7 L C Z x d W 9 0 O 1 N l Y 3 R p b 2 4 x L 1 R h Y m x l M T U v Q X V 0 b 1 J l b W 9 2 Z W R D b 2 x 1 b W 5 z M S 5 7 U 3 R h c n R D b 3 V u d H J 5 L D J 9 J n F 1 b 3 Q 7 L C Z x d W 9 0 O 1 N l Y 3 R p b 2 4 x L 1 R h Y m x l M T U v Q X V 0 b 1 J l b W 9 2 Z W R D b 2 x 1 b W 5 z M S 5 7 R W 5 k Q 2 9 1 b n R y e S w z f S Z x d W 9 0 O y w m c X V v d D t T Z W N 0 a W 9 u M S 9 U Y W J s Z T E 1 L 0 F 1 d G 9 S Z W 1 v d m V k Q 2 9 s d W 1 u c z E u e 0 N v d W 5 0 c m l l c y w 0 f S Z x d W 9 0 O y w m c X V v d D t T Z W N 0 a W 9 u M S 9 U Y W J s Z T E 1 L 0 F 1 d G 9 S Z W 1 v d m V k Q 2 9 s d W 1 u c z E u e 0 N v b H V t b j E s N X 0 m c X V v d D s s J n F 1 b 3 Q 7 U 2 V j d G l v b j E v V G F i b G U x N S 9 B d X R v U m V t b 3 Z l Z E N v b H V t b n M x L n t X a W t p L D Z 9 J n F 1 b 3 Q 7 L C Z x d W 9 0 O 1 N l Y 3 R p b 2 4 x L 1 R h Y m x l M T U v Q X V 0 b 1 J l b W 9 2 Z W R D b 2 x 1 b W 5 z M S 5 7 U G l w Z W x p b m V O Y W 1 l L D d 9 J n F 1 b 3 Q 7 L C Z x d W 9 0 O 1 N l Y 3 R p b 2 4 x L 1 R h Y m x l M T U v Q X V 0 b 1 J l b W 9 2 Z W R D b 2 x 1 b W 5 z M S 5 7 U 2 V n b W V u d E 5 h b W U s O H 0 m c X V v d D s s J n F 1 b 3 Q 7 U 2 V j d G l v b j E v V G F i b G U x N S 9 B d X R v U m V t b 3 Z l Z E N v b H V t b n M x L n t P d G h l c k V u Z 2 x p c 2 h O Y W 1 l c y w 5 f S Z x d W 9 0 O y w m c X V v d D t T Z W N 0 a W 9 u M S 9 U Y W J s Z T E 1 L 0 F 1 d G 9 S Z W 1 v d m V k Q 2 9 s d W 1 u c z E u e 0 9 3 b m V y L D E w f S Z x d W 9 0 O y w m c X V v d D t T Z W N 0 a W 9 u M S 9 U Y W J s Z T E 1 L 0 F 1 d G 9 S Z W 1 v d m V k Q 2 9 s d W 1 u c z E u e 1 B h c m V u d C w x M X 0 m c X V v d D s s J n F 1 b 3 Q 7 U 2 V j d G l v b j E v V G F i b G U x N S 9 B d X R v U m V t b 3 Z l Z E N v b H V t b n M x L n t T d G F 0 d X M s M T J 9 J n F 1 b 3 Q 7 L C Z x d W 9 0 O 1 N l Y 3 R p b 2 4 x L 1 R h Y m x l M T U v Q X V 0 b 1 J l b W 9 2 Z W R D b 2 x 1 b W 5 z M S 5 7 U 3 R h c n R Z Z W F y M S w x M 3 0 m c X V v d D s s J n F 1 b 3 Q 7 U 2 V j d G l v b j E v V G F i b G U x N S 9 B d X R v U m V t b 3 Z l Z E N v b H V t b n M x L n t T d G F y d F l l Y X I y L D E 0 f S Z x d W 9 0 O y w m c X V v d D t T Z W N 0 a W 9 u M S 9 U Y W J s Z T E 1 L 0 F 1 d G 9 S Z W 1 v d m V k Q 2 9 s d W 1 u c z E u e 1 N 0 Y X J 0 W W V h c j M s M T V 9 J n F 1 b 3 Q 7 L C Z x d W 9 0 O 1 N l Y 3 R p b 2 4 x L 1 R h Y m x l M T U v Q X V 0 b 1 J l b W 9 2 Z W R D b 2 x 1 b W 5 z M S 5 7 U 3 R v c F l l Y X I s M T Z 9 J n F 1 b 3 Q 7 L C Z x d W 9 0 O 1 N l Y 3 R p b 2 4 x L 1 R h Y m x l M T U v Q X V 0 b 1 J l b W 9 2 Z W R D b 2 x 1 b W 5 z M S 5 7 Q 2 F w Y W N p d H k s M T d 9 J n F 1 b 3 Q 7 L C Z x d W 9 0 O 1 N l Y 3 R p b 2 4 x L 1 R h Y m x l M T U v Q X V 0 b 1 J l b W 9 2 Z W R D b 2 x 1 b W 5 z M S 5 7 Q 2 F w Y W N p d H l V b m l 0 c y w x O H 0 m c X V v d D s s J n F 1 b 3 Q 7 U 2 V j d G l v b j E v V G F i b G U x N S 9 B d X R v U m V t b 3 Z l Z E N v b H V t b n M x L n t D Y X B h Y 2 l 0 e U J j b S 9 5 L D E 5 f S Z x d W 9 0 O y w m c X V v d D t T Z W N 0 a W 9 u M S 9 U Y W J s Z T E 1 L 0 F 1 d G 9 S Z W 1 v d m V k Q 2 9 s d W 1 u c z E u e 0 N h c G F j a X R 5 Q k 9 F Z C w y M H 0 m c X V v d D s s J n F 1 b 3 Q 7 U 2 V j d G l v b j E v V G F i b G U x N S 9 B d X R v U m V t b 3 Z l Z E N v b H V t b n M x L n t M Z W 5 n d G h L b m 9 3 b k t t L D I x f S Z x d W 9 0 O y w m c X V v d D t T Z W N 0 a W 9 u M S 9 U Y W J s Z T E 1 L 0 F 1 d G 9 S Z W 1 v d m V k Q 2 9 s d W 1 u c z E u e 0 x l b m d 0 a E V z d G l t Y X R l S 2 0 s M j J 9 J n F 1 b 3 Q 7 L C Z x d W 9 0 O 1 N l Y 3 R p b 2 4 x L 1 R h Y m x l M T U v Q X V 0 b 1 J l b W 9 2 Z W R D b 2 x 1 b W 5 z M S 5 7 T G V u Z 3 R o T W V y Z 2 V k S 2 0 s M j N 9 J n F 1 b 3 Q 7 L C Z x d W 9 0 O 1 N l Y 3 R p b 2 4 x L 1 R h Y m x l M T U v Q X V 0 b 1 J l b W 9 2 Z W R D b 2 x 1 b W 5 z M S 5 7 R G l h b W V 0 Z X I s M j R 9 J n F 1 b 3 Q 7 L C Z x d W 9 0 O 1 N l Y 3 R p b 2 4 x L 1 R h Y m x l M T U v Q X V 0 b 1 J l b W 9 2 Z W R D b 2 x 1 b W 5 z M S 5 7 R G l h b W V 0 Z X J V b m l 0 c y w y N X 0 m c X V v d D s s J n F 1 b 3 Q 7 U 2 V j d G l v b j E v V G F i b G U x N S 9 B d X R v U m V t b 3 Z l Z E N v b H V t b n M x L n t G d W V s U 2 9 1 c m N l L D I 2 f S Z x d W 9 0 O y w m c X V v d D t T Z W N 0 a W 9 u M S 9 U Y W J s Z T E 1 L 0 F 1 d G 9 S Z W 1 v d m V k Q 2 9 s d W 1 u c z E u e 1 N 0 Y X J 0 T G 9 j Y X R p b 2 4 s M j d 9 J n F 1 b 3 Q 7 L C Z x d W 9 0 O 1 N l Y 3 R p b 2 4 x L 1 R h Y m x l M T U v Q X V 0 b 1 J l b W 9 2 Z W R D b 2 x 1 b W 5 z M S 5 7 U 3 R h c n R S Z W d p b 2 4 s M j h 9 J n F 1 b 3 Q 7 L C Z x d W 9 0 O 1 N l Y 3 R p b 2 4 x L 1 R h Y m x l M T U v Q X V 0 b 1 J l b W 9 2 Z W R D b 2 x 1 b W 5 z M S 5 7 U 3 R h c n R Q c m V m Z W N 0 d X J l L 0 R p c 3 R y a W N 0 L D I 5 f S Z x d W 9 0 O y w m c X V v d D t T Z W N 0 a W 9 u M S 9 U Y W J s Z T E 1 L 0 F 1 d G 9 S Z W 1 v d m V k Q 2 9 s d W 1 u c z E u e 1 N 0 Y X J 0 U 3 R h d G U v U H J v d m l u Y 2 U s M z B 9 J n F 1 b 3 Q 7 L C Z x d W 9 0 O 1 N l Y 3 R p b 2 4 x L 1 R h Y m x l M T U v Q X V 0 b 1 J l b W 9 2 Z W R D b 2 x 1 b W 5 z M S 5 7 R W 5 k T G 9 j Y X R p b 2 4 s M z F 9 J n F 1 b 3 Q 7 L C Z x d W 9 0 O 1 N l Y 3 R p b 2 4 x L 1 R h Y m x l M T U v Q X V 0 b 1 J l b W 9 2 Z W R D b 2 x 1 b W 5 z M S 5 7 R W 5 k U H J l Z m V j d H V y Z S 9 E a X N 0 c m l j d C w z M n 0 m c X V v d D s s J n F 1 b 3 Q 7 U 2 V j d G l v b j E v V G F i b G U x N S 9 B d X R v U m V t b 3 Z l Z E N v b H V t b n M x L n t F b m R T d G F 0 Z S 9 Q c m 9 2 a W 5 j Z S w z M 3 0 m c X V v d D s s J n F 1 b 3 Q 7 U 2 V j d G l v b j E v V G F i b G U x N S 9 B d X R v U m V t b 3 Z l Z E N v b H V t b n M x L n t F b m R S Z W d p b 2 4 s M z R 9 J n F 1 b 3 Q 7 L C Z x d W 9 0 O 1 N l Y 3 R p b 2 4 x L 1 R h Y m x l M T U v Q X V 0 b 1 J l b W 9 2 Z W R D b 2 x 1 b W 5 z M S 5 7 R k l E L D M 1 f S Z x d W 9 0 O y w m c X V v d D t T Z W N 0 a W 9 u M S 9 U Y W J s Z T E 1 L 0 F 1 d G 9 S Z W 1 v d m V k Q 2 9 s d W 1 u c z E u e 0 Z J R F l l Y X I s M z Z 9 J n F 1 b 3 Q 7 L C Z x d W 9 0 O 1 N l Y 3 R p b 2 4 x L 1 R h Y m x l M T U v Q X V 0 b 1 J l b W 9 2 Z W R D b 2 x 1 b W 5 z M S 5 7 T 3 R o Z X J M Y W 5 n d W F n Z V B y a W 1 h c n l Q a X B l b G l u Z U 5 h b W U s M z d 9 J n F 1 b 3 Q 7 L C Z x d W 9 0 O 1 N l Y 3 R p b 2 4 x L 1 R h Y m x l M T U v Q X V 0 b 1 J l b W 9 2 Z W R D b 2 x 1 b W 5 z M S 5 7 T 3 R o Z X J M Y W 5 n d W F n Z V N l Z 2 1 l b n R O Y W 1 l L D M 4 f S Z x d W 9 0 O y w m c X V v d D t T Z W N 0 a W 9 u M S 9 U Y W J s Z T E 1 L 0 F 1 d G 9 S Z W 1 v d m V k Q 2 9 s d W 1 u c z E u e 0 9 0 a G V y T G F u Z 3 V h Z 2 V X a W t p U G F n Z S w z O X 0 m c X V v d D s s J n F 1 b 3 Q 7 U 2 V j d G l v b j E v V G F i b G U x N S 9 B d X R v U m V t b 3 Z l Z E N v b H V t b n M x L n t X S 1 R G b 3 J t Y X Q s N D B 9 J n F 1 b 3 Q 7 X S w m c X V v d D t S Z W x h d G l v b n N o a X B J b m Z v J n F 1 b 3 Q 7 O l t d f S I g L z 4 8 L 1 N 0 Y W J s Z U V u d H J p Z X M + P C 9 J d G V t P j x J d G V t P j x J d G V t T G 9 j Y X R p b 2 4 + P E l 0 Z W 1 U e X B l P k Z v c m 1 1 b G E 8 L 0 l 0 Z W 1 U e X B l P j x J d G V t U G F 0 a D 5 T Z W N 0 a W 9 u M S 9 U Y W J s Z T E 1 L 1 N v d X J j Z T w v S X R l b V B h d G g + P C 9 J d G V t T G 9 j Y X R p b 2 4 + P F N 0 Y W J s Z U V u d H J p Z X M g L z 4 8 L 0 l 0 Z W 0 + P E l 0 Z W 0 + P E l 0 Z W 1 M b 2 N h d G l v b j 4 8 S X R l b V R 5 c G U + R m 9 y b X V s Y T w v S X R l b V R 5 c G U + P E l 0 Z W 1 Q Y X R o P l N l Y 3 R p b 2 4 x L 1 R h Y m x l M T U v Q 2 h h b m d l Z C U y M F R 5 c G U 8 L 0 l 0 Z W 1 Q Y X R o P j w v S X R l b U x v Y 2 F 0 a W 9 u P j x T d G F i b G V F b n R y a W V z I C 8 + P C 9 J d G V t P j x J d G V t P j x J d G V t T G 9 j Y X R p b 2 4 + P E l 0 Z W 1 U e X B l P k Z v c m 1 1 b G E 8 L 0 l 0 Z W 1 U e X B l P j x J d G V t U G F 0 a D 5 T Z W N 0 a W 9 u M S 9 U Y W J s Z T E 1 L 0 Z p b H R l c m V k J T I w U m 9 3 c z w v S X R l b V B h d G g + P C 9 J d G V t T G 9 j Y X R p b 2 4 + P F N 0 Y W J s Z U V u d H J p Z X M g L z 4 8 L 0 l 0 Z W 0 + P E l 0 Z W 0 + P E l 0 Z W 1 M b 2 N h d G l v b j 4 8 S X R l b V R 5 c G U + R m 9 y b X V s Y T w v S X R l b V R 5 c G U + P E l 0 Z W 1 Q Y X R o P l N l Y 3 R p b 2 4 x L 1 R h Y m x l M T U 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U Y X J n Z X Q i I F Z h b H V l P S J z V G F i b G V f V G F i b G U x N T E 4 I i A v P j x F b n R y e S B U e X B l P S J G a W x s Z W R D b 2 1 w b G V 0 Z V J l c 3 V s d F R v V 2 9 y a 3 N o Z W V 0 I i B W Y W x 1 Z T 0 i b D E i I C 8 + P E V u d H J 5 I F R 5 c G U 9 I k F k Z G V k V G 9 E Y X R h T W 9 k Z W w i I F Z h b H V l P S J s M C I g L z 4 8 R W 5 0 c n k g V H l w Z T 0 i R m l s b E V y c m 9 y Q 2 9 k Z S I g V m F s d W U 9 I n N V b m t u b 3 d u I i A v P j x F b n R y e S B U e X B l P S J G a W x s R X J y b 3 J D b 3 V u d C I g V m F s d W U 9 I m w w I i A v P j x F b n R y e S B U e X B l P S J G a W x s T G F z d F V w Z G F 0 Z W Q i I F Z h b H V l P S J k M j A y M y 0 w N i 0 x M l Q x N j o 1 N z o 0 N i 4 3 N z I z N j U 5 W i I g L z 4 8 R W 5 0 c n k g V H l w Z T 0 i R m l s b E N v b H V t b l R 5 c G V z I i B W Y W x 1 Z T 0 i c 0 J n W U d C Z 1 l B Q m d Z R 0 J n W U d C Z 0 1 E Q U F B R k J n Q U F B Q U F G Q U F Z R 0 J n W U d C Z 1 l H Q m d Z Q U F B W U F C Z 1 k 9 I i A v P j x F b n R y e S B U e X B l P S J G a W x s Q 2 9 s d W 1 u T m F t Z X M i I F Z h b H V l P S J z W y Z x d W 9 0 O 1 B y b 2 p l Y 3 R J R C Z x d W 9 0 O y w m c X V v d D t G d W V s J n F 1 b 3 Q 7 L C Z x d W 9 0 O 1 N 0 Y X J 0 Q 2 9 1 b n R y e S Z x d W 9 0 O y w m c X V v d D t F b m R D b 3 V u d H J 5 J n F 1 b 3 Q 7 L C Z x d W 9 0 O 0 N v d W 5 0 c m l l c y Z x d W 9 0 O y w m c X V v d D t D b 2 x 1 b W 4 x J n F 1 b 3 Q 7 L C Z x d W 9 0 O 1 d p a 2 k m c X V v d D s s J n F 1 b 3 Q 7 U G l w Z W x p b m V O Y W 1 l J n F 1 b 3 Q 7 L C Z x d W 9 0 O 1 N l Z 2 1 l b n R O Y W 1 l J n F 1 b 3 Q 7 L C Z x d W 9 0 O 0 9 0 a G V y R W 5 n b G l z a E 5 h b W V z J n F 1 b 3 Q 7 L C Z x d W 9 0 O 0 9 3 b m V y J n F 1 b 3 Q 7 L C Z x d W 9 0 O 1 B h c m V u d C Z x d W 9 0 O y w m c X V v d D t T d G F 0 d X M m c X V v d D s s J n F 1 b 3 Q 7 U 3 R h c n R Z Z W F y M S Z x d W 9 0 O y w m c X V v d D t T d G F y d F l l Y X I y J n F 1 b 3 Q 7 L C Z x d W 9 0 O 1 N 0 Y X J 0 W W V h c j M m c X V v d D s s J n F 1 b 3 Q 7 U 3 R v c F l l Y X I m c X V v d D s s J n F 1 b 3 Q 7 Q 2 F w Y W N p d H k m c X V v d D s s J n F 1 b 3 Q 7 Q 2 F w Y W N p d H l V b m l 0 c y Z x d W 9 0 O y w m c X V v d D t D Y X B h Y 2 l 0 e U J j b S 9 5 J n F 1 b 3 Q 7 L C Z x d W 9 0 O 0 N h c G F j a X R 5 Q k 9 F Z C Z x d W 9 0 O y w m c X V v d D t M Z W 5 n d G h L b m 9 3 b k t t J n F 1 b 3 Q 7 L C Z x d W 9 0 O 0 x l b m d 0 a E V z d G l t Y X R l S 2 0 m c X V v d D s s J n F 1 b 3 Q 7 T G V u Z 3 R o T W V y Z 2 V k S 2 0 m c X V v d D s s J n F 1 b 3 Q 7 R G l h b W V 0 Z X I m c X V v d D s s J n F 1 b 3 Q 7 R G l h b W V 0 Z X J V b m l 0 c y Z x d W 9 0 O y w m c X V v d D t G d W V s U 2 9 1 c m N l J n F 1 b 3 Q 7 L C Z x d W 9 0 O 1 N 0 Y X J 0 T G 9 j Y X R p b 2 4 m c X V v d D s s J n F 1 b 3 Q 7 U 3 R h c n R S Z W d p b 2 4 m c X V v d D s s J n F 1 b 3 Q 7 U 3 R h c n R Q c m V m Z W N 0 d X J l L 0 R p c 3 R y a W N 0 J n F 1 b 3 Q 7 L C Z x d W 9 0 O 1 N 0 Y X J 0 U 3 R h d G U v U H J v d m l u Y 2 U m c X V v d D s s J n F 1 b 3 Q 7 R W 5 k T G 9 j Y X R p b 2 4 m c X V v d D s s J n F 1 b 3 Q 7 R W 5 k U H J l Z m V j d H V y Z S 9 E a X N 0 c m l j d C Z x d W 9 0 O y w m c X V v d D t F b m R T d G F 0 Z S 9 Q c m 9 2 a W 5 j Z S Z x d W 9 0 O y w m c X V v d D t F b m R S Z W d p b 2 4 m c X V v d D s s J n F 1 b 3 Q 7 R k l E J n F 1 b 3 Q 7 L C Z x d W 9 0 O 0 Z J R F l l Y X I m c X V v d D s s J n F 1 b 3 Q 7 T 3 R o Z X J M Y W 5 n d W F n Z V B y a W 1 h c n l Q a X B l b G l u Z U 5 h b W U m c X V v d D s s J n F 1 b 3 Q 7 T 3 R o Z X J M Y W 5 n d W F n Z V N l Z 2 1 l b n R O Y W 1 l J n F 1 b 3 Q 7 L C Z x d W 9 0 O 0 9 0 a G V y T G F u Z 3 V h Z 2 V X a W t p U G F n Z S Z x d W 9 0 O y w m c X V v d D t X S 1 R G b 3 J t Y X Q m c X V v d D t d I i A v P j x F b n R y e S B U e X B l P S J G a W x s U 3 R h d H V z I i B W Y W x 1 Z T 0 i c 0 N v b X B s Z X R l I i A v P j x F b n R y e S B U e X B l P S J G a W x s Q 2 9 1 b n Q i I F Z h b H V l P S J s M T I 1 I i A v P j x F b n R y e S B U e X B l P S J S Z W x h d G l v b n N o a X B J b m Z v Q 2 9 u d G F p b m V y I i B W Y W x 1 Z T 0 i c 3 s m c X V v d D t j b 2 x 1 b W 5 D b 3 V u d C Z x d W 9 0 O z o 0 M S w m c X V v d D t r Z X l D b 2 x 1 b W 5 O Y W 1 l c y Z x d W 9 0 O z p b X S w m c X V v d D t x d W V y e V J l b G F 0 a W 9 u c 2 h p c H M m c X V v d D s 6 W 1 0 s J n F 1 b 3 Q 7 Y 2 9 s d W 1 u S W R l b n R p d G l l c y Z x d W 9 0 O z p b J n F 1 b 3 Q 7 U 2 V j d G l v b j E v V G F i b G U x N S 9 B d X R v U m V t b 3 Z l Z E N v b H V t b n M x L n t Q c m 9 q Z W N 0 S U Q s M H 0 m c X V v d D s s J n F 1 b 3 Q 7 U 2 V j d G l v b j E v V G F i b G U x N S 9 B d X R v U m V t b 3 Z l Z E N v b H V t b n M x L n t G d W V s L D F 9 J n F 1 b 3 Q 7 L C Z x d W 9 0 O 1 N l Y 3 R p b 2 4 x L 1 R h Y m x l M T U v Q X V 0 b 1 J l b W 9 2 Z W R D b 2 x 1 b W 5 z M S 5 7 U 3 R h c n R D b 3 V u d H J 5 L D J 9 J n F 1 b 3 Q 7 L C Z x d W 9 0 O 1 N l Y 3 R p b 2 4 x L 1 R h Y m x l M T U v Q X V 0 b 1 J l b W 9 2 Z W R D b 2 x 1 b W 5 z M S 5 7 R W 5 k Q 2 9 1 b n R y e S w z f S Z x d W 9 0 O y w m c X V v d D t T Z W N 0 a W 9 u M S 9 U Y W J s Z T E 1 L 0 F 1 d G 9 S Z W 1 v d m V k Q 2 9 s d W 1 u c z E u e 0 N v d W 5 0 c m l l c y w 0 f S Z x d W 9 0 O y w m c X V v d D t T Z W N 0 a W 9 u M S 9 U Y W J s Z T E 1 L 0 F 1 d G 9 S Z W 1 v d m V k Q 2 9 s d W 1 u c z E u e 0 N v b H V t b j E s N X 0 m c X V v d D s s J n F 1 b 3 Q 7 U 2 V j d G l v b j E v V G F i b G U x N S 9 B d X R v U m V t b 3 Z l Z E N v b H V t b n M x L n t X a W t p L D Z 9 J n F 1 b 3 Q 7 L C Z x d W 9 0 O 1 N l Y 3 R p b 2 4 x L 1 R h Y m x l M T U v Q X V 0 b 1 J l b W 9 2 Z W R D b 2 x 1 b W 5 z M S 5 7 U G l w Z W x p b m V O Y W 1 l L D d 9 J n F 1 b 3 Q 7 L C Z x d W 9 0 O 1 N l Y 3 R p b 2 4 x L 1 R h Y m x l M T U v Q X V 0 b 1 J l b W 9 2 Z W R D b 2 x 1 b W 5 z M S 5 7 U 2 V n b W V u d E 5 h b W U s O H 0 m c X V v d D s s J n F 1 b 3 Q 7 U 2 V j d G l v b j E v V G F i b G U x N S 9 B d X R v U m V t b 3 Z l Z E N v b H V t b n M x L n t P d G h l c k V u Z 2 x p c 2 h O Y W 1 l c y w 5 f S Z x d W 9 0 O y w m c X V v d D t T Z W N 0 a W 9 u M S 9 U Y W J s Z T E 1 L 0 F 1 d G 9 S Z W 1 v d m V k Q 2 9 s d W 1 u c z E u e 0 9 3 b m V y L D E w f S Z x d W 9 0 O y w m c X V v d D t T Z W N 0 a W 9 u M S 9 U Y W J s Z T E 1 L 0 F 1 d G 9 S Z W 1 v d m V k Q 2 9 s d W 1 u c z E u e 1 B h c m V u d C w x M X 0 m c X V v d D s s J n F 1 b 3 Q 7 U 2 V j d G l v b j E v V G F i b G U x N S 9 B d X R v U m V t b 3 Z l Z E N v b H V t b n M x L n t T d G F 0 d X M s M T J 9 J n F 1 b 3 Q 7 L C Z x d W 9 0 O 1 N l Y 3 R p b 2 4 x L 1 R h Y m x l M T U v Q X V 0 b 1 J l b W 9 2 Z W R D b 2 x 1 b W 5 z M S 5 7 U 3 R h c n R Z Z W F y M S w x M 3 0 m c X V v d D s s J n F 1 b 3 Q 7 U 2 V j d G l v b j E v V G F i b G U x N S 9 B d X R v U m V t b 3 Z l Z E N v b H V t b n M x L n t T d G F y d F l l Y X I y L D E 0 f S Z x d W 9 0 O y w m c X V v d D t T Z W N 0 a W 9 u M S 9 U Y W J s Z T E 1 L 0 F 1 d G 9 S Z W 1 v d m V k Q 2 9 s d W 1 u c z E u e 1 N 0 Y X J 0 W W V h c j M s M T V 9 J n F 1 b 3 Q 7 L C Z x d W 9 0 O 1 N l Y 3 R p b 2 4 x L 1 R h Y m x l M T U v Q X V 0 b 1 J l b W 9 2 Z W R D b 2 x 1 b W 5 z M S 5 7 U 3 R v c F l l Y X I s M T Z 9 J n F 1 b 3 Q 7 L C Z x d W 9 0 O 1 N l Y 3 R p b 2 4 x L 1 R h Y m x l M T U v Q X V 0 b 1 J l b W 9 2 Z W R D b 2 x 1 b W 5 z M S 5 7 Q 2 F w Y W N p d H k s M T d 9 J n F 1 b 3 Q 7 L C Z x d W 9 0 O 1 N l Y 3 R p b 2 4 x L 1 R h Y m x l M T U v Q X V 0 b 1 J l b W 9 2 Z W R D b 2 x 1 b W 5 z M S 5 7 Q 2 F w Y W N p d H l V b m l 0 c y w x O H 0 m c X V v d D s s J n F 1 b 3 Q 7 U 2 V j d G l v b j E v V G F i b G U x N S 9 B d X R v U m V t b 3 Z l Z E N v b H V t b n M x L n t D Y X B h Y 2 l 0 e U J j b S 9 5 L D E 5 f S Z x d W 9 0 O y w m c X V v d D t T Z W N 0 a W 9 u M S 9 U Y W J s Z T E 1 L 0 F 1 d G 9 S Z W 1 v d m V k Q 2 9 s d W 1 u c z E u e 0 N h c G F j a X R 5 Q k 9 F Z C w y M H 0 m c X V v d D s s J n F 1 b 3 Q 7 U 2 V j d G l v b j E v V G F i b G U x N S 9 B d X R v U m V t b 3 Z l Z E N v b H V t b n M x L n t M Z W 5 n d G h L b m 9 3 b k t t L D I x f S Z x d W 9 0 O y w m c X V v d D t T Z W N 0 a W 9 u M S 9 U Y W J s Z T E 1 L 0 F 1 d G 9 S Z W 1 v d m V k Q 2 9 s d W 1 u c z E u e 0 x l b m d 0 a E V z d G l t Y X R l S 2 0 s M j J 9 J n F 1 b 3 Q 7 L C Z x d W 9 0 O 1 N l Y 3 R p b 2 4 x L 1 R h Y m x l M T U v Q X V 0 b 1 J l b W 9 2 Z W R D b 2 x 1 b W 5 z M S 5 7 T G V u Z 3 R o T W V y Z 2 V k S 2 0 s M j N 9 J n F 1 b 3 Q 7 L C Z x d W 9 0 O 1 N l Y 3 R p b 2 4 x L 1 R h Y m x l M T U v Q X V 0 b 1 J l b W 9 2 Z W R D b 2 x 1 b W 5 z M S 5 7 R G l h b W V 0 Z X I s M j R 9 J n F 1 b 3 Q 7 L C Z x d W 9 0 O 1 N l Y 3 R p b 2 4 x L 1 R h Y m x l M T U v Q X V 0 b 1 J l b W 9 2 Z W R D b 2 x 1 b W 5 z M S 5 7 R G l h b W V 0 Z X J V b m l 0 c y w y N X 0 m c X V v d D s s J n F 1 b 3 Q 7 U 2 V j d G l v b j E v V G F i b G U x N S 9 B d X R v U m V t b 3 Z l Z E N v b H V t b n M x L n t G d W V s U 2 9 1 c m N l L D I 2 f S Z x d W 9 0 O y w m c X V v d D t T Z W N 0 a W 9 u M S 9 U Y W J s Z T E 1 L 0 F 1 d G 9 S Z W 1 v d m V k Q 2 9 s d W 1 u c z E u e 1 N 0 Y X J 0 T G 9 j Y X R p b 2 4 s M j d 9 J n F 1 b 3 Q 7 L C Z x d W 9 0 O 1 N l Y 3 R p b 2 4 x L 1 R h Y m x l M T U v Q X V 0 b 1 J l b W 9 2 Z W R D b 2 x 1 b W 5 z M S 5 7 U 3 R h c n R S Z W d p b 2 4 s M j h 9 J n F 1 b 3 Q 7 L C Z x d W 9 0 O 1 N l Y 3 R p b 2 4 x L 1 R h Y m x l M T U v Q X V 0 b 1 J l b W 9 2 Z W R D b 2 x 1 b W 5 z M S 5 7 U 3 R h c n R Q c m V m Z W N 0 d X J l L 0 R p c 3 R y a W N 0 L D I 5 f S Z x d W 9 0 O y w m c X V v d D t T Z W N 0 a W 9 u M S 9 U Y W J s Z T E 1 L 0 F 1 d G 9 S Z W 1 v d m V k Q 2 9 s d W 1 u c z E u e 1 N 0 Y X J 0 U 3 R h d G U v U H J v d m l u Y 2 U s M z B 9 J n F 1 b 3 Q 7 L C Z x d W 9 0 O 1 N l Y 3 R p b 2 4 x L 1 R h Y m x l M T U v Q X V 0 b 1 J l b W 9 2 Z W R D b 2 x 1 b W 5 z M S 5 7 R W 5 k T G 9 j Y X R p b 2 4 s M z F 9 J n F 1 b 3 Q 7 L C Z x d W 9 0 O 1 N l Y 3 R p b 2 4 x L 1 R h Y m x l M T U v Q X V 0 b 1 J l b W 9 2 Z W R D b 2 x 1 b W 5 z M S 5 7 R W 5 k U H J l Z m V j d H V y Z S 9 E a X N 0 c m l j d C w z M n 0 m c X V v d D s s J n F 1 b 3 Q 7 U 2 V j d G l v b j E v V G F i b G U x N S 9 B d X R v U m V t b 3 Z l Z E N v b H V t b n M x L n t F b m R T d G F 0 Z S 9 Q c m 9 2 a W 5 j Z S w z M 3 0 m c X V v d D s s J n F 1 b 3 Q 7 U 2 V j d G l v b j E v V G F i b G U x N S 9 B d X R v U m V t b 3 Z l Z E N v b H V t b n M x L n t F b m R S Z W d p b 2 4 s M z R 9 J n F 1 b 3 Q 7 L C Z x d W 9 0 O 1 N l Y 3 R p b 2 4 x L 1 R h Y m x l M T U v Q X V 0 b 1 J l b W 9 2 Z W R D b 2 x 1 b W 5 z M S 5 7 R k l E L D M 1 f S Z x d W 9 0 O y w m c X V v d D t T Z W N 0 a W 9 u M S 9 U Y W J s Z T E 1 L 0 F 1 d G 9 S Z W 1 v d m V k Q 2 9 s d W 1 u c z E u e 0 Z J R F l l Y X I s M z Z 9 J n F 1 b 3 Q 7 L C Z x d W 9 0 O 1 N l Y 3 R p b 2 4 x L 1 R h Y m x l M T U v Q X V 0 b 1 J l b W 9 2 Z W R D b 2 x 1 b W 5 z M S 5 7 T 3 R o Z X J M Y W 5 n d W F n Z V B y a W 1 h c n l Q a X B l b G l u Z U 5 h b W U s M z d 9 J n F 1 b 3 Q 7 L C Z x d W 9 0 O 1 N l Y 3 R p b 2 4 x L 1 R h Y m x l M T U v Q X V 0 b 1 J l b W 9 2 Z W R D b 2 x 1 b W 5 z M S 5 7 T 3 R o Z X J M Y W 5 n d W F n Z V N l Z 2 1 l b n R O Y W 1 l L D M 4 f S Z x d W 9 0 O y w m c X V v d D t T Z W N 0 a W 9 u M S 9 U Y W J s Z T E 1 L 0 F 1 d G 9 S Z W 1 v d m V k Q 2 9 s d W 1 u c z E u e 0 9 0 a G V y T G F u Z 3 V h Z 2 V X a W t p U G F n Z S w z O X 0 m c X V v d D s s J n F 1 b 3 Q 7 U 2 V j d G l v b j E v V G F i b G U x N S 9 B d X R v U m V t b 3 Z l Z E N v b H V t b n M x L n t X S 1 R G b 3 J t Y X Q s N D B 9 J n F 1 b 3 Q 7 X S w m c X V v d D t D b 2 x 1 b W 5 D b 3 V u d C Z x d W 9 0 O z o 0 M S w m c X V v d D t L Z X l D b 2 x 1 b W 5 O Y W 1 l c y Z x d W 9 0 O z p b X S w m c X V v d D t D b 2 x 1 b W 5 J Z G V u d G l 0 a W V z J n F 1 b 3 Q 7 O l s m c X V v d D t T Z W N 0 a W 9 u M S 9 U Y W J s Z T E 1 L 0 F 1 d G 9 S Z W 1 v d m V k Q 2 9 s d W 1 u c z E u e 1 B y b 2 p l Y 3 R J R C w w f S Z x d W 9 0 O y w m c X V v d D t T Z W N 0 a W 9 u M S 9 U Y W J s Z T E 1 L 0 F 1 d G 9 S Z W 1 v d m V k Q 2 9 s d W 1 u c z E u e 0 Z 1 Z W w s M X 0 m c X V v d D s s J n F 1 b 3 Q 7 U 2 V j d G l v b j E v V G F i b G U x N S 9 B d X R v U m V t b 3 Z l Z E N v b H V t b n M x L n t T d G F y d E N v d W 5 0 c n k s M n 0 m c X V v d D s s J n F 1 b 3 Q 7 U 2 V j d G l v b j E v V G F i b G U x N S 9 B d X R v U m V t b 3 Z l Z E N v b H V t b n M x L n t F b m R D b 3 V u d H J 5 L D N 9 J n F 1 b 3 Q 7 L C Z x d W 9 0 O 1 N l Y 3 R p b 2 4 x L 1 R h Y m x l M T U v Q X V 0 b 1 J l b W 9 2 Z W R D b 2 x 1 b W 5 z M S 5 7 Q 2 9 1 b n R y a W V z L D R 9 J n F 1 b 3 Q 7 L C Z x d W 9 0 O 1 N l Y 3 R p b 2 4 x L 1 R h Y m x l M T U v Q X V 0 b 1 J l b W 9 2 Z W R D b 2 x 1 b W 5 z M S 5 7 Q 2 9 s d W 1 u M S w 1 f S Z x d W 9 0 O y w m c X V v d D t T Z W N 0 a W 9 u M S 9 U Y W J s Z T E 1 L 0 F 1 d G 9 S Z W 1 v d m V k Q 2 9 s d W 1 u c z E u e 1 d p a 2 k s N n 0 m c X V v d D s s J n F 1 b 3 Q 7 U 2 V j d G l v b j E v V G F i b G U x N S 9 B d X R v U m V t b 3 Z l Z E N v b H V t b n M x L n t Q a X B l b G l u Z U 5 h b W U s N 3 0 m c X V v d D s s J n F 1 b 3 Q 7 U 2 V j d G l v b j E v V G F i b G U x N S 9 B d X R v U m V t b 3 Z l Z E N v b H V t b n M x L n t T Z W d t Z W 5 0 T m F t Z S w 4 f S Z x d W 9 0 O y w m c X V v d D t T Z W N 0 a W 9 u M S 9 U Y W J s Z T E 1 L 0 F 1 d G 9 S Z W 1 v d m V k Q 2 9 s d W 1 u c z E u e 0 9 0 a G V y R W 5 n b G l z a E 5 h b W V z L D l 9 J n F 1 b 3 Q 7 L C Z x d W 9 0 O 1 N l Y 3 R p b 2 4 x L 1 R h Y m x l M T U v Q X V 0 b 1 J l b W 9 2 Z W R D b 2 x 1 b W 5 z M S 5 7 T 3 d u Z X I s M T B 9 J n F 1 b 3 Q 7 L C Z x d W 9 0 O 1 N l Y 3 R p b 2 4 x L 1 R h Y m x l M T U v Q X V 0 b 1 J l b W 9 2 Z W R D b 2 x 1 b W 5 z M S 5 7 U G F y Z W 5 0 L D E x f S Z x d W 9 0 O y w m c X V v d D t T Z W N 0 a W 9 u M S 9 U Y W J s Z T E 1 L 0 F 1 d G 9 S Z W 1 v d m V k Q 2 9 s d W 1 u c z E u e 1 N 0 Y X R 1 c y w x M n 0 m c X V v d D s s J n F 1 b 3 Q 7 U 2 V j d G l v b j E v V G F i b G U x N S 9 B d X R v U m V t b 3 Z l Z E N v b H V t b n M x L n t T d G F y d F l l Y X I x L D E z f S Z x d W 9 0 O y w m c X V v d D t T Z W N 0 a W 9 u M S 9 U Y W J s Z T E 1 L 0 F 1 d G 9 S Z W 1 v d m V k Q 2 9 s d W 1 u c z E u e 1 N 0 Y X J 0 W W V h c j I s M T R 9 J n F 1 b 3 Q 7 L C Z x d W 9 0 O 1 N l Y 3 R p b 2 4 x L 1 R h Y m x l M T U v Q X V 0 b 1 J l b W 9 2 Z W R D b 2 x 1 b W 5 z M S 5 7 U 3 R h c n R Z Z W F y M y w x N X 0 m c X V v d D s s J n F 1 b 3 Q 7 U 2 V j d G l v b j E v V G F i b G U x N S 9 B d X R v U m V t b 3 Z l Z E N v b H V t b n M x L n t T d G 9 w W W V h c i w x N n 0 m c X V v d D s s J n F 1 b 3 Q 7 U 2 V j d G l v b j E v V G F i b G U x N S 9 B d X R v U m V t b 3 Z l Z E N v b H V t b n M x L n t D Y X B h Y 2 l 0 e S w x N 3 0 m c X V v d D s s J n F 1 b 3 Q 7 U 2 V j d G l v b j E v V G F i b G U x N S 9 B d X R v U m V t b 3 Z l Z E N v b H V t b n M x L n t D Y X B h Y 2 l 0 e V V u a X R z L D E 4 f S Z x d W 9 0 O y w m c X V v d D t T Z W N 0 a W 9 u M S 9 U Y W J s Z T E 1 L 0 F 1 d G 9 S Z W 1 v d m V k Q 2 9 s d W 1 u c z E u e 0 N h c G F j a X R 5 Q m N t L 3 k s M T l 9 J n F 1 b 3 Q 7 L C Z x d W 9 0 O 1 N l Y 3 R p b 2 4 x L 1 R h Y m x l M T U v Q X V 0 b 1 J l b W 9 2 Z W R D b 2 x 1 b W 5 z M S 5 7 Q 2 F w Y W N p d H l C T 0 V k L D I w f S Z x d W 9 0 O y w m c X V v d D t T Z W N 0 a W 9 u M S 9 U Y W J s Z T E 1 L 0 F 1 d G 9 S Z W 1 v d m V k Q 2 9 s d W 1 u c z E u e 0 x l b m d 0 a E t u b 3 d u S 2 0 s M j F 9 J n F 1 b 3 Q 7 L C Z x d W 9 0 O 1 N l Y 3 R p b 2 4 x L 1 R h Y m x l M T U v Q X V 0 b 1 J l b W 9 2 Z W R D b 2 x 1 b W 5 z M S 5 7 T G V u Z 3 R o R X N 0 a W 1 h d G V L b S w y M n 0 m c X V v d D s s J n F 1 b 3 Q 7 U 2 V j d G l v b j E v V G F i b G U x N S 9 B d X R v U m V t b 3 Z l Z E N v b H V t b n M x L n t M Z W 5 n d G h N Z X J n Z W R L b S w y M 3 0 m c X V v d D s s J n F 1 b 3 Q 7 U 2 V j d G l v b j E v V G F i b G U x N S 9 B d X R v U m V t b 3 Z l Z E N v b H V t b n M x L n t E a W F t Z X R l c i w y N H 0 m c X V v d D s s J n F 1 b 3 Q 7 U 2 V j d G l v b j E v V G F i b G U x N S 9 B d X R v U m V t b 3 Z l Z E N v b H V t b n M x L n t E a W F t Z X R l c l V u a X R z L D I 1 f S Z x d W 9 0 O y w m c X V v d D t T Z W N 0 a W 9 u M S 9 U Y W J s Z T E 1 L 0 F 1 d G 9 S Z W 1 v d m V k Q 2 9 s d W 1 u c z E u e 0 Z 1 Z W x T b 3 V y Y 2 U s M j Z 9 J n F 1 b 3 Q 7 L C Z x d W 9 0 O 1 N l Y 3 R p b 2 4 x L 1 R h Y m x l M T U v Q X V 0 b 1 J l b W 9 2 Z W R D b 2 x 1 b W 5 z M S 5 7 U 3 R h c n R M b 2 N h d G l v b i w y N 3 0 m c X V v d D s s J n F 1 b 3 Q 7 U 2 V j d G l v b j E v V G F i b G U x N S 9 B d X R v U m V t b 3 Z l Z E N v b H V t b n M x L n t T d G F y d F J l Z 2 l v b i w y O H 0 m c X V v d D s s J n F 1 b 3 Q 7 U 2 V j d G l v b j E v V G F i b G U x N S 9 B d X R v U m V t b 3 Z l Z E N v b H V t b n M x L n t T d G F y d F B y Z W Z l Y 3 R 1 c m U v R G l z d H J p Y 3 Q s M j l 9 J n F 1 b 3 Q 7 L C Z x d W 9 0 O 1 N l Y 3 R p b 2 4 x L 1 R h Y m x l M T U v Q X V 0 b 1 J l b W 9 2 Z W R D b 2 x 1 b W 5 z M S 5 7 U 3 R h c n R T d G F 0 Z S 9 Q c m 9 2 a W 5 j Z S w z M H 0 m c X V v d D s s J n F 1 b 3 Q 7 U 2 V j d G l v b j E v V G F i b G U x N S 9 B d X R v U m V t b 3 Z l Z E N v b H V t b n M x L n t F b m R M b 2 N h d G l v b i w z M X 0 m c X V v d D s s J n F 1 b 3 Q 7 U 2 V j d G l v b j E v V G F i b G U x N S 9 B d X R v U m V t b 3 Z l Z E N v b H V t b n M x L n t F b m R Q c m V m Z W N 0 d X J l L 0 R p c 3 R y a W N 0 L D M y f S Z x d W 9 0 O y w m c X V v d D t T Z W N 0 a W 9 u M S 9 U Y W J s Z T E 1 L 0 F 1 d G 9 S Z W 1 v d m V k Q 2 9 s d W 1 u c z E u e 0 V u Z F N 0 Y X R l L 1 B y b 3 Z p b m N l L D M z f S Z x d W 9 0 O y w m c X V v d D t T Z W N 0 a W 9 u M S 9 U Y W J s Z T E 1 L 0 F 1 d G 9 S Z W 1 v d m V k Q 2 9 s d W 1 u c z E u e 0 V u Z F J l Z 2 l v b i w z N H 0 m c X V v d D s s J n F 1 b 3 Q 7 U 2 V j d G l v b j E v V G F i b G U x N S 9 B d X R v U m V t b 3 Z l Z E N v b H V t b n M x L n t G S U Q s M z V 9 J n F 1 b 3 Q 7 L C Z x d W 9 0 O 1 N l Y 3 R p b 2 4 x L 1 R h Y m x l M T U v Q X V 0 b 1 J l b W 9 2 Z W R D b 2 x 1 b W 5 z M S 5 7 R k l E W W V h c i w z N n 0 m c X V v d D s s J n F 1 b 3 Q 7 U 2 V j d G l v b j E v V G F i b G U x N S 9 B d X R v U m V t b 3 Z l Z E N v b H V t b n M x L n t P d G h l c k x h b m d 1 Y W d l U H J p b W F y e V B p c G V s a W 5 l T m F t Z S w z N 3 0 m c X V v d D s s J n F 1 b 3 Q 7 U 2 V j d G l v b j E v V G F i b G U x N S 9 B d X R v U m V t b 3 Z l Z E N v b H V t b n M x L n t P d G h l c k x h b m d 1 Y W d l U 2 V n b W V u d E 5 h b W U s M z h 9 J n F 1 b 3 Q 7 L C Z x d W 9 0 O 1 N l Y 3 R p b 2 4 x L 1 R h Y m x l M T U v Q X V 0 b 1 J l b W 9 2 Z W R D b 2 x 1 b W 5 z M S 5 7 T 3 R o Z X J M Y W 5 n d W F n Z V d p a 2 l Q Y W d l L D M 5 f S Z x d W 9 0 O y w m c X V v d D t T Z W N 0 a W 9 u M S 9 U Y W J s Z T E 1 L 0 F 1 d G 9 S Z W 1 v d m V k Q 2 9 s d W 1 u c z E u e 1 d L V E Z v c m 1 h d C w 0 M H 0 m c X V v d D t d L C Z x d W 9 0 O 1 J l b G F 0 a W 9 u c 2 h p c E l u Z m 8 m c X V v d D s 6 W 1 1 9 I i A v P j x F b n R y e S B U e X B l P S J M b 2 F k Z W R U b 0 F u Y W x 5 c 2 l z U 2 V y d m l j Z X M i I F Z h b H V l P S J s M C I g L z 4 8 L 1 N 0 Y W J s Z U V u d H J p Z X M + P C 9 J d G V t P j x J d G V t P j x J d G V t T G 9 j Y X R p b 2 4 + P E l 0 Z W 1 U e X B l P k Z v c m 1 1 b G E 8 L 0 l 0 Z W 1 U e X B l P j x J d G V t U G F 0 a D 5 T Z W N 0 a W 9 u M S 9 U Y W J s Z T E 1 J T I w K D I p L 1 N v d X J j Z T w v S X R l b V B h d G g + P C 9 J d G V t T G 9 j Y X R p b 2 4 + P F N 0 Y W J s Z U V u d H J p Z X M g L z 4 8 L 0 l 0 Z W 0 + P E l 0 Z W 0 + P E l 0 Z W 1 M b 2 N h d G l v b j 4 8 S X R l b V R 5 c G U + R m 9 y b X V s Y T w v S X R l b V R 5 c G U + P E l 0 Z W 1 Q Y X R o P l N l Y 3 R p b 2 4 x L 1 R h Y m x l M T U l M j A o M i k v Q 2 h h b m d l Z C U y M F R 5 c G U 8 L 0 l 0 Z W 1 Q Y X R o P j w v S X R l b U x v Y 2 F 0 a W 9 u P j x T d G F i b G V F b n R y a W V z I C 8 + P C 9 J d G V t P j x J d G V t P j x J d G V t T G 9 j Y X R p b 2 4 + P E l 0 Z W 1 U e X B l P k Z v c m 1 1 b G E 8 L 0 l 0 Z W 1 U e X B l P j x J d G V t U G F 0 a D 5 T Z W N 0 a W 9 u M S 9 U Y W J s Z T E 1 J T I w K D I p L 0 Z p b H R l c m V k J T I w U m 9 3 c z w v S X R l b V B h d G g + P C 9 J d G V t T G 9 j Y X R p b 2 4 + P F N 0 Y W J s Z U V u d H J p Z X M g L z 4 8 L 0 l 0 Z W 0 + P C 9 J d G V t c z 4 8 L 0 x v Y 2 F s U G F j a 2 F n Z U 1 l d G F k Y X R h R m l s Z T 4 W A A A A U E s F B g A A A A A A A A A A A A A A A A A A A A A A A C Y B A A A B A A A A 0 I y d 3 w E V 0 R G M e g D A T 8 K X 6 w E A A A C Y C o 2 X + z 6 7 S b m w U 4 f D P i J j A A A A A A I A A A A A A B B m A A A A A Q A A I A A A A K y l 9 I 2 l K / V i s z 8 r I 2 B O N + X f 4 1 t a r B i W g h u y e r p J z I 0 r A A A A A A 6 A A A A A A g A A I A A A A G g / n 8 Y O 3 C e 0 3 O E x L 8 H c D X a I z O h / 3 P / w A 1 g r S n y s k n y a U A A A A F a B v f j i 1 V 8 u 2 / 6 6 g e 8 V j c f f J 7 S m o G X f C w t 6 p i j z c D R 7 Y y I V q U p T W s b 3 T 2 h S 7 b v K e E o c k a K R m D Y + B 6 l F C I j k t w C 4 s 7 r h 3 n 1 M 6 v J L k K t e e + i H Q A A A A P X x R v E F O O t J J 7 b W A f 1 O d L L x C E 8 R b d y N / C f N v l Z k / z 8 Y f / + D p D T B 9 G B g L T T g z D a G V Y o t 9 B W P Z e i 1 Y I w j 1 V 2 f E D k = < / 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F8DDF6-DAFD-4C81-905A-CF41C542D5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927aa6-8e3b-4b44-9980-45918cd82e6e"/>
    <ds:schemaRef ds:uri="1616bcba-7f82-40ea-98f7-51d7a24280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597A22-9F0E-4E15-B2E7-8DFF999BBD92}">
  <ds:schemaRefs>
    <ds:schemaRef ds:uri="http://schemas.microsoft.com/office/2006/metadata/properties"/>
    <ds:schemaRef ds:uri="http://schemas.microsoft.com/office/infopath/2007/PartnerControls"/>
    <ds:schemaRef ds:uri="10927aa6-8e3b-4b44-9980-45918cd82e6e"/>
    <ds:schemaRef ds:uri="1616bcba-7f82-40ea-98f7-51d7a24280eb"/>
  </ds:schemaRefs>
</ds:datastoreItem>
</file>

<file path=customXml/itemProps3.xml><?xml version="1.0" encoding="utf-8"?>
<ds:datastoreItem xmlns:ds="http://schemas.openxmlformats.org/officeDocument/2006/customXml" ds:itemID="{8D744F63-B2C7-4273-93BF-0C2D9C63DC77}">
  <ds:schemaRefs>
    <ds:schemaRef ds:uri="http://schemas.microsoft.com/DataMashup"/>
  </ds:schemaRefs>
</ds:datastoreItem>
</file>

<file path=customXml/itemProps4.xml><?xml version="1.0" encoding="utf-8"?>
<ds:datastoreItem xmlns:ds="http://schemas.openxmlformats.org/officeDocument/2006/customXml" ds:itemID="{3475A301-1ECD-4CBD-B0A1-F76D602D40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Readme</vt:lpstr>
      <vt:lpstr>Countries</vt:lpstr>
      <vt:lpstr>H2_Production</vt:lpstr>
      <vt:lpstr>Refineries</vt:lpstr>
      <vt:lpstr>Steel_Production</vt:lpstr>
      <vt:lpstr>Ammonia_Production</vt:lpstr>
      <vt:lpstr>Natural_Gas_Infrastructure</vt:lpstr>
      <vt:lpstr>Natural_Gas_Pipelines</vt:lpstr>
      <vt:lpstr>Business Model Examples</vt:lpstr>
      <vt:lpstr>Business Model Pivot</vt:lpstr>
      <vt:lpstr>National_Strategies</vt:lpstr>
      <vt:lpstr>National_Strategies_Pivot</vt:lpstr>
      <vt:lpstr>FID_Internationally</vt:lpstr>
      <vt:lpstr>FID_Pivot</vt:lpstr>
      <vt:lpstr>Australia</vt:lpstr>
      <vt:lpstr>Conversion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Maranville</dc:creator>
  <cp:keywords/>
  <dc:description/>
  <cp:lastModifiedBy>Beth Dowdy</cp:lastModifiedBy>
  <cp:revision/>
  <dcterms:created xsi:type="dcterms:W3CDTF">2023-05-01T20:37:46Z</dcterms:created>
  <dcterms:modified xsi:type="dcterms:W3CDTF">2024-06-06T18:37:38Z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0x010100606EE4587747154F9DE021267C89C1A3</vt:lpwstr>
  </property>
  <property fmtid="{D5CDD505-2E9C-101B-9397-08002B2CF9AE}" pid="3" name="MediaServiceImageTags">
    <vt:lpwstr/>
  </property>
</Properties>
</file>